
<file path=[Content_Types].xml><?xml version="1.0" encoding="utf-8"?>
<Types xmlns="http://schemas.openxmlformats.org/package/2006/content-types">
  <Default Extension="bin" ContentType="application/vnd.openxmlformats-officedocument.spreadsheetml.printerSettings"/>
  <Default Extension="gif" ContentType="image/gi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drawings/drawing2.xml" ContentType="application/vnd.openxmlformats-officedocument.drawing+xml"/>
  <Override PartName="/xl/charts/chart1.xml" ContentType="application/vnd.openxmlformats-officedocument.drawingml.chart+xml"/>
  <Override PartName="/xl/comments6.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codeName="ThisWorkbook"/>
  <mc:AlternateContent xmlns:mc="http://schemas.openxmlformats.org/markup-compatibility/2006">
    <mc:Choice Requires="x15">
      <x15ac:absPath xmlns:x15ac="http://schemas.microsoft.com/office/spreadsheetml/2010/11/ac" url="https://usepa-my.sharepoint.com/personal/carroll_zane_epa_gov/Documents/ORD/COMET/COMET_NYC_v16.0.1/COMET_NYC_v16.0.1/"/>
    </mc:Choice>
  </mc:AlternateContent>
  <xr:revisionPtr revIDLastSave="9" documentId="13_ncr:1_{306D4FBC-5B9A-4C9E-92CB-F7BC45F47B78}" xr6:coauthVersionLast="47" xr6:coauthVersionMax="47" xr10:uidLastSave="{04E756C7-D068-4E57-B8F0-35926C66F57C}"/>
  <bookViews>
    <workbookView xWindow="53880" yWindow="-120" windowWidth="29040" windowHeight="15720" tabRatio="877" xr2:uid="{00000000-000D-0000-FFFF-FFFF00000000}"/>
  </bookViews>
  <sheets>
    <sheet name="Fractions10" sheetId="55" r:id="rId1"/>
    <sheet name="Commodities" sheetId="10" r:id="rId2"/>
    <sheet name="Technologies" sheetId="11" r:id="rId3"/>
    <sheet name="TechData_R0" sheetId="12" r:id="rId4"/>
    <sheet name="TechData_DelOILNYC" sheetId="58" r:id="rId5"/>
    <sheet name="Domestic Crude Oil CUM" sheetId="52" r:id="rId6"/>
    <sheet name="Domestic Crude Oil Prices" sheetId="50" r:id="rId7"/>
    <sheet name="Agg prdcrv" sheetId="24" r:id="rId8"/>
    <sheet name="Agg prdcrv NYC" sheetId="56" r:id="rId9"/>
    <sheet name="AEO 2012 prdcrv" sheetId="25" r:id="rId10"/>
    <sheet name="Imp Refined NYC" sheetId="57" r:id="rId11"/>
    <sheet name="Imp Crude" sheetId="26" r:id="rId12"/>
    <sheet name="Agg crdcrv" sheetId="27" r:id="rId13"/>
    <sheet name="AEO 2012 crdcrv" sheetId="28" r:id="rId14"/>
    <sheet name="Imported Price Trends" sheetId="48" r:id="rId15"/>
    <sheet name="DelivOIL" sheetId="44" r:id="rId16"/>
    <sheet name="OILTrade" sheetId="45" r:id="rId17"/>
    <sheet name="Emissions" sheetId="47" r:id="rId18"/>
    <sheet name="Types" sheetId="22" r:id="rId19"/>
    <sheet name="Conv" sheetId="19" r:id="rId20"/>
  </sheets>
  <externalReferences>
    <externalReference r:id="rId21"/>
    <externalReference r:id="rId22"/>
    <externalReference r:id="rId23"/>
    <externalReference r:id="rId24"/>
  </externalReferences>
  <definedNames>
    <definedName name="_xlnm._FilterDatabase" localSheetId="0" hidden="1">Fractions10!$A$7:$AU$7</definedName>
    <definedName name="_xlnm._FilterDatabase" localSheetId="4" hidden="1">TechData_DelOILNYC!$B$5:$S$999</definedName>
    <definedName name="_xlnm._FilterDatabase" localSheetId="3" hidden="1">TechData_R0!$B$233:$BB$515</definedName>
    <definedName name="AnswerData" localSheetId="8">#REF!</definedName>
    <definedName name="AnswerData" localSheetId="19">#REF!</definedName>
    <definedName name="AnswerData" localSheetId="10">#REF!</definedName>
    <definedName name="AnswerData" localSheetId="4">#REF!</definedName>
    <definedName name="AnswerData">#REF!</definedName>
    <definedName name="BDSEFF" comment="Biomass Dutch Oven/Susp. Burner Boiler Efficiency">[1]TechInfo!$J$33</definedName>
    <definedName name="BFBEFF" comment="Boiler Fluidized Bed Boiler Efficiency">[1]TechInfo!$J$32</definedName>
    <definedName name="BFCEFF" comment="Biomass Fuel Cell Boiler Efficiency">[1]TechInfo!$J$34</definedName>
    <definedName name="blah">#REF!</definedName>
    <definedName name="bprint" localSheetId="8">#REF!</definedName>
    <definedName name="bprint" localSheetId="10">#REF!</definedName>
    <definedName name="bprint" localSheetId="4">#REF!</definedName>
    <definedName name="bprint">#REF!</definedName>
    <definedName name="BSGEFF" comment="Biomass Suspension Grate Boiler Efficiency">[1]TechInfo!$J$35</definedName>
    <definedName name="BSOEFF" comment="Boiler Stoker/Sloped Grate/Other Boiler">[1]TechInfo!$J$31</definedName>
    <definedName name="BST_AF">[1]CHPData!$B$40</definedName>
    <definedName name="BST2_INV" comment="Boiler/Steam Turbine System 2 INVCOST">[1]CHPData!$C$66</definedName>
    <definedName name="BST3_INV" comment="Boiler/Steam Turbine System 3 INVCOST">[1]CHPData!$D$66</definedName>
    <definedName name="CCT_AF">[1]CHPData!$B$81</definedName>
    <definedName name="CCT2_INV" comment="Combined Cycle/Combustion Turbine System 2 INVCOST">[1]CHPData!$C$91</definedName>
    <definedName name="CCT3_INV" comment="Combined Cycle/Combustion Turbine System 3 INVCOST">[1]CHPData!$D$91</definedName>
    <definedName name="CCT4_INV" comment="Combined Cycle/Combustion Turbine System 4 INVCOST">[1]CHPData!$E$91</definedName>
    <definedName name="CCT5_INV" comment="Combined Cycle/Combustion Turbine System 5 INVCOST">[1]CHPData!$F$91</definedName>
    <definedName name="CFBEFF" comment="Coal Fluidized Bed Boiler Efficiency">[1]TechInfo!$J$29</definedName>
    <definedName name="CMM_SUPPLY_CRV_TABLE" localSheetId="8">[2]cum2025curves!#REF!</definedName>
    <definedName name="CMM_SUPPLY_CRV_TABLE" localSheetId="10">[2]cum2025curves!#REF!</definedName>
    <definedName name="CMM_SUPPLY_CRV_TABLE" localSheetId="4">[2]cum2025curves!#REF!</definedName>
    <definedName name="CMM_SUPPLY_CRV_TABLE">[2]cum2025curves!#REF!</definedName>
    <definedName name="cprint" localSheetId="8">#REF!</definedName>
    <definedName name="cprint" localSheetId="10">#REF!</definedName>
    <definedName name="cprint" localSheetId="4">#REF!</definedName>
    <definedName name="cprint">#REF!</definedName>
    <definedName name="CPVEFF" comment="Pulverized coal boiler efficiency">[1]TechInfo!$J$27</definedName>
    <definedName name="CSOEFF" comment="Coal Stoker/Sloped Grate/Other Boiler Efficiency">[1]TechInfo!$J$28</definedName>
    <definedName name="DSTEFF" comment="Distillate Fuel Oil Boiler Efficiency">[1]TechInfo!$J$37</definedName>
    <definedName name="exch_rate" localSheetId="8">#REF!</definedName>
    <definedName name="exch_rate" localSheetId="19">#REF!</definedName>
    <definedName name="exch_rate" localSheetId="10">#REF!</definedName>
    <definedName name="exch_rate" localSheetId="4">#REF!</definedName>
    <definedName name="exch_rate">#REF!</definedName>
    <definedName name="FCL_AF">[1]CHPData!$B$154</definedName>
    <definedName name="FCL2_INV" comment="Fuel Cell System 2 INVCOST">[1]CHPData!$C$163</definedName>
    <definedName name="FCL3_INV" comment="Fuel Cell System 3 INVCOST">[1]CHPData!$D$163</definedName>
    <definedName name="fitfile">[3]MODEL!$D$38</definedName>
    <definedName name="INF">[3]MODEL!$H$14</definedName>
    <definedName name="million_short_tons_to_short_ton">[4]Steps!$Y$5</definedName>
    <definedName name="MMBTU_to_PJ">[4]Steps!$Y$6</definedName>
    <definedName name="MT2_INV" comment="Microturbine System 2 INVCOST">[1]CHPData!$C$141</definedName>
    <definedName name="MT3_INV" comment="Microturbine System 3 INVCOST">[1]CHPData!$D$141</definedName>
    <definedName name="neb">#REF!</definedName>
    <definedName name="PPP">[3]MODEL!$D$12</definedName>
    <definedName name="PPPEX">[3]MODEL!$D$13</definedName>
    <definedName name="_xlnm.Print_Titles" localSheetId="16">OILTrade!$41:$42</definedName>
    <definedName name="rail_coal" localSheetId="8">#REF!</definedName>
    <definedName name="rail_coal" localSheetId="19">#REF!</definedName>
    <definedName name="rail_coal" localSheetId="10">#REF!</definedName>
    <definedName name="rail_coal" localSheetId="4">#REF!</definedName>
    <definedName name="rail_coal">#REF!</definedName>
    <definedName name="REG1_AF">[1]CHPData!$B$107</definedName>
    <definedName name="REG1_INV" comment="Reciprocating Engine System 1 INVCOST">[1]CHPData!$B$117</definedName>
    <definedName name="REG2_AF" comment="Reciprocating Engine System 2 Availability Factor">[1]CHPData!$C$107</definedName>
    <definedName name="REG3_AF" comment="Reciprocating Engine System 3 Availability Factor">[1]CHPData!$D$107</definedName>
    <definedName name="REG3_INV" comment="Reciprocating Engine System 3 INVCOST">[1]CHPData!$D$117</definedName>
    <definedName name="REG4_AF" comment="Reciprocating Engine System 4 Availability Factor">[1]CHPData!$E$107</definedName>
    <definedName name="REG5_AF" comment="Reciprocating Engine System 5 Availability Factor">[1]CHPData!$F$107</definedName>
    <definedName name="REG5_INV" comment="Reciprocating Engine System 5 INVCOST">[1]CHPData!$F$117</definedName>
    <definedName name="RFLEFF" comment="Residual Fuel Oil Boiler Efficiency">[1]TechInfo!$J$36</definedName>
  </definedNames>
  <calcPr calcId="191029"/>
  <pivotCaches>
    <pivotCache cacheId="0" r:id="rId25"/>
    <pivotCache cacheId="1" r:id="rId26"/>
    <pivotCache cacheId="2" r:id="rId27"/>
    <pivotCache cacheId="3" r:id="rId28"/>
    <pivotCache cacheId="4" r:id="rId29"/>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20" i="12" l="1"/>
  <c r="B176" i="58"/>
  <c r="B122" i="10"/>
  <c r="B93" i="10"/>
  <c r="B30" i="11"/>
  <c r="B24" i="11" l="1"/>
  <c r="B25" i="11"/>
  <c r="B26" i="11"/>
  <c r="B27" i="11"/>
  <c r="B28" i="11"/>
  <c r="B29" i="11"/>
  <c r="H168" i="58"/>
  <c r="H38" i="58" s="1"/>
  <c r="H563" i="58"/>
  <c r="D7" i="58"/>
  <c r="D8" i="58"/>
  <c r="D9" i="58"/>
  <c r="D10" i="58"/>
  <c r="D11" i="58"/>
  <c r="B8" i="58"/>
  <c r="C8" i="58"/>
  <c r="B9" i="58"/>
  <c r="C9" i="58"/>
  <c r="B10" i="58"/>
  <c r="C10" i="58"/>
  <c r="B11" i="58"/>
  <c r="C11" i="58"/>
  <c r="C7" i="58"/>
  <c r="B19" i="11"/>
  <c r="B7" i="58" s="1"/>
  <c r="C765" i="11"/>
  <c r="C740" i="11"/>
  <c r="C737" i="58" s="1"/>
  <c r="C715" i="11"/>
  <c r="B755" i="11"/>
  <c r="B754" i="11"/>
  <c r="B753" i="11"/>
  <c r="B748" i="11"/>
  <c r="B747" i="11"/>
  <c r="B730" i="11"/>
  <c r="B729" i="11"/>
  <c r="B728" i="11"/>
  <c r="B723" i="11"/>
  <c r="B722" i="11"/>
  <c r="E27" i="58"/>
  <c r="F27" i="58" s="1"/>
  <c r="D27" i="58" s="1"/>
  <c r="D195" i="11" s="1"/>
  <c r="E28" i="58"/>
  <c r="C28" i="58" s="1"/>
  <c r="C196" i="11" s="1"/>
  <c r="E29" i="58"/>
  <c r="C29" i="58" s="1"/>
  <c r="C197" i="11" s="1"/>
  <c r="E30" i="58"/>
  <c r="C30" i="58" s="1"/>
  <c r="C198" i="11" s="1"/>
  <c r="E31" i="58"/>
  <c r="C31" i="58" s="1"/>
  <c r="C199" i="11" s="1"/>
  <c r="E26" i="58"/>
  <c r="C26" i="58" s="1"/>
  <c r="C194" i="11" s="1"/>
  <c r="AF13" i="57"/>
  <c r="B170" i="12"/>
  <c r="C13" i="26"/>
  <c r="B83" i="10"/>
  <c r="B78" i="10"/>
  <c r="C28" i="11" l="1"/>
  <c r="C24" i="11"/>
  <c r="C29" i="11"/>
  <c r="C27" i="11"/>
  <c r="C26" i="11"/>
  <c r="D25" i="11"/>
  <c r="C787" i="58"/>
  <c r="C868" i="58"/>
  <c r="C893" i="58"/>
  <c r="C993" i="58"/>
  <c r="C968" i="58"/>
  <c r="C943" i="58"/>
  <c r="C918" i="58"/>
  <c r="C812" i="58"/>
  <c r="C712" i="58"/>
  <c r="C837" i="58"/>
  <c r="C762" i="58"/>
  <c r="C27" i="58"/>
  <c r="F30" i="58"/>
  <c r="D30" i="58" s="1"/>
  <c r="F26" i="58"/>
  <c r="D26" i="58" s="1"/>
  <c r="F31" i="58"/>
  <c r="D31" i="58" s="1"/>
  <c r="F28" i="58"/>
  <c r="D28" i="58" s="1"/>
  <c r="F29" i="58"/>
  <c r="D29" i="58" s="1"/>
  <c r="B18" i="11"/>
  <c r="D198" i="11" l="1"/>
  <c r="D28" i="11"/>
  <c r="D196" i="11"/>
  <c r="D26" i="11"/>
  <c r="D199" i="11"/>
  <c r="D29" i="11"/>
  <c r="D194" i="11"/>
  <c r="D24" i="11"/>
  <c r="D197" i="11"/>
  <c r="D27" i="11"/>
  <c r="C195" i="11"/>
  <c r="C25" i="11"/>
  <c r="E873" i="58"/>
  <c r="F893" i="58"/>
  <c r="F868" i="58" s="1"/>
  <c r="F918" i="58"/>
  <c r="F943" i="58"/>
  <c r="F968" i="58"/>
  <c r="F993" i="58"/>
  <c r="F737" i="58"/>
  <c r="F712" i="58" s="1"/>
  <c r="F762" i="58"/>
  <c r="F787" i="58"/>
  <c r="F812" i="58"/>
  <c r="F837" i="58"/>
  <c r="B1267" i="11"/>
  <c r="B1266" i="11"/>
  <c r="B1265" i="11"/>
  <c r="B1260" i="11"/>
  <c r="B1259" i="11"/>
  <c r="F597" i="58"/>
  <c r="F576" i="58" s="1"/>
  <c r="F618" i="58"/>
  <c r="F639" i="58"/>
  <c r="F660" i="58"/>
  <c r="F681" i="58"/>
  <c r="B192" i="11"/>
  <c r="B191" i="11"/>
  <c r="B190" i="11"/>
  <c r="B189" i="11"/>
  <c r="B188" i="11"/>
  <c r="B91" i="10"/>
  <c r="B568" i="11"/>
  <c r="B567" i="11"/>
  <c r="B566" i="11"/>
  <c r="B565" i="11"/>
  <c r="B564" i="11"/>
  <c r="B563" i="11"/>
  <c r="B562" i="11"/>
  <c r="B561" i="11"/>
  <c r="B560" i="11"/>
  <c r="B559" i="11"/>
  <c r="B558" i="11"/>
  <c r="B557" i="11"/>
  <c r="B556" i="11"/>
  <c r="B555" i="11"/>
  <c r="B554" i="11"/>
  <c r="B553" i="11"/>
  <c r="B552" i="11"/>
  <c r="B551" i="11"/>
  <c r="B550" i="11"/>
  <c r="B549" i="11"/>
  <c r="B548" i="11"/>
  <c r="B547" i="11"/>
  <c r="B546" i="11"/>
  <c r="B545" i="11"/>
  <c r="B544" i="11"/>
  <c r="B543" i="11"/>
  <c r="B542" i="11"/>
  <c r="B541" i="11"/>
  <c r="B540" i="11"/>
  <c r="B539" i="11"/>
  <c r="B538" i="11"/>
  <c r="B537" i="11"/>
  <c r="B536" i="11"/>
  <c r="B535" i="11"/>
  <c r="B534" i="11"/>
  <c r="B533" i="11"/>
  <c r="B532" i="11"/>
  <c r="B531" i="11"/>
  <c r="B530" i="11"/>
  <c r="B529" i="11"/>
  <c r="B225" i="11"/>
  <c r="B224" i="11"/>
  <c r="B223" i="11"/>
  <c r="B222" i="11"/>
  <c r="B221" i="11"/>
  <c r="B528" i="11"/>
  <c r="B527" i="11"/>
  <c r="B526" i="11"/>
  <c r="B525" i="11"/>
  <c r="B524" i="11"/>
  <c r="B523" i="11"/>
  <c r="B522" i="11"/>
  <c r="B521" i="11"/>
  <c r="B520" i="11"/>
  <c r="B519" i="11"/>
  <c r="B516" i="11"/>
  <c r="B515" i="11"/>
  <c r="B514" i="11"/>
  <c r="B513" i="11"/>
  <c r="B512" i="11"/>
  <c r="B511" i="11"/>
  <c r="B510" i="11"/>
  <c r="B509" i="11"/>
  <c r="B508" i="11"/>
  <c r="B507" i="11"/>
  <c r="B506" i="11"/>
  <c r="B505" i="11"/>
  <c r="B504" i="11"/>
  <c r="B503" i="11"/>
  <c r="B502" i="11"/>
  <c r="B501" i="11"/>
  <c r="B500" i="11"/>
  <c r="B499" i="11"/>
  <c r="B498" i="11"/>
  <c r="B497" i="11"/>
  <c r="B496" i="11"/>
  <c r="B495" i="11"/>
  <c r="B494" i="11"/>
  <c r="B493" i="11"/>
  <c r="B492" i="11"/>
  <c r="B491" i="11"/>
  <c r="B490" i="11"/>
  <c r="B489" i="11"/>
  <c r="B488" i="11"/>
  <c r="B487" i="11"/>
  <c r="B486" i="11"/>
  <c r="B485" i="11"/>
  <c r="B484" i="11"/>
  <c r="B483" i="11"/>
  <c r="B482" i="11"/>
  <c r="B481" i="11"/>
  <c r="B480" i="11"/>
  <c r="B479" i="11"/>
  <c r="B478" i="11"/>
  <c r="B477" i="11"/>
  <c r="B215" i="11"/>
  <c r="B214" i="11"/>
  <c r="B213" i="11"/>
  <c r="B212" i="11"/>
  <c r="B211" i="11"/>
  <c r="B476" i="11"/>
  <c r="B475" i="11"/>
  <c r="B474" i="11"/>
  <c r="B473" i="11"/>
  <c r="B472" i="11"/>
  <c r="B471" i="11"/>
  <c r="B470" i="11"/>
  <c r="B469" i="11"/>
  <c r="B468" i="11"/>
  <c r="B467" i="11"/>
  <c r="B464" i="11"/>
  <c r="B463" i="11"/>
  <c r="B462" i="11"/>
  <c r="B461" i="11"/>
  <c r="B460" i="11"/>
  <c r="B459" i="11"/>
  <c r="B458" i="11"/>
  <c r="B457" i="11"/>
  <c r="B456" i="11"/>
  <c r="B455" i="11"/>
  <c r="B454" i="11"/>
  <c r="B453" i="11"/>
  <c r="B452" i="11"/>
  <c r="B451" i="11"/>
  <c r="B450" i="11"/>
  <c r="B449" i="11"/>
  <c r="B448" i="11"/>
  <c r="B447" i="11"/>
  <c r="B446" i="11"/>
  <c r="B445" i="11"/>
  <c r="B444" i="11"/>
  <c r="B443" i="11"/>
  <c r="B442" i="11"/>
  <c r="B441" i="11"/>
  <c r="B440" i="11"/>
  <c r="B439" i="11"/>
  <c r="B438" i="11"/>
  <c r="B437" i="11"/>
  <c r="B436" i="11"/>
  <c r="B435" i="11"/>
  <c r="B434" i="11"/>
  <c r="B433" i="11"/>
  <c r="B432" i="11"/>
  <c r="B431" i="11"/>
  <c r="B430" i="11"/>
  <c r="B429" i="11"/>
  <c r="B428" i="11"/>
  <c r="B427" i="11"/>
  <c r="B426" i="11"/>
  <c r="B425" i="11"/>
  <c r="B210" i="11"/>
  <c r="B209" i="11"/>
  <c r="B208" i="11"/>
  <c r="B207" i="11"/>
  <c r="B206" i="11"/>
  <c r="B424" i="11"/>
  <c r="B423" i="11"/>
  <c r="B422" i="11"/>
  <c r="B421" i="11"/>
  <c r="B420" i="11"/>
  <c r="B419" i="11"/>
  <c r="B418" i="11"/>
  <c r="B417" i="11"/>
  <c r="B416" i="11"/>
  <c r="B415" i="11"/>
  <c r="B19" i="12"/>
  <c r="B13" i="11"/>
  <c r="B12" i="11"/>
  <c r="B11" i="11"/>
  <c r="B10" i="11"/>
  <c r="B9" i="11"/>
  <c r="B184" i="11"/>
  <c r="B183" i="11"/>
  <c r="B182" i="11"/>
  <c r="B179" i="11"/>
  <c r="B178" i="11"/>
  <c r="B177" i="11"/>
  <c r="B174" i="11"/>
  <c r="B173" i="11"/>
  <c r="B172" i="11"/>
  <c r="B169" i="11"/>
  <c r="B168" i="11"/>
  <c r="B167" i="11"/>
  <c r="B164" i="11"/>
  <c r="B163" i="11"/>
  <c r="B162" i="11"/>
  <c r="F167" i="12" l="1"/>
  <c r="F172" i="12" s="1"/>
  <c r="F177" i="12" s="1"/>
  <c r="F182" i="12" s="1"/>
  <c r="F187" i="12" s="1"/>
  <c r="B191" i="12" l="1"/>
  <c r="B190" i="12"/>
  <c r="B189" i="12"/>
  <c r="B188" i="12"/>
  <c r="B187" i="12"/>
  <c r="B186" i="12"/>
  <c r="B185" i="12"/>
  <c r="B184" i="12"/>
  <c r="B183" i="12"/>
  <c r="B182" i="12"/>
  <c r="B181" i="12"/>
  <c r="B180" i="12"/>
  <c r="B179" i="12"/>
  <c r="B178" i="12"/>
  <c r="B177" i="12"/>
  <c r="B176" i="12"/>
  <c r="B175" i="12"/>
  <c r="B174" i="12"/>
  <c r="B173" i="12"/>
  <c r="B172" i="12"/>
  <c r="B171" i="12"/>
  <c r="B169" i="12"/>
  <c r="B168" i="12"/>
  <c r="B167" i="12"/>
  <c r="B108" i="12"/>
  <c r="B107" i="12"/>
  <c r="B106" i="12"/>
  <c r="B105" i="12"/>
  <c r="B104" i="12"/>
  <c r="B103" i="12"/>
  <c r="B102" i="12"/>
  <c r="B101" i="12"/>
  <c r="B100" i="12"/>
  <c r="B99" i="12"/>
  <c r="B98" i="12"/>
  <c r="B97" i="12"/>
  <c r="B96" i="12"/>
  <c r="B95" i="12"/>
  <c r="B94" i="12"/>
  <c r="B93" i="12"/>
  <c r="B92" i="12"/>
  <c r="B91" i="12"/>
  <c r="B90" i="12"/>
  <c r="B89" i="12"/>
  <c r="B88" i="12"/>
  <c r="B87" i="12"/>
  <c r="B86" i="12"/>
  <c r="B85" i="12"/>
  <c r="B84" i="12"/>
  <c r="B82" i="12"/>
  <c r="B81" i="12"/>
  <c r="B80" i="12"/>
  <c r="B79" i="12"/>
  <c r="B78" i="12"/>
  <c r="B77" i="12"/>
  <c r="B76" i="12"/>
  <c r="B75" i="12"/>
  <c r="B74" i="12"/>
  <c r="B73" i="12"/>
  <c r="B72" i="12"/>
  <c r="B71" i="12"/>
  <c r="B70" i="12"/>
  <c r="B69" i="12"/>
  <c r="B68" i="12"/>
  <c r="B67" i="12"/>
  <c r="B66" i="12"/>
  <c r="B65" i="12"/>
  <c r="B64" i="12"/>
  <c r="B63" i="12"/>
  <c r="B62" i="12"/>
  <c r="B61" i="12"/>
  <c r="B60" i="12"/>
  <c r="B59" i="12"/>
  <c r="B58" i="12"/>
  <c r="B56" i="12"/>
  <c r="B55" i="12"/>
  <c r="B54" i="12"/>
  <c r="B53" i="12"/>
  <c r="B52" i="12"/>
  <c r="B51" i="12"/>
  <c r="B50" i="12"/>
  <c r="B49" i="12"/>
  <c r="B48" i="12"/>
  <c r="B47" i="12"/>
  <c r="B46" i="12"/>
  <c r="B45" i="12"/>
  <c r="B44" i="12"/>
  <c r="B43" i="12"/>
  <c r="B42" i="12"/>
  <c r="B41" i="12"/>
  <c r="B40" i="12"/>
  <c r="B39" i="12"/>
  <c r="B38" i="12"/>
  <c r="B37" i="12"/>
  <c r="B36" i="12"/>
  <c r="B35" i="12"/>
  <c r="B34" i="12"/>
  <c r="B33" i="12"/>
  <c r="B32" i="12"/>
  <c r="F393" i="58" l="1"/>
  <c r="F367" i="58"/>
  <c r="F341" i="58"/>
  <c r="F315" i="58"/>
  <c r="F289" i="58"/>
  <c r="F263" i="58"/>
  <c r="F238" i="58"/>
  <c r="F212" i="58"/>
  <c r="F186" i="58"/>
  <c r="F160" i="58"/>
  <c r="F134" i="58"/>
  <c r="F108" i="58"/>
  <c r="F82" i="58"/>
  <c r="F56" i="58"/>
  <c r="B21" i="58"/>
  <c r="F20" i="58"/>
  <c r="D20" i="58"/>
  <c r="B20" i="58"/>
  <c r="F19" i="58"/>
  <c r="D19" i="58"/>
  <c r="B19" i="58"/>
  <c r="F18" i="58"/>
  <c r="D18" i="58"/>
  <c r="B18" i="58"/>
  <c r="F17" i="58"/>
  <c r="E17" i="58"/>
  <c r="D17" i="58"/>
  <c r="B17" i="58"/>
  <c r="F11" i="58"/>
  <c r="E11" i="58"/>
  <c r="F10" i="58"/>
  <c r="E10" i="58"/>
  <c r="F9" i="58"/>
  <c r="E9" i="58"/>
  <c r="F8" i="58"/>
  <c r="E8" i="58"/>
  <c r="F7" i="58"/>
  <c r="E7" i="58"/>
  <c r="B705" i="11" l="1"/>
  <c r="B704" i="11"/>
  <c r="B703" i="11"/>
  <c r="B702" i="11"/>
  <c r="B976" i="58" l="1"/>
  <c r="B951" i="58"/>
  <c r="B926" i="58"/>
  <c r="B901" i="58"/>
  <c r="B876" i="58"/>
  <c r="B851" i="58"/>
  <c r="B820" i="58"/>
  <c r="B795" i="58"/>
  <c r="B770" i="58"/>
  <c r="B745" i="58"/>
  <c r="B720" i="58"/>
  <c r="B695" i="58"/>
  <c r="B584" i="58"/>
  <c r="B605" i="58"/>
  <c r="B626" i="58"/>
  <c r="B647" i="58"/>
  <c r="B668" i="58"/>
  <c r="B564" i="58"/>
  <c r="B975" i="58"/>
  <c r="B950" i="58"/>
  <c r="B925" i="58"/>
  <c r="B900" i="58"/>
  <c r="B875" i="58"/>
  <c r="B850" i="58"/>
  <c r="B819" i="58"/>
  <c r="B794" i="58"/>
  <c r="B769" i="58"/>
  <c r="B744" i="58"/>
  <c r="B719" i="58"/>
  <c r="B694" i="58"/>
  <c r="B583" i="58"/>
  <c r="B604" i="58"/>
  <c r="B625" i="58"/>
  <c r="B646" i="58"/>
  <c r="B667" i="58"/>
  <c r="B563" i="58"/>
  <c r="B1375" i="11" l="1"/>
  <c r="B81" i="10"/>
  <c r="B1373" i="11" s="1"/>
  <c r="B80" i="10"/>
  <c r="B1372" i="11" s="1"/>
  <c r="B79" i="10"/>
  <c r="B1449" i="11" s="1"/>
  <c r="B1370" i="11"/>
  <c r="B77" i="10"/>
  <c r="B1447" i="11" s="1"/>
  <c r="B76" i="10"/>
  <c r="B1407" i="11" s="1"/>
  <c r="B1445" i="11"/>
  <c r="B1286" i="11"/>
  <c r="B1441" i="11"/>
  <c r="B2183" i="11"/>
  <c r="B2182" i="11"/>
  <c r="B2181" i="11"/>
  <c r="B2180" i="11"/>
  <c r="B2179" i="11"/>
  <c r="B2178" i="11"/>
  <c r="B2177" i="11"/>
  <c r="B2176" i="11"/>
  <c r="B2175" i="11"/>
  <c r="B2174" i="11"/>
  <c r="B2173" i="11"/>
  <c r="B2172" i="11"/>
  <c r="B2171" i="11"/>
  <c r="B2170" i="11"/>
  <c r="B2169" i="11"/>
  <c r="B2168" i="11"/>
  <c r="B2167" i="11"/>
  <c r="B2166" i="11"/>
  <c r="B2165" i="11"/>
  <c r="B2164" i="11"/>
  <c r="B2163" i="11"/>
  <c r="B2162" i="11"/>
  <c r="B2161" i="11"/>
  <c r="B2160" i="11"/>
  <c r="B2159" i="11"/>
  <c r="B2158" i="11"/>
  <c r="B2157" i="11"/>
  <c r="B2156" i="11"/>
  <c r="B2155" i="11"/>
  <c r="B2154" i="11"/>
  <c r="B2153" i="11"/>
  <c r="B2152" i="11"/>
  <c r="B2151" i="11"/>
  <c r="B2150" i="11"/>
  <c r="B2149" i="11"/>
  <c r="B2148" i="11"/>
  <c r="B2147" i="11"/>
  <c r="B2146" i="11"/>
  <c r="B2145" i="11"/>
  <c r="B2144" i="11"/>
  <c r="B2143" i="11"/>
  <c r="B2142" i="11"/>
  <c r="B2141" i="11"/>
  <c r="B2140" i="11"/>
  <c r="B2139" i="11"/>
  <c r="B2138" i="11"/>
  <c r="B2137" i="11"/>
  <c r="B2136" i="11"/>
  <c r="B2135" i="11"/>
  <c r="B2134" i="11"/>
  <c r="B2133" i="11"/>
  <c r="B2132" i="11"/>
  <c r="B2131" i="11"/>
  <c r="B2130" i="11"/>
  <c r="B2129" i="11"/>
  <c r="B2128" i="11"/>
  <c r="B2127" i="11"/>
  <c r="B2126" i="11"/>
  <c r="B2125" i="11"/>
  <c r="B2124" i="11"/>
  <c r="B2123" i="11"/>
  <c r="B2122" i="11"/>
  <c r="B2121" i="11"/>
  <c r="B2120" i="11"/>
  <c r="B2119" i="11"/>
  <c r="B2118" i="11"/>
  <c r="B2117" i="11"/>
  <c r="B2116" i="11"/>
  <c r="B2115" i="11"/>
  <c r="B2114" i="11"/>
  <c r="B2113" i="11"/>
  <c r="B2112" i="11"/>
  <c r="B2111" i="11"/>
  <c r="B2110" i="11"/>
  <c r="B2109" i="11"/>
  <c r="B2108" i="11"/>
  <c r="B2107" i="11"/>
  <c r="B2106" i="11"/>
  <c r="B2105" i="11"/>
  <c r="B2104" i="11"/>
  <c r="B2103" i="11"/>
  <c r="B2102" i="11"/>
  <c r="B2101" i="11"/>
  <c r="B2100" i="11"/>
  <c r="B2099" i="11"/>
  <c r="B2098" i="11"/>
  <c r="B2097" i="11"/>
  <c r="B2096" i="11"/>
  <c r="B2095" i="11"/>
  <c r="B2094" i="11"/>
  <c r="B2093" i="11"/>
  <c r="B1975" i="11"/>
  <c r="B1974" i="11"/>
  <c r="B1973" i="11"/>
  <c r="B1972" i="11"/>
  <c r="B1971" i="11"/>
  <c r="B1970" i="11"/>
  <c r="B1969" i="11"/>
  <c r="B1968" i="11"/>
  <c r="B1967" i="11"/>
  <c r="B1966" i="11"/>
  <c r="B1965" i="11"/>
  <c r="B1964" i="11"/>
  <c r="B1963" i="11"/>
  <c r="B1962" i="11"/>
  <c r="B1961" i="11"/>
  <c r="B1960" i="11"/>
  <c r="B1959" i="11"/>
  <c r="B1958" i="11"/>
  <c r="B1957" i="11"/>
  <c r="B1956" i="11"/>
  <c r="B1955" i="11"/>
  <c r="B1954" i="11"/>
  <c r="B1953" i="11"/>
  <c r="B1952" i="11"/>
  <c r="B1951" i="11"/>
  <c r="B1950" i="11"/>
  <c r="B1452" i="11"/>
  <c r="B1444" i="11"/>
  <c r="B1443" i="11"/>
  <c r="B1413" i="11"/>
  <c r="B1404" i="11"/>
  <c r="B1387" i="11"/>
  <c r="B1379" i="11"/>
  <c r="B1378" i="11"/>
  <c r="B1377" i="11"/>
  <c r="B1374" i="11"/>
  <c r="B1367" i="11"/>
  <c r="B1366" i="11"/>
  <c r="B1365" i="11"/>
  <c r="B1364" i="11"/>
  <c r="B1363" i="11"/>
  <c r="B1296" i="11"/>
  <c r="B1289" i="11"/>
  <c r="B1288" i="11"/>
  <c r="B1287" i="11"/>
  <c r="B168" i="10"/>
  <c r="B1440" i="11" s="1"/>
  <c r="B2079" i="11" s="1"/>
  <c r="B167" i="10"/>
  <c r="B359" i="11" s="1"/>
  <c r="B166" i="10"/>
  <c r="B1425" i="11" s="1"/>
  <c r="B2064" i="11" s="1"/>
  <c r="B165" i="10"/>
  <c r="B1437" i="11" s="1"/>
  <c r="B2076" i="11" s="1"/>
  <c r="B164" i="10"/>
  <c r="B1423" i="11" s="1"/>
  <c r="B2062" i="11" s="1"/>
  <c r="B163" i="10"/>
  <c r="B1422" i="11" s="1"/>
  <c r="B2061" i="11" s="1"/>
  <c r="B162" i="10"/>
  <c r="B1421" i="11" s="1"/>
  <c r="B2060" i="11" s="1"/>
  <c r="B161" i="10"/>
  <c r="B1433" i="11" s="1"/>
  <c r="B2072" i="11" s="1"/>
  <c r="B160" i="10"/>
  <c r="B159" i="10"/>
  <c r="B158" i="10"/>
  <c r="B1417" i="11" s="1"/>
  <c r="B2056" i="11" s="1"/>
  <c r="B157" i="10"/>
  <c r="B156" i="10"/>
  <c r="B155" i="10"/>
  <c r="B1401" i="11" s="1"/>
  <c r="B2040" i="11" s="1"/>
  <c r="B154" i="10"/>
  <c r="B334" i="11" s="1"/>
  <c r="B153" i="10"/>
  <c r="B1399" i="11" s="1"/>
  <c r="B2038" i="11" s="1"/>
  <c r="B152" i="10"/>
  <c r="B1398" i="11" s="1"/>
  <c r="B2037" i="11" s="1"/>
  <c r="B151" i="10"/>
  <c r="B1397" i="11" s="1"/>
  <c r="B2036" i="11" s="1"/>
  <c r="B150" i="10"/>
  <c r="B1396" i="11" s="1"/>
  <c r="B2035" i="11" s="1"/>
  <c r="B149" i="10"/>
  <c r="B1395" i="11" s="1"/>
  <c r="B2034" i="11" s="1"/>
  <c r="B148" i="10"/>
  <c r="B1394" i="11" s="1"/>
  <c r="B2033" i="11" s="1"/>
  <c r="B147" i="10"/>
  <c r="B146" i="10"/>
  <c r="B145" i="10"/>
  <c r="B1391" i="11" s="1"/>
  <c r="B2030" i="11" s="1"/>
  <c r="B144" i="10"/>
  <c r="B143" i="10"/>
  <c r="B142" i="10"/>
  <c r="B1349" i="11" s="1"/>
  <c r="B141" i="10"/>
  <c r="B309" i="11" s="1"/>
  <c r="B140" i="10"/>
  <c r="B1347" i="11" s="1"/>
  <c r="B1986" i="11" s="1"/>
  <c r="B139" i="10"/>
  <c r="B1346" i="11" s="1"/>
  <c r="B1985" i="11" s="1"/>
  <c r="B138" i="10"/>
  <c r="B1345" i="11" s="1"/>
  <c r="B137" i="10"/>
  <c r="B1344" i="11" s="1"/>
  <c r="B1983" i="11" s="1"/>
  <c r="B136" i="10"/>
  <c r="B1343" i="11" s="1"/>
  <c r="B1982" i="11" s="1"/>
  <c r="B135" i="10"/>
  <c r="B1342" i="11" s="1"/>
  <c r="B1981" i="11" s="1"/>
  <c r="B134" i="10"/>
  <c r="B133" i="10"/>
  <c r="B132" i="10"/>
  <c r="B1339" i="11" s="1"/>
  <c r="B1978" i="11" s="1"/>
  <c r="B131" i="10"/>
  <c r="B130" i="10"/>
  <c r="B129" i="10"/>
  <c r="B1310" i="11" s="1"/>
  <c r="B1949" i="11" s="1"/>
  <c r="B128" i="10"/>
  <c r="B284" i="11" s="1"/>
  <c r="B127" i="10"/>
  <c r="B1308" i="11" s="1"/>
  <c r="B1947" i="11" s="1"/>
  <c r="B126" i="10"/>
  <c r="B1307" i="11" s="1"/>
  <c r="B1946" i="11" s="1"/>
  <c r="B125" i="10"/>
  <c r="B1306" i="11" s="1"/>
  <c r="B1945" i="11" s="1"/>
  <c r="B124" i="10"/>
  <c r="B1305" i="11" s="1"/>
  <c r="B1944" i="11" s="1"/>
  <c r="B123" i="10"/>
  <c r="B1304" i="11" s="1"/>
  <c r="B1943" i="11" s="1"/>
  <c r="B1303" i="11"/>
  <c r="B1942" i="11" s="1"/>
  <c r="B121" i="10"/>
  <c r="B120" i="10"/>
  <c r="B119" i="10"/>
  <c r="B268" i="11" s="1"/>
  <c r="B118" i="10"/>
  <c r="B264" i="11" s="1"/>
  <c r="B117" i="10"/>
  <c r="B1298" i="11" s="1"/>
  <c r="B1937" i="11" s="1"/>
  <c r="B355" i="10"/>
  <c r="B354" i="10"/>
  <c r="B353" i="10"/>
  <c r="B352" i="10"/>
  <c r="B351" i="10"/>
  <c r="B350" i="10"/>
  <c r="B349" i="10"/>
  <c r="B344" i="10"/>
  <c r="B343" i="10"/>
  <c r="B342" i="10"/>
  <c r="B341" i="10"/>
  <c r="B340" i="10"/>
  <c r="B339" i="10"/>
  <c r="B338" i="10"/>
  <c r="B333" i="10"/>
  <c r="B332" i="10"/>
  <c r="B331" i="10"/>
  <c r="B330" i="10"/>
  <c r="B329" i="10"/>
  <c r="B328" i="10"/>
  <c r="B327" i="10"/>
  <c r="B253" i="58"/>
  <c r="B228" i="58"/>
  <c r="B202" i="58"/>
  <c r="B1290" i="11" l="1"/>
  <c r="B1446" i="11"/>
  <c r="B1385" i="11"/>
  <c r="B1409" i="11"/>
  <c r="B1383" i="11"/>
  <c r="B1297" i="11"/>
  <c r="B1414" i="11"/>
  <c r="B1388" i="11"/>
  <c r="B1408" i="11"/>
  <c r="B1412" i="11"/>
  <c r="B1291" i="11"/>
  <c r="B1292" i="11"/>
  <c r="B1369" i="11"/>
  <c r="B1448" i="11"/>
  <c r="B1453" i="11"/>
  <c r="B1295" i="11"/>
  <c r="B1410" i="11"/>
  <c r="B1294" i="11"/>
  <c r="B1411" i="11"/>
  <c r="B1302" i="11"/>
  <c r="B1941" i="11" s="1"/>
  <c r="B270" i="11"/>
  <c r="B175" i="58" s="1"/>
  <c r="B1340" i="11"/>
  <c r="B1979" i="11" s="1"/>
  <c r="B294" i="11"/>
  <c r="B200" i="58" s="1"/>
  <c r="B1429" i="11"/>
  <c r="B2068" i="11" s="1"/>
  <c r="B339" i="11"/>
  <c r="B247" i="58" s="1"/>
  <c r="B293" i="11"/>
  <c r="B199" i="58" s="1"/>
  <c r="B288" i="11"/>
  <c r="B194" i="58" s="1"/>
  <c r="B1341" i="11"/>
  <c r="B1980" i="11" s="1"/>
  <c r="B295" i="11"/>
  <c r="B201" i="58" s="1"/>
  <c r="B1392" i="11"/>
  <c r="B2031" i="11" s="1"/>
  <c r="B319" i="11"/>
  <c r="B226" i="58" s="1"/>
  <c r="B1338" i="11"/>
  <c r="B1977" i="11" s="1"/>
  <c r="B289" i="11"/>
  <c r="B195" i="58" s="1"/>
  <c r="B318" i="11"/>
  <c r="B313" i="11"/>
  <c r="B220" i="58" s="1"/>
  <c r="B1393" i="11"/>
  <c r="B2032" i="11" s="1"/>
  <c r="B320" i="11"/>
  <c r="B227" i="58" s="1"/>
  <c r="B1418" i="11"/>
  <c r="B2057" i="11" s="1"/>
  <c r="B344" i="11"/>
  <c r="B251" i="58" s="1"/>
  <c r="B1301" i="11"/>
  <c r="B1940" i="11" s="1"/>
  <c r="B269" i="11"/>
  <c r="B1390" i="11"/>
  <c r="B2029" i="11" s="1"/>
  <c r="B314" i="11"/>
  <c r="B343" i="11"/>
  <c r="B250" i="58" s="1"/>
  <c r="B338" i="11"/>
  <c r="B246" i="58" s="1"/>
  <c r="B1432" i="11"/>
  <c r="B2071" i="11" s="1"/>
  <c r="B345" i="11"/>
  <c r="B252" i="58" s="1"/>
  <c r="B1376" i="11"/>
  <c r="B341" i="11"/>
  <c r="B248" i="58" s="1"/>
  <c r="B1405" i="11"/>
  <c r="B244" i="11"/>
  <c r="B122" i="58" s="1"/>
  <c r="B956" i="58"/>
  <c r="B906" i="58"/>
  <c r="B856" i="58"/>
  <c r="B800" i="58"/>
  <c r="B750" i="58"/>
  <c r="B700" i="58"/>
  <c r="B565" i="58"/>
  <c r="B981" i="58"/>
  <c r="B931" i="58"/>
  <c r="B881" i="58"/>
  <c r="B825" i="58"/>
  <c r="B775" i="58"/>
  <c r="B725" i="58"/>
  <c r="B585" i="58"/>
  <c r="B627" i="58"/>
  <c r="B648" i="58"/>
  <c r="B669" i="58"/>
  <c r="B606" i="58"/>
  <c r="B532" i="58"/>
  <c r="B958" i="58"/>
  <c r="B908" i="58"/>
  <c r="B858" i="58"/>
  <c r="B802" i="58"/>
  <c r="B752" i="58"/>
  <c r="B702" i="58"/>
  <c r="B608" i="58"/>
  <c r="B983" i="58"/>
  <c r="B933" i="58"/>
  <c r="B883" i="58"/>
  <c r="B827" i="58"/>
  <c r="B777" i="58"/>
  <c r="B727" i="58"/>
  <c r="B587" i="58"/>
  <c r="B629" i="58"/>
  <c r="B650" i="58"/>
  <c r="B671" i="58"/>
  <c r="B982" i="58"/>
  <c r="B957" i="58"/>
  <c r="B932" i="58"/>
  <c r="B907" i="58"/>
  <c r="B882" i="58"/>
  <c r="B857" i="58"/>
  <c r="B826" i="58"/>
  <c r="B801" i="58"/>
  <c r="B776" i="58"/>
  <c r="B751" i="58"/>
  <c r="B726" i="58"/>
  <c r="B701" i="58"/>
  <c r="B586" i="58"/>
  <c r="B607" i="58"/>
  <c r="B628" i="58"/>
  <c r="B649" i="58"/>
  <c r="B670" i="58"/>
  <c r="B566" i="58"/>
  <c r="B1415" i="11"/>
  <c r="B2054" i="11" s="1"/>
  <c r="B1427" i="11"/>
  <c r="B2066" i="11" s="1"/>
  <c r="B1428" i="11"/>
  <c r="B2067" i="11" s="1"/>
  <c r="B317" i="11"/>
  <c r="B1435" i="11"/>
  <c r="B2074" i="11" s="1"/>
  <c r="B1419" i="11"/>
  <c r="B2058" i="11" s="1"/>
  <c r="B1436" i="11"/>
  <c r="B2075" i="11" s="1"/>
  <c r="B342" i="11"/>
  <c r="B249" i="58" s="1"/>
  <c r="B1029" i="11"/>
  <c r="B1186" i="11" s="1"/>
  <c r="B977" i="11"/>
  <c r="B1134" i="11" s="1"/>
  <c r="B1003" i="11"/>
  <c r="B1160" i="11" s="1"/>
  <c r="B951" i="11"/>
  <c r="B1108" i="11" s="1"/>
  <c r="B1068" i="11"/>
  <c r="B1225" i="11" s="1"/>
  <c r="B990" i="11"/>
  <c r="B1147" i="11" s="1"/>
  <c r="B1016" i="11"/>
  <c r="B1173" i="11" s="1"/>
  <c r="B964" i="11"/>
  <c r="B1121" i="11" s="1"/>
  <c r="B1013" i="11"/>
  <c r="B1170" i="11" s="1"/>
  <c r="B961" i="11"/>
  <c r="B1118" i="11" s="1"/>
  <c r="B1065" i="11"/>
  <c r="B1222" i="11" s="1"/>
  <c r="B987" i="11"/>
  <c r="B1144" i="11" s="1"/>
  <c r="B1026" i="11"/>
  <c r="B1183" i="11" s="1"/>
  <c r="B974" i="11"/>
  <c r="B1131" i="11" s="1"/>
  <c r="B1000" i="11"/>
  <c r="B1157" i="11" s="1"/>
  <c r="B948" i="11"/>
  <c r="B1105" i="11" s="1"/>
  <c r="B997" i="11"/>
  <c r="B1154" i="11" s="1"/>
  <c r="B945" i="11"/>
  <c r="B1102" i="11" s="1"/>
  <c r="B1023" i="11"/>
  <c r="B1180" i="11" s="1"/>
  <c r="B971" i="11"/>
  <c r="B1128" i="11" s="1"/>
  <c r="B1010" i="11"/>
  <c r="B1167" i="11" s="1"/>
  <c r="B958" i="11"/>
  <c r="B1115" i="11" s="1"/>
  <c r="B1062" i="11"/>
  <c r="B1219" i="11" s="1"/>
  <c r="B984" i="11"/>
  <c r="B1141" i="11" s="1"/>
  <c r="B1001" i="11"/>
  <c r="B1158" i="11" s="1"/>
  <c r="B949" i="11"/>
  <c r="B1106" i="11" s="1"/>
  <c r="B1027" i="11"/>
  <c r="B1184" i="11" s="1"/>
  <c r="B975" i="11"/>
  <c r="B1132" i="11" s="1"/>
  <c r="B1014" i="11"/>
  <c r="B1171" i="11" s="1"/>
  <c r="B962" i="11"/>
  <c r="B1119" i="11" s="1"/>
  <c r="B1066" i="11"/>
  <c r="B1223" i="11" s="1"/>
  <c r="B988" i="11"/>
  <c r="B1145" i="11" s="1"/>
  <c r="B1005" i="11"/>
  <c r="B1162" i="11" s="1"/>
  <c r="B953" i="11"/>
  <c r="B1110" i="11" s="1"/>
  <c r="B1031" i="11"/>
  <c r="B1188" i="11" s="1"/>
  <c r="B979" i="11"/>
  <c r="B1136" i="11" s="1"/>
  <c r="B1018" i="11"/>
  <c r="B1175" i="11" s="1"/>
  <c r="B966" i="11"/>
  <c r="B1123" i="11" s="1"/>
  <c r="B1070" i="11"/>
  <c r="B1227" i="11" s="1"/>
  <c r="B992" i="11"/>
  <c r="B1149" i="11" s="1"/>
  <c r="B1009" i="11"/>
  <c r="B1166" i="11" s="1"/>
  <c r="B957" i="11"/>
  <c r="B1114" i="11" s="1"/>
  <c r="B1035" i="11"/>
  <c r="B1192" i="11" s="1"/>
  <c r="B983" i="11"/>
  <c r="B1140" i="11" s="1"/>
  <c r="B1022" i="11"/>
  <c r="B1179" i="11" s="1"/>
  <c r="B970" i="11"/>
  <c r="B1127" i="11" s="1"/>
  <c r="B1074" i="11"/>
  <c r="B1231" i="11" s="1"/>
  <c r="B996" i="11"/>
  <c r="B1153" i="11" s="1"/>
  <c r="B1025" i="11"/>
  <c r="B1182" i="11" s="1"/>
  <c r="B973" i="11"/>
  <c r="B1130" i="11" s="1"/>
  <c r="B999" i="11"/>
  <c r="B1156" i="11" s="1"/>
  <c r="B947" i="11"/>
  <c r="B1104" i="11" s="1"/>
  <c r="B1064" i="11"/>
  <c r="B1221" i="11" s="1"/>
  <c r="B986" i="11"/>
  <c r="B1143" i="11" s="1"/>
  <c r="B1012" i="11"/>
  <c r="B1169" i="11" s="1"/>
  <c r="B960" i="11"/>
  <c r="B1117" i="11" s="1"/>
  <c r="B1033" i="11"/>
  <c r="B1190" i="11" s="1"/>
  <c r="B981" i="11"/>
  <c r="B1138" i="11" s="1"/>
  <c r="B1007" i="11"/>
  <c r="B1164" i="11" s="1"/>
  <c r="B955" i="11"/>
  <c r="B1112" i="11" s="1"/>
  <c r="B1072" i="11"/>
  <c r="B1229" i="11" s="1"/>
  <c r="B994" i="11"/>
  <c r="B1151" i="11" s="1"/>
  <c r="B1020" i="11"/>
  <c r="B1177" i="11" s="1"/>
  <c r="B968" i="11"/>
  <c r="B1125" i="11" s="1"/>
  <c r="B1017" i="11"/>
  <c r="B1174" i="11" s="1"/>
  <c r="B965" i="11"/>
  <c r="B1122" i="11" s="1"/>
  <c r="B1069" i="11"/>
  <c r="B1226" i="11" s="1"/>
  <c r="B991" i="11"/>
  <c r="B1148" i="11" s="1"/>
  <c r="B1030" i="11"/>
  <c r="B1187" i="11" s="1"/>
  <c r="B978" i="11"/>
  <c r="B1135" i="11" s="1"/>
  <c r="B1004" i="11"/>
  <c r="B1161" i="11" s="1"/>
  <c r="B952" i="11"/>
  <c r="B1109" i="11" s="1"/>
  <c r="B1021" i="11"/>
  <c r="B1178" i="11" s="1"/>
  <c r="B969" i="11"/>
  <c r="B1126" i="11" s="1"/>
  <c r="B1073" i="11"/>
  <c r="B1230" i="11" s="1"/>
  <c r="B995" i="11"/>
  <c r="B1152" i="11" s="1"/>
  <c r="B1034" i="11"/>
  <c r="B1191" i="11" s="1"/>
  <c r="B982" i="11"/>
  <c r="B1139" i="11" s="1"/>
  <c r="B1008" i="11"/>
  <c r="B1165" i="11" s="1"/>
  <c r="B956" i="11"/>
  <c r="B1113" i="11" s="1"/>
  <c r="B1063" i="11"/>
  <c r="B1220" i="11" s="1"/>
  <c r="B985" i="11"/>
  <c r="B1142" i="11" s="1"/>
  <c r="B1011" i="11"/>
  <c r="B1168" i="11" s="1"/>
  <c r="B959" i="11"/>
  <c r="B1116" i="11" s="1"/>
  <c r="B998" i="11"/>
  <c r="B1155" i="11" s="1"/>
  <c r="B946" i="11"/>
  <c r="B1103" i="11" s="1"/>
  <c r="B1024" i="11"/>
  <c r="B1181" i="11" s="1"/>
  <c r="B972" i="11"/>
  <c r="B1129" i="11" s="1"/>
  <c r="B1067" i="11"/>
  <c r="B1224" i="11" s="1"/>
  <c r="B989" i="11"/>
  <c r="B1146" i="11" s="1"/>
  <c r="B1015" i="11"/>
  <c r="B1172" i="11" s="1"/>
  <c r="B963" i="11"/>
  <c r="B1120" i="11" s="1"/>
  <c r="B1002" i="11"/>
  <c r="B1159" i="11" s="1"/>
  <c r="B950" i="11"/>
  <c r="B1107" i="11" s="1"/>
  <c r="B1028" i="11"/>
  <c r="B1185" i="11" s="1"/>
  <c r="B976" i="11"/>
  <c r="B1133" i="11" s="1"/>
  <c r="B1071" i="11"/>
  <c r="B1228" i="11" s="1"/>
  <c r="B993" i="11"/>
  <c r="B1150" i="11" s="1"/>
  <c r="B1019" i="11"/>
  <c r="B1176" i="11" s="1"/>
  <c r="B967" i="11"/>
  <c r="B1124" i="11" s="1"/>
  <c r="B1006" i="11"/>
  <c r="B1163" i="11" s="1"/>
  <c r="B954" i="11"/>
  <c r="B1111" i="11" s="1"/>
  <c r="B1032" i="11"/>
  <c r="B1189" i="11" s="1"/>
  <c r="B980" i="11"/>
  <c r="B1137" i="11" s="1"/>
  <c r="B283" i="11"/>
  <c r="B188" i="58" s="1"/>
  <c r="B266" i="11"/>
  <c r="B171" i="58" s="1"/>
  <c r="B267" i="11"/>
  <c r="B172" i="58" s="1"/>
  <c r="B1380" i="11"/>
  <c r="B1406" i="11"/>
  <c r="B332" i="11"/>
  <c r="B239" i="58" s="1"/>
  <c r="B1300" i="11"/>
  <c r="B1939" i="11" s="1"/>
  <c r="B1381" i="11"/>
  <c r="B1450" i="11"/>
  <c r="B1431" i="11"/>
  <c r="B2070" i="11" s="1"/>
  <c r="B1439" i="11"/>
  <c r="B2078" i="11" s="1"/>
  <c r="B291" i="11"/>
  <c r="B197" i="58" s="1"/>
  <c r="B357" i="11"/>
  <c r="B264" i="58" s="1"/>
  <c r="B1309" i="11"/>
  <c r="B1948" i="11" s="1"/>
  <c r="B1402" i="11"/>
  <c r="B1451" i="11"/>
  <c r="B316" i="11"/>
  <c r="B223" i="58" s="1"/>
  <c r="B282" i="11"/>
  <c r="B187" i="58" s="1"/>
  <c r="B358" i="11"/>
  <c r="B215" i="58"/>
  <c r="B173" i="58"/>
  <c r="B266" i="58"/>
  <c r="B169" i="58"/>
  <c r="B1984" i="11"/>
  <c r="B1358" i="11"/>
  <c r="B1997" i="11" s="1"/>
  <c r="B1362" i="11"/>
  <c r="B2001" i="11" s="1"/>
  <c r="B1988" i="11"/>
  <c r="B189" i="58"/>
  <c r="B307" i="11"/>
  <c r="B1416" i="11"/>
  <c r="B2055" i="11" s="1"/>
  <c r="B1420" i="11"/>
  <c r="B2059" i="11" s="1"/>
  <c r="B1424" i="11"/>
  <c r="B2063" i="11" s="1"/>
  <c r="B292" i="11"/>
  <c r="B1299" i="11"/>
  <c r="B1938" i="11" s="1"/>
  <c r="B1337" i="11"/>
  <c r="B1356" i="11"/>
  <c r="B1995" i="11" s="1"/>
  <c r="B1389" i="11"/>
  <c r="B2028" i="11" s="1"/>
  <c r="B1426" i="11"/>
  <c r="B2065" i="11" s="1"/>
  <c r="B1430" i="11"/>
  <c r="B2069" i="11" s="1"/>
  <c r="B1434" i="11"/>
  <c r="B2073" i="11" s="1"/>
  <c r="B1438" i="11"/>
  <c r="B2077" i="11" s="1"/>
  <c r="B265" i="11"/>
  <c r="B290" i="11"/>
  <c r="B315" i="11"/>
  <c r="B340" i="11"/>
  <c r="B281" i="11"/>
  <c r="B306" i="11"/>
  <c r="B331" i="11"/>
  <c r="B356" i="11"/>
  <c r="B263" i="58" s="1"/>
  <c r="B263" i="11"/>
  <c r="B1352" i="11"/>
  <c r="B1991" i="11" s="1"/>
  <c r="B1360" i="11"/>
  <c r="B1999" i="11" s="1"/>
  <c r="B308" i="11"/>
  <c r="B333" i="11"/>
  <c r="B1348" i="11"/>
  <c r="B1987" i="11" s="1"/>
  <c r="B1400" i="11"/>
  <c r="B2039" i="11" s="1"/>
  <c r="B2086" i="11"/>
  <c r="B1357" i="11"/>
  <c r="B1996" i="11" s="1"/>
  <c r="B2014" i="11"/>
  <c r="B2011" i="11"/>
  <c r="B2012" i="11"/>
  <c r="B1355" i="11"/>
  <c r="B1994" i="11" s="1"/>
  <c r="B1359" i="11"/>
  <c r="B1998" i="11" s="1"/>
  <c r="B2009" i="11"/>
  <c r="B2088" i="11"/>
  <c r="B241" i="58"/>
  <c r="B1386" i="11"/>
  <c r="B1293" i="11"/>
  <c r="B1371" i="11"/>
  <c r="B1384" i="11"/>
  <c r="B1382" i="11"/>
  <c r="B1368" i="11"/>
  <c r="B1403" i="11"/>
  <c r="B1442" i="11"/>
  <c r="B1285" i="11"/>
  <c r="B2092" i="11" l="1"/>
  <c r="B1934" i="11"/>
  <c r="B2022" i="11"/>
  <c r="B2024" i="11"/>
  <c r="B2047" i="11"/>
  <c r="B2027" i="11"/>
  <c r="B2048" i="11"/>
  <c r="B2008" i="11"/>
  <c r="B2049" i="11"/>
  <c r="B2087" i="11"/>
  <c r="B1933" i="11"/>
  <c r="B2053" i="11"/>
  <c r="B1930" i="11"/>
  <c r="B1931" i="11"/>
  <c r="B2051" i="11"/>
  <c r="B1936" i="11"/>
  <c r="B1351" i="11"/>
  <c r="B1990" i="11" s="1"/>
  <c r="B2050" i="11"/>
  <c r="B70" i="58"/>
  <c r="B148" i="58"/>
  <c r="B1353" i="11"/>
  <c r="B1992" i="11" s="1"/>
  <c r="B44" i="58"/>
  <c r="B1354" i="11"/>
  <c r="B1993" i="11" s="1"/>
  <c r="B96" i="58"/>
  <c r="B221" i="58"/>
  <c r="B186" i="58"/>
  <c r="B212" i="58"/>
  <c r="B2089" i="11"/>
  <c r="B225" i="58"/>
  <c r="B174" i="58"/>
  <c r="B2090" i="11"/>
  <c r="B224" i="58"/>
  <c r="B265" i="58"/>
  <c r="B168" i="58"/>
  <c r="B1361" i="11"/>
  <c r="B2000" i="11" s="1"/>
  <c r="B198" i="58"/>
  <c r="B213" i="58"/>
  <c r="B238" i="58"/>
  <c r="B222" i="58"/>
  <c r="B214" i="58"/>
  <c r="B170" i="58"/>
  <c r="B1976" i="11"/>
  <c r="B1350" i="11"/>
  <c r="B1989" i="11" s="1"/>
  <c r="B240" i="58"/>
  <c r="B196" i="58"/>
  <c r="B2021" i="11"/>
  <c r="B2023" i="11"/>
  <c r="B2010" i="11"/>
  <c r="B2025" i="11"/>
  <c r="B1932" i="11"/>
  <c r="B104" i="10"/>
  <c r="B103" i="10"/>
  <c r="B766" i="11" l="1"/>
  <c r="B741" i="11"/>
  <c r="B765" i="11"/>
  <c r="B740" i="11"/>
  <c r="B256" i="11"/>
  <c r="B1277" i="11"/>
  <c r="B257" i="11"/>
  <c r="B1278" i="11"/>
  <c r="B715" i="11"/>
  <c r="B716" i="11"/>
  <c r="B106" i="10"/>
  <c r="B89" i="10"/>
  <c r="AK1" i="12"/>
  <c r="AJ1" i="12"/>
  <c r="AI1" i="12"/>
  <c r="AH1" i="12"/>
  <c r="AG1" i="12"/>
  <c r="AF1" i="12"/>
  <c r="AE1" i="12"/>
  <c r="AD1" i="12"/>
  <c r="AC1" i="12"/>
  <c r="AA454" i="12"/>
  <c r="Z454" i="12"/>
  <c r="Y454" i="12"/>
  <c r="AA453" i="12"/>
  <c r="Z453" i="12"/>
  <c r="Y453" i="12"/>
  <c r="AA452" i="12"/>
  <c r="Z452" i="12"/>
  <c r="Y452" i="12"/>
  <c r="AA451" i="12"/>
  <c r="Z451" i="12"/>
  <c r="Y451" i="12"/>
  <c r="AA450" i="12"/>
  <c r="Z450" i="12"/>
  <c r="Y450" i="12"/>
  <c r="AA422" i="12"/>
  <c r="Z422" i="12"/>
  <c r="Y422" i="12"/>
  <c r="AA421" i="12"/>
  <c r="Z421" i="12"/>
  <c r="Y421" i="12"/>
  <c r="AA420" i="12"/>
  <c r="Z420" i="12"/>
  <c r="Y420" i="12"/>
  <c r="AA419" i="12"/>
  <c r="Z419" i="12"/>
  <c r="Y419" i="12"/>
  <c r="AA418" i="12"/>
  <c r="Z418" i="12"/>
  <c r="Y418" i="12"/>
  <c r="AA397" i="12"/>
  <c r="Z397" i="12"/>
  <c r="Y397" i="12"/>
  <c r="AA396" i="12"/>
  <c r="Z396" i="12"/>
  <c r="Y396" i="12"/>
  <c r="AA395" i="12"/>
  <c r="Z395" i="12"/>
  <c r="Y395" i="12"/>
  <c r="AA394" i="12"/>
  <c r="Z394" i="12"/>
  <c r="Y394" i="12"/>
  <c r="AA393" i="12"/>
  <c r="Z393" i="12"/>
  <c r="Y393" i="12"/>
  <c r="AA340" i="12"/>
  <c r="Z340" i="12"/>
  <c r="Y340" i="12"/>
  <c r="AA339" i="12"/>
  <c r="Z339" i="12"/>
  <c r="Y339" i="12"/>
  <c r="AA338" i="12"/>
  <c r="Z338" i="12"/>
  <c r="Y338" i="12"/>
  <c r="AA337" i="12"/>
  <c r="Z337" i="12"/>
  <c r="Y337" i="12"/>
  <c r="AA336" i="12"/>
  <c r="Z336" i="12"/>
  <c r="Y336" i="12"/>
  <c r="AA214" i="12"/>
  <c r="Z214" i="12"/>
  <c r="Y214" i="12"/>
  <c r="AA213" i="12"/>
  <c r="Z213" i="12"/>
  <c r="Y213" i="12"/>
  <c r="AA212" i="12"/>
  <c r="Z212" i="12"/>
  <c r="Y212" i="12"/>
  <c r="AA211" i="12"/>
  <c r="Z211" i="12"/>
  <c r="Y211" i="12"/>
  <c r="AA210" i="12"/>
  <c r="Z210" i="12"/>
  <c r="Y210" i="12"/>
  <c r="AA237" i="12"/>
  <c r="Z237" i="12"/>
  <c r="Y237" i="12"/>
  <c r="U237" i="12"/>
  <c r="AA236" i="12"/>
  <c r="Z236" i="12"/>
  <c r="Y236" i="12"/>
  <c r="U236" i="12"/>
  <c r="AA235" i="12"/>
  <c r="Z235" i="12"/>
  <c r="Y235" i="12"/>
  <c r="U235" i="12"/>
  <c r="AA234" i="12"/>
  <c r="Z234" i="12"/>
  <c r="Y234" i="12"/>
  <c r="U234" i="12"/>
  <c r="AA233" i="12"/>
  <c r="Z233" i="12"/>
  <c r="Y233" i="12"/>
  <c r="U233" i="12"/>
  <c r="A316" i="57"/>
  <c r="A311" i="57"/>
  <c r="A306" i="57"/>
  <c r="A307" i="57" s="1"/>
  <c r="A301" i="57"/>
  <c r="A296" i="57"/>
  <c r="A291" i="57"/>
  <c r="F291" i="57" s="1"/>
  <c r="D480" i="12" s="1"/>
  <c r="A286" i="57"/>
  <c r="A281" i="57"/>
  <c r="F281" i="57" s="1"/>
  <c r="D470" i="12" s="1"/>
  <c r="A276" i="57"/>
  <c r="A271" i="57"/>
  <c r="G271" i="57" s="1"/>
  <c r="A266" i="57"/>
  <c r="A261" i="57"/>
  <c r="A255" i="57"/>
  <c r="G255" i="57" s="1"/>
  <c r="A254" i="57"/>
  <c r="G254" i="57" s="1"/>
  <c r="A249" i="57"/>
  <c r="A244" i="57"/>
  <c r="A245" i="57" s="1"/>
  <c r="A239" i="57"/>
  <c r="A234" i="57"/>
  <c r="G234" i="57" s="1"/>
  <c r="A229" i="57"/>
  <c r="A224" i="57"/>
  <c r="G224" i="57" s="1"/>
  <c r="A219" i="57"/>
  <c r="A214" i="57"/>
  <c r="G214" i="57" s="1"/>
  <c r="G209" i="57"/>
  <c r="E398" i="12" s="1"/>
  <c r="A209" i="57"/>
  <c r="F209" i="57" s="1"/>
  <c r="D398" i="12" s="1"/>
  <c r="A204" i="57"/>
  <c r="G204" i="57" s="1"/>
  <c r="A199" i="57"/>
  <c r="G199" i="57" s="1"/>
  <c r="A192" i="57"/>
  <c r="X192" i="57" s="1" a="1"/>
  <c r="X192" i="57" s="1"/>
  <c r="A187" i="57"/>
  <c r="A188" i="57" s="1"/>
  <c r="A182" i="57"/>
  <c r="X182" i="57" s="1" a="1"/>
  <c r="X182" i="57" s="1"/>
  <c r="A177" i="57"/>
  <c r="Y177" i="57" s="1" a="1"/>
  <c r="A172" i="57"/>
  <c r="Z172" i="57" s="1" a="1"/>
  <c r="A167" i="57"/>
  <c r="Z167" i="57" s="1" a="1"/>
  <c r="A162" i="57"/>
  <c r="Z162" i="57" s="1" a="1"/>
  <c r="A157" i="57"/>
  <c r="A152" i="57"/>
  <c r="Z152" i="57" s="1" a="1"/>
  <c r="A147" i="57"/>
  <c r="Z147" i="57" s="1" a="1"/>
  <c r="A142" i="57"/>
  <c r="Z142" i="57" s="1" a="1"/>
  <c r="A137" i="57"/>
  <c r="AA137" i="57" s="1" a="1"/>
  <c r="A130" i="57"/>
  <c r="Y130" i="57" s="1" a="1"/>
  <c r="A125" i="57"/>
  <c r="A126" i="57" s="1"/>
  <c r="A120" i="57"/>
  <c r="A115" i="57"/>
  <c r="AA115" i="57" s="1" a="1"/>
  <c r="AA115" i="57" s="1"/>
  <c r="A110" i="57"/>
  <c r="Y110" i="57" s="1" a="1"/>
  <c r="G105" i="57"/>
  <c r="E105" i="57" s="1"/>
  <c r="C210" i="12" s="1"/>
  <c r="A105" i="57"/>
  <c r="Y105" i="57" s="1" a="1"/>
  <c r="A100" i="57"/>
  <c r="Y100" i="57" s="1" a="1"/>
  <c r="Y100" i="57" s="1"/>
  <c r="A96" i="57"/>
  <c r="A97" i="57" s="1"/>
  <c r="A95" i="57"/>
  <c r="Z95" i="57" s="1" a="1"/>
  <c r="A90" i="57"/>
  <c r="B90" i="57" s="1"/>
  <c r="A85" i="57"/>
  <c r="X85" i="57" s="1" a="1"/>
  <c r="X85" i="57" s="1"/>
  <c r="A80" i="57"/>
  <c r="X80" i="57" s="1" a="1"/>
  <c r="X80" i="57" s="1"/>
  <c r="A75" i="57"/>
  <c r="Y75" i="57" s="1" a="1"/>
  <c r="A68" i="57"/>
  <c r="AA68" i="57" s="1" a="1"/>
  <c r="AA68" i="57" s="1"/>
  <c r="A63" i="57"/>
  <c r="AA63" i="57" s="1" a="1"/>
  <c r="A58" i="57"/>
  <c r="AA58" i="57" s="1" a="1"/>
  <c r="A53" i="57"/>
  <c r="A48" i="57"/>
  <c r="Z48" i="57" s="1" a="1"/>
  <c r="Z48" i="57" s="1"/>
  <c r="A43" i="57"/>
  <c r="Z43" i="57" s="1" a="1"/>
  <c r="A38" i="57"/>
  <c r="X38" i="57" s="1" a="1"/>
  <c r="X38" i="57" s="1"/>
  <c r="A33" i="57"/>
  <c r="Y33" i="57" s="1" a="1"/>
  <c r="A28" i="57"/>
  <c r="AA28" i="57" s="1" a="1"/>
  <c r="A23" i="57"/>
  <c r="AA23" i="57" s="1" a="1"/>
  <c r="A18" i="57"/>
  <c r="AA18" i="57" s="1" a="1"/>
  <c r="A13" i="57"/>
  <c r="AA13" i="57" s="1" a="1"/>
  <c r="B13" i="12"/>
  <c r="B12" i="12"/>
  <c r="B11" i="12"/>
  <c r="B10" i="12"/>
  <c r="B9" i="12"/>
  <c r="C779" i="11"/>
  <c r="C777" i="11"/>
  <c r="C776" i="11"/>
  <c r="C1153" i="11"/>
  <c r="D293" i="10"/>
  <c r="D779" i="11" s="1"/>
  <c r="D291" i="10"/>
  <c r="D777" i="11" s="1"/>
  <c r="D290" i="10"/>
  <c r="D776" i="11" s="1"/>
  <c r="B768" i="11" l="1"/>
  <c r="B743" i="11"/>
  <c r="B726" i="11"/>
  <c r="B751" i="11"/>
  <c r="A215" i="57"/>
  <c r="B215" i="57" s="1"/>
  <c r="F199" i="57"/>
  <c r="D388" i="12" s="1"/>
  <c r="A14" i="57"/>
  <c r="G14" i="57" s="1"/>
  <c r="E403" i="12"/>
  <c r="E214" i="57"/>
  <c r="C403" i="12" s="1"/>
  <c r="F245" i="57"/>
  <c r="D434" i="12" s="1"/>
  <c r="A246" i="57"/>
  <c r="A247" i="57" s="1"/>
  <c r="A248" i="57" s="1"/>
  <c r="F75" i="57"/>
  <c r="D284" i="12" s="1"/>
  <c r="G75" i="57"/>
  <c r="E284" i="12" s="1"/>
  <c r="F234" i="57"/>
  <c r="D423" i="12" s="1"/>
  <c r="G244" i="57"/>
  <c r="E244" i="57" s="1"/>
  <c r="C433" i="12" s="1"/>
  <c r="G68" i="57"/>
  <c r="G95" i="57"/>
  <c r="E95" i="57" s="1"/>
  <c r="C299" i="12" s="1"/>
  <c r="F105" i="57"/>
  <c r="D210" i="12" s="1"/>
  <c r="G110" i="57"/>
  <c r="A148" i="57"/>
  <c r="G148" i="57" s="1"/>
  <c r="E148" i="57" s="1"/>
  <c r="C227" i="12" s="1"/>
  <c r="E14" i="57"/>
  <c r="C234" i="12" s="1"/>
  <c r="E234" i="12"/>
  <c r="E255" i="57"/>
  <c r="C444" i="12" s="1"/>
  <c r="E444" i="12"/>
  <c r="A24" i="57"/>
  <c r="G24" i="57" s="1"/>
  <c r="A34" i="57"/>
  <c r="G34" i="57" s="1"/>
  <c r="A44" i="57"/>
  <c r="G63" i="57"/>
  <c r="B120" i="57"/>
  <c r="G130" i="57"/>
  <c r="F137" i="57"/>
  <c r="D336" i="12" s="1"/>
  <c r="F147" i="57"/>
  <c r="D226" i="12" s="1"/>
  <c r="A158" i="57"/>
  <c r="G158" i="57" s="1"/>
  <c r="F167" i="57"/>
  <c r="D221" i="12" s="1"/>
  <c r="A178" i="57"/>
  <c r="B178" i="57" s="1"/>
  <c r="A183" i="57"/>
  <c r="A184" i="57" s="1"/>
  <c r="B229" i="57"/>
  <c r="B245" i="57"/>
  <c r="G261" i="57"/>
  <c r="A277" i="57"/>
  <c r="A282" i="57"/>
  <c r="A283" i="57" s="1"/>
  <c r="A297" i="57"/>
  <c r="F297" i="57" s="1"/>
  <c r="D486" i="12" s="1"/>
  <c r="X13" i="57" a="1"/>
  <c r="X13" i="57" s="1"/>
  <c r="X18" i="57" a="1"/>
  <c r="X18" i="57" s="1"/>
  <c r="X23" i="57" a="1"/>
  <c r="X23" i="57" s="1"/>
  <c r="X24" i="57" s="1"/>
  <c r="X28" i="57" a="1"/>
  <c r="X28" i="57" s="1"/>
  <c r="Z33" i="57" a="1"/>
  <c r="Y38" i="57" a="1"/>
  <c r="Y38" i="57" s="1"/>
  <c r="X43" i="57" a="1"/>
  <c r="X43" i="57" s="1"/>
  <c r="X45" i="57" s="1"/>
  <c r="AA43" i="57" a="1"/>
  <c r="AA43" i="57" s="1"/>
  <c r="AA48" i="57" a="1"/>
  <c r="AA48" i="57" s="1"/>
  <c r="Y53" i="57" a="1"/>
  <c r="X58" i="57" a="1"/>
  <c r="X58" i="57" s="1"/>
  <c r="X61" i="57" s="1"/>
  <c r="X63" i="57" a="1"/>
  <c r="X63" i="57" s="1"/>
  <c r="X68" i="57" a="1"/>
  <c r="X68" i="57" s="1"/>
  <c r="Z75" i="57" a="1"/>
  <c r="Y80" i="57" a="1"/>
  <c r="Y80" i="57" s="1"/>
  <c r="Y82" i="57" s="1"/>
  <c r="Y85" i="57" a="1"/>
  <c r="Y85" i="57" s="1"/>
  <c r="Y90" i="57" a="1"/>
  <c r="X95" i="57" a="1"/>
  <c r="X95" i="57" s="1"/>
  <c r="AA95" i="57" a="1"/>
  <c r="Z100" i="57" a="1"/>
  <c r="Z105" i="57" a="1"/>
  <c r="Z110" i="57" a="1"/>
  <c r="Z120" i="57" a="1"/>
  <c r="Z125" i="57" a="1"/>
  <c r="Z125" i="57" s="1"/>
  <c r="Z130" i="57" a="1"/>
  <c r="AA142" i="57" a="1"/>
  <c r="AA147" i="57" a="1"/>
  <c r="AA147" i="57" s="1"/>
  <c r="AA152" i="57" a="1"/>
  <c r="AA152" i="57" s="1"/>
  <c r="Y157" i="57" a="1"/>
  <c r="X162" i="57" a="1"/>
  <c r="X162" i="57" s="1"/>
  <c r="AA162" i="57" a="1"/>
  <c r="AA162" i="57" s="1"/>
  <c r="AA167" i="57" a="1"/>
  <c r="AA167" i="57" s="1"/>
  <c r="AA172" i="57" a="1"/>
  <c r="AA172" i="57" s="1"/>
  <c r="Z177" i="57" a="1"/>
  <c r="Y182" i="57" a="1"/>
  <c r="Y187" i="57" a="1"/>
  <c r="Y187" i="57" s="1"/>
  <c r="Y192" i="57" a="1"/>
  <c r="F13" i="57"/>
  <c r="D233" i="12" s="1"/>
  <c r="G18" i="57"/>
  <c r="G58" i="57"/>
  <c r="E75" i="57"/>
  <c r="C284" i="12" s="1"/>
  <c r="A81" i="57"/>
  <c r="F95" i="57"/>
  <c r="D299" i="12" s="1"/>
  <c r="B110" i="57"/>
  <c r="A111" i="57"/>
  <c r="F115" i="57"/>
  <c r="D314" i="12" s="1"/>
  <c r="A121" i="57"/>
  <c r="F121" i="57" s="1"/>
  <c r="D320" i="12" s="1"/>
  <c r="A131" i="57"/>
  <c r="G131" i="57" s="1"/>
  <c r="A138" i="57"/>
  <c r="G152" i="57"/>
  <c r="G167" i="57"/>
  <c r="G172" i="57"/>
  <c r="E209" i="57"/>
  <c r="C398" i="12" s="1"/>
  <c r="B214" i="57"/>
  <c r="F229" i="57"/>
  <c r="D418" i="12" s="1"/>
  <c r="B234" i="57"/>
  <c r="A262" i="57"/>
  <c r="A263" i="57" s="1"/>
  <c r="B271" i="57"/>
  <c r="B281" i="57"/>
  <c r="B291" i="57"/>
  <c r="A292" i="57"/>
  <c r="G311" i="57"/>
  <c r="Y13" i="57" a="1"/>
  <c r="Y18" i="57" a="1"/>
  <c r="Y18" i="57" s="1"/>
  <c r="Y21" i="57" s="1"/>
  <c r="Y23" i="57" a="1"/>
  <c r="Y23" i="57" s="1"/>
  <c r="Y28" i="57" a="1"/>
  <c r="Y28" i="57" s="1"/>
  <c r="X33" i="57" a="1"/>
  <c r="X33" i="57" s="1"/>
  <c r="X37" i="57" s="1"/>
  <c r="AA33" i="57" a="1"/>
  <c r="Z38" i="57" a="1"/>
  <c r="X48" i="57" a="1"/>
  <c r="X48" i="57" s="1"/>
  <c r="Z53" i="57" a="1"/>
  <c r="Z53" i="57" s="1"/>
  <c r="Z54" i="57" s="1"/>
  <c r="Y58" i="57" a="1"/>
  <c r="Y58" i="57" s="1"/>
  <c r="Y63" i="57" a="1"/>
  <c r="Y68" i="57" a="1"/>
  <c r="X75" i="57" a="1"/>
  <c r="X75" i="57" s="1"/>
  <c r="AA75" i="57" a="1"/>
  <c r="Z80" i="57" a="1"/>
  <c r="Z85" i="57" a="1"/>
  <c r="Z90" i="57" a="1"/>
  <c r="Z90" i="57" s="1"/>
  <c r="Z93" i="57" s="1"/>
  <c r="AA100" i="57" a="1"/>
  <c r="AA105" i="57" a="1"/>
  <c r="AA110" i="57" a="1"/>
  <c r="AA110" i="57" s="1"/>
  <c r="AA113" i="57" s="1"/>
  <c r="Y115" i="57" a="1"/>
  <c r="Y115" i="57" s="1"/>
  <c r="Y116" i="57" s="1"/>
  <c r="X120" i="57" a="1"/>
  <c r="X120" i="57" s="1"/>
  <c r="X124" i="57" s="1"/>
  <c r="AA120" i="57" a="1"/>
  <c r="AA125" i="57" a="1"/>
  <c r="AA130" i="57" a="1"/>
  <c r="AA130" i="57" s="1"/>
  <c r="Y137" i="57" a="1"/>
  <c r="Y137" i="57" s="1"/>
  <c r="Y141" i="57" s="1"/>
  <c r="X142" i="57" a="1"/>
  <c r="X142" i="57" s="1"/>
  <c r="X147" i="57" a="1"/>
  <c r="X147" i="57" s="1"/>
  <c r="X152" i="57" a="1"/>
  <c r="X152" i="57" s="1"/>
  <c r="Z157" i="57" a="1"/>
  <c r="Y162" i="57" a="1"/>
  <c r="Y162" i="57" s="1"/>
  <c r="X167" i="57" a="1"/>
  <c r="X167" i="57" s="1"/>
  <c r="X172" i="57" a="1"/>
  <c r="X172" i="57" s="1"/>
  <c r="X176" i="57" s="1"/>
  <c r="AA177" i="57" a="1"/>
  <c r="Z182" i="57" a="1"/>
  <c r="Z187" i="57" a="1"/>
  <c r="Z192" i="57" a="1"/>
  <c r="Z192" i="57" s="1"/>
  <c r="A173" i="57"/>
  <c r="E204" i="57"/>
  <c r="C393" i="12" s="1"/>
  <c r="E393" i="12"/>
  <c r="E224" i="57"/>
  <c r="C413" i="12" s="1"/>
  <c r="E413" i="12"/>
  <c r="E254" i="57"/>
  <c r="C443" i="12" s="1"/>
  <c r="E443" i="12"/>
  <c r="E271" i="57"/>
  <c r="C460" i="12" s="1"/>
  <c r="E460" i="12"/>
  <c r="Z13" i="57" a="1"/>
  <c r="Z13" i="57" s="1"/>
  <c r="Z16" i="57" s="1"/>
  <c r="Z18" i="57" a="1"/>
  <c r="Z23" i="57" a="1"/>
  <c r="Z28" i="57" a="1"/>
  <c r="Z28" i="57" s="1"/>
  <c r="AA38" i="57" a="1"/>
  <c r="AA38" i="57" s="1"/>
  <c r="AA40" i="57" s="1"/>
  <c r="Y43" i="57" a="1"/>
  <c r="Y48" i="57" a="1"/>
  <c r="X53" i="57" a="1"/>
  <c r="X53" i="57" s="1"/>
  <c r="AA53" i="57" a="1"/>
  <c r="AA53" i="57" s="1"/>
  <c r="Z58" i="57" a="1"/>
  <c r="Z63" i="57" a="1"/>
  <c r="Z63" i="57" s="1"/>
  <c r="Z68" i="57" a="1"/>
  <c r="Z68" i="57" s="1"/>
  <c r="AA80" i="57" a="1"/>
  <c r="AA80" i="57" s="1"/>
  <c r="AA85" i="57" a="1"/>
  <c r="AA90" i="57" a="1"/>
  <c r="AA90" i="57" s="1"/>
  <c r="Y95" i="57" a="1"/>
  <c r="X100" i="57" a="1"/>
  <c r="X100" i="57" s="1"/>
  <c r="X105" i="57" a="1"/>
  <c r="X105" i="57" s="1"/>
  <c r="X110" i="57" a="1"/>
  <c r="X110" i="57" s="1"/>
  <c r="Z115" i="57" a="1"/>
  <c r="Z115" i="57" s="1"/>
  <c r="Y120" i="57" a="1"/>
  <c r="Y120" i="57" s="1"/>
  <c r="Y124" i="57" s="1"/>
  <c r="X125" i="57" a="1"/>
  <c r="X125" i="57" s="1"/>
  <c r="X130" i="57" a="1"/>
  <c r="X130" i="57" s="1"/>
  <c r="Z137" i="57" a="1"/>
  <c r="Y142" i="57" a="1"/>
  <c r="Y142" i="57" s="1"/>
  <c r="Y147" i="57" a="1"/>
  <c r="Y152" i="57" a="1"/>
  <c r="X157" i="57" a="1"/>
  <c r="X157" i="57" s="1"/>
  <c r="X160" i="57" s="1"/>
  <c r="AA157" i="57" a="1"/>
  <c r="AA157" i="57" s="1"/>
  <c r="Y167" i="57" a="1"/>
  <c r="Y167" i="57" s="1"/>
  <c r="Y172" i="57" a="1"/>
  <c r="X177" i="57" a="1"/>
  <c r="X177" i="57" s="1"/>
  <c r="AA182" i="57" a="1"/>
  <c r="AA187" i="57" a="1"/>
  <c r="AA187" i="57" s="1"/>
  <c r="AA192" i="57" a="1"/>
  <c r="F23" i="57"/>
  <c r="D204" i="12" s="1"/>
  <c r="F33" i="57"/>
  <c r="D247" i="12" s="1"/>
  <c r="F43" i="57"/>
  <c r="D198" i="12" s="1"/>
  <c r="G53" i="57"/>
  <c r="F63" i="57"/>
  <c r="D272" i="12" s="1"/>
  <c r="F157" i="57"/>
  <c r="D351" i="12" s="1"/>
  <c r="B162" i="57"/>
  <c r="B172" i="57"/>
  <c r="B182" i="57"/>
  <c r="E199" i="57"/>
  <c r="C388" i="12" s="1"/>
  <c r="E388" i="12"/>
  <c r="A230" i="57"/>
  <c r="E234" i="57"/>
  <c r="C423" i="12" s="1"/>
  <c r="E423" i="12"/>
  <c r="A272" i="57"/>
  <c r="F276" i="57"/>
  <c r="D465" i="12" s="1"/>
  <c r="G306" i="57"/>
  <c r="A317" i="57"/>
  <c r="G317" i="57" s="1"/>
  <c r="X90" i="57" a="1"/>
  <c r="X90" i="57" s="1"/>
  <c r="X115" i="57" a="1"/>
  <c r="X115" i="57" s="1"/>
  <c r="Y125" i="57" a="1"/>
  <c r="Y125" i="57" s="1"/>
  <c r="X137" i="57" a="1"/>
  <c r="X137" i="57" s="1"/>
  <c r="X187" i="57" a="1"/>
  <c r="X187" i="57" s="1"/>
  <c r="E299" i="12"/>
  <c r="E210" i="12"/>
  <c r="B259" i="11"/>
  <c r="B1280" i="11"/>
  <c r="B994" i="58"/>
  <c r="B894" i="58"/>
  <c r="B788" i="58"/>
  <c r="B598" i="58"/>
  <c r="B577" i="58"/>
  <c r="B969" i="58"/>
  <c r="B869" i="58"/>
  <c r="B763" i="58"/>
  <c r="B619" i="58"/>
  <c r="B640" i="58"/>
  <c r="B944" i="58"/>
  <c r="B838" i="58"/>
  <c r="B738" i="58"/>
  <c r="B661" i="58"/>
  <c r="B919" i="58"/>
  <c r="B813" i="58"/>
  <c r="B713" i="58"/>
  <c r="B682" i="58"/>
  <c r="B893" i="58"/>
  <c r="B597" i="58"/>
  <c r="B968" i="58"/>
  <c r="B762" i="58"/>
  <c r="B576" i="58"/>
  <c r="B837" i="58"/>
  <c r="B918" i="58"/>
  <c r="B712" i="58"/>
  <c r="B639" i="58"/>
  <c r="B993" i="58"/>
  <c r="B787" i="58"/>
  <c r="B868" i="58"/>
  <c r="B618" i="58"/>
  <c r="B660" i="58"/>
  <c r="B943" i="58"/>
  <c r="B737" i="58"/>
  <c r="B812" i="58"/>
  <c r="B681" i="58"/>
  <c r="B242" i="11"/>
  <c r="B1263" i="11"/>
  <c r="B243" i="11"/>
  <c r="B1264" i="11"/>
  <c r="B57" i="58"/>
  <c r="B135" i="58"/>
  <c r="B109" i="58"/>
  <c r="B161" i="58"/>
  <c r="B83" i="58"/>
  <c r="B235" i="11"/>
  <c r="B108" i="58"/>
  <c r="B160" i="58"/>
  <c r="B56" i="58"/>
  <c r="B82" i="58"/>
  <c r="B134" i="58"/>
  <c r="B718" i="11"/>
  <c r="AA175" i="57"/>
  <c r="AA176" i="57"/>
  <c r="AA173" i="57"/>
  <c r="Z147" i="57"/>
  <c r="Z149" i="57" s="1"/>
  <c r="Z152" i="57"/>
  <c r="Z167" i="57"/>
  <c r="Z171" i="57" s="1"/>
  <c r="Z187" i="57"/>
  <c r="AA142" i="57"/>
  <c r="Y192" i="57"/>
  <c r="AA192" i="57"/>
  <c r="Z177" i="57"/>
  <c r="Y182" i="57"/>
  <c r="Z137" i="57"/>
  <c r="Z162" i="57"/>
  <c r="Y172" i="57"/>
  <c r="Y176" i="57" s="1"/>
  <c r="AA177" i="57"/>
  <c r="AA180" i="57" s="1"/>
  <c r="Z182" i="57"/>
  <c r="AA137" i="57"/>
  <c r="Y147" i="57"/>
  <c r="Y157" i="57"/>
  <c r="Z172" i="57"/>
  <c r="AA182" i="57"/>
  <c r="AA184" i="57" s="1"/>
  <c r="Y152" i="57"/>
  <c r="Y156" i="57" s="1"/>
  <c r="Z157" i="57"/>
  <c r="Z161" i="57" s="1"/>
  <c r="Y177" i="57"/>
  <c r="Y75" i="57"/>
  <c r="Z105" i="57"/>
  <c r="Z107" i="57" s="1"/>
  <c r="Z110" i="57"/>
  <c r="Y95" i="57"/>
  <c r="Y98" i="57" s="1"/>
  <c r="AA100" i="57"/>
  <c r="Z85" i="57"/>
  <c r="AA75" i="57"/>
  <c r="AA77" i="57" s="1"/>
  <c r="Z80" i="57"/>
  <c r="Z83" i="57" s="1"/>
  <c r="Y90" i="57"/>
  <c r="Z95" i="57"/>
  <c r="Z97" i="57" s="1"/>
  <c r="AA105" i="57"/>
  <c r="AA108" i="57" s="1"/>
  <c r="Z120" i="57"/>
  <c r="Z124" i="57" s="1"/>
  <c r="Y130" i="57"/>
  <c r="AA95" i="57"/>
  <c r="Y105" i="57"/>
  <c r="Y109" i="57" s="1"/>
  <c r="AA120" i="57"/>
  <c r="Z130" i="57"/>
  <c r="Z133" i="57" s="1"/>
  <c r="Z75" i="57"/>
  <c r="Z76" i="57" s="1"/>
  <c r="AA85" i="57"/>
  <c r="Z100" i="57"/>
  <c r="Z101" i="57" s="1"/>
  <c r="Y110" i="57"/>
  <c r="Y111" i="57" s="1"/>
  <c r="AA125" i="57"/>
  <c r="Y68" i="57"/>
  <c r="Y71" i="57" s="1"/>
  <c r="Y63" i="57"/>
  <c r="Y67" i="57" s="1"/>
  <c r="AA63" i="57"/>
  <c r="Z58" i="57"/>
  <c r="AA58" i="57"/>
  <c r="Y53" i="57"/>
  <c r="Y48" i="57"/>
  <c r="Z43" i="57"/>
  <c r="Z46" i="57" s="1"/>
  <c r="Y43" i="57"/>
  <c r="Z38" i="57"/>
  <c r="Z33" i="57"/>
  <c r="Z35" i="57" s="1"/>
  <c r="Y33" i="57"/>
  <c r="AA33" i="57"/>
  <c r="AA28" i="57"/>
  <c r="Z23" i="57"/>
  <c r="Z25" i="57" s="1"/>
  <c r="AA23" i="57"/>
  <c r="Z18" i="57"/>
  <c r="AA18" i="57"/>
  <c r="AA22" i="57" s="1"/>
  <c r="Y13" i="57"/>
  <c r="AA13" i="57"/>
  <c r="X17" i="57"/>
  <c r="X15" i="57"/>
  <c r="X16" i="57"/>
  <c r="X14" i="57"/>
  <c r="Z121" i="57"/>
  <c r="AA174" i="57"/>
  <c r="X89" i="57"/>
  <c r="X87" i="57"/>
  <c r="X88" i="57"/>
  <c r="X86" i="57"/>
  <c r="F28" i="57"/>
  <c r="D242" i="12" s="1"/>
  <c r="A29" i="57"/>
  <c r="B28" i="57"/>
  <c r="F44" i="57"/>
  <c r="D199" i="12" s="1"/>
  <c r="B44" i="57"/>
  <c r="F48" i="57"/>
  <c r="D257" i="12" s="1"/>
  <c r="G48" i="57"/>
  <c r="A49" i="57"/>
  <c r="B48" i="57"/>
  <c r="X27" i="57"/>
  <c r="G28" i="57"/>
  <c r="G44" i="57"/>
  <c r="X44" i="57"/>
  <c r="Z77" i="57"/>
  <c r="Y83" i="57"/>
  <c r="F126" i="57"/>
  <c r="D325" i="12" s="1"/>
  <c r="A127" i="57"/>
  <c r="G126" i="57"/>
  <c r="B126" i="57"/>
  <c r="F188" i="57"/>
  <c r="D377" i="12" s="1"/>
  <c r="B188" i="57"/>
  <c r="G188" i="57"/>
  <c r="A189" i="57"/>
  <c r="Y22" i="57"/>
  <c r="F24" i="57"/>
  <c r="D205" i="12" s="1"/>
  <c r="Y42" i="57"/>
  <c r="Y41" i="57"/>
  <c r="Y40" i="57"/>
  <c r="Y39" i="57"/>
  <c r="X62" i="57"/>
  <c r="B81" i="57"/>
  <c r="F81" i="57"/>
  <c r="D290" i="12" s="1"/>
  <c r="A82" i="57"/>
  <c r="G81" i="57"/>
  <c r="F14" i="57"/>
  <c r="D234" i="12" s="1"/>
  <c r="B14" i="57"/>
  <c r="A15" i="57"/>
  <c r="F18" i="57"/>
  <c r="D238" i="12" s="1"/>
  <c r="A19" i="57"/>
  <c r="B18" i="57"/>
  <c r="F38" i="57"/>
  <c r="D252" i="12" s="1"/>
  <c r="A39" i="57"/>
  <c r="B38" i="57"/>
  <c r="AA79" i="57"/>
  <c r="AA78" i="57"/>
  <c r="B85" i="57"/>
  <c r="F85" i="57"/>
  <c r="D215" i="12" s="1"/>
  <c r="G85" i="57"/>
  <c r="A86" i="57"/>
  <c r="Z99" i="57"/>
  <c r="AA156" i="57"/>
  <c r="AA155" i="57"/>
  <c r="AA154" i="57"/>
  <c r="AA153" i="57"/>
  <c r="B184" i="57"/>
  <c r="F184" i="57"/>
  <c r="D373" i="12" s="1"/>
  <c r="G184" i="57"/>
  <c r="A185" i="57"/>
  <c r="X46" i="57"/>
  <c r="A45" i="57"/>
  <c r="X35" i="57"/>
  <c r="G38" i="57"/>
  <c r="Z67" i="57"/>
  <c r="Z66" i="57"/>
  <c r="Z65" i="57"/>
  <c r="Z64" i="57"/>
  <c r="F97" i="57"/>
  <c r="D301" i="12" s="1"/>
  <c r="B97" i="57"/>
  <c r="A98" i="57"/>
  <c r="G97" i="57"/>
  <c r="Z150" i="57"/>
  <c r="B53" i="57"/>
  <c r="X114" i="57"/>
  <c r="X113" i="57"/>
  <c r="X112" i="57"/>
  <c r="X111" i="57"/>
  <c r="Y121" i="57"/>
  <c r="F138" i="57"/>
  <c r="D337" i="12" s="1"/>
  <c r="B138" i="57"/>
  <c r="Z158" i="57"/>
  <c r="F80" i="57"/>
  <c r="D289" i="12" s="1"/>
  <c r="G80" i="57"/>
  <c r="B111" i="57"/>
  <c r="G111" i="57"/>
  <c r="B115" i="57"/>
  <c r="G115" i="57"/>
  <c r="X122" i="57"/>
  <c r="F130" i="57"/>
  <c r="D329" i="12" s="1"/>
  <c r="G137" i="57"/>
  <c r="X148" i="57"/>
  <c r="X149" i="57"/>
  <c r="X150" i="57"/>
  <c r="X151" i="57"/>
  <c r="A54" i="57"/>
  <c r="F58" i="57"/>
  <c r="D267" i="12" s="1"/>
  <c r="F90" i="57"/>
  <c r="D294" i="12" s="1"/>
  <c r="AA112" i="57"/>
  <c r="AA114" i="57"/>
  <c r="B121" i="57"/>
  <c r="B125" i="57"/>
  <c r="F125" i="57"/>
  <c r="D324" i="12" s="1"/>
  <c r="F142" i="57"/>
  <c r="D341" i="12" s="1"/>
  <c r="A143" i="57"/>
  <c r="B142" i="57"/>
  <c r="Y173" i="57"/>
  <c r="X186" i="57"/>
  <c r="X185" i="57"/>
  <c r="X184" i="57"/>
  <c r="X183" i="57"/>
  <c r="G13" i="57"/>
  <c r="G23" i="57"/>
  <c r="G33" i="57"/>
  <c r="G43" i="57"/>
  <c r="B58" i="57"/>
  <c r="A59" i="57"/>
  <c r="B63" i="57"/>
  <c r="A64" i="57"/>
  <c r="F68" i="57"/>
  <c r="D277" i="12" s="1"/>
  <c r="Y78" i="57"/>
  <c r="Z82" i="57"/>
  <c r="G96" i="57"/>
  <c r="G100" i="57"/>
  <c r="B13" i="57"/>
  <c r="B23" i="57"/>
  <c r="B33" i="57"/>
  <c r="B43" i="57"/>
  <c r="F53" i="57"/>
  <c r="D262" i="12" s="1"/>
  <c r="B68" i="57"/>
  <c r="A69" i="57"/>
  <c r="B75" i="57"/>
  <c r="A76" i="57"/>
  <c r="B80" i="57"/>
  <c r="G90" i="57"/>
  <c r="A91" i="57"/>
  <c r="B95" i="57"/>
  <c r="AA111" i="57"/>
  <c r="A116" i="57"/>
  <c r="F120" i="57"/>
  <c r="D319" i="12" s="1"/>
  <c r="G120" i="57"/>
  <c r="G125" i="57"/>
  <c r="B130" i="57"/>
  <c r="G138" i="57"/>
  <c r="A139" i="57"/>
  <c r="G142" i="57"/>
  <c r="B148" i="57"/>
  <c r="F152" i="57"/>
  <c r="D346" i="12" s="1"/>
  <c r="A153" i="57"/>
  <c r="B152" i="57"/>
  <c r="X158" i="57"/>
  <c r="F96" i="57"/>
  <c r="D300" i="12" s="1"/>
  <c r="B96" i="57"/>
  <c r="Y96" i="57"/>
  <c r="F100" i="57"/>
  <c r="D304" i="12" s="1"/>
  <c r="A101" i="57"/>
  <c r="B100" i="57"/>
  <c r="Y107" i="57"/>
  <c r="Y106" i="57"/>
  <c r="X121" i="57"/>
  <c r="X123" i="57"/>
  <c r="B137" i="57"/>
  <c r="Y154" i="57"/>
  <c r="Y153" i="57"/>
  <c r="Y171" i="57"/>
  <c r="Y170" i="57"/>
  <c r="Y169" i="57"/>
  <c r="Y168" i="57"/>
  <c r="B183" i="57"/>
  <c r="F183" i="57"/>
  <c r="D372" i="12" s="1"/>
  <c r="G183" i="57"/>
  <c r="B187" i="57"/>
  <c r="F187" i="57"/>
  <c r="D376" i="12" s="1"/>
  <c r="G187" i="57"/>
  <c r="F162" i="57"/>
  <c r="D356" i="12" s="1"/>
  <c r="A163" i="57"/>
  <c r="X173" i="57"/>
  <c r="F178" i="57"/>
  <c r="D367" i="12" s="1"/>
  <c r="G178" i="57"/>
  <c r="A179" i="57"/>
  <c r="F182" i="57"/>
  <c r="D371" i="12" s="1"/>
  <c r="G182" i="57"/>
  <c r="F192" i="57"/>
  <c r="D381" i="12" s="1"/>
  <c r="G192" i="57"/>
  <c r="A193" i="57"/>
  <c r="B192" i="57"/>
  <c r="B105" i="57"/>
  <c r="A106" i="57"/>
  <c r="F110" i="57"/>
  <c r="D309" i="12" s="1"/>
  <c r="G162" i="57"/>
  <c r="B173" i="57"/>
  <c r="G173" i="57"/>
  <c r="F173" i="57"/>
  <c r="D362" i="12" s="1"/>
  <c r="A174" i="57"/>
  <c r="B177" i="57"/>
  <c r="G177" i="57"/>
  <c r="F177" i="57"/>
  <c r="D366" i="12" s="1"/>
  <c r="G247" i="57"/>
  <c r="G147" i="57"/>
  <c r="G157" i="57"/>
  <c r="B199" i="57"/>
  <c r="A200" i="57"/>
  <c r="F204" i="57"/>
  <c r="D393" i="12" s="1"/>
  <c r="F215" i="57"/>
  <c r="D404" i="12" s="1"/>
  <c r="F219" i="57"/>
  <c r="D408" i="12" s="1"/>
  <c r="A220" i="57"/>
  <c r="A225" i="57"/>
  <c r="F224" i="57"/>
  <c r="D413" i="12" s="1"/>
  <c r="F239" i="57"/>
  <c r="D428" i="12" s="1"/>
  <c r="G239" i="57"/>
  <c r="A240" i="57"/>
  <c r="B239" i="57"/>
  <c r="B246" i="57"/>
  <c r="B147" i="57"/>
  <c r="B157" i="57"/>
  <c r="B167" i="57"/>
  <c r="A168" i="57"/>
  <c r="F172" i="57"/>
  <c r="D361" i="12" s="1"/>
  <c r="B204" i="57"/>
  <c r="A205" i="57"/>
  <c r="B209" i="57"/>
  <c r="A210" i="57"/>
  <c r="F214" i="57"/>
  <c r="D403" i="12" s="1"/>
  <c r="G215" i="57"/>
  <c r="G219" i="57"/>
  <c r="B224" i="57"/>
  <c r="B249" i="57"/>
  <c r="F249" i="57"/>
  <c r="D438" i="12" s="1"/>
  <c r="A250" i="57"/>
  <c r="G249" i="57"/>
  <c r="B297" i="57"/>
  <c r="A216" i="57"/>
  <c r="B219" i="57"/>
  <c r="F263" i="57"/>
  <c r="D452" i="12" s="1"/>
  <c r="B263" i="57"/>
  <c r="G263" i="57"/>
  <c r="A264" i="57"/>
  <c r="G245" i="57"/>
  <c r="B307" i="57"/>
  <c r="F307" i="57"/>
  <c r="D496" i="12" s="1"/>
  <c r="A308" i="57"/>
  <c r="G307" i="57"/>
  <c r="A235" i="57"/>
  <c r="B244" i="57"/>
  <c r="F244" i="57"/>
  <c r="D433" i="12" s="1"/>
  <c r="F277" i="57"/>
  <c r="D466" i="12" s="1"/>
  <c r="B277" i="57"/>
  <c r="G277" i="57"/>
  <c r="A278" i="57"/>
  <c r="G282" i="57"/>
  <c r="A287" i="57"/>
  <c r="F286" i="57"/>
  <c r="D475" i="12" s="1"/>
  <c r="B286" i="57"/>
  <c r="G286" i="57"/>
  <c r="F262" i="57"/>
  <c r="D451" i="12" s="1"/>
  <c r="B262" i="57"/>
  <c r="G262" i="57"/>
  <c r="F266" i="57"/>
  <c r="D455" i="12" s="1"/>
  <c r="B266" i="57"/>
  <c r="G266" i="57"/>
  <c r="A267" i="57"/>
  <c r="B272" i="57"/>
  <c r="G272" i="57"/>
  <c r="B255" i="57"/>
  <c r="F255" i="57"/>
  <c r="D444" i="12" s="1"/>
  <c r="A256" i="57"/>
  <c r="B261" i="57"/>
  <c r="F261" i="57"/>
  <c r="D450" i="12" s="1"/>
  <c r="B301" i="57"/>
  <c r="F301" i="57"/>
  <c r="D490" i="12" s="1"/>
  <c r="A302" i="57"/>
  <c r="G301" i="57"/>
  <c r="G229" i="57"/>
  <c r="F254" i="57"/>
  <c r="D443" i="12" s="1"/>
  <c r="B254" i="57"/>
  <c r="B317" i="57"/>
  <c r="F271" i="57"/>
  <c r="D460" i="12" s="1"/>
  <c r="G276" i="57"/>
  <c r="B276" i="57"/>
  <c r="G281" i="57"/>
  <c r="G291" i="57"/>
  <c r="F296" i="57"/>
  <c r="D485" i="12" s="1"/>
  <c r="B296" i="57"/>
  <c r="G296" i="57"/>
  <c r="F311" i="57"/>
  <c r="D500" i="12" s="1"/>
  <c r="B311" i="57"/>
  <c r="A312" i="57"/>
  <c r="F306" i="57"/>
  <c r="D495" i="12" s="1"/>
  <c r="B306" i="57"/>
  <c r="B316" i="57"/>
  <c r="F316" i="57"/>
  <c r="D505" i="12" s="1"/>
  <c r="G316" i="57"/>
  <c r="AA169" i="57" l="1"/>
  <c r="AA170" i="57"/>
  <c r="X159" i="57"/>
  <c r="F148" i="57"/>
  <c r="D227" i="12" s="1"/>
  <c r="Y140" i="57"/>
  <c r="AA181" i="57"/>
  <c r="A35" i="57"/>
  <c r="X161" i="57"/>
  <c r="Y139" i="57"/>
  <c r="B34" i="57"/>
  <c r="F34" i="57"/>
  <c r="D248" i="12" s="1"/>
  <c r="E227" i="12"/>
  <c r="A298" i="57"/>
  <c r="Y19" i="57"/>
  <c r="Z47" i="57"/>
  <c r="G297" i="57"/>
  <c r="E297" i="57" s="1"/>
  <c r="C486" i="12" s="1"/>
  <c r="A132" i="57"/>
  <c r="Y20" i="57"/>
  <c r="A149" i="57"/>
  <c r="Y138" i="57"/>
  <c r="Z195" i="57"/>
  <c r="Z193" i="57"/>
  <c r="Z196" i="57"/>
  <c r="Y144" i="57"/>
  <c r="Y145" i="57"/>
  <c r="E309" i="12"/>
  <c r="E110" i="57"/>
  <c r="C309" i="12" s="1"/>
  <c r="F317" i="57"/>
  <c r="D506" i="12" s="1"/>
  <c r="B282" i="57"/>
  <c r="F247" i="57"/>
  <c r="D436" i="12" s="1"/>
  <c r="X174" i="57"/>
  <c r="Z122" i="57"/>
  <c r="Z132" i="57"/>
  <c r="Y122" i="57"/>
  <c r="X34" i="57"/>
  <c r="X47" i="57"/>
  <c r="X60" i="57"/>
  <c r="Y113" i="57"/>
  <c r="Y84" i="57"/>
  <c r="X26" i="57"/>
  <c r="E433" i="12"/>
  <c r="F282" i="57"/>
  <c r="D471" i="12" s="1"/>
  <c r="G246" i="57"/>
  <c r="B247" i="57"/>
  <c r="X175" i="57"/>
  <c r="A159" i="57"/>
  <c r="Z131" i="57"/>
  <c r="A122" i="57"/>
  <c r="F122" i="57" s="1"/>
  <c r="D321" i="12" s="1"/>
  <c r="AA185" i="57"/>
  <c r="Y123" i="57"/>
  <c r="X59" i="57"/>
  <c r="A25" i="57"/>
  <c r="Y81" i="57"/>
  <c r="X25" i="57"/>
  <c r="A318" i="57"/>
  <c r="F246" i="57"/>
  <c r="D435" i="12" s="1"/>
  <c r="G121" i="57"/>
  <c r="X36" i="57"/>
  <c r="B24" i="57"/>
  <c r="E277" i="12"/>
  <c r="E68" i="57"/>
  <c r="C277" i="12" s="1"/>
  <c r="E142" i="57"/>
  <c r="C341" i="12" s="1"/>
  <c r="E341" i="12"/>
  <c r="E43" i="57"/>
  <c r="C198" i="12" s="1"/>
  <c r="E198" i="12"/>
  <c r="E111" i="57"/>
  <c r="C310" i="12" s="1"/>
  <c r="E310" i="12"/>
  <c r="E48" i="57"/>
  <c r="C257" i="12" s="1"/>
  <c r="E257" i="12"/>
  <c r="E306" i="57"/>
  <c r="C495" i="12" s="1"/>
  <c r="E495" i="12"/>
  <c r="E221" i="12"/>
  <c r="E167" i="57"/>
  <c r="C221" i="12" s="1"/>
  <c r="E18" i="57"/>
  <c r="C238" i="12" s="1"/>
  <c r="E238" i="12"/>
  <c r="E63" i="57"/>
  <c r="C272" i="12" s="1"/>
  <c r="E272" i="12"/>
  <c r="E316" i="57"/>
  <c r="C505" i="12" s="1"/>
  <c r="E505" i="12"/>
  <c r="E262" i="57"/>
  <c r="C451" i="12" s="1"/>
  <c r="E451" i="12"/>
  <c r="E263" i="57"/>
  <c r="C452" i="12" s="1"/>
  <c r="E452" i="12"/>
  <c r="E249" i="57"/>
  <c r="C438" i="12" s="1"/>
  <c r="E438" i="12"/>
  <c r="E247" i="57"/>
  <c r="C436" i="12" s="1"/>
  <c r="E436" i="12"/>
  <c r="E162" i="57"/>
  <c r="C356" i="12" s="1"/>
  <c r="E356" i="12"/>
  <c r="E182" i="57"/>
  <c r="C371" i="12" s="1"/>
  <c r="E371" i="12"/>
  <c r="Y155" i="57"/>
  <c r="Y108" i="57"/>
  <c r="E125" i="57"/>
  <c r="C324" i="12" s="1"/>
  <c r="E324" i="12"/>
  <c r="E120" i="57"/>
  <c r="C319" i="12" s="1"/>
  <c r="E319" i="12"/>
  <c r="E90" i="57"/>
  <c r="C294" i="12" s="1"/>
  <c r="E294" i="12"/>
  <c r="E100" i="57"/>
  <c r="C304" i="12" s="1"/>
  <c r="E304" i="12"/>
  <c r="E33" i="57"/>
  <c r="C247" i="12" s="1"/>
  <c r="E247" i="12"/>
  <c r="AA178" i="57"/>
  <c r="E137" i="57"/>
  <c r="C336" i="12" s="1"/>
  <c r="E336" i="12"/>
  <c r="E131" i="57"/>
  <c r="C330" i="12" s="1"/>
  <c r="E330" i="12"/>
  <c r="E115" i="57"/>
  <c r="C314" i="12" s="1"/>
  <c r="E314" i="12"/>
  <c r="E38" i="57"/>
  <c r="C252" i="12" s="1"/>
  <c r="E252" i="12"/>
  <c r="E34" i="57"/>
  <c r="C248" i="12" s="1"/>
  <c r="E248" i="12"/>
  <c r="E85" i="57"/>
  <c r="C215" i="12" s="1"/>
  <c r="E215" i="12"/>
  <c r="Z79" i="57"/>
  <c r="E28" i="57"/>
  <c r="C242" i="12" s="1"/>
  <c r="E242" i="12"/>
  <c r="A231" i="57"/>
  <c r="G230" i="57"/>
  <c r="F230" i="57"/>
  <c r="D419" i="12" s="1"/>
  <c r="B230" i="57"/>
  <c r="E311" i="57"/>
  <c r="C500" i="12" s="1"/>
  <c r="E500" i="12"/>
  <c r="E152" i="57"/>
  <c r="C346" i="12" s="1"/>
  <c r="E346" i="12"/>
  <c r="E261" i="57"/>
  <c r="C450" i="12" s="1"/>
  <c r="E450" i="12"/>
  <c r="E301" i="57"/>
  <c r="C490" i="12" s="1"/>
  <c r="E490" i="12"/>
  <c r="E286" i="57"/>
  <c r="C475" i="12" s="1"/>
  <c r="E475" i="12"/>
  <c r="E178" i="57"/>
  <c r="C367" i="12" s="1"/>
  <c r="E367" i="12"/>
  <c r="E187" i="57"/>
  <c r="C376" i="12" s="1"/>
  <c r="E376" i="12"/>
  <c r="E121" i="57"/>
  <c r="C320" i="12" s="1"/>
  <c r="E320" i="12"/>
  <c r="E317" i="57"/>
  <c r="C506" i="12" s="1"/>
  <c r="E506" i="12"/>
  <c r="E266" i="57"/>
  <c r="C455" i="12" s="1"/>
  <c r="E455" i="12"/>
  <c r="E282" i="57"/>
  <c r="C471" i="12" s="1"/>
  <c r="E471" i="12"/>
  <c r="E291" i="57"/>
  <c r="C480" i="12" s="1"/>
  <c r="E480" i="12"/>
  <c r="E272" i="57"/>
  <c r="C461" i="12" s="1"/>
  <c r="E461" i="12"/>
  <c r="E246" i="57"/>
  <c r="C435" i="12" s="1"/>
  <c r="E435" i="12"/>
  <c r="E157" i="57"/>
  <c r="C351" i="12" s="1"/>
  <c r="E351" i="12"/>
  <c r="E158" i="57"/>
  <c r="C352" i="12" s="1"/>
  <c r="E352" i="12"/>
  <c r="Y97" i="57"/>
  <c r="E23" i="57"/>
  <c r="C204" i="12" s="1"/>
  <c r="E204" i="12"/>
  <c r="AA179" i="57"/>
  <c r="Z134" i="57"/>
  <c r="Z159" i="57"/>
  <c r="E184" i="57"/>
  <c r="C373" i="12" s="1"/>
  <c r="E373" i="12"/>
  <c r="Z98" i="57"/>
  <c r="Y112" i="57"/>
  <c r="Z78" i="57"/>
  <c r="Y117" i="57"/>
  <c r="B946" i="58"/>
  <c r="B840" i="58"/>
  <c r="B740" i="58"/>
  <c r="B642" i="58"/>
  <c r="B921" i="58"/>
  <c r="B815" i="58"/>
  <c r="B715" i="58"/>
  <c r="B663" i="58"/>
  <c r="B996" i="58"/>
  <c r="B896" i="58"/>
  <c r="B790" i="58"/>
  <c r="B600" i="58"/>
  <c r="B684" i="58"/>
  <c r="B971" i="58"/>
  <c r="B871" i="58"/>
  <c r="B765" i="58"/>
  <c r="B621" i="58"/>
  <c r="B579" i="58"/>
  <c r="A273" i="57"/>
  <c r="F272" i="57"/>
  <c r="D461" i="12" s="1"/>
  <c r="E53" i="57"/>
  <c r="C262" i="12" s="1"/>
  <c r="E262" i="12"/>
  <c r="A293" i="57"/>
  <c r="F292" i="57"/>
  <c r="D481" i="12" s="1"/>
  <c r="B292" i="57"/>
  <c r="G292" i="57"/>
  <c r="A112" i="57"/>
  <c r="F111" i="57"/>
  <c r="D310" i="12" s="1"/>
  <c r="E130" i="57"/>
  <c r="C329" i="12" s="1"/>
  <c r="E329" i="12"/>
  <c r="E296" i="57"/>
  <c r="C485" i="12" s="1"/>
  <c r="E485" i="12"/>
  <c r="E281" i="57"/>
  <c r="C470" i="12" s="1"/>
  <c r="E470" i="12"/>
  <c r="E276" i="57"/>
  <c r="C465" i="12" s="1"/>
  <c r="E465" i="12"/>
  <c r="E229" i="57"/>
  <c r="C418" i="12" s="1"/>
  <c r="E418" i="12"/>
  <c r="E277" i="57"/>
  <c r="C466" i="12" s="1"/>
  <c r="E466" i="12"/>
  <c r="E307" i="57"/>
  <c r="C496" i="12" s="1"/>
  <c r="E496" i="12"/>
  <c r="E245" i="57"/>
  <c r="C434" i="12" s="1"/>
  <c r="E434" i="12"/>
  <c r="E219" i="57"/>
  <c r="C408" i="12" s="1"/>
  <c r="E408" i="12"/>
  <c r="E215" i="57"/>
  <c r="C404" i="12" s="1"/>
  <c r="E404" i="12"/>
  <c r="E239" i="57"/>
  <c r="C428" i="12" s="1"/>
  <c r="E428" i="12"/>
  <c r="E147" i="57"/>
  <c r="C226" i="12" s="1"/>
  <c r="E226" i="12"/>
  <c r="E177" i="57"/>
  <c r="C366" i="12" s="1"/>
  <c r="E366" i="12"/>
  <c r="E173" i="57"/>
  <c r="C362" i="12" s="1"/>
  <c r="E362" i="12"/>
  <c r="E192" i="57"/>
  <c r="C381" i="12" s="1"/>
  <c r="E381" i="12"/>
  <c r="E183" i="57"/>
  <c r="C372" i="12" s="1"/>
  <c r="E372" i="12"/>
  <c r="E138" i="57"/>
  <c r="C337" i="12" s="1"/>
  <c r="E337" i="12"/>
  <c r="E96" i="57"/>
  <c r="C300" i="12" s="1"/>
  <c r="E300" i="12"/>
  <c r="E13" i="57"/>
  <c r="C233" i="12" s="1"/>
  <c r="E233" i="12"/>
  <c r="E80" i="57"/>
  <c r="C289" i="12" s="1"/>
  <c r="E289" i="12"/>
  <c r="E97" i="57"/>
  <c r="C301" i="12" s="1"/>
  <c r="E301" i="12"/>
  <c r="E81" i="57"/>
  <c r="C290" i="12" s="1"/>
  <c r="E290" i="12"/>
  <c r="E188" i="57"/>
  <c r="C377" i="12" s="1"/>
  <c r="E377" i="12"/>
  <c r="E126" i="57"/>
  <c r="C325" i="12" s="1"/>
  <c r="E325" i="12"/>
  <c r="E44" i="57"/>
  <c r="C199" i="12" s="1"/>
  <c r="E199" i="12"/>
  <c r="E361" i="12"/>
  <c r="E172" i="57"/>
  <c r="C361" i="12" s="1"/>
  <c r="B131" i="57"/>
  <c r="F131" i="57"/>
  <c r="D330" i="12" s="1"/>
  <c r="E58" i="57"/>
  <c r="C267" i="12" s="1"/>
  <c r="E267" i="12"/>
  <c r="F158" i="57"/>
  <c r="D352" i="12" s="1"/>
  <c r="B158" i="57"/>
  <c r="E24" i="57"/>
  <c r="C205" i="12" s="1"/>
  <c r="E205" i="12"/>
  <c r="B879" i="58"/>
  <c r="B539" i="58"/>
  <c r="B954" i="58"/>
  <c r="B748" i="58"/>
  <c r="B823" i="58"/>
  <c r="B547" i="58"/>
  <c r="B904" i="58"/>
  <c r="B698" i="58"/>
  <c r="B979" i="58"/>
  <c r="B773" i="58"/>
  <c r="B551" i="58"/>
  <c r="B854" i="58"/>
  <c r="B543" i="58"/>
  <c r="B535" i="58"/>
  <c r="B929" i="58"/>
  <c r="B723" i="58"/>
  <c r="B555" i="58"/>
  <c r="B798" i="58"/>
  <c r="B930" i="58"/>
  <c r="B824" i="58"/>
  <c r="B724" i="58"/>
  <c r="B548" i="58"/>
  <c r="B536" i="58"/>
  <c r="B905" i="58"/>
  <c r="B799" i="58"/>
  <c r="B699" i="58"/>
  <c r="B552" i="58"/>
  <c r="B980" i="58"/>
  <c r="B880" i="58"/>
  <c r="B774" i="58"/>
  <c r="B540" i="58"/>
  <c r="B556" i="58"/>
  <c r="B955" i="58"/>
  <c r="B855" i="58"/>
  <c r="B749" i="58"/>
  <c r="B544" i="58"/>
  <c r="B59" i="58"/>
  <c r="B111" i="58"/>
  <c r="B137" i="58"/>
  <c r="B163" i="58"/>
  <c r="B85" i="58"/>
  <c r="B43" i="58"/>
  <c r="B95" i="58"/>
  <c r="B121" i="58"/>
  <c r="B147" i="58"/>
  <c r="B69" i="58"/>
  <c r="B120" i="58"/>
  <c r="B146" i="58"/>
  <c r="B94" i="58"/>
  <c r="B42" i="58"/>
  <c r="B68" i="58"/>
  <c r="AA109" i="57"/>
  <c r="Z194" i="57"/>
  <c r="Z160" i="57"/>
  <c r="Z148" i="57"/>
  <c r="Z96" i="57"/>
  <c r="AA76" i="57"/>
  <c r="Y143" i="57"/>
  <c r="Y72" i="57"/>
  <c r="AA41" i="57"/>
  <c r="Z151" i="57"/>
  <c r="Y146" i="57"/>
  <c r="Z55" i="57"/>
  <c r="Y99" i="57"/>
  <c r="Y69" i="57"/>
  <c r="Z56" i="57"/>
  <c r="Z44" i="57"/>
  <c r="AA42" i="57"/>
  <c r="Y70" i="57"/>
  <c r="Z57" i="57"/>
  <c r="Z45" i="57"/>
  <c r="AA39" i="57"/>
  <c r="Y174" i="57"/>
  <c r="AA186" i="57"/>
  <c r="AA171" i="57"/>
  <c r="Z168" i="57"/>
  <c r="Z170" i="57"/>
  <c r="Z169" i="57"/>
  <c r="Y175" i="57"/>
  <c r="AA183" i="57"/>
  <c r="AA168" i="57"/>
  <c r="Z142" i="57"/>
  <c r="Z145" i="57" s="1"/>
  <c r="Z102" i="57"/>
  <c r="AA106" i="57"/>
  <c r="Y114" i="57"/>
  <c r="Z103" i="57"/>
  <c r="Y119" i="57"/>
  <c r="Y118" i="57"/>
  <c r="Z109" i="57"/>
  <c r="Z106" i="57"/>
  <c r="Z108" i="57"/>
  <c r="Z91" i="57"/>
  <c r="AA107" i="57"/>
  <c r="Z94" i="57"/>
  <c r="Z104" i="57"/>
  <c r="Z92" i="57"/>
  <c r="Z123" i="57"/>
  <c r="Z84" i="57"/>
  <c r="Z81" i="57"/>
  <c r="Y76" i="57"/>
  <c r="Y79" i="57"/>
  <c r="Y77" i="57"/>
  <c r="Y64" i="57"/>
  <c r="Y66" i="57"/>
  <c r="Y65" i="57"/>
  <c r="Z34" i="57"/>
  <c r="Z36" i="57"/>
  <c r="Z37" i="57"/>
  <c r="AA19" i="57"/>
  <c r="Z26" i="57"/>
  <c r="AA20" i="57"/>
  <c r="Z27" i="57"/>
  <c r="AA21" i="57"/>
  <c r="Z24" i="57"/>
  <c r="Z15" i="57"/>
  <c r="Z14" i="57"/>
  <c r="Z17" i="57"/>
  <c r="X133" i="57"/>
  <c r="X131" i="57"/>
  <c r="X134" i="57"/>
  <c r="X132" i="57"/>
  <c r="AA124" i="57"/>
  <c r="AA122" i="57"/>
  <c r="AA123" i="57"/>
  <c r="AA121" i="57"/>
  <c r="F116" i="57"/>
  <c r="D315" i="12" s="1"/>
  <c r="G116" i="57"/>
  <c r="B116" i="57"/>
  <c r="A117" i="57"/>
  <c r="X79" i="57"/>
  <c r="X78" i="57"/>
  <c r="X77" i="57"/>
  <c r="X76" i="57"/>
  <c r="Y62" i="57"/>
  <c r="Y61" i="57"/>
  <c r="Y60" i="57"/>
  <c r="Y59" i="57"/>
  <c r="AA62" i="57"/>
  <c r="AA61" i="57"/>
  <c r="AA60" i="57"/>
  <c r="AA59" i="57"/>
  <c r="AA145" i="57"/>
  <c r="AA143" i="57"/>
  <c r="AA146" i="57"/>
  <c r="AA144" i="57"/>
  <c r="F54" i="57"/>
  <c r="D263" i="12" s="1"/>
  <c r="B54" i="57"/>
  <c r="A55" i="57"/>
  <c r="G54" i="57"/>
  <c r="Z141" i="57"/>
  <c r="Z140" i="57"/>
  <c r="Z139" i="57"/>
  <c r="Z138" i="57"/>
  <c r="B132" i="57"/>
  <c r="A133" i="57"/>
  <c r="G132" i="57"/>
  <c r="F132" i="57"/>
  <c r="D331" i="12" s="1"/>
  <c r="Y134" i="57"/>
  <c r="Y133" i="57"/>
  <c r="Y132" i="57"/>
  <c r="Y131" i="57"/>
  <c r="Y17" i="57"/>
  <c r="Y16" i="57"/>
  <c r="Y15" i="57"/>
  <c r="Y14" i="57"/>
  <c r="B185" i="57"/>
  <c r="F185" i="57"/>
  <c r="D374" i="12" s="1"/>
  <c r="G185" i="57"/>
  <c r="A186" i="57"/>
  <c r="F86" i="57"/>
  <c r="D216" i="12" s="1"/>
  <c r="A87" i="57"/>
  <c r="G86" i="57"/>
  <c r="B86" i="57"/>
  <c r="B19" i="57"/>
  <c r="A20" i="57"/>
  <c r="G19" i="57"/>
  <c r="F19" i="57"/>
  <c r="D239" i="12" s="1"/>
  <c r="Z52" i="57"/>
  <c r="Z51" i="57"/>
  <c r="Z50" i="57"/>
  <c r="Z49" i="57"/>
  <c r="B29" i="57"/>
  <c r="A30" i="57"/>
  <c r="F29" i="57"/>
  <c r="D243" i="12" s="1"/>
  <c r="G29" i="57"/>
  <c r="B312" i="57"/>
  <c r="F312" i="57"/>
  <c r="D501" i="12" s="1"/>
  <c r="G312" i="57"/>
  <c r="A313" i="57"/>
  <c r="F278" i="57"/>
  <c r="D467" i="12" s="1"/>
  <c r="B278" i="57"/>
  <c r="A279" i="57"/>
  <c r="G278" i="57"/>
  <c r="Y196" i="57"/>
  <c r="Y195" i="57"/>
  <c r="Y194" i="57"/>
  <c r="Y193" i="57"/>
  <c r="X191" i="57"/>
  <c r="X190" i="57"/>
  <c r="X189" i="57"/>
  <c r="X188" i="57"/>
  <c r="AA191" i="57"/>
  <c r="AA190" i="57"/>
  <c r="AA189" i="57"/>
  <c r="AA188" i="57"/>
  <c r="Z146" i="57"/>
  <c r="Z144" i="57"/>
  <c r="Z143" i="57"/>
  <c r="AA141" i="57"/>
  <c r="AA140" i="57"/>
  <c r="AA139" i="57"/>
  <c r="AA138" i="57"/>
  <c r="B101" i="57"/>
  <c r="A102" i="57"/>
  <c r="G101" i="57"/>
  <c r="F101" i="57"/>
  <c r="D305" i="12" s="1"/>
  <c r="X156" i="57"/>
  <c r="X155" i="57"/>
  <c r="X154" i="57"/>
  <c r="X153" i="57"/>
  <c r="B256" i="57"/>
  <c r="F256" i="57"/>
  <c r="D445" i="12" s="1"/>
  <c r="A257" i="57"/>
  <c r="G256" i="57"/>
  <c r="A288" i="57"/>
  <c r="G287" i="57"/>
  <c r="B287" i="57"/>
  <c r="F287" i="57"/>
  <c r="D476" i="12" s="1"/>
  <c r="F250" i="57"/>
  <c r="D439" i="12" s="1"/>
  <c r="B250" i="57"/>
  <c r="A251" i="57"/>
  <c r="G250" i="57"/>
  <c r="Z176" i="57"/>
  <c r="Z175" i="57"/>
  <c r="Z174" i="57"/>
  <c r="Z173" i="57"/>
  <c r="F168" i="57"/>
  <c r="D222" i="12" s="1"/>
  <c r="A169" i="57"/>
  <c r="G168" i="57"/>
  <c r="B168" i="57"/>
  <c r="AA161" i="57"/>
  <c r="AA160" i="57"/>
  <c r="AA159" i="57"/>
  <c r="AA158" i="57"/>
  <c r="Y151" i="57"/>
  <c r="Y150" i="57"/>
  <c r="Y149" i="57"/>
  <c r="Y148" i="57"/>
  <c r="Z185" i="57"/>
  <c r="Z183" i="57"/>
  <c r="Z186" i="57"/>
  <c r="Z184" i="57"/>
  <c r="Y181" i="57"/>
  <c r="Y180" i="57"/>
  <c r="Y179" i="57"/>
  <c r="Y178" i="57"/>
  <c r="X196" i="57"/>
  <c r="X193" i="57"/>
  <c r="X195" i="57"/>
  <c r="X194" i="57"/>
  <c r="Y186" i="57"/>
  <c r="Y185" i="57"/>
  <c r="Y184" i="57"/>
  <c r="Y183" i="57"/>
  <c r="X166" i="57"/>
  <c r="X165" i="57"/>
  <c r="X164" i="57"/>
  <c r="X163" i="57"/>
  <c r="Z156" i="57"/>
  <c r="Z155" i="57"/>
  <c r="Z154" i="57"/>
  <c r="Z153" i="57"/>
  <c r="F149" i="57"/>
  <c r="D228" i="12" s="1"/>
  <c r="B149" i="57"/>
  <c r="G149" i="57"/>
  <c r="A150" i="57"/>
  <c r="AA99" i="57"/>
  <c r="AA98" i="57"/>
  <c r="AA97" i="57"/>
  <c r="AA96" i="57"/>
  <c r="X83" i="57"/>
  <c r="X81" i="57"/>
  <c r="X84" i="57"/>
  <c r="X82" i="57"/>
  <c r="B69" i="57"/>
  <c r="A70" i="57"/>
  <c r="G69" i="57"/>
  <c r="F69" i="57"/>
  <c r="D278" i="12" s="1"/>
  <c r="Y57" i="57"/>
  <c r="Y56" i="57"/>
  <c r="Y55" i="57"/>
  <c r="Y54" i="57"/>
  <c r="AA84" i="57"/>
  <c r="AA82" i="57"/>
  <c r="AA81" i="57"/>
  <c r="AA83" i="57"/>
  <c r="Z72" i="57"/>
  <c r="Z71" i="57"/>
  <c r="Z70" i="57"/>
  <c r="Z69" i="57"/>
  <c r="F64" i="57"/>
  <c r="D273" i="12" s="1"/>
  <c r="B64" i="57"/>
  <c r="A65" i="57"/>
  <c r="G64" i="57"/>
  <c r="AA47" i="57"/>
  <c r="AA46" i="57"/>
  <c r="AA45" i="57"/>
  <c r="AA44" i="57"/>
  <c r="AA27" i="57"/>
  <c r="AA26" i="57"/>
  <c r="AA25" i="57"/>
  <c r="AA24" i="57"/>
  <c r="B143" i="57"/>
  <c r="A144" i="57"/>
  <c r="F143" i="57"/>
  <c r="D342" i="12" s="1"/>
  <c r="G143" i="57"/>
  <c r="AA119" i="57"/>
  <c r="AA118" i="57"/>
  <c r="AA117" i="57"/>
  <c r="AA116" i="57"/>
  <c r="Z118" i="57"/>
  <c r="Z116" i="57"/>
  <c r="Z119" i="57"/>
  <c r="Z117" i="57"/>
  <c r="Y45" i="57"/>
  <c r="Y44" i="57"/>
  <c r="Y46" i="57"/>
  <c r="Y47" i="57"/>
  <c r="X56" i="57"/>
  <c r="X54" i="57"/>
  <c r="X57" i="57"/>
  <c r="X55" i="57"/>
  <c r="F45" i="57"/>
  <c r="D200" i="12" s="1"/>
  <c r="B45" i="57"/>
  <c r="A46" i="57"/>
  <c r="G45" i="57"/>
  <c r="Z88" i="57"/>
  <c r="Z86" i="57"/>
  <c r="Z87" i="57"/>
  <c r="Z89" i="57"/>
  <c r="Y89" i="57"/>
  <c r="Y87" i="57"/>
  <c r="Y88" i="57"/>
  <c r="Y86" i="57"/>
  <c r="X42" i="57"/>
  <c r="X41" i="57"/>
  <c r="X40" i="57"/>
  <c r="X39" i="57"/>
  <c r="Y32" i="57"/>
  <c r="Y31" i="57"/>
  <c r="Y30" i="57"/>
  <c r="Y29" i="57"/>
  <c r="B82" i="57"/>
  <c r="F82" i="57"/>
  <c r="D291" i="12" s="1"/>
  <c r="A83" i="57"/>
  <c r="G82" i="57"/>
  <c r="AA52" i="57"/>
  <c r="AA51" i="57"/>
  <c r="AA50" i="57"/>
  <c r="AA49" i="57"/>
  <c r="F318" i="57"/>
  <c r="D507" i="12" s="1"/>
  <c r="B318" i="57"/>
  <c r="G318" i="57"/>
  <c r="A319" i="57"/>
  <c r="B267" i="57"/>
  <c r="A268" i="57"/>
  <c r="F267" i="57"/>
  <c r="D456" i="12" s="1"/>
  <c r="G267" i="57"/>
  <c r="F283" i="57"/>
  <c r="D472" i="12" s="1"/>
  <c r="B283" i="57"/>
  <c r="G283" i="57"/>
  <c r="A284" i="57"/>
  <c r="B308" i="57"/>
  <c r="F308" i="57"/>
  <c r="D497" i="12" s="1"/>
  <c r="A309" i="57"/>
  <c r="G308" i="57"/>
  <c r="B216" i="57"/>
  <c r="A217" i="57"/>
  <c r="G216" i="57"/>
  <c r="F216" i="57"/>
  <c r="D405" i="12" s="1"/>
  <c r="B298" i="57"/>
  <c r="F298" i="57"/>
  <c r="D487" i="12" s="1"/>
  <c r="G298" i="57"/>
  <c r="A299" i="57"/>
  <c r="B205" i="57"/>
  <c r="A206" i="57"/>
  <c r="G205" i="57"/>
  <c r="F205" i="57"/>
  <c r="D394" i="12" s="1"/>
  <c r="X171" i="57"/>
  <c r="X170" i="57"/>
  <c r="X169" i="57"/>
  <c r="X168" i="57"/>
  <c r="A226" i="57"/>
  <c r="G225" i="57"/>
  <c r="B225" i="57"/>
  <c r="F225" i="57"/>
  <c r="D414" i="12" s="1"/>
  <c r="Y161" i="57"/>
  <c r="Y160" i="57"/>
  <c r="Y159" i="57"/>
  <c r="Y158" i="57"/>
  <c r="Z114" i="57"/>
  <c r="Z112" i="57"/>
  <c r="Z113" i="57"/>
  <c r="Z111" i="57"/>
  <c r="F106" i="57"/>
  <c r="D211" i="12" s="1"/>
  <c r="A107" i="57"/>
  <c r="B106" i="57"/>
  <c r="G106" i="57"/>
  <c r="AA196" i="57"/>
  <c r="AA195" i="57"/>
  <c r="AA194" i="57"/>
  <c r="AA193" i="57"/>
  <c r="F179" i="57"/>
  <c r="D368" i="12" s="1"/>
  <c r="G179" i="57"/>
  <c r="A180" i="57"/>
  <c r="B179" i="57"/>
  <c r="Z166" i="57"/>
  <c r="Z165" i="57"/>
  <c r="Z164" i="57"/>
  <c r="Z163" i="57"/>
  <c r="F159" i="57"/>
  <c r="D353" i="12" s="1"/>
  <c r="G159" i="57"/>
  <c r="A160" i="57"/>
  <c r="B159" i="57"/>
  <c r="Z191" i="57"/>
  <c r="Z190" i="57"/>
  <c r="Z189" i="57"/>
  <c r="Z188" i="57"/>
  <c r="Y191" i="57"/>
  <c r="Y190" i="57"/>
  <c r="Y188" i="57"/>
  <c r="Y189" i="57"/>
  <c r="X140" i="57"/>
  <c r="X138" i="57"/>
  <c r="X141" i="57"/>
  <c r="X139" i="57"/>
  <c r="X104" i="57"/>
  <c r="X102" i="57"/>
  <c r="X103" i="57"/>
  <c r="X101" i="57"/>
  <c r="B153" i="57"/>
  <c r="A154" i="57"/>
  <c r="G153" i="57"/>
  <c r="F153" i="57"/>
  <c r="D347" i="12" s="1"/>
  <c r="F139" i="57"/>
  <c r="D338" i="12" s="1"/>
  <c r="B139" i="57"/>
  <c r="A140" i="57"/>
  <c r="G139" i="57"/>
  <c r="B122" i="57"/>
  <c r="A123" i="57"/>
  <c r="G122" i="57"/>
  <c r="B91" i="57"/>
  <c r="F91" i="57"/>
  <c r="D295" i="12" s="1"/>
  <c r="A92" i="57"/>
  <c r="G91" i="57"/>
  <c r="AA72" i="57"/>
  <c r="AA70" i="57"/>
  <c r="AA71" i="57"/>
  <c r="AA69" i="57"/>
  <c r="AA67" i="57"/>
  <c r="AA66" i="57"/>
  <c r="AA65" i="57"/>
  <c r="AA64" i="57"/>
  <c r="X94" i="57"/>
  <c r="X92" i="57"/>
  <c r="X93" i="57"/>
  <c r="X91" i="57"/>
  <c r="X67" i="57"/>
  <c r="X66" i="57"/>
  <c r="X65" i="57"/>
  <c r="X64" i="57"/>
  <c r="AA129" i="57"/>
  <c r="AA128" i="57"/>
  <c r="AA127" i="57"/>
  <c r="AA126" i="57"/>
  <c r="Y129" i="57"/>
  <c r="Y127" i="57"/>
  <c r="Y128" i="57"/>
  <c r="Y126" i="57"/>
  <c r="Y104" i="57"/>
  <c r="Y103" i="57"/>
  <c r="Y102" i="57"/>
  <c r="Y101" i="57"/>
  <c r="AA94" i="57"/>
  <c r="AA93" i="57"/>
  <c r="AA92" i="57"/>
  <c r="AA91" i="57"/>
  <c r="AA134" i="57"/>
  <c r="AA133" i="57"/>
  <c r="AA132" i="57"/>
  <c r="AA131" i="57"/>
  <c r="X119" i="57"/>
  <c r="X118" i="57"/>
  <c r="X117" i="57"/>
  <c r="X116" i="57"/>
  <c r="Y37" i="57"/>
  <c r="Y36" i="57"/>
  <c r="Y35" i="57"/>
  <c r="Y34" i="57"/>
  <c r="AA32" i="57"/>
  <c r="AA31" i="57"/>
  <c r="AA30" i="57"/>
  <c r="AA29" i="57"/>
  <c r="Z42" i="57"/>
  <c r="Z41" i="57"/>
  <c r="Z40" i="57"/>
  <c r="Z39" i="57"/>
  <c r="F35" i="57"/>
  <c r="D249" i="12" s="1"/>
  <c r="B35" i="57"/>
  <c r="G35" i="57"/>
  <c r="A36" i="57"/>
  <c r="Z22" i="57"/>
  <c r="Z21" i="57"/>
  <c r="Z20" i="57"/>
  <c r="Z19" i="57"/>
  <c r="F127" i="57"/>
  <c r="D326" i="12" s="1"/>
  <c r="B127" i="57"/>
  <c r="A128" i="57"/>
  <c r="G127" i="57"/>
  <c r="X51" i="57"/>
  <c r="X49" i="57"/>
  <c r="X52" i="57"/>
  <c r="X50" i="57"/>
  <c r="B49" i="57"/>
  <c r="F49" i="57"/>
  <c r="D258" i="12" s="1"/>
  <c r="A50" i="57"/>
  <c r="G49" i="57"/>
  <c r="X31" i="57"/>
  <c r="X30" i="57"/>
  <c r="X29" i="57"/>
  <c r="X32" i="57"/>
  <c r="F210" i="57"/>
  <c r="D399" i="12" s="1"/>
  <c r="B210" i="57"/>
  <c r="A211" i="57"/>
  <c r="G210" i="57"/>
  <c r="AA151" i="57"/>
  <c r="AA150" i="57"/>
  <c r="AA149" i="57"/>
  <c r="AA148" i="57"/>
  <c r="B248" i="57"/>
  <c r="F248" i="57"/>
  <c r="D437" i="12" s="1"/>
  <c r="G248" i="57"/>
  <c r="F302" i="57"/>
  <c r="D491" i="12" s="1"/>
  <c r="B302" i="57"/>
  <c r="A303" i="57"/>
  <c r="G302" i="57"/>
  <c r="A236" i="57"/>
  <c r="G235" i="57"/>
  <c r="F235" i="57"/>
  <c r="D424" i="12" s="1"/>
  <c r="B235" i="57"/>
  <c r="F264" i="57"/>
  <c r="D453" i="12" s="1"/>
  <c r="B264" i="57"/>
  <c r="G264" i="57"/>
  <c r="A265" i="57"/>
  <c r="B240" i="57"/>
  <c r="F240" i="57"/>
  <c r="D429" i="12" s="1"/>
  <c r="A241" i="57"/>
  <c r="G240" i="57"/>
  <c r="F220" i="57"/>
  <c r="D409" i="12" s="1"/>
  <c r="A221" i="57"/>
  <c r="G220" i="57"/>
  <c r="B220" i="57"/>
  <c r="F200" i="57"/>
  <c r="D389" i="12" s="1"/>
  <c r="B200" i="57"/>
  <c r="A201" i="57"/>
  <c r="G200" i="57"/>
  <c r="X181" i="57"/>
  <c r="X180" i="57"/>
  <c r="X179" i="57"/>
  <c r="X178" i="57"/>
  <c r="Z180" i="57"/>
  <c r="Z178" i="57"/>
  <c r="Z181" i="57"/>
  <c r="Z179" i="57"/>
  <c r="B174" i="57"/>
  <c r="G174" i="57"/>
  <c r="F174" i="57"/>
  <c r="D363" i="12" s="1"/>
  <c r="A175" i="57"/>
  <c r="AA166" i="57"/>
  <c r="AA165" i="57"/>
  <c r="AA164" i="57"/>
  <c r="AA163" i="57"/>
  <c r="X108" i="57"/>
  <c r="X106" i="57"/>
  <c r="X109" i="57"/>
  <c r="X107" i="57"/>
  <c r="B193" i="57"/>
  <c r="F193" i="57"/>
  <c r="D382" i="12" s="1"/>
  <c r="A194" i="57"/>
  <c r="G193" i="57"/>
  <c r="Y166" i="57"/>
  <c r="Y165" i="57"/>
  <c r="Y164" i="57"/>
  <c r="Y163" i="57"/>
  <c r="A164" i="57"/>
  <c r="B163" i="57"/>
  <c r="G163" i="57"/>
  <c r="F163" i="57"/>
  <c r="D357" i="12" s="1"/>
  <c r="AA104" i="57"/>
  <c r="AA102" i="57"/>
  <c r="AA103" i="57"/>
  <c r="AA101" i="57"/>
  <c r="Z128" i="57"/>
  <c r="Z126" i="57"/>
  <c r="Z129" i="57"/>
  <c r="Z127" i="57"/>
  <c r="X98" i="57"/>
  <c r="X96" i="57"/>
  <c r="X99" i="57"/>
  <c r="X97" i="57"/>
  <c r="F76" i="57"/>
  <c r="D285" i="12" s="1"/>
  <c r="A77" i="57"/>
  <c r="G76" i="57"/>
  <c r="B76" i="57"/>
  <c r="X72" i="57"/>
  <c r="X71" i="57"/>
  <c r="X70" i="57"/>
  <c r="X69" i="57"/>
  <c r="B59" i="57"/>
  <c r="A60" i="57"/>
  <c r="G59" i="57"/>
  <c r="F59" i="57"/>
  <c r="D268" i="12" s="1"/>
  <c r="AA57" i="57"/>
  <c r="AA56" i="57"/>
  <c r="AA55" i="57"/>
  <c r="AA54" i="57"/>
  <c r="AA37" i="57"/>
  <c r="AA36" i="57"/>
  <c r="AA35" i="57"/>
  <c r="AA34" i="57"/>
  <c r="AA17" i="57"/>
  <c r="AA16" i="57"/>
  <c r="AA15" i="57"/>
  <c r="AA14" i="57"/>
  <c r="X146" i="57"/>
  <c r="X144" i="57"/>
  <c r="X145" i="57"/>
  <c r="X143" i="57"/>
  <c r="X129" i="57"/>
  <c r="X127" i="57"/>
  <c r="X128" i="57"/>
  <c r="X126" i="57"/>
  <c r="Y94" i="57"/>
  <c r="Y93" i="57"/>
  <c r="Y92" i="57"/>
  <c r="Y91" i="57"/>
  <c r="Y27" i="57"/>
  <c r="Y26" i="57"/>
  <c r="Y25" i="57"/>
  <c r="Y24" i="57"/>
  <c r="Z62" i="57"/>
  <c r="Z61" i="57"/>
  <c r="Z60" i="57"/>
  <c r="Z59" i="57"/>
  <c r="F98" i="57"/>
  <c r="D302" i="12" s="1"/>
  <c r="B98" i="57"/>
  <c r="A99" i="57"/>
  <c r="G98" i="57"/>
  <c r="AA89" i="57"/>
  <c r="AA88" i="57"/>
  <c r="AA87" i="57"/>
  <c r="AA86" i="57"/>
  <c r="B39" i="57"/>
  <c r="F39" i="57"/>
  <c r="D253" i="12" s="1"/>
  <c r="A40" i="57"/>
  <c r="G39" i="57"/>
  <c r="X22" i="57"/>
  <c r="X21" i="57"/>
  <c r="X20" i="57"/>
  <c r="X19" i="57"/>
  <c r="F15" i="57"/>
  <c r="D235" i="12" s="1"/>
  <c r="B15" i="57"/>
  <c r="G15" i="57"/>
  <c r="A16" i="57"/>
  <c r="F25" i="57"/>
  <c r="D206" i="12" s="1"/>
  <c r="B25" i="57"/>
  <c r="A26" i="57"/>
  <c r="G25" i="57"/>
  <c r="F189" i="57"/>
  <c r="D378" i="12" s="1"/>
  <c r="B189" i="57"/>
  <c r="G189" i="57"/>
  <c r="A190" i="57"/>
  <c r="Y52" i="57"/>
  <c r="Y51" i="57"/>
  <c r="Y50" i="57"/>
  <c r="Y49" i="57"/>
  <c r="Z32" i="57"/>
  <c r="Z31" i="57"/>
  <c r="Z30" i="57"/>
  <c r="Z29" i="57"/>
  <c r="E486" i="12" l="1"/>
  <c r="E39" i="57"/>
  <c r="C253" i="12" s="1"/>
  <c r="E253" i="12"/>
  <c r="E193" i="57"/>
  <c r="C382" i="12" s="1"/>
  <c r="E382" i="12"/>
  <c r="E200" i="57"/>
  <c r="C389" i="12" s="1"/>
  <c r="E389" i="12"/>
  <c r="E302" i="57"/>
  <c r="C491" i="12" s="1"/>
  <c r="E491" i="12"/>
  <c r="E248" i="57"/>
  <c r="C437" i="12" s="1"/>
  <c r="E437" i="12"/>
  <c r="E91" i="57"/>
  <c r="C295" i="12" s="1"/>
  <c r="E295" i="12"/>
  <c r="E179" i="57"/>
  <c r="C368" i="12" s="1"/>
  <c r="E368" i="12"/>
  <c r="E106" i="57"/>
  <c r="C211" i="12" s="1"/>
  <c r="E211" i="12"/>
  <c r="E267" i="57"/>
  <c r="C456" i="12" s="1"/>
  <c r="E456" i="12"/>
  <c r="E82" i="57"/>
  <c r="C291" i="12" s="1"/>
  <c r="E291" i="12"/>
  <c r="E64" i="57"/>
  <c r="C273" i="12" s="1"/>
  <c r="E273" i="12"/>
  <c r="E287" i="57"/>
  <c r="C476" i="12" s="1"/>
  <c r="E476" i="12"/>
  <c r="E19" i="57"/>
  <c r="C239" i="12" s="1"/>
  <c r="E239" i="12"/>
  <c r="E132" i="57"/>
  <c r="C331" i="12" s="1"/>
  <c r="E331" i="12"/>
  <c r="E116" i="57"/>
  <c r="C315" i="12" s="1"/>
  <c r="E315" i="12"/>
  <c r="A113" i="57"/>
  <c r="F112" i="57"/>
  <c r="D311" i="12" s="1"/>
  <c r="B112" i="57"/>
  <c r="G112" i="57"/>
  <c r="F293" i="57"/>
  <c r="D482" i="12" s="1"/>
  <c r="G293" i="57"/>
  <c r="B293" i="57"/>
  <c r="A294" i="57"/>
  <c r="B273" i="57"/>
  <c r="A274" i="57"/>
  <c r="G273" i="57"/>
  <c r="F273" i="57"/>
  <c r="D462" i="12" s="1"/>
  <c r="E298" i="57"/>
  <c r="C487" i="12" s="1"/>
  <c r="E487" i="12"/>
  <c r="E216" i="57"/>
  <c r="C405" i="12" s="1"/>
  <c r="E405" i="12"/>
  <c r="E308" i="57"/>
  <c r="C497" i="12" s="1"/>
  <c r="E497" i="12"/>
  <c r="E45" i="57"/>
  <c r="C200" i="12" s="1"/>
  <c r="E200" i="12"/>
  <c r="E168" i="57"/>
  <c r="C222" i="12" s="1"/>
  <c r="E222" i="12"/>
  <c r="E256" i="57"/>
  <c r="C445" i="12" s="1"/>
  <c r="E445" i="12"/>
  <c r="E101" i="57"/>
  <c r="C305" i="12" s="1"/>
  <c r="E305" i="12"/>
  <c r="E86" i="57"/>
  <c r="C216" i="12" s="1"/>
  <c r="E216" i="12"/>
  <c r="E292" i="57"/>
  <c r="C481" i="12" s="1"/>
  <c r="E481" i="12"/>
  <c r="E25" i="57"/>
  <c r="C206" i="12" s="1"/>
  <c r="E206" i="12"/>
  <c r="E174" i="57"/>
  <c r="C363" i="12" s="1"/>
  <c r="E363" i="12"/>
  <c r="E220" i="57"/>
  <c r="C409" i="12" s="1"/>
  <c r="E409" i="12"/>
  <c r="E235" i="57"/>
  <c r="C424" i="12" s="1"/>
  <c r="E424" i="12"/>
  <c r="E210" i="57"/>
  <c r="C399" i="12" s="1"/>
  <c r="E399" i="12"/>
  <c r="E49" i="57"/>
  <c r="C258" i="12" s="1"/>
  <c r="E258" i="12"/>
  <c r="E35" i="57"/>
  <c r="C249" i="12" s="1"/>
  <c r="E249" i="12"/>
  <c r="E159" i="57"/>
  <c r="C353" i="12" s="1"/>
  <c r="E353" i="12"/>
  <c r="E76" i="57"/>
  <c r="C285" i="12" s="1"/>
  <c r="E285" i="12"/>
  <c r="E240" i="57"/>
  <c r="C429" i="12" s="1"/>
  <c r="E429" i="12"/>
  <c r="E264" i="57"/>
  <c r="C453" i="12" s="1"/>
  <c r="E453" i="12"/>
  <c r="E122" i="57"/>
  <c r="C321" i="12" s="1"/>
  <c r="E321" i="12"/>
  <c r="E139" i="57"/>
  <c r="C338" i="12" s="1"/>
  <c r="E338" i="12"/>
  <c r="E225" i="57"/>
  <c r="C414" i="12" s="1"/>
  <c r="E414" i="12"/>
  <c r="E205" i="57"/>
  <c r="C394" i="12" s="1"/>
  <c r="E394" i="12"/>
  <c r="E283" i="57"/>
  <c r="C472" i="12" s="1"/>
  <c r="E472" i="12"/>
  <c r="E318" i="57"/>
  <c r="C507" i="12" s="1"/>
  <c r="E507" i="12"/>
  <c r="E143" i="57"/>
  <c r="C342" i="12" s="1"/>
  <c r="E342" i="12"/>
  <c r="E69" i="57"/>
  <c r="C278" i="12" s="1"/>
  <c r="E278" i="12"/>
  <c r="E250" i="57"/>
  <c r="C439" i="12" s="1"/>
  <c r="E439" i="12"/>
  <c r="E278" i="57"/>
  <c r="C467" i="12" s="1"/>
  <c r="E467" i="12"/>
  <c r="E29" i="57"/>
  <c r="C243" i="12" s="1"/>
  <c r="E243" i="12"/>
  <c r="E54" i="57"/>
  <c r="C263" i="12" s="1"/>
  <c r="E263" i="12"/>
  <c r="E230" i="57"/>
  <c r="C419" i="12" s="1"/>
  <c r="E419" i="12"/>
  <c r="E189" i="57"/>
  <c r="C378" i="12" s="1"/>
  <c r="E378" i="12"/>
  <c r="E59" i="57"/>
  <c r="C268" i="12" s="1"/>
  <c r="E268" i="12"/>
  <c r="E15" i="57"/>
  <c r="C235" i="12" s="1"/>
  <c r="E235" i="12"/>
  <c r="E98" i="57"/>
  <c r="C302" i="12" s="1"/>
  <c r="E302" i="12"/>
  <c r="E163" i="57"/>
  <c r="C357" i="12" s="1"/>
  <c r="E357" i="12"/>
  <c r="E127" i="57"/>
  <c r="C326" i="12" s="1"/>
  <c r="E326" i="12"/>
  <c r="E153" i="57"/>
  <c r="C347" i="12" s="1"/>
  <c r="E347" i="12"/>
  <c r="E149" i="57"/>
  <c r="C228" i="12" s="1"/>
  <c r="E228" i="12"/>
  <c r="E312" i="57"/>
  <c r="C501" i="12" s="1"/>
  <c r="E501" i="12"/>
  <c r="E185" i="57"/>
  <c r="C374" i="12" s="1"/>
  <c r="E374" i="12"/>
  <c r="F231" i="57"/>
  <c r="D420" i="12" s="1"/>
  <c r="B231" i="57"/>
  <c r="G231" i="57"/>
  <c r="A232" i="57"/>
  <c r="B50" i="57"/>
  <c r="F50" i="57"/>
  <c r="D259" i="12" s="1"/>
  <c r="A51" i="57"/>
  <c r="G50" i="57"/>
  <c r="F180" i="57"/>
  <c r="D369" i="12" s="1"/>
  <c r="G180" i="57"/>
  <c r="A181" i="57"/>
  <c r="B180" i="57"/>
  <c r="B309" i="57"/>
  <c r="F309" i="57"/>
  <c r="D498" i="12" s="1"/>
  <c r="A310" i="57"/>
  <c r="G309" i="57"/>
  <c r="F99" i="57"/>
  <c r="D303" i="12" s="1"/>
  <c r="B99" i="57"/>
  <c r="G99" i="57"/>
  <c r="B60" i="57"/>
  <c r="A61" i="57"/>
  <c r="G60" i="57"/>
  <c r="F60" i="57"/>
  <c r="D269" i="12" s="1"/>
  <c r="F128" i="57"/>
  <c r="D327" i="12" s="1"/>
  <c r="A129" i="57"/>
  <c r="G128" i="57"/>
  <c r="B128" i="57"/>
  <c r="B123" i="57"/>
  <c r="F123" i="57"/>
  <c r="D322" i="12" s="1"/>
  <c r="A124" i="57"/>
  <c r="G123" i="57"/>
  <c r="F140" i="57"/>
  <c r="D339" i="12" s="1"/>
  <c r="B140" i="57"/>
  <c r="A141" i="57"/>
  <c r="G140" i="57"/>
  <c r="F160" i="57"/>
  <c r="D354" i="12" s="1"/>
  <c r="G160" i="57"/>
  <c r="A161" i="57"/>
  <c r="B160" i="57"/>
  <c r="F107" i="57"/>
  <c r="D212" i="12" s="1"/>
  <c r="A108" i="57"/>
  <c r="G107" i="57"/>
  <c r="B107" i="57"/>
  <c r="B83" i="57"/>
  <c r="F83" i="57"/>
  <c r="D292" i="12" s="1"/>
  <c r="A84" i="57"/>
  <c r="G83" i="57"/>
  <c r="F46" i="57"/>
  <c r="D201" i="12" s="1"/>
  <c r="G46" i="57"/>
  <c r="B46" i="57"/>
  <c r="A47" i="57"/>
  <c r="A289" i="57"/>
  <c r="G288" i="57"/>
  <c r="B288" i="57"/>
  <c r="F288" i="57"/>
  <c r="D477" i="12" s="1"/>
  <c r="B257" i="57"/>
  <c r="F257" i="57"/>
  <c r="D446" i="12" s="1"/>
  <c r="A258" i="57"/>
  <c r="G257" i="57"/>
  <c r="A280" i="57"/>
  <c r="F279" i="57"/>
  <c r="D468" i="12" s="1"/>
  <c r="B279" i="57"/>
  <c r="G279" i="57"/>
  <c r="B30" i="57"/>
  <c r="A31" i="57"/>
  <c r="F30" i="57"/>
  <c r="D244" i="12" s="1"/>
  <c r="G30" i="57"/>
  <c r="F16" i="57"/>
  <c r="D236" i="12" s="1"/>
  <c r="B16" i="57"/>
  <c r="G16" i="57"/>
  <c r="A17" i="57"/>
  <c r="F221" i="57"/>
  <c r="D410" i="12" s="1"/>
  <c r="A222" i="57"/>
  <c r="G221" i="57"/>
  <c r="B221" i="57"/>
  <c r="F265" i="57"/>
  <c r="D454" i="12" s="1"/>
  <c r="B265" i="57"/>
  <c r="G265" i="57"/>
  <c r="B154" i="57"/>
  <c r="A155" i="57"/>
  <c r="G154" i="57"/>
  <c r="F154" i="57"/>
  <c r="D348" i="12" s="1"/>
  <c r="A227" i="57"/>
  <c r="G226" i="57"/>
  <c r="F226" i="57"/>
  <c r="D415" i="12" s="1"/>
  <c r="B226" i="57"/>
  <c r="B217" i="57"/>
  <c r="A218" i="57"/>
  <c r="G217" i="57"/>
  <c r="F217" i="57"/>
  <c r="D406" i="12" s="1"/>
  <c r="F65" i="57"/>
  <c r="D274" i="12" s="1"/>
  <c r="B65" i="57"/>
  <c r="A66" i="57"/>
  <c r="G65" i="57"/>
  <c r="B70" i="57"/>
  <c r="A71" i="57"/>
  <c r="G70" i="57"/>
  <c r="F70" i="57"/>
  <c r="D279" i="12" s="1"/>
  <c r="F169" i="57"/>
  <c r="D223" i="12" s="1"/>
  <c r="A170" i="57"/>
  <c r="G169" i="57"/>
  <c r="B169" i="57"/>
  <c r="F251" i="57"/>
  <c r="D440" i="12" s="1"/>
  <c r="B251" i="57"/>
  <c r="A252" i="57"/>
  <c r="G251" i="57"/>
  <c r="B102" i="57"/>
  <c r="A103" i="57"/>
  <c r="G102" i="57"/>
  <c r="F102" i="57"/>
  <c r="D306" i="12" s="1"/>
  <c r="B313" i="57"/>
  <c r="F313" i="57"/>
  <c r="D502" i="12" s="1"/>
  <c r="G313" i="57"/>
  <c r="A314" i="57"/>
  <c r="F87" i="57"/>
  <c r="D217" i="12" s="1"/>
  <c r="A88" i="57"/>
  <c r="G87" i="57"/>
  <c r="B87" i="57"/>
  <c r="B133" i="57"/>
  <c r="A134" i="57"/>
  <c r="G133" i="57"/>
  <c r="F133" i="57"/>
  <c r="D332" i="12" s="1"/>
  <c r="F117" i="57"/>
  <c r="D316" i="12" s="1"/>
  <c r="G117" i="57"/>
  <c r="A118" i="57"/>
  <c r="B117" i="57"/>
  <c r="F26" i="57"/>
  <c r="D207" i="12" s="1"/>
  <c r="B26" i="57"/>
  <c r="A27" i="57"/>
  <c r="G26" i="57"/>
  <c r="B40" i="57"/>
  <c r="A41" i="57"/>
  <c r="G40" i="57"/>
  <c r="F40" i="57"/>
  <c r="D254" i="12" s="1"/>
  <c r="F201" i="57"/>
  <c r="D390" i="12" s="1"/>
  <c r="B201" i="57"/>
  <c r="A202" i="57"/>
  <c r="G201" i="57"/>
  <c r="F303" i="57"/>
  <c r="D492" i="12" s="1"/>
  <c r="B303" i="57"/>
  <c r="A304" i="57"/>
  <c r="G303" i="57"/>
  <c r="F211" i="57"/>
  <c r="D400" i="12" s="1"/>
  <c r="B211" i="57"/>
  <c r="A212" i="57"/>
  <c r="G211" i="57"/>
  <c r="F190" i="57"/>
  <c r="D379" i="12" s="1"/>
  <c r="G190" i="57"/>
  <c r="B190" i="57"/>
  <c r="A191" i="57"/>
  <c r="F77" i="57"/>
  <c r="D286" i="12" s="1"/>
  <c r="A78" i="57"/>
  <c r="G77" i="57"/>
  <c r="B77" i="57"/>
  <c r="B164" i="57"/>
  <c r="A165" i="57"/>
  <c r="G164" i="57"/>
  <c r="F164" i="57"/>
  <c r="D358" i="12" s="1"/>
  <c r="B194" i="57"/>
  <c r="F194" i="57"/>
  <c r="D383" i="12" s="1"/>
  <c r="A195" i="57"/>
  <c r="G194" i="57"/>
  <c r="B175" i="57"/>
  <c r="G175" i="57"/>
  <c r="F175" i="57"/>
  <c r="D364" i="12" s="1"/>
  <c r="A176" i="57"/>
  <c r="B241" i="57"/>
  <c r="F241" i="57"/>
  <c r="D430" i="12" s="1"/>
  <c r="A242" i="57"/>
  <c r="G241" i="57"/>
  <c r="A237" i="57"/>
  <c r="G236" i="57"/>
  <c r="F236" i="57"/>
  <c r="D425" i="12" s="1"/>
  <c r="B236" i="57"/>
  <c r="F36" i="57"/>
  <c r="D250" i="12" s="1"/>
  <c r="B36" i="57"/>
  <c r="G36" i="57"/>
  <c r="A37" i="57"/>
  <c r="B92" i="57"/>
  <c r="A93" i="57"/>
  <c r="G92" i="57"/>
  <c r="F92" i="57"/>
  <c r="D296" i="12" s="1"/>
  <c r="B206" i="57"/>
  <c r="A207" i="57"/>
  <c r="G206" i="57"/>
  <c r="F206" i="57"/>
  <c r="D395" i="12" s="1"/>
  <c r="B299" i="57"/>
  <c r="F299" i="57"/>
  <c r="D488" i="12" s="1"/>
  <c r="G299" i="57"/>
  <c r="A300" i="57"/>
  <c r="F284" i="57"/>
  <c r="D473" i="12" s="1"/>
  <c r="B284" i="57"/>
  <c r="G284" i="57"/>
  <c r="A285" i="57"/>
  <c r="F319" i="57"/>
  <c r="D508" i="12" s="1"/>
  <c r="B319" i="57"/>
  <c r="G319" i="57"/>
  <c r="A320" i="57"/>
  <c r="B20" i="57"/>
  <c r="A21" i="57"/>
  <c r="G20" i="57"/>
  <c r="F20" i="57"/>
  <c r="D240" i="12" s="1"/>
  <c r="B186" i="57"/>
  <c r="F186" i="57"/>
  <c r="D375" i="12" s="1"/>
  <c r="G186" i="57"/>
  <c r="F268" i="57"/>
  <c r="D457" i="12" s="1"/>
  <c r="A269" i="57"/>
  <c r="B268" i="57"/>
  <c r="G268" i="57"/>
  <c r="B144" i="57"/>
  <c r="A145" i="57"/>
  <c r="G144" i="57"/>
  <c r="F144" i="57"/>
  <c r="D343" i="12" s="1"/>
  <c r="F150" i="57"/>
  <c r="D229" i="12" s="1"/>
  <c r="B150" i="57"/>
  <c r="G150" i="57"/>
  <c r="A151" i="57"/>
  <c r="F55" i="57"/>
  <c r="D264" i="12" s="1"/>
  <c r="B55" i="57"/>
  <c r="A56" i="57"/>
  <c r="G55" i="57"/>
  <c r="E206" i="57" l="1"/>
  <c r="C395" i="12" s="1"/>
  <c r="E395" i="12"/>
  <c r="E236" i="57"/>
  <c r="C425" i="12" s="1"/>
  <c r="E425" i="12"/>
  <c r="E194" i="57"/>
  <c r="C383" i="12" s="1"/>
  <c r="E383" i="12"/>
  <c r="E26" i="57"/>
  <c r="C207" i="12" s="1"/>
  <c r="E207" i="12"/>
  <c r="E87" i="57"/>
  <c r="C217" i="12" s="1"/>
  <c r="E217" i="12"/>
  <c r="E102" i="57"/>
  <c r="C306" i="12" s="1"/>
  <c r="E306" i="12"/>
  <c r="E265" i="57"/>
  <c r="C454" i="12" s="1"/>
  <c r="E454" i="12"/>
  <c r="E16" i="57"/>
  <c r="C236" i="12" s="1"/>
  <c r="E236" i="12"/>
  <c r="E288" i="57"/>
  <c r="C477" i="12" s="1"/>
  <c r="E477" i="12"/>
  <c r="E83" i="57"/>
  <c r="C292" i="12" s="1"/>
  <c r="E292" i="12"/>
  <c r="E128" i="57"/>
  <c r="C327" i="12" s="1"/>
  <c r="E327" i="12"/>
  <c r="G274" i="57"/>
  <c r="F274" i="57"/>
  <c r="D463" i="12" s="1"/>
  <c r="B274" i="57"/>
  <c r="A275" i="57"/>
  <c r="E293" i="57"/>
  <c r="C482" i="12" s="1"/>
  <c r="E482" i="12"/>
  <c r="E55" i="57"/>
  <c r="C264" i="12" s="1"/>
  <c r="E264" i="12"/>
  <c r="E150" i="57"/>
  <c r="C229" i="12" s="1"/>
  <c r="E229" i="12"/>
  <c r="E268" i="57"/>
  <c r="C457" i="12" s="1"/>
  <c r="E457" i="12"/>
  <c r="E175" i="57"/>
  <c r="C364" i="12" s="1"/>
  <c r="E364" i="12"/>
  <c r="E164" i="57"/>
  <c r="C358" i="12" s="1"/>
  <c r="E358" i="12"/>
  <c r="E211" i="57"/>
  <c r="C400" i="12" s="1"/>
  <c r="E400" i="12"/>
  <c r="E40" i="57"/>
  <c r="C254" i="12" s="1"/>
  <c r="E254" i="12"/>
  <c r="E133" i="57"/>
  <c r="C332" i="12" s="1"/>
  <c r="E332" i="12"/>
  <c r="E217" i="57"/>
  <c r="C406" i="12" s="1"/>
  <c r="E406" i="12"/>
  <c r="E107" i="57"/>
  <c r="C212" i="12" s="1"/>
  <c r="E212" i="12"/>
  <c r="E309" i="57"/>
  <c r="C498" i="12" s="1"/>
  <c r="E498" i="12"/>
  <c r="E50" i="57"/>
  <c r="C259" i="12" s="1"/>
  <c r="E259" i="12"/>
  <c r="F232" i="57"/>
  <c r="D421" i="12" s="1"/>
  <c r="B232" i="57"/>
  <c r="A233" i="57"/>
  <c r="G232" i="57"/>
  <c r="A114" i="57"/>
  <c r="F113" i="57"/>
  <c r="D312" i="12" s="1"/>
  <c r="B113" i="57"/>
  <c r="G113" i="57"/>
  <c r="E144" i="57"/>
  <c r="C343" i="12" s="1"/>
  <c r="E343" i="12"/>
  <c r="E186" i="57"/>
  <c r="C375" i="12" s="1"/>
  <c r="E375" i="12"/>
  <c r="E20" i="57"/>
  <c r="C240" i="12" s="1"/>
  <c r="E240" i="12"/>
  <c r="E319" i="57"/>
  <c r="C508" i="12" s="1"/>
  <c r="E508" i="12"/>
  <c r="E92" i="57"/>
  <c r="C296" i="12" s="1"/>
  <c r="E296" i="12"/>
  <c r="E241" i="57"/>
  <c r="C430" i="12" s="1"/>
  <c r="E430" i="12"/>
  <c r="E77" i="57"/>
  <c r="C286" i="12" s="1"/>
  <c r="E286" i="12"/>
  <c r="E190" i="57"/>
  <c r="C379" i="12" s="1"/>
  <c r="E379" i="12"/>
  <c r="E303" i="57"/>
  <c r="C492" i="12" s="1"/>
  <c r="E492" i="12"/>
  <c r="E201" i="57"/>
  <c r="C390" i="12" s="1"/>
  <c r="E390" i="12"/>
  <c r="E313" i="57"/>
  <c r="C502" i="12" s="1"/>
  <c r="E502" i="12"/>
  <c r="E251" i="57"/>
  <c r="C440" i="12" s="1"/>
  <c r="E440" i="12"/>
  <c r="E65" i="57"/>
  <c r="C274" i="12" s="1"/>
  <c r="E274" i="12"/>
  <c r="E226" i="57"/>
  <c r="C415" i="12" s="1"/>
  <c r="E415" i="12"/>
  <c r="E154" i="57"/>
  <c r="C348" i="12" s="1"/>
  <c r="E348" i="12"/>
  <c r="E30" i="57"/>
  <c r="C244" i="12" s="1"/>
  <c r="E244" i="12"/>
  <c r="E257" i="57"/>
  <c r="C446" i="12" s="1"/>
  <c r="E446" i="12"/>
  <c r="E46" i="57"/>
  <c r="C201" i="12" s="1"/>
  <c r="E201" i="12"/>
  <c r="E60" i="57"/>
  <c r="C269" i="12" s="1"/>
  <c r="E269" i="12"/>
  <c r="E99" i="57"/>
  <c r="C303" i="12" s="1"/>
  <c r="E303" i="12"/>
  <c r="E231" i="57"/>
  <c r="C420" i="12" s="1"/>
  <c r="E420" i="12"/>
  <c r="B294" i="57"/>
  <c r="F294" i="57"/>
  <c r="D483" i="12" s="1"/>
  <c r="A295" i="57"/>
  <c r="G294" i="57"/>
  <c r="E112" i="57"/>
  <c r="C311" i="12" s="1"/>
  <c r="E311" i="12"/>
  <c r="E284" i="57"/>
  <c r="C473" i="12" s="1"/>
  <c r="E473" i="12"/>
  <c r="E299" i="57"/>
  <c r="C488" i="12" s="1"/>
  <c r="E488" i="12"/>
  <c r="E36" i="57"/>
  <c r="C250" i="12" s="1"/>
  <c r="E250" i="12"/>
  <c r="E117" i="57"/>
  <c r="C316" i="12" s="1"/>
  <c r="E316" i="12"/>
  <c r="E169" i="57"/>
  <c r="C223" i="12" s="1"/>
  <c r="E223" i="12"/>
  <c r="E70" i="57"/>
  <c r="C279" i="12" s="1"/>
  <c r="E279" i="12"/>
  <c r="E221" i="57"/>
  <c r="C410" i="12" s="1"/>
  <c r="E410" i="12"/>
  <c r="E279" i="57"/>
  <c r="C468" i="12" s="1"/>
  <c r="E468" i="12"/>
  <c r="E160" i="57"/>
  <c r="C354" i="12" s="1"/>
  <c r="E354" i="12"/>
  <c r="E140" i="57"/>
  <c r="C339" i="12" s="1"/>
  <c r="E339" i="12"/>
  <c r="E123" i="57"/>
  <c r="C322" i="12" s="1"/>
  <c r="E322" i="12"/>
  <c r="E180" i="57"/>
  <c r="C369" i="12" s="1"/>
  <c r="E369" i="12"/>
  <c r="E273" i="57"/>
  <c r="C462" i="12" s="1"/>
  <c r="E462" i="12"/>
  <c r="B93" i="57"/>
  <c r="F93" i="57"/>
  <c r="D297" i="12" s="1"/>
  <c r="A94" i="57"/>
  <c r="G93" i="57"/>
  <c r="F37" i="57"/>
  <c r="D251" i="12" s="1"/>
  <c r="B37" i="57"/>
  <c r="G37" i="57"/>
  <c r="F66" i="57"/>
  <c r="D275" i="12" s="1"/>
  <c r="B66" i="57"/>
  <c r="A67" i="57"/>
  <c r="G66" i="57"/>
  <c r="F47" i="57"/>
  <c r="D202" i="12" s="1"/>
  <c r="G47" i="57"/>
  <c r="B47" i="57"/>
  <c r="B310" i="57"/>
  <c r="F310" i="57"/>
  <c r="D499" i="12" s="1"/>
  <c r="G310" i="57"/>
  <c r="B51" i="57"/>
  <c r="F51" i="57"/>
  <c r="D260" i="12" s="1"/>
  <c r="A52" i="57"/>
  <c r="G51" i="57"/>
  <c r="F151" i="57"/>
  <c r="D230" i="12" s="1"/>
  <c r="B151" i="57"/>
  <c r="G151" i="57"/>
  <c r="B176" i="57"/>
  <c r="G176" i="57"/>
  <c r="F176" i="57"/>
  <c r="D365" i="12" s="1"/>
  <c r="F191" i="57"/>
  <c r="D380" i="12" s="1"/>
  <c r="G191" i="57"/>
  <c r="B191" i="57"/>
  <c r="F212" i="57"/>
  <c r="D401" i="12" s="1"/>
  <c r="B212" i="57"/>
  <c r="A213" i="57"/>
  <c r="G212" i="57"/>
  <c r="F202" i="57"/>
  <c r="D391" i="12" s="1"/>
  <c r="B202" i="57"/>
  <c r="A203" i="57"/>
  <c r="G202" i="57"/>
  <c r="B134" i="57"/>
  <c r="G134" i="57"/>
  <c r="F134" i="57"/>
  <c r="D333" i="12" s="1"/>
  <c r="F88" i="57"/>
  <c r="D218" i="12" s="1"/>
  <c r="A89" i="57"/>
  <c r="G88" i="57"/>
  <c r="B88" i="57"/>
  <c r="F252" i="57"/>
  <c r="D441" i="12" s="1"/>
  <c r="B252" i="57"/>
  <c r="A253" i="57"/>
  <c r="G252" i="57"/>
  <c r="B71" i="57"/>
  <c r="A72" i="57"/>
  <c r="G71" i="57"/>
  <c r="F71" i="57"/>
  <c r="D280" i="12" s="1"/>
  <c r="B218" i="57"/>
  <c r="G218" i="57"/>
  <c r="F218" i="57"/>
  <c r="D407" i="12" s="1"/>
  <c r="A228" i="57"/>
  <c r="G227" i="57"/>
  <c r="B227" i="57"/>
  <c r="F227" i="57"/>
  <c r="D416" i="12" s="1"/>
  <c r="F17" i="57"/>
  <c r="D237" i="12" s="1"/>
  <c r="B17" i="57"/>
  <c r="G17" i="57"/>
  <c r="G280" i="57"/>
  <c r="F280" i="57"/>
  <c r="D469" i="12" s="1"/>
  <c r="B280" i="57"/>
  <c r="F269" i="57"/>
  <c r="D458" i="12" s="1"/>
  <c r="A270" i="57"/>
  <c r="G269" i="57"/>
  <c r="B269" i="57"/>
  <c r="B21" i="57"/>
  <c r="F21" i="57"/>
  <c r="D241" i="12" s="1"/>
  <c r="A22" i="57"/>
  <c r="G21" i="57"/>
  <c r="B300" i="57"/>
  <c r="F300" i="57"/>
  <c r="D489" i="12" s="1"/>
  <c r="G300" i="57"/>
  <c r="B207" i="57"/>
  <c r="A208" i="57"/>
  <c r="G207" i="57"/>
  <c r="F207" i="57"/>
  <c r="D396" i="12" s="1"/>
  <c r="A238" i="57"/>
  <c r="G237" i="57"/>
  <c r="F237" i="57"/>
  <c r="D426" i="12" s="1"/>
  <c r="B237" i="57"/>
  <c r="F78" i="57"/>
  <c r="D287" i="12" s="1"/>
  <c r="G78" i="57"/>
  <c r="B78" i="57"/>
  <c r="A79" i="57"/>
  <c r="F304" i="57"/>
  <c r="D493" i="12" s="1"/>
  <c r="B304" i="57"/>
  <c r="A305" i="57"/>
  <c r="G304" i="57"/>
  <c r="B41" i="57"/>
  <c r="A42" i="57"/>
  <c r="F41" i="57"/>
  <c r="D255" i="12" s="1"/>
  <c r="G41" i="57"/>
  <c r="F27" i="57"/>
  <c r="D208" i="12" s="1"/>
  <c r="B27" i="57"/>
  <c r="G27" i="57"/>
  <c r="B155" i="57"/>
  <c r="A156" i="57"/>
  <c r="G155" i="57"/>
  <c r="F155" i="57"/>
  <c r="D349" i="12" s="1"/>
  <c r="B258" i="57"/>
  <c r="F258" i="57"/>
  <c r="D447" i="12" s="1"/>
  <c r="G258" i="57"/>
  <c r="A290" i="57"/>
  <c r="G289" i="57"/>
  <c r="B289" i="57"/>
  <c r="F289" i="57"/>
  <c r="D478" i="12" s="1"/>
  <c r="B84" i="57"/>
  <c r="F84" i="57"/>
  <c r="D293" i="12" s="1"/>
  <c r="G84" i="57"/>
  <c r="F141" i="57"/>
  <c r="D340" i="12" s="1"/>
  <c r="B141" i="57"/>
  <c r="G141" i="57"/>
  <c r="B124" i="57"/>
  <c r="F124" i="57"/>
  <c r="D323" i="12" s="1"/>
  <c r="G124" i="57"/>
  <c r="F129" i="57"/>
  <c r="D328" i="12" s="1"/>
  <c r="B129" i="57"/>
  <c r="G129" i="57"/>
  <c r="B61" i="57"/>
  <c r="A62" i="57"/>
  <c r="G61" i="57"/>
  <c r="F61" i="57"/>
  <c r="D270" i="12" s="1"/>
  <c r="F181" i="57"/>
  <c r="D370" i="12" s="1"/>
  <c r="G181" i="57"/>
  <c r="B181" i="57"/>
  <c r="F285" i="57"/>
  <c r="D474" i="12" s="1"/>
  <c r="B285" i="57"/>
  <c r="G285" i="57"/>
  <c r="B165" i="57"/>
  <c r="A166" i="57"/>
  <c r="G165" i="57"/>
  <c r="F165" i="57"/>
  <c r="D359" i="12" s="1"/>
  <c r="B103" i="57"/>
  <c r="A104" i="57"/>
  <c r="G103" i="57"/>
  <c r="F103" i="57"/>
  <c r="D307" i="12" s="1"/>
  <c r="F170" i="57"/>
  <c r="D224" i="12" s="1"/>
  <c r="A171" i="57"/>
  <c r="G170" i="57"/>
  <c r="B170" i="57"/>
  <c r="F108" i="57"/>
  <c r="D213" i="12" s="1"/>
  <c r="A109" i="57"/>
  <c r="B108" i="57"/>
  <c r="G108" i="57"/>
  <c r="F56" i="57"/>
  <c r="D265" i="12" s="1"/>
  <c r="B56" i="57"/>
  <c r="A57" i="57"/>
  <c r="G56" i="57"/>
  <c r="B145" i="57"/>
  <c r="A146" i="57"/>
  <c r="F145" i="57"/>
  <c r="D344" i="12" s="1"/>
  <c r="G145" i="57"/>
  <c r="F320" i="57"/>
  <c r="D509" i="12" s="1"/>
  <c r="B320" i="57"/>
  <c r="G320" i="57"/>
  <c r="B242" i="57"/>
  <c r="F242" i="57"/>
  <c r="D431" i="12" s="1"/>
  <c r="G242" i="57"/>
  <c r="A243" i="57"/>
  <c r="B195" i="57"/>
  <c r="F195" i="57"/>
  <c r="D384" i="12" s="1"/>
  <c r="A196" i="57"/>
  <c r="G195" i="57"/>
  <c r="F118" i="57"/>
  <c r="D317" i="12" s="1"/>
  <c r="G118" i="57"/>
  <c r="B118" i="57"/>
  <c r="A119" i="57"/>
  <c r="B314" i="57"/>
  <c r="F314" i="57"/>
  <c r="D503" i="12" s="1"/>
  <c r="G314" i="57"/>
  <c r="A315" i="57"/>
  <c r="F222" i="57"/>
  <c r="D411" i="12" s="1"/>
  <c r="A223" i="57"/>
  <c r="G222" i="57"/>
  <c r="B222" i="57"/>
  <c r="B31" i="57"/>
  <c r="A32" i="57"/>
  <c r="G31" i="57"/>
  <c r="F31" i="57"/>
  <c r="D245" i="12" s="1"/>
  <c r="F161" i="57"/>
  <c r="D355" i="12" s="1"/>
  <c r="G161" i="57"/>
  <c r="B161" i="57"/>
  <c r="E195" i="57" l="1"/>
  <c r="C384" i="12" s="1"/>
  <c r="E384" i="12"/>
  <c r="E145" i="57"/>
  <c r="C344" i="12" s="1"/>
  <c r="E344" i="12"/>
  <c r="E56" i="57"/>
  <c r="C265" i="12" s="1"/>
  <c r="E265" i="12"/>
  <c r="E108" i="57"/>
  <c r="C213" i="12" s="1"/>
  <c r="E213" i="12"/>
  <c r="E170" i="57"/>
  <c r="C224" i="12" s="1"/>
  <c r="E224" i="12"/>
  <c r="E103" i="57"/>
  <c r="C307" i="12" s="1"/>
  <c r="E307" i="12"/>
  <c r="E165" i="57"/>
  <c r="C359" i="12" s="1"/>
  <c r="E359" i="12"/>
  <c r="E285" i="57"/>
  <c r="C474" i="12" s="1"/>
  <c r="E474" i="12"/>
  <c r="E61" i="57"/>
  <c r="C270" i="12" s="1"/>
  <c r="E270" i="12"/>
  <c r="E289" i="57"/>
  <c r="C478" i="12" s="1"/>
  <c r="E478" i="12"/>
  <c r="E41" i="57"/>
  <c r="C255" i="12" s="1"/>
  <c r="E255" i="12"/>
  <c r="E269" i="57"/>
  <c r="C458" i="12" s="1"/>
  <c r="E458" i="12"/>
  <c r="E17" i="57"/>
  <c r="C237" i="12" s="1"/>
  <c r="E237" i="12"/>
  <c r="E176" i="57"/>
  <c r="C365" i="12" s="1"/>
  <c r="E365" i="12"/>
  <c r="E151" i="57"/>
  <c r="C230" i="12" s="1"/>
  <c r="E230" i="12"/>
  <c r="E47" i="57"/>
  <c r="C202" i="12" s="1"/>
  <c r="E202" i="12"/>
  <c r="E93" i="57"/>
  <c r="C297" i="12" s="1"/>
  <c r="E297" i="12"/>
  <c r="G295" i="57"/>
  <c r="B295" i="57"/>
  <c r="F295" i="57"/>
  <c r="D484" i="12" s="1"/>
  <c r="G114" i="57"/>
  <c r="F114" i="57"/>
  <c r="D313" i="12" s="1"/>
  <c r="B114" i="57"/>
  <c r="E31" i="57"/>
  <c r="C245" i="12" s="1"/>
  <c r="E245" i="12"/>
  <c r="E118" i="57"/>
  <c r="C317" i="12" s="1"/>
  <c r="E317" i="12"/>
  <c r="E242" i="57"/>
  <c r="C431" i="12" s="1"/>
  <c r="E431" i="12"/>
  <c r="E84" i="57"/>
  <c r="C293" i="12" s="1"/>
  <c r="E293" i="12"/>
  <c r="E155" i="57"/>
  <c r="C349" i="12" s="1"/>
  <c r="E349" i="12"/>
  <c r="E27" i="57"/>
  <c r="C208" i="12" s="1"/>
  <c r="E208" i="12"/>
  <c r="E78" i="57"/>
  <c r="C287" i="12" s="1"/>
  <c r="E287" i="12"/>
  <c r="E300" i="57"/>
  <c r="C489" i="12" s="1"/>
  <c r="E489" i="12"/>
  <c r="E218" i="57"/>
  <c r="C407" i="12" s="1"/>
  <c r="E407" i="12"/>
  <c r="E202" i="57"/>
  <c r="C391" i="12" s="1"/>
  <c r="E391" i="12"/>
  <c r="E66" i="57"/>
  <c r="C275" i="12" s="1"/>
  <c r="E275" i="12"/>
  <c r="E37" i="57"/>
  <c r="C251" i="12" s="1"/>
  <c r="E251" i="12"/>
  <c r="E113" i="57"/>
  <c r="C312" i="12" s="1"/>
  <c r="E312" i="12"/>
  <c r="E232" i="57"/>
  <c r="C421" i="12" s="1"/>
  <c r="E421" i="12"/>
  <c r="E161" i="57"/>
  <c r="C355" i="12" s="1"/>
  <c r="E355" i="12"/>
  <c r="E314" i="57"/>
  <c r="C503" i="12" s="1"/>
  <c r="E503" i="12"/>
  <c r="E141" i="57"/>
  <c r="C340" i="12" s="1"/>
  <c r="E340" i="12"/>
  <c r="E258" i="57"/>
  <c r="C447" i="12" s="1"/>
  <c r="E447" i="12"/>
  <c r="E304" i="57"/>
  <c r="C493" i="12" s="1"/>
  <c r="E493" i="12"/>
  <c r="E237" i="57"/>
  <c r="C426" i="12" s="1"/>
  <c r="E426" i="12"/>
  <c r="E207" i="57"/>
  <c r="C396" i="12" s="1"/>
  <c r="E396" i="12"/>
  <c r="E227" i="57"/>
  <c r="C416" i="12" s="1"/>
  <c r="E416" i="12"/>
  <c r="E71" i="57"/>
  <c r="C280" i="12" s="1"/>
  <c r="E280" i="12"/>
  <c r="E212" i="57"/>
  <c r="C401" i="12" s="1"/>
  <c r="E401" i="12"/>
  <c r="E51" i="57"/>
  <c r="C260" i="12" s="1"/>
  <c r="E260" i="12"/>
  <c r="E310" i="57"/>
  <c r="C499" i="12" s="1"/>
  <c r="E499" i="12"/>
  <c r="B233" i="57"/>
  <c r="G233" i="57"/>
  <c r="F233" i="57"/>
  <c r="D422" i="12" s="1"/>
  <c r="E274" i="57"/>
  <c r="C463" i="12" s="1"/>
  <c r="E463" i="12"/>
  <c r="E222" i="57"/>
  <c r="C411" i="12" s="1"/>
  <c r="E411" i="12"/>
  <c r="E320" i="57"/>
  <c r="C509" i="12" s="1"/>
  <c r="E509" i="12"/>
  <c r="E181" i="57"/>
  <c r="C370" i="12" s="1"/>
  <c r="E370" i="12"/>
  <c r="E129" i="57"/>
  <c r="C328" i="12" s="1"/>
  <c r="E328" i="12"/>
  <c r="E124" i="57"/>
  <c r="C323" i="12" s="1"/>
  <c r="E323" i="12"/>
  <c r="E21" i="57"/>
  <c r="C241" i="12" s="1"/>
  <c r="E241" i="12"/>
  <c r="E280" i="57"/>
  <c r="C469" i="12" s="1"/>
  <c r="E469" i="12"/>
  <c r="E252" i="57"/>
  <c r="C441" i="12" s="1"/>
  <c r="E441" i="12"/>
  <c r="E88" i="57"/>
  <c r="C218" i="12" s="1"/>
  <c r="E218" i="12"/>
  <c r="E134" i="57"/>
  <c r="C333" i="12" s="1"/>
  <c r="E333" i="12"/>
  <c r="E191" i="57"/>
  <c r="C380" i="12" s="1"/>
  <c r="E380" i="12"/>
  <c r="E294" i="57"/>
  <c r="C483" i="12" s="1"/>
  <c r="E483" i="12"/>
  <c r="G275" i="57"/>
  <c r="F275" i="57"/>
  <c r="D464" i="12" s="1"/>
  <c r="B275" i="57"/>
  <c r="F305" i="57"/>
  <c r="D494" i="12" s="1"/>
  <c r="B305" i="57"/>
  <c r="G305" i="57"/>
  <c r="F79" i="57"/>
  <c r="D288" i="12" s="1"/>
  <c r="G79" i="57"/>
  <c r="B79" i="57"/>
  <c r="B208" i="57"/>
  <c r="G208" i="57"/>
  <c r="F208" i="57"/>
  <c r="D397" i="12" s="1"/>
  <c r="F223" i="57"/>
  <c r="D412" i="12" s="1"/>
  <c r="G223" i="57"/>
  <c r="B223" i="57"/>
  <c r="B22" i="57"/>
  <c r="G22" i="57"/>
  <c r="F22" i="57"/>
  <c r="D203" i="12" s="1"/>
  <c r="G228" i="57"/>
  <c r="F228" i="57"/>
  <c r="D417" i="12" s="1"/>
  <c r="B228" i="57"/>
  <c r="B72" i="57"/>
  <c r="G72" i="57"/>
  <c r="F72" i="57"/>
  <c r="D281" i="12" s="1"/>
  <c r="F203" i="57"/>
  <c r="D392" i="12" s="1"/>
  <c r="B203" i="57"/>
  <c r="G203" i="57"/>
  <c r="B315" i="57"/>
  <c r="F315" i="57"/>
  <c r="D504" i="12" s="1"/>
  <c r="G315" i="57"/>
  <c r="B196" i="57"/>
  <c r="F196" i="57"/>
  <c r="D385" i="12" s="1"/>
  <c r="G196" i="57"/>
  <c r="F57" i="57"/>
  <c r="D266" i="12" s="1"/>
  <c r="B57" i="57"/>
  <c r="G57" i="57"/>
  <c r="F171" i="57"/>
  <c r="D225" i="12" s="1"/>
  <c r="G171" i="57"/>
  <c r="B171" i="57"/>
  <c r="B104" i="57"/>
  <c r="G104" i="57"/>
  <c r="F104" i="57"/>
  <c r="D308" i="12" s="1"/>
  <c r="B166" i="57"/>
  <c r="G166" i="57"/>
  <c r="F166" i="57"/>
  <c r="D360" i="12" s="1"/>
  <c r="B62" i="57"/>
  <c r="G62" i="57"/>
  <c r="F62" i="57"/>
  <c r="D271" i="12" s="1"/>
  <c r="G290" i="57"/>
  <c r="B290" i="57"/>
  <c r="F290" i="57"/>
  <c r="D479" i="12" s="1"/>
  <c r="F270" i="57"/>
  <c r="D459" i="12" s="1"/>
  <c r="G270" i="57"/>
  <c r="B270" i="57"/>
  <c r="F253" i="57"/>
  <c r="D442" i="12" s="1"/>
  <c r="B253" i="57"/>
  <c r="G253" i="57"/>
  <c r="F89" i="57"/>
  <c r="D219" i="12" s="1"/>
  <c r="G89" i="57"/>
  <c r="B89" i="57"/>
  <c r="F213" i="57"/>
  <c r="D402" i="12" s="1"/>
  <c r="B213" i="57"/>
  <c r="G213" i="57"/>
  <c r="B94" i="57"/>
  <c r="G94" i="57"/>
  <c r="F94" i="57"/>
  <c r="D298" i="12" s="1"/>
  <c r="B32" i="57"/>
  <c r="F32" i="57"/>
  <c r="D246" i="12" s="1"/>
  <c r="G32" i="57"/>
  <c r="F119" i="57"/>
  <c r="D318" i="12" s="1"/>
  <c r="G119" i="57"/>
  <c r="B119" i="57"/>
  <c r="G238" i="57"/>
  <c r="B238" i="57"/>
  <c r="F238" i="57"/>
  <c r="D427" i="12" s="1"/>
  <c r="B243" i="57"/>
  <c r="F243" i="57"/>
  <c r="D432" i="12" s="1"/>
  <c r="G243" i="57"/>
  <c r="B146" i="57"/>
  <c r="G146" i="57"/>
  <c r="F146" i="57"/>
  <c r="D345" i="12" s="1"/>
  <c r="F109" i="57"/>
  <c r="D214" i="12" s="1"/>
  <c r="G109" i="57"/>
  <c r="B109" i="57"/>
  <c r="B156" i="57"/>
  <c r="G156" i="57"/>
  <c r="F156" i="57"/>
  <c r="D350" i="12" s="1"/>
  <c r="B42" i="57"/>
  <c r="F42" i="57"/>
  <c r="D256" i="12" s="1"/>
  <c r="G42" i="57"/>
  <c r="B52" i="57"/>
  <c r="F52" i="57"/>
  <c r="D261" i="12" s="1"/>
  <c r="G52" i="57"/>
  <c r="F67" i="57"/>
  <c r="D276" i="12" s="1"/>
  <c r="B67" i="57"/>
  <c r="G67" i="57"/>
  <c r="E52" i="57" l="1"/>
  <c r="C261" i="12" s="1"/>
  <c r="E261" i="12"/>
  <c r="E171" i="57"/>
  <c r="C225" i="12" s="1"/>
  <c r="E225" i="12"/>
  <c r="E57" i="57"/>
  <c r="C266" i="12" s="1"/>
  <c r="E266" i="12"/>
  <c r="E223" i="57"/>
  <c r="C412" i="12" s="1"/>
  <c r="E412" i="12"/>
  <c r="E79" i="57"/>
  <c r="C288" i="12" s="1"/>
  <c r="E288" i="12"/>
  <c r="E233" i="57"/>
  <c r="C422" i="12" s="1"/>
  <c r="E422" i="12"/>
  <c r="E42" i="57"/>
  <c r="C256" i="12" s="1"/>
  <c r="E256" i="12"/>
  <c r="E238" i="57"/>
  <c r="C427" i="12" s="1"/>
  <c r="E427" i="12"/>
  <c r="E119" i="57"/>
  <c r="C318" i="12" s="1"/>
  <c r="E318" i="12"/>
  <c r="E213" i="57"/>
  <c r="C402" i="12" s="1"/>
  <c r="E402" i="12"/>
  <c r="E89" i="57"/>
  <c r="C219" i="12" s="1"/>
  <c r="E219" i="12"/>
  <c r="E62" i="57"/>
  <c r="C271" i="12" s="1"/>
  <c r="E271" i="12"/>
  <c r="E104" i="57"/>
  <c r="C308" i="12" s="1"/>
  <c r="E308" i="12"/>
  <c r="E196" i="57"/>
  <c r="C385" i="12" s="1"/>
  <c r="E385" i="12"/>
  <c r="E203" i="57"/>
  <c r="C392" i="12" s="1"/>
  <c r="E392" i="12"/>
  <c r="E228" i="57"/>
  <c r="C417" i="12" s="1"/>
  <c r="E417" i="12"/>
  <c r="E208" i="57"/>
  <c r="C397" i="12" s="1"/>
  <c r="E397" i="12"/>
  <c r="E295" i="57"/>
  <c r="C484" i="12" s="1"/>
  <c r="E484" i="12"/>
  <c r="E67" i="57"/>
  <c r="C276" i="12" s="1"/>
  <c r="E276" i="12"/>
  <c r="E109" i="57"/>
  <c r="C214" i="12" s="1"/>
  <c r="E214" i="12"/>
  <c r="E166" i="57"/>
  <c r="C360" i="12" s="1"/>
  <c r="E360" i="12"/>
  <c r="E315" i="57"/>
  <c r="C504" i="12" s="1"/>
  <c r="E504" i="12"/>
  <c r="E305" i="57"/>
  <c r="C494" i="12" s="1"/>
  <c r="E494" i="12"/>
  <c r="E114" i="57"/>
  <c r="C313" i="12" s="1"/>
  <c r="E313" i="12"/>
  <c r="E156" i="57"/>
  <c r="C350" i="12" s="1"/>
  <c r="E350" i="12"/>
  <c r="E146" i="57"/>
  <c r="C345" i="12" s="1"/>
  <c r="E345" i="12"/>
  <c r="E243" i="57"/>
  <c r="C432" i="12" s="1"/>
  <c r="E432" i="12"/>
  <c r="E32" i="57"/>
  <c r="C246" i="12" s="1"/>
  <c r="E246" i="12"/>
  <c r="E94" i="57"/>
  <c r="C298" i="12" s="1"/>
  <c r="E298" i="12"/>
  <c r="E253" i="57"/>
  <c r="C442" i="12" s="1"/>
  <c r="E442" i="12"/>
  <c r="E270" i="57"/>
  <c r="C459" i="12" s="1"/>
  <c r="E459" i="12"/>
  <c r="E290" i="57"/>
  <c r="C479" i="12" s="1"/>
  <c r="E479" i="12"/>
  <c r="E72" i="57"/>
  <c r="C281" i="12" s="1"/>
  <c r="E281" i="12"/>
  <c r="E22" i="57"/>
  <c r="C203" i="12" s="1"/>
  <c r="E203" i="12"/>
  <c r="E275" i="57"/>
  <c r="C464" i="12" s="1"/>
  <c r="E464" i="12"/>
  <c r="B805" i="11" l="1"/>
  <c r="C805" i="11"/>
  <c r="C1388" i="11" l="1"/>
  <c r="C1387" i="11"/>
  <c r="C1386" i="11"/>
  <c r="C1385" i="11"/>
  <c r="C1384" i="11"/>
  <c r="C1383" i="11"/>
  <c r="C1382" i="11"/>
  <c r="C1381" i="11"/>
  <c r="C1380" i="11"/>
  <c r="C1379" i="11"/>
  <c r="C1378" i="11"/>
  <c r="C1377" i="11"/>
  <c r="C1376" i="11"/>
  <c r="AF100" i="45"/>
  <c r="AJ99" i="45"/>
  <c r="AG99" i="45"/>
  <c r="AF99" i="45"/>
  <c r="AJ98" i="45"/>
  <c r="AG98" i="45"/>
  <c r="AF98" i="45"/>
  <c r="AJ97" i="45"/>
  <c r="AG97" i="45"/>
  <c r="AF97" i="45"/>
  <c r="AJ96" i="45"/>
  <c r="AG96" i="45"/>
  <c r="AF96" i="45"/>
  <c r="AJ95" i="45"/>
  <c r="AF95" i="45"/>
  <c r="AJ94" i="45"/>
  <c r="AG94" i="45"/>
  <c r="AF94" i="45"/>
  <c r="AJ93" i="45"/>
  <c r="AG93" i="45"/>
  <c r="AF93" i="45"/>
  <c r="AJ92" i="45"/>
  <c r="AG92" i="45"/>
  <c r="AF92" i="45"/>
  <c r="AJ91" i="45"/>
  <c r="AF91" i="45"/>
  <c r="AJ90" i="45"/>
  <c r="AG90" i="45"/>
  <c r="AF90" i="45"/>
  <c r="AJ89" i="45"/>
  <c r="AF89" i="45"/>
  <c r="AJ88" i="45"/>
  <c r="AF88" i="45"/>
  <c r="AF87" i="45"/>
  <c r="AF86" i="45"/>
  <c r="AF85" i="45"/>
  <c r="AK84" i="45"/>
  <c r="AI84" i="45"/>
  <c r="AF84" i="45"/>
  <c r="AK83" i="45"/>
  <c r="AI83" i="45"/>
  <c r="AF83" i="45"/>
  <c r="AK82" i="45"/>
  <c r="AI82" i="45"/>
  <c r="AG82" i="45"/>
  <c r="AF82" i="45"/>
  <c r="AK81" i="45"/>
  <c r="AI81" i="45"/>
  <c r="AF81" i="45"/>
  <c r="AK80" i="45"/>
  <c r="AI80" i="45"/>
  <c r="AF80" i="45"/>
  <c r="AK79" i="45"/>
  <c r="AI79" i="45"/>
  <c r="AG79" i="45"/>
  <c r="AF79" i="45"/>
  <c r="AK78" i="45"/>
  <c r="AI78" i="45"/>
  <c r="AG78" i="45"/>
  <c r="AF78" i="45"/>
  <c r="AK77" i="45"/>
  <c r="AI77" i="45"/>
  <c r="AG77" i="45"/>
  <c r="AF77" i="45"/>
  <c r="AK76" i="45"/>
  <c r="AI76" i="45"/>
  <c r="AG76" i="45"/>
  <c r="AF76" i="45"/>
  <c r="AK75" i="45"/>
  <c r="AI75" i="45"/>
  <c r="AG75" i="45"/>
  <c r="AF75" i="45"/>
  <c r="AK74" i="45"/>
  <c r="AI74" i="45"/>
  <c r="AF74" i="45"/>
  <c r="AK73" i="45"/>
  <c r="AI73" i="45"/>
  <c r="AG73" i="45"/>
  <c r="AF73" i="45"/>
  <c r="AK72" i="45"/>
  <c r="AI72" i="45"/>
  <c r="AF72" i="45"/>
  <c r="AK71" i="45"/>
  <c r="AI71" i="45"/>
  <c r="AG71" i="45"/>
  <c r="AF71" i="45"/>
  <c r="AK70" i="45"/>
  <c r="AI70" i="45"/>
  <c r="AF70" i="45"/>
  <c r="AK69" i="45"/>
  <c r="AI69" i="45"/>
  <c r="AG69" i="45"/>
  <c r="AF69" i="45"/>
  <c r="AK68" i="45"/>
  <c r="AI68" i="45"/>
  <c r="AJ68" i="45" s="1"/>
  <c r="AG68" i="45"/>
  <c r="AF68" i="45"/>
  <c r="AK67" i="45"/>
  <c r="AI67" i="45"/>
  <c r="AJ67" i="45" s="1"/>
  <c r="AF67" i="45"/>
  <c r="AK66" i="45"/>
  <c r="AI66" i="45"/>
  <c r="AJ66" i="45" s="1"/>
  <c r="AG66" i="45"/>
  <c r="AF66" i="45"/>
  <c r="AK65" i="45"/>
  <c r="AI65" i="45"/>
  <c r="AG65" i="45"/>
  <c r="AF65" i="45"/>
  <c r="AK64" i="45"/>
  <c r="AI64" i="45"/>
  <c r="AG64" i="45"/>
  <c r="AF64" i="45"/>
  <c r="AK63" i="45"/>
  <c r="AI63" i="45"/>
  <c r="AF63" i="45"/>
  <c r="AK62" i="45"/>
  <c r="AI62" i="45"/>
  <c r="AG62" i="45"/>
  <c r="AF62" i="45"/>
  <c r="AK61" i="45"/>
  <c r="AI61" i="45"/>
  <c r="AF61" i="45"/>
  <c r="AK60" i="45"/>
  <c r="AI60" i="45"/>
  <c r="AG60" i="45"/>
  <c r="AF60" i="45"/>
  <c r="AK59" i="45"/>
  <c r="AI59" i="45"/>
  <c r="AG59" i="45"/>
  <c r="AF59" i="45"/>
  <c r="AK58" i="45"/>
  <c r="AI58" i="45"/>
  <c r="AG58" i="45"/>
  <c r="AF58" i="45"/>
  <c r="AK57" i="45"/>
  <c r="AI57" i="45"/>
  <c r="AG57" i="45"/>
  <c r="AF57" i="45"/>
  <c r="AK56" i="45"/>
  <c r="AI56" i="45"/>
  <c r="AG56" i="45"/>
  <c r="AF56" i="45"/>
  <c r="AF54" i="45"/>
  <c r="D1379" i="11" l="1"/>
  <c r="D1383" i="11"/>
  <c r="D1387" i="11"/>
  <c r="D1380" i="11"/>
  <c r="D1384" i="11"/>
  <c r="D1388" i="11"/>
  <c r="D1376" i="11"/>
  <c r="D1381" i="11"/>
  <c r="D1385" i="11"/>
  <c r="D1378" i="11"/>
  <c r="D1382" i="11"/>
  <c r="D1386" i="11"/>
  <c r="D1377" i="11"/>
  <c r="D1975" i="11"/>
  <c r="D1974" i="11"/>
  <c r="D1973" i="11"/>
  <c r="D1972" i="11"/>
  <c r="D1971" i="11"/>
  <c r="D1970" i="11"/>
  <c r="D1969" i="11"/>
  <c r="D1968" i="11"/>
  <c r="D1967" i="11"/>
  <c r="D1966" i="11"/>
  <c r="D1965" i="11"/>
  <c r="D1964" i="11"/>
  <c r="D1963" i="11"/>
  <c r="D1961" i="11"/>
  <c r="D1960" i="11"/>
  <c r="D1959" i="11"/>
  <c r="D1958" i="11"/>
  <c r="D1957" i="11"/>
  <c r="D1956" i="11"/>
  <c r="D1955" i="11"/>
  <c r="D1954" i="11"/>
  <c r="D1953" i="11"/>
  <c r="D1952" i="11"/>
  <c r="D1951" i="11"/>
  <c r="D1950" i="11"/>
  <c r="D2027" i="11"/>
  <c r="D1962" i="11"/>
  <c r="C1300" i="11"/>
  <c r="C1939" i="11" s="1"/>
  <c r="C1414" i="11"/>
  <c r="C1413" i="11"/>
  <c r="C1412" i="11"/>
  <c r="C1411" i="11"/>
  <c r="C1410" i="11"/>
  <c r="C1409" i="11"/>
  <c r="C1408" i="11"/>
  <c r="C1407" i="11"/>
  <c r="C1406" i="11"/>
  <c r="C1405" i="11"/>
  <c r="C1404" i="11"/>
  <c r="C1403" i="11"/>
  <c r="C1402" i="11"/>
  <c r="C2093" i="11"/>
  <c r="D2093" i="11"/>
  <c r="C2094" i="11"/>
  <c r="D2094" i="11"/>
  <c r="C2095" i="11"/>
  <c r="D2095" i="11"/>
  <c r="C2096" i="11"/>
  <c r="D2096" i="11"/>
  <c r="C2097" i="11"/>
  <c r="D2097" i="11"/>
  <c r="C2098" i="11"/>
  <c r="D2098" i="11"/>
  <c r="C2099" i="11"/>
  <c r="D2099" i="11"/>
  <c r="C2100" i="11"/>
  <c r="D2100" i="11"/>
  <c r="C2101" i="11"/>
  <c r="D2101" i="11"/>
  <c r="C2102" i="11"/>
  <c r="D2102" i="11"/>
  <c r="C2103" i="11"/>
  <c r="D2103" i="11"/>
  <c r="C2104" i="11"/>
  <c r="D2104" i="11"/>
  <c r="C2105" i="11"/>
  <c r="D2105" i="11"/>
  <c r="C2106" i="11"/>
  <c r="D2106" i="11"/>
  <c r="C2107" i="11"/>
  <c r="D2107" i="11"/>
  <c r="C2108" i="11"/>
  <c r="D2108" i="11"/>
  <c r="C2109" i="11"/>
  <c r="D2109" i="11"/>
  <c r="C2110" i="11"/>
  <c r="D2110" i="11"/>
  <c r="C2111" i="11"/>
  <c r="D2111" i="11"/>
  <c r="C2112" i="11"/>
  <c r="D2112" i="11"/>
  <c r="C2113" i="11"/>
  <c r="D2113" i="11"/>
  <c r="C2114" i="11"/>
  <c r="D2114" i="11"/>
  <c r="C2115" i="11"/>
  <c r="D2115" i="11"/>
  <c r="C2116" i="11"/>
  <c r="D2116" i="11"/>
  <c r="C2117" i="11"/>
  <c r="D2117" i="11"/>
  <c r="C2118" i="11"/>
  <c r="D2118" i="11"/>
  <c r="C2119" i="11"/>
  <c r="D2119" i="11"/>
  <c r="C2120" i="11"/>
  <c r="D2120" i="11"/>
  <c r="C2121" i="11"/>
  <c r="D2121" i="11"/>
  <c r="C2122" i="11"/>
  <c r="D2122" i="11"/>
  <c r="C2123" i="11"/>
  <c r="D2123" i="11"/>
  <c r="C2124" i="11"/>
  <c r="D2124" i="11"/>
  <c r="C2125" i="11"/>
  <c r="D2125" i="11"/>
  <c r="C2126" i="11"/>
  <c r="D2126" i="11"/>
  <c r="C2127" i="11"/>
  <c r="D2127" i="11"/>
  <c r="C2128" i="11"/>
  <c r="D2128" i="11"/>
  <c r="C2129" i="11"/>
  <c r="D2129" i="11"/>
  <c r="C2130" i="11"/>
  <c r="D2130" i="11"/>
  <c r="C2131" i="11"/>
  <c r="D2131" i="11"/>
  <c r="C2132" i="11"/>
  <c r="D2132" i="11"/>
  <c r="C2133" i="11"/>
  <c r="D2133" i="11"/>
  <c r="C2134" i="11"/>
  <c r="D2134" i="11"/>
  <c r="C2135" i="11"/>
  <c r="D2135" i="11"/>
  <c r="C2136" i="11"/>
  <c r="D2136" i="11"/>
  <c r="C2137" i="11"/>
  <c r="D2137" i="11"/>
  <c r="C2138" i="11"/>
  <c r="D2138" i="11"/>
  <c r="C2139" i="11"/>
  <c r="D2139" i="11"/>
  <c r="C2140" i="11"/>
  <c r="D2140" i="11"/>
  <c r="C2141" i="11"/>
  <c r="D2141" i="11"/>
  <c r="C2142" i="11"/>
  <c r="D2142" i="11"/>
  <c r="C2143" i="11"/>
  <c r="D2143" i="11"/>
  <c r="C2144" i="11"/>
  <c r="D2144" i="11"/>
  <c r="C2145" i="11"/>
  <c r="D2145" i="11"/>
  <c r="C2146" i="11"/>
  <c r="D2146" i="11"/>
  <c r="C2147" i="11"/>
  <c r="D2147" i="11"/>
  <c r="C2148" i="11"/>
  <c r="D2148" i="11"/>
  <c r="C2149" i="11"/>
  <c r="D2149" i="11"/>
  <c r="C2150" i="11"/>
  <c r="D2150" i="11"/>
  <c r="C2151" i="11"/>
  <c r="D2151" i="11"/>
  <c r="C2152" i="11"/>
  <c r="D2152" i="11"/>
  <c r="C2153" i="11"/>
  <c r="D2153" i="11"/>
  <c r="C2154" i="11"/>
  <c r="D2154" i="11"/>
  <c r="C2155" i="11"/>
  <c r="D2155" i="11"/>
  <c r="C2156" i="11"/>
  <c r="D2156" i="11"/>
  <c r="C2157" i="11"/>
  <c r="D2157" i="11"/>
  <c r="C2158" i="11"/>
  <c r="D2158" i="11"/>
  <c r="C2159" i="11"/>
  <c r="D2159" i="11"/>
  <c r="C2160" i="11"/>
  <c r="D2160" i="11"/>
  <c r="C2161" i="11"/>
  <c r="D2161" i="11"/>
  <c r="C2162" i="11"/>
  <c r="D2162" i="11"/>
  <c r="C2163" i="11"/>
  <c r="D2163" i="11"/>
  <c r="C2164" i="11"/>
  <c r="D2164" i="11"/>
  <c r="C2165" i="11"/>
  <c r="D2165" i="11"/>
  <c r="C2166" i="11"/>
  <c r="D2166" i="11"/>
  <c r="C2167" i="11"/>
  <c r="D2167" i="11"/>
  <c r="C2168" i="11"/>
  <c r="D2168" i="11"/>
  <c r="C2169" i="11"/>
  <c r="D2169" i="11"/>
  <c r="C2170" i="11"/>
  <c r="D2170" i="11"/>
  <c r="C2171" i="11"/>
  <c r="D2171" i="11"/>
  <c r="C2172" i="11"/>
  <c r="D2172" i="11"/>
  <c r="C2173" i="11"/>
  <c r="D2173" i="11"/>
  <c r="C2174" i="11"/>
  <c r="D2174" i="11"/>
  <c r="C2175" i="11"/>
  <c r="D2175" i="11"/>
  <c r="C2176" i="11"/>
  <c r="D2176" i="11"/>
  <c r="C2177" i="11"/>
  <c r="D2177" i="11"/>
  <c r="C2178" i="11"/>
  <c r="D2178" i="11"/>
  <c r="C2179" i="11"/>
  <c r="D2179" i="11"/>
  <c r="C2180" i="11"/>
  <c r="D2180" i="11"/>
  <c r="C2181" i="11"/>
  <c r="D2181" i="11"/>
  <c r="C2182" i="11"/>
  <c r="D2182" i="11"/>
  <c r="C2183" i="11"/>
  <c r="D2183" i="11"/>
  <c r="C1297" i="11"/>
  <c r="C1296" i="11"/>
  <c r="C1295" i="11"/>
  <c r="C1294" i="11"/>
  <c r="C1293" i="11"/>
  <c r="C1292" i="11"/>
  <c r="C1291" i="11"/>
  <c r="C1290" i="11"/>
  <c r="C1289" i="11"/>
  <c r="C1288" i="11"/>
  <c r="C1287" i="11"/>
  <c r="C1286" i="11"/>
  <c r="C1285" i="11"/>
  <c r="C1453" i="11"/>
  <c r="C1452" i="11"/>
  <c r="C1451" i="11"/>
  <c r="C1450" i="11"/>
  <c r="C1449" i="11"/>
  <c r="C1448" i="11"/>
  <c r="C1447" i="11"/>
  <c r="C1446" i="11"/>
  <c r="C1445" i="11"/>
  <c r="C1444" i="11"/>
  <c r="C1443" i="11"/>
  <c r="C1442" i="11"/>
  <c r="C1441" i="11"/>
  <c r="D2090" i="11"/>
  <c r="C2081" i="11" l="1"/>
  <c r="C1924" i="11"/>
  <c r="C1936" i="11"/>
  <c r="C2042" i="11"/>
  <c r="C2050" i="11"/>
  <c r="C2087" i="11"/>
  <c r="C2080" i="11"/>
  <c r="C2084" i="11"/>
  <c r="C2088" i="11"/>
  <c r="C2092" i="11"/>
  <c r="C1927" i="11"/>
  <c r="C1931" i="11"/>
  <c r="C1935" i="11"/>
  <c r="C2041" i="11"/>
  <c r="C2045" i="11"/>
  <c r="C2049" i="11"/>
  <c r="C2053" i="11"/>
  <c r="C2085" i="11"/>
  <c r="C1928" i="11"/>
  <c r="C2082" i="11"/>
  <c r="C2086" i="11"/>
  <c r="C2090" i="11"/>
  <c r="C1925" i="11"/>
  <c r="C1929" i="11"/>
  <c r="C1933" i="11"/>
  <c r="C2043" i="11"/>
  <c r="C2047" i="11"/>
  <c r="C2051" i="11"/>
  <c r="C2089" i="11"/>
  <c r="C1932" i="11"/>
  <c r="C2046" i="11"/>
  <c r="C2083" i="11"/>
  <c r="C2091" i="11"/>
  <c r="C1926" i="11"/>
  <c r="C1930" i="11"/>
  <c r="C1934" i="11"/>
  <c r="C2044" i="11"/>
  <c r="C2048" i="11"/>
  <c r="C2052" i="11"/>
  <c r="D2087" i="11"/>
  <c r="D1936" i="11"/>
  <c r="D2022" i="11"/>
  <c r="D1933" i="11"/>
  <c r="D1930" i="11"/>
  <c r="D1932" i="11"/>
  <c r="D2047" i="11"/>
  <c r="D2051" i="11"/>
  <c r="D2092" i="11"/>
  <c r="D1934" i="11"/>
  <c r="D2048" i="11"/>
  <c r="D2086" i="11"/>
  <c r="D2023" i="11"/>
  <c r="D1931" i="11"/>
  <c r="D2049" i="11"/>
  <c r="D2053" i="11"/>
  <c r="D2088" i="11"/>
  <c r="D2024" i="11"/>
  <c r="D2050" i="11"/>
  <c r="D2089" i="11"/>
  <c r="D2021" i="11"/>
  <c r="D2025" i="11"/>
  <c r="D2014" i="11"/>
  <c r="D2012" i="11"/>
  <c r="D2010" i="11"/>
  <c r="D2009" i="11"/>
  <c r="C1375" i="11"/>
  <c r="C1374" i="11"/>
  <c r="C1373" i="11"/>
  <c r="C1372" i="11"/>
  <c r="C1371" i="11"/>
  <c r="C1370" i="11"/>
  <c r="C1369" i="11"/>
  <c r="C1368" i="11"/>
  <c r="C1367" i="11"/>
  <c r="C1366" i="11"/>
  <c r="C1365" i="11"/>
  <c r="C1364" i="11"/>
  <c r="C1363" i="11"/>
  <c r="D256" i="11"/>
  <c r="D281" i="11"/>
  <c r="C256" i="11"/>
  <c r="C281" i="11"/>
  <c r="D319" i="10"/>
  <c r="D318" i="10"/>
  <c r="D317" i="10"/>
  <c r="D316" i="10"/>
  <c r="D315" i="10"/>
  <c r="C83" i="10"/>
  <c r="C82" i="10"/>
  <c r="C81" i="10"/>
  <c r="C80" i="10"/>
  <c r="C79" i="10"/>
  <c r="C78" i="10"/>
  <c r="C77" i="10"/>
  <c r="C76" i="10"/>
  <c r="C75" i="10"/>
  <c r="C74" i="10"/>
  <c r="C73" i="10"/>
  <c r="C72" i="10"/>
  <c r="C71" i="10"/>
  <c r="B2085" i="11" l="1"/>
  <c r="B2046" i="11"/>
  <c r="B1929" i="11"/>
  <c r="B2083" i="11"/>
  <c r="B2082" i="11"/>
  <c r="B2084" i="11"/>
  <c r="B2042" i="11"/>
  <c r="B2052" i="11"/>
  <c r="B1925" i="11"/>
  <c r="B1928" i="11"/>
  <c r="B2045" i="11"/>
  <c r="B1927" i="11"/>
  <c r="B2080" i="11"/>
  <c r="B1926" i="11"/>
  <c r="B2043" i="11"/>
  <c r="B2041" i="11"/>
  <c r="B1924" i="11"/>
  <c r="B2044" i="11"/>
  <c r="B2091" i="11"/>
  <c r="B1935" i="11"/>
  <c r="B2081" i="11"/>
  <c r="E44" i="58"/>
  <c r="E148" i="58"/>
  <c r="E96" i="58"/>
  <c r="E122" i="58"/>
  <c r="E70" i="58"/>
  <c r="E157" i="58"/>
  <c r="E105" i="58"/>
  <c r="E103" i="58"/>
  <c r="E78" i="58"/>
  <c r="E53" i="58"/>
  <c r="E52" i="58"/>
  <c r="E50" i="58"/>
  <c r="E156" i="58"/>
  <c r="E154" i="58"/>
  <c r="E131" i="58"/>
  <c r="E129" i="58"/>
  <c r="E76" i="58"/>
  <c r="E128" i="58"/>
  <c r="E104" i="58"/>
  <c r="E79" i="58"/>
  <c r="E77" i="58"/>
  <c r="E155" i="58"/>
  <c r="E130" i="58"/>
  <c r="E51" i="58"/>
  <c r="E102" i="58"/>
  <c r="E163" i="58"/>
  <c r="E161" i="58"/>
  <c r="E162" i="58"/>
  <c r="E111" i="58"/>
  <c r="E109" i="58"/>
  <c r="E84" i="58"/>
  <c r="E82" i="58"/>
  <c r="E59" i="58"/>
  <c r="E56" i="58"/>
  <c r="E137" i="58"/>
  <c r="E135" i="58"/>
  <c r="E57" i="58"/>
  <c r="E136" i="58"/>
  <c r="E160" i="58"/>
  <c r="E108" i="58"/>
  <c r="E83" i="58"/>
  <c r="E134" i="58"/>
  <c r="E110" i="58"/>
  <c r="E85" i="58"/>
  <c r="E58" i="58"/>
  <c r="E142" i="58"/>
  <c r="E90" i="58"/>
  <c r="E64" i="58"/>
  <c r="E38" i="58"/>
  <c r="E116" i="58"/>
  <c r="E97" i="58"/>
  <c r="E71" i="58"/>
  <c r="E123" i="58"/>
  <c r="E149" i="58"/>
  <c r="E45" i="58"/>
  <c r="E80" i="58"/>
  <c r="E54" i="58"/>
  <c r="E158" i="58"/>
  <c r="E106" i="58"/>
  <c r="E132" i="58"/>
  <c r="E88" i="58"/>
  <c r="E114" i="58"/>
  <c r="E62" i="58"/>
  <c r="E140" i="58"/>
  <c r="E166" i="58"/>
  <c r="D72" i="10"/>
  <c r="E91" i="58"/>
  <c r="E39" i="58"/>
  <c r="E117" i="58"/>
  <c r="E65" i="58"/>
  <c r="E143" i="58"/>
  <c r="E150" i="58"/>
  <c r="E72" i="58"/>
  <c r="E98" i="58"/>
  <c r="E124" i="58"/>
  <c r="E46" i="58"/>
  <c r="D80" i="10"/>
  <c r="E159" i="58"/>
  <c r="E107" i="58"/>
  <c r="E133" i="58"/>
  <c r="E81" i="58"/>
  <c r="E55" i="58"/>
  <c r="D71" i="10"/>
  <c r="E95" i="58"/>
  <c r="E93" i="58"/>
  <c r="E69" i="58"/>
  <c r="E146" i="58"/>
  <c r="E144" i="58"/>
  <c r="E121" i="58"/>
  <c r="E119" i="58"/>
  <c r="E67" i="58"/>
  <c r="E42" i="58"/>
  <c r="E145" i="58"/>
  <c r="E120" i="58"/>
  <c r="E147" i="58"/>
  <c r="E40" i="58"/>
  <c r="E92" i="58"/>
  <c r="E66" i="58"/>
  <c r="E41" i="58"/>
  <c r="E118" i="58"/>
  <c r="E94" i="58"/>
  <c r="E68" i="58"/>
  <c r="E43" i="58"/>
  <c r="E101" i="58"/>
  <c r="E99" i="58"/>
  <c r="E75" i="58"/>
  <c r="E73" i="58"/>
  <c r="E48" i="58"/>
  <c r="E152" i="58"/>
  <c r="E127" i="58"/>
  <c r="E125" i="58"/>
  <c r="E153" i="58"/>
  <c r="E49" i="58"/>
  <c r="E74" i="58"/>
  <c r="E100" i="58"/>
  <c r="E151" i="58"/>
  <c r="E126" i="58"/>
  <c r="E47" i="58"/>
  <c r="E165" i="58"/>
  <c r="E86" i="58"/>
  <c r="E61" i="58"/>
  <c r="E164" i="58"/>
  <c r="E139" i="58"/>
  <c r="E112" i="58"/>
  <c r="E87" i="58"/>
  <c r="E138" i="58"/>
  <c r="E113" i="58"/>
  <c r="E60" i="58"/>
  <c r="C2011" i="11"/>
  <c r="C2013" i="11"/>
  <c r="C134" i="58"/>
  <c r="C160" i="58"/>
  <c r="C82" i="58"/>
  <c r="C56" i="58"/>
  <c r="C108" i="58"/>
  <c r="C2002" i="11"/>
  <c r="C2006" i="11"/>
  <c r="C2010" i="11"/>
  <c r="C2014" i="11"/>
  <c r="D341" i="58"/>
  <c r="D186" i="58"/>
  <c r="C2007" i="11"/>
  <c r="D108" i="58"/>
  <c r="D56" i="58"/>
  <c r="D160" i="58"/>
  <c r="D134" i="58"/>
  <c r="D82" i="58"/>
  <c r="C2008" i="11"/>
  <c r="C2012" i="11"/>
  <c r="C2003" i="11"/>
  <c r="C341" i="58"/>
  <c r="C186" i="58"/>
  <c r="D76" i="10"/>
  <c r="D79" i="10"/>
  <c r="D75" i="10"/>
  <c r="D83" i="10"/>
  <c r="D2011" i="11"/>
  <c r="D2008" i="11"/>
  <c r="D81" i="10"/>
  <c r="D73" i="10"/>
  <c r="D77" i="10"/>
  <c r="D74" i="10"/>
  <c r="D78" i="10"/>
  <c r="D82" i="10"/>
  <c r="D1365" i="11"/>
  <c r="C2004" i="11"/>
  <c r="C2005" i="11"/>
  <c r="C2009" i="11"/>
  <c r="D1366" i="11"/>
  <c r="D1370" i="11"/>
  <c r="D1373" i="11"/>
  <c r="D1374" i="11"/>
  <c r="D1364" i="11"/>
  <c r="D1368" i="11"/>
  <c r="D1372" i="11"/>
  <c r="D1375" i="11"/>
  <c r="D1369" i="11"/>
  <c r="D1367" i="11"/>
  <c r="D1371" i="11"/>
  <c r="B2007" i="11" l="1"/>
  <c r="D1929" i="11"/>
  <c r="D2046" i="11"/>
  <c r="D2085" i="11"/>
  <c r="B2004" i="11"/>
  <c r="B2006" i="11"/>
  <c r="B2013" i="11"/>
  <c r="D1927" i="11"/>
  <c r="D1928" i="11"/>
  <c r="D2052" i="11"/>
  <c r="D2084" i="11"/>
  <c r="D2083" i="11"/>
  <c r="B2005" i="11"/>
  <c r="B2002" i="11"/>
  <c r="D1935" i="11"/>
  <c r="D2044" i="11"/>
  <c r="D2041" i="11"/>
  <c r="D1926" i="11"/>
  <c r="B2003" i="11"/>
  <c r="D2080" i="11"/>
  <c r="D2045" i="11"/>
  <c r="D1925" i="11"/>
  <c r="D2042" i="11"/>
  <c r="D2082" i="11"/>
  <c r="D2081" i="11"/>
  <c r="D2091" i="11"/>
  <c r="D1924" i="11"/>
  <c r="D2043" i="11"/>
  <c r="DG7" i="55"/>
  <c r="DH7" i="55"/>
  <c r="DI7" i="55"/>
  <c r="DJ7" i="55"/>
  <c r="DK7" i="55"/>
  <c r="DL7" i="55"/>
  <c r="DM7" i="55"/>
  <c r="DN7" i="55"/>
  <c r="DO7" i="55"/>
  <c r="DP7" i="55"/>
  <c r="DQ7" i="55"/>
  <c r="DR7" i="55"/>
  <c r="DS7" i="55"/>
  <c r="DT7" i="55"/>
  <c r="DU7" i="55"/>
  <c r="DV7" i="55"/>
  <c r="DW7" i="55"/>
  <c r="DX7" i="55"/>
  <c r="AB8" i="55"/>
  <c r="AC8" i="55"/>
  <c r="AD8" i="55"/>
  <c r="AE8" i="55"/>
  <c r="AF8" i="55"/>
  <c r="AG8" i="55"/>
  <c r="AH8" i="55"/>
  <c r="AI8" i="55"/>
  <c r="AJ8" i="55"/>
  <c r="BN8" i="55"/>
  <c r="DF8" i="55"/>
  <c r="FA8" i="55"/>
  <c r="AB9" i="55"/>
  <c r="AC9" i="55"/>
  <c r="AD9" i="55"/>
  <c r="AE9" i="55"/>
  <c r="AF9" i="55"/>
  <c r="AG9" i="55"/>
  <c r="AK9" i="55" s="1"/>
  <c r="AH9" i="55"/>
  <c r="AI9" i="55"/>
  <c r="AJ9" i="55"/>
  <c r="BN9" i="55"/>
  <c r="DF9" i="55"/>
  <c r="FA9" i="55"/>
  <c r="AB10" i="55"/>
  <c r="AC10" i="55"/>
  <c r="AD10" i="55"/>
  <c r="AE10" i="55"/>
  <c r="AF10" i="55"/>
  <c r="AG10" i="55"/>
  <c r="AH10" i="55"/>
  <c r="AI10" i="55"/>
  <c r="AJ10" i="55"/>
  <c r="BN10" i="55"/>
  <c r="DF10" i="55"/>
  <c r="FA10" i="55"/>
  <c r="AB11" i="55"/>
  <c r="AC11" i="55"/>
  <c r="AD11" i="55"/>
  <c r="AE11" i="55"/>
  <c r="AF11" i="55"/>
  <c r="AG11" i="55"/>
  <c r="AH11" i="55"/>
  <c r="AI11" i="55"/>
  <c r="AJ11" i="55"/>
  <c r="BN11" i="55"/>
  <c r="DF11" i="55"/>
  <c r="FA11" i="55"/>
  <c r="AB12" i="55"/>
  <c r="AC12" i="55"/>
  <c r="AD12" i="55"/>
  <c r="AE12" i="55"/>
  <c r="AF12" i="55"/>
  <c r="AG12" i="55"/>
  <c r="AH12" i="55"/>
  <c r="AI12" i="55"/>
  <c r="AJ12" i="55"/>
  <c r="BN12" i="55"/>
  <c r="DF12" i="55"/>
  <c r="FA12" i="55"/>
  <c r="AB13" i="55"/>
  <c r="AC13" i="55"/>
  <c r="AD13" i="55"/>
  <c r="AE13" i="55"/>
  <c r="AF13" i="55"/>
  <c r="AG13" i="55"/>
  <c r="AH13" i="55"/>
  <c r="AI13" i="55"/>
  <c r="AJ13" i="55"/>
  <c r="BN13" i="55"/>
  <c r="DF13" i="55"/>
  <c r="FA13" i="55"/>
  <c r="AB14" i="55"/>
  <c r="AC14" i="55"/>
  <c r="AD14" i="55"/>
  <c r="AE14" i="55"/>
  <c r="AF14" i="55"/>
  <c r="AG14" i="55"/>
  <c r="AH14" i="55"/>
  <c r="AI14" i="55"/>
  <c r="AJ14" i="55"/>
  <c r="BN14" i="55"/>
  <c r="DF14" i="55"/>
  <c r="FA14" i="55"/>
  <c r="AB15" i="55"/>
  <c r="AC15" i="55"/>
  <c r="AD15" i="55"/>
  <c r="AE15" i="55"/>
  <c r="AF15" i="55"/>
  <c r="AG15" i="55"/>
  <c r="AH15" i="55"/>
  <c r="AI15" i="55"/>
  <c r="AJ15" i="55"/>
  <c r="DF15" i="55"/>
  <c r="FA15" i="55"/>
  <c r="AB16" i="55"/>
  <c r="AC16" i="55"/>
  <c r="AD16" i="55"/>
  <c r="AE16" i="55"/>
  <c r="AF16" i="55"/>
  <c r="AG16" i="55"/>
  <c r="AH16" i="55"/>
  <c r="AI16" i="55"/>
  <c r="AJ16" i="55"/>
  <c r="BN16" i="55"/>
  <c r="DF16" i="55"/>
  <c r="FA16" i="55"/>
  <c r="AB17" i="55"/>
  <c r="AC17" i="55"/>
  <c r="AD17" i="55"/>
  <c r="AE17" i="55"/>
  <c r="AF17" i="55"/>
  <c r="AG17" i="55"/>
  <c r="AH17" i="55"/>
  <c r="AI17" i="55"/>
  <c r="AJ17" i="55"/>
  <c r="BN17" i="55"/>
  <c r="DF17" i="55"/>
  <c r="FA17" i="55"/>
  <c r="AB18" i="55"/>
  <c r="AC18" i="55"/>
  <c r="AD18" i="55"/>
  <c r="AE18" i="55"/>
  <c r="AF18" i="55"/>
  <c r="AG18" i="55"/>
  <c r="AH18" i="55"/>
  <c r="AI18" i="55"/>
  <c r="AJ18" i="55"/>
  <c r="BN18" i="55"/>
  <c r="DF18" i="55"/>
  <c r="FA18" i="55"/>
  <c r="BN19" i="55"/>
  <c r="DF19" i="55"/>
  <c r="FA19" i="55"/>
  <c r="H20" i="55"/>
  <c r="AB20" i="55" s="1"/>
  <c r="AK20" i="55" s="1"/>
  <c r="T20" i="55"/>
  <c r="BN20" i="55"/>
  <c r="DF20" i="55"/>
  <c r="FA20" i="55"/>
  <c r="H21" i="55"/>
  <c r="AB21" i="55" s="1"/>
  <c r="AK21" i="55" s="1"/>
  <c r="T21" i="55"/>
  <c r="U21" i="55" s="1"/>
  <c r="AL21" i="55"/>
  <c r="AU21" i="55" s="1"/>
  <c r="BN21" i="55"/>
  <c r="DF21" i="55"/>
  <c r="FA21" i="55"/>
  <c r="H22" i="55"/>
  <c r="AL22" i="55"/>
  <c r="AU22" i="55" s="1"/>
  <c r="T22" i="55"/>
  <c r="BN22" i="55"/>
  <c r="DF22" i="55"/>
  <c r="FA22" i="55"/>
  <c r="T23" i="55"/>
  <c r="U23" i="55" s="1"/>
  <c r="V23" i="55" s="1"/>
  <c r="W23" i="55" s="1"/>
  <c r="X23" i="55" s="1"/>
  <c r="Y23" i="55" s="1"/>
  <c r="Z23" i="55" s="1"/>
  <c r="AA23" i="55" s="1"/>
  <c r="DF23" i="55"/>
  <c r="FA23" i="55"/>
  <c r="AB24" i="55"/>
  <c r="AC24" i="55"/>
  <c r="AD24" i="55"/>
  <c r="AE24" i="55"/>
  <c r="AF24" i="55"/>
  <c r="AG24" i="55"/>
  <c r="AH24" i="55"/>
  <c r="AI24" i="55"/>
  <c r="AJ24" i="55"/>
  <c r="BN24" i="55"/>
  <c r="DF24" i="55"/>
  <c r="FA24" i="55"/>
  <c r="AB25" i="55"/>
  <c r="AC25" i="55"/>
  <c r="AD25" i="55"/>
  <c r="AE25" i="55"/>
  <c r="AF25" i="55"/>
  <c r="AG25" i="55"/>
  <c r="AH25" i="55"/>
  <c r="AI25" i="55"/>
  <c r="AJ25" i="55"/>
  <c r="BN25" i="55"/>
  <c r="DF25" i="55"/>
  <c r="FA25" i="55"/>
  <c r="AB26" i="55"/>
  <c r="AC26" i="55"/>
  <c r="AD26" i="55"/>
  <c r="AE26" i="55"/>
  <c r="AF26" i="55"/>
  <c r="AG26" i="55"/>
  <c r="AH26" i="55"/>
  <c r="AI26" i="55"/>
  <c r="AJ26" i="55"/>
  <c r="BN26" i="55"/>
  <c r="DF26" i="55"/>
  <c r="FA26" i="55"/>
  <c r="AB27" i="55"/>
  <c r="AC27" i="55"/>
  <c r="AD27" i="55"/>
  <c r="AE27" i="55"/>
  <c r="AF27" i="55"/>
  <c r="AG27" i="55"/>
  <c r="AH27" i="55"/>
  <c r="AI27" i="55"/>
  <c r="AJ27" i="55"/>
  <c r="BN27" i="55"/>
  <c r="DF27" i="55"/>
  <c r="FA27" i="55"/>
  <c r="AB28" i="55"/>
  <c r="AC28" i="55"/>
  <c r="AD28" i="55"/>
  <c r="AE28" i="55"/>
  <c r="AF28" i="55"/>
  <c r="AG28" i="55"/>
  <c r="AH28" i="55"/>
  <c r="AI28" i="55"/>
  <c r="AJ28" i="55"/>
  <c r="BN28" i="55"/>
  <c r="DF28" i="55"/>
  <c r="FA28" i="55"/>
  <c r="AB29" i="55"/>
  <c r="AC29" i="55"/>
  <c r="AD29" i="55"/>
  <c r="AE29" i="55"/>
  <c r="AF29" i="55"/>
  <c r="AG29" i="55"/>
  <c r="AH29" i="55"/>
  <c r="AI29" i="55"/>
  <c r="AJ29" i="55"/>
  <c r="BN29" i="55"/>
  <c r="DF29" i="55"/>
  <c r="FA29" i="55"/>
  <c r="AB30" i="55"/>
  <c r="AC30" i="55"/>
  <c r="AD30" i="55"/>
  <c r="AE30" i="55"/>
  <c r="AF30" i="55"/>
  <c r="AG30" i="55"/>
  <c r="AH30" i="55"/>
  <c r="AI30" i="55"/>
  <c r="AJ30" i="55"/>
  <c r="BN30" i="55"/>
  <c r="DF30" i="55"/>
  <c r="FA30" i="55"/>
  <c r="AB31" i="55"/>
  <c r="AC31" i="55"/>
  <c r="AD31" i="55"/>
  <c r="AE31" i="55"/>
  <c r="AF31" i="55"/>
  <c r="AG31" i="55"/>
  <c r="AH31" i="55"/>
  <c r="AI31" i="55"/>
  <c r="AJ31" i="55"/>
  <c r="DF31" i="55"/>
  <c r="FA31" i="55"/>
  <c r="AB32" i="55"/>
  <c r="AC32" i="55"/>
  <c r="AD32" i="55"/>
  <c r="AE32" i="55"/>
  <c r="AF32" i="55"/>
  <c r="AG32" i="55"/>
  <c r="AH32" i="55"/>
  <c r="AI32" i="55"/>
  <c r="AJ32" i="55"/>
  <c r="BN32" i="55"/>
  <c r="DF32" i="55"/>
  <c r="FA32" i="55"/>
  <c r="AB33" i="55"/>
  <c r="AC33" i="55"/>
  <c r="AD33" i="55"/>
  <c r="AE33" i="55"/>
  <c r="AF33" i="55"/>
  <c r="AG33" i="55"/>
  <c r="AH33" i="55"/>
  <c r="AI33" i="55"/>
  <c r="AJ33" i="55"/>
  <c r="BN33" i="55"/>
  <c r="DF33" i="55"/>
  <c r="FA33" i="55"/>
  <c r="AB34" i="55"/>
  <c r="AK34" i="55" s="1"/>
  <c r="T34" i="55"/>
  <c r="U34" i="55" s="1"/>
  <c r="BN34" i="55"/>
  <c r="DF34" i="55"/>
  <c r="FA34" i="55"/>
  <c r="AL35" i="55"/>
  <c r="AU35" i="55" s="1"/>
  <c r="T35" i="55"/>
  <c r="AM35" i="55" s="1"/>
  <c r="BN35" i="55"/>
  <c r="DF35" i="55"/>
  <c r="FA35" i="55"/>
  <c r="AB36" i="55"/>
  <c r="AC36" i="55"/>
  <c r="AD36" i="55"/>
  <c r="AE36" i="55"/>
  <c r="AF36" i="55"/>
  <c r="AG36" i="55"/>
  <c r="AH36" i="55"/>
  <c r="AI36" i="55"/>
  <c r="AJ36" i="55"/>
  <c r="BN36" i="55"/>
  <c r="DF36" i="55"/>
  <c r="FA36" i="55"/>
  <c r="AC37" i="55"/>
  <c r="AB37" i="55"/>
  <c r="AD37" i="55"/>
  <c r="AE37" i="55"/>
  <c r="AF37" i="55"/>
  <c r="AG37" i="55"/>
  <c r="AH37" i="55"/>
  <c r="AI37" i="55"/>
  <c r="AJ37" i="55"/>
  <c r="BN37" i="55"/>
  <c r="DF37" i="55"/>
  <c r="FA37" i="55"/>
  <c r="AC38" i="55"/>
  <c r="AB38" i="55"/>
  <c r="AD38" i="55"/>
  <c r="AE38" i="55"/>
  <c r="AF38" i="55"/>
  <c r="AG38" i="55"/>
  <c r="AH38" i="55"/>
  <c r="AI38" i="55"/>
  <c r="AJ38" i="55"/>
  <c r="BN38" i="55"/>
  <c r="DF38" i="55"/>
  <c r="FA38" i="55"/>
  <c r="AB39" i="55"/>
  <c r="AC39" i="55"/>
  <c r="AD39" i="55"/>
  <c r="AE39" i="55"/>
  <c r="AF39" i="55"/>
  <c r="AG39" i="55"/>
  <c r="AH39" i="55"/>
  <c r="AI39" i="55"/>
  <c r="AJ39" i="55"/>
  <c r="DF39" i="55"/>
  <c r="FA39" i="55"/>
  <c r="AB40" i="55"/>
  <c r="AC40" i="55"/>
  <c r="AD40" i="55"/>
  <c r="AE40" i="55"/>
  <c r="AF40" i="55"/>
  <c r="AG40" i="55"/>
  <c r="AH40" i="55"/>
  <c r="AI40" i="55"/>
  <c r="AJ40" i="55"/>
  <c r="BN40" i="55"/>
  <c r="DF40" i="55"/>
  <c r="FA40" i="55"/>
  <c r="AC41" i="55"/>
  <c r="AB41" i="55"/>
  <c r="AD41" i="55"/>
  <c r="AE41" i="55"/>
  <c r="AF41" i="55"/>
  <c r="AG41" i="55"/>
  <c r="AH41" i="55"/>
  <c r="AI41" i="55"/>
  <c r="AJ41" i="55"/>
  <c r="BN41" i="55"/>
  <c r="DF41" i="55"/>
  <c r="FA41" i="55"/>
  <c r="AB42" i="55"/>
  <c r="AC42" i="55"/>
  <c r="AD42" i="55"/>
  <c r="AE42" i="55"/>
  <c r="AF42" i="55"/>
  <c r="AG42" i="55"/>
  <c r="AH42" i="55"/>
  <c r="AI42" i="55"/>
  <c r="AJ42" i="55"/>
  <c r="BN42" i="55"/>
  <c r="DF42" i="55"/>
  <c r="FA42" i="55"/>
  <c r="AC43" i="55"/>
  <c r="AB43" i="55"/>
  <c r="AD43" i="55"/>
  <c r="AE43" i="55"/>
  <c r="AF43" i="55"/>
  <c r="AG43" i="55"/>
  <c r="AH43" i="55"/>
  <c r="AI43" i="55"/>
  <c r="AJ43" i="55"/>
  <c r="BN43" i="55"/>
  <c r="DF43" i="55"/>
  <c r="FA43" i="55"/>
  <c r="AB44" i="55"/>
  <c r="AC44" i="55"/>
  <c r="AD44" i="55"/>
  <c r="AE44" i="55"/>
  <c r="AF44" i="55"/>
  <c r="AG44" i="55"/>
  <c r="AH44" i="55"/>
  <c r="AI44" i="55"/>
  <c r="AJ44" i="55"/>
  <c r="BN44" i="55"/>
  <c r="DF44" i="55"/>
  <c r="FA44" i="55"/>
  <c r="AC45" i="55"/>
  <c r="AB45" i="55"/>
  <c r="AD45" i="55"/>
  <c r="AE45" i="55"/>
  <c r="AF45" i="55"/>
  <c r="AG45" i="55"/>
  <c r="AH45" i="55"/>
  <c r="AI45" i="55"/>
  <c r="AJ45" i="55"/>
  <c r="BN45" i="55"/>
  <c r="DF45" i="55"/>
  <c r="FA45" i="55"/>
  <c r="AB46" i="55"/>
  <c r="AC46" i="55"/>
  <c r="AD46" i="55"/>
  <c r="AE46" i="55"/>
  <c r="AF46" i="55"/>
  <c r="AG46" i="55"/>
  <c r="AH46" i="55"/>
  <c r="AI46" i="55"/>
  <c r="AJ46" i="55"/>
  <c r="BN46" i="55"/>
  <c r="DF46" i="55"/>
  <c r="FA46" i="55"/>
  <c r="AC47" i="55"/>
  <c r="AB47" i="55"/>
  <c r="AD47" i="55"/>
  <c r="AE47" i="55"/>
  <c r="AF47" i="55"/>
  <c r="AG47" i="55"/>
  <c r="AH47" i="55"/>
  <c r="AI47" i="55"/>
  <c r="AJ47" i="55"/>
  <c r="DF47" i="55"/>
  <c r="FA47" i="55"/>
  <c r="AB48" i="55"/>
  <c r="AC48" i="55"/>
  <c r="AD48" i="55"/>
  <c r="AE48" i="55"/>
  <c r="AF48" i="55"/>
  <c r="AG48" i="55"/>
  <c r="AH48" i="55"/>
  <c r="AI48" i="55"/>
  <c r="AJ48" i="55"/>
  <c r="BN48" i="55"/>
  <c r="DF48" i="55"/>
  <c r="FA48" i="55"/>
  <c r="AB49" i="55"/>
  <c r="AC49" i="55"/>
  <c r="AD49" i="55"/>
  <c r="AE49" i="55"/>
  <c r="AF49" i="55"/>
  <c r="AG49" i="55"/>
  <c r="AH49" i="55"/>
  <c r="AI49" i="55"/>
  <c r="AJ49" i="55"/>
  <c r="BN49" i="55"/>
  <c r="DF49" i="55"/>
  <c r="FA49" i="55"/>
  <c r="AC50" i="55"/>
  <c r="AB50" i="55"/>
  <c r="AD50" i="55"/>
  <c r="AE50" i="55"/>
  <c r="AF50" i="55"/>
  <c r="AG50" i="55"/>
  <c r="AH50" i="55"/>
  <c r="AI50" i="55"/>
  <c r="AJ50" i="55"/>
  <c r="BN50" i="55"/>
  <c r="DF50" i="55"/>
  <c r="FA50" i="55"/>
  <c r="H51" i="55"/>
  <c r="AG51" i="55" s="1"/>
  <c r="AC51" i="55"/>
  <c r="AN51" i="55"/>
  <c r="AO51" i="55"/>
  <c r="AR51" i="55"/>
  <c r="AS51" i="55"/>
  <c r="AE51" i="55"/>
  <c r="AL51" i="55"/>
  <c r="AP51" i="55"/>
  <c r="AQ51" i="55"/>
  <c r="AT51" i="55"/>
  <c r="AU51" i="55"/>
  <c r="BN51" i="55"/>
  <c r="DF51" i="55"/>
  <c r="FA51" i="55"/>
  <c r="AM52" i="55"/>
  <c r="AQ52" i="55"/>
  <c r="AR52" i="55"/>
  <c r="BN52" i="55"/>
  <c r="DF52" i="55"/>
  <c r="FA52" i="55"/>
  <c r="AN53" i="55"/>
  <c r="AO53" i="55"/>
  <c r="AR53" i="55"/>
  <c r="AS53" i="55"/>
  <c r="BN53" i="55"/>
  <c r="DF53" i="55"/>
  <c r="FA53" i="55"/>
  <c r="H54" i="55"/>
  <c r="AH54" i="55" s="1"/>
  <c r="AM54" i="55"/>
  <c r="AN54" i="55"/>
  <c r="AR54" i="55"/>
  <c r="AC54" i="55"/>
  <c r="AD54" i="55"/>
  <c r="AL54" i="55"/>
  <c r="AU54" i="55" s="1"/>
  <c r="AO54" i="55"/>
  <c r="AP54" i="55"/>
  <c r="AS54" i="55"/>
  <c r="AT54" i="55"/>
  <c r="BN54" i="55"/>
  <c r="DF54" i="55"/>
  <c r="FA54" i="55"/>
  <c r="AD55" i="55"/>
  <c r="AH55" i="55"/>
  <c r="AB55" i="55"/>
  <c r="AK55" i="55" s="1"/>
  <c r="AC55" i="55"/>
  <c r="AE55" i="55"/>
  <c r="AF55" i="55"/>
  <c r="AG55" i="55"/>
  <c r="AI55" i="55"/>
  <c r="AJ55" i="55"/>
  <c r="DF55" i="55"/>
  <c r="FA55" i="55"/>
  <c r="AC56" i="55"/>
  <c r="AG56" i="55"/>
  <c r="AJ56" i="55"/>
  <c r="AB56" i="55"/>
  <c r="AK56" i="55" s="1"/>
  <c r="AD56" i="55"/>
  <c r="AE56" i="55"/>
  <c r="AF56" i="55"/>
  <c r="AH56" i="55"/>
  <c r="AI56" i="55"/>
  <c r="BN56" i="55"/>
  <c r="DF56" i="55"/>
  <c r="FA56" i="55"/>
  <c r="AC57" i="55"/>
  <c r="AD57" i="55"/>
  <c r="AH57" i="55"/>
  <c r="AB57" i="55"/>
  <c r="AK57" i="55" s="1"/>
  <c r="AE57" i="55"/>
  <c r="AF57" i="55"/>
  <c r="AG57" i="55"/>
  <c r="AI57" i="55"/>
  <c r="AJ57" i="55"/>
  <c r="BN57" i="55"/>
  <c r="DF57" i="55"/>
  <c r="FA57" i="55"/>
  <c r="AB58" i="55"/>
  <c r="AK58" i="55" s="1"/>
  <c r="AE58" i="55"/>
  <c r="AH58" i="55"/>
  <c r="AI58" i="55"/>
  <c r="AC58" i="55"/>
  <c r="AD58" i="55"/>
  <c r="AF58" i="55"/>
  <c r="AG58" i="55"/>
  <c r="AJ58" i="55"/>
  <c r="BN58" i="55"/>
  <c r="DF58" i="55"/>
  <c r="FA58" i="55"/>
  <c r="AC59" i="55"/>
  <c r="AE59" i="55"/>
  <c r="AF59" i="55"/>
  <c r="AJ59" i="55"/>
  <c r="AD59" i="55"/>
  <c r="AG59" i="55"/>
  <c r="AH59" i="55"/>
  <c r="AI59" i="55"/>
  <c r="BN59" i="55"/>
  <c r="DF59" i="55"/>
  <c r="FA59" i="55"/>
  <c r="AC60" i="55"/>
  <c r="AB60" i="55"/>
  <c r="AK60" i="55" s="1"/>
  <c r="AG60" i="55"/>
  <c r="AD60" i="55"/>
  <c r="AE60" i="55"/>
  <c r="AF60" i="55"/>
  <c r="AH60" i="55"/>
  <c r="AI60" i="55"/>
  <c r="AJ60" i="55"/>
  <c r="BN60" i="55"/>
  <c r="DF60" i="55"/>
  <c r="FA60" i="55"/>
  <c r="AB61" i="55"/>
  <c r="AK61" i="55" s="1"/>
  <c r="AD61" i="55"/>
  <c r="AH61" i="55"/>
  <c r="AC61" i="55"/>
  <c r="AE61" i="55"/>
  <c r="AF61" i="55"/>
  <c r="AG61" i="55"/>
  <c r="AI61" i="55"/>
  <c r="AJ61" i="55"/>
  <c r="BN61" i="55"/>
  <c r="DF61" i="55"/>
  <c r="FA61" i="55"/>
  <c r="AB62" i="55"/>
  <c r="AC62" i="55"/>
  <c r="AD62" i="55"/>
  <c r="AE62" i="55"/>
  <c r="AF62" i="55"/>
  <c r="AG62" i="55"/>
  <c r="AH62" i="55"/>
  <c r="AI62" i="55"/>
  <c r="AJ62" i="55"/>
  <c r="BN62" i="55"/>
  <c r="DF62" i="55"/>
  <c r="FA62" i="55"/>
  <c r="AB63" i="55"/>
  <c r="AK63" i="55" s="1"/>
  <c r="AC63" i="55"/>
  <c r="AD63" i="55"/>
  <c r="AE63" i="55"/>
  <c r="AF63" i="55"/>
  <c r="AG63" i="55"/>
  <c r="AH63" i="55"/>
  <c r="AI63" i="55"/>
  <c r="AJ63" i="55"/>
  <c r="DF63" i="55"/>
  <c r="FA63" i="55"/>
  <c r="AB64" i="55"/>
  <c r="AC64" i="55"/>
  <c r="AD64" i="55"/>
  <c r="AE64" i="55"/>
  <c r="AF64" i="55"/>
  <c r="AG64" i="55"/>
  <c r="AH64" i="55"/>
  <c r="AI64" i="55"/>
  <c r="AJ64" i="55"/>
  <c r="BN64" i="55"/>
  <c r="DF64" i="55"/>
  <c r="FA64" i="55"/>
  <c r="AB65" i="55"/>
  <c r="AC65" i="55"/>
  <c r="AD65" i="55"/>
  <c r="AE65" i="55"/>
  <c r="AF65" i="55"/>
  <c r="AG65" i="55"/>
  <c r="AH65" i="55"/>
  <c r="AI65" i="55"/>
  <c r="AJ65" i="55"/>
  <c r="BN65" i="55"/>
  <c r="DF65" i="55"/>
  <c r="FA65" i="55"/>
  <c r="AB66" i="55"/>
  <c r="AC66" i="55"/>
  <c r="AD66" i="55"/>
  <c r="AE66" i="55"/>
  <c r="AF66" i="55"/>
  <c r="AG66" i="55"/>
  <c r="AH66" i="55"/>
  <c r="AI66" i="55"/>
  <c r="AJ66" i="55"/>
  <c r="BN66" i="55"/>
  <c r="DF66" i="55"/>
  <c r="FA66" i="55"/>
  <c r="AB67" i="55"/>
  <c r="AC67" i="55"/>
  <c r="AD67" i="55"/>
  <c r="AE67" i="55"/>
  <c r="AF67" i="55"/>
  <c r="AG67" i="55"/>
  <c r="AH67" i="55"/>
  <c r="AI67" i="55"/>
  <c r="AJ67" i="55"/>
  <c r="BN67" i="55"/>
  <c r="DF67" i="55"/>
  <c r="FA67" i="55"/>
  <c r="AC68" i="55"/>
  <c r="AB68" i="55"/>
  <c r="AD68" i="55"/>
  <c r="AE68" i="55"/>
  <c r="AF68" i="55"/>
  <c r="AG68" i="55"/>
  <c r="AH68" i="55"/>
  <c r="AI68" i="55"/>
  <c r="AJ68" i="55"/>
  <c r="BN68" i="55"/>
  <c r="DF68" i="55"/>
  <c r="FA68" i="55"/>
  <c r="AB69" i="55"/>
  <c r="AC69" i="55"/>
  <c r="AD69" i="55"/>
  <c r="AE69" i="55"/>
  <c r="AF69" i="55"/>
  <c r="AG69" i="55"/>
  <c r="AH69" i="55"/>
  <c r="AI69" i="55"/>
  <c r="AJ69" i="55"/>
  <c r="BN69" i="55"/>
  <c r="DF69" i="55"/>
  <c r="FA69" i="55"/>
  <c r="AB70" i="55"/>
  <c r="AC70" i="55"/>
  <c r="AD70" i="55"/>
  <c r="AE70" i="55"/>
  <c r="AF70" i="55"/>
  <c r="AG70" i="55"/>
  <c r="AH70" i="55"/>
  <c r="AI70" i="55"/>
  <c r="AJ70" i="55"/>
  <c r="BN70" i="55"/>
  <c r="DF70" i="55"/>
  <c r="FA70" i="55"/>
  <c r="AB71" i="55"/>
  <c r="AK71" i="55" s="1"/>
  <c r="T71" i="55"/>
  <c r="U71" i="55" s="1"/>
  <c r="DF71" i="55"/>
  <c r="FA71" i="55"/>
  <c r="T72" i="55"/>
  <c r="U72" i="55" s="1"/>
  <c r="AB72" i="55"/>
  <c r="AK72" i="55" s="1"/>
  <c r="BN72" i="55"/>
  <c r="DF72" i="55"/>
  <c r="FA72" i="55"/>
  <c r="H73" i="55"/>
  <c r="T73" i="55"/>
  <c r="BN73" i="55"/>
  <c r="DF73" i="55"/>
  <c r="FA73" i="55"/>
  <c r="T74" i="55"/>
  <c r="U74" i="55" s="1"/>
  <c r="V74" i="55" s="1"/>
  <c r="W74" i="55" s="1"/>
  <c r="X74" i="55" s="1"/>
  <c r="Y74" i="55" s="1"/>
  <c r="Z74" i="55" s="1"/>
  <c r="AA74" i="55" s="1"/>
  <c r="BN74" i="55"/>
  <c r="DF74" i="55"/>
  <c r="FA74" i="55"/>
  <c r="H75" i="55"/>
  <c r="AB75" i="55" s="1"/>
  <c r="AK75" i="55" s="1"/>
  <c r="T75" i="55"/>
  <c r="U75" i="55" s="1"/>
  <c r="AL75" i="55"/>
  <c r="AU75" i="55" s="1"/>
  <c r="AM75" i="55"/>
  <c r="BN75" i="55"/>
  <c r="DF75" i="55"/>
  <c r="FA75" i="55"/>
  <c r="AB76" i="55"/>
  <c r="AK76" i="55" s="1"/>
  <c r="T76" i="55"/>
  <c r="U76" i="55" s="1"/>
  <c r="BN76" i="55"/>
  <c r="DF76" i="55"/>
  <c r="FA76" i="55"/>
  <c r="T77" i="55"/>
  <c r="U77" i="55" s="1"/>
  <c r="V77" i="55" s="1"/>
  <c r="W77" i="55" s="1"/>
  <c r="X77" i="55" s="1"/>
  <c r="Y77" i="55" s="1"/>
  <c r="Z77" i="55" s="1"/>
  <c r="AA77" i="55" s="1"/>
  <c r="BN77" i="55"/>
  <c r="DF77" i="55"/>
  <c r="FA77" i="55"/>
  <c r="T78" i="55"/>
  <c r="U78" i="55" s="1"/>
  <c r="V78" i="55" s="1"/>
  <c r="W78" i="55" s="1"/>
  <c r="X78" i="55" s="1"/>
  <c r="Y78" i="55" s="1"/>
  <c r="Z78" i="55" s="1"/>
  <c r="AA78" i="55" s="1"/>
  <c r="AT78" i="55" s="1"/>
  <c r="AO78" i="55"/>
  <c r="BN78" i="55"/>
  <c r="DF78" i="55"/>
  <c r="FA78" i="55"/>
  <c r="T79" i="55"/>
  <c r="U79" i="55" s="1"/>
  <c r="DF79" i="55"/>
  <c r="FA79" i="55"/>
  <c r="H80" i="55"/>
  <c r="AL80" i="55"/>
  <c r="AU80" i="55" s="1"/>
  <c r="T80" i="55"/>
  <c r="BN80" i="55"/>
  <c r="DF80" i="55"/>
  <c r="FA80" i="55"/>
  <c r="AL81" i="55"/>
  <c r="AU81" i="55" s="1"/>
  <c r="T81" i="55"/>
  <c r="U81" i="55" s="1"/>
  <c r="BN81" i="55"/>
  <c r="DF81" i="55"/>
  <c r="FA81" i="55"/>
  <c r="T82" i="55"/>
  <c r="AB82" i="55"/>
  <c r="AK82" i="55" s="1"/>
  <c r="BN82" i="55"/>
  <c r="DF82" i="55"/>
  <c r="FA82" i="55"/>
  <c r="T83" i="55"/>
  <c r="AC83" i="55" s="1"/>
  <c r="AB83" i="55"/>
  <c r="AK83" i="55" s="1"/>
  <c r="BN83" i="55"/>
  <c r="DF83" i="55"/>
  <c r="FA83" i="55"/>
  <c r="H84" i="55"/>
  <c r="T84" i="55"/>
  <c r="BN84" i="55"/>
  <c r="DF84" i="55"/>
  <c r="FA84" i="55"/>
  <c r="H85" i="55"/>
  <c r="AB85" i="55" s="1"/>
  <c r="AK85" i="55" s="1"/>
  <c r="AL85" i="55"/>
  <c r="AU85" i="55" s="1"/>
  <c r="BN85" i="55"/>
  <c r="DF85" i="55"/>
  <c r="FA85" i="55"/>
  <c r="H86" i="55"/>
  <c r="T86" i="55"/>
  <c r="U86" i="55" s="1"/>
  <c r="BN86" i="55"/>
  <c r="DF86" i="55"/>
  <c r="FA86" i="55"/>
  <c r="T87" i="55"/>
  <c r="U87" i="55" s="1"/>
  <c r="DF87" i="55"/>
  <c r="FA87" i="55"/>
  <c r="T88" i="55"/>
  <c r="U88" i="55" s="1"/>
  <c r="V88" i="55" s="1"/>
  <c r="W88" i="55" s="1"/>
  <c r="X88" i="55" s="1"/>
  <c r="Y88" i="55" s="1"/>
  <c r="BN88" i="55"/>
  <c r="DF88" i="55"/>
  <c r="FA88" i="55"/>
  <c r="T89" i="55"/>
  <c r="U89" i="55" s="1"/>
  <c r="BN89" i="55"/>
  <c r="DF89" i="55"/>
  <c r="FA89" i="55"/>
  <c r="T90" i="55"/>
  <c r="U90" i="55" s="1"/>
  <c r="AB90" i="55"/>
  <c r="AK90" i="55" s="1"/>
  <c r="BN90" i="55"/>
  <c r="DF90" i="55"/>
  <c r="FA90" i="55"/>
  <c r="H91" i="55"/>
  <c r="AB91" i="55" s="1"/>
  <c r="AK91" i="55" s="1"/>
  <c r="BN91" i="55"/>
  <c r="DF91" i="55"/>
  <c r="FA91" i="55"/>
  <c r="T92" i="55"/>
  <c r="U92" i="55" s="1"/>
  <c r="V92" i="55" s="1"/>
  <c r="W92" i="55" s="1"/>
  <c r="X92" i="55" s="1"/>
  <c r="Y92" i="55" s="1"/>
  <c r="AN92" i="55"/>
  <c r="BN92" i="55"/>
  <c r="DF92" i="55"/>
  <c r="FA92" i="55"/>
  <c r="T93" i="55"/>
  <c r="U93" i="55" s="1"/>
  <c r="BN93" i="55"/>
  <c r="DF93" i="55"/>
  <c r="FA93" i="55"/>
  <c r="T94" i="55"/>
  <c r="U94" i="55" s="1"/>
  <c r="BN94" i="55"/>
  <c r="DF94" i="55"/>
  <c r="FA94" i="55"/>
  <c r="AB95" i="55"/>
  <c r="AK95" i="55" s="1"/>
  <c r="T95" i="55"/>
  <c r="DF95" i="55"/>
  <c r="FA95" i="55"/>
  <c r="T96" i="55"/>
  <c r="U96" i="55" s="1"/>
  <c r="BN96" i="55"/>
  <c r="DF96" i="55"/>
  <c r="FA96" i="55"/>
  <c r="AB97" i="55"/>
  <c r="AK97" i="55" s="1"/>
  <c r="T97" i="55"/>
  <c r="U97" i="55" s="1"/>
  <c r="BN97" i="55"/>
  <c r="DF97" i="55"/>
  <c r="FA97" i="55"/>
  <c r="T98" i="55"/>
  <c r="U98" i="55" s="1"/>
  <c r="BN98" i="55"/>
  <c r="DF98" i="55"/>
  <c r="FA98" i="55"/>
  <c r="AL99" i="55"/>
  <c r="AU99" i="55" s="1"/>
  <c r="T99" i="55"/>
  <c r="U99" i="55"/>
  <c r="BN99" i="55"/>
  <c r="DF99" i="55"/>
  <c r="FA99" i="55"/>
  <c r="T100" i="55"/>
  <c r="U100" i="55" s="1"/>
  <c r="V100" i="55" s="1"/>
  <c r="BN100" i="55"/>
  <c r="DF100" i="55"/>
  <c r="FA100" i="55"/>
  <c r="H101" i="55"/>
  <c r="AB101" i="55" s="1"/>
  <c r="AK101" i="55" s="1"/>
  <c r="T101" i="55"/>
  <c r="U101" i="55"/>
  <c r="AN101" i="55" s="1"/>
  <c r="AL101" i="55"/>
  <c r="AU101" i="55" s="1"/>
  <c r="AM101" i="55"/>
  <c r="BN101" i="55"/>
  <c r="DF101" i="55"/>
  <c r="FA101" i="55"/>
  <c r="AB102" i="55"/>
  <c r="AC102" i="55"/>
  <c r="AD102" i="55"/>
  <c r="AE102" i="55"/>
  <c r="AF102" i="55"/>
  <c r="AG102" i="55"/>
  <c r="AH102" i="55"/>
  <c r="AI102" i="55"/>
  <c r="AJ102" i="55"/>
  <c r="BN102" i="55"/>
  <c r="DF102" i="55"/>
  <c r="FA102" i="55"/>
  <c r="AB103" i="55"/>
  <c r="AC103" i="55"/>
  <c r="AD103" i="55"/>
  <c r="AE103" i="55"/>
  <c r="AF103" i="55"/>
  <c r="AG103" i="55"/>
  <c r="AH103" i="55"/>
  <c r="AI103" i="55"/>
  <c r="AJ103" i="55"/>
  <c r="DF103" i="55"/>
  <c r="FA103" i="55"/>
  <c r="AB104" i="55"/>
  <c r="AC104" i="55"/>
  <c r="AD104" i="55"/>
  <c r="AE104" i="55"/>
  <c r="AF104" i="55"/>
  <c r="AG104" i="55"/>
  <c r="AH104" i="55"/>
  <c r="AI104" i="55"/>
  <c r="AJ104" i="55"/>
  <c r="BN104" i="55"/>
  <c r="DF104" i="55"/>
  <c r="FA104" i="55"/>
  <c r="AB105" i="55"/>
  <c r="AC105" i="55"/>
  <c r="AD105" i="55"/>
  <c r="AE105" i="55"/>
  <c r="AF105" i="55"/>
  <c r="AG105" i="55"/>
  <c r="AH105" i="55"/>
  <c r="AI105" i="55"/>
  <c r="AJ105" i="55"/>
  <c r="BN105" i="55"/>
  <c r="DF105" i="55"/>
  <c r="FA105" i="55"/>
  <c r="AB106" i="55"/>
  <c r="AC106" i="55"/>
  <c r="AD106" i="55"/>
  <c r="AE106" i="55"/>
  <c r="AF106" i="55"/>
  <c r="AG106" i="55"/>
  <c r="AH106" i="55"/>
  <c r="AI106" i="55"/>
  <c r="AJ106" i="55"/>
  <c r="BN106" i="55"/>
  <c r="DF106" i="55"/>
  <c r="FA106" i="55"/>
  <c r="AB107" i="55"/>
  <c r="AC107" i="55"/>
  <c r="AD107" i="55"/>
  <c r="AE107" i="55"/>
  <c r="AF107" i="55"/>
  <c r="AG107" i="55"/>
  <c r="AH107" i="55"/>
  <c r="AI107" i="55"/>
  <c r="AJ107" i="55"/>
  <c r="BN107" i="55"/>
  <c r="DF107" i="55"/>
  <c r="FA107" i="55"/>
  <c r="AB108" i="55"/>
  <c r="AC108" i="55"/>
  <c r="AD108" i="55"/>
  <c r="AE108" i="55"/>
  <c r="AF108" i="55"/>
  <c r="AG108" i="55"/>
  <c r="AH108" i="55"/>
  <c r="AI108" i="55"/>
  <c r="AJ108" i="55"/>
  <c r="BN108" i="55"/>
  <c r="DF108" i="55"/>
  <c r="FA108" i="55"/>
  <c r="AB109" i="55"/>
  <c r="AC109" i="55"/>
  <c r="AD109" i="55"/>
  <c r="AE109" i="55"/>
  <c r="AF109" i="55"/>
  <c r="AG109" i="55"/>
  <c r="AH109" i="55"/>
  <c r="AI109" i="55"/>
  <c r="AJ109" i="55"/>
  <c r="BN109" i="55"/>
  <c r="DF109" i="55"/>
  <c r="FA109" i="55"/>
  <c r="AB110" i="55"/>
  <c r="AC110" i="55"/>
  <c r="AD110" i="55"/>
  <c r="AE110" i="55"/>
  <c r="AF110" i="55"/>
  <c r="AG110" i="55"/>
  <c r="AH110" i="55"/>
  <c r="AI110" i="55"/>
  <c r="AJ110" i="55"/>
  <c r="BN110" i="55"/>
  <c r="DF110" i="55"/>
  <c r="FA110" i="55"/>
  <c r="AB111" i="55"/>
  <c r="AC111" i="55"/>
  <c r="AD111" i="55"/>
  <c r="AE111" i="55"/>
  <c r="AF111" i="55"/>
  <c r="AG111" i="55"/>
  <c r="AH111" i="55"/>
  <c r="AI111" i="55"/>
  <c r="AJ111" i="55"/>
  <c r="DF111" i="55"/>
  <c r="FA111" i="55"/>
  <c r="T112" i="55"/>
  <c r="AB112" i="55"/>
  <c r="AK112" i="55" s="1"/>
  <c r="BN112" i="55"/>
  <c r="DF112" i="55"/>
  <c r="FA112" i="55"/>
  <c r="H113" i="55"/>
  <c r="T113" i="55"/>
  <c r="U113" i="55" s="1"/>
  <c r="BN113" i="55"/>
  <c r="DF113" i="55"/>
  <c r="FA113" i="55"/>
  <c r="T114" i="55"/>
  <c r="U114" i="55" s="1"/>
  <c r="V114" i="55" s="1"/>
  <c r="W114" i="55" s="1"/>
  <c r="X114" i="55" s="1"/>
  <c r="Y114" i="55" s="1"/>
  <c r="Z114" i="55" s="1"/>
  <c r="AA114" i="55" s="1"/>
  <c r="BN114" i="55"/>
  <c r="DF114" i="55"/>
  <c r="FA114" i="55"/>
  <c r="AC115" i="55"/>
  <c r="AB115" i="55"/>
  <c r="AD115" i="55"/>
  <c r="AE115" i="55"/>
  <c r="AF115" i="55"/>
  <c r="AG115" i="55"/>
  <c r="AH115" i="55"/>
  <c r="AI115" i="55"/>
  <c r="AJ115" i="55"/>
  <c r="BN115" i="55"/>
  <c r="DF115" i="55"/>
  <c r="FA115" i="55"/>
  <c r="AB116" i="55"/>
  <c r="AC116" i="55"/>
  <c r="AD116" i="55"/>
  <c r="AE116" i="55"/>
  <c r="AF116" i="55"/>
  <c r="AG116" i="55"/>
  <c r="AH116" i="55"/>
  <c r="AI116" i="55"/>
  <c r="AJ116" i="55"/>
  <c r="BN116" i="55"/>
  <c r="DF116" i="55"/>
  <c r="FA116" i="55"/>
  <c r="AB117" i="55"/>
  <c r="AC117" i="55"/>
  <c r="AD117" i="55"/>
  <c r="AE117" i="55"/>
  <c r="AF117" i="55"/>
  <c r="AG117" i="55"/>
  <c r="AH117" i="55"/>
  <c r="AI117" i="55"/>
  <c r="AJ117" i="55"/>
  <c r="BN117" i="55"/>
  <c r="DF117" i="55"/>
  <c r="FA117" i="55"/>
  <c r="AB118" i="55"/>
  <c r="AC118" i="55"/>
  <c r="AD118" i="55"/>
  <c r="AE118" i="55"/>
  <c r="AF118" i="55"/>
  <c r="AG118" i="55"/>
  <c r="AH118" i="55"/>
  <c r="AI118" i="55"/>
  <c r="AJ118" i="55"/>
  <c r="BN118" i="55"/>
  <c r="DF118" i="55"/>
  <c r="FA118" i="55"/>
  <c r="AC119" i="55"/>
  <c r="AB119" i="55"/>
  <c r="AD119" i="55"/>
  <c r="AE119" i="55"/>
  <c r="AF119" i="55"/>
  <c r="AG119" i="55"/>
  <c r="AH119" i="55"/>
  <c r="AI119" i="55"/>
  <c r="AJ119" i="55"/>
  <c r="DF119" i="55"/>
  <c r="FA119" i="55"/>
  <c r="AC120" i="55"/>
  <c r="AB120" i="55"/>
  <c r="AD120" i="55"/>
  <c r="AE120" i="55"/>
  <c r="AF120" i="55"/>
  <c r="AG120" i="55"/>
  <c r="AH120" i="55"/>
  <c r="AI120" i="55"/>
  <c r="AJ120" i="55"/>
  <c r="BN120" i="55"/>
  <c r="DF120" i="55"/>
  <c r="FA120" i="55"/>
  <c r="AB121" i="55"/>
  <c r="AC121" i="55"/>
  <c r="AD121" i="55"/>
  <c r="AE121" i="55"/>
  <c r="AF121" i="55"/>
  <c r="AG121" i="55"/>
  <c r="AH121" i="55"/>
  <c r="AI121" i="55"/>
  <c r="AJ121" i="55"/>
  <c r="BN121" i="55"/>
  <c r="DF121" i="55"/>
  <c r="FA121" i="55"/>
  <c r="AC122" i="55"/>
  <c r="AB122" i="55"/>
  <c r="AD122" i="55"/>
  <c r="AE122" i="55"/>
  <c r="AF122" i="55"/>
  <c r="AG122" i="55"/>
  <c r="AH122" i="55"/>
  <c r="AI122" i="55"/>
  <c r="AJ122" i="55"/>
  <c r="BN122" i="55"/>
  <c r="DF122" i="55"/>
  <c r="FA122" i="55"/>
  <c r="AB123" i="55"/>
  <c r="AC123" i="55"/>
  <c r="AD123" i="55"/>
  <c r="AE123" i="55"/>
  <c r="AF123" i="55"/>
  <c r="AG123" i="55"/>
  <c r="AH123" i="55"/>
  <c r="AI123" i="55"/>
  <c r="AJ123" i="55"/>
  <c r="BN123" i="55"/>
  <c r="DF123" i="55"/>
  <c r="FA123" i="55"/>
  <c r="AC124" i="55"/>
  <c r="AB124" i="55"/>
  <c r="AD124" i="55"/>
  <c r="AE124" i="55"/>
  <c r="AF124" i="55"/>
  <c r="AG124" i="55"/>
  <c r="AH124" i="55"/>
  <c r="AI124" i="55"/>
  <c r="AJ124" i="55"/>
  <c r="BN124" i="55"/>
  <c r="DF124" i="55"/>
  <c r="FA124" i="55"/>
  <c r="AB125" i="55"/>
  <c r="AC125" i="55"/>
  <c r="AD125" i="55"/>
  <c r="AE125" i="55"/>
  <c r="AF125" i="55"/>
  <c r="AG125" i="55"/>
  <c r="AH125" i="55"/>
  <c r="AI125" i="55"/>
  <c r="AJ125" i="55"/>
  <c r="BN125" i="55"/>
  <c r="DF125" i="55"/>
  <c r="FA125" i="55"/>
  <c r="AB126" i="55"/>
  <c r="AC126" i="55"/>
  <c r="AD126" i="55"/>
  <c r="AE126" i="55"/>
  <c r="AF126" i="55"/>
  <c r="AG126" i="55"/>
  <c r="AH126" i="55"/>
  <c r="AI126" i="55"/>
  <c r="AJ126" i="55"/>
  <c r="BN126" i="55"/>
  <c r="DF126" i="55"/>
  <c r="FA126" i="55"/>
  <c r="AB127" i="55"/>
  <c r="AC127" i="55"/>
  <c r="AD127" i="55"/>
  <c r="AE127" i="55"/>
  <c r="AF127" i="55"/>
  <c r="AG127" i="55"/>
  <c r="AH127" i="55"/>
  <c r="AI127" i="55"/>
  <c r="AJ127" i="55"/>
  <c r="DF127" i="55"/>
  <c r="FA127" i="55"/>
  <c r="AB128" i="55"/>
  <c r="AK128" i="55" s="1"/>
  <c r="T128" i="55"/>
  <c r="BN128" i="55"/>
  <c r="DF128" i="55"/>
  <c r="FA128" i="55"/>
  <c r="T129" i="55"/>
  <c r="AB129" i="55"/>
  <c r="AK129" i="55" s="1"/>
  <c r="BN129" i="55"/>
  <c r="DF129" i="55"/>
  <c r="FA129" i="55"/>
  <c r="H130" i="55"/>
  <c r="AL130" i="55"/>
  <c r="AU130" i="55" s="1"/>
  <c r="T130" i="55"/>
  <c r="BN130" i="55"/>
  <c r="DF130" i="55"/>
  <c r="FA130" i="55"/>
  <c r="AL131" i="55"/>
  <c r="AU131" i="55" s="1"/>
  <c r="T131" i="55"/>
  <c r="U131" i="55" s="1"/>
  <c r="BN131" i="55"/>
  <c r="DF131" i="55"/>
  <c r="FA131" i="55"/>
  <c r="AB132" i="55"/>
  <c r="AK132" i="55" s="1"/>
  <c r="T132" i="55"/>
  <c r="BN132" i="55"/>
  <c r="DF132" i="55"/>
  <c r="FA132" i="55"/>
  <c r="T133" i="55"/>
  <c r="U133" i="55" s="1"/>
  <c r="AL133" i="55"/>
  <c r="AU133" i="55" s="1"/>
  <c r="BN133" i="55"/>
  <c r="DF133" i="55"/>
  <c r="FA133" i="55"/>
  <c r="H134" i="55"/>
  <c r="AL134" i="55"/>
  <c r="AU134" i="55" s="1"/>
  <c r="T134" i="55"/>
  <c r="BN134" i="55"/>
  <c r="DF134" i="55"/>
  <c r="FA134" i="55"/>
  <c r="AB135" i="55"/>
  <c r="AC135" i="55"/>
  <c r="AD135" i="55"/>
  <c r="AE135" i="55"/>
  <c r="AF135" i="55"/>
  <c r="AG135" i="55"/>
  <c r="AH135" i="55"/>
  <c r="AI135" i="55"/>
  <c r="AJ135" i="55"/>
  <c r="DF135" i="55"/>
  <c r="FA135" i="55"/>
  <c r="AB136" i="55"/>
  <c r="AC136" i="55"/>
  <c r="AD136" i="55"/>
  <c r="AE136" i="55"/>
  <c r="AF136" i="55"/>
  <c r="AG136" i="55"/>
  <c r="AH136" i="55"/>
  <c r="AI136" i="55"/>
  <c r="AJ136" i="55"/>
  <c r="BN136" i="55"/>
  <c r="DF136" i="55"/>
  <c r="FA136" i="55"/>
  <c r="AB137" i="55"/>
  <c r="AC137" i="55"/>
  <c r="AD137" i="55"/>
  <c r="AE137" i="55"/>
  <c r="AF137" i="55"/>
  <c r="AG137" i="55"/>
  <c r="AH137" i="55"/>
  <c r="AI137" i="55"/>
  <c r="AJ137" i="55"/>
  <c r="BN137" i="55"/>
  <c r="DF137" i="55"/>
  <c r="FA137" i="55"/>
  <c r="AB138" i="55"/>
  <c r="AC138" i="55"/>
  <c r="AD138" i="55"/>
  <c r="AE138" i="55"/>
  <c r="AF138" i="55"/>
  <c r="AG138" i="55"/>
  <c r="AH138" i="55"/>
  <c r="AI138" i="55"/>
  <c r="AJ138" i="55"/>
  <c r="BN138" i="55"/>
  <c r="DF138" i="55"/>
  <c r="FA138" i="55"/>
  <c r="AB139" i="55"/>
  <c r="AC139" i="55"/>
  <c r="AD139" i="55"/>
  <c r="AE139" i="55"/>
  <c r="AF139" i="55"/>
  <c r="AG139" i="55"/>
  <c r="AH139" i="55"/>
  <c r="AI139" i="55"/>
  <c r="AJ139" i="55"/>
  <c r="BN139" i="55"/>
  <c r="DF139" i="55"/>
  <c r="FA139" i="55"/>
  <c r="AB140" i="55"/>
  <c r="AC140" i="55"/>
  <c r="AD140" i="55"/>
  <c r="AE140" i="55"/>
  <c r="AF140" i="55"/>
  <c r="AG140" i="55"/>
  <c r="AH140" i="55"/>
  <c r="AI140" i="55"/>
  <c r="AJ140" i="55"/>
  <c r="BN140" i="55"/>
  <c r="DF140" i="55"/>
  <c r="FA140" i="55"/>
  <c r="AB141" i="55"/>
  <c r="AC141" i="55"/>
  <c r="AD141" i="55"/>
  <c r="AE141" i="55"/>
  <c r="AF141" i="55"/>
  <c r="AG141" i="55"/>
  <c r="AH141" i="55"/>
  <c r="AI141" i="55"/>
  <c r="AJ141" i="55"/>
  <c r="BN141" i="55"/>
  <c r="DF141" i="55"/>
  <c r="FA141" i="55"/>
  <c r="AB142" i="55"/>
  <c r="AC142" i="55"/>
  <c r="AD142" i="55"/>
  <c r="AE142" i="55"/>
  <c r="AF142" i="55"/>
  <c r="AG142" i="55"/>
  <c r="AH142" i="55"/>
  <c r="AI142" i="55"/>
  <c r="AJ142" i="55"/>
  <c r="BN142" i="55"/>
  <c r="DF142" i="55"/>
  <c r="FA142" i="55"/>
  <c r="AC143" i="55"/>
  <c r="AB143" i="55"/>
  <c r="AD143" i="55"/>
  <c r="AE143" i="55"/>
  <c r="AF143" i="55"/>
  <c r="AG143" i="55"/>
  <c r="AH143" i="55"/>
  <c r="AI143" i="55"/>
  <c r="AJ143" i="55"/>
  <c r="DF143" i="55"/>
  <c r="FA143" i="55"/>
  <c r="AB144" i="55"/>
  <c r="AC144" i="55"/>
  <c r="AD144" i="55"/>
  <c r="AE144" i="55"/>
  <c r="AF144" i="55"/>
  <c r="AG144" i="55"/>
  <c r="AH144" i="55"/>
  <c r="AI144" i="55"/>
  <c r="AJ144" i="55"/>
  <c r="BN144" i="55"/>
  <c r="DF144" i="55"/>
  <c r="FA144" i="55"/>
  <c r="AB145" i="55"/>
  <c r="AC145" i="55"/>
  <c r="AD145" i="55"/>
  <c r="AE145" i="55"/>
  <c r="AF145" i="55"/>
  <c r="AG145" i="55"/>
  <c r="AH145" i="55"/>
  <c r="AI145" i="55"/>
  <c r="AJ145" i="55"/>
  <c r="BN145" i="55"/>
  <c r="DF145" i="55"/>
  <c r="FA145" i="55"/>
  <c r="AC146" i="55"/>
  <c r="AB146" i="55"/>
  <c r="AD146" i="55"/>
  <c r="AE146" i="55"/>
  <c r="AF146" i="55"/>
  <c r="AG146" i="55"/>
  <c r="AH146" i="55"/>
  <c r="AI146" i="55"/>
  <c r="AJ146" i="55"/>
  <c r="BN146" i="55"/>
  <c r="DF146" i="55"/>
  <c r="FA146" i="55"/>
  <c r="AB147" i="55"/>
  <c r="AC147" i="55"/>
  <c r="AD147" i="55"/>
  <c r="AE147" i="55"/>
  <c r="AF147" i="55"/>
  <c r="AG147" i="55"/>
  <c r="AH147" i="55"/>
  <c r="AI147" i="55"/>
  <c r="AJ147" i="55"/>
  <c r="BN147" i="55"/>
  <c r="DF147" i="55"/>
  <c r="FA147" i="55"/>
  <c r="AC148" i="55"/>
  <c r="AB148" i="55"/>
  <c r="AD148" i="55"/>
  <c r="AE148" i="55"/>
  <c r="AF148" i="55"/>
  <c r="AG148" i="55"/>
  <c r="AH148" i="55"/>
  <c r="AI148" i="55"/>
  <c r="AJ148" i="55"/>
  <c r="BN148" i="55"/>
  <c r="DF148" i="55"/>
  <c r="FA148" i="55"/>
  <c r="T149" i="55"/>
  <c r="U149" i="55" s="1"/>
  <c r="AB149" i="55"/>
  <c r="AK149" i="55" s="1"/>
  <c r="BN149" i="55"/>
  <c r="DF149" i="55"/>
  <c r="FA149" i="55"/>
  <c r="T150" i="55"/>
  <c r="AC150" i="55" s="1"/>
  <c r="BN150" i="55"/>
  <c r="DF150" i="55"/>
  <c r="FA150" i="55"/>
  <c r="AB151" i="55"/>
  <c r="AK151" i="55" s="1"/>
  <c r="T151" i="55"/>
  <c r="U151" i="55" s="1"/>
  <c r="AD151" i="55" s="1"/>
  <c r="DF151" i="55"/>
  <c r="FA151" i="55"/>
  <c r="AB152" i="55"/>
  <c r="AK152" i="55" s="1"/>
  <c r="T152" i="55"/>
  <c r="U152" i="55" s="1"/>
  <c r="AC152" i="55"/>
  <c r="BN152" i="55"/>
  <c r="DF152" i="55"/>
  <c r="FA152" i="55"/>
  <c r="AN153" i="55"/>
  <c r="AM153" i="55"/>
  <c r="T153" i="55"/>
  <c r="U153" i="55" s="1"/>
  <c r="V153" i="55" s="1"/>
  <c r="W153" i="55" s="1"/>
  <c r="AP153" i="55" s="1"/>
  <c r="AL153" i="55"/>
  <c r="AU153" i="55" s="1"/>
  <c r="BN153" i="55"/>
  <c r="DF153" i="55"/>
  <c r="FA153" i="55"/>
  <c r="H154" i="55"/>
  <c r="T154" i="55"/>
  <c r="U154" i="55" s="1"/>
  <c r="AL154" i="55"/>
  <c r="AU154" i="55" s="1"/>
  <c r="BN154" i="55"/>
  <c r="DF154" i="55"/>
  <c r="FA154" i="55"/>
  <c r="H155" i="55"/>
  <c r="AB155" i="55" s="1"/>
  <c r="AK155" i="55" s="1"/>
  <c r="AL155" i="55"/>
  <c r="AU155" i="55" s="1"/>
  <c r="BN155" i="55"/>
  <c r="DF155" i="55"/>
  <c r="FA155" i="55"/>
  <c r="AL156" i="55"/>
  <c r="AU156" i="55" s="1"/>
  <c r="T156" i="55"/>
  <c r="U156" i="55" s="1"/>
  <c r="BN156" i="55"/>
  <c r="DF156" i="55"/>
  <c r="FA156" i="55"/>
  <c r="AB157" i="55"/>
  <c r="AK157" i="55" s="1"/>
  <c r="T157" i="55"/>
  <c r="U157" i="55" s="1"/>
  <c r="BN157" i="55"/>
  <c r="DF157" i="55"/>
  <c r="FA157" i="55"/>
  <c r="H158" i="55"/>
  <c r="AB158" i="55" s="1"/>
  <c r="AK158" i="55" s="1"/>
  <c r="T158" i="55"/>
  <c r="U158" i="55" s="1"/>
  <c r="AL158" i="55"/>
  <c r="AU158" i="55" s="1"/>
  <c r="BN158" i="55"/>
  <c r="DF158" i="55"/>
  <c r="FA158" i="55"/>
  <c r="H159" i="55"/>
  <c r="AB159" i="55" s="1"/>
  <c r="AK159" i="55" s="1"/>
  <c r="AL159" i="55"/>
  <c r="AU159" i="55" s="1"/>
  <c r="DF159" i="55"/>
  <c r="FA159" i="55"/>
  <c r="T160" i="55"/>
  <c r="U160" i="55" s="1"/>
  <c r="AB160" i="55"/>
  <c r="AK160" i="55" s="1"/>
  <c r="DF160" i="55"/>
  <c r="FA160" i="55"/>
  <c r="H161" i="55"/>
  <c r="T161" i="55"/>
  <c r="U161" i="55" s="1"/>
  <c r="AN161" i="55" s="1"/>
  <c r="AL161" i="55"/>
  <c r="AU161" i="55" s="1"/>
  <c r="DF161" i="55"/>
  <c r="FA161" i="55"/>
  <c r="H162" i="55"/>
  <c r="T162" i="55"/>
  <c r="U162" i="55"/>
  <c r="AN162" i="55" s="1"/>
  <c r="AL162" i="55"/>
  <c r="AU162" i="55" s="1"/>
  <c r="DF162" i="55"/>
  <c r="FA162" i="55"/>
  <c r="AB163" i="55"/>
  <c r="AC163" i="55"/>
  <c r="AD163" i="55"/>
  <c r="AE163" i="55"/>
  <c r="AF163" i="55"/>
  <c r="AG163" i="55"/>
  <c r="AH163" i="55"/>
  <c r="AI163" i="55"/>
  <c r="AJ163" i="55"/>
  <c r="DF163" i="55"/>
  <c r="FA163" i="55"/>
  <c r="AB164" i="55"/>
  <c r="AC164" i="55"/>
  <c r="AD164" i="55"/>
  <c r="AE164" i="55"/>
  <c r="AF164" i="55"/>
  <c r="AG164" i="55"/>
  <c r="AH164" i="55"/>
  <c r="AI164" i="55"/>
  <c r="AJ164" i="55"/>
  <c r="DF164" i="55"/>
  <c r="FA164" i="55"/>
  <c r="AB165" i="55"/>
  <c r="AC165" i="55"/>
  <c r="AD165" i="55"/>
  <c r="AE165" i="55"/>
  <c r="AF165" i="55"/>
  <c r="AG165" i="55"/>
  <c r="AH165" i="55"/>
  <c r="AI165" i="55"/>
  <c r="AJ165" i="55"/>
  <c r="DF165" i="55"/>
  <c r="FA165" i="55"/>
  <c r="AC166" i="55"/>
  <c r="AB166" i="55"/>
  <c r="AD166" i="55"/>
  <c r="AE166" i="55"/>
  <c r="AF166" i="55"/>
  <c r="AG166" i="55"/>
  <c r="AH166" i="55"/>
  <c r="AI166" i="55"/>
  <c r="AJ166" i="55"/>
  <c r="DF166" i="55"/>
  <c r="FA166" i="55"/>
  <c r="AB167" i="55"/>
  <c r="AC167" i="55"/>
  <c r="AD167" i="55"/>
  <c r="AE167" i="55"/>
  <c r="AF167" i="55"/>
  <c r="AG167" i="55"/>
  <c r="AH167" i="55"/>
  <c r="AI167" i="55"/>
  <c r="AJ167" i="55"/>
  <c r="DF167" i="55"/>
  <c r="FA167" i="55"/>
  <c r="AB168" i="55"/>
  <c r="AC168" i="55"/>
  <c r="AD168" i="55"/>
  <c r="AE168" i="55"/>
  <c r="AF168" i="55"/>
  <c r="AG168" i="55"/>
  <c r="AH168" i="55"/>
  <c r="AI168" i="55"/>
  <c r="AJ168" i="55"/>
  <c r="DF168" i="55"/>
  <c r="FA168" i="55"/>
  <c r="AB169" i="55"/>
  <c r="AC169" i="55"/>
  <c r="AD169" i="55"/>
  <c r="AE169" i="55"/>
  <c r="AF169" i="55"/>
  <c r="AG169" i="55"/>
  <c r="AH169" i="55"/>
  <c r="AI169" i="55"/>
  <c r="AJ169" i="55"/>
  <c r="DF169" i="55"/>
  <c r="FA169" i="55"/>
  <c r="AC170" i="55"/>
  <c r="AB170" i="55"/>
  <c r="AD170" i="55"/>
  <c r="AE170" i="55"/>
  <c r="AF170" i="55"/>
  <c r="AG170" i="55"/>
  <c r="AH170" i="55"/>
  <c r="AI170" i="55"/>
  <c r="AJ170" i="55"/>
  <c r="DF170" i="55"/>
  <c r="FA170" i="55"/>
  <c r="AB171" i="55"/>
  <c r="AC171" i="55"/>
  <c r="AD171" i="55"/>
  <c r="AE171" i="55"/>
  <c r="AF171" i="55"/>
  <c r="AG171" i="55"/>
  <c r="AH171" i="55"/>
  <c r="AI171" i="55"/>
  <c r="AJ171" i="55"/>
  <c r="DF171" i="55"/>
  <c r="FA171" i="55"/>
  <c r="AB172" i="55"/>
  <c r="AC172" i="55"/>
  <c r="AD172" i="55"/>
  <c r="AE172" i="55"/>
  <c r="AF172" i="55"/>
  <c r="AG172" i="55"/>
  <c r="AH172" i="55"/>
  <c r="AI172" i="55"/>
  <c r="AJ172" i="55"/>
  <c r="DF172" i="55"/>
  <c r="FA172" i="55"/>
  <c r="AB173" i="55"/>
  <c r="AC173" i="55"/>
  <c r="AD173" i="55"/>
  <c r="AE173" i="55"/>
  <c r="AF173" i="55"/>
  <c r="AG173" i="55"/>
  <c r="AH173" i="55"/>
  <c r="AI173" i="55"/>
  <c r="AJ173" i="55"/>
  <c r="DF173" i="55"/>
  <c r="FA173" i="55"/>
  <c r="AC174" i="55"/>
  <c r="AB174" i="55"/>
  <c r="AD174" i="55"/>
  <c r="AE174" i="55"/>
  <c r="AF174" i="55"/>
  <c r="AG174" i="55"/>
  <c r="AH174" i="55"/>
  <c r="AI174" i="55"/>
  <c r="AJ174" i="55"/>
  <c r="DF174" i="55"/>
  <c r="FA174" i="55"/>
  <c r="AB175" i="55"/>
  <c r="AC175" i="55"/>
  <c r="AD175" i="55"/>
  <c r="AE175" i="55"/>
  <c r="AF175" i="55"/>
  <c r="AG175" i="55"/>
  <c r="AH175" i="55"/>
  <c r="AI175" i="55"/>
  <c r="AJ175" i="55"/>
  <c r="DF175" i="55"/>
  <c r="FA175" i="55"/>
  <c r="AB176" i="55"/>
  <c r="AC176" i="55"/>
  <c r="AD176" i="55"/>
  <c r="AE176" i="55"/>
  <c r="AF176" i="55"/>
  <c r="AG176" i="55"/>
  <c r="AH176" i="55"/>
  <c r="AI176" i="55"/>
  <c r="AJ176" i="55"/>
  <c r="DF176" i="55"/>
  <c r="FA176" i="55"/>
  <c r="AB177" i="55"/>
  <c r="AC177" i="55"/>
  <c r="AD177" i="55"/>
  <c r="AE177" i="55"/>
  <c r="AF177" i="55"/>
  <c r="AG177" i="55"/>
  <c r="AH177" i="55"/>
  <c r="AI177" i="55"/>
  <c r="AJ177" i="55"/>
  <c r="DF177" i="55"/>
  <c r="AB178" i="55"/>
  <c r="AC178" i="55"/>
  <c r="AD178" i="55"/>
  <c r="AE178" i="55"/>
  <c r="AF178" i="55"/>
  <c r="AG178" i="55"/>
  <c r="AH178" i="55"/>
  <c r="AI178" i="55"/>
  <c r="AJ178" i="55"/>
  <c r="DF178" i="55"/>
  <c r="AB179" i="55"/>
  <c r="AC179" i="55"/>
  <c r="AD179" i="55"/>
  <c r="AE179" i="55"/>
  <c r="AF179" i="55"/>
  <c r="AG179" i="55"/>
  <c r="AH179" i="55"/>
  <c r="AI179" i="55"/>
  <c r="AJ179" i="55"/>
  <c r="DF179" i="55"/>
  <c r="AB180" i="55"/>
  <c r="AC180" i="55"/>
  <c r="AD180" i="55"/>
  <c r="AE180" i="55"/>
  <c r="AF180" i="55"/>
  <c r="AG180" i="55"/>
  <c r="AH180" i="55"/>
  <c r="AI180" i="55"/>
  <c r="AJ180" i="55"/>
  <c r="DF180" i="55"/>
  <c r="AB181" i="55"/>
  <c r="AC181" i="55"/>
  <c r="AD181" i="55"/>
  <c r="AE181" i="55"/>
  <c r="AF181" i="55"/>
  <c r="AG181" i="55"/>
  <c r="AH181" i="55"/>
  <c r="AI181" i="55"/>
  <c r="AJ181" i="55"/>
  <c r="DF181" i="55"/>
  <c r="AB182" i="55"/>
  <c r="AC182" i="55"/>
  <c r="AD182" i="55"/>
  <c r="AE182" i="55"/>
  <c r="AF182" i="55"/>
  <c r="AG182" i="55"/>
  <c r="AH182" i="55"/>
  <c r="AI182" i="55"/>
  <c r="AJ182" i="55"/>
  <c r="DF182" i="55"/>
  <c r="AB183" i="55"/>
  <c r="AC183" i="55"/>
  <c r="AD183" i="55"/>
  <c r="AE183" i="55"/>
  <c r="AF183" i="55"/>
  <c r="AG183" i="55"/>
  <c r="AH183" i="55"/>
  <c r="AI183" i="55"/>
  <c r="AJ183" i="55"/>
  <c r="DF183" i="55"/>
  <c r="AB184" i="55"/>
  <c r="AC184" i="55"/>
  <c r="AD184" i="55"/>
  <c r="AE184" i="55"/>
  <c r="AF184" i="55"/>
  <c r="AG184" i="55"/>
  <c r="AH184" i="55"/>
  <c r="AI184" i="55"/>
  <c r="AJ184" i="55"/>
  <c r="DF184" i="55"/>
  <c r="AB185" i="55"/>
  <c r="AC185" i="55"/>
  <c r="AD185" i="55"/>
  <c r="AE185" i="55"/>
  <c r="AF185" i="55"/>
  <c r="AG185" i="55"/>
  <c r="AH185" i="55"/>
  <c r="AI185" i="55"/>
  <c r="AJ185" i="55"/>
  <c r="DF185" i="55"/>
  <c r="AB186" i="55"/>
  <c r="AC186" i="55"/>
  <c r="AD186" i="55"/>
  <c r="AE186" i="55"/>
  <c r="AF186" i="55"/>
  <c r="AG186" i="55"/>
  <c r="AH186" i="55"/>
  <c r="AI186" i="55"/>
  <c r="AJ186" i="55"/>
  <c r="DF186" i="55"/>
  <c r="AB187" i="55"/>
  <c r="AC187" i="55"/>
  <c r="AD187" i="55"/>
  <c r="AE187" i="55"/>
  <c r="AF187" i="55"/>
  <c r="AG187" i="55"/>
  <c r="AH187" i="55"/>
  <c r="AI187" i="55"/>
  <c r="AJ187" i="55"/>
  <c r="DF187" i="55"/>
  <c r="AB188" i="55"/>
  <c r="AC188" i="55"/>
  <c r="AD188" i="55"/>
  <c r="AE188" i="55"/>
  <c r="AF188" i="55"/>
  <c r="AG188" i="55"/>
  <c r="AH188" i="55"/>
  <c r="AI188" i="55"/>
  <c r="AJ188" i="55"/>
  <c r="DF188" i="55"/>
  <c r="AB189" i="55"/>
  <c r="AK189" i="55" s="1"/>
  <c r="AC189" i="55"/>
  <c r="AE189" i="55"/>
  <c r="AI189" i="55"/>
  <c r="AD189" i="55"/>
  <c r="AF189" i="55"/>
  <c r="AG189" i="55"/>
  <c r="AH189" i="55"/>
  <c r="AJ189" i="55"/>
  <c r="DF189" i="55"/>
  <c r="AD190" i="55"/>
  <c r="AH190" i="55"/>
  <c r="AJ190" i="55"/>
  <c r="AB190" i="55"/>
  <c r="AK190" i="55" s="1"/>
  <c r="AC190" i="55"/>
  <c r="AE190" i="55"/>
  <c r="AF190" i="55"/>
  <c r="AG190" i="55"/>
  <c r="AI190" i="55"/>
  <c r="DF190" i="55"/>
  <c r="AC191" i="55"/>
  <c r="AG191" i="55"/>
  <c r="AI191" i="55"/>
  <c r="AB191" i="55"/>
  <c r="AK191" i="55" s="1"/>
  <c r="AD191" i="55"/>
  <c r="AE191" i="55"/>
  <c r="AF191" i="55"/>
  <c r="AH191" i="55"/>
  <c r="AJ191" i="55"/>
  <c r="DF191" i="55"/>
  <c r="AB192" i="55"/>
  <c r="AK192" i="55" s="1"/>
  <c r="AF192" i="55"/>
  <c r="AH192" i="55"/>
  <c r="AJ192" i="55"/>
  <c r="AC192" i="55"/>
  <c r="AD192" i="55"/>
  <c r="AE192" i="55"/>
  <c r="AG192" i="55"/>
  <c r="AI192" i="55"/>
  <c r="DF192" i="55"/>
  <c r="AC193" i="55"/>
  <c r="AG193" i="55"/>
  <c r="AB193" i="55"/>
  <c r="AK193" i="55" s="1"/>
  <c r="AD193" i="55"/>
  <c r="AE193" i="55"/>
  <c r="AF193" i="55"/>
  <c r="AH193" i="55"/>
  <c r="AI193" i="55"/>
  <c r="AJ193" i="55"/>
  <c r="DF193" i="55"/>
  <c r="AB194" i="55"/>
  <c r="AK194" i="55" s="1"/>
  <c r="AC194" i="55"/>
  <c r="AF194" i="55"/>
  <c r="AJ194" i="55"/>
  <c r="AD194" i="55"/>
  <c r="AE194" i="55"/>
  <c r="AG194" i="55"/>
  <c r="AH194" i="55"/>
  <c r="AI194" i="55"/>
  <c r="DF194" i="55"/>
  <c r="AB195" i="55"/>
  <c r="AC195" i="55"/>
  <c r="AD195" i="55"/>
  <c r="AE195" i="55"/>
  <c r="AF195" i="55"/>
  <c r="AG195" i="55"/>
  <c r="AH195" i="55"/>
  <c r="AI195" i="55"/>
  <c r="AJ195" i="55"/>
  <c r="DF195" i="55"/>
  <c r="H196" i="55"/>
  <c r="AC196" i="55" s="1"/>
  <c r="AN196" i="55"/>
  <c r="AR196" i="55"/>
  <c r="DF196" i="55"/>
  <c r="H197" i="55"/>
  <c r="AB197" i="55" s="1"/>
  <c r="AK197" i="55" s="1"/>
  <c r="AL197" i="55"/>
  <c r="AU197" i="55" s="1"/>
  <c r="AN197" i="55"/>
  <c r="AO197" i="55"/>
  <c r="AP197" i="55"/>
  <c r="AR197" i="55"/>
  <c r="AS197" i="55"/>
  <c r="AT197" i="55"/>
  <c r="AM197" i="55"/>
  <c r="AQ197" i="55"/>
  <c r="DF197" i="55"/>
  <c r="H198" i="55"/>
  <c r="AB198" i="55" s="1"/>
  <c r="AK198" i="55" s="1"/>
  <c r="AN198" i="55"/>
  <c r="AO198" i="55"/>
  <c r="AR198" i="55"/>
  <c r="AS198" i="55"/>
  <c r="AL198" i="55"/>
  <c r="AU198" i="55" s="1"/>
  <c r="AP198" i="55"/>
  <c r="AT198" i="55"/>
  <c r="DF198" i="55"/>
  <c r="AP199" i="55"/>
  <c r="AN199" i="55"/>
  <c r="AR199" i="55"/>
  <c r="AO199" i="55"/>
  <c r="AS199" i="55"/>
  <c r="DF199" i="55"/>
  <c r="H200" i="55"/>
  <c r="AC200" i="55" s="1"/>
  <c r="AN200" i="55"/>
  <c r="AR200" i="55"/>
  <c r="DF200" i="55"/>
  <c r="H201" i="55"/>
  <c r="AL201" i="55"/>
  <c r="AU201" i="55" s="1"/>
  <c r="AN201" i="55"/>
  <c r="AO201" i="55"/>
  <c r="AP201" i="55"/>
  <c r="AR201" i="55"/>
  <c r="AS201" i="55"/>
  <c r="AT201" i="55"/>
  <c r="AM201" i="55"/>
  <c r="AQ201" i="55"/>
  <c r="DF201" i="55"/>
  <c r="AB202" i="55"/>
  <c r="AC202" i="55"/>
  <c r="AD202" i="55"/>
  <c r="AE202" i="55"/>
  <c r="AF202" i="55"/>
  <c r="AG202" i="55"/>
  <c r="AH202" i="55"/>
  <c r="AI202" i="55"/>
  <c r="AJ202" i="55"/>
  <c r="DF202" i="55"/>
  <c r="AB203" i="55"/>
  <c r="AC203" i="55"/>
  <c r="AD203" i="55"/>
  <c r="AE203" i="55"/>
  <c r="AF203" i="55"/>
  <c r="AG203" i="55"/>
  <c r="AH203" i="55"/>
  <c r="AI203" i="55"/>
  <c r="AJ203" i="55"/>
  <c r="DF203" i="55"/>
  <c r="AB204" i="55"/>
  <c r="AC204" i="55"/>
  <c r="AD204" i="55"/>
  <c r="AE204" i="55"/>
  <c r="AF204" i="55"/>
  <c r="AG204" i="55"/>
  <c r="AH204" i="55"/>
  <c r="AI204" i="55"/>
  <c r="AJ204" i="55"/>
  <c r="DF204" i="55"/>
  <c r="AB205" i="55"/>
  <c r="AC205" i="55"/>
  <c r="AD205" i="55"/>
  <c r="AE205" i="55"/>
  <c r="AF205" i="55"/>
  <c r="AG205" i="55"/>
  <c r="AH205" i="55"/>
  <c r="AI205" i="55"/>
  <c r="AJ205" i="55"/>
  <c r="DF205" i="55"/>
  <c r="AB206" i="55"/>
  <c r="AC206" i="55"/>
  <c r="AD206" i="55"/>
  <c r="AE206" i="55"/>
  <c r="AF206" i="55"/>
  <c r="AG206" i="55"/>
  <c r="AH206" i="55"/>
  <c r="AI206" i="55"/>
  <c r="AJ206" i="55"/>
  <c r="DF206" i="55"/>
  <c r="AB207" i="55"/>
  <c r="AC207" i="55"/>
  <c r="AD207" i="55"/>
  <c r="AE207" i="55"/>
  <c r="AF207" i="55"/>
  <c r="AG207" i="55"/>
  <c r="AH207" i="55"/>
  <c r="AI207" i="55"/>
  <c r="AJ207" i="55"/>
  <c r="DF207" i="55"/>
  <c r="AB208" i="55"/>
  <c r="AC208" i="55"/>
  <c r="AD208" i="55"/>
  <c r="AE208" i="55"/>
  <c r="AK208" i="55" s="1"/>
  <c r="AF208" i="55"/>
  <c r="AG208" i="55"/>
  <c r="AH208" i="55"/>
  <c r="AI208" i="55"/>
  <c r="AJ208" i="55"/>
  <c r="DF208" i="55"/>
  <c r="T209" i="55"/>
  <c r="U209" i="55" s="1"/>
  <c r="AB209" i="55"/>
  <c r="AK209" i="55" s="1"/>
  <c r="DF209" i="55"/>
  <c r="AB210" i="55"/>
  <c r="AK210" i="55" s="1"/>
  <c r="T210" i="55"/>
  <c r="DF210" i="55"/>
  <c r="H211" i="55"/>
  <c r="T211" i="55"/>
  <c r="U211" i="55" s="1"/>
  <c r="DF211" i="55"/>
  <c r="H212" i="55"/>
  <c r="AB212" i="55" s="1"/>
  <c r="AK212" i="55" s="1"/>
  <c r="AL212" i="55"/>
  <c r="AU212" i="55" s="1"/>
  <c r="DF212" i="55"/>
  <c r="H213" i="55"/>
  <c r="T213" i="55"/>
  <c r="U213" i="55" s="1"/>
  <c r="AL213" i="55"/>
  <c r="AU213" i="55" s="1"/>
  <c r="DF213" i="55"/>
  <c r="AB214" i="55"/>
  <c r="AK214" i="55" s="1"/>
  <c r="T214" i="55"/>
  <c r="U214" i="55" s="1"/>
  <c r="DF214" i="55"/>
  <c r="H215" i="55"/>
  <c r="T215" i="55"/>
  <c r="DF215" i="55"/>
  <c r="H216" i="55"/>
  <c r="AB216" i="55" s="1"/>
  <c r="AK216" i="55" s="1"/>
  <c r="AL216" i="55"/>
  <c r="AU216" i="55" s="1"/>
  <c r="DF216" i="55"/>
  <c r="H217" i="55"/>
  <c r="T217" i="55"/>
  <c r="AL217" i="55"/>
  <c r="AU217" i="55" s="1"/>
  <c r="DF217" i="55"/>
  <c r="T218" i="55"/>
  <c r="U218" i="55" s="1"/>
  <c r="AN218" i="55" s="1"/>
  <c r="DF218" i="55"/>
  <c r="H219" i="55"/>
  <c r="T219" i="55"/>
  <c r="U219" i="55" s="1"/>
  <c r="DF219" i="55"/>
  <c r="AB220" i="55"/>
  <c r="AK220" i="55" s="1"/>
  <c r="T220" i="55"/>
  <c r="U220" i="55" s="1"/>
  <c r="V220" i="55" s="1"/>
  <c r="DF220" i="55"/>
  <c r="H221" i="55"/>
  <c r="AB221" i="55" s="1"/>
  <c r="AK221" i="55" s="1"/>
  <c r="T221" i="55"/>
  <c r="AL221" i="55"/>
  <c r="AU221" i="55" s="1"/>
  <c r="DF221" i="55"/>
  <c r="T222" i="55"/>
  <c r="U222" i="55" s="1"/>
  <c r="AN222" i="55" s="1"/>
  <c r="DF222" i="55"/>
  <c r="H223" i="55"/>
  <c r="T223" i="55"/>
  <c r="U223" i="55" s="1"/>
  <c r="DF223" i="55"/>
  <c r="H224" i="55"/>
  <c r="AB224" i="55" s="1"/>
  <c r="AK224" i="55" s="1"/>
  <c r="AL224" i="55"/>
  <c r="AU224" i="55" s="1"/>
  <c r="DF224" i="55"/>
  <c r="H225" i="55"/>
  <c r="AB225" i="55" s="1"/>
  <c r="AK225" i="55" s="1"/>
  <c r="T225" i="55"/>
  <c r="U225" i="55" s="1"/>
  <c r="AL225" i="55"/>
  <c r="AU225" i="55" s="1"/>
  <c r="DF225" i="55"/>
  <c r="AB226" i="55"/>
  <c r="AK226" i="55" s="1"/>
  <c r="T226" i="55"/>
  <c r="U226" i="55" s="1"/>
  <c r="DF226" i="55"/>
  <c r="AB227" i="55"/>
  <c r="AK227" i="55" s="1"/>
  <c r="T227" i="55"/>
  <c r="U227" i="55" s="1"/>
  <c r="AD227" i="55" s="1"/>
  <c r="DF227" i="55"/>
  <c r="H228" i="55"/>
  <c r="DF228" i="55"/>
  <c r="H229" i="55"/>
  <c r="AB229" i="55" s="1"/>
  <c r="AK229" i="55" s="1"/>
  <c r="T229" i="55"/>
  <c r="U229" i="55" s="1"/>
  <c r="AN229" i="55" s="1"/>
  <c r="AL229" i="55"/>
  <c r="AU229" i="55" s="1"/>
  <c r="DF229" i="55"/>
  <c r="AL230" i="55"/>
  <c r="AU230" i="55" s="1"/>
  <c r="T230" i="55"/>
  <c r="U230" i="55" s="1"/>
  <c r="DF230" i="55"/>
  <c r="AB231" i="55"/>
  <c r="AK231" i="55" s="1"/>
  <c r="T231" i="55"/>
  <c r="AC231" i="55" s="1"/>
  <c r="DF231" i="55"/>
  <c r="T232" i="55"/>
  <c r="U232" i="55" s="1"/>
  <c r="AB232" i="55"/>
  <c r="AK232" i="55" s="1"/>
  <c r="DF232" i="55"/>
  <c r="T233" i="55"/>
  <c r="U233" i="55" s="1"/>
  <c r="DF233" i="55"/>
  <c r="T234" i="55"/>
  <c r="U234" i="55" s="1"/>
  <c r="V234" i="55" s="1"/>
  <c r="DF234" i="55"/>
  <c r="H235" i="55"/>
  <c r="T235" i="55"/>
  <c r="DF235" i="55"/>
  <c r="H236" i="55"/>
  <c r="T236" i="55"/>
  <c r="DF236" i="55"/>
  <c r="H237" i="55"/>
  <c r="AB237" i="55" s="1"/>
  <c r="AK237" i="55" s="1"/>
  <c r="T237" i="55"/>
  <c r="DF237" i="55"/>
  <c r="AC238" i="55"/>
  <c r="AB238" i="55"/>
  <c r="AD238" i="55"/>
  <c r="AE238" i="55"/>
  <c r="AF238" i="55"/>
  <c r="AG238" i="55"/>
  <c r="AH238" i="55"/>
  <c r="AI238" i="55"/>
  <c r="AJ238" i="55"/>
  <c r="DF238" i="55"/>
  <c r="AC239" i="55"/>
  <c r="AB239" i="55"/>
  <c r="AD239" i="55"/>
  <c r="AE239" i="55"/>
  <c r="AF239" i="55"/>
  <c r="AG239" i="55"/>
  <c r="AH239" i="55"/>
  <c r="AI239" i="55"/>
  <c r="AJ239" i="55"/>
  <c r="DF239" i="55"/>
  <c r="AC240" i="55"/>
  <c r="AB240" i="55"/>
  <c r="AD240" i="55"/>
  <c r="AE240" i="55"/>
  <c r="AF240" i="55"/>
  <c r="AG240" i="55"/>
  <c r="AH240" i="55"/>
  <c r="AI240" i="55"/>
  <c r="AJ240" i="55"/>
  <c r="DF240" i="55"/>
  <c r="AB241" i="55"/>
  <c r="AC241" i="55"/>
  <c r="AD241" i="55"/>
  <c r="AE241" i="55"/>
  <c r="AF241" i="55"/>
  <c r="AG241" i="55"/>
  <c r="AH241" i="55"/>
  <c r="AI241" i="55"/>
  <c r="AJ241" i="55"/>
  <c r="DF241" i="55"/>
  <c r="AB242" i="55"/>
  <c r="AC242" i="55"/>
  <c r="AD242" i="55"/>
  <c r="AE242" i="55"/>
  <c r="AF242" i="55"/>
  <c r="AG242" i="55"/>
  <c r="AH242" i="55"/>
  <c r="AI242" i="55"/>
  <c r="AJ242" i="55"/>
  <c r="DF242" i="55"/>
  <c r="AB243" i="55"/>
  <c r="AC243" i="55"/>
  <c r="AD243" i="55"/>
  <c r="AE243" i="55"/>
  <c r="AF243" i="55"/>
  <c r="AG243" i="55"/>
  <c r="AH243" i="55"/>
  <c r="AI243" i="55"/>
  <c r="AJ243" i="55"/>
  <c r="DF243" i="55"/>
  <c r="AC244" i="55"/>
  <c r="AB244" i="55"/>
  <c r="AD244" i="55"/>
  <c r="AE244" i="55"/>
  <c r="AF244" i="55"/>
  <c r="AG244" i="55"/>
  <c r="AH244" i="55"/>
  <c r="AI244" i="55"/>
  <c r="AJ244" i="55"/>
  <c r="DF244" i="55"/>
  <c r="AB245" i="55"/>
  <c r="AC245" i="55"/>
  <c r="AD245" i="55"/>
  <c r="AE245" i="55"/>
  <c r="AF245" i="55"/>
  <c r="AG245" i="55"/>
  <c r="AH245" i="55"/>
  <c r="AI245" i="55"/>
  <c r="AJ245" i="55"/>
  <c r="DF245" i="55"/>
  <c r="AB246" i="55"/>
  <c r="AC246" i="55"/>
  <c r="AD246" i="55"/>
  <c r="AE246" i="55"/>
  <c r="AF246" i="55"/>
  <c r="AG246" i="55"/>
  <c r="AH246" i="55"/>
  <c r="AI246" i="55"/>
  <c r="AJ246" i="55"/>
  <c r="DF246" i="55"/>
  <c r="AC247" i="55"/>
  <c r="AB247" i="55"/>
  <c r="AD247" i="55"/>
  <c r="AE247" i="55"/>
  <c r="AF247" i="55"/>
  <c r="AG247" i="55"/>
  <c r="AH247" i="55"/>
  <c r="AI247" i="55"/>
  <c r="AJ247" i="55"/>
  <c r="DF247" i="55"/>
  <c r="AC248" i="55"/>
  <c r="AB248" i="55"/>
  <c r="AD248" i="55"/>
  <c r="AE248" i="55"/>
  <c r="AF248" i="55"/>
  <c r="AG248" i="55"/>
  <c r="AH248" i="55"/>
  <c r="AI248" i="55"/>
  <c r="AJ248" i="55"/>
  <c r="DF248" i="55"/>
  <c r="AB249" i="55"/>
  <c r="AC249" i="55"/>
  <c r="AD249" i="55"/>
  <c r="AE249" i="55"/>
  <c r="AF249" i="55"/>
  <c r="AG249" i="55"/>
  <c r="AH249" i="55"/>
  <c r="AI249" i="55"/>
  <c r="AJ249" i="55"/>
  <c r="DF249" i="55"/>
  <c r="AB250" i="55"/>
  <c r="AC250" i="55"/>
  <c r="AD250" i="55"/>
  <c r="AE250" i="55"/>
  <c r="AF250" i="55"/>
  <c r="AG250" i="55"/>
  <c r="AH250" i="55"/>
  <c r="AI250" i="55"/>
  <c r="AJ250" i="55"/>
  <c r="DF250" i="55"/>
  <c r="AC251" i="55"/>
  <c r="AB251" i="55"/>
  <c r="AD251" i="55"/>
  <c r="AE251" i="55"/>
  <c r="AF251" i="55"/>
  <c r="AG251" i="55"/>
  <c r="AH251" i="55"/>
  <c r="AI251" i="55"/>
  <c r="AJ251" i="55"/>
  <c r="DF251" i="55"/>
  <c r="AC252" i="55"/>
  <c r="AB252" i="55"/>
  <c r="AD252" i="55"/>
  <c r="AE252" i="55"/>
  <c r="AF252" i="55"/>
  <c r="AG252" i="55"/>
  <c r="AH252" i="55"/>
  <c r="AI252" i="55"/>
  <c r="AJ252" i="55"/>
  <c r="DF252" i="55"/>
  <c r="AB253" i="55"/>
  <c r="AC253" i="55"/>
  <c r="AF253" i="55"/>
  <c r="AH253" i="55"/>
  <c r="AI253" i="55"/>
  <c r="AJ253" i="55"/>
  <c r="AD253" i="55"/>
  <c r="AE253" i="55"/>
  <c r="AG253" i="55"/>
  <c r="AK253" i="55"/>
  <c r="DF253" i="55"/>
  <c r="H254" i="55"/>
  <c r="AN254" i="55"/>
  <c r="AP254" i="55"/>
  <c r="AL254" i="55"/>
  <c r="AU254" i="55" s="1"/>
  <c r="AQ254" i="55"/>
  <c r="AR254" i="55"/>
  <c r="DF254" i="55"/>
  <c r="AB255" i="55"/>
  <c r="AC255" i="55"/>
  <c r="AD255" i="55"/>
  <c r="AE255" i="55"/>
  <c r="AF255" i="55"/>
  <c r="AG255" i="55"/>
  <c r="AH255" i="55"/>
  <c r="AI255" i="55"/>
  <c r="AJ255" i="55"/>
  <c r="DF255" i="55"/>
  <c r="H256" i="55"/>
  <c r="AE256" i="55" s="1"/>
  <c r="AN256" i="55"/>
  <c r="AR256" i="55"/>
  <c r="AM256" i="55"/>
  <c r="AO256" i="55"/>
  <c r="AP256" i="55"/>
  <c r="AQ256" i="55"/>
  <c r="AS256" i="55"/>
  <c r="AT256" i="55"/>
  <c r="DF256" i="55"/>
  <c r="AC257" i="55"/>
  <c r="AB257" i="55"/>
  <c r="AD257" i="55"/>
  <c r="AE257" i="55"/>
  <c r="AF257" i="55"/>
  <c r="AG257" i="55"/>
  <c r="AH257" i="55"/>
  <c r="AI257" i="55"/>
  <c r="AJ257" i="55"/>
  <c r="DF257" i="55"/>
  <c r="AC258" i="55"/>
  <c r="AB258" i="55"/>
  <c r="AD258" i="55"/>
  <c r="AE258" i="55"/>
  <c r="AF258" i="55"/>
  <c r="AG258" i="55"/>
  <c r="AH258" i="55"/>
  <c r="AI258" i="55"/>
  <c r="AJ258" i="55"/>
  <c r="DF258" i="55"/>
  <c r="AC259" i="55"/>
  <c r="AB259" i="55"/>
  <c r="AD259" i="55"/>
  <c r="AE259" i="55"/>
  <c r="AF259" i="55"/>
  <c r="AG259" i="55"/>
  <c r="AH259" i="55"/>
  <c r="AI259" i="55"/>
  <c r="AJ259" i="55"/>
  <c r="DF259" i="55"/>
  <c r="AC260" i="55"/>
  <c r="AB260" i="55"/>
  <c r="AD260" i="55"/>
  <c r="AE260" i="55"/>
  <c r="AF260" i="55"/>
  <c r="AG260" i="55"/>
  <c r="AH260" i="55"/>
  <c r="AI260" i="55"/>
  <c r="AJ260" i="55"/>
  <c r="DF260" i="55"/>
  <c r="T261" i="55"/>
  <c r="U261" i="55" s="1"/>
  <c r="DF261" i="55"/>
  <c r="T262" i="55"/>
  <c r="AC262" i="55" s="1"/>
  <c r="DF262" i="55"/>
  <c r="H263" i="55"/>
  <c r="T263" i="55"/>
  <c r="DF263" i="55"/>
  <c r="H264" i="55"/>
  <c r="AB264" i="55" s="1"/>
  <c r="AK264" i="55" s="1"/>
  <c r="T264" i="55"/>
  <c r="U264" i="55" s="1"/>
  <c r="AL264" i="55"/>
  <c r="AU264" i="55" s="1"/>
  <c r="DF264" i="55"/>
  <c r="T265" i="55"/>
  <c r="U265" i="55" s="1"/>
  <c r="V265" i="55" s="1"/>
  <c r="DF265" i="55"/>
  <c r="AB266" i="55"/>
  <c r="AK266" i="55" s="1"/>
  <c r="T266" i="55"/>
  <c r="U266" i="55" s="1"/>
  <c r="DF266" i="55"/>
  <c r="T267" i="55"/>
  <c r="U267" i="55" s="1"/>
  <c r="AD267" i="55" s="1"/>
  <c r="AB267" i="55"/>
  <c r="AK267" i="55" s="1"/>
  <c r="AC267" i="55"/>
  <c r="DF267" i="55"/>
  <c r="AL268" i="55"/>
  <c r="AU268" i="55" s="1"/>
  <c r="T268" i="55"/>
  <c r="U268" i="55" s="1"/>
  <c r="V268" i="55" s="1"/>
  <c r="DF268" i="55"/>
  <c r="T269" i="55"/>
  <c r="U269" i="55" s="1"/>
  <c r="DF269" i="55"/>
  <c r="H270" i="55"/>
  <c r="AB270" i="55" s="1"/>
  <c r="AK270" i="55" s="1"/>
  <c r="T270" i="55"/>
  <c r="DF270" i="55"/>
  <c r="H271" i="55"/>
  <c r="AB271" i="55" s="1"/>
  <c r="AK271" i="55" s="1"/>
  <c r="T271" i="55"/>
  <c r="U271" i="55" s="1"/>
  <c r="AL271" i="55"/>
  <c r="AU271" i="55" s="1"/>
  <c r="DF271" i="55"/>
  <c r="AL272" i="55"/>
  <c r="AU272" i="55" s="1"/>
  <c r="T272" i="55"/>
  <c r="U272" i="55" s="1"/>
  <c r="V272" i="55" s="1"/>
  <c r="DF272" i="55"/>
  <c r="AB273" i="55"/>
  <c r="AK273" i="55" s="1"/>
  <c r="T273" i="55"/>
  <c r="AC273" i="55" s="1"/>
  <c r="DF273" i="55"/>
  <c r="H274" i="55"/>
  <c r="AB274" i="55" s="1"/>
  <c r="AK274" i="55" s="1"/>
  <c r="T274" i="55"/>
  <c r="DF274" i="55"/>
  <c r="H275" i="55"/>
  <c r="AB275" i="55" s="1"/>
  <c r="AK275" i="55" s="1"/>
  <c r="T275" i="55"/>
  <c r="U275" i="55" s="1"/>
  <c r="AL275" i="55"/>
  <c r="AU275" i="55" s="1"/>
  <c r="DF275" i="55"/>
  <c r="AL276" i="55"/>
  <c r="AU276" i="55" s="1"/>
  <c r="T276" i="55"/>
  <c r="U276" i="55" s="1"/>
  <c r="V276" i="55" s="1"/>
  <c r="DF276" i="55"/>
  <c r="AB277" i="55"/>
  <c r="AK277" i="55" s="1"/>
  <c r="T277" i="55"/>
  <c r="AC277" i="55" s="1"/>
  <c r="DF277" i="55"/>
  <c r="AB278" i="55"/>
  <c r="AK278" i="55" s="1"/>
  <c r="T278" i="55"/>
  <c r="U278" i="55" s="1"/>
  <c r="V278" i="55" s="1"/>
  <c r="DF278" i="55"/>
  <c r="H279" i="55"/>
  <c r="AB279" i="55" s="1"/>
  <c r="AK279" i="55" s="1"/>
  <c r="T279" i="55"/>
  <c r="AM279" i="55" s="1"/>
  <c r="AL279" i="55"/>
  <c r="AU279" i="55" s="1"/>
  <c r="DF279" i="55"/>
  <c r="T280" i="55"/>
  <c r="U280" i="55" s="1"/>
  <c r="DF280" i="55"/>
  <c r="AB281" i="55"/>
  <c r="AC281" i="55"/>
  <c r="AD281" i="55"/>
  <c r="AE281" i="55"/>
  <c r="AF281" i="55"/>
  <c r="AG281" i="55"/>
  <c r="AH281" i="55"/>
  <c r="AI281" i="55"/>
  <c r="AJ281" i="55"/>
  <c r="DF281" i="55"/>
  <c r="AB282" i="55"/>
  <c r="AC282" i="55"/>
  <c r="AD282" i="55"/>
  <c r="AE282" i="55"/>
  <c r="AF282" i="55"/>
  <c r="AG282" i="55"/>
  <c r="AH282" i="55"/>
  <c r="AI282" i="55"/>
  <c r="AJ282" i="55"/>
  <c r="DF282" i="55"/>
  <c r="AB283" i="55"/>
  <c r="AC283" i="55"/>
  <c r="AD283" i="55"/>
  <c r="AE283" i="55"/>
  <c r="AF283" i="55"/>
  <c r="AG283" i="55"/>
  <c r="AH283" i="55"/>
  <c r="AI283" i="55"/>
  <c r="AJ283" i="55"/>
  <c r="DF283" i="55"/>
  <c r="AB284" i="55"/>
  <c r="AC284" i="55"/>
  <c r="AD284" i="55"/>
  <c r="AE284" i="55"/>
  <c r="AF284" i="55"/>
  <c r="AG284" i="55"/>
  <c r="AH284" i="55"/>
  <c r="AI284" i="55"/>
  <c r="AJ284" i="55"/>
  <c r="DF284" i="55"/>
  <c r="AB285" i="55"/>
  <c r="AC285" i="55"/>
  <c r="AD285" i="55"/>
  <c r="AE285" i="55"/>
  <c r="AF285" i="55"/>
  <c r="AG285" i="55"/>
  <c r="AH285" i="55"/>
  <c r="AI285" i="55"/>
  <c r="AJ285" i="55"/>
  <c r="DF285" i="55"/>
  <c r="AB286" i="55"/>
  <c r="AC286" i="55"/>
  <c r="AD286" i="55"/>
  <c r="AE286" i="55"/>
  <c r="AF286" i="55"/>
  <c r="AG286" i="55"/>
  <c r="AH286" i="55"/>
  <c r="AI286" i="55"/>
  <c r="AJ286" i="55"/>
  <c r="DF286" i="55"/>
  <c r="AB287" i="55"/>
  <c r="AC287" i="55"/>
  <c r="AD287" i="55"/>
  <c r="AE287" i="55"/>
  <c r="AF287" i="55"/>
  <c r="AG287" i="55"/>
  <c r="AH287" i="55"/>
  <c r="AI287" i="55"/>
  <c r="AJ287" i="55"/>
  <c r="DF287" i="55"/>
  <c r="AB288" i="55"/>
  <c r="AC288" i="55"/>
  <c r="AD288" i="55"/>
  <c r="AE288" i="55"/>
  <c r="AF288" i="55"/>
  <c r="AG288" i="55"/>
  <c r="AH288" i="55"/>
  <c r="AI288" i="55"/>
  <c r="AJ288" i="55"/>
  <c r="DF288" i="55"/>
  <c r="AB289" i="55"/>
  <c r="AC289" i="55"/>
  <c r="AD289" i="55"/>
  <c r="AE289" i="55"/>
  <c r="AF289" i="55"/>
  <c r="AG289" i="55"/>
  <c r="AH289" i="55"/>
  <c r="AI289" i="55"/>
  <c r="AJ289" i="55"/>
  <c r="DF289" i="55"/>
  <c r="AB290" i="55"/>
  <c r="AC290" i="55"/>
  <c r="AD290" i="55"/>
  <c r="AE290" i="55"/>
  <c r="AF290" i="55"/>
  <c r="AG290" i="55"/>
  <c r="AH290" i="55"/>
  <c r="AI290" i="55"/>
  <c r="AJ290" i="55"/>
  <c r="DF290" i="55"/>
  <c r="AB291" i="55"/>
  <c r="AC291" i="55"/>
  <c r="AD291" i="55"/>
  <c r="AE291" i="55"/>
  <c r="AF291" i="55"/>
  <c r="AG291" i="55"/>
  <c r="AH291" i="55"/>
  <c r="AI291" i="55"/>
  <c r="AJ291" i="55"/>
  <c r="DF291" i="55"/>
  <c r="AB292" i="55"/>
  <c r="AC292" i="55"/>
  <c r="AD292" i="55"/>
  <c r="AE292" i="55"/>
  <c r="AF292" i="55"/>
  <c r="AG292" i="55"/>
  <c r="AH292" i="55"/>
  <c r="AI292" i="55"/>
  <c r="AJ292" i="55"/>
  <c r="DF292" i="55"/>
  <c r="AB293" i="55"/>
  <c r="AC293" i="55"/>
  <c r="AD293" i="55"/>
  <c r="AE293" i="55"/>
  <c r="AF293" i="55"/>
  <c r="AG293" i="55"/>
  <c r="AH293" i="55"/>
  <c r="AI293" i="55"/>
  <c r="AJ293" i="55"/>
  <c r="DF293" i="55"/>
  <c r="AB294" i="55"/>
  <c r="AC294" i="55"/>
  <c r="AD294" i="55"/>
  <c r="AE294" i="55"/>
  <c r="AF294" i="55"/>
  <c r="AG294" i="55"/>
  <c r="AH294" i="55"/>
  <c r="AI294" i="55"/>
  <c r="AJ294" i="55"/>
  <c r="DF294" i="55"/>
  <c r="AB295" i="55"/>
  <c r="AC295" i="55"/>
  <c r="AD295" i="55"/>
  <c r="AE295" i="55"/>
  <c r="AF295" i="55"/>
  <c r="AG295" i="55"/>
  <c r="AH295" i="55"/>
  <c r="AI295" i="55"/>
  <c r="AJ295" i="55"/>
  <c r="DF295" i="55"/>
  <c r="AB296" i="55"/>
  <c r="AC296" i="55"/>
  <c r="AD296" i="55"/>
  <c r="AE296" i="55"/>
  <c r="AF296" i="55"/>
  <c r="AG296" i="55"/>
  <c r="AH296" i="55"/>
  <c r="AI296" i="55"/>
  <c r="AJ296" i="55"/>
  <c r="DF296" i="55"/>
  <c r="AB297" i="55"/>
  <c r="AC297" i="55"/>
  <c r="AD297" i="55"/>
  <c r="AE297" i="55"/>
  <c r="AF297" i="55"/>
  <c r="AG297" i="55"/>
  <c r="AH297" i="55"/>
  <c r="AI297" i="55"/>
  <c r="AJ297" i="55"/>
  <c r="DF297" i="55"/>
  <c r="AB298" i="55"/>
  <c r="AC298" i="55"/>
  <c r="AD298" i="55"/>
  <c r="AE298" i="55"/>
  <c r="AF298" i="55"/>
  <c r="AG298" i="55"/>
  <c r="AH298" i="55"/>
  <c r="AI298" i="55"/>
  <c r="AJ298" i="55"/>
  <c r="DF298" i="55"/>
  <c r="AB299" i="55"/>
  <c r="AC299" i="55"/>
  <c r="AD299" i="55"/>
  <c r="AE299" i="55"/>
  <c r="AF299" i="55"/>
  <c r="AG299" i="55"/>
  <c r="AH299" i="55"/>
  <c r="AI299" i="55"/>
  <c r="AJ299" i="55"/>
  <c r="DF299" i="55"/>
  <c r="AB300" i="55"/>
  <c r="AC300" i="55"/>
  <c r="AD300" i="55"/>
  <c r="AE300" i="55"/>
  <c r="AF300" i="55"/>
  <c r="AG300" i="55"/>
  <c r="AH300" i="55"/>
  <c r="AI300" i="55"/>
  <c r="AJ300" i="55"/>
  <c r="DF300" i="55"/>
  <c r="AB301" i="55"/>
  <c r="AC301" i="55"/>
  <c r="AD301" i="55"/>
  <c r="AE301" i="55"/>
  <c r="AF301" i="55"/>
  <c r="AG301" i="55"/>
  <c r="AH301" i="55"/>
  <c r="AI301" i="55"/>
  <c r="AJ301" i="55"/>
  <c r="DF301" i="55"/>
  <c r="AB302" i="55"/>
  <c r="AK302" i="55" s="1"/>
  <c r="T302" i="55"/>
  <c r="AC302" i="55" s="1"/>
  <c r="U302" i="55"/>
  <c r="V302" i="55" s="1"/>
  <c r="DF302" i="55"/>
  <c r="AB303" i="55"/>
  <c r="AK303" i="55" s="1"/>
  <c r="T303" i="55"/>
  <c r="AC303" i="55" s="1"/>
  <c r="DF303" i="55"/>
  <c r="T304" i="55"/>
  <c r="U304" i="55" s="1"/>
  <c r="AB304" i="55"/>
  <c r="AK304" i="55" s="1"/>
  <c r="DF304" i="55"/>
  <c r="AL305" i="55"/>
  <c r="AU305" i="55" s="1"/>
  <c r="T305" i="55"/>
  <c r="U305" i="55" s="1"/>
  <c r="V305" i="55" s="1"/>
  <c r="W305" i="55" s="1"/>
  <c r="X305" i="55" s="1"/>
  <c r="Y305" i="55" s="1"/>
  <c r="DF305" i="55"/>
  <c r="T306" i="55"/>
  <c r="U306" i="55" s="1"/>
  <c r="V306" i="55" s="1"/>
  <c r="W306" i="55" s="1"/>
  <c r="X306" i="55" s="1"/>
  <c r="Y306" i="55" s="1"/>
  <c r="DF306" i="55"/>
  <c r="H307" i="55"/>
  <c r="T307" i="55"/>
  <c r="U307" i="55" s="1"/>
  <c r="AN307" i="55" s="1"/>
  <c r="DF307" i="55"/>
  <c r="H308" i="55"/>
  <c r="AB308" i="55" s="1"/>
  <c r="AK308" i="55" s="1"/>
  <c r="T308" i="55"/>
  <c r="U308" i="55" s="1"/>
  <c r="AL308" i="55"/>
  <c r="AU308" i="55" s="1"/>
  <c r="DF308" i="55"/>
  <c r="AB309" i="55"/>
  <c r="AK309" i="55" s="1"/>
  <c r="T309" i="55"/>
  <c r="U309" i="55" s="1"/>
  <c r="V309" i="55" s="1"/>
  <c r="AE309" i="55" s="1"/>
  <c r="DF309" i="55"/>
  <c r="T310" i="55"/>
  <c r="U310" i="55" s="1"/>
  <c r="V310" i="55" s="1"/>
  <c r="W310" i="55" s="1"/>
  <c r="X310" i="55" s="1"/>
  <c r="Y310" i="55" s="1"/>
  <c r="Z310" i="55" s="1"/>
  <c r="AA310" i="55" s="1"/>
  <c r="DF310" i="55"/>
  <c r="AB311" i="55"/>
  <c r="AC311" i="55"/>
  <c r="AD311" i="55"/>
  <c r="AE311" i="55"/>
  <c r="AF311" i="55"/>
  <c r="AG311" i="55"/>
  <c r="AH311" i="55"/>
  <c r="AI311" i="55"/>
  <c r="AJ311" i="55"/>
  <c r="DF311" i="55"/>
  <c r="AB312" i="55"/>
  <c r="AC312" i="55"/>
  <c r="AD312" i="55"/>
  <c r="AE312" i="55"/>
  <c r="AF312" i="55"/>
  <c r="AG312" i="55"/>
  <c r="AH312" i="55"/>
  <c r="AI312" i="55"/>
  <c r="AJ312" i="55"/>
  <c r="DF312" i="55"/>
  <c r="AB313" i="55"/>
  <c r="AC313" i="55"/>
  <c r="AD313" i="55"/>
  <c r="AE313" i="55"/>
  <c r="AF313" i="55"/>
  <c r="AG313" i="55"/>
  <c r="AH313" i="55"/>
  <c r="AI313" i="55"/>
  <c r="AJ313" i="55"/>
  <c r="DF313" i="55"/>
  <c r="AB314" i="55"/>
  <c r="AC314" i="55"/>
  <c r="AD314" i="55"/>
  <c r="AE314" i="55"/>
  <c r="AF314" i="55"/>
  <c r="AG314" i="55"/>
  <c r="AH314" i="55"/>
  <c r="AI314" i="55"/>
  <c r="AJ314" i="55"/>
  <c r="DF314" i="55"/>
  <c r="AB315" i="55"/>
  <c r="AC315" i="55"/>
  <c r="AD315" i="55"/>
  <c r="AE315" i="55"/>
  <c r="AF315" i="55"/>
  <c r="AG315" i="55"/>
  <c r="AH315" i="55"/>
  <c r="AI315" i="55"/>
  <c r="AJ315" i="55"/>
  <c r="DF315" i="55"/>
  <c r="AB316" i="55"/>
  <c r="AC316" i="55"/>
  <c r="AD316" i="55"/>
  <c r="AE316" i="55"/>
  <c r="AF316" i="55"/>
  <c r="AG316" i="55"/>
  <c r="AH316" i="55"/>
  <c r="AI316" i="55"/>
  <c r="AJ316" i="55"/>
  <c r="DF316" i="55"/>
  <c r="AB317" i="55"/>
  <c r="AC317" i="55"/>
  <c r="AD317" i="55"/>
  <c r="AE317" i="55"/>
  <c r="AF317" i="55"/>
  <c r="AG317" i="55"/>
  <c r="AH317" i="55"/>
  <c r="AI317" i="55"/>
  <c r="AJ317" i="55"/>
  <c r="DF317" i="55"/>
  <c r="AB318" i="55"/>
  <c r="AC318" i="55"/>
  <c r="AD318" i="55"/>
  <c r="AE318" i="55"/>
  <c r="AF318" i="55"/>
  <c r="AG318" i="55"/>
  <c r="AH318" i="55"/>
  <c r="AI318" i="55"/>
  <c r="AJ318" i="55"/>
  <c r="DF318" i="55"/>
  <c r="AB319" i="55"/>
  <c r="AC319" i="55"/>
  <c r="AD319" i="55"/>
  <c r="AE319" i="55"/>
  <c r="AF319" i="55"/>
  <c r="AG319" i="55"/>
  <c r="AH319" i="55"/>
  <c r="AI319" i="55"/>
  <c r="AJ319" i="55"/>
  <c r="DF319" i="55"/>
  <c r="AB320" i="55"/>
  <c r="AC320" i="55"/>
  <c r="AD320" i="55"/>
  <c r="AE320" i="55"/>
  <c r="AF320" i="55"/>
  <c r="AG320" i="55"/>
  <c r="AH320" i="55"/>
  <c r="AI320" i="55"/>
  <c r="AJ320" i="55"/>
  <c r="DF320" i="55"/>
  <c r="AB321" i="55"/>
  <c r="AC321" i="55"/>
  <c r="AD321" i="55"/>
  <c r="AE321" i="55"/>
  <c r="AF321" i="55"/>
  <c r="AG321" i="55"/>
  <c r="AH321" i="55"/>
  <c r="AI321" i="55"/>
  <c r="AJ321" i="55"/>
  <c r="DF321" i="55"/>
  <c r="AB322" i="55"/>
  <c r="AC322" i="55"/>
  <c r="AD322" i="55"/>
  <c r="AE322" i="55"/>
  <c r="AF322" i="55"/>
  <c r="AG322" i="55"/>
  <c r="AH322" i="55"/>
  <c r="AI322" i="55"/>
  <c r="AJ322" i="55"/>
  <c r="DF322" i="55"/>
  <c r="AB323" i="55"/>
  <c r="AC323" i="55"/>
  <c r="AD323" i="55"/>
  <c r="AE323" i="55"/>
  <c r="AF323" i="55"/>
  <c r="AG323" i="55"/>
  <c r="AH323" i="55"/>
  <c r="AI323" i="55"/>
  <c r="AJ323" i="55"/>
  <c r="DF323" i="55"/>
  <c r="AB324" i="55"/>
  <c r="AC324" i="55"/>
  <c r="AD324" i="55"/>
  <c r="AE324" i="55"/>
  <c r="AF324" i="55"/>
  <c r="AG324" i="55"/>
  <c r="AH324" i="55"/>
  <c r="AI324" i="55"/>
  <c r="AJ324" i="55"/>
  <c r="DF324" i="55"/>
  <c r="AB325" i="55"/>
  <c r="AC325" i="55"/>
  <c r="AD325" i="55"/>
  <c r="AE325" i="55"/>
  <c r="AF325" i="55"/>
  <c r="AG325" i="55"/>
  <c r="AH325" i="55"/>
  <c r="AI325" i="55"/>
  <c r="AJ325" i="55"/>
  <c r="DF325" i="55"/>
  <c r="AB326" i="55"/>
  <c r="AC326" i="55"/>
  <c r="AD326" i="55"/>
  <c r="AE326" i="55"/>
  <c r="AF326" i="55"/>
  <c r="AG326" i="55"/>
  <c r="AH326" i="55"/>
  <c r="AI326" i="55"/>
  <c r="AJ326" i="55"/>
  <c r="DF326" i="55"/>
  <c r="AB327" i="55"/>
  <c r="AC327" i="55"/>
  <c r="AD327" i="55"/>
  <c r="AE327" i="55"/>
  <c r="AF327" i="55"/>
  <c r="AG327" i="55"/>
  <c r="AH327" i="55"/>
  <c r="AI327" i="55"/>
  <c r="AJ327" i="55"/>
  <c r="DF327" i="55"/>
  <c r="AB328" i="55"/>
  <c r="AC328" i="55"/>
  <c r="AD328" i="55"/>
  <c r="AE328" i="55"/>
  <c r="AF328" i="55"/>
  <c r="AG328" i="55"/>
  <c r="AH328" i="55"/>
  <c r="AI328" i="55"/>
  <c r="AJ328" i="55"/>
  <c r="DF328" i="55"/>
  <c r="AB329" i="55"/>
  <c r="AC329" i="55"/>
  <c r="AD329" i="55"/>
  <c r="AE329" i="55"/>
  <c r="AF329" i="55"/>
  <c r="AG329" i="55"/>
  <c r="AH329" i="55"/>
  <c r="AI329" i="55"/>
  <c r="AJ329" i="55"/>
  <c r="DF329" i="55"/>
  <c r="T330" i="55"/>
  <c r="U330" i="55" s="1"/>
  <c r="AB330" i="55"/>
  <c r="AK330" i="55" s="1"/>
  <c r="DF330" i="55"/>
  <c r="T331" i="55"/>
  <c r="U331" i="55" s="1"/>
  <c r="AB331" i="55"/>
  <c r="AK331" i="55" s="1"/>
  <c r="DF331" i="55"/>
  <c r="T332" i="55"/>
  <c r="U332" i="55" s="1"/>
  <c r="V332" i="55" s="1"/>
  <c r="W332" i="55" s="1"/>
  <c r="X332" i="55" s="1"/>
  <c r="Y332" i="55" s="1"/>
  <c r="DF332" i="55"/>
  <c r="H333" i="55"/>
  <c r="T333" i="55"/>
  <c r="DF333" i="55"/>
  <c r="H334" i="55"/>
  <c r="T334" i="55"/>
  <c r="U334" i="55" s="1"/>
  <c r="AL334" i="55"/>
  <c r="AU334" i="55" s="1"/>
  <c r="DF334" i="55"/>
  <c r="T335" i="55"/>
  <c r="U335" i="55" s="1"/>
  <c r="V335" i="55" s="1"/>
  <c r="DF335" i="55"/>
  <c r="T336" i="55"/>
  <c r="U336" i="55" s="1"/>
  <c r="V336" i="55" s="1"/>
  <c r="W336" i="55" s="1"/>
  <c r="AL336" i="55"/>
  <c r="AU336" i="55" s="1"/>
  <c r="DF336" i="55"/>
  <c r="AB337" i="55"/>
  <c r="AC337" i="55"/>
  <c r="AD337" i="55"/>
  <c r="AE337" i="55"/>
  <c r="AF337" i="55"/>
  <c r="AG337" i="55"/>
  <c r="AH337" i="55"/>
  <c r="AI337" i="55"/>
  <c r="AJ337" i="55"/>
  <c r="DF337" i="55"/>
  <c r="AB338" i="55"/>
  <c r="AC338" i="55"/>
  <c r="AD338" i="55"/>
  <c r="AE338" i="55"/>
  <c r="AF338" i="55"/>
  <c r="AG338" i="55"/>
  <c r="AH338" i="55"/>
  <c r="AI338" i="55"/>
  <c r="AJ338" i="55"/>
  <c r="DF338" i="55"/>
  <c r="AB339" i="55"/>
  <c r="AC339" i="55"/>
  <c r="AD339" i="55"/>
  <c r="AE339" i="55"/>
  <c r="AF339" i="55"/>
  <c r="AG339" i="55"/>
  <c r="AH339" i="55"/>
  <c r="AI339" i="55"/>
  <c r="AJ339" i="55"/>
  <c r="DF339" i="55"/>
  <c r="AC340" i="55"/>
  <c r="AB340" i="55"/>
  <c r="AD340" i="55"/>
  <c r="AE340" i="55"/>
  <c r="AF340" i="55"/>
  <c r="AG340" i="55"/>
  <c r="AH340" i="55"/>
  <c r="AI340" i="55"/>
  <c r="AJ340" i="55"/>
  <c r="DF340" i="55"/>
  <c r="AB341" i="55"/>
  <c r="AC341" i="55"/>
  <c r="AD341" i="55"/>
  <c r="AE341" i="55"/>
  <c r="AF341" i="55"/>
  <c r="AG341" i="55"/>
  <c r="AH341" i="55"/>
  <c r="AI341" i="55"/>
  <c r="AJ341" i="55"/>
  <c r="DF341" i="55"/>
  <c r="AB342" i="55"/>
  <c r="AC342" i="55"/>
  <c r="AD342" i="55"/>
  <c r="AE342" i="55"/>
  <c r="AF342" i="55"/>
  <c r="AG342" i="55"/>
  <c r="AH342" i="55"/>
  <c r="AI342" i="55"/>
  <c r="AJ342" i="55"/>
  <c r="DF342" i="55"/>
  <c r="AB343" i="55"/>
  <c r="AC343" i="55"/>
  <c r="AD343" i="55"/>
  <c r="AE343" i="55"/>
  <c r="AF343" i="55"/>
  <c r="AG343" i="55"/>
  <c r="AH343" i="55"/>
  <c r="AI343" i="55"/>
  <c r="AJ343" i="55"/>
  <c r="DF343" i="55"/>
  <c r="AC344" i="55"/>
  <c r="AB344" i="55"/>
  <c r="AD344" i="55"/>
  <c r="AE344" i="55"/>
  <c r="AF344" i="55"/>
  <c r="AG344" i="55"/>
  <c r="AH344" i="55"/>
  <c r="AI344" i="55"/>
  <c r="AJ344" i="55"/>
  <c r="DF344" i="55"/>
  <c r="AB345" i="55"/>
  <c r="AC345" i="55"/>
  <c r="AD345" i="55"/>
  <c r="AE345" i="55"/>
  <c r="AF345" i="55"/>
  <c r="AG345" i="55"/>
  <c r="AH345" i="55"/>
  <c r="AI345" i="55"/>
  <c r="AJ345" i="55"/>
  <c r="DF345" i="55"/>
  <c r="AB346" i="55"/>
  <c r="AC346" i="55"/>
  <c r="AD346" i="55"/>
  <c r="AE346" i="55"/>
  <c r="AF346" i="55"/>
  <c r="AG346" i="55"/>
  <c r="AH346" i="55"/>
  <c r="AI346" i="55"/>
  <c r="AJ346" i="55"/>
  <c r="DF346" i="55"/>
  <c r="AB347" i="55"/>
  <c r="AK347" i="55" s="1"/>
  <c r="AC347" i="55"/>
  <c r="AE347" i="55"/>
  <c r="AI347" i="55"/>
  <c r="AD347" i="55"/>
  <c r="AF347" i="55"/>
  <c r="AG347" i="55"/>
  <c r="AH347" i="55"/>
  <c r="AJ347" i="55"/>
  <c r="DF347" i="55"/>
  <c r="AB348" i="55"/>
  <c r="AK348" i="55" s="1"/>
  <c r="AC348" i="55"/>
  <c r="AE348" i="55"/>
  <c r="AI348" i="55"/>
  <c r="AD348" i="55"/>
  <c r="AF348" i="55"/>
  <c r="AG348" i="55"/>
  <c r="AH348" i="55"/>
  <c r="AJ348" i="55"/>
  <c r="DF348" i="55"/>
  <c r="AO349" i="55"/>
  <c r="AN349" i="55"/>
  <c r="AR349" i="55"/>
  <c r="DF349" i="55"/>
  <c r="AB350" i="55"/>
  <c r="AK350" i="55" s="1"/>
  <c r="AC350" i="55"/>
  <c r="AE350" i="55"/>
  <c r="AI350" i="55"/>
  <c r="AD350" i="55"/>
  <c r="AF350" i="55"/>
  <c r="AG350" i="55"/>
  <c r="AH350" i="55"/>
  <c r="AJ350" i="55"/>
  <c r="DF350" i="55"/>
  <c r="AO351" i="55"/>
  <c r="AN351" i="55"/>
  <c r="AR351" i="55"/>
  <c r="DF351" i="55"/>
  <c r="AB352" i="55"/>
  <c r="AK352" i="55" s="1"/>
  <c r="AC352" i="55"/>
  <c r="AE352" i="55"/>
  <c r="AI352" i="55"/>
  <c r="AD352" i="55"/>
  <c r="AF352" i="55"/>
  <c r="AG352" i="55"/>
  <c r="AH352" i="55"/>
  <c r="AJ352" i="55"/>
  <c r="DF352" i="55"/>
  <c r="AB353" i="55"/>
  <c r="AC353" i="55"/>
  <c r="AD353" i="55"/>
  <c r="AE353" i="55"/>
  <c r="AF353" i="55"/>
  <c r="AG353" i="55"/>
  <c r="AH353" i="55"/>
  <c r="AI353" i="55"/>
  <c r="AJ353" i="55"/>
  <c r="DF353" i="55"/>
  <c r="AC354" i="55"/>
  <c r="AB354" i="55"/>
  <c r="AD354" i="55"/>
  <c r="AE354" i="55"/>
  <c r="AF354" i="55"/>
  <c r="AG354" i="55"/>
  <c r="AH354" i="55"/>
  <c r="AI354" i="55"/>
  <c r="AJ354" i="55"/>
  <c r="DF354" i="55"/>
  <c r="AB355" i="55"/>
  <c r="AC355" i="55"/>
  <c r="AD355" i="55"/>
  <c r="AE355" i="55"/>
  <c r="AF355" i="55"/>
  <c r="AG355" i="55"/>
  <c r="AH355" i="55"/>
  <c r="AI355" i="55"/>
  <c r="AJ355" i="55"/>
  <c r="DF355" i="55"/>
  <c r="AB356" i="55"/>
  <c r="AK356" i="55" s="1"/>
  <c r="T356" i="55"/>
  <c r="DF356" i="55"/>
  <c r="AB357" i="55"/>
  <c r="AK357" i="55" s="1"/>
  <c r="T357" i="55"/>
  <c r="U357" i="55" s="1"/>
  <c r="V357" i="55" s="1"/>
  <c r="AC357" i="55"/>
  <c r="DF357" i="55"/>
  <c r="AB358" i="55"/>
  <c r="AK358" i="55" s="1"/>
  <c r="T358" i="55"/>
  <c r="U358" i="55" s="1"/>
  <c r="V358" i="55" s="1"/>
  <c r="AC358" i="55"/>
  <c r="DF358" i="55"/>
  <c r="AB359" i="55"/>
  <c r="AK359" i="55" s="1"/>
  <c r="T359" i="55"/>
  <c r="AC359" i="55" s="1"/>
  <c r="DF359" i="55"/>
  <c r="H360" i="55"/>
  <c r="AB360" i="55"/>
  <c r="AK360" i="55" s="1"/>
  <c r="T360" i="55"/>
  <c r="DF360" i="55"/>
  <c r="H361" i="55"/>
  <c r="AB361" i="55"/>
  <c r="AK361" i="55" s="1"/>
  <c r="T361" i="55"/>
  <c r="DF361" i="55"/>
  <c r="AB362" i="55"/>
  <c r="AK362" i="55" s="1"/>
  <c r="T362" i="55"/>
  <c r="U362" i="55" s="1"/>
  <c r="V362" i="55" s="1"/>
  <c r="DF362" i="55"/>
  <c r="AB363" i="55"/>
  <c r="AK363" i="55" s="1"/>
  <c r="T363" i="55"/>
  <c r="U363" i="55"/>
  <c r="V363" i="55" s="1"/>
  <c r="AC363" i="55"/>
  <c r="DF363" i="55"/>
  <c r="H364" i="55"/>
  <c r="AB364" i="55"/>
  <c r="AK364" i="55" s="1"/>
  <c r="T364" i="55"/>
  <c r="AC364" i="55" s="1"/>
  <c r="DF364" i="55"/>
  <c r="AB365" i="55"/>
  <c r="AC365" i="55"/>
  <c r="AD365" i="55"/>
  <c r="AE365" i="55"/>
  <c r="AF365" i="55"/>
  <c r="AG365" i="55"/>
  <c r="AH365" i="55"/>
  <c r="AI365" i="55"/>
  <c r="AJ365" i="55"/>
  <c r="DF365" i="55"/>
  <c r="AB366" i="55"/>
  <c r="AC366" i="55"/>
  <c r="AD366" i="55"/>
  <c r="AE366" i="55"/>
  <c r="AF366" i="55"/>
  <c r="AG366" i="55"/>
  <c r="AH366" i="55"/>
  <c r="AI366" i="55"/>
  <c r="AJ366" i="55"/>
  <c r="DF366" i="55"/>
  <c r="AC367" i="55"/>
  <c r="AB367" i="55"/>
  <c r="AD367" i="55"/>
  <c r="AE367" i="55"/>
  <c r="AF367" i="55"/>
  <c r="AG367" i="55"/>
  <c r="AH367" i="55"/>
  <c r="AI367" i="55"/>
  <c r="AJ367" i="55"/>
  <c r="DF367" i="55"/>
  <c r="AB368" i="55"/>
  <c r="AC368" i="55"/>
  <c r="AD368" i="55"/>
  <c r="AE368" i="55"/>
  <c r="AF368" i="55"/>
  <c r="AG368" i="55"/>
  <c r="AH368" i="55"/>
  <c r="AI368" i="55"/>
  <c r="AJ368" i="55"/>
  <c r="DF368" i="55"/>
  <c r="AB369" i="55"/>
  <c r="AC369" i="55"/>
  <c r="AD369" i="55"/>
  <c r="AE369" i="55"/>
  <c r="AF369" i="55"/>
  <c r="AG369" i="55"/>
  <c r="AH369" i="55"/>
  <c r="AI369" i="55"/>
  <c r="AJ369" i="55"/>
  <c r="DF369" i="55"/>
  <c r="AB370" i="55"/>
  <c r="AC370" i="55"/>
  <c r="AD370" i="55"/>
  <c r="AE370" i="55"/>
  <c r="AF370" i="55"/>
  <c r="AG370" i="55"/>
  <c r="AH370" i="55"/>
  <c r="AI370" i="55"/>
  <c r="AJ370" i="55"/>
  <c r="DF370" i="55"/>
  <c r="AC371" i="55"/>
  <c r="AB371" i="55"/>
  <c r="AD371" i="55"/>
  <c r="AE371" i="55"/>
  <c r="AF371" i="55"/>
  <c r="AG371" i="55"/>
  <c r="AH371" i="55"/>
  <c r="AI371" i="55"/>
  <c r="AJ371" i="55"/>
  <c r="DF371" i="55"/>
  <c r="AB372" i="55"/>
  <c r="AC372" i="55"/>
  <c r="AD372" i="55"/>
  <c r="AE372" i="55"/>
  <c r="AF372" i="55"/>
  <c r="AG372" i="55"/>
  <c r="AH372" i="55"/>
  <c r="AI372" i="55"/>
  <c r="AJ372" i="55"/>
  <c r="DF372" i="55"/>
  <c r="AB373" i="55"/>
  <c r="AC373" i="55"/>
  <c r="AD373" i="55"/>
  <c r="AE373" i="55"/>
  <c r="AF373" i="55"/>
  <c r="AG373" i="55"/>
  <c r="AH373" i="55"/>
  <c r="AI373" i="55"/>
  <c r="AJ373" i="55"/>
  <c r="DF373" i="55"/>
  <c r="AB374" i="55"/>
  <c r="AC374" i="55"/>
  <c r="AD374" i="55"/>
  <c r="AE374" i="55"/>
  <c r="AF374" i="55"/>
  <c r="AG374" i="55"/>
  <c r="AH374" i="55"/>
  <c r="AI374" i="55"/>
  <c r="AJ374" i="55"/>
  <c r="DF374" i="55"/>
  <c r="AC375" i="55"/>
  <c r="AB375" i="55"/>
  <c r="AD375" i="55"/>
  <c r="AE375" i="55"/>
  <c r="AF375" i="55"/>
  <c r="AG375" i="55"/>
  <c r="AH375" i="55"/>
  <c r="AI375" i="55"/>
  <c r="AJ375" i="55"/>
  <c r="DF375" i="55"/>
  <c r="H376" i="55"/>
  <c r="AH376" i="55" s="1"/>
  <c r="AN376" i="55"/>
  <c r="AO376" i="55"/>
  <c r="AR376" i="55"/>
  <c r="AS376" i="55"/>
  <c r="AL376" i="55"/>
  <c r="AU376" i="55" s="1"/>
  <c r="AP376" i="55"/>
  <c r="AT376" i="55"/>
  <c r="DF376" i="55"/>
  <c r="AC377" i="55"/>
  <c r="AG377" i="55"/>
  <c r="AB377" i="55"/>
  <c r="AK377" i="55" s="1"/>
  <c r="AD377" i="55"/>
  <c r="AE377" i="55"/>
  <c r="AF377" i="55"/>
  <c r="AH377" i="55"/>
  <c r="AI377" i="55"/>
  <c r="AJ377" i="55"/>
  <c r="DF377" i="55"/>
  <c r="AC378" i="55"/>
  <c r="AB378" i="55"/>
  <c r="AK378" i="55" s="1"/>
  <c r="AG378" i="55"/>
  <c r="AD378" i="55"/>
  <c r="AE378" i="55"/>
  <c r="AF378" i="55"/>
  <c r="AH378" i="55"/>
  <c r="AI378" i="55"/>
  <c r="AJ378" i="55"/>
  <c r="DF378" i="55"/>
  <c r="AC379" i="55"/>
  <c r="AB379" i="55"/>
  <c r="AK379" i="55" s="1"/>
  <c r="AG379" i="55"/>
  <c r="AD379" i="55"/>
  <c r="AE379" i="55"/>
  <c r="AF379" i="55"/>
  <c r="AH379" i="55"/>
  <c r="AI379" i="55"/>
  <c r="AJ379" i="55"/>
  <c r="DF379" i="55"/>
  <c r="H380" i="55"/>
  <c r="AB380" i="55" s="1"/>
  <c r="AK380" i="55" s="1"/>
  <c r="AM380" i="55"/>
  <c r="AN380" i="55"/>
  <c r="AR380" i="55"/>
  <c r="AL380" i="55"/>
  <c r="AU380" i="55" s="1"/>
  <c r="AO380" i="55"/>
  <c r="AP380" i="55"/>
  <c r="AS380" i="55"/>
  <c r="AT380" i="55"/>
  <c r="DF380" i="55"/>
  <c r="H381" i="55"/>
  <c r="AD381" i="55" s="1"/>
  <c r="AM381" i="55"/>
  <c r="AN381" i="55"/>
  <c r="AR381" i="55"/>
  <c r="AS381" i="55"/>
  <c r="AL381" i="55"/>
  <c r="AU381" i="55" s="1"/>
  <c r="AO381" i="55"/>
  <c r="AP381" i="55"/>
  <c r="AT381" i="55"/>
  <c r="AB382" i="55"/>
  <c r="AK382" i="55" s="1"/>
  <c r="AC382" i="55"/>
  <c r="AF382" i="55"/>
  <c r="AI382" i="55"/>
  <c r="AJ382" i="55"/>
  <c r="AD382" i="55"/>
  <c r="AE382" i="55"/>
  <c r="AG382" i="55"/>
  <c r="AH382" i="55"/>
  <c r="AB383" i="55"/>
  <c r="AK383" i="55" s="1"/>
  <c r="AC383" i="55"/>
  <c r="AE383" i="55"/>
  <c r="AH383" i="55"/>
  <c r="AI383" i="55"/>
  <c r="AD383" i="55"/>
  <c r="AF383" i="55"/>
  <c r="AG383" i="55"/>
  <c r="AJ383" i="55"/>
  <c r="H384" i="55"/>
  <c r="AD384" i="55" s="1"/>
  <c r="AL384" i="55"/>
  <c r="AU384" i="55" s="1"/>
  <c r="AN384" i="55"/>
  <c r="AO384" i="55"/>
  <c r="AR384" i="55"/>
  <c r="AS384" i="55"/>
  <c r="AT384" i="55"/>
  <c r="AH384" i="55"/>
  <c r="AM384" i="55"/>
  <c r="AP384" i="55"/>
  <c r="AQ384" i="55"/>
  <c r="AG385" i="55"/>
  <c r="AB385" i="55"/>
  <c r="AK385" i="55" s="1"/>
  <c r="AD385" i="55"/>
  <c r="AE385" i="55"/>
  <c r="AF385" i="55"/>
  <c r="AH385" i="55"/>
  <c r="AI385" i="55"/>
  <c r="AJ385" i="55"/>
  <c r="AL386" i="55"/>
  <c r="AU386" i="55" s="1"/>
  <c r="AN386" i="55"/>
  <c r="AR386" i="55"/>
  <c r="AO386" i="55"/>
  <c r="AS386" i="55"/>
  <c r="H387" i="55"/>
  <c r="AB387" i="55" s="1"/>
  <c r="AK387" i="55" s="1"/>
  <c r="AM387" i="55"/>
  <c r="AI387" i="55"/>
  <c r="AN387" i="55"/>
  <c r="AQ387" i="55"/>
  <c r="AR387" i="55"/>
  <c r="H388" i="55"/>
  <c r="AD388" i="55" s="1"/>
  <c r="AL388" i="55"/>
  <c r="AU388" i="55" s="1"/>
  <c r="AN388" i="55"/>
  <c r="AO388" i="55"/>
  <c r="AP388" i="55"/>
  <c r="AR388" i="55"/>
  <c r="AS388" i="55"/>
  <c r="AT388" i="55"/>
  <c r="AI388" i="55"/>
  <c r="AM388" i="55"/>
  <c r="AQ388" i="55"/>
  <c r="H389" i="55"/>
  <c r="AM389" i="55"/>
  <c r="AN389" i="55"/>
  <c r="AR389" i="55"/>
  <c r="AS389" i="55"/>
  <c r="AL389" i="55"/>
  <c r="AU389" i="55" s="1"/>
  <c r="AO389" i="55"/>
  <c r="AP389" i="55"/>
  <c r="AT389" i="55"/>
  <c r="AS390" i="55"/>
  <c r="AO390" i="55"/>
  <c r="AR390" i="55"/>
  <c r="AB391" i="55"/>
  <c r="AC391" i="55"/>
  <c r="AD391" i="55"/>
  <c r="AE391" i="55"/>
  <c r="AF391" i="55"/>
  <c r="AG391" i="55"/>
  <c r="AH391" i="55"/>
  <c r="AI391" i="55"/>
  <c r="AJ391" i="55"/>
  <c r="AB392" i="55"/>
  <c r="AC392" i="55"/>
  <c r="AD392" i="55"/>
  <c r="AE392" i="55"/>
  <c r="AF392" i="55"/>
  <c r="AG392" i="55"/>
  <c r="AH392" i="55"/>
  <c r="AI392" i="55"/>
  <c r="AJ392" i="55"/>
  <c r="AB393" i="55"/>
  <c r="AC393" i="55"/>
  <c r="AD393" i="55"/>
  <c r="AE393" i="55"/>
  <c r="AF393" i="55"/>
  <c r="AG393" i="55"/>
  <c r="AH393" i="55"/>
  <c r="AI393" i="55"/>
  <c r="AJ393" i="55"/>
  <c r="AB394" i="55"/>
  <c r="AC394" i="55"/>
  <c r="AD394" i="55"/>
  <c r="AE394" i="55"/>
  <c r="AF394" i="55"/>
  <c r="AG394" i="55"/>
  <c r="AH394" i="55"/>
  <c r="AI394" i="55"/>
  <c r="AJ394" i="55"/>
  <c r="AB395" i="55"/>
  <c r="AK395" i="55" s="1"/>
  <c r="T395" i="55"/>
  <c r="AC395" i="55" s="1"/>
  <c r="AB396" i="55"/>
  <c r="AK396" i="55" s="1"/>
  <c r="T396" i="55"/>
  <c r="AC396" i="55" s="1"/>
  <c r="H397" i="55"/>
  <c r="AL397" i="55"/>
  <c r="AU397" i="55" s="1"/>
  <c r="T397" i="55"/>
  <c r="U397" i="55" s="1"/>
  <c r="AN397" i="55" s="1"/>
  <c r="T398" i="55"/>
  <c r="U398" i="55" s="1"/>
  <c r="V398" i="55" s="1"/>
  <c r="W398" i="55" s="1"/>
  <c r="X398" i="55" s="1"/>
  <c r="Y398" i="55" s="1"/>
  <c r="AB399" i="55"/>
  <c r="AK399" i="55" s="1"/>
  <c r="T399" i="55"/>
  <c r="U399" i="55" s="1"/>
  <c r="V399" i="55" s="1"/>
  <c r="T400" i="55"/>
  <c r="U400" i="55" s="1"/>
  <c r="AB400" i="55"/>
  <c r="AK400" i="55" s="1"/>
  <c r="H401" i="55"/>
  <c r="AL401" i="55"/>
  <c r="AU401" i="55" s="1"/>
  <c r="T401" i="55"/>
  <c r="AM401" i="55" s="1"/>
  <c r="AL402" i="55"/>
  <c r="AU402" i="55" s="1"/>
  <c r="T402" i="55"/>
  <c r="U402" i="55" s="1"/>
  <c r="V402" i="55" s="1"/>
  <c r="W402" i="55" s="1"/>
  <c r="X402" i="55" s="1"/>
  <c r="Y402" i="55" s="1"/>
  <c r="H403" i="55"/>
  <c r="AB403" i="55" s="1"/>
  <c r="AK403" i="55" s="1"/>
  <c r="T403" i="55"/>
  <c r="U403" i="55" s="1"/>
  <c r="AB404" i="55"/>
  <c r="AK404" i="55" s="1"/>
  <c r="T404" i="55"/>
  <c r="U404" i="55" s="1"/>
  <c r="H405" i="55"/>
  <c r="AL405" i="55"/>
  <c r="AU405" i="55" s="1"/>
  <c r="T405" i="55"/>
  <c r="U405" i="55" s="1"/>
  <c r="AN405" i="55" s="1"/>
  <c r="AB406" i="55"/>
  <c r="AK406" i="55" s="1"/>
  <c r="T406" i="55"/>
  <c r="U406" i="55" s="1"/>
  <c r="V406" i="55" s="1"/>
  <c r="AB407" i="55"/>
  <c r="AK407" i="55" s="1"/>
  <c r="T407" i="55"/>
  <c r="AC407" i="55" s="1"/>
  <c r="AB408" i="55"/>
  <c r="AK408" i="55" s="1"/>
  <c r="T408" i="55"/>
  <c r="U408" i="55" s="1"/>
  <c r="H409" i="55"/>
  <c r="AC409" i="55" s="1"/>
  <c r="AL409" i="55"/>
  <c r="AU409" i="55" s="1"/>
  <c r="T409" i="55"/>
  <c r="AM409" i="55" s="1"/>
  <c r="T410" i="55"/>
  <c r="U410" i="55" s="1"/>
  <c r="V410" i="55" s="1"/>
  <c r="W410" i="55" s="1"/>
  <c r="X410" i="55" s="1"/>
  <c r="Y410" i="55" s="1"/>
  <c r="H411" i="55"/>
  <c r="AB411" i="55" s="1"/>
  <c r="AK411" i="55" s="1"/>
  <c r="T411" i="55"/>
  <c r="H412" i="55"/>
  <c r="T412" i="55"/>
  <c r="U412" i="55" s="1"/>
  <c r="AN412" i="55" s="1"/>
  <c r="AB413" i="55"/>
  <c r="AC413" i="55"/>
  <c r="AD413" i="55"/>
  <c r="AE413" i="55"/>
  <c r="AF413" i="55"/>
  <c r="AG413" i="55"/>
  <c r="AH413" i="55"/>
  <c r="AI413" i="55"/>
  <c r="AJ413" i="55"/>
  <c r="AB414" i="55"/>
  <c r="AC414" i="55"/>
  <c r="AD414" i="55"/>
  <c r="AE414" i="55"/>
  <c r="AF414" i="55"/>
  <c r="AG414" i="55"/>
  <c r="AH414" i="55"/>
  <c r="AI414" i="55"/>
  <c r="AJ414" i="55"/>
  <c r="AB415" i="55"/>
  <c r="AC415" i="55"/>
  <c r="AD415" i="55"/>
  <c r="AE415" i="55"/>
  <c r="AF415" i="55"/>
  <c r="AG415" i="55"/>
  <c r="AH415" i="55"/>
  <c r="AI415" i="55"/>
  <c r="AJ415" i="55"/>
  <c r="AB416" i="55"/>
  <c r="AC416" i="55"/>
  <c r="AD416" i="55"/>
  <c r="AE416" i="55"/>
  <c r="AF416" i="55"/>
  <c r="AG416" i="55"/>
  <c r="AH416" i="55"/>
  <c r="AI416" i="55"/>
  <c r="AJ416" i="55"/>
  <c r="AB417" i="55"/>
  <c r="AC417" i="55"/>
  <c r="AD417" i="55"/>
  <c r="AE417" i="55"/>
  <c r="AF417" i="55"/>
  <c r="AG417" i="55"/>
  <c r="AH417" i="55"/>
  <c r="AI417" i="55"/>
  <c r="AJ417" i="55"/>
  <c r="AB418" i="55"/>
  <c r="AC418" i="55"/>
  <c r="AD418" i="55"/>
  <c r="AE418" i="55"/>
  <c r="AF418" i="55"/>
  <c r="AG418" i="55"/>
  <c r="AH418" i="55"/>
  <c r="AI418" i="55"/>
  <c r="AJ418" i="55"/>
  <c r="AB419" i="55"/>
  <c r="AC419" i="55"/>
  <c r="AD419" i="55"/>
  <c r="AE419" i="55"/>
  <c r="AF419" i="55"/>
  <c r="AG419" i="55"/>
  <c r="AH419" i="55"/>
  <c r="AI419" i="55"/>
  <c r="AJ419" i="55"/>
  <c r="AB420" i="55"/>
  <c r="AC420" i="55"/>
  <c r="AD420" i="55"/>
  <c r="AE420" i="55"/>
  <c r="AF420" i="55"/>
  <c r="AG420" i="55"/>
  <c r="AH420" i="55"/>
  <c r="AI420" i="55"/>
  <c r="AJ420" i="55"/>
  <c r="AB421" i="55"/>
  <c r="AC421" i="55"/>
  <c r="AD421" i="55"/>
  <c r="AE421" i="55"/>
  <c r="AF421" i="55"/>
  <c r="AG421" i="55"/>
  <c r="AH421" i="55"/>
  <c r="AI421" i="55"/>
  <c r="AJ421" i="55"/>
  <c r="AB422" i="55"/>
  <c r="AC422" i="55"/>
  <c r="AD422" i="55"/>
  <c r="AE422" i="55"/>
  <c r="AF422" i="55"/>
  <c r="AG422" i="55"/>
  <c r="AH422" i="55"/>
  <c r="AI422" i="55"/>
  <c r="AJ422" i="55"/>
  <c r="AB423" i="55"/>
  <c r="AC423" i="55"/>
  <c r="AD423" i="55"/>
  <c r="AE423" i="55"/>
  <c r="AF423" i="55"/>
  <c r="AG423" i="55"/>
  <c r="AH423" i="55"/>
  <c r="AI423" i="55"/>
  <c r="AJ423" i="55"/>
  <c r="AB424" i="55"/>
  <c r="AC424" i="55"/>
  <c r="AD424" i="55"/>
  <c r="AE424" i="55"/>
  <c r="AF424" i="55"/>
  <c r="AG424" i="55"/>
  <c r="AH424" i="55"/>
  <c r="AI424" i="55"/>
  <c r="AJ424" i="55"/>
  <c r="AC425" i="55"/>
  <c r="AB425" i="55"/>
  <c r="AK425" i="55" s="1"/>
  <c r="AG425" i="55"/>
  <c r="AD425" i="55"/>
  <c r="AE425" i="55"/>
  <c r="AF425" i="55"/>
  <c r="AH425" i="55"/>
  <c r="AI425" i="55"/>
  <c r="AJ425" i="55"/>
  <c r="AC426" i="55"/>
  <c r="AF426" i="55"/>
  <c r="AJ426" i="55"/>
  <c r="AD426" i="55"/>
  <c r="AE426" i="55"/>
  <c r="AG426" i="55"/>
  <c r="AH426" i="55"/>
  <c r="AI426" i="55"/>
  <c r="H427" i="55"/>
  <c r="AE427" i="55" s="1"/>
  <c r="AM427" i="55"/>
  <c r="AN427" i="55"/>
  <c r="AQ427" i="55"/>
  <c r="AR427" i="55"/>
  <c r="H428" i="55"/>
  <c r="AE428" i="55" s="1"/>
  <c r="AN428" i="55"/>
  <c r="AO428" i="55"/>
  <c r="AR428" i="55"/>
  <c r="AS428" i="55"/>
  <c r="AL428" i="55"/>
  <c r="AU428" i="55" s="1"/>
  <c r="AP428" i="55"/>
  <c r="AQ428" i="55"/>
  <c r="AT428" i="55"/>
  <c r="AC429" i="55"/>
  <c r="AB429" i="55"/>
  <c r="AK429" i="55" s="1"/>
  <c r="AG429" i="55"/>
  <c r="AJ429" i="55"/>
  <c r="AD429" i="55"/>
  <c r="AE429" i="55"/>
  <c r="AF429" i="55"/>
  <c r="AH429" i="55"/>
  <c r="AI429" i="55"/>
  <c r="AC430" i="55"/>
  <c r="AF430" i="55"/>
  <c r="AJ430" i="55"/>
  <c r="AD430" i="55"/>
  <c r="AE430" i="55"/>
  <c r="AG430" i="55"/>
  <c r="AH430" i="55"/>
  <c r="AI430" i="55"/>
  <c r="AB431" i="55"/>
  <c r="AK431" i="55" s="1"/>
  <c r="AE431" i="55"/>
  <c r="AH431" i="55"/>
  <c r="AI431" i="55"/>
  <c r="AC431" i="55"/>
  <c r="AD431" i="55"/>
  <c r="AF431" i="55"/>
  <c r="AG431" i="55"/>
  <c r="AJ431" i="55"/>
  <c r="H432" i="55"/>
  <c r="AD432" i="55" s="1"/>
  <c r="AL432" i="55"/>
  <c r="AU432" i="55" s="1"/>
  <c r="AN432" i="55"/>
  <c r="AO432" i="55"/>
  <c r="AP432" i="55"/>
  <c r="AR432" i="55"/>
  <c r="AS432" i="55"/>
  <c r="AT432" i="55"/>
  <c r="AI432" i="55"/>
  <c r="AM432" i="55"/>
  <c r="AQ432" i="55"/>
  <c r="AC433" i="55"/>
  <c r="AG433" i="55"/>
  <c r="AB433" i="55"/>
  <c r="AK433" i="55" s="1"/>
  <c r="AD433" i="55"/>
  <c r="AE433" i="55"/>
  <c r="AF433" i="55"/>
  <c r="AH433" i="55"/>
  <c r="AI433" i="55"/>
  <c r="AJ433" i="55"/>
  <c r="AL434" i="55"/>
  <c r="AU434" i="55" s="1"/>
  <c r="AN434" i="55"/>
  <c r="AR434" i="55"/>
  <c r="AO434" i="55"/>
  <c r="AS434" i="55"/>
  <c r="AM435" i="55"/>
  <c r="AR435" i="55"/>
  <c r="H436" i="55"/>
  <c r="AD436" i="55" s="1"/>
  <c r="AL436" i="55"/>
  <c r="AU436" i="55" s="1"/>
  <c r="AN436" i="55"/>
  <c r="AO436" i="55"/>
  <c r="AP436" i="55"/>
  <c r="AR436" i="55"/>
  <c r="AS436" i="55"/>
  <c r="AT436" i="55"/>
  <c r="AE436" i="55"/>
  <c r="AM436" i="55"/>
  <c r="AQ436" i="55"/>
  <c r="AB437" i="55"/>
  <c r="AC437" i="55"/>
  <c r="AD437" i="55"/>
  <c r="AE437" i="55"/>
  <c r="AF437" i="55"/>
  <c r="AG437" i="55"/>
  <c r="AH437" i="55"/>
  <c r="AI437" i="55"/>
  <c r="AJ437" i="55"/>
  <c r="AB438" i="55"/>
  <c r="AC438" i="55"/>
  <c r="AD438" i="55"/>
  <c r="AE438" i="55"/>
  <c r="AF438" i="55"/>
  <c r="AG438" i="55"/>
  <c r="AH438" i="55"/>
  <c r="AI438" i="55"/>
  <c r="AJ438" i="55"/>
  <c r="AB439" i="55"/>
  <c r="AC439" i="55"/>
  <c r="AD439" i="55"/>
  <c r="AE439" i="55"/>
  <c r="AF439" i="55"/>
  <c r="AG439" i="55"/>
  <c r="AH439" i="55"/>
  <c r="AI439" i="55"/>
  <c r="AJ439" i="55"/>
  <c r="T440" i="55"/>
  <c r="U440" i="55" s="1"/>
  <c r="AB440" i="55"/>
  <c r="AK440" i="55" s="1"/>
  <c r="AL441" i="55"/>
  <c r="AU441" i="55" s="1"/>
  <c r="T441" i="55"/>
  <c r="U441" i="55" s="1"/>
  <c r="T442" i="55"/>
  <c r="U442" i="55" s="1"/>
  <c r="V442" i="55" s="1"/>
  <c r="W442" i="55" s="1"/>
  <c r="X442" i="55" s="1"/>
  <c r="Y442" i="55" s="1"/>
  <c r="H443" i="55"/>
  <c r="AB443" i="55" s="1"/>
  <c r="AK443" i="55" s="1"/>
  <c r="T443" i="55"/>
  <c r="H444" i="55"/>
  <c r="AB444" i="55" s="1"/>
  <c r="AK444" i="55" s="1"/>
  <c r="T444" i="55"/>
  <c r="AM444" i="55" s="1"/>
  <c r="U444" i="55"/>
  <c r="AN444" i="55" s="1"/>
  <c r="T445" i="55"/>
  <c r="U445" i="55" s="1"/>
  <c r="V445" i="55" s="1"/>
  <c r="AB446" i="55"/>
  <c r="AK446" i="55" s="1"/>
  <c r="T446" i="55"/>
  <c r="U446" i="55" s="1"/>
  <c r="V446" i="55" s="1"/>
  <c r="AD446" i="55"/>
  <c r="H447" i="55"/>
  <c r="AB447" i="55" s="1"/>
  <c r="AK447" i="55" s="1"/>
  <c r="T447" i="55"/>
  <c r="U447" i="55" s="1"/>
  <c r="AN447" i="55" s="1"/>
  <c r="H448" i="55"/>
  <c r="AB448" i="55" s="1"/>
  <c r="AK448" i="55" s="1"/>
  <c r="T448" i="55"/>
  <c r="T449" i="55"/>
  <c r="U449" i="55" s="1"/>
  <c r="V449" i="55" s="1"/>
  <c r="T450" i="55"/>
  <c r="U450" i="55" s="1"/>
  <c r="AB450" i="55"/>
  <c r="AK450" i="55" s="1"/>
  <c r="H451" i="55"/>
  <c r="AB451" i="55" s="1"/>
  <c r="AK451" i="55" s="1"/>
  <c r="T451" i="55"/>
  <c r="AM451" i="55" s="1"/>
  <c r="AL451" i="55"/>
  <c r="AU451" i="55" s="1"/>
  <c r="T452" i="55"/>
  <c r="U452" i="55" s="1"/>
  <c r="V452" i="55" s="1"/>
  <c r="T453" i="55"/>
  <c r="U453" i="55" s="1"/>
  <c r="V453" i="55" s="1"/>
  <c r="T454" i="55"/>
  <c r="U454" i="55" s="1"/>
  <c r="AB454" i="55"/>
  <c r="AK454" i="55" s="1"/>
  <c r="AB455" i="55"/>
  <c r="AK455" i="55" s="1"/>
  <c r="T455" i="55"/>
  <c r="T456" i="55"/>
  <c r="U456" i="55" s="1"/>
  <c r="V456" i="55" s="1"/>
  <c r="AB456" i="55"/>
  <c r="AK456" i="55" s="1"/>
  <c r="T457" i="55"/>
  <c r="U457" i="55" s="1"/>
  <c r="V457" i="55" s="1"/>
  <c r="H458" i="55"/>
  <c r="T458" i="55"/>
  <c r="U458" i="55" s="1"/>
  <c r="V458" i="55" s="1"/>
  <c r="W458" i="55" s="1"/>
  <c r="AL458" i="55"/>
  <c r="AU458" i="55" s="1"/>
  <c r="H459" i="55"/>
  <c r="T459" i="55"/>
  <c r="AM459" i="55" s="1"/>
  <c r="T460" i="55"/>
  <c r="AM460" i="55" s="1"/>
  <c r="U460" i="55"/>
  <c r="AL460" i="55"/>
  <c r="AU460" i="55" s="1"/>
  <c r="AB461" i="55"/>
  <c r="AC461" i="55"/>
  <c r="AD461" i="55"/>
  <c r="AE461" i="55"/>
  <c r="AF461" i="55"/>
  <c r="AG461" i="55"/>
  <c r="AH461" i="55"/>
  <c r="AI461" i="55"/>
  <c r="AJ461" i="55"/>
  <c r="AB462" i="55"/>
  <c r="AC462" i="55"/>
  <c r="AD462" i="55"/>
  <c r="AE462" i="55"/>
  <c r="AF462" i="55"/>
  <c r="AG462" i="55"/>
  <c r="AH462" i="55"/>
  <c r="AI462" i="55"/>
  <c r="AJ462" i="55"/>
  <c r="AB463" i="55"/>
  <c r="AC463" i="55"/>
  <c r="AD463" i="55"/>
  <c r="AE463" i="55"/>
  <c r="AF463" i="55"/>
  <c r="AG463" i="55"/>
  <c r="AH463" i="55"/>
  <c r="AI463" i="55"/>
  <c r="AJ463" i="55"/>
  <c r="AB464" i="55"/>
  <c r="AC464" i="55"/>
  <c r="AD464" i="55"/>
  <c r="AE464" i="55"/>
  <c r="AF464" i="55"/>
  <c r="AG464" i="55"/>
  <c r="AH464" i="55"/>
  <c r="AI464" i="55"/>
  <c r="AJ464" i="55"/>
  <c r="AB465" i="55"/>
  <c r="AC465" i="55"/>
  <c r="AD465" i="55"/>
  <c r="AE465" i="55"/>
  <c r="AF465" i="55"/>
  <c r="AG465" i="55"/>
  <c r="AH465" i="55"/>
  <c r="AI465" i="55"/>
  <c r="AJ465" i="55"/>
  <c r="AB466" i="55"/>
  <c r="AC466" i="55"/>
  <c r="AD466" i="55"/>
  <c r="AE466" i="55"/>
  <c r="AF466" i="55"/>
  <c r="AG466" i="55"/>
  <c r="AH466" i="55"/>
  <c r="AI466" i="55"/>
  <c r="AJ466" i="55"/>
  <c r="AB467" i="55"/>
  <c r="AK467" i="55" s="1"/>
  <c r="AC467" i="55"/>
  <c r="AD467" i="55"/>
  <c r="AE467" i="55"/>
  <c r="AF467" i="55"/>
  <c r="AG467" i="55"/>
  <c r="AH467" i="55"/>
  <c r="AI467" i="55"/>
  <c r="AJ467" i="55"/>
  <c r="AB468" i="55"/>
  <c r="AC468" i="55"/>
  <c r="AD468" i="55"/>
  <c r="AE468" i="55"/>
  <c r="AF468" i="55"/>
  <c r="AG468" i="55"/>
  <c r="AH468" i="55"/>
  <c r="AI468" i="55"/>
  <c r="AJ468" i="55"/>
  <c r="AB469" i="55"/>
  <c r="AC469" i="55"/>
  <c r="AD469" i="55"/>
  <c r="AE469" i="55"/>
  <c r="AF469" i="55"/>
  <c r="AG469" i="55"/>
  <c r="AH469" i="55"/>
  <c r="AI469" i="55"/>
  <c r="AJ469" i="55"/>
  <c r="AB470" i="55"/>
  <c r="AC470" i="55"/>
  <c r="AD470" i="55"/>
  <c r="AE470" i="55"/>
  <c r="AF470" i="55"/>
  <c r="AG470" i="55"/>
  <c r="AH470" i="55"/>
  <c r="AI470" i="55"/>
  <c r="AJ470" i="55"/>
  <c r="AB471" i="55"/>
  <c r="AC471" i="55"/>
  <c r="AD471" i="55"/>
  <c r="AE471" i="55"/>
  <c r="AF471" i="55"/>
  <c r="AG471" i="55"/>
  <c r="AH471" i="55"/>
  <c r="AI471" i="55"/>
  <c r="AJ471" i="55"/>
  <c r="AB472" i="55"/>
  <c r="AC472" i="55"/>
  <c r="AD472" i="55"/>
  <c r="AE472" i="55"/>
  <c r="AF472" i="55"/>
  <c r="AG472" i="55"/>
  <c r="AH472" i="55"/>
  <c r="AI472" i="55"/>
  <c r="AJ472" i="55"/>
  <c r="AB473" i="55"/>
  <c r="AC473" i="55"/>
  <c r="AD473" i="55"/>
  <c r="AE473" i="55"/>
  <c r="AF473" i="55"/>
  <c r="AG473" i="55"/>
  <c r="AH473" i="55"/>
  <c r="AI473" i="55"/>
  <c r="AJ473" i="55"/>
  <c r="AB474" i="55"/>
  <c r="AC474" i="55"/>
  <c r="AD474" i="55"/>
  <c r="AE474" i="55"/>
  <c r="AF474" i="55"/>
  <c r="AG474" i="55"/>
  <c r="AH474" i="55"/>
  <c r="AI474" i="55"/>
  <c r="AJ474" i="55"/>
  <c r="T475" i="55"/>
  <c r="U475" i="55" s="1"/>
  <c r="AD475" i="55" s="1"/>
  <c r="AB475" i="55"/>
  <c r="AK475" i="55" s="1"/>
  <c r="AB476" i="55"/>
  <c r="AK476" i="55" s="1"/>
  <c r="T476" i="55"/>
  <c r="AC476" i="55" s="1"/>
  <c r="T477" i="55"/>
  <c r="U477" i="55" s="1"/>
  <c r="T478" i="55"/>
  <c r="U478" i="55" s="1"/>
  <c r="AB478" i="55"/>
  <c r="AK478" i="55" s="1"/>
  <c r="T479" i="55"/>
  <c r="AB479" i="55"/>
  <c r="AK479" i="55" s="1"/>
  <c r="H480" i="55"/>
  <c r="AL480" i="55"/>
  <c r="AU480" i="55" s="1"/>
  <c r="T480" i="55"/>
  <c r="U480" i="55" s="1"/>
  <c r="T481" i="55"/>
  <c r="U481" i="55" s="1"/>
  <c r="V481" i="55" s="1"/>
  <c r="T482" i="55"/>
  <c r="T483" i="55"/>
  <c r="U483" i="55" s="1"/>
  <c r="V483" i="55" s="1"/>
  <c r="AB484" i="55"/>
  <c r="AK484" i="55" s="1"/>
  <c r="T484" i="55"/>
  <c r="U484" i="55" s="1"/>
  <c r="T485" i="55"/>
  <c r="U485" i="55" s="1"/>
  <c r="AB485" i="55"/>
  <c r="AK485" i="55" s="1"/>
  <c r="T486" i="55"/>
  <c r="T487" i="55"/>
  <c r="U487" i="55" s="1"/>
  <c r="AB487" i="55"/>
  <c r="AK487" i="55" s="1"/>
  <c r="AB488" i="55"/>
  <c r="AK488" i="55" s="1"/>
  <c r="T488" i="55"/>
  <c r="T489" i="55"/>
  <c r="U489" i="55" s="1"/>
  <c r="AB489" i="55"/>
  <c r="AK489" i="55" s="1"/>
  <c r="H490" i="55"/>
  <c r="AL490" i="55"/>
  <c r="AU490" i="55" s="1"/>
  <c r="T490" i="55"/>
  <c r="U490" i="55" s="1"/>
  <c r="T491" i="55"/>
  <c r="AM491" i="55" s="1"/>
  <c r="H492" i="55"/>
  <c r="AB492" i="55" s="1"/>
  <c r="AK492" i="55" s="1"/>
  <c r="T492" i="55"/>
  <c r="AC493" i="55"/>
  <c r="AB493" i="55"/>
  <c r="AD493" i="55"/>
  <c r="AE493" i="55"/>
  <c r="AF493" i="55"/>
  <c r="AG493" i="55"/>
  <c r="AH493" i="55"/>
  <c r="AI493" i="55"/>
  <c r="AJ493" i="55"/>
  <c r="AB494" i="55"/>
  <c r="AC494" i="55"/>
  <c r="AD494" i="55"/>
  <c r="AE494" i="55"/>
  <c r="AF494" i="55"/>
  <c r="AG494" i="55"/>
  <c r="AH494" i="55"/>
  <c r="AI494" i="55"/>
  <c r="AJ494" i="55"/>
  <c r="AB495" i="55"/>
  <c r="AC495" i="55"/>
  <c r="AD495" i="55"/>
  <c r="AE495" i="55"/>
  <c r="AF495" i="55"/>
  <c r="AG495" i="55"/>
  <c r="AH495" i="55"/>
  <c r="AI495" i="55"/>
  <c r="AJ495" i="55"/>
  <c r="AB496" i="55"/>
  <c r="AC496" i="55"/>
  <c r="AD496" i="55"/>
  <c r="AE496" i="55"/>
  <c r="AF496" i="55"/>
  <c r="AG496" i="55"/>
  <c r="AH496" i="55"/>
  <c r="AI496" i="55"/>
  <c r="AJ496" i="55"/>
  <c r="AC497" i="55"/>
  <c r="AB497" i="55"/>
  <c r="AD497" i="55"/>
  <c r="AE497" i="55"/>
  <c r="AF497" i="55"/>
  <c r="AG497" i="55"/>
  <c r="AH497" i="55"/>
  <c r="AI497" i="55"/>
  <c r="AJ497" i="55"/>
  <c r="AB498" i="55"/>
  <c r="AC498" i="55"/>
  <c r="AD498" i="55"/>
  <c r="AE498" i="55"/>
  <c r="AF498" i="55"/>
  <c r="AG498" i="55"/>
  <c r="AH498" i="55"/>
  <c r="AI498" i="55"/>
  <c r="AJ498" i="55"/>
  <c r="AB499" i="55"/>
  <c r="AC499" i="55"/>
  <c r="AD499" i="55"/>
  <c r="AE499" i="55"/>
  <c r="AF499" i="55"/>
  <c r="AG499" i="55"/>
  <c r="AH499" i="55"/>
  <c r="AI499" i="55"/>
  <c r="AJ499" i="55"/>
  <c r="AB500" i="55"/>
  <c r="AC500" i="55"/>
  <c r="AD500" i="55"/>
  <c r="AE500" i="55"/>
  <c r="AF500" i="55"/>
  <c r="AG500" i="55"/>
  <c r="AH500" i="55"/>
  <c r="AI500" i="55"/>
  <c r="AJ500" i="55"/>
  <c r="AC501" i="55"/>
  <c r="AB501" i="55"/>
  <c r="AD501" i="55"/>
  <c r="AE501" i="55"/>
  <c r="AF501" i="55"/>
  <c r="AG501" i="55"/>
  <c r="AH501" i="55"/>
  <c r="AI501" i="55"/>
  <c r="AJ501" i="55"/>
  <c r="AB502" i="55"/>
  <c r="AC502" i="55"/>
  <c r="AD502" i="55"/>
  <c r="AE502" i="55"/>
  <c r="AF502" i="55"/>
  <c r="AG502" i="55"/>
  <c r="AH502" i="55"/>
  <c r="AI502" i="55"/>
  <c r="AJ502" i="55"/>
  <c r="AB503" i="55"/>
  <c r="AC503" i="55"/>
  <c r="AD503" i="55"/>
  <c r="AE503" i="55"/>
  <c r="AF503" i="55"/>
  <c r="AG503" i="55"/>
  <c r="AH503" i="55"/>
  <c r="AI503" i="55"/>
  <c r="AJ503" i="55"/>
  <c r="T504" i="55"/>
  <c r="AB504" i="55"/>
  <c r="AK504" i="55" s="1"/>
  <c r="H505" i="55"/>
  <c r="T505" i="55"/>
  <c r="H506" i="55"/>
  <c r="AB506" i="55" s="1"/>
  <c r="AK506" i="55" s="1"/>
  <c r="T506" i="55"/>
  <c r="AL506" i="55"/>
  <c r="AU506" i="55" s="1"/>
  <c r="H507" i="55"/>
  <c r="AB507" i="55" s="1"/>
  <c r="AK507" i="55" s="1"/>
  <c r="T507" i="55"/>
  <c r="AB508" i="55"/>
  <c r="AC508" i="55"/>
  <c r="AD508" i="55"/>
  <c r="AE508" i="55"/>
  <c r="AF508" i="55"/>
  <c r="AG508" i="55"/>
  <c r="AH508" i="55"/>
  <c r="AI508" i="55"/>
  <c r="AJ508" i="55"/>
  <c r="AB509" i="55"/>
  <c r="AC509" i="55"/>
  <c r="AD509" i="55"/>
  <c r="AE509" i="55"/>
  <c r="AF509" i="55"/>
  <c r="AG509" i="55"/>
  <c r="AH509" i="55"/>
  <c r="AI509" i="55"/>
  <c r="AJ509" i="55"/>
  <c r="AB510" i="55"/>
  <c r="AC510" i="55"/>
  <c r="AD510" i="55"/>
  <c r="AE510" i="55"/>
  <c r="AF510" i="55"/>
  <c r="AG510" i="55"/>
  <c r="AH510" i="55"/>
  <c r="AI510" i="55"/>
  <c r="AJ510" i="55"/>
  <c r="AB511" i="55"/>
  <c r="AC511" i="55"/>
  <c r="AD511" i="55"/>
  <c r="AE511" i="55"/>
  <c r="AF511" i="55"/>
  <c r="AG511" i="55"/>
  <c r="AH511" i="55"/>
  <c r="AI511" i="55"/>
  <c r="AJ511" i="55"/>
  <c r="AB512" i="55"/>
  <c r="AC512" i="55"/>
  <c r="AD512" i="55"/>
  <c r="AE512" i="55"/>
  <c r="AF512" i="55"/>
  <c r="AG512" i="55"/>
  <c r="AH512" i="55"/>
  <c r="AI512" i="55"/>
  <c r="AJ512" i="55"/>
  <c r="AB513" i="55"/>
  <c r="AC513" i="55"/>
  <c r="AD513" i="55"/>
  <c r="AE513" i="55"/>
  <c r="AF513" i="55"/>
  <c r="AG513" i="55"/>
  <c r="AH513" i="55"/>
  <c r="AI513" i="55"/>
  <c r="AJ513" i="55"/>
  <c r="AB514" i="55"/>
  <c r="AC514" i="55"/>
  <c r="AD514" i="55"/>
  <c r="AE514" i="55"/>
  <c r="AF514" i="55"/>
  <c r="AG514" i="55"/>
  <c r="AH514" i="55"/>
  <c r="AI514" i="55"/>
  <c r="AJ514" i="55"/>
  <c r="AB515" i="55"/>
  <c r="AC515" i="55"/>
  <c r="AD515" i="55"/>
  <c r="AE515" i="55"/>
  <c r="AF515" i="55"/>
  <c r="AG515" i="55"/>
  <c r="AH515" i="55"/>
  <c r="AI515" i="55"/>
  <c r="AJ515" i="55"/>
  <c r="AB516" i="55"/>
  <c r="AC516" i="55"/>
  <c r="AD516" i="55"/>
  <c r="AE516" i="55"/>
  <c r="AF516" i="55"/>
  <c r="AG516" i="55"/>
  <c r="AH516" i="55"/>
  <c r="AI516" i="55"/>
  <c r="AJ516" i="55"/>
  <c r="AB517" i="55"/>
  <c r="AC517" i="55"/>
  <c r="AD517" i="55"/>
  <c r="AE517" i="55"/>
  <c r="AF517" i="55"/>
  <c r="AG517" i="55"/>
  <c r="AH517" i="55"/>
  <c r="AI517" i="55"/>
  <c r="AJ517" i="55"/>
  <c r="AB518" i="55"/>
  <c r="AC518" i="55"/>
  <c r="AD518" i="55"/>
  <c r="AE518" i="55"/>
  <c r="AF518" i="55"/>
  <c r="AG518" i="55"/>
  <c r="AH518" i="55"/>
  <c r="AI518" i="55"/>
  <c r="AJ518" i="55"/>
  <c r="AB519" i="55"/>
  <c r="AC519" i="55"/>
  <c r="AD519" i="55"/>
  <c r="AE519" i="55"/>
  <c r="AF519" i="55"/>
  <c r="AG519" i="55"/>
  <c r="AH519" i="55"/>
  <c r="AI519" i="55"/>
  <c r="AJ519" i="55"/>
  <c r="AB520" i="55"/>
  <c r="AC520" i="55"/>
  <c r="AD520" i="55"/>
  <c r="AE520" i="55"/>
  <c r="AF520" i="55"/>
  <c r="AG520" i="55"/>
  <c r="AH520" i="55"/>
  <c r="AI520" i="55"/>
  <c r="AJ520" i="55"/>
  <c r="AB521" i="55"/>
  <c r="AC521" i="55"/>
  <c r="AD521" i="55"/>
  <c r="AE521" i="55"/>
  <c r="AF521" i="55"/>
  <c r="AG521" i="55"/>
  <c r="AH521" i="55"/>
  <c r="AI521" i="55"/>
  <c r="AJ521" i="55"/>
  <c r="AB522" i="55"/>
  <c r="AC522" i="55"/>
  <c r="AD522" i="55"/>
  <c r="AE522" i="55"/>
  <c r="AF522" i="55"/>
  <c r="AG522" i="55"/>
  <c r="AH522" i="55"/>
  <c r="AI522" i="55"/>
  <c r="AJ522" i="55"/>
  <c r="AB523" i="55"/>
  <c r="AC523" i="55"/>
  <c r="AD523" i="55"/>
  <c r="AE523" i="55"/>
  <c r="AF523" i="55"/>
  <c r="AG523" i="55"/>
  <c r="AH523" i="55"/>
  <c r="AI523" i="55"/>
  <c r="AJ523" i="55"/>
  <c r="AB524" i="55"/>
  <c r="AC524" i="55"/>
  <c r="AD524" i="55"/>
  <c r="AE524" i="55"/>
  <c r="AF524" i="55"/>
  <c r="AG524" i="55"/>
  <c r="AH524" i="55"/>
  <c r="AI524" i="55"/>
  <c r="AJ524" i="55"/>
  <c r="AB525" i="55"/>
  <c r="AC525" i="55"/>
  <c r="AD525" i="55"/>
  <c r="AE525" i="55"/>
  <c r="AF525" i="55"/>
  <c r="AG525" i="55"/>
  <c r="AH525" i="55"/>
  <c r="AI525" i="55"/>
  <c r="AJ525" i="55"/>
  <c r="AB526" i="55"/>
  <c r="AC526" i="55"/>
  <c r="AD526" i="55"/>
  <c r="AE526" i="55"/>
  <c r="AF526" i="55"/>
  <c r="AG526" i="55"/>
  <c r="AH526" i="55"/>
  <c r="AI526" i="55"/>
  <c r="AJ526" i="55"/>
  <c r="AB527" i="55"/>
  <c r="AK527" i="55" s="1"/>
  <c r="T527" i="55"/>
  <c r="AB528" i="55"/>
  <c r="AK528" i="55" s="1"/>
  <c r="T529" i="55"/>
  <c r="U529" i="55" s="1"/>
  <c r="V529" i="55" s="1"/>
  <c r="W529" i="55" s="1"/>
  <c r="X529" i="55" s="1"/>
  <c r="Y529" i="55" s="1"/>
  <c r="Z529" i="55" s="1"/>
  <c r="AA529" i="55" s="1"/>
  <c r="T530" i="55"/>
  <c r="AL530" i="55"/>
  <c r="AU530" i="55" s="1"/>
  <c r="H531" i="55"/>
  <c r="AL531" i="55"/>
  <c r="AU531" i="55" s="1"/>
  <c r="T531" i="55"/>
  <c r="U531" i="55" s="1"/>
  <c r="T532" i="55"/>
  <c r="AM532" i="55" s="1"/>
  <c r="AB533" i="55"/>
  <c r="AK533" i="55" s="1"/>
  <c r="AC533" i="55"/>
  <c r="T533" i="55"/>
  <c r="U533" i="55" s="1"/>
  <c r="T534" i="55"/>
  <c r="AM534" i="55" s="1"/>
  <c r="H535" i="55"/>
  <c r="AB535" i="55" s="1"/>
  <c r="AK535" i="55" s="1"/>
  <c r="T535" i="55"/>
  <c r="U535" i="55" s="1"/>
  <c r="T536" i="55"/>
  <c r="U536" i="55" s="1"/>
  <c r="AB536" i="55"/>
  <c r="AK536" i="55" s="1"/>
  <c r="AB537" i="55"/>
  <c r="AC537" i="55"/>
  <c r="AD537" i="55"/>
  <c r="AE537" i="55"/>
  <c r="AF537" i="55"/>
  <c r="AG537" i="55"/>
  <c r="AH537" i="55"/>
  <c r="AI537" i="55"/>
  <c r="AJ537" i="55"/>
  <c r="AC538" i="55"/>
  <c r="AB538" i="55"/>
  <c r="AD538" i="55"/>
  <c r="AE538" i="55"/>
  <c r="AF538" i="55"/>
  <c r="AG538" i="55"/>
  <c r="AH538" i="55"/>
  <c r="AI538" i="55"/>
  <c r="AJ538" i="55"/>
  <c r="AB539" i="55"/>
  <c r="AC539" i="55"/>
  <c r="AD539" i="55"/>
  <c r="AE539" i="55"/>
  <c r="AF539" i="55"/>
  <c r="AG539" i="55"/>
  <c r="AH539" i="55"/>
  <c r="AI539" i="55"/>
  <c r="AJ539" i="55"/>
  <c r="AC540" i="55"/>
  <c r="AB540" i="55"/>
  <c r="AD540" i="55"/>
  <c r="AE540" i="55"/>
  <c r="AF540" i="55"/>
  <c r="AG540" i="55"/>
  <c r="AH540" i="55"/>
  <c r="AI540" i="55"/>
  <c r="AJ540" i="55"/>
  <c r="AB541" i="55"/>
  <c r="AK541" i="55" s="1"/>
  <c r="AC541" i="55"/>
  <c r="AF541" i="55"/>
  <c r="AH541" i="55"/>
  <c r="AJ541" i="55"/>
  <c r="AD541" i="55"/>
  <c r="AE541" i="55"/>
  <c r="AG541" i="55"/>
  <c r="AI541" i="55"/>
  <c r="AC542" i="55"/>
  <c r="AD542" i="55"/>
  <c r="AE542" i="55"/>
  <c r="AI542" i="55"/>
  <c r="AB542" i="55"/>
  <c r="AK542" i="55" s="1"/>
  <c r="AF542" i="55"/>
  <c r="AG542" i="55"/>
  <c r="AH542" i="55"/>
  <c r="AJ542" i="55"/>
  <c r="H543" i="55"/>
  <c r="AH543" i="55" s="1"/>
  <c r="AN543" i="55"/>
  <c r="AO543" i="55"/>
  <c r="AR543" i="55"/>
  <c r="AS543" i="55"/>
  <c r="AT543" i="55"/>
  <c r="AG543" i="55"/>
  <c r="AL543" i="55"/>
  <c r="AU543" i="55" s="1"/>
  <c r="AP543" i="55"/>
  <c r="AQ543" i="55"/>
  <c r="AG544" i="55"/>
  <c r="AB544" i="55"/>
  <c r="AK544" i="55" s="1"/>
  <c r="AD544" i="55"/>
  <c r="AE544" i="55"/>
  <c r="AF544" i="55"/>
  <c r="AH544" i="55"/>
  <c r="AI544" i="55"/>
  <c r="AJ544" i="55"/>
  <c r="AC545" i="55"/>
  <c r="AF545" i="55"/>
  <c r="AI545" i="55"/>
  <c r="AJ545" i="55"/>
  <c r="AD545" i="55"/>
  <c r="AE545" i="55"/>
  <c r="AG545" i="55"/>
  <c r="AH545" i="55"/>
  <c r="AC546" i="55"/>
  <c r="AD546" i="55"/>
  <c r="AE546" i="55"/>
  <c r="AI546" i="55"/>
  <c r="AB546" i="55"/>
  <c r="AK546" i="55" s="1"/>
  <c r="AF546" i="55"/>
  <c r="AG546" i="55"/>
  <c r="AH546" i="55"/>
  <c r="AJ546" i="55"/>
  <c r="H547" i="55"/>
  <c r="AC547" i="55" s="1"/>
  <c r="AN547" i="55"/>
  <c r="AP547" i="55"/>
  <c r="AR547" i="55"/>
  <c r="AT547" i="55"/>
  <c r="AL547" i="55"/>
  <c r="AU547" i="55" s="1"/>
  <c r="AM547" i="55"/>
  <c r="AO547" i="55"/>
  <c r="AQ547" i="55"/>
  <c r="AS547" i="55"/>
  <c r="AN548" i="55"/>
  <c r="AL548" i="55"/>
  <c r="AU548" i="55" s="1"/>
  <c r="AR548" i="55"/>
  <c r="AC549" i="55"/>
  <c r="AB549" i="55"/>
  <c r="AD549" i="55"/>
  <c r="AE549" i="55"/>
  <c r="AF549" i="55"/>
  <c r="AG549" i="55"/>
  <c r="AH549" i="55"/>
  <c r="AI549" i="55"/>
  <c r="AJ549" i="55"/>
  <c r="AB550" i="55"/>
  <c r="AC550" i="55"/>
  <c r="AD550" i="55"/>
  <c r="AE550" i="55"/>
  <c r="AF550" i="55"/>
  <c r="AG550" i="55"/>
  <c r="AH550" i="55"/>
  <c r="AI550" i="55"/>
  <c r="AJ550" i="55"/>
  <c r="AC551" i="55"/>
  <c r="AB551" i="55"/>
  <c r="AD551" i="55"/>
  <c r="AE551" i="55"/>
  <c r="AF551" i="55"/>
  <c r="AG551" i="55"/>
  <c r="AH551" i="55"/>
  <c r="AI551" i="55"/>
  <c r="AJ551" i="55"/>
  <c r="AB552" i="55"/>
  <c r="AK552" i="55" s="1"/>
  <c r="T552" i="55"/>
  <c r="U552" i="55" s="1"/>
  <c r="AD552" i="55" s="1"/>
  <c r="AC552" i="55"/>
  <c r="H553" i="55"/>
  <c r="T553" i="55"/>
  <c r="U553" i="55" s="1"/>
  <c r="AB553" i="55"/>
  <c r="AK553" i="55" s="1"/>
  <c r="T554" i="55"/>
  <c r="AB554" i="55"/>
  <c r="AK554" i="55" s="1"/>
  <c r="T555" i="55"/>
  <c r="U555" i="55" s="1"/>
  <c r="V555" i="55" s="1"/>
  <c r="W555" i="55" s="1"/>
  <c r="X555" i="55" s="1"/>
  <c r="Y555" i="55" s="1"/>
  <c r="Z555" i="55" s="1"/>
  <c r="AA555" i="55" s="1"/>
  <c r="H556" i="55"/>
  <c r="AB556" i="55" s="1"/>
  <c r="AK556" i="55" s="1"/>
  <c r="T556" i="55"/>
  <c r="AL557" i="55"/>
  <c r="AU557" i="55" s="1"/>
  <c r="T557" i="55"/>
  <c r="U557" i="55" s="1"/>
  <c r="V557" i="55" s="1"/>
  <c r="W557" i="55" s="1"/>
  <c r="X557" i="55" s="1"/>
  <c r="Y557" i="55" s="1"/>
  <c r="Z557" i="55" s="1"/>
  <c r="AA557" i="55" s="1"/>
  <c r="H558" i="55"/>
  <c r="T558" i="55"/>
  <c r="U558" i="55" s="1"/>
  <c r="AC559" i="55"/>
  <c r="AB559" i="55"/>
  <c r="AD559" i="55"/>
  <c r="AE559" i="55"/>
  <c r="AF559" i="55"/>
  <c r="AG559" i="55"/>
  <c r="AH559" i="55"/>
  <c r="AI559" i="55"/>
  <c r="AJ559" i="55"/>
  <c r="AB560" i="55"/>
  <c r="AC560" i="55"/>
  <c r="AD560" i="55"/>
  <c r="AE560" i="55"/>
  <c r="AF560" i="55"/>
  <c r="AG560" i="55"/>
  <c r="AH560" i="55"/>
  <c r="AI560" i="55"/>
  <c r="AJ560" i="55"/>
  <c r="AB561" i="55"/>
  <c r="AC561" i="55"/>
  <c r="AD561" i="55"/>
  <c r="AE561" i="55"/>
  <c r="AF561" i="55"/>
  <c r="AG561" i="55"/>
  <c r="AH561" i="55"/>
  <c r="AI561" i="55"/>
  <c r="AJ561" i="55"/>
  <c r="AC562" i="55"/>
  <c r="AB562" i="55"/>
  <c r="AD562" i="55"/>
  <c r="AE562" i="55"/>
  <c r="AF562" i="55"/>
  <c r="AG562" i="55"/>
  <c r="AH562" i="55"/>
  <c r="AI562" i="55"/>
  <c r="AJ562" i="55"/>
  <c r="AC563" i="55"/>
  <c r="AB563" i="55"/>
  <c r="AD563" i="55"/>
  <c r="AE563" i="55"/>
  <c r="AF563" i="55"/>
  <c r="AG563" i="55"/>
  <c r="AH563" i="55"/>
  <c r="AI563" i="55"/>
  <c r="AJ563" i="55"/>
  <c r="AB564" i="55"/>
  <c r="AC564" i="55"/>
  <c r="AD564" i="55"/>
  <c r="AE564" i="55"/>
  <c r="AF564" i="55"/>
  <c r="AG564" i="55"/>
  <c r="AH564" i="55"/>
  <c r="AI564" i="55"/>
  <c r="AJ564" i="55"/>
  <c r="H565" i="55"/>
  <c r="T565" i="55"/>
  <c r="U565" i="55" s="1"/>
  <c r="H566" i="55"/>
  <c r="T566" i="55"/>
  <c r="H567" i="55"/>
  <c r="AB567" i="55" s="1"/>
  <c r="AK567" i="55" s="1"/>
  <c r="T567" i="55"/>
  <c r="AL567" i="55"/>
  <c r="AU567" i="55" s="1"/>
  <c r="H568" i="55"/>
  <c r="AB568" i="55" s="1"/>
  <c r="AK568" i="55" s="1"/>
  <c r="T568" i="55"/>
  <c r="AB569" i="55"/>
  <c r="AC569" i="55"/>
  <c r="AD569" i="55"/>
  <c r="AE569" i="55"/>
  <c r="AF569" i="55"/>
  <c r="AG569" i="55"/>
  <c r="AH569" i="55"/>
  <c r="AI569" i="55"/>
  <c r="AJ569" i="55"/>
  <c r="AB570" i="55"/>
  <c r="AC570" i="55"/>
  <c r="AD570" i="55"/>
  <c r="AE570" i="55"/>
  <c r="AF570" i="55"/>
  <c r="AG570" i="55"/>
  <c r="AH570" i="55"/>
  <c r="AI570" i="55"/>
  <c r="AJ570" i="55"/>
  <c r="AB571" i="55"/>
  <c r="AC571" i="55"/>
  <c r="AD571" i="55"/>
  <c r="AE571" i="55"/>
  <c r="AF571" i="55"/>
  <c r="AG571" i="55"/>
  <c r="AH571" i="55"/>
  <c r="AI571" i="55"/>
  <c r="AJ571" i="55"/>
  <c r="AB572" i="55"/>
  <c r="AC572" i="55"/>
  <c r="AD572" i="55"/>
  <c r="AE572" i="55"/>
  <c r="AF572" i="55"/>
  <c r="AG572" i="55"/>
  <c r="AH572" i="55"/>
  <c r="AI572" i="55"/>
  <c r="AJ572" i="55"/>
  <c r="AB573" i="55"/>
  <c r="AC573" i="55"/>
  <c r="AD573" i="55"/>
  <c r="AE573" i="55"/>
  <c r="AF573" i="55"/>
  <c r="AG573" i="55"/>
  <c r="AH573" i="55"/>
  <c r="AI573" i="55"/>
  <c r="AJ573" i="55"/>
  <c r="AB574" i="55"/>
  <c r="AC574" i="55"/>
  <c r="AD574" i="55"/>
  <c r="AE574" i="55"/>
  <c r="AF574" i="55"/>
  <c r="AG574" i="55"/>
  <c r="AH574" i="55"/>
  <c r="AI574" i="55"/>
  <c r="AJ574" i="55"/>
  <c r="AB575" i="55"/>
  <c r="AC575" i="55"/>
  <c r="AD575" i="55"/>
  <c r="AE575" i="55"/>
  <c r="AF575" i="55"/>
  <c r="AG575" i="55"/>
  <c r="AH575" i="55"/>
  <c r="AI575" i="55"/>
  <c r="AJ575" i="55"/>
  <c r="AC576" i="55"/>
  <c r="AB576" i="55"/>
  <c r="AD576" i="55"/>
  <c r="AE576" i="55"/>
  <c r="AF576" i="55"/>
  <c r="AG576" i="55"/>
  <c r="AH576" i="55"/>
  <c r="AI576" i="55"/>
  <c r="AJ576" i="55"/>
  <c r="AB577" i="55"/>
  <c r="AC577" i="55"/>
  <c r="AD577" i="55"/>
  <c r="AE577" i="55"/>
  <c r="AF577" i="55"/>
  <c r="AG577" i="55"/>
  <c r="AH577" i="55"/>
  <c r="AI577" i="55"/>
  <c r="AJ577" i="55"/>
  <c r="AB578" i="55"/>
  <c r="AC578" i="55"/>
  <c r="AD578" i="55"/>
  <c r="AE578" i="55"/>
  <c r="AF578" i="55"/>
  <c r="AG578" i="55"/>
  <c r="AH578" i="55"/>
  <c r="AI578" i="55"/>
  <c r="AJ578" i="55"/>
  <c r="AB579" i="55"/>
  <c r="AC579" i="55"/>
  <c r="AD579" i="55"/>
  <c r="AE579" i="55"/>
  <c r="AF579" i="55"/>
  <c r="AG579" i="55"/>
  <c r="AH579" i="55"/>
  <c r="AI579" i="55"/>
  <c r="AJ579" i="55"/>
  <c r="AC580" i="55"/>
  <c r="AB580" i="55"/>
  <c r="AD580" i="55"/>
  <c r="AE580" i="55"/>
  <c r="AF580" i="55"/>
  <c r="AG580" i="55"/>
  <c r="AH580" i="55"/>
  <c r="AI580" i="55"/>
  <c r="AJ580" i="55"/>
  <c r="AB581" i="55"/>
  <c r="AC581" i="55"/>
  <c r="AD581" i="55"/>
  <c r="AE581" i="55"/>
  <c r="AF581" i="55"/>
  <c r="AG581" i="55"/>
  <c r="AH581" i="55"/>
  <c r="AI581" i="55"/>
  <c r="AJ581" i="55"/>
  <c r="AB582" i="55"/>
  <c r="AC582" i="55"/>
  <c r="AD582" i="55"/>
  <c r="AE582" i="55"/>
  <c r="AF582" i="55"/>
  <c r="AG582" i="55"/>
  <c r="AH582" i="55"/>
  <c r="AI582" i="55"/>
  <c r="AJ582" i="55"/>
  <c r="AB583" i="55"/>
  <c r="AC583" i="55"/>
  <c r="AD583" i="55"/>
  <c r="AE583" i="55"/>
  <c r="AF583" i="55"/>
  <c r="AG583" i="55"/>
  <c r="AH583" i="55"/>
  <c r="AI583" i="55"/>
  <c r="AJ583" i="55"/>
  <c r="AC584" i="55"/>
  <c r="AB584" i="55"/>
  <c r="AD584" i="55"/>
  <c r="AE584" i="55"/>
  <c r="AF584" i="55"/>
  <c r="AG584" i="55"/>
  <c r="AH584" i="55"/>
  <c r="AI584" i="55"/>
  <c r="AJ584" i="55"/>
  <c r="AB585" i="55"/>
  <c r="AC585" i="55"/>
  <c r="AD585" i="55"/>
  <c r="AE585" i="55"/>
  <c r="AF585" i="55"/>
  <c r="AG585" i="55"/>
  <c r="AH585" i="55"/>
  <c r="AI585" i="55"/>
  <c r="AJ585" i="55"/>
  <c r="AB586" i="55"/>
  <c r="AC586" i="55"/>
  <c r="AD586" i="55"/>
  <c r="AE586" i="55"/>
  <c r="AF586" i="55"/>
  <c r="AG586" i="55"/>
  <c r="AH586" i="55"/>
  <c r="AI586" i="55"/>
  <c r="AJ586" i="55"/>
  <c r="AB587" i="55"/>
  <c r="AC587" i="55"/>
  <c r="AD587" i="55"/>
  <c r="AE587" i="55"/>
  <c r="AF587" i="55"/>
  <c r="AG587" i="55"/>
  <c r="AH587" i="55"/>
  <c r="AI587" i="55"/>
  <c r="AJ587" i="55"/>
  <c r="T588" i="55"/>
  <c r="U588" i="55" s="1"/>
  <c r="T589" i="55"/>
  <c r="U589" i="55" s="1"/>
  <c r="AB589" i="55"/>
  <c r="AK589" i="55" s="1"/>
  <c r="H590" i="55"/>
  <c r="AL590" i="55"/>
  <c r="AU590" i="55" s="1"/>
  <c r="T590" i="55"/>
  <c r="U590" i="55" s="1"/>
  <c r="V590" i="55" s="1"/>
  <c r="W590" i="55" s="1"/>
  <c r="X590" i="55" s="1"/>
  <c r="Y590" i="55" s="1"/>
  <c r="Z590" i="55" s="1"/>
  <c r="AA590" i="55" s="1"/>
  <c r="H591" i="55"/>
  <c r="AC591" i="55" s="1"/>
  <c r="T591" i="55"/>
  <c r="U591" i="55" s="1"/>
  <c r="AL591" i="55"/>
  <c r="AU591" i="55" s="1"/>
  <c r="H592" i="55"/>
  <c r="AL592" i="55"/>
  <c r="AU592" i="55" s="1"/>
  <c r="T592" i="55"/>
  <c r="U592" i="55" s="1"/>
  <c r="V592" i="55" s="1"/>
  <c r="W592" i="55" s="1"/>
  <c r="X592" i="55" s="1"/>
  <c r="Y592" i="55" s="1"/>
  <c r="Z592" i="55" s="1"/>
  <c r="AA592" i="55" s="1"/>
  <c r="H593" i="55"/>
  <c r="T593" i="55"/>
  <c r="U593" i="55" s="1"/>
  <c r="AL593" i="55"/>
  <c r="AU593" i="55" s="1"/>
  <c r="T594" i="55"/>
  <c r="U594" i="55" s="1"/>
  <c r="H595" i="55"/>
  <c r="T595" i="55"/>
  <c r="U595" i="55" s="1"/>
  <c r="AL595" i="55"/>
  <c r="AU595" i="55" s="1"/>
  <c r="H596" i="55"/>
  <c r="AL596" i="55"/>
  <c r="AU596" i="55" s="1"/>
  <c r="T596" i="55"/>
  <c r="U596" i="55" s="1"/>
  <c r="V596" i="55" s="1"/>
  <c r="W596" i="55" s="1"/>
  <c r="X596" i="55" s="1"/>
  <c r="Y596" i="55" s="1"/>
  <c r="Z596" i="55" s="1"/>
  <c r="AA596" i="55" s="1"/>
  <c r="T597" i="55"/>
  <c r="U597" i="55" s="1"/>
  <c r="AB597" i="55"/>
  <c r="AK597" i="55" s="1"/>
  <c r="D2007" i="11" l="1"/>
  <c r="U532" i="55"/>
  <c r="V532" i="55" s="1"/>
  <c r="AC384" i="55"/>
  <c r="AK345" i="55"/>
  <c r="AM334" i="55"/>
  <c r="V267" i="55"/>
  <c r="AC223" i="55"/>
  <c r="AI256" i="55"/>
  <c r="V227" i="55"/>
  <c r="AG256" i="55"/>
  <c r="AC278" i="55"/>
  <c r="AK202" i="55"/>
  <c r="AC97" i="55"/>
  <c r="AC71" i="55"/>
  <c r="AC221" i="55"/>
  <c r="AK205" i="55"/>
  <c r="AK65" i="55"/>
  <c r="AM481" i="55"/>
  <c r="AK137" i="55"/>
  <c r="D2004" i="11"/>
  <c r="V441" i="55"/>
  <c r="AN441" i="55"/>
  <c r="AN308" i="55"/>
  <c r="V308" i="55"/>
  <c r="W308" i="55" s="1"/>
  <c r="X308" i="55" s="1"/>
  <c r="Y308" i="55" s="1"/>
  <c r="AN213" i="55"/>
  <c r="V213" i="55"/>
  <c r="AO213" i="55" s="1"/>
  <c r="AN264" i="55"/>
  <c r="V264" i="55"/>
  <c r="AN154" i="55"/>
  <c r="V154" i="55"/>
  <c r="AO154" i="55" s="1"/>
  <c r="AM590" i="55"/>
  <c r="AK584" i="55"/>
  <c r="AK580" i="55"/>
  <c r="AK576" i="55"/>
  <c r="AK560" i="55"/>
  <c r="AE543" i="55"/>
  <c r="AK539" i="55"/>
  <c r="AK538" i="55"/>
  <c r="U534" i="55"/>
  <c r="V534" i="55" s="1"/>
  <c r="AK521" i="55"/>
  <c r="AK514" i="55"/>
  <c r="AK511" i="55"/>
  <c r="AK508" i="55"/>
  <c r="AK503" i="55"/>
  <c r="AK499" i="55"/>
  <c r="AK495" i="55"/>
  <c r="AC484" i="55"/>
  <c r="AK474" i="55"/>
  <c r="AM447" i="55"/>
  <c r="AM442" i="55"/>
  <c r="AH428" i="55"/>
  <c r="AI427" i="55"/>
  <c r="AM397" i="55"/>
  <c r="AK367" i="55"/>
  <c r="AK312" i="55"/>
  <c r="AD302" i="55"/>
  <c r="AM271" i="55"/>
  <c r="AC266" i="55"/>
  <c r="AC264" i="55"/>
  <c r="AK239" i="55"/>
  <c r="U221" i="55"/>
  <c r="AC220" i="55"/>
  <c r="AC160" i="55"/>
  <c r="V151" i="55"/>
  <c r="AE151" i="55" s="1"/>
  <c r="AK148" i="55"/>
  <c r="AK147" i="55"/>
  <c r="AK146" i="55"/>
  <c r="AC75" i="55"/>
  <c r="AK47" i="55"/>
  <c r="AK38" i="55"/>
  <c r="AK30" i="55"/>
  <c r="AK29" i="55"/>
  <c r="AK28" i="55"/>
  <c r="AK27" i="55"/>
  <c r="AK26" i="55"/>
  <c r="AK18" i="55"/>
  <c r="D2002" i="11"/>
  <c r="D2006" i="11"/>
  <c r="AM592" i="55"/>
  <c r="AK524" i="55"/>
  <c r="AB436" i="55"/>
  <c r="AK436" i="55" s="1"/>
  <c r="AD428" i="55"/>
  <c r="U409" i="55"/>
  <c r="AN409" i="55" s="1"/>
  <c r="AC408" i="55"/>
  <c r="AC404" i="55"/>
  <c r="AC401" i="55"/>
  <c r="AC399" i="55"/>
  <c r="AK392" i="55"/>
  <c r="AC362" i="55"/>
  <c r="AK323" i="55"/>
  <c r="AK321" i="55"/>
  <c r="AM310" i="55"/>
  <c r="AK260" i="55"/>
  <c r="AK258" i="55"/>
  <c r="U231" i="55"/>
  <c r="AD229" i="55"/>
  <c r="AK203" i="55"/>
  <c r="AK188" i="55"/>
  <c r="AK186" i="55"/>
  <c r="AK184" i="55"/>
  <c r="V161" i="55"/>
  <c r="AO161" i="55" s="1"/>
  <c r="AK119" i="55"/>
  <c r="AK45" i="55"/>
  <c r="AK43" i="55"/>
  <c r="AK33" i="55"/>
  <c r="AM596" i="55"/>
  <c r="AK587" i="55"/>
  <c r="AK583" i="55"/>
  <c r="AK579" i="55"/>
  <c r="AK575" i="55"/>
  <c r="AM565" i="55"/>
  <c r="AC543" i="55"/>
  <c r="AK540" i="55"/>
  <c r="AK526" i="55"/>
  <c r="AK523" i="55"/>
  <c r="AK502" i="55"/>
  <c r="AK498" i="55"/>
  <c r="AK497" i="55"/>
  <c r="AK494" i="55"/>
  <c r="U491" i="55"/>
  <c r="V491" i="55" s="1"/>
  <c r="AK468" i="55"/>
  <c r="AK465" i="55"/>
  <c r="AK462" i="55"/>
  <c r="AC444" i="55"/>
  <c r="AC428" i="55"/>
  <c r="AK422" i="55"/>
  <c r="AK418" i="55"/>
  <c r="AK414" i="55"/>
  <c r="U401" i="55"/>
  <c r="AN401" i="55" s="1"/>
  <c r="AC397" i="55"/>
  <c r="AK375" i="55"/>
  <c r="U359" i="55"/>
  <c r="V359" i="55" s="1"/>
  <c r="AK315" i="55"/>
  <c r="AK314" i="55"/>
  <c r="AK313" i="55"/>
  <c r="W309" i="55"/>
  <c r="AM275" i="55"/>
  <c r="AM264" i="55"/>
  <c r="AK252" i="55"/>
  <c r="AK248" i="55"/>
  <c r="AK244" i="55"/>
  <c r="AK238" i="55"/>
  <c r="V229" i="55"/>
  <c r="AK207" i="55"/>
  <c r="AK167" i="55"/>
  <c r="AK163" i="55"/>
  <c r="V162" i="55"/>
  <c r="AO162" i="55" s="1"/>
  <c r="U150" i="55"/>
  <c r="AD150" i="55" s="1"/>
  <c r="AK124" i="55"/>
  <c r="AK122" i="55"/>
  <c r="AK120" i="55"/>
  <c r="AK103" i="55"/>
  <c r="AK102" i="55"/>
  <c r="U83" i="55"/>
  <c r="AK70" i="55"/>
  <c r="AK68" i="55"/>
  <c r="AK13" i="55"/>
  <c r="D2003" i="11"/>
  <c r="D2005" i="11"/>
  <c r="D2013" i="11"/>
  <c r="AK574" i="55"/>
  <c r="AK471" i="55"/>
  <c r="AK464" i="55"/>
  <c r="AK461" i="55"/>
  <c r="AK421" i="55"/>
  <c r="AK417" i="55"/>
  <c r="AK413" i="55"/>
  <c r="AK355" i="55"/>
  <c r="AK338" i="55"/>
  <c r="AK324" i="55"/>
  <c r="AK320" i="55"/>
  <c r="AK255" i="55"/>
  <c r="AK178" i="55"/>
  <c r="AK174" i="55"/>
  <c r="AK168" i="55"/>
  <c r="AK164" i="55"/>
  <c r="AK139" i="55"/>
  <c r="AK138" i="55"/>
  <c r="AK135" i="55"/>
  <c r="AK107" i="55"/>
  <c r="AK105" i="55"/>
  <c r="AK104" i="55"/>
  <c r="AK12" i="55"/>
  <c r="AK10" i="55"/>
  <c r="AM506" i="55"/>
  <c r="U506" i="55"/>
  <c r="AN506" i="55" s="1"/>
  <c r="U448" i="55"/>
  <c r="AN448" i="55" s="1"/>
  <c r="AC448" i="55"/>
  <c r="AB389" i="55"/>
  <c r="AK389" i="55" s="1"/>
  <c r="AD389" i="55"/>
  <c r="U215" i="55"/>
  <c r="V215" i="55" s="1"/>
  <c r="AC215" i="55"/>
  <c r="V99" i="55"/>
  <c r="W99" i="55" s="1"/>
  <c r="X99" i="55" s="1"/>
  <c r="Y99" i="55" s="1"/>
  <c r="AR99" i="55" s="1"/>
  <c r="AN99" i="55"/>
  <c r="U95" i="55"/>
  <c r="V95" i="55" s="1"/>
  <c r="AC95" i="55"/>
  <c r="U82" i="55"/>
  <c r="AC82" i="55"/>
  <c r="V81" i="55"/>
  <c r="W81" i="55" s="1"/>
  <c r="X81" i="55" s="1"/>
  <c r="Y81" i="55" s="1"/>
  <c r="AN81" i="55"/>
  <c r="AC567" i="55"/>
  <c r="AK501" i="55"/>
  <c r="AC478" i="55"/>
  <c r="AC454" i="55"/>
  <c r="AM448" i="55"/>
  <c r="U443" i="55"/>
  <c r="AN443" i="55" s="1"/>
  <c r="AM443" i="55"/>
  <c r="AB334" i="55"/>
  <c r="AK334" i="55" s="1"/>
  <c r="AC334" i="55"/>
  <c r="AD266" i="55"/>
  <c r="V266" i="55"/>
  <c r="AO264" i="55"/>
  <c r="W264" i="55"/>
  <c r="X264" i="55" s="1"/>
  <c r="Y264" i="55" s="1"/>
  <c r="Z264" i="55" s="1"/>
  <c r="AN225" i="55"/>
  <c r="V225" i="55"/>
  <c r="AO225" i="55" s="1"/>
  <c r="AN221" i="55"/>
  <c r="V221" i="55"/>
  <c r="AO221" i="55" s="1"/>
  <c r="U217" i="55"/>
  <c r="AC217" i="55"/>
  <c r="AD201" i="55"/>
  <c r="AI201" i="55"/>
  <c r="AB201" i="55"/>
  <c r="AK201" i="55" s="1"/>
  <c r="AC201" i="55"/>
  <c r="AE201" i="55"/>
  <c r="AN158" i="55"/>
  <c r="V158" i="55"/>
  <c r="AO158" i="55" s="1"/>
  <c r="AC101" i="55"/>
  <c r="AN88" i="55"/>
  <c r="V79" i="55"/>
  <c r="W79" i="55" s="1"/>
  <c r="X79" i="55" s="1"/>
  <c r="Y79" i="55" s="1"/>
  <c r="Z79" i="55" s="1"/>
  <c r="AA79" i="55" s="1"/>
  <c r="AN79" i="55"/>
  <c r="AC76" i="55"/>
  <c r="AN23" i="55"/>
  <c r="AK573" i="55"/>
  <c r="U567" i="55"/>
  <c r="AN567" i="55" s="1"/>
  <c r="AM567" i="55"/>
  <c r="U530" i="55"/>
  <c r="AM530" i="55"/>
  <c r="U479" i="55"/>
  <c r="V479" i="55" s="1"/>
  <c r="W479" i="55" s="1"/>
  <c r="AC479" i="55"/>
  <c r="AN460" i="55"/>
  <c r="V460" i="55"/>
  <c r="W460" i="55" s="1"/>
  <c r="AP460" i="55" s="1"/>
  <c r="AM458" i="55"/>
  <c r="AD412" i="55"/>
  <c r="AC412" i="55"/>
  <c r="AM405" i="55"/>
  <c r="U356" i="55"/>
  <c r="V356" i="55" s="1"/>
  <c r="AC356" i="55"/>
  <c r="AK343" i="55"/>
  <c r="AK329" i="55"/>
  <c r="U237" i="55"/>
  <c r="AN237" i="55" s="1"/>
  <c r="AC237" i="55"/>
  <c r="U235" i="55"/>
  <c r="V235" i="55" s="1"/>
  <c r="AM235" i="55"/>
  <c r="V230" i="55"/>
  <c r="W230" i="55" s="1"/>
  <c r="X230" i="55" s="1"/>
  <c r="Y230" i="55" s="1"/>
  <c r="AN230" i="55"/>
  <c r="AK169" i="55"/>
  <c r="AK117" i="55"/>
  <c r="U112" i="55"/>
  <c r="AC112" i="55"/>
  <c r="V98" i="55"/>
  <c r="W98" i="55" s="1"/>
  <c r="X98" i="55" s="1"/>
  <c r="Y98" i="55" s="1"/>
  <c r="Z98" i="55" s="1"/>
  <c r="AN98" i="55"/>
  <c r="AK569" i="55"/>
  <c r="AG547" i="55"/>
  <c r="AK520" i="55"/>
  <c r="AK510" i="55"/>
  <c r="U488" i="55"/>
  <c r="AC488" i="55"/>
  <c r="U476" i="55"/>
  <c r="V476" i="55" s="1"/>
  <c r="AC446" i="55"/>
  <c r="AB427" i="55"/>
  <c r="AK427" i="55" s="1"/>
  <c r="AC427" i="55"/>
  <c r="AF427" i="55"/>
  <c r="U407" i="55"/>
  <c r="AC406" i="55"/>
  <c r="U396" i="55"/>
  <c r="V396" i="55" s="1"/>
  <c r="AG389" i="55"/>
  <c r="AG380" i="55"/>
  <c r="AD380" i="55"/>
  <c r="AH380" i="55"/>
  <c r="AK365" i="55"/>
  <c r="AD308" i="55"/>
  <c r="AN275" i="55"/>
  <c r="V275" i="55"/>
  <c r="W275" i="55" s="1"/>
  <c r="AM237" i="55"/>
  <c r="U236" i="55"/>
  <c r="AN236" i="55" s="1"/>
  <c r="AC236" i="55"/>
  <c r="U210" i="55"/>
  <c r="AD210" i="55" s="1"/>
  <c r="AC210" i="55"/>
  <c r="AB162" i="55"/>
  <c r="AK162" i="55" s="1"/>
  <c r="AD152" i="55"/>
  <c r="V152" i="55"/>
  <c r="V149" i="55"/>
  <c r="W149" i="55" s="1"/>
  <c r="AD149" i="55"/>
  <c r="AM131" i="55"/>
  <c r="U129" i="55"/>
  <c r="AD129" i="55" s="1"/>
  <c r="AC129" i="55"/>
  <c r="AM98" i="55"/>
  <c r="AK561" i="55"/>
  <c r="AK550" i="55"/>
  <c r="AK537" i="55"/>
  <c r="AK522" i="55"/>
  <c r="AK519" i="55"/>
  <c r="AK516" i="55"/>
  <c r="AC506" i="55"/>
  <c r="AK500" i="55"/>
  <c r="AK496" i="55"/>
  <c r="AK473" i="55"/>
  <c r="AK470" i="55"/>
  <c r="AD444" i="55"/>
  <c r="AK424" i="55"/>
  <c r="AK420" i="55"/>
  <c r="AK416" i="55"/>
  <c r="AK346" i="55"/>
  <c r="AK326" i="55"/>
  <c r="AK322" i="55"/>
  <c r="AC274" i="55"/>
  <c r="AN271" i="55"/>
  <c r="V271" i="55"/>
  <c r="W271" i="55" s="1"/>
  <c r="AF271" i="55" s="1"/>
  <c r="AB256" i="55"/>
  <c r="AK256" i="55" s="1"/>
  <c r="AD256" i="55"/>
  <c r="AK249" i="55"/>
  <c r="AK245" i="55"/>
  <c r="AK243" i="55"/>
  <c r="AK241" i="55"/>
  <c r="AK195" i="55"/>
  <c r="AK187" i="55"/>
  <c r="AK185" i="55"/>
  <c r="AK143" i="55"/>
  <c r="AK127" i="55"/>
  <c r="AK126" i="55"/>
  <c r="AK125" i="55"/>
  <c r="AK123" i="55"/>
  <c r="AK121" i="55"/>
  <c r="Z92" i="55"/>
  <c r="AA92" i="55" s="1"/>
  <c r="AR92" i="55"/>
  <c r="AC86" i="55"/>
  <c r="AK586" i="55"/>
  <c r="AK582" i="55"/>
  <c r="AK578" i="55"/>
  <c r="AK571" i="55"/>
  <c r="AK518" i="55"/>
  <c r="AK515" i="55"/>
  <c r="AK512" i="55"/>
  <c r="AK472" i="55"/>
  <c r="AK469" i="55"/>
  <c r="AK466" i="55"/>
  <c r="AC450" i="55"/>
  <c r="AD447" i="55"/>
  <c r="AK423" i="55"/>
  <c r="AK419" i="55"/>
  <c r="AK415" i="55"/>
  <c r="AC405" i="55"/>
  <c r="AK371" i="55"/>
  <c r="AK342" i="55"/>
  <c r="AM336" i="55"/>
  <c r="AK328" i="55"/>
  <c r="AK318" i="55"/>
  <c r="AK317" i="55"/>
  <c r="AN310" i="55"/>
  <c r="AK299" i="55"/>
  <c r="AK295" i="55"/>
  <c r="AK291" i="55"/>
  <c r="AK287" i="55"/>
  <c r="AC256" i="55"/>
  <c r="AG254" i="55"/>
  <c r="AF254" i="55"/>
  <c r="AB236" i="55"/>
  <c r="AK236" i="55" s="1"/>
  <c r="AC225" i="55"/>
  <c r="AC209" i="55"/>
  <c r="AD197" i="55"/>
  <c r="AI197" i="55"/>
  <c r="U80" i="55"/>
  <c r="AM80" i="55"/>
  <c r="AK69" i="55"/>
  <c r="AK39" i="55"/>
  <c r="AK36" i="55"/>
  <c r="AC34" i="55"/>
  <c r="AK325" i="55"/>
  <c r="AK316" i="55"/>
  <c r="AK282" i="55"/>
  <c r="AK259" i="55"/>
  <c r="AK250" i="55"/>
  <c r="AK246" i="55"/>
  <c r="AK242" i="55"/>
  <c r="AK182" i="55"/>
  <c r="AK172" i="55"/>
  <c r="AK64" i="55"/>
  <c r="AK44" i="55"/>
  <c r="AK42" i="55"/>
  <c r="AK40" i="55"/>
  <c r="AK14" i="55"/>
  <c r="U554" i="55"/>
  <c r="AC554" i="55"/>
  <c r="V535" i="55"/>
  <c r="W535" i="55" s="1"/>
  <c r="AF535" i="55" s="1"/>
  <c r="AD535" i="55"/>
  <c r="AN535" i="55"/>
  <c r="W483" i="55"/>
  <c r="X483" i="55" s="1"/>
  <c r="Y483" i="55" s="1"/>
  <c r="Z483" i="55" s="1"/>
  <c r="AA483" i="55" s="1"/>
  <c r="AT483" i="55" s="1"/>
  <c r="AO483" i="55"/>
  <c r="W452" i="55"/>
  <c r="X452" i="55" s="1"/>
  <c r="Y452" i="55" s="1"/>
  <c r="Z452" i="55" s="1"/>
  <c r="AA452" i="55" s="1"/>
  <c r="AT452" i="55" s="1"/>
  <c r="AO452" i="55"/>
  <c r="AD450" i="55"/>
  <c r="V450" i="55"/>
  <c r="AO449" i="55"/>
  <c r="W449" i="55"/>
  <c r="X449" i="55" s="1"/>
  <c r="Y449" i="55" s="1"/>
  <c r="Z449" i="55" s="1"/>
  <c r="AA449" i="55" s="1"/>
  <c r="AT449" i="55" s="1"/>
  <c r="Z442" i="55"/>
  <c r="AA442" i="55" s="1"/>
  <c r="AT442" i="55" s="1"/>
  <c r="AR442" i="55"/>
  <c r="Z410" i="55"/>
  <c r="AA410" i="55" s="1"/>
  <c r="AT410" i="55" s="1"/>
  <c r="AR410" i="55"/>
  <c r="V403" i="55"/>
  <c r="W403" i="55" s="1"/>
  <c r="AN403" i="55"/>
  <c r="W399" i="55"/>
  <c r="AE399" i="55"/>
  <c r="V594" i="55"/>
  <c r="AD594" i="55"/>
  <c r="AE590" i="55"/>
  <c r="AI590" i="55"/>
  <c r="AC590" i="55"/>
  <c r="AG590" i="55"/>
  <c r="AD590" i="55"/>
  <c r="AH590" i="55"/>
  <c r="AB590" i="55"/>
  <c r="AK590" i="55" s="1"/>
  <c r="AF590" i="55"/>
  <c r="AJ590" i="55"/>
  <c r="V487" i="55"/>
  <c r="AD487" i="55"/>
  <c r="W457" i="55"/>
  <c r="X457" i="55" s="1"/>
  <c r="Y457" i="55" s="1"/>
  <c r="Z457" i="55" s="1"/>
  <c r="AA457" i="55" s="1"/>
  <c r="AT457" i="55" s="1"/>
  <c r="AO457" i="55"/>
  <c r="AC593" i="55"/>
  <c r="U556" i="55"/>
  <c r="AD556" i="55" s="1"/>
  <c r="AM556" i="55"/>
  <c r="AC556" i="55"/>
  <c r="AM553" i="55"/>
  <c r="W534" i="55"/>
  <c r="AO534" i="55"/>
  <c r="AD531" i="55"/>
  <c r="AN531" i="55"/>
  <c r="V531" i="55"/>
  <c r="W531" i="55" s="1"/>
  <c r="AF531" i="55" s="1"/>
  <c r="U507" i="55"/>
  <c r="AD507" i="55" s="1"/>
  <c r="AM507" i="55"/>
  <c r="AC507" i="55"/>
  <c r="U504" i="55"/>
  <c r="AC504" i="55"/>
  <c r="U482" i="55"/>
  <c r="AM482" i="55"/>
  <c r="W481" i="55"/>
  <c r="AO481" i="55"/>
  <c r="AE479" i="55"/>
  <c r="W406" i="55"/>
  <c r="AE406" i="55"/>
  <c r="Z402" i="55"/>
  <c r="AR402" i="55"/>
  <c r="Z398" i="55"/>
  <c r="AA398" i="55" s="1"/>
  <c r="AT398" i="55" s="1"/>
  <c r="AR398" i="55"/>
  <c r="V553" i="55"/>
  <c r="W553" i="55" s="1"/>
  <c r="AD553" i="55"/>
  <c r="AN553" i="55"/>
  <c r="AP529" i="55"/>
  <c r="W491" i="55"/>
  <c r="AO491" i="55"/>
  <c r="V485" i="55"/>
  <c r="AD485" i="55"/>
  <c r="AP483" i="55"/>
  <c r="V588" i="55"/>
  <c r="AD588" i="55"/>
  <c r="AK581" i="55"/>
  <c r="AK577" i="55"/>
  <c r="AK572" i="55"/>
  <c r="AN565" i="55"/>
  <c r="AD565" i="55"/>
  <c r="V565" i="55"/>
  <c r="AE565" i="55" s="1"/>
  <c r="AN558" i="55"/>
  <c r="V558" i="55"/>
  <c r="AD558" i="55"/>
  <c r="AP555" i="55"/>
  <c r="AD490" i="55"/>
  <c r="AN490" i="55"/>
  <c r="V490" i="55"/>
  <c r="W490" i="55" s="1"/>
  <c r="AD478" i="55"/>
  <c r="V478" i="55"/>
  <c r="V477" i="55"/>
  <c r="AD477" i="55"/>
  <c r="W476" i="55"/>
  <c r="AE476" i="55"/>
  <c r="AP458" i="55"/>
  <c r="X458" i="55"/>
  <c r="AE456" i="55"/>
  <c r="W456" i="55"/>
  <c r="U455" i="55"/>
  <c r="AC455" i="55"/>
  <c r="V454" i="55"/>
  <c r="AD454" i="55"/>
  <c r="V400" i="55"/>
  <c r="AD400" i="55"/>
  <c r="AD593" i="55"/>
  <c r="AN593" i="55"/>
  <c r="V593" i="55"/>
  <c r="AO593" i="55" s="1"/>
  <c r="V536" i="55"/>
  <c r="AD536" i="55"/>
  <c r="V489" i="55"/>
  <c r="AD489" i="55"/>
  <c r="V484" i="55"/>
  <c r="AD484" i="55"/>
  <c r="V597" i="55"/>
  <c r="AD597" i="55"/>
  <c r="AE596" i="55"/>
  <c r="AI596" i="55"/>
  <c r="AB596" i="55"/>
  <c r="AK596" i="55" s="1"/>
  <c r="AF596" i="55"/>
  <c r="AJ596" i="55"/>
  <c r="AC596" i="55"/>
  <c r="AG596" i="55"/>
  <c r="AD596" i="55"/>
  <c r="AH596" i="55"/>
  <c r="AC594" i="55"/>
  <c r="AE592" i="55"/>
  <c r="AI592" i="55"/>
  <c r="AB592" i="55"/>
  <c r="AK592" i="55" s="1"/>
  <c r="AF592" i="55"/>
  <c r="AJ592" i="55"/>
  <c r="AC592" i="55"/>
  <c r="AG592" i="55"/>
  <c r="AD592" i="55"/>
  <c r="AH592" i="55"/>
  <c r="V589" i="55"/>
  <c r="AD589" i="55"/>
  <c r="AK585" i="55"/>
  <c r="V595" i="55"/>
  <c r="AO595" i="55" s="1"/>
  <c r="AD595" i="55"/>
  <c r="AN595" i="55"/>
  <c r="V591" i="55"/>
  <c r="AO591" i="55" s="1"/>
  <c r="AD591" i="55"/>
  <c r="AN591" i="55"/>
  <c r="AC588" i="55"/>
  <c r="U568" i="55"/>
  <c r="AD568" i="55" s="1"/>
  <c r="AM568" i="55"/>
  <c r="AC568" i="55"/>
  <c r="AC566" i="55"/>
  <c r="U566" i="55"/>
  <c r="AK562" i="55"/>
  <c r="AD533" i="55"/>
  <c r="V533" i="55"/>
  <c r="W532" i="55"/>
  <c r="AO532" i="55"/>
  <c r="V530" i="55"/>
  <c r="AN530" i="55"/>
  <c r="AC505" i="55"/>
  <c r="U505" i="55"/>
  <c r="AK493" i="55"/>
  <c r="U492" i="55"/>
  <c r="AM492" i="55"/>
  <c r="AD488" i="55"/>
  <c r="V488" i="55"/>
  <c r="U486" i="55"/>
  <c r="AM486" i="55"/>
  <c r="AD480" i="55"/>
  <c r="AN480" i="55"/>
  <c r="V480" i="55"/>
  <c r="W480" i="55" s="1"/>
  <c r="AF480" i="55" s="1"/>
  <c r="AE458" i="55"/>
  <c r="AF458" i="55"/>
  <c r="AB458" i="55"/>
  <c r="AK458" i="55" s="1"/>
  <c r="AD458" i="55"/>
  <c r="W453" i="55"/>
  <c r="X453" i="55" s="1"/>
  <c r="Y453" i="55" s="1"/>
  <c r="AO453" i="55"/>
  <c r="W445" i="55"/>
  <c r="AE445" i="55"/>
  <c r="U411" i="55"/>
  <c r="AD411" i="55" s="1"/>
  <c r="AM411" i="55"/>
  <c r="AM403" i="55"/>
  <c r="AR590" i="55"/>
  <c r="AL565" i="55"/>
  <c r="AU565" i="55" s="1"/>
  <c r="AT596" i="55"/>
  <c r="AP596" i="55"/>
  <c r="AB595" i="55"/>
  <c r="AK595" i="55" s="1"/>
  <c r="AB594" i="55"/>
  <c r="AK594" i="55" s="1"/>
  <c r="AB593" i="55"/>
  <c r="AK593" i="55" s="1"/>
  <c r="AT592" i="55"/>
  <c r="AP592" i="55"/>
  <c r="AB591" i="55"/>
  <c r="AK591" i="55" s="1"/>
  <c r="AT590" i="55"/>
  <c r="AP590" i="55"/>
  <c r="AB588" i="55"/>
  <c r="AK588" i="55" s="1"/>
  <c r="AL566" i="55"/>
  <c r="AU566" i="55" s="1"/>
  <c r="AR557" i="55"/>
  <c r="AM557" i="55"/>
  <c r="AR555" i="55"/>
  <c r="AL555" i="55"/>
  <c r="AU555" i="55" s="1"/>
  <c r="AM555" i="55"/>
  <c r="AT548" i="55"/>
  <c r="AO548" i="55"/>
  <c r="AM548" i="55"/>
  <c r="AI547" i="55"/>
  <c r="AD547" i="55"/>
  <c r="AB547" i="55"/>
  <c r="AK547" i="55" s="1"/>
  <c r="AC544" i="55"/>
  <c r="AM543" i="55"/>
  <c r="AN534" i="55"/>
  <c r="AN532" i="55"/>
  <c r="H530" i="55"/>
  <c r="AC530" i="55" s="1"/>
  <c r="AR529" i="55"/>
  <c r="AM529" i="55"/>
  <c r="AL505" i="55"/>
  <c r="AU505" i="55" s="1"/>
  <c r="AN491" i="55"/>
  <c r="AF490" i="55"/>
  <c r="AL483" i="55"/>
  <c r="AU483" i="55" s="1"/>
  <c r="AM483" i="55"/>
  <c r="AN481" i="55"/>
  <c r="AC475" i="55"/>
  <c r="AO460" i="55"/>
  <c r="H460" i="55"/>
  <c r="AC460" i="55" s="1"/>
  <c r="AL459" i="55"/>
  <c r="AU459" i="55" s="1"/>
  <c r="AB459" i="55"/>
  <c r="AK459" i="55" s="1"/>
  <c r="AN458" i="55"/>
  <c r="AL457" i="55"/>
  <c r="AU457" i="55" s="1"/>
  <c r="AD456" i="55"/>
  <c r="AL453" i="55"/>
  <c r="AU453" i="55" s="1"/>
  <c r="AN452" i="55"/>
  <c r="U451" i="55"/>
  <c r="AN449" i="55"/>
  <c r="H449" i="55"/>
  <c r="AC447" i="55"/>
  <c r="AD445" i="55"/>
  <c r="AL444" i="55"/>
  <c r="AU444" i="55" s="1"/>
  <c r="V444" i="55"/>
  <c r="AE444" i="55" s="1"/>
  <c r="AL443" i="55"/>
  <c r="AU443" i="55" s="1"/>
  <c r="V443" i="55"/>
  <c r="AQ442" i="55"/>
  <c r="H442" i="55"/>
  <c r="AC442" i="55" s="1"/>
  <c r="AQ435" i="55"/>
  <c r="H435" i="55"/>
  <c r="AH432" i="55"/>
  <c r="AC432" i="55"/>
  <c r="AM428" i="55"/>
  <c r="AB428" i="55"/>
  <c r="AK428" i="55" s="1"/>
  <c r="AJ427" i="55"/>
  <c r="AO427" i="55"/>
  <c r="AS427" i="55"/>
  <c r="AL427" i="55"/>
  <c r="AU427" i="55" s="1"/>
  <c r="AP427" i="55"/>
  <c r="AT427" i="55"/>
  <c r="AM412" i="55"/>
  <c r="AB412" i="55"/>
  <c r="AK412" i="55" s="1"/>
  <c r="AL411" i="55"/>
  <c r="AU411" i="55" s="1"/>
  <c r="AO410" i="55"/>
  <c r="AD409" i="55"/>
  <c r="V409" i="55"/>
  <c r="AE409" i="55" s="1"/>
  <c r="AD406" i="55"/>
  <c r="AD405" i="55"/>
  <c r="V405" i="55"/>
  <c r="AE405" i="55" s="1"/>
  <c r="AP402" i="55"/>
  <c r="H402" i="55"/>
  <c r="AB402" i="55" s="1"/>
  <c r="AK402" i="55" s="1"/>
  <c r="AM402" i="55"/>
  <c r="AQ402" i="55"/>
  <c r="AC400" i="55"/>
  <c r="AD399" i="55"/>
  <c r="AO398" i="55"/>
  <c r="AD397" i="55"/>
  <c r="V397" i="55"/>
  <c r="AE397" i="55" s="1"/>
  <c r="AK391" i="55"/>
  <c r="AN390" i="55"/>
  <c r="AC389" i="55"/>
  <c r="AE389" i="55"/>
  <c r="AI389" i="55"/>
  <c r="AF389" i="55"/>
  <c r="AJ389" i="55"/>
  <c r="AH388" i="55"/>
  <c r="AC388" i="55"/>
  <c r="AE387" i="55"/>
  <c r="AP386" i="55"/>
  <c r="AT386" i="55"/>
  <c r="H386" i="55"/>
  <c r="AM386" i="55"/>
  <c r="AQ386" i="55"/>
  <c r="AB381" i="55"/>
  <c r="AK381" i="55" s="1"/>
  <c r="AK369" i="55"/>
  <c r="AK366" i="55"/>
  <c r="W362" i="55"/>
  <c r="AE362" i="55"/>
  <c r="U360" i="55"/>
  <c r="AD360" i="55" s="1"/>
  <c r="AM360" i="55"/>
  <c r="W356" i="55"/>
  <c r="AE356" i="55"/>
  <c r="Z332" i="55"/>
  <c r="AA332" i="55" s="1"/>
  <c r="AR332" i="55"/>
  <c r="AC597" i="55"/>
  <c r="AS596" i="55"/>
  <c r="AO596" i="55"/>
  <c r="AM595" i="55"/>
  <c r="AM593" i="55"/>
  <c r="AS592" i="55"/>
  <c r="AO592" i="55"/>
  <c r="AM591" i="55"/>
  <c r="AS590" i="55"/>
  <c r="AO590" i="55"/>
  <c r="AC589" i="55"/>
  <c r="V567" i="55"/>
  <c r="AK563" i="55"/>
  <c r="AK559" i="55"/>
  <c r="AQ557" i="55"/>
  <c r="V552" i="55"/>
  <c r="AK551" i="55"/>
  <c r="AK549" i="55"/>
  <c r="AS548" i="55"/>
  <c r="AH547" i="55"/>
  <c r="AF543" i="55"/>
  <c r="AJ543" i="55"/>
  <c r="AC536" i="55"/>
  <c r="AL534" i="55"/>
  <c r="AU534" i="55" s="1"/>
  <c r="AL532" i="55"/>
  <c r="AU532" i="55" s="1"/>
  <c r="AQ529" i="55"/>
  <c r="AL529" i="55"/>
  <c r="AU529" i="55" s="1"/>
  <c r="T528" i="55"/>
  <c r="U528" i="55" s="1"/>
  <c r="V506" i="55"/>
  <c r="AL491" i="55"/>
  <c r="AU491" i="55" s="1"/>
  <c r="AO490" i="55"/>
  <c r="AC487" i="55"/>
  <c r="H486" i="55"/>
  <c r="AC485" i="55"/>
  <c r="H482" i="55"/>
  <c r="AC482" i="55" s="1"/>
  <c r="AL481" i="55"/>
  <c r="AU481" i="55" s="1"/>
  <c r="AB477" i="55"/>
  <c r="AK477" i="55" s="1"/>
  <c r="AC477" i="55"/>
  <c r="V475" i="55"/>
  <c r="X460" i="55"/>
  <c r="Y460" i="55" s="1"/>
  <c r="U459" i="55"/>
  <c r="AC458" i="55"/>
  <c r="AC456" i="55"/>
  <c r="AL452" i="55"/>
  <c r="AU452" i="55" s="1"/>
  <c r="AM452" i="55"/>
  <c r="AM449" i="55"/>
  <c r="AN442" i="55"/>
  <c r="AC440" i="55"/>
  <c r="AF436" i="55"/>
  <c r="AJ436" i="55"/>
  <c r="AG436" i="55"/>
  <c r="AN435" i="55"/>
  <c r="AE432" i="55"/>
  <c r="AB432" i="55"/>
  <c r="AK432" i="55" s="1"/>
  <c r="AB430" i="55"/>
  <c r="AK430" i="55" s="1"/>
  <c r="AG427" i="55"/>
  <c r="AD427" i="55"/>
  <c r="AH427" i="55"/>
  <c r="AB426" i="55"/>
  <c r="AK426" i="55" s="1"/>
  <c r="AL412" i="55"/>
  <c r="AU412" i="55" s="1"/>
  <c r="V412" i="55"/>
  <c r="AE412" i="55" s="1"/>
  <c r="AN410" i="55"/>
  <c r="AB409" i="55"/>
  <c r="AK409" i="55" s="1"/>
  <c r="AB405" i="55"/>
  <c r="AK405" i="55" s="1"/>
  <c r="AL403" i="55"/>
  <c r="AU403" i="55" s="1"/>
  <c r="AO402" i="55"/>
  <c r="AD401" i="55"/>
  <c r="V401" i="55"/>
  <c r="AN398" i="55"/>
  <c r="AB397" i="55"/>
  <c r="AK397" i="55" s="1"/>
  <c r="AK394" i="55"/>
  <c r="AL390" i="55"/>
  <c r="AU390" i="55" s="1"/>
  <c r="AH389" i="55"/>
  <c r="AE388" i="55"/>
  <c r="AB388" i="55"/>
  <c r="AK388" i="55" s="1"/>
  <c r="AJ387" i="55"/>
  <c r="AO387" i="55"/>
  <c r="AS387" i="55"/>
  <c r="AL387" i="55"/>
  <c r="AU387" i="55" s="1"/>
  <c r="AP387" i="55"/>
  <c r="AT387" i="55"/>
  <c r="AC385" i="55"/>
  <c r="AI384" i="55"/>
  <c r="AF384" i="55"/>
  <c r="AJ384" i="55"/>
  <c r="AG384" i="55"/>
  <c r="AC381" i="55"/>
  <c r="AE381" i="55"/>
  <c r="AI381" i="55"/>
  <c r="AF381" i="55"/>
  <c r="AJ381" i="55"/>
  <c r="AM376" i="55"/>
  <c r="AC376" i="55"/>
  <c r="AK373" i="55"/>
  <c r="AK370" i="55"/>
  <c r="W363" i="55"/>
  <c r="AE363" i="55"/>
  <c r="AC360" i="55"/>
  <c r="W357" i="55"/>
  <c r="AE357" i="55"/>
  <c r="AK344" i="55"/>
  <c r="X336" i="55"/>
  <c r="Y336" i="55" s="1"/>
  <c r="Z336" i="55" s="1"/>
  <c r="AA336" i="55" s="1"/>
  <c r="AT336" i="55" s="1"/>
  <c r="AP336" i="55"/>
  <c r="V330" i="55"/>
  <c r="AD330" i="55"/>
  <c r="AR308" i="55"/>
  <c r="Z308" i="55"/>
  <c r="AI308" i="55" s="1"/>
  <c r="AH308" i="55"/>
  <c r="Z305" i="55"/>
  <c r="AR305" i="55"/>
  <c r="AN590" i="55"/>
  <c r="AM558" i="55"/>
  <c r="AO557" i="55"/>
  <c r="AS557" i="55"/>
  <c r="H555" i="55"/>
  <c r="AB555" i="55" s="1"/>
  <c r="AK555" i="55" s="1"/>
  <c r="AQ555" i="55"/>
  <c r="AC535" i="55"/>
  <c r="AD505" i="55"/>
  <c r="AC492" i="55"/>
  <c r="AC489" i="55"/>
  <c r="H483" i="55"/>
  <c r="AB483" i="55" s="1"/>
  <c r="AK483" i="55" s="1"/>
  <c r="AN457" i="55"/>
  <c r="H457" i="55"/>
  <c r="AN453" i="55"/>
  <c r="H453" i="55"/>
  <c r="AC451" i="55"/>
  <c r="AL449" i="55"/>
  <c r="AU449" i="55" s="1"/>
  <c r="AL448" i="55"/>
  <c r="AU448" i="55" s="1"/>
  <c r="AD448" i="55"/>
  <c r="V448" i="55"/>
  <c r="AE448" i="55" s="1"/>
  <c r="AL447" i="55"/>
  <c r="AU447" i="55" s="1"/>
  <c r="V447" i="55"/>
  <c r="AC445" i="55"/>
  <c r="AC443" i="55"/>
  <c r="H441" i="55"/>
  <c r="AM441" i="55"/>
  <c r="AH436" i="55"/>
  <c r="AC436" i="55"/>
  <c r="AP434" i="55"/>
  <c r="AT434" i="55"/>
  <c r="H434" i="55"/>
  <c r="AM434" i="55"/>
  <c r="AQ434" i="55"/>
  <c r="AI428" i="55"/>
  <c r="AF428" i="55"/>
  <c r="AJ428" i="55"/>
  <c r="AG428" i="55"/>
  <c r="AC411" i="55"/>
  <c r="AL410" i="55"/>
  <c r="AU410" i="55" s="1"/>
  <c r="AD403" i="55"/>
  <c r="AN402" i="55"/>
  <c r="AB401" i="55"/>
  <c r="AK401" i="55" s="1"/>
  <c r="AL398" i="55"/>
  <c r="AU398" i="55" s="1"/>
  <c r="AK393" i="55"/>
  <c r="AP390" i="55"/>
  <c r="AT390" i="55"/>
  <c r="H390" i="55"/>
  <c r="AM390" i="55"/>
  <c r="AQ390" i="55"/>
  <c r="AG387" i="55"/>
  <c r="AD387" i="55"/>
  <c r="AH387" i="55"/>
  <c r="AE380" i="55"/>
  <c r="AI380" i="55"/>
  <c r="AF380" i="55"/>
  <c r="AJ380" i="55"/>
  <c r="AB376" i="55"/>
  <c r="AK376" i="55" s="1"/>
  <c r="AK374" i="55"/>
  <c r="U364" i="55"/>
  <c r="AM364" i="55"/>
  <c r="U361" i="55"/>
  <c r="AM361" i="55"/>
  <c r="W358" i="55"/>
  <c r="AE358" i="55"/>
  <c r="AK354" i="55"/>
  <c r="AK353" i="55"/>
  <c r="AK340" i="55"/>
  <c r="AK339" i="55"/>
  <c r="U333" i="55"/>
  <c r="AD333" i="55" s="1"/>
  <c r="AM333" i="55"/>
  <c r="AR596" i="55"/>
  <c r="AN596" i="55"/>
  <c r="AR592" i="55"/>
  <c r="AN592" i="55"/>
  <c r="AP557" i="55"/>
  <c r="AT555" i="55"/>
  <c r="AO555" i="55"/>
  <c r="AC553" i="55"/>
  <c r="H548" i="55"/>
  <c r="AQ548" i="55"/>
  <c r="AF547" i="55"/>
  <c r="AJ547" i="55"/>
  <c r="AM535" i="55"/>
  <c r="AO529" i="55"/>
  <c r="AS529" i="55"/>
  <c r="AQ596" i="55"/>
  <c r="AQ592" i="55"/>
  <c r="AQ590" i="55"/>
  <c r="AL568" i="55"/>
  <c r="AU568" i="55" s="1"/>
  <c r="AD567" i="55"/>
  <c r="AM566" i="55"/>
  <c r="AB566" i="55"/>
  <c r="AK566" i="55" s="1"/>
  <c r="AL558" i="55"/>
  <c r="AU558" i="55" s="1"/>
  <c r="AB558" i="55"/>
  <c r="AK558" i="55" s="1"/>
  <c r="AT557" i="55"/>
  <c r="AN557" i="55"/>
  <c r="H557" i="55"/>
  <c r="AC557" i="55" s="1"/>
  <c r="AL556" i="55"/>
  <c r="AU556" i="55" s="1"/>
  <c r="AS555" i="55"/>
  <c r="AN555" i="55"/>
  <c r="AL553" i="55"/>
  <c r="AU553" i="55" s="1"/>
  <c r="AP548" i="55"/>
  <c r="AE547" i="55"/>
  <c r="AB545" i="55"/>
  <c r="AK545" i="55" s="1"/>
  <c r="AI543" i="55"/>
  <c r="AD543" i="55"/>
  <c r="AB543" i="55"/>
  <c r="AK543" i="55" s="1"/>
  <c r="AL535" i="55"/>
  <c r="AU535" i="55" s="1"/>
  <c r="H534" i="55"/>
  <c r="H532" i="55"/>
  <c r="AC532" i="55" s="1"/>
  <c r="AM531" i="55"/>
  <c r="AB531" i="55"/>
  <c r="AK531" i="55" s="1"/>
  <c r="AC531" i="55"/>
  <c r="AT529" i="55"/>
  <c r="AN529" i="55"/>
  <c r="H529" i="55"/>
  <c r="AC528" i="55"/>
  <c r="AL507" i="55"/>
  <c r="AU507" i="55" s="1"/>
  <c r="AD506" i="55"/>
  <c r="AM505" i="55"/>
  <c r="AB505" i="55"/>
  <c r="AK505" i="55" s="1"/>
  <c r="AL492" i="55"/>
  <c r="AU492" i="55" s="1"/>
  <c r="H491" i="55"/>
  <c r="AB491" i="55" s="1"/>
  <c r="AK491" i="55" s="1"/>
  <c r="AM490" i="55"/>
  <c r="AB490" i="55"/>
  <c r="AK490" i="55" s="1"/>
  <c r="AC490" i="55"/>
  <c r="AL486" i="55"/>
  <c r="AU486" i="55" s="1"/>
  <c r="AN483" i="55"/>
  <c r="AL482" i="55"/>
  <c r="AU482" i="55" s="1"/>
  <c r="H481" i="55"/>
  <c r="AM480" i="55"/>
  <c r="AB480" i="55"/>
  <c r="AK480" i="55" s="1"/>
  <c r="AC480" i="55"/>
  <c r="AC459" i="55"/>
  <c r="AO458" i="55"/>
  <c r="AM457" i="55"/>
  <c r="H452" i="55"/>
  <c r="AC452" i="55" s="1"/>
  <c r="W446" i="55"/>
  <c r="AE446" i="55"/>
  <c r="AB445" i="55"/>
  <c r="AK445" i="55" s="1"/>
  <c r="AO442" i="55"/>
  <c r="AS442" i="55"/>
  <c r="AL442" i="55"/>
  <c r="AU442" i="55" s="1"/>
  <c r="AP442" i="55"/>
  <c r="V440" i="55"/>
  <c r="AD440" i="55"/>
  <c r="AO435" i="55"/>
  <c r="AS435" i="55"/>
  <c r="AL435" i="55"/>
  <c r="AU435" i="55" s="1"/>
  <c r="AP435" i="55"/>
  <c r="AT435" i="55"/>
  <c r="AF432" i="55"/>
  <c r="AJ432" i="55"/>
  <c r="AG432" i="55"/>
  <c r="AP410" i="55"/>
  <c r="H410" i="55"/>
  <c r="AM410" i="55"/>
  <c r="AQ410" i="55"/>
  <c r="V408" i="55"/>
  <c r="AD408" i="55"/>
  <c r="V404" i="55"/>
  <c r="AD404" i="55"/>
  <c r="AC403" i="55"/>
  <c r="AE401" i="55"/>
  <c r="AP398" i="55"/>
  <c r="H398" i="55"/>
  <c r="AM398" i="55"/>
  <c r="AQ398" i="55"/>
  <c r="AD396" i="55"/>
  <c r="AF388" i="55"/>
  <c r="AJ388" i="55"/>
  <c r="AG388" i="55"/>
  <c r="AE376" i="55"/>
  <c r="AI376" i="55"/>
  <c r="AF376" i="55"/>
  <c r="AJ376" i="55"/>
  <c r="AG376" i="55"/>
  <c r="W359" i="55"/>
  <c r="AE359" i="55"/>
  <c r="W335" i="55"/>
  <c r="AO335" i="55"/>
  <c r="Z306" i="55"/>
  <c r="AA306" i="55" s="1"/>
  <c r="AT306" i="55" s="1"/>
  <c r="AR306" i="55"/>
  <c r="AP332" i="55"/>
  <c r="AT332" i="55"/>
  <c r="H332" i="55"/>
  <c r="AM332" i="55"/>
  <c r="AQ332" i="55"/>
  <c r="V331" i="55"/>
  <c r="AD331" i="55"/>
  <c r="X309" i="55"/>
  <c r="AF309" i="55"/>
  <c r="AO306" i="55"/>
  <c r="AL306" i="55"/>
  <c r="AU306" i="55" s="1"/>
  <c r="AP306" i="55"/>
  <c r="V280" i="55"/>
  <c r="AN280" i="55"/>
  <c r="AL280" i="55"/>
  <c r="AU280" i="55" s="1"/>
  <c r="U263" i="55"/>
  <c r="AM263" i="55"/>
  <c r="W234" i="55"/>
  <c r="X234" i="55" s="1"/>
  <c r="Y234" i="55" s="1"/>
  <c r="AO234" i="55"/>
  <c r="AL364" i="55"/>
  <c r="AU364" i="55" s="1"/>
  <c r="AD364" i="55"/>
  <c r="AL361" i="55"/>
  <c r="AU361" i="55" s="1"/>
  <c r="AD361" i="55"/>
  <c r="AL360" i="55"/>
  <c r="AU360" i="55" s="1"/>
  <c r="AQ351" i="55"/>
  <c r="AM351" i="55"/>
  <c r="H351" i="55"/>
  <c r="AC351" i="55" s="1"/>
  <c r="AQ349" i="55"/>
  <c r="AM349" i="55"/>
  <c r="H349" i="55"/>
  <c r="AC349" i="55" s="1"/>
  <c r="AO336" i="55"/>
  <c r="H336" i="55"/>
  <c r="H335" i="55"/>
  <c r="AC333" i="55"/>
  <c r="AO332" i="55"/>
  <c r="AC308" i="55"/>
  <c r="AC307" i="55"/>
  <c r="AQ306" i="55"/>
  <c r="H306" i="55"/>
  <c r="AC306" i="55" s="1"/>
  <c r="AP305" i="55"/>
  <c r="H305" i="55"/>
  <c r="AB305" i="55" s="1"/>
  <c r="AK305" i="55" s="1"/>
  <c r="AM305" i="55"/>
  <c r="AQ305" i="55"/>
  <c r="V304" i="55"/>
  <c r="AD304" i="55"/>
  <c r="AK300" i="55"/>
  <c r="AK296" i="55"/>
  <c r="AK292" i="55"/>
  <c r="AK288" i="55"/>
  <c r="AK284" i="55"/>
  <c r="AK283" i="55"/>
  <c r="W278" i="55"/>
  <c r="AE278" i="55"/>
  <c r="AF275" i="55"/>
  <c r="AD275" i="55"/>
  <c r="W272" i="55"/>
  <c r="X272" i="55" s="1"/>
  <c r="Y272" i="55" s="1"/>
  <c r="AO272" i="55"/>
  <c r="AP271" i="55"/>
  <c r="U270" i="55"/>
  <c r="AD270" i="55" s="1"/>
  <c r="AM270" i="55"/>
  <c r="W268" i="55"/>
  <c r="X268" i="55" s="1"/>
  <c r="Y268" i="55" s="1"/>
  <c r="AO268" i="55"/>
  <c r="W265" i="55"/>
  <c r="AO265" i="55"/>
  <c r="AT351" i="55"/>
  <c r="AP351" i="55"/>
  <c r="AL351" i="55"/>
  <c r="AU351" i="55" s="1"/>
  <c r="AT349" i="55"/>
  <c r="AP349" i="55"/>
  <c r="AL349" i="55"/>
  <c r="AU349" i="55" s="1"/>
  <c r="AR336" i="55"/>
  <c r="AN336" i="55"/>
  <c r="AN335" i="55"/>
  <c r="AN332" i="55"/>
  <c r="AC331" i="55"/>
  <c r="AR310" i="55"/>
  <c r="AO310" i="55"/>
  <c r="AS310" i="55"/>
  <c r="AL310" i="55"/>
  <c r="AU310" i="55" s="1"/>
  <c r="AP310" i="55"/>
  <c r="AT310" i="55"/>
  <c r="AP308" i="55"/>
  <c r="AE308" i="55"/>
  <c r="AF308" i="55"/>
  <c r="AM307" i="55"/>
  <c r="AB307" i="55"/>
  <c r="AK307" i="55" s="1"/>
  <c r="AN306" i="55"/>
  <c r="AO305" i="55"/>
  <c r="W302" i="55"/>
  <c r="AE302" i="55"/>
  <c r="AK301" i="55"/>
  <c r="AK297" i="55"/>
  <c r="AK293" i="55"/>
  <c r="AK289" i="55"/>
  <c r="AK285" i="55"/>
  <c r="AC270" i="55"/>
  <c r="AN235" i="55"/>
  <c r="V233" i="55"/>
  <c r="AD233" i="55"/>
  <c r="Z230" i="55"/>
  <c r="AR230" i="55"/>
  <c r="AQ389" i="55"/>
  <c r="AQ381" i="55"/>
  <c r="AQ380" i="55"/>
  <c r="AQ376" i="55"/>
  <c r="AD363" i="55"/>
  <c r="AD362" i="55"/>
  <c r="AD359" i="55"/>
  <c r="AD358" i="55"/>
  <c r="AD357" i="55"/>
  <c r="AS351" i="55"/>
  <c r="AS349" i="55"/>
  <c r="AQ336" i="55"/>
  <c r="AL335" i="55"/>
  <c r="AU335" i="55" s="1"/>
  <c r="AM335" i="55"/>
  <c r="AD334" i="55"/>
  <c r="AB333" i="55"/>
  <c r="AK333" i="55" s="1"/>
  <c r="AL333" i="55"/>
  <c r="AU333" i="55" s="1"/>
  <c r="AS332" i="55"/>
  <c r="AL332" i="55"/>
  <c r="AU332" i="55" s="1"/>
  <c r="AC330" i="55"/>
  <c r="AQ310" i="55"/>
  <c r="H310" i="55"/>
  <c r="AC309" i="55"/>
  <c r="AO308" i="55"/>
  <c r="AG308" i="55"/>
  <c r="AL307" i="55"/>
  <c r="AU307" i="55" s="1"/>
  <c r="AD307" i="55"/>
  <c r="V307" i="55"/>
  <c r="AM306" i="55"/>
  <c r="AN305" i="55"/>
  <c r="AC304" i="55"/>
  <c r="AK298" i="55"/>
  <c r="AK294" i="55"/>
  <c r="AK290" i="55"/>
  <c r="AK286" i="55"/>
  <c r="AK281" i="55"/>
  <c r="W276" i="55"/>
  <c r="X276" i="55" s="1"/>
  <c r="Y276" i="55" s="1"/>
  <c r="AO276" i="55"/>
  <c r="X275" i="55"/>
  <c r="Y275" i="55" s="1"/>
  <c r="AP275" i="55"/>
  <c r="U274" i="55"/>
  <c r="AD274" i="55" s="1"/>
  <c r="AM274" i="55"/>
  <c r="AE271" i="55"/>
  <c r="AD271" i="55"/>
  <c r="V269" i="55"/>
  <c r="W269" i="55" s="1"/>
  <c r="X269" i="55" s="1"/>
  <c r="Y269" i="55" s="1"/>
  <c r="AN269" i="55"/>
  <c r="AR264" i="55"/>
  <c r="AH264" i="55"/>
  <c r="V261" i="55"/>
  <c r="AD261" i="55"/>
  <c r="AK257" i="55"/>
  <c r="V232" i="55"/>
  <c r="AD232" i="55"/>
  <c r="H234" i="55"/>
  <c r="AM234" i="55"/>
  <c r="AB233" i="55"/>
  <c r="AK233" i="55" s="1"/>
  <c r="AO229" i="55"/>
  <c r="W229" i="55"/>
  <c r="AC229" i="55"/>
  <c r="AM229" i="55"/>
  <c r="AL228" i="55"/>
  <c r="AU228" i="55" s="1"/>
  <c r="T228" i="55"/>
  <c r="AC228" i="55" s="1"/>
  <c r="W220" i="55"/>
  <c r="AE220" i="55"/>
  <c r="AC219" i="55"/>
  <c r="V214" i="55"/>
  <c r="AD214" i="55"/>
  <c r="AG198" i="55"/>
  <c r="AD198" i="55"/>
  <c r="AH198" i="55"/>
  <c r="AE198" i="55"/>
  <c r="AI198" i="55"/>
  <c r="AF198" i="55"/>
  <c r="AJ198" i="55"/>
  <c r="AC279" i="55"/>
  <c r="AN276" i="55"/>
  <c r="AO275" i="55"/>
  <c r="AC275" i="55"/>
  <c r="AL274" i="55"/>
  <c r="AU274" i="55" s="1"/>
  <c r="AN272" i="55"/>
  <c r="AC271" i="55"/>
  <c r="AL270" i="55"/>
  <c r="AU270" i="55" s="1"/>
  <c r="AM269" i="55"/>
  <c r="H269" i="55"/>
  <c r="AN268" i="55"/>
  <c r="W267" i="55"/>
  <c r="AE267" i="55"/>
  <c r="H265" i="55"/>
  <c r="AQ264" i="55"/>
  <c r="AB263" i="55"/>
  <c r="AK263" i="55" s="1"/>
  <c r="AC263" i="55"/>
  <c r="AB261" i="55"/>
  <c r="AK261" i="55" s="1"/>
  <c r="AC261" i="55"/>
  <c r="AH256" i="55"/>
  <c r="AJ254" i="55"/>
  <c r="AE254" i="55"/>
  <c r="AC254" i="55"/>
  <c r="AK251" i="55"/>
  <c r="AK247" i="55"/>
  <c r="AM236" i="55"/>
  <c r="AC235" i="55"/>
  <c r="W227" i="55"/>
  <c r="AE227" i="55"/>
  <c r="V226" i="55"/>
  <c r="AD226" i="55"/>
  <c r="AD225" i="55"/>
  <c r="AN223" i="55"/>
  <c r="V223" i="55"/>
  <c r="W223" i="55" s="1"/>
  <c r="X223" i="55" s="1"/>
  <c r="Y223" i="55" s="1"/>
  <c r="AH223" i="55" s="1"/>
  <c r="AB223" i="55"/>
  <c r="AK223" i="55" s="1"/>
  <c r="AD223" i="55"/>
  <c r="AD221" i="55"/>
  <c r="AB217" i="55"/>
  <c r="AK217" i="55" s="1"/>
  <c r="AC214" i="55"/>
  <c r="AC213" i="55"/>
  <c r="AC211" i="55"/>
  <c r="V210" i="55"/>
  <c r="AE200" i="55"/>
  <c r="AI200" i="55"/>
  <c r="AB200" i="55"/>
  <c r="AK200" i="55" s="1"/>
  <c r="AF200" i="55"/>
  <c r="AJ200" i="55"/>
  <c r="AG200" i="55"/>
  <c r="AD200" i="55"/>
  <c r="AH200" i="55"/>
  <c r="AE196" i="55"/>
  <c r="AI196" i="55"/>
  <c r="AB196" i="55"/>
  <c r="AK196" i="55" s="1"/>
  <c r="AF196" i="55"/>
  <c r="AJ196" i="55"/>
  <c r="AG196" i="55"/>
  <c r="AD196" i="55"/>
  <c r="AH196" i="55"/>
  <c r="AM280" i="55"/>
  <c r="H280" i="55"/>
  <c r="AB280" i="55" s="1"/>
  <c r="AK280" i="55" s="1"/>
  <c r="AQ276" i="55"/>
  <c r="AM276" i="55"/>
  <c r="H276" i="55"/>
  <c r="AM272" i="55"/>
  <c r="H272" i="55"/>
  <c r="AL269" i="55"/>
  <c r="AU269" i="55" s="1"/>
  <c r="AM268" i="55"/>
  <c r="H268" i="55"/>
  <c r="AN265" i="55"/>
  <c r="AP264" i="55"/>
  <c r="AE264" i="55"/>
  <c r="AL263" i="55"/>
  <c r="AU263" i="55" s="1"/>
  <c r="AL256" i="55"/>
  <c r="AU256" i="55" s="1"/>
  <c r="AF256" i="55"/>
  <c r="AJ256" i="55"/>
  <c r="AT254" i="55"/>
  <c r="AI254" i="55"/>
  <c r="AD254" i="55"/>
  <c r="AL236" i="55"/>
  <c r="AU236" i="55" s="1"/>
  <c r="V236" i="55"/>
  <c r="AN234" i="55"/>
  <c r="AC233" i="55"/>
  <c r="AP230" i="55"/>
  <c r="H230" i="55"/>
  <c r="AB230" i="55" s="1"/>
  <c r="AK230" i="55" s="1"/>
  <c r="AM230" i="55"/>
  <c r="AQ230" i="55"/>
  <c r="AE229" i="55"/>
  <c r="AF229" i="55"/>
  <c r="AB228" i="55"/>
  <c r="AK228" i="55" s="1"/>
  <c r="AC226" i="55"/>
  <c r="AN219" i="55"/>
  <c r="V219" i="55"/>
  <c r="AB219" i="55"/>
  <c r="AK219" i="55" s="1"/>
  <c r="AD219" i="55"/>
  <c r="AN215" i="55"/>
  <c r="AB215" i="55"/>
  <c r="AK215" i="55" s="1"/>
  <c r="AD215" i="55"/>
  <c r="AB213" i="55"/>
  <c r="AK213" i="55" s="1"/>
  <c r="V209" i="55"/>
  <c r="AD209" i="55"/>
  <c r="AC198" i="55"/>
  <c r="AQ308" i="55"/>
  <c r="AD278" i="55"/>
  <c r="AL265" i="55"/>
  <c r="AU265" i="55" s="1"/>
  <c r="AM265" i="55"/>
  <c r="AD264" i="55"/>
  <c r="AF264" i="55"/>
  <c r="AB262" i="55"/>
  <c r="AK262" i="55" s="1"/>
  <c r="AM254" i="55"/>
  <c r="AH254" i="55"/>
  <c r="AB254" i="55"/>
  <c r="AK254" i="55" s="1"/>
  <c r="AO254" i="55"/>
  <c r="AS254" i="55"/>
  <c r="AK240" i="55"/>
  <c r="AL237" i="55"/>
  <c r="AU237" i="55" s="1"/>
  <c r="AD237" i="55"/>
  <c r="V237" i="55"/>
  <c r="AB235" i="55"/>
  <c r="AK235" i="55" s="1"/>
  <c r="AL235" i="55"/>
  <c r="AU235" i="55" s="1"/>
  <c r="AL234" i="55"/>
  <c r="AU234" i="55" s="1"/>
  <c r="AC232" i="55"/>
  <c r="AO230" i="55"/>
  <c r="AD213" i="55"/>
  <c r="AE213" i="55"/>
  <c r="AN211" i="55"/>
  <c r="V211" i="55"/>
  <c r="W211" i="55" s="1"/>
  <c r="X211" i="55" s="1"/>
  <c r="Y211" i="55" s="1"/>
  <c r="AH211" i="55" s="1"/>
  <c r="AB211" i="55"/>
  <c r="AK211" i="55" s="1"/>
  <c r="AD211" i="55"/>
  <c r="AL223" i="55"/>
  <c r="AU223" i="55" s="1"/>
  <c r="AM222" i="55"/>
  <c r="H222" i="55"/>
  <c r="AL219" i="55"/>
  <c r="AU219" i="55" s="1"/>
  <c r="AM218" i="55"/>
  <c r="H218" i="55"/>
  <c r="AB218" i="55" s="1"/>
  <c r="AK218" i="55" s="1"/>
  <c r="AL215" i="55"/>
  <c r="AU215" i="55" s="1"/>
  <c r="AL211" i="55"/>
  <c r="AU211" i="55" s="1"/>
  <c r="AG201" i="55"/>
  <c r="AT200" i="55"/>
  <c r="AP200" i="55"/>
  <c r="AL200" i="55"/>
  <c r="AU200" i="55" s="1"/>
  <c r="AQ199" i="55"/>
  <c r="AM199" i="55"/>
  <c r="H199" i="55"/>
  <c r="AB199" i="55" s="1"/>
  <c r="AK199" i="55" s="1"/>
  <c r="AG197" i="55"/>
  <c r="AT196" i="55"/>
  <c r="AP196" i="55"/>
  <c r="AL196" i="55"/>
  <c r="AU196" i="55" s="1"/>
  <c r="AK183" i="55"/>
  <c r="AK179" i="55"/>
  <c r="AK177" i="55"/>
  <c r="AK173" i="55"/>
  <c r="AK170" i="55"/>
  <c r="AB161" i="55"/>
  <c r="AK161" i="55" s="1"/>
  <c r="AC158" i="55"/>
  <c r="V156" i="55"/>
  <c r="W156" i="55" s="1"/>
  <c r="X156" i="55" s="1"/>
  <c r="Y156" i="55" s="1"/>
  <c r="AN156" i="55"/>
  <c r="AM225" i="55"/>
  <c r="W225" i="55"/>
  <c r="AF225" i="55" s="1"/>
  <c r="T224" i="55"/>
  <c r="AL222" i="55"/>
  <c r="AU222" i="55" s="1"/>
  <c r="V222" i="55"/>
  <c r="AM221" i="55"/>
  <c r="AD220" i="55"/>
  <c r="AL218" i="55"/>
  <c r="AU218" i="55" s="1"/>
  <c r="V218" i="55"/>
  <c r="AM217" i="55"/>
  <c r="T216" i="55"/>
  <c r="AC216" i="55" s="1"/>
  <c r="AM213" i="55"/>
  <c r="W213" i="55"/>
  <c r="T212" i="55"/>
  <c r="AJ201" i="55"/>
  <c r="AF201" i="55"/>
  <c r="AS200" i="55"/>
  <c r="AO200" i="55"/>
  <c r="AT199" i="55"/>
  <c r="AL199" i="55"/>
  <c r="AU199" i="55" s="1"/>
  <c r="AQ198" i="55"/>
  <c r="AM198" i="55"/>
  <c r="AJ197" i="55"/>
  <c r="AF197" i="55"/>
  <c r="AS196" i="55"/>
  <c r="AO196" i="55"/>
  <c r="AK180" i="55"/>
  <c r="AK165" i="55"/>
  <c r="AD161" i="55"/>
  <c r="AE161" i="55"/>
  <c r="V160" i="55"/>
  <c r="AD160" i="55"/>
  <c r="AK181" i="55"/>
  <c r="AK166" i="55"/>
  <c r="AD158" i="55"/>
  <c r="V157" i="55"/>
  <c r="AD157" i="55"/>
  <c r="AB154" i="55"/>
  <c r="AK154" i="55" s="1"/>
  <c r="AM223" i="55"/>
  <c r="AM219" i="55"/>
  <c r="AM215" i="55"/>
  <c r="AM211" i="55"/>
  <c r="AH201" i="55"/>
  <c r="AQ200" i="55"/>
  <c r="AM200" i="55"/>
  <c r="AH197" i="55"/>
  <c r="AQ196" i="55"/>
  <c r="AM196" i="55"/>
  <c r="AD162" i="55"/>
  <c r="AE162" i="55"/>
  <c r="AC161" i="55"/>
  <c r="AC157" i="55"/>
  <c r="AD154" i="55"/>
  <c r="AE154" i="55"/>
  <c r="AM162" i="55"/>
  <c r="W162" i="55"/>
  <c r="AF162" i="55" s="1"/>
  <c r="AM161" i="55"/>
  <c r="W161" i="55"/>
  <c r="T159" i="55"/>
  <c r="AC159" i="55" s="1"/>
  <c r="AM158" i="55"/>
  <c r="W158" i="55"/>
  <c r="T155" i="55"/>
  <c r="AM154" i="55"/>
  <c r="W154" i="55"/>
  <c r="X153" i="55"/>
  <c r="Y153" i="55" s="1"/>
  <c r="W151" i="55"/>
  <c r="AC151" i="55"/>
  <c r="V150" i="55"/>
  <c r="AB150" i="55"/>
  <c r="AK150" i="55" s="1"/>
  <c r="AC149" i="55"/>
  <c r="AK140" i="55"/>
  <c r="V131" i="55"/>
  <c r="W131" i="55" s="1"/>
  <c r="X131" i="55" s="1"/>
  <c r="Y131" i="55" s="1"/>
  <c r="AN131" i="55"/>
  <c r="U130" i="55"/>
  <c r="AD130" i="55" s="1"/>
  <c r="AM130" i="55"/>
  <c r="AC130" i="55"/>
  <c r="U128" i="55"/>
  <c r="AC128" i="55"/>
  <c r="U134" i="55"/>
  <c r="AM134" i="55"/>
  <c r="AC134" i="55"/>
  <c r="V129" i="55"/>
  <c r="AQ156" i="55"/>
  <c r="AM156" i="55"/>
  <c r="H156" i="55"/>
  <c r="AK136" i="55"/>
  <c r="AN133" i="55"/>
  <c r="V133" i="55"/>
  <c r="W133" i="55" s="1"/>
  <c r="U132" i="55"/>
  <c r="AC132" i="55"/>
  <c r="AO153" i="55"/>
  <c r="H153" i="55"/>
  <c r="AQ153" i="55"/>
  <c r="AB134" i="55"/>
  <c r="AK134" i="55" s="1"/>
  <c r="AM133" i="55"/>
  <c r="H133" i="55"/>
  <c r="AB130" i="55"/>
  <c r="AK130" i="55" s="1"/>
  <c r="AK118" i="55"/>
  <c r="AL114" i="55"/>
  <c r="AU114" i="55" s="1"/>
  <c r="AP114" i="55"/>
  <c r="AT114" i="55"/>
  <c r="H114" i="55"/>
  <c r="AC114" i="55" s="1"/>
  <c r="AQ114" i="55"/>
  <c r="AO114" i="55"/>
  <c r="AS114" i="55"/>
  <c r="AM113" i="55"/>
  <c r="V112" i="55"/>
  <c r="AD112" i="55"/>
  <c r="AK106" i="55"/>
  <c r="V94" i="55"/>
  <c r="AD94" i="55"/>
  <c r="AK116" i="55"/>
  <c r="V113" i="55"/>
  <c r="AN113" i="55"/>
  <c r="AC113" i="55"/>
  <c r="AD113" i="55"/>
  <c r="AR98" i="55"/>
  <c r="H131" i="55"/>
  <c r="AK115" i="55"/>
  <c r="AR114" i="55"/>
  <c r="AM114" i="55"/>
  <c r="AK110" i="55"/>
  <c r="V96" i="55"/>
  <c r="AD96" i="55"/>
  <c r="AL113" i="55"/>
  <c r="AU113" i="55" s="1"/>
  <c r="AK108" i="55"/>
  <c r="W100" i="55"/>
  <c r="X100" i="55" s="1"/>
  <c r="Y100" i="55" s="1"/>
  <c r="Z100" i="55" s="1"/>
  <c r="AO100" i="55"/>
  <c r="Z99" i="55"/>
  <c r="Z88" i="55"/>
  <c r="AA88" i="55" s="1"/>
  <c r="AT88" i="55" s="1"/>
  <c r="AR88" i="55"/>
  <c r="AB113" i="55"/>
  <c r="AK113" i="55" s="1"/>
  <c r="AD101" i="55"/>
  <c r="H98" i="55"/>
  <c r="AC98" i="55" s="1"/>
  <c r="AB96" i="55"/>
  <c r="AK96" i="55" s="1"/>
  <c r="AC94" i="55"/>
  <c r="AC90" i="55"/>
  <c r="AN87" i="55"/>
  <c r="V87" i="55"/>
  <c r="AL87" i="55"/>
  <c r="AU87" i="55" s="1"/>
  <c r="H100" i="55"/>
  <c r="V97" i="55"/>
  <c r="AD97" i="55"/>
  <c r="AN93" i="55"/>
  <c r="V93" i="55"/>
  <c r="AL93" i="55"/>
  <c r="AU93" i="55" s="1"/>
  <c r="V89" i="55"/>
  <c r="AD89" i="55"/>
  <c r="V101" i="55"/>
  <c r="AN100" i="55"/>
  <c r="AP99" i="55"/>
  <c r="H99" i="55"/>
  <c r="AB99" i="55" s="1"/>
  <c r="AK99" i="55" s="1"/>
  <c r="AM99" i="55"/>
  <c r="AC96" i="55"/>
  <c r="AB94" i="55"/>
  <c r="AK94" i="55" s="1"/>
  <c r="H92" i="55"/>
  <c r="AM92" i="55"/>
  <c r="AQ92" i="55"/>
  <c r="AO92" i="55"/>
  <c r="AL92" i="55"/>
  <c r="AU92" i="55" s="1"/>
  <c r="AP92" i="55"/>
  <c r="AT92" i="55"/>
  <c r="V90" i="55"/>
  <c r="AD90" i="55"/>
  <c r="AC89" i="55"/>
  <c r="AL100" i="55"/>
  <c r="AU100" i="55" s="1"/>
  <c r="AM100" i="55"/>
  <c r="AO98" i="55"/>
  <c r="AL98" i="55"/>
  <c r="AU98" i="55" s="1"/>
  <c r="AP98" i="55"/>
  <c r="AD95" i="55"/>
  <c r="AL91" i="55"/>
  <c r="AU91" i="55" s="1"/>
  <c r="T91" i="55"/>
  <c r="AC91" i="55" s="1"/>
  <c r="AB89" i="55"/>
  <c r="AK89" i="55" s="1"/>
  <c r="H88" i="55"/>
  <c r="AC88" i="55" s="1"/>
  <c r="AM88" i="55"/>
  <c r="AQ88" i="55"/>
  <c r="AO88" i="55"/>
  <c r="AL88" i="55"/>
  <c r="AU88" i="55" s="1"/>
  <c r="AP88" i="55"/>
  <c r="AN86" i="55"/>
  <c r="V86" i="55"/>
  <c r="W86" i="55" s="1"/>
  <c r="X86" i="55" s="1"/>
  <c r="Y86" i="55" s="1"/>
  <c r="AH86" i="55" s="1"/>
  <c r="AB86" i="55"/>
  <c r="AK86" i="55" s="1"/>
  <c r="AD86" i="55"/>
  <c r="U84" i="55"/>
  <c r="AM84" i="55"/>
  <c r="Z81" i="55"/>
  <c r="AR81" i="55"/>
  <c r="AM93" i="55"/>
  <c r="H93" i="55"/>
  <c r="AB93" i="55" s="1"/>
  <c r="AK93" i="55" s="1"/>
  <c r="AM87" i="55"/>
  <c r="H87" i="55"/>
  <c r="AL86" i="55"/>
  <c r="AU86" i="55" s="1"/>
  <c r="AL84" i="55"/>
  <c r="AU84" i="55" s="1"/>
  <c r="H81" i="55"/>
  <c r="AM81" i="55"/>
  <c r="AQ81" i="55"/>
  <c r="AD80" i="55"/>
  <c r="AR79" i="55"/>
  <c r="AP77" i="55"/>
  <c r="AT77" i="55"/>
  <c r="H77" i="55"/>
  <c r="AB77" i="55" s="1"/>
  <c r="AK77" i="55" s="1"/>
  <c r="AN77" i="55"/>
  <c r="AS77" i="55"/>
  <c r="AQ77" i="55"/>
  <c r="AM77" i="55"/>
  <c r="AR77" i="55"/>
  <c r="T85" i="55"/>
  <c r="AO81" i="55"/>
  <c r="AB80" i="55"/>
  <c r="AK80" i="55" s="1"/>
  <c r="AC80" i="55"/>
  <c r="AL79" i="55"/>
  <c r="AU79" i="55" s="1"/>
  <c r="U73" i="55"/>
  <c r="AD73" i="55" s="1"/>
  <c r="AM73" i="55"/>
  <c r="AC73" i="55"/>
  <c r="H79" i="55"/>
  <c r="AM79" i="55"/>
  <c r="AQ79" i="55"/>
  <c r="AO79" i="55"/>
  <c r="AS79" i="55"/>
  <c r="AT79" i="55"/>
  <c r="H74" i="55"/>
  <c r="AC74" i="55" s="1"/>
  <c r="AQ74" i="55"/>
  <c r="AO74" i="55"/>
  <c r="AS74" i="55"/>
  <c r="AP74" i="55"/>
  <c r="AL74" i="55"/>
  <c r="AU74" i="55" s="1"/>
  <c r="AT74" i="55"/>
  <c r="AN74" i="55"/>
  <c r="AM86" i="55"/>
  <c r="AB84" i="55"/>
  <c r="AK84" i="55" s="1"/>
  <c r="AC84" i="55"/>
  <c r="V83" i="55"/>
  <c r="AD83" i="55"/>
  <c r="H78" i="55"/>
  <c r="AQ78" i="55"/>
  <c r="AN78" i="55"/>
  <c r="AS78" i="55"/>
  <c r="AP78" i="55"/>
  <c r="AR78" i="55"/>
  <c r="AD76" i="55"/>
  <c r="V76" i="55"/>
  <c r="AR74" i="55"/>
  <c r="V71" i="55"/>
  <c r="AD71" i="55"/>
  <c r="AL78" i="55"/>
  <c r="AU78" i="55" s="1"/>
  <c r="AM78" i="55"/>
  <c r="AD75" i="55"/>
  <c r="AM74" i="55"/>
  <c r="AL73" i="55"/>
  <c r="AU73" i="55" s="1"/>
  <c r="AL77" i="55"/>
  <c r="AU77" i="55" s="1"/>
  <c r="V72" i="55"/>
  <c r="AD72" i="55"/>
  <c r="AN75" i="55"/>
  <c r="V75" i="55"/>
  <c r="AC72" i="55"/>
  <c r="AK67" i="55"/>
  <c r="AB54" i="55"/>
  <c r="AK54" i="55" s="1"/>
  <c r="AP53" i="55"/>
  <c r="AT53" i="55"/>
  <c r="H53" i="55"/>
  <c r="AM53" i="55"/>
  <c r="AQ53" i="55"/>
  <c r="AB73" i="55"/>
  <c r="AK73" i="55" s="1"/>
  <c r="AE54" i="55"/>
  <c r="AI54" i="55"/>
  <c r="AF54" i="55"/>
  <c r="AJ54" i="55"/>
  <c r="AO52" i="55"/>
  <c r="AS52" i="55"/>
  <c r="AL52" i="55"/>
  <c r="AU52" i="55" s="1"/>
  <c r="AP52" i="55"/>
  <c r="AT52" i="55"/>
  <c r="H52" i="55"/>
  <c r="AK62" i="55"/>
  <c r="AB59" i="55"/>
  <c r="AK59" i="55" s="1"/>
  <c r="AG54" i="55"/>
  <c r="AL53" i="55"/>
  <c r="AU53" i="55" s="1"/>
  <c r="AN52" i="55"/>
  <c r="AF51" i="55"/>
  <c r="AJ51" i="55"/>
  <c r="AK50" i="55"/>
  <c r="AI51" i="55"/>
  <c r="AD51" i="55"/>
  <c r="AB51" i="55"/>
  <c r="AK51" i="55" s="1"/>
  <c r="AK48" i="55"/>
  <c r="V34" i="55"/>
  <c r="AD34" i="55"/>
  <c r="AQ54" i="55"/>
  <c r="AM51" i="55"/>
  <c r="AH51" i="55"/>
  <c r="AK41" i="55"/>
  <c r="AK37" i="55"/>
  <c r="H35" i="55"/>
  <c r="AB35" i="55" s="1"/>
  <c r="AK35" i="55" s="1"/>
  <c r="AK31" i="55"/>
  <c r="AK32" i="55"/>
  <c r="AC21" i="55"/>
  <c r="AM20" i="55"/>
  <c r="AK24" i="55"/>
  <c r="AR23" i="55"/>
  <c r="AM23" i="55"/>
  <c r="AL23" i="55"/>
  <c r="AU23" i="55" s="1"/>
  <c r="U22" i="55"/>
  <c r="AD22" i="55" s="1"/>
  <c r="AM22" i="55"/>
  <c r="AC22" i="55"/>
  <c r="AP23" i="55"/>
  <c r="AT23" i="55"/>
  <c r="H23" i="55"/>
  <c r="AQ23" i="55"/>
  <c r="AO23" i="55"/>
  <c r="AS23" i="55"/>
  <c r="AN21" i="55"/>
  <c r="V21" i="55"/>
  <c r="AO21" i="55" s="1"/>
  <c r="AD21" i="55"/>
  <c r="U20" i="55"/>
  <c r="AC20" i="55"/>
  <c r="AB22" i="55"/>
  <c r="AK22" i="55" s="1"/>
  <c r="AM21" i="55"/>
  <c r="AL20" i="55"/>
  <c r="AU20" i="55" s="1"/>
  <c r="T19" i="55"/>
  <c r="U19" i="55" s="1"/>
  <c r="AB19" i="55"/>
  <c r="AK19" i="55" s="1"/>
  <c r="AK16" i="55"/>
  <c r="AK17" i="55"/>
  <c r="AK15" i="55"/>
  <c r="AK11" i="55"/>
  <c r="DO12" i="55"/>
  <c r="EQ18" i="55"/>
  <c r="BS25" i="55"/>
  <c r="FC34" i="55"/>
  <c r="BO23" i="55"/>
  <c r="BR35" i="55"/>
  <c r="DL43" i="55"/>
  <c r="BS13" i="55"/>
  <c r="BV19" i="55"/>
  <c r="FD20" i="55"/>
  <c r="BT34" i="55"/>
  <c r="DM37" i="55"/>
  <c r="BT46" i="55"/>
  <c r="BP12" i="55"/>
  <c r="BP18" i="55"/>
  <c r="BU24" i="55"/>
  <c r="BS34" i="55"/>
  <c r="DI33" i="55"/>
  <c r="BQ33" i="55"/>
  <c r="BO43" i="55"/>
  <c r="DM55" i="55"/>
  <c r="BS57" i="55"/>
  <c r="FC11" i="55"/>
  <c r="DO36" i="55"/>
  <c r="BU56" i="55"/>
  <c r="BU46" i="55"/>
  <c r="BO54" i="55"/>
  <c r="BS54" i="55"/>
  <c r="FD75" i="55"/>
  <c r="DJ88" i="55"/>
  <c r="DN8" i="55"/>
  <c r="BR11" i="55"/>
  <c r="BO19" i="55"/>
  <c r="BT29" i="55"/>
  <c r="EQ28" i="55"/>
  <c r="BS46" i="55"/>
  <c r="DH36" i="55"/>
  <c r="BS45" i="55"/>
  <c r="DM58" i="55"/>
  <c r="DJ74" i="55"/>
  <c r="BO71" i="55"/>
  <c r="BP80" i="55"/>
  <c r="DL82" i="55"/>
  <c r="BW86" i="55"/>
  <c r="BR16" i="55"/>
  <c r="FD24" i="55"/>
  <c r="DK34" i="55"/>
  <c r="FD65" i="55"/>
  <c r="DH59" i="55"/>
  <c r="FE53" i="55"/>
  <c r="EQ66" i="55"/>
  <c r="BP76" i="55"/>
  <c r="BO82" i="55"/>
  <c r="DK14" i="55"/>
  <c r="DM10" i="55"/>
  <c r="DL9" i="55"/>
  <c r="DL24" i="55"/>
  <c r="BW26" i="55"/>
  <c r="DO37" i="55"/>
  <c r="BT36" i="55"/>
  <c r="BS58" i="55"/>
  <c r="BW30" i="55"/>
  <c r="BV49" i="55"/>
  <c r="DG56" i="55"/>
  <c r="BP73" i="55"/>
  <c r="BR69" i="55"/>
  <c r="DO78" i="55"/>
  <c r="BV80" i="55"/>
  <c r="FD84" i="55"/>
  <c r="DI14" i="55"/>
  <c r="DN20" i="55"/>
  <c r="FE21" i="55"/>
  <c r="BQ35" i="55"/>
  <c r="DN38" i="55"/>
  <c r="BO47" i="55"/>
  <c r="EQ45" i="55"/>
  <c r="DM67" i="55"/>
  <c r="DN47" i="55"/>
  <c r="DL55" i="55"/>
  <c r="BO56" i="55"/>
  <c r="BU27" i="55"/>
  <c r="FC43" i="55"/>
  <c r="BV50" i="55"/>
  <c r="BP70" i="55"/>
  <c r="FC74" i="55"/>
  <c r="FE77" i="55"/>
  <c r="BW90" i="55"/>
  <c r="BT93" i="55"/>
  <c r="BU93" i="55"/>
  <c r="DL113" i="55"/>
  <c r="BW117" i="55"/>
  <c r="BU103" i="55"/>
  <c r="DI115" i="55"/>
  <c r="DL111" i="55"/>
  <c r="EQ141" i="55"/>
  <c r="FC46" i="55"/>
  <c r="DG51" i="55"/>
  <c r="DH64" i="55"/>
  <c r="DK59" i="55"/>
  <c r="BV72" i="55"/>
  <c r="DH80" i="55"/>
  <c r="BO73" i="55"/>
  <c r="FD102" i="55"/>
  <c r="BP97" i="55"/>
  <c r="DO102" i="55"/>
  <c r="DI101" i="55"/>
  <c r="DN112" i="55"/>
  <c r="BQ128" i="55"/>
  <c r="BR128" i="55"/>
  <c r="BT112" i="55"/>
  <c r="DL14" i="55"/>
  <c r="BQ39" i="55"/>
  <c r="DM59" i="55"/>
  <c r="BO45" i="55"/>
  <c r="DG55" i="55"/>
  <c r="BW75" i="55"/>
  <c r="BW84" i="55"/>
  <c r="DO82" i="55"/>
  <c r="BS22" i="55"/>
  <c r="DO39" i="55"/>
  <c r="BU60" i="55"/>
  <c r="EQ49" i="55"/>
  <c r="DI9" i="55"/>
  <c r="EQ15" i="55"/>
  <c r="DI21" i="55"/>
  <c r="DJ29" i="55"/>
  <c r="DN30" i="55"/>
  <c r="DO41" i="55"/>
  <c r="DG40" i="55"/>
  <c r="EQ19" i="55"/>
  <c r="BV13" i="55"/>
  <c r="DM27" i="55"/>
  <c r="BR27" i="55"/>
  <c r="BW44" i="55"/>
  <c r="FE35" i="55"/>
  <c r="EQ8" i="55"/>
  <c r="BP15" i="55"/>
  <c r="DL20" i="55"/>
  <c r="DL28" i="55"/>
  <c r="FC29" i="55"/>
  <c r="BR41" i="55"/>
  <c r="EQ39" i="55"/>
  <c r="DO61" i="55"/>
  <c r="DJ63" i="55"/>
  <c r="BO14" i="55"/>
  <c r="DG45" i="55"/>
  <c r="EQ63" i="55"/>
  <c r="FD54" i="55"/>
  <c r="BV65" i="55"/>
  <c r="FD64" i="55"/>
  <c r="FE73" i="55"/>
  <c r="BS79" i="55"/>
  <c r="BP13" i="55"/>
  <c r="FD18" i="55"/>
  <c r="BW25" i="55"/>
  <c r="BP35" i="55"/>
  <c r="DI23" i="55"/>
  <c r="FE15" i="55"/>
  <c r="BW40" i="55"/>
  <c r="BV57" i="55"/>
  <c r="BR50" i="55"/>
  <c r="BQ55" i="55"/>
  <c r="DH55" i="55"/>
  <c r="EQ76" i="55"/>
  <c r="DG89" i="55"/>
  <c r="BW9" i="55"/>
  <c r="EQ11" i="55"/>
  <c r="DL26" i="55"/>
  <c r="BR44" i="55"/>
  <c r="DH51" i="55"/>
  <c r="FC68" i="55"/>
  <c r="FC63" i="55"/>
  <c r="DL71" i="55"/>
  <c r="DJ82" i="55"/>
  <c r="BR80" i="55"/>
  <c r="BQ9" i="55"/>
  <c r="EQ17" i="55"/>
  <c r="DL10" i="55"/>
  <c r="BV31" i="55"/>
  <c r="FD33" i="55"/>
  <c r="DG43" i="55"/>
  <c r="BR42" i="55"/>
  <c r="BR10" i="55"/>
  <c r="DJ31" i="55"/>
  <c r="BO55" i="55"/>
  <c r="FE41" i="55"/>
  <c r="DN52" i="55"/>
  <c r="DJ52" i="55"/>
  <c r="BT75" i="55"/>
  <c r="EQ87" i="55"/>
  <c r="BO8" i="55"/>
  <c r="FE9" i="55"/>
  <c r="BO16" i="55"/>
  <c r="DG28" i="55"/>
  <c r="BP28" i="55"/>
  <c r="BU45" i="55"/>
  <c r="BR37" i="55"/>
  <c r="DO49" i="55"/>
  <c r="BO51" i="55"/>
  <c r="BU58" i="55"/>
  <c r="BO53" i="55"/>
  <c r="BT66" i="55"/>
  <c r="DN28" i="55"/>
  <c r="DG46" i="55"/>
  <c r="EQ58" i="55"/>
  <c r="DJ78" i="55"/>
  <c r="BS65" i="55"/>
  <c r="BU76" i="55"/>
  <c r="BT82" i="55"/>
  <c r="BP99" i="55"/>
  <c r="DN99" i="55"/>
  <c r="EQ96" i="55"/>
  <c r="DO95" i="55"/>
  <c r="BV109" i="55"/>
  <c r="BQ11" i="55"/>
  <c r="BR12" i="55"/>
  <c r="BS19" i="55"/>
  <c r="DN32" i="55"/>
  <c r="FD35" i="55"/>
  <c r="EQ44" i="55"/>
  <c r="BP8" i="55"/>
  <c r="BV12" i="55"/>
  <c r="DK20" i="55"/>
  <c r="DG30" i="55"/>
  <c r="BP30" i="55"/>
  <c r="DH47" i="55"/>
  <c r="BV39" i="55"/>
  <c r="DH10" i="55"/>
  <c r="BV18" i="55"/>
  <c r="BT15" i="55"/>
  <c r="FC31" i="55"/>
  <c r="DO34" i="55"/>
  <c r="BP44" i="55"/>
  <c r="DK42" i="55"/>
  <c r="DG64" i="55"/>
  <c r="FE48" i="55"/>
  <c r="EQ22" i="55"/>
  <c r="DH41" i="55"/>
  <c r="BR68" i="55"/>
  <c r="DG62" i="55"/>
  <c r="DH56" i="55"/>
  <c r="BS69" i="55"/>
  <c r="BO78" i="55"/>
  <c r="FC83" i="55"/>
  <c r="BT16" i="55"/>
  <c r="BR13" i="55"/>
  <c r="FE16" i="55"/>
  <c r="DH26" i="55"/>
  <c r="FC27" i="55"/>
  <c r="DJ19" i="55"/>
  <c r="BV36" i="55"/>
  <c r="BR61" i="55"/>
  <c r="DG50" i="55"/>
  <c r="DL60" i="55"/>
  <c r="BT61" i="55"/>
  <c r="DN67" i="55"/>
  <c r="BU92" i="55"/>
  <c r="DK10" i="55"/>
  <c r="DH16" i="55"/>
  <c r="BQ27" i="55"/>
  <c r="DO47" i="55"/>
  <c r="DJ55" i="55"/>
  <c r="BW72" i="55"/>
  <c r="BP68" i="55"/>
  <c r="DK77" i="55"/>
  <c r="FE78" i="55"/>
  <c r="FD83" i="55"/>
  <c r="DJ13" i="55"/>
  <c r="DH19" i="55"/>
  <c r="BQ21" i="55"/>
  <c r="DI34" i="55"/>
  <c r="FC37" i="55"/>
  <c r="DI46" i="55"/>
  <c r="BP45" i="55"/>
  <c r="DN11" i="55"/>
  <c r="DL46" i="55"/>
  <c r="DI59" i="55"/>
  <c r="FE44" i="55"/>
  <c r="FD57" i="55"/>
  <c r="DG58" i="55"/>
  <c r="DL78" i="55"/>
  <c r="FC90" i="55"/>
  <c r="BP9" i="55"/>
  <c r="BU13" i="55"/>
  <c r="DH21" i="55"/>
  <c r="DG31" i="55"/>
  <c r="FD30" i="55"/>
  <c r="DJ48" i="55"/>
  <c r="BU40" i="55"/>
  <c r="FC52" i="55"/>
  <c r="BR54" i="55"/>
  <c r="DI64" i="55"/>
  <c r="FE57" i="55"/>
  <c r="DI70" i="55"/>
  <c r="DN43" i="55"/>
  <c r="DM50" i="55"/>
  <c r="DN62" i="55"/>
  <c r="BV58" i="55"/>
  <c r="DJ71" i="55"/>
  <c r="DO79" i="55"/>
  <c r="BV69" i="55"/>
  <c r="BT102" i="55"/>
  <c r="FE95" i="55"/>
  <c r="FC101" i="55"/>
  <c r="DK100" i="55"/>
  <c r="FD111" i="55"/>
  <c r="DI127" i="55"/>
  <c r="BP127" i="55"/>
  <c r="BU22" i="55"/>
  <c r="BV48" i="55"/>
  <c r="BR66" i="55"/>
  <c r="BO60" i="55"/>
  <c r="DH66" i="55"/>
  <c r="DN81" i="55"/>
  <c r="BP85" i="55"/>
  <c r="BO88" i="55"/>
  <c r="BP88" i="55"/>
  <c r="DJ108" i="55"/>
  <c r="BO112" i="55"/>
  <c r="BW94" i="55"/>
  <c r="BU122" i="55"/>
  <c r="BO137" i="55"/>
  <c r="DK136" i="55"/>
  <c r="DG126" i="55"/>
  <c r="FD32" i="55"/>
  <c r="BO41" i="55"/>
  <c r="DJ44" i="55"/>
  <c r="BW67" i="55"/>
  <c r="DJ72" i="55"/>
  <c r="BT76" i="55"/>
  <c r="DN88" i="55"/>
  <c r="DO91" i="55"/>
  <c r="BW23" i="55"/>
  <c r="DL41" i="55"/>
  <c r="BW48" i="55"/>
  <c r="BW18" i="55"/>
  <c r="BT24" i="55"/>
  <c r="DN25" i="55"/>
  <c r="BV25" i="55"/>
  <c r="DL42" i="55"/>
  <c r="FC32" i="55"/>
  <c r="DG14" i="55"/>
  <c r="BW10" i="55"/>
  <c r="DN26" i="55"/>
  <c r="BR24" i="55"/>
  <c r="BR26" i="55"/>
  <c r="DI37" i="55"/>
  <c r="FC35" i="55"/>
  <c r="DN17" i="55"/>
  <c r="DG23" i="55"/>
  <c r="DK24" i="55"/>
  <c r="BS24" i="55"/>
  <c r="BO42" i="55"/>
  <c r="DM49" i="55"/>
  <c r="DM48" i="55"/>
  <c r="BV70" i="55"/>
  <c r="FE51" i="55"/>
  <c r="EQ32" i="55"/>
  <c r="BV46" i="55"/>
  <c r="FD52" i="55"/>
  <c r="FC70" i="55"/>
  <c r="BS66" i="55"/>
  <c r="BQ75" i="55"/>
  <c r="BS84" i="55"/>
  <c r="DI82" i="55"/>
  <c r="BV11" i="55"/>
  <c r="DI12" i="55"/>
  <c r="DG19" i="55"/>
  <c r="BO33" i="55"/>
  <c r="BP36" i="55"/>
  <c r="FC25" i="55"/>
  <c r="BQ34" i="55"/>
  <c r="DO68" i="55"/>
  <c r="BT64" i="55"/>
  <c r="EQ57" i="55"/>
  <c r="BT70" i="55"/>
  <c r="FC78" i="55"/>
  <c r="BQ85" i="55"/>
  <c r="FD16" i="55"/>
  <c r="EQ16" i="55"/>
  <c r="DJ28" i="55"/>
  <c r="BQ54" i="55"/>
  <c r="BW64" i="55"/>
  <c r="BU78" i="55"/>
  <c r="DL74" i="55"/>
  <c r="BT74" i="55"/>
  <c r="BS87" i="55"/>
  <c r="FD89" i="55"/>
  <c r="FD19" i="55"/>
  <c r="DM13" i="55"/>
  <c r="EQ27" i="55"/>
  <c r="BV27" i="55"/>
  <c r="DH44" i="55"/>
  <c r="BR36" i="55"/>
  <c r="FE46" i="55"/>
  <c r="FE19" i="55"/>
  <c r="DH38" i="55"/>
  <c r="DK66" i="55"/>
  <c r="EQ60" i="55"/>
  <c r="BR55" i="55"/>
  <c r="DK67" i="55"/>
  <c r="BO77" i="55"/>
  <c r="FD82" i="55"/>
  <c r="DG15" i="55"/>
  <c r="DL11" i="55"/>
  <c r="DM15" i="55"/>
  <c r="DJ25" i="55"/>
  <c r="BS27" i="55"/>
  <c r="BV38" i="55"/>
  <c r="FE36" i="55"/>
  <c r="FC58" i="55"/>
  <c r="DG60" i="55"/>
  <c r="DO71" i="55"/>
  <c r="BU67" i="55"/>
  <c r="BW12" i="55"/>
  <c r="BP42" i="55"/>
  <c r="BV61" i="55"/>
  <c r="DL50" i="55"/>
  <c r="BR59" i="55"/>
  <c r="BP78" i="55"/>
  <c r="BO79" i="55"/>
  <c r="BR84" i="55"/>
  <c r="DI84" i="55"/>
  <c r="FE104" i="55"/>
  <c r="BV108" i="55"/>
  <c r="BQ107" i="55"/>
  <c r="BW118" i="55"/>
  <c r="BV133" i="55"/>
  <c r="BW133" i="55"/>
  <c r="DH30" i="55"/>
  <c r="DN34" i="55"/>
  <c r="DL51" i="55"/>
  <c r="BQ71" i="55"/>
  <c r="BR53" i="55"/>
  <c r="BP79" i="55"/>
  <c r="BP91" i="55"/>
  <c r="FD93" i="55"/>
  <c r="BV94" i="55"/>
  <c r="DI114" i="55"/>
  <c r="BQ118" i="55"/>
  <c r="BT104" i="55"/>
  <c r="FE116" i="55"/>
  <c r="DK114" i="55"/>
  <c r="DG142" i="55"/>
  <c r="BW132" i="55"/>
  <c r="BR32" i="55"/>
  <c r="DM43" i="55"/>
  <c r="DK56" i="55"/>
  <c r="BW76" i="55"/>
  <c r="DL62" i="55"/>
  <c r="BV74" i="55"/>
  <c r="DM79" i="55"/>
  <c r="DO97" i="55"/>
  <c r="DG25" i="55"/>
  <c r="BV44" i="55"/>
  <c r="BP58" i="55"/>
  <c r="DJ8" i="55"/>
  <c r="FE10" i="55"/>
  <c r="BQ18" i="55"/>
  <c r="BP29" i="55"/>
  <c r="DM28" i="55"/>
  <c r="BO46" i="55"/>
  <c r="FE37" i="55"/>
  <c r="BR8" i="55"/>
  <c r="BV14" i="55"/>
  <c r="BO20" i="55"/>
  <c r="BO28" i="55"/>
  <c r="BS29" i="55"/>
  <c r="DI40" i="55"/>
  <c r="BS39" i="55"/>
  <c r="DH9" i="55"/>
  <c r="DH15" i="55"/>
  <c r="BV28" i="55"/>
  <c r="DO27" i="55"/>
  <c r="BQ45" i="55"/>
  <c r="FD36" i="55"/>
  <c r="BS48" i="55"/>
  <c r="EQ50" i="55"/>
  <c r="DM57" i="55"/>
  <c r="DH33" i="55"/>
  <c r="FE38" i="55"/>
  <c r="FC57" i="55"/>
  <c r="EQ73" i="55"/>
  <c r="FC69" i="55"/>
  <c r="BV79" i="55"/>
  <c r="DO81" i="55"/>
  <c r="DK85" i="55"/>
  <c r="BR15" i="55"/>
  <c r="DG21" i="55"/>
  <c r="DK22" i="55"/>
  <c r="BO36" i="55"/>
  <c r="DN39" i="55"/>
  <c r="BT23" i="55"/>
  <c r="DI43" i="55"/>
  <c r="BP50" i="55"/>
  <c r="FC67" i="55"/>
  <c r="DK62" i="55"/>
  <c r="DI68" i="55"/>
  <c r="EQ81" i="55"/>
  <c r="BR77" i="55"/>
  <c r="BV10" i="55"/>
  <c r="BP19" i="55"/>
  <c r="DJ43" i="55"/>
  <c r="BO58" i="55"/>
  <c r="BP51" i="55"/>
  <c r="DM56" i="55"/>
  <c r="EQ56" i="55"/>
  <c r="DN77" i="55"/>
  <c r="BS90" i="55"/>
  <c r="BT8" i="55"/>
  <c r="DH12" i="55"/>
  <c r="DO20" i="55"/>
  <c r="DK30" i="55"/>
  <c r="BT30" i="55"/>
  <c r="DL47" i="55"/>
  <c r="DH39" i="55"/>
  <c r="BS52" i="55"/>
  <c r="BQ22" i="55"/>
  <c r="BT41" i="55"/>
  <c r="BU44" i="55"/>
  <c r="BP66" i="55"/>
  <c r="BS60" i="55"/>
  <c r="BR72" i="55"/>
  <c r="BW80" i="55"/>
  <c r="BT72" i="55"/>
  <c r="FD8" i="55"/>
  <c r="BV15" i="55"/>
  <c r="FC20" i="55"/>
  <c r="FC28" i="55"/>
  <c r="BQ30" i="55"/>
  <c r="BV41" i="55"/>
  <c r="FD39" i="55"/>
  <c r="BP62" i="55"/>
  <c r="DN63" i="55"/>
  <c r="DN74" i="55"/>
  <c r="BS71" i="55"/>
  <c r="BR19" i="55"/>
  <c r="DM47" i="55"/>
  <c r="DI65" i="55"/>
  <c r="DL56" i="55"/>
  <c r="DG65" i="55"/>
  <c r="FD80" i="55"/>
  <c r="BP84" i="55"/>
  <c r="BU87" i="55"/>
  <c r="BV87" i="55"/>
  <c r="DL107" i="55"/>
  <c r="BU111" i="55"/>
  <c r="FE92" i="55"/>
  <c r="DH121" i="55"/>
  <c r="BU136" i="55"/>
  <c r="FD135" i="55"/>
  <c r="DG29" i="55"/>
  <c r="DI41" i="55"/>
  <c r="DN55" i="55"/>
  <c r="DK75" i="55"/>
  <c r="BT60" i="55"/>
  <c r="FE72" i="55"/>
  <c r="DM74" i="55"/>
  <c r="BR97" i="55"/>
  <c r="DH97" i="55"/>
  <c r="BQ91" i="55"/>
  <c r="FE90" i="55"/>
  <c r="BR107" i="55"/>
  <c r="BV121" i="55"/>
  <c r="BR120" i="55"/>
  <c r="DG145" i="55"/>
  <c r="BT135" i="55"/>
  <c r="BO37" i="55"/>
  <c r="DG49" i="55"/>
  <c r="BS61" i="55"/>
  <c r="BW54" i="55"/>
  <c r="BQ68" i="55"/>
  <c r="BT78" i="55"/>
  <c r="BQ84" i="55"/>
  <c r="DJ100" i="55"/>
  <c r="DH40" i="55"/>
  <c r="FE39" i="55"/>
  <c r="FC61" i="55"/>
  <c r="FE12" i="55"/>
  <c r="BW31" i="55"/>
  <c r="BT11" i="55"/>
  <c r="DM23" i="55"/>
  <c r="BV43" i="55"/>
  <c r="DJ20" i="55"/>
  <c r="BO27" i="55"/>
  <c r="DL52" i="55"/>
  <c r="BT20" i="55"/>
  <c r="DN49" i="55"/>
  <c r="BQ70" i="55"/>
  <c r="DM9" i="55"/>
  <c r="BT32" i="55"/>
  <c r="DM35" i="55"/>
  <c r="BP56" i="55"/>
  <c r="EQ72" i="55"/>
  <c r="BO12" i="55"/>
  <c r="DH50" i="55"/>
  <c r="FE58" i="55"/>
  <c r="BV93" i="55"/>
  <c r="FC22" i="55"/>
  <c r="BW29" i="55"/>
  <c r="BS55" i="55"/>
  <c r="BS63" i="55"/>
  <c r="BU72" i="55"/>
  <c r="BW81" i="55"/>
  <c r="DJ24" i="55"/>
  <c r="BS42" i="55"/>
  <c r="DK64" i="55"/>
  <c r="FE62" i="55"/>
  <c r="DK40" i="55"/>
  <c r="BS70" i="55"/>
  <c r="DG80" i="55"/>
  <c r="DG88" i="55"/>
  <c r="DN124" i="55"/>
  <c r="DO138" i="55"/>
  <c r="BU47" i="55"/>
  <c r="FE52" i="55"/>
  <c r="BU77" i="55"/>
  <c r="EQ99" i="55"/>
  <c r="BU98" i="55"/>
  <c r="BP110" i="55"/>
  <c r="BR124" i="55"/>
  <c r="DI116" i="55"/>
  <c r="DM53" i="55"/>
  <c r="DH62" i="55"/>
  <c r="BT81" i="55"/>
  <c r="DI103" i="55"/>
  <c r="BU54" i="55"/>
  <c r="BT73" i="55"/>
  <c r="BU57" i="55"/>
  <c r="FE67" i="55"/>
  <c r="DJ92" i="55"/>
  <c r="DI95" i="55"/>
  <c r="BR96" i="55"/>
  <c r="DO115" i="55"/>
  <c r="BR86" i="55"/>
  <c r="DK105" i="55"/>
  <c r="DG119" i="55"/>
  <c r="DI117" i="55"/>
  <c r="BP144" i="55"/>
  <c r="EQ133" i="55"/>
  <c r="EQ138" i="55"/>
  <c r="DO106" i="55"/>
  <c r="DN131" i="55"/>
  <c r="BP128" i="55"/>
  <c r="DN143" i="55"/>
  <c r="FE133" i="55"/>
  <c r="DH142" i="55"/>
  <c r="EQ153" i="55"/>
  <c r="DM172" i="55"/>
  <c r="DI10" i="55"/>
  <c r="BW17" i="55"/>
  <c r="DJ22" i="55"/>
  <c r="DL30" i="55"/>
  <c r="FE31" i="55"/>
  <c r="FD42" i="55"/>
  <c r="DM41" i="55"/>
  <c r="DI63" i="55"/>
  <c r="DO107" i="55"/>
  <c r="BV21" i="55"/>
  <c r="DL27" i="55"/>
  <c r="DH8" i="55"/>
  <c r="DG33" i="55"/>
  <c r="DO48" i="55"/>
  <c r="BW21" i="55"/>
  <c r="DJ38" i="55"/>
  <c r="DL58" i="55"/>
  <c r="FD31" i="55"/>
  <c r="BR67" i="55"/>
  <c r="DN79" i="55"/>
  <c r="DH18" i="55"/>
  <c r="DN29" i="55"/>
  <c r="BR25" i="55"/>
  <c r="DK71" i="55"/>
  <c r="BP75" i="55"/>
  <c r="BT19" i="55"/>
  <c r="DM62" i="55"/>
  <c r="DM71" i="55"/>
  <c r="FE85" i="55"/>
  <c r="DL23" i="55"/>
  <c r="BU41" i="55"/>
  <c r="BS9" i="55"/>
  <c r="BT52" i="55"/>
  <c r="DG63" i="55"/>
  <c r="DO87" i="55"/>
  <c r="DO16" i="55"/>
  <c r="FE33" i="55"/>
  <c r="DG70" i="55"/>
  <c r="BS74" i="55"/>
  <c r="DJ56" i="55"/>
  <c r="DO58" i="55"/>
  <c r="BQ90" i="55"/>
  <c r="DI105" i="55"/>
  <c r="DI120" i="55"/>
  <c r="BQ17" i="55"/>
  <c r="DG57" i="55"/>
  <c r="BP54" i="55"/>
  <c r="DK83" i="55"/>
  <c r="DJ80" i="55"/>
  <c r="BR106" i="55"/>
  <c r="BO116" i="55"/>
  <c r="FD130" i="55"/>
  <c r="FD22" i="55"/>
  <c r="BW63" i="55"/>
  <c r="FD61" i="55"/>
  <c r="FC81" i="55"/>
  <c r="BQ26" i="55"/>
  <c r="FD63" i="55"/>
  <c r="BP77" i="55"/>
  <c r="DO63" i="55"/>
  <c r="BU75" i="55"/>
  <c r="BV81" i="55"/>
  <c r="DH98" i="55"/>
  <c r="FD98" i="55"/>
  <c r="FC95" i="55"/>
  <c r="DH94" i="55"/>
  <c r="DM108" i="55"/>
  <c r="BV123" i="55"/>
  <c r="BR122" i="55"/>
  <c r="FD146" i="55"/>
  <c r="BO110" i="55"/>
  <c r="DK141" i="55"/>
  <c r="BP119" i="55"/>
  <c r="BU143" i="55"/>
  <c r="FC131" i="55"/>
  <c r="DM149" i="55"/>
  <c r="FE143" i="55"/>
  <c r="BO148" i="55"/>
  <c r="FC156" i="55"/>
  <c r="DK184" i="55"/>
  <c r="BU12" i="55"/>
  <c r="BP17" i="55"/>
  <c r="DM20" i="55"/>
  <c r="FC33" i="55"/>
  <c r="BT37" i="55"/>
  <c r="DO45" i="55"/>
  <c r="DG44" i="55"/>
  <c r="FC85" i="55"/>
  <c r="FC119" i="55"/>
  <c r="DL128" i="55"/>
  <c r="BP145" i="55"/>
  <c r="DJ162" i="55"/>
  <c r="BO158" i="55"/>
  <c r="FD158" i="55"/>
  <c r="EQ170" i="55"/>
  <c r="DG8" i="55"/>
  <c r="DM12" i="55"/>
  <c r="BO21" i="55"/>
  <c r="DO30" i="55"/>
  <c r="DI30" i="55"/>
  <c r="FC47" i="55"/>
  <c r="DL39" i="55"/>
  <c r="BW52" i="55"/>
  <c r="BU53" i="55"/>
  <c r="BU63" i="55"/>
  <c r="BT57" i="55"/>
  <c r="DN69" i="55"/>
  <c r="DH78" i="55"/>
  <c r="BV84" i="55"/>
  <c r="DN100" i="55"/>
  <c r="BW93" i="55"/>
  <c r="BV100" i="55"/>
  <c r="DK98" i="55"/>
  <c r="FD110" i="55"/>
  <c r="DI126" i="55"/>
  <c r="DG125" i="55"/>
  <c r="BU149" i="55"/>
  <c r="BT118" i="55"/>
  <c r="EQ143" i="55"/>
  <c r="DO92" i="55"/>
  <c r="BT126" i="55"/>
  <c r="FE99" i="55"/>
  <c r="BW149" i="55"/>
  <c r="DI169" i="55"/>
  <c r="DH163" i="55"/>
  <c r="DL138" i="55"/>
  <c r="DL177" i="55"/>
  <c r="DG12" i="55"/>
  <c r="DI18" i="55"/>
  <c r="DN24" i="55"/>
  <c r="DH34" i="55"/>
  <c r="EQ33" i="55"/>
  <c r="BU34" i="55"/>
  <c r="BW43" i="55"/>
  <c r="FD55" i="55"/>
  <c r="DH57" i="55"/>
  <c r="BP22" i="55"/>
  <c r="DJ39" i="55"/>
  <c r="DL16" i="55"/>
  <c r="BR31" i="55"/>
  <c r="BU42" i="55"/>
  <c r="BO15" i="55"/>
  <c r="BU48" i="55"/>
  <c r="DI67" i="55"/>
  <c r="FC49" i="55"/>
  <c r="FC76" i="55"/>
  <c r="BP81" i="55"/>
  <c r="FE14" i="55"/>
  <c r="DK25" i="55"/>
  <c r="BR48" i="55"/>
  <c r="DM77" i="55"/>
  <c r="FC84" i="55"/>
  <c r="DN19" i="55"/>
  <c r="DM69" i="55"/>
  <c r="BR62" i="55"/>
  <c r="BQ87" i="55"/>
  <c r="BS20" i="55"/>
  <c r="FE29" i="55"/>
  <c r="DK16" i="55"/>
  <c r="BO61" i="55"/>
  <c r="DJ73" i="55"/>
  <c r="BT12" i="55"/>
  <c r="FE24" i="55"/>
  <c r="BT44" i="55"/>
  <c r="BW57" i="55"/>
  <c r="DI61" i="55"/>
  <c r="BP69" i="55"/>
  <c r="BP72" i="55"/>
  <c r="BQ96" i="55"/>
  <c r="BQ114" i="55"/>
  <c r="DI124" i="55"/>
  <c r="BR20" i="55"/>
  <c r="EQ62" i="55"/>
  <c r="DM60" i="55"/>
  <c r="DK80" i="55"/>
  <c r="DJ16" i="55"/>
  <c r="BS49" i="55"/>
  <c r="BT17" i="55"/>
  <c r="BU37" i="55"/>
  <c r="DO8" i="55"/>
  <c r="DN21" i="55"/>
  <c r="BR38" i="55"/>
  <c r="DN53" i="55"/>
  <c r="FD41" i="55"/>
  <c r="BW59" i="55"/>
  <c r="DM85" i="55"/>
  <c r="FD15" i="55"/>
  <c r="DI31" i="55"/>
  <c r="BQ47" i="55"/>
  <c r="DO52" i="55"/>
  <c r="BU86" i="55"/>
  <c r="DN13" i="55"/>
  <c r="BU59" i="55"/>
  <c r="BT71" i="55"/>
  <c r="DG11" i="55"/>
  <c r="FD23" i="55"/>
  <c r="DM40" i="55"/>
  <c r="EQ29" i="55"/>
  <c r="DG53" i="55"/>
  <c r="DJ81" i="55"/>
  <c r="DN10" i="55"/>
  <c r="BW34" i="55"/>
  <c r="FE25" i="55"/>
  <c r="BU49" i="55"/>
  <c r="EQ13" i="55"/>
  <c r="DO54" i="55"/>
  <c r="DG74" i="55"/>
  <c r="FC77" i="55"/>
  <c r="FE88" i="55"/>
  <c r="BW130" i="55"/>
  <c r="FD29" i="55"/>
  <c r="EQ69" i="55"/>
  <c r="EQ71" i="55"/>
  <c r="FD87" i="55"/>
  <c r="BS91" i="55"/>
  <c r="BO115" i="55"/>
  <c r="DH125" i="55"/>
  <c r="DM139" i="55"/>
  <c r="DL33" i="55"/>
  <c r="DI52" i="55"/>
  <c r="DM54" i="55"/>
  <c r="EQ91" i="55"/>
  <c r="DL36" i="55"/>
  <c r="BQ53" i="55"/>
  <c r="BU64" i="55"/>
  <c r="BQ69" i="55"/>
  <c r="FD81" i="55"/>
  <c r="DG77" i="55"/>
  <c r="DM75" i="55"/>
  <c r="BO100" i="55"/>
  <c r="DK104" i="55"/>
  <c r="DG103" i="55"/>
  <c r="BW114" i="55"/>
  <c r="DK129" i="55"/>
  <c r="DH129" i="55"/>
  <c r="BP117" i="55"/>
  <c r="BP123" i="55"/>
  <c r="BT147" i="55"/>
  <c r="FD104" i="55"/>
  <c r="DG120" i="55"/>
  <c r="BT140" i="55"/>
  <c r="DM156" i="55"/>
  <c r="BS154" i="55"/>
  <c r="BU155" i="55"/>
  <c r="DG164" i="55"/>
  <c r="DH201" i="55"/>
  <c r="DI19" i="55"/>
  <c r="DN12" i="55"/>
  <c r="BT27" i="55"/>
  <c r="EQ26" i="55"/>
  <c r="BO44" i="55"/>
  <c r="DG35" i="55"/>
  <c r="FE43" i="55"/>
  <c r="BU106" i="55"/>
  <c r="DL134" i="55"/>
  <c r="DH120" i="55"/>
  <c r="DH151" i="55"/>
  <c r="DI173" i="55"/>
  <c r="DH167" i="55"/>
  <c r="BU145" i="55"/>
  <c r="DL183" i="55"/>
  <c r="DO14" i="55"/>
  <c r="FC10" i="55"/>
  <c r="BS11" i="55"/>
  <c r="FC24" i="55"/>
  <c r="DK26" i="55"/>
  <c r="EQ37" i="55"/>
  <c r="DI36" i="55"/>
  <c r="BW58" i="55"/>
  <c r="DN59" i="55"/>
  <c r="BU71" i="55"/>
  <c r="DM66" i="55"/>
  <c r="DL75" i="55"/>
  <c r="DH84" i="55"/>
  <c r="EQ82" i="55"/>
  <c r="DK82" i="55"/>
  <c r="DJ103" i="55"/>
  <c r="BP107" i="55"/>
  <c r="FE105" i="55"/>
  <c r="FC116" i="55"/>
  <c r="FD131" i="55"/>
  <c r="BR132" i="55"/>
  <c r="DL120" i="55"/>
  <c r="BO126" i="55"/>
  <c r="DH149" i="55"/>
  <c r="BP100" i="55"/>
  <c r="BR125" i="55"/>
  <c r="DN125" i="55"/>
  <c r="DL140" i="55"/>
  <c r="DK9" i="55"/>
  <c r="DG22" i="55"/>
  <c r="DO38" i="55"/>
  <c r="DM17" i="55"/>
  <c r="DK32" i="55"/>
  <c r="BU15" i="55"/>
  <c r="BU31" i="55"/>
  <c r="FD46" i="55"/>
  <c r="BV60" i="55"/>
  <c r="BO52" i="55"/>
  <c r="DN61" i="55"/>
  <c r="DM91" i="55"/>
  <c r="DI24" i="55"/>
  <c r="FE30" i="55"/>
  <c r="DI53" i="55"/>
  <c r="BO67" i="55"/>
  <c r="FE80" i="55"/>
  <c r="DJ18" i="55"/>
  <c r="BU51" i="55"/>
  <c r="EQ80" i="55"/>
  <c r="BV8" i="55"/>
  <c r="DK33" i="55"/>
  <c r="BP49" i="55"/>
  <c r="BV29" i="55"/>
  <c r="DO69" i="55"/>
  <c r="DM72" i="55"/>
  <c r="FE17" i="55"/>
  <c r="BQ32" i="55"/>
  <c r="BS43" i="55"/>
  <c r="BV52" i="55"/>
  <c r="BP27" i="55"/>
  <c r="BW50" i="55"/>
  <c r="BW70" i="55"/>
  <c r="DG90" i="55"/>
  <c r="BS104" i="55"/>
  <c r="BS139" i="55"/>
  <c r="DN31" i="55"/>
  <c r="DJ59" i="55"/>
  <c r="FD66" i="55"/>
  <c r="BS83" i="55"/>
  <c r="BO89" i="55"/>
  <c r="BT97" i="55"/>
  <c r="BV125" i="55"/>
  <c r="DI148" i="55"/>
  <c r="BW49" i="55"/>
  <c r="DN44" i="55"/>
  <c r="FE65" i="55"/>
  <c r="DH75" i="55"/>
  <c r="BQ50" i="55"/>
  <c r="DJ46" i="55"/>
  <c r="FD56" i="55"/>
  <c r="DK76" i="55"/>
  <c r="EQ70" i="55"/>
  <c r="DI83" i="55"/>
  <c r="BU83" i="55"/>
  <c r="BQ104" i="55"/>
  <c r="DM107" i="55"/>
  <c r="BW106" i="55"/>
  <c r="DJ117" i="55"/>
  <c r="DJ132" i="55"/>
  <c r="DK132" i="55"/>
  <c r="DI121" i="55"/>
  <c r="DH126" i="55"/>
  <c r="BW82" i="55"/>
  <c r="DL116" i="55"/>
  <c r="BU127" i="55"/>
  <c r="DM143" i="55"/>
  <c r="DJ160" i="55"/>
  <c r="BV157" i="55"/>
  <c r="BT158" i="55"/>
  <c r="DL169" i="55"/>
  <c r="DJ9" i="55"/>
  <c r="FD11" i="55"/>
  <c r="BV20" i="55"/>
  <c r="BR30" i="55"/>
  <c r="DK29" i="55"/>
  <c r="BR47" i="55"/>
  <c r="FC38" i="55"/>
  <c r="DK51" i="55"/>
  <c r="DM94" i="55"/>
  <c r="BR121" i="55"/>
  <c r="FD124" i="55"/>
  <c r="BO138" i="55"/>
  <c r="DK178" i="55"/>
  <c r="FE129" i="55"/>
  <c r="BP151" i="55"/>
  <c r="DI191" i="55"/>
  <c r="DI8" i="55"/>
  <c r="DM14" i="55"/>
  <c r="BW20" i="55"/>
  <c r="BW28" i="55"/>
  <c r="DH29" i="55"/>
  <c r="EQ40" i="55"/>
  <c r="DI39" i="55"/>
  <c r="DG61" i="55"/>
  <c r="BP63" i="55"/>
  <c r="BQ74" i="55"/>
  <c r="DH70" i="55"/>
  <c r="DL79" i="55"/>
  <c r="BS82" i="55"/>
  <c r="BO86" i="55"/>
  <c r="BP86" i="55"/>
  <c r="DJ106" i="55"/>
  <c r="FD109" i="55"/>
  <c r="DO88" i="55"/>
  <c r="BQ120" i="55"/>
  <c r="FC134" i="55"/>
  <c r="FD134" i="55"/>
  <c r="BS124" i="55"/>
  <c r="FD128" i="55"/>
  <c r="DI152" i="55"/>
  <c r="DL112" i="55"/>
  <c r="DI137" i="55"/>
  <c r="DG130" i="55"/>
  <c r="BU146" i="55"/>
  <c r="BQ141" i="55"/>
  <c r="DH145" i="55"/>
  <c r="DG155" i="55"/>
  <c r="DN177" i="55"/>
  <c r="EQ10" i="55"/>
  <c r="DK18" i="55"/>
  <c r="FC17" i="55"/>
  <c r="BU32" i="55"/>
  <c r="BW35" i="55"/>
  <c r="DI44" i="55"/>
  <c r="BP43" i="55"/>
  <c r="DO64" i="55"/>
  <c r="FD14" i="55"/>
  <c r="BT26" i="55"/>
  <c r="FE40" i="55"/>
  <c r="DH23" i="55"/>
  <c r="BQ41" i="55"/>
  <c r="BO13" i="55"/>
  <c r="FD34" i="55"/>
  <c r="EQ36" i="55"/>
  <c r="DG10" i="55"/>
  <c r="BQ46" i="55"/>
  <c r="DO59" i="55"/>
  <c r="DH88" i="55"/>
  <c r="DM21" i="55"/>
  <c r="DK13" i="55"/>
  <c r="DK54" i="55"/>
  <c r="BO66" i="55"/>
  <c r="BT89" i="55"/>
  <c r="DK39" i="55"/>
  <c r="DG75" i="55"/>
  <c r="DK79" i="55"/>
  <c r="DG17" i="55"/>
  <c r="DJ37" i="55"/>
  <c r="BW39" i="55"/>
  <c r="DO44" i="55"/>
  <c r="FE63" i="55"/>
  <c r="DO84" i="55"/>
  <c r="DG18" i="55"/>
  <c r="DM33" i="55"/>
  <c r="EQ48" i="55"/>
  <c r="EQ77" i="55"/>
  <c r="DL35" i="55"/>
  <c r="FD73" i="55"/>
  <c r="BW87" i="55"/>
  <c r="FD100" i="55"/>
  <c r="DI106" i="55"/>
  <c r="BR123" i="55"/>
  <c r="EQ42" i="55"/>
  <c r="DJ51" i="55"/>
  <c r="EQ78" i="55"/>
  <c r="BR85" i="55"/>
  <c r="DH105" i="55"/>
  <c r="FE84" i="55"/>
  <c r="BO134" i="55"/>
  <c r="BT123" i="55"/>
  <c r="BU33" i="55"/>
  <c r="BU61" i="55"/>
  <c r="DL70" i="55"/>
  <c r="DL88" i="55"/>
  <c r="BS35" i="55"/>
  <c r="DO62" i="55"/>
  <c r="BW69" i="55"/>
  <c r="BQ73" i="55"/>
  <c r="DJ86" i="55"/>
  <c r="DI89" i="55"/>
  <c r="DJ89" i="55"/>
  <c r="FC109" i="55"/>
  <c r="DI113" i="55"/>
  <c r="BU97" i="55"/>
  <c r="FC123" i="55"/>
  <c r="DJ138" i="55"/>
  <c r="BR138" i="55"/>
  <c r="BO128" i="55"/>
  <c r="DM132" i="55"/>
  <c r="BV103" i="55"/>
  <c r="EQ131" i="55"/>
  <c r="FD117" i="55"/>
  <c r="EQ150" i="55"/>
  <c r="DO171" i="55"/>
  <c r="DN165" i="55"/>
  <c r="BV143" i="55"/>
  <c r="DL181" i="55"/>
  <c r="BP14" i="55"/>
  <c r="BQ8" i="55"/>
  <c r="BU26" i="55"/>
  <c r="EQ23" i="55"/>
  <c r="DM25" i="55"/>
  <c r="BP37" i="55"/>
  <c r="BV35" i="55"/>
  <c r="DK57" i="55"/>
  <c r="DG92" i="55"/>
  <c r="EQ144" i="55"/>
  <c r="BU133" i="55"/>
  <c r="DJ150" i="55"/>
  <c r="BQ145" i="55"/>
  <c r="DI149" i="55"/>
  <c r="DM157" i="55"/>
  <c r="DI187" i="55"/>
  <c r="FE13" i="55"/>
  <c r="BQ20" i="55"/>
  <c r="BU21" i="55"/>
  <c r="DM34" i="55"/>
  <c r="BQ38" i="55"/>
  <c r="DM46" i="55"/>
  <c r="BT45" i="55"/>
  <c r="BP67" i="55"/>
  <c r="FC45" i="55"/>
  <c r="DI54" i="55"/>
  <c r="FC54" i="55"/>
  <c r="DI76" i="55"/>
  <c r="BR89" i="55"/>
  <c r="BO92" i="55"/>
  <c r="BP92" i="55"/>
  <c r="DG112" i="55"/>
  <c r="FC115" i="55"/>
  <c r="FE101" i="55"/>
  <c r="DH111" i="55"/>
  <c r="FE140" i="55"/>
  <c r="DG140" i="55"/>
  <c r="BU130" i="55"/>
  <c r="BU135" i="55"/>
  <c r="DJ146" i="55"/>
  <c r="DH95" i="55"/>
  <c r="FD115" i="55"/>
  <c r="BP138" i="55"/>
  <c r="BS155" i="55"/>
  <c r="DJ14" i="55"/>
  <c r="DN50" i="55"/>
  <c r="BS16" i="55"/>
  <c r="EQ25" i="55"/>
  <c r="DO13" i="55"/>
  <c r="DH14" i="55"/>
  <c r="BW65" i="55"/>
  <c r="EQ55" i="55"/>
  <c r="DG93" i="55"/>
  <c r="DL38" i="55"/>
  <c r="BS102" i="55"/>
  <c r="BP134" i="55"/>
  <c r="DH72" i="55"/>
  <c r="DK45" i="55"/>
  <c r="DH69" i="55"/>
  <c r="DH92" i="55"/>
  <c r="DG110" i="55"/>
  <c r="FD126" i="55"/>
  <c r="FE130" i="55"/>
  <c r="BV118" i="55"/>
  <c r="BW153" i="55"/>
  <c r="DK149" i="55"/>
  <c r="DN16" i="55"/>
  <c r="FC36" i="55"/>
  <c r="FD38" i="55"/>
  <c r="EQ134" i="55"/>
  <c r="DL144" i="55"/>
  <c r="BS144" i="55"/>
  <c r="FC174" i="55"/>
  <c r="FD17" i="55"/>
  <c r="DH31" i="55"/>
  <c r="DK43" i="55"/>
  <c r="BR64" i="55"/>
  <c r="BT77" i="55"/>
  <c r="FE70" i="55"/>
  <c r="FC88" i="55"/>
  <c r="BW109" i="55"/>
  <c r="BS96" i="55"/>
  <c r="FC137" i="55"/>
  <c r="DG127" i="55"/>
  <c r="BO141" i="55"/>
  <c r="BT146" i="55"/>
  <c r="DJ151" i="55"/>
  <c r="DL158" i="55"/>
  <c r="EQ151" i="55"/>
  <c r="DL197" i="55"/>
  <c r="DL13" i="55"/>
  <c r="BP21" i="55"/>
  <c r="DO24" i="55"/>
  <c r="DN48" i="55"/>
  <c r="BR40" i="55"/>
  <c r="DK70" i="55"/>
  <c r="DJ58" i="55"/>
  <c r="BW53" i="55"/>
  <c r="DI66" i="55"/>
  <c r="DJ75" i="55"/>
  <c r="DH81" i="55"/>
  <c r="DL98" i="55"/>
  <c r="BQ99" i="55"/>
  <c r="BO96" i="55"/>
  <c r="DL115" i="55"/>
  <c r="BV140" i="55"/>
  <c r="BS131" i="55"/>
  <c r="BS148" i="55"/>
  <c r="DN142" i="55"/>
  <c r="FC146" i="55"/>
  <c r="BS156" i="55"/>
  <c r="DO180" i="55"/>
  <c r="DH11" i="55"/>
  <c r="BQ13" i="55"/>
  <c r="DO19" i="55"/>
  <c r="BS33" i="55"/>
  <c r="BU36" i="55"/>
  <c r="BR45" i="55"/>
  <c r="EQ43" i="55"/>
  <c r="DM65" i="55"/>
  <c r="DK50" i="55"/>
  <c r="DN78" i="55"/>
  <c r="FD51" i="55"/>
  <c r="DO74" i="55"/>
  <c r="DI87" i="55"/>
  <c r="BU90" i="55"/>
  <c r="DK90" i="55"/>
  <c r="FE110" i="55"/>
  <c r="BU114" i="55"/>
  <c r="DH99" i="55"/>
  <c r="BO125" i="55"/>
  <c r="BV53" i="55"/>
  <c r="BV91" i="55"/>
  <c r="DI97" i="55"/>
  <c r="DK125" i="55"/>
  <c r="DH133" i="55"/>
  <c r="BR131" i="55"/>
  <c r="BS143" i="55"/>
  <c r="DN166" i="55"/>
  <c r="DO160" i="55"/>
  <c r="DL162" i="55"/>
  <c r="BW8" i="55"/>
  <c r="DJ10" i="55"/>
  <c r="DH17" i="55"/>
  <c r="DO28" i="55"/>
  <c r="FD58" i="55"/>
  <c r="DO83" i="55"/>
  <c r="BV106" i="55"/>
  <c r="DN117" i="55"/>
  <c r="BW120" i="55"/>
  <c r="BP32" i="55"/>
  <c r="BW14" i="55"/>
  <c r="BQ60" i="55"/>
  <c r="FC42" i="55"/>
  <c r="DI26" i="55"/>
  <c r="BS28" i="55"/>
  <c r="DG83" i="55"/>
  <c r="BS68" i="55"/>
  <c r="DO96" i="55"/>
  <c r="BT51" i="55"/>
  <c r="DJ111" i="55"/>
  <c r="DK119" i="55"/>
  <c r="BU68" i="55"/>
  <c r="EQ38" i="55"/>
  <c r="BT80" i="55"/>
  <c r="DG101" i="55"/>
  <c r="DJ116" i="55"/>
  <c r="DH135" i="55"/>
  <c r="BQ119" i="55"/>
  <c r="BR116" i="55"/>
  <c r="DJ166" i="55"/>
  <c r="EQ159" i="55"/>
  <c r="FD13" i="55"/>
  <c r="BV32" i="55"/>
  <c r="DG47" i="55"/>
  <c r="DJ109" i="55"/>
  <c r="DG154" i="55"/>
  <c r="BO153" i="55"/>
  <c r="DN195" i="55"/>
  <c r="BQ23" i="55"/>
  <c r="DN37" i="55"/>
  <c r="BT49" i="55"/>
  <c r="FD69" i="55"/>
  <c r="FE59" i="55"/>
  <c r="BQ66" i="55"/>
  <c r="BO95" i="55"/>
  <c r="BV115" i="55"/>
  <c r="BR105" i="55"/>
  <c r="DM116" i="55"/>
  <c r="BT133" i="55"/>
  <c r="DO151" i="55"/>
  <c r="FE123" i="55"/>
  <c r="BV158" i="55"/>
  <c r="DM168" i="55"/>
  <c r="BU158" i="55"/>
  <c r="BS8" i="55"/>
  <c r="BS12" i="55"/>
  <c r="BR22" i="55"/>
  <c r="BT28" i="55"/>
  <c r="DG38" i="55"/>
  <c r="FD45" i="55"/>
  <c r="BS51" i="55"/>
  <c r="EQ64" i="55"/>
  <c r="BQ58" i="55"/>
  <c r="DN70" i="55"/>
  <c r="BU79" i="55"/>
  <c r="DJ85" i="55"/>
  <c r="DK101" i="55"/>
  <c r="FE94" i="55"/>
  <c r="BS101" i="55"/>
  <c r="BQ102" i="55"/>
  <c r="DK147" i="55"/>
  <c r="BQ135" i="55"/>
  <c r="DG152" i="55"/>
  <c r="DL147" i="55"/>
  <c r="BT151" i="55"/>
  <c r="BS159" i="55"/>
  <c r="DG192" i="55"/>
  <c r="BW15" i="55"/>
  <c r="DK21" i="55"/>
  <c r="DO22" i="55"/>
  <c r="BS36" i="55"/>
  <c r="BO40" i="55"/>
  <c r="EQ47" i="55"/>
  <c r="DK46" i="55"/>
  <c r="DG68" i="55"/>
  <c r="FE49" i="55"/>
  <c r="BQ57" i="55"/>
  <c r="DJ57" i="55"/>
  <c r="BS78" i="55"/>
  <c r="DH90" i="55"/>
  <c r="DI93" i="55"/>
  <c r="DJ93" i="55"/>
  <c r="FC113" i="55"/>
  <c r="DH117" i="55"/>
  <c r="DH103" i="55"/>
  <c r="EQ115" i="55"/>
  <c r="FC60" i="55"/>
  <c r="BO103" i="55"/>
  <c r="BQ105" i="55"/>
  <c r="DO129" i="55"/>
  <c r="DO136" i="55"/>
  <c r="DN134" i="55"/>
  <c r="DI147" i="55"/>
  <c r="DH172" i="55"/>
  <c r="DG166" i="55"/>
  <c r="DL143" i="55"/>
  <c r="DG9" i="55"/>
  <c r="BS14" i="55"/>
  <c r="FC21" i="55"/>
  <c r="DO31" i="55"/>
  <c r="FC50" i="55"/>
  <c r="BT91" i="55"/>
  <c r="DM113" i="55"/>
  <c r="BQ124" i="55"/>
  <c r="BU126" i="55"/>
  <c r="DI123" i="55"/>
  <c r="EQ136" i="55"/>
  <c r="DJ157" i="55"/>
  <c r="BP155" i="55"/>
  <c r="BV156" i="55"/>
  <c r="FC165" i="55"/>
  <c r="DJ15" i="55"/>
  <c r="DO21" i="55"/>
  <c r="BP23" i="55"/>
  <c r="BW36" i="55"/>
  <c r="BS40" i="55"/>
  <c r="FD47" i="55"/>
  <c r="DO46" i="55"/>
  <c r="DK68" i="55"/>
  <c r="BS50" i="55"/>
  <c r="DN57" i="55"/>
  <c r="BR58" i="55"/>
  <c r="DG78" i="55"/>
  <c r="DL90" i="55"/>
  <c r="DG69" i="55"/>
  <c r="BW85" i="55"/>
  <c r="DN35" i="55"/>
  <c r="BU11" i="55"/>
  <c r="DL61" i="55"/>
  <c r="BO22" i="55"/>
  <c r="DM38" i="55"/>
  <c r="DO32" i="55"/>
  <c r="DN68" i="55"/>
  <c r="FE60" i="55"/>
  <c r="DN110" i="55"/>
  <c r="BU66" i="55"/>
  <c r="BP109" i="55"/>
  <c r="DI129" i="55"/>
  <c r="DH79" i="55"/>
  <c r="BV68" i="55"/>
  <c r="FE76" i="55"/>
  <c r="DM86" i="55"/>
  <c r="DO99" i="55"/>
  <c r="BQ109" i="55"/>
  <c r="DJ129" i="55"/>
  <c r="BQ149" i="55"/>
  <c r="DI177" i="55"/>
  <c r="EQ174" i="55"/>
  <c r="BW22" i="55"/>
  <c r="FE28" i="55"/>
  <c r="DJ54" i="55"/>
  <c r="BS122" i="55"/>
  <c r="BU157" i="55"/>
  <c r="BR156" i="55"/>
  <c r="DH203" i="55"/>
  <c r="FC13" i="55"/>
  <c r="DG27" i="55"/>
  <c r="DG36" i="55"/>
  <c r="DI50" i="55"/>
  <c r="BR52" i="55"/>
  <c r="DI74" i="55"/>
  <c r="BO98" i="55"/>
  <c r="FC94" i="55"/>
  <c r="BP108" i="55"/>
  <c r="DG121" i="55"/>
  <c r="FE107" i="55"/>
  <c r="EQ88" i="55"/>
  <c r="BQ130" i="55"/>
  <c r="DO163" i="55"/>
  <c r="BW138" i="55"/>
  <c r="EQ161" i="55"/>
  <c r="BT9" i="55"/>
  <c r="DI15" i="55"/>
  <c r="BT25" i="55"/>
  <c r="BO31" i="55"/>
  <c r="DG41" i="55"/>
  <c r="FD48" i="55"/>
  <c r="BV54" i="55"/>
  <c r="DH68" i="55"/>
  <c r="BQ63" i="55"/>
  <c r="DK69" i="55"/>
  <c r="BQ82" i="55"/>
  <c r="BW79" i="55"/>
  <c r="FC75" i="55"/>
  <c r="BT100" i="55"/>
  <c r="DO104" i="55"/>
  <c r="DJ101" i="55"/>
  <c r="DM118" i="55"/>
  <c r="DG139" i="55"/>
  <c r="FC155" i="55"/>
  <c r="BS153" i="55"/>
  <c r="DM154" i="55"/>
  <c r="EQ162" i="55"/>
  <c r="DJ199" i="55"/>
  <c r="DL18" i="55"/>
  <c r="DM24" i="55"/>
  <c r="BS26" i="55"/>
  <c r="BP26" i="55"/>
  <c r="BQ43" i="55"/>
  <c r="DJ33" i="55"/>
  <c r="DK49" i="55"/>
  <c r="BW45" i="55"/>
  <c r="BT54" i="55"/>
  <c r="BV63" i="55"/>
  <c r="FC62" i="55"/>
  <c r="FD70" i="55"/>
  <c r="DK93" i="55"/>
  <c r="BU96" i="55"/>
  <c r="BO97" i="55"/>
  <c r="BS89" i="55"/>
  <c r="BW89" i="55"/>
  <c r="DM106" i="55"/>
  <c r="DO120" i="55"/>
  <c r="DL53" i="55"/>
  <c r="BW91" i="55"/>
  <c r="DI94" i="55"/>
  <c r="DG133" i="55"/>
  <c r="BT141" i="55"/>
  <c r="EQ116" i="55"/>
  <c r="FD150" i="55"/>
  <c r="DM177" i="55"/>
  <c r="DL171" i="55"/>
  <c r="BS150" i="55"/>
  <c r="DK12" i="55"/>
  <c r="DM18" i="55"/>
  <c r="BO25" i="55"/>
  <c r="DL34" i="55"/>
  <c r="BU70" i="55"/>
  <c r="BP82" i="55"/>
  <c r="BP87" i="55"/>
  <c r="DO119" i="55"/>
  <c r="DI130" i="55"/>
  <c r="BS128" i="55"/>
  <c r="DI47" i="55"/>
  <c r="BU25" i="55"/>
  <c r="BV73" i="55"/>
  <c r="BT65" i="55"/>
  <c r="BO65" i="55"/>
  <c r="DJ42" i="55"/>
  <c r="BT18" i="55"/>
  <c r="DO26" i="55"/>
  <c r="BV99" i="55"/>
  <c r="BP74" i="55"/>
  <c r="FC104" i="55"/>
  <c r="DI20" i="55"/>
  <c r="FE79" i="55"/>
  <c r="BV55" i="55"/>
  <c r="BQ79" i="55"/>
  <c r="DM92" i="55"/>
  <c r="BP90" i="55"/>
  <c r="BQ126" i="55"/>
  <c r="DO135" i="55"/>
  <c r="BP133" i="55"/>
  <c r="DG149" i="55"/>
  <c r="DK189" i="55"/>
  <c r="BR23" i="55"/>
  <c r="DL40" i="55"/>
  <c r="DJ60" i="55"/>
  <c r="DJ134" i="55"/>
  <c r="DO167" i="55"/>
  <c r="BO136" i="55"/>
  <c r="DK11" i="55"/>
  <c r="FC23" i="55"/>
  <c r="BP33" i="55"/>
  <c r="DN42" i="55"/>
  <c r="DO56" i="55"/>
  <c r="BO62" i="55"/>
  <c r="DI81" i="55"/>
  <c r="DM103" i="55"/>
  <c r="BR104" i="55"/>
  <c r="DO113" i="55"/>
  <c r="BO129" i="55"/>
  <c r="DH122" i="55"/>
  <c r="BS109" i="55"/>
  <c r="BU121" i="55"/>
  <c r="DJ174" i="55"/>
  <c r="DG150" i="55"/>
  <c r="EQ166" i="55"/>
  <c r="DK15" i="55"/>
  <c r="FE20" i="55"/>
  <c r="DK28" i="55"/>
  <c r="BW27" i="55"/>
  <c r="BS47" i="55"/>
  <c r="BO50" i="55"/>
  <c r="DK60" i="55"/>
  <c r="BO72" i="55"/>
  <c r="DJ67" i="55"/>
  <c r="BQ77" i="55"/>
  <c r="FD74" i="55"/>
  <c r="DN83" i="55"/>
  <c r="DJ83" i="55"/>
  <c r="BU104" i="55"/>
  <c r="EQ107" i="55"/>
  <c r="DK113" i="55"/>
  <c r="EQ125" i="55"/>
  <c r="BO143" i="55"/>
  <c r="BP159" i="55"/>
  <c r="BU156" i="55"/>
  <c r="DH157" i="55"/>
  <c r="DG168" i="55"/>
  <c r="FE8" i="55"/>
  <c r="BW11" i="55"/>
  <c r="BW19" i="55"/>
  <c r="DI29" i="55"/>
  <c r="FD28" i="55"/>
  <c r="BW46" i="55"/>
  <c r="BS38" i="55"/>
  <c r="FD50" i="55"/>
  <c r="FC51" i="55"/>
  <c r="BW60" i="55"/>
  <c r="DL54" i="55"/>
  <c r="BQ67" i="55"/>
  <c r="DJ76" i="55"/>
  <c r="DH82" i="55"/>
  <c r="BT99" i="55"/>
  <c r="DK86" i="55"/>
  <c r="BQ97" i="55"/>
  <c r="BP96" i="55"/>
  <c r="DG109" i="55"/>
  <c r="DO124" i="55"/>
  <c r="DG72" i="55"/>
  <c r="DM97" i="55"/>
  <c r="DI104" i="55"/>
  <c r="BS137" i="55"/>
  <c r="FD144" i="55"/>
  <c r="BU123" i="55"/>
  <c r="FC138" i="55"/>
  <c r="BW136" i="55"/>
  <c r="FE142" i="55"/>
  <c r="FD153" i="55"/>
  <c r="DO15" i="55"/>
  <c r="DJ12" i="55"/>
  <c r="BU16" i="55"/>
  <c r="BO26" i="55"/>
  <c r="DK58" i="55"/>
  <c r="BQ94" i="55"/>
  <c r="FC99" i="55"/>
  <c r="BO127" i="55"/>
  <c r="BT134" i="55"/>
  <c r="DO131" i="55"/>
  <c r="DG144" i="55"/>
  <c r="DH168" i="55"/>
  <c r="DG162" i="55"/>
  <c r="FC136" i="55"/>
  <c r="BO9" i="55"/>
  <c r="DI11" i="55"/>
  <c r="DK19" i="55"/>
  <c r="DM29" i="55"/>
  <c r="BR29" i="55"/>
  <c r="DH46" i="55"/>
  <c r="BW38" i="55"/>
  <c r="BR51" i="55"/>
  <c r="BP52" i="55"/>
  <c r="DI60" i="55"/>
  <c r="FE54" i="55"/>
  <c r="BV67" i="55"/>
  <c r="DO76" i="55"/>
  <c r="DL37" i="55"/>
  <c r="EQ30" i="55"/>
  <c r="DO72" i="55"/>
  <c r="DJ62" i="55"/>
  <c r="BV62" i="55"/>
  <c r="BP48" i="55"/>
  <c r="DK23" i="55"/>
  <c r="BO38" i="55"/>
  <c r="BQ115" i="55"/>
  <c r="DI75" i="55"/>
  <c r="DL100" i="55"/>
  <c r="FD44" i="55"/>
  <c r="EQ85" i="55"/>
  <c r="BO69" i="55"/>
  <c r="FC82" i="55"/>
  <c r="DL94" i="55"/>
  <c r="DG102" i="55"/>
  <c r="BW135" i="55"/>
  <c r="BV144" i="55"/>
  <c r="BO124" i="55"/>
  <c r="DK160" i="55"/>
  <c r="DO193" i="55"/>
  <c r="DL19" i="55"/>
  <c r="BU50" i="55"/>
  <c r="BT98" i="55"/>
  <c r="EQ128" i="55"/>
  <c r="BS138" i="55"/>
  <c r="DJ154" i="55"/>
  <c r="FC9" i="55"/>
  <c r="FE11" i="55"/>
  <c r="BR34" i="55"/>
  <c r="BV42" i="55"/>
  <c r="DJ47" i="55"/>
  <c r="DK73" i="55"/>
  <c r="FD85" i="55"/>
  <c r="FD88" i="55"/>
  <c r="FC112" i="55"/>
  <c r="BW123" i="55"/>
  <c r="DM137" i="55"/>
  <c r="BP132" i="55"/>
  <c r="BV98" i="55"/>
  <c r="BV134" i="55"/>
  <c r="DI180" i="55"/>
  <c r="FC153" i="55"/>
  <c r="DG172" i="55"/>
  <c r="BR9" i="55"/>
  <c r="DO23" i="55"/>
  <c r="DK31" i="55"/>
  <c r="BU30" i="55"/>
  <c r="FE27" i="55"/>
  <c r="BP53" i="55"/>
  <c r="BO64" i="55"/>
  <c r="BR75" i="55"/>
  <c r="BW71" i="55"/>
  <c r="DI80" i="55"/>
  <c r="BQ83" i="55"/>
  <c r="DL86" i="55"/>
  <c r="EQ86" i="55"/>
  <c r="BS107" i="55"/>
  <c r="FC91" i="55"/>
  <c r="BS110" i="55"/>
  <c r="DK131" i="55"/>
  <c r="DG146" i="55"/>
  <c r="DI165" i="55"/>
  <c r="DG159" i="55"/>
  <c r="FC160" i="55"/>
  <c r="DL173" i="55"/>
  <c r="BP10" i="55"/>
  <c r="BS15" i="55"/>
  <c r="DI22" i="55"/>
  <c r="DI32" i="55"/>
  <c r="DM31" i="55"/>
  <c r="DH49" i="55"/>
  <c r="BS41" i="55"/>
  <c r="EQ53" i="55"/>
  <c r="BP55" i="55"/>
  <c r="DJ65" i="55"/>
  <c r="DL59" i="55"/>
  <c r="DN71" i="55"/>
  <c r="BO80" i="55"/>
  <c r="BV71" i="55"/>
  <c r="DI102" i="55"/>
  <c r="DL22" i="55"/>
  <c r="BQ40" i="55"/>
  <c r="BS75" i="55"/>
  <c r="BO74" i="55"/>
  <c r="FE69" i="55"/>
  <c r="DM42" i="55"/>
  <c r="DG24" i="55"/>
  <c r="BU65" i="55"/>
  <c r="FE118" i="55"/>
  <c r="DK81" i="55"/>
  <c r="BR119" i="55"/>
  <c r="BP38" i="55"/>
  <c r="DO85" i="55"/>
  <c r="FC56" i="55"/>
  <c r="DK89" i="55"/>
  <c r="BO107" i="55"/>
  <c r="BW111" i="55"/>
  <c r="BP141" i="55"/>
  <c r="BP95" i="55"/>
  <c r="DM136" i="55"/>
  <c r="DH171" i="55"/>
  <c r="DO10" i="55"/>
  <c r="DN23" i="55"/>
  <c r="BP40" i="55"/>
  <c r="EQ109" i="55"/>
  <c r="BV137" i="55"/>
  <c r="BV150" i="55"/>
  <c r="EQ160" i="55"/>
  <c r="BS17" i="55"/>
  <c r="BO24" i="55"/>
  <c r="DJ41" i="55"/>
  <c r="BT48" i="55"/>
  <c r="DN51" i="55"/>
  <c r="DH60" i="55"/>
  <c r="FD91" i="55"/>
  <c r="BT95" i="55"/>
  <c r="BT119" i="55"/>
  <c r="DI118" i="55"/>
  <c r="DG143" i="55"/>
  <c r="BT138" i="55"/>
  <c r="EQ110" i="55"/>
  <c r="DI142" i="55"/>
  <c r="BW146" i="55"/>
  <c r="DO156" i="55"/>
  <c r="DL185" i="55"/>
  <c r="DN14" i="55"/>
  <c r="BU17" i="55"/>
  <c r="DO25" i="55"/>
  <c r="BP39" i="55"/>
  <c r="BW37" i="55"/>
  <c r="BP59" i="55"/>
  <c r="DJ49" i="55"/>
  <c r="FD77" i="55"/>
  <c r="BW74" i="55"/>
  <c r="DN73" i="55"/>
  <c r="DN86" i="55"/>
  <c r="DM89" i="55"/>
  <c r="DN89" i="55"/>
  <c r="BQ110" i="55"/>
  <c r="DO98" i="55"/>
  <c r="FE128" i="55"/>
  <c r="BQ113" i="55"/>
  <c r="BP150" i="55"/>
  <c r="DJ170" i="55"/>
  <c r="DM164" i="55"/>
  <c r="BU141" i="55"/>
  <c r="DL179" i="55"/>
  <c r="BT13" i="55"/>
  <c r="BQ19" i="55"/>
  <c r="DH25" i="55"/>
  <c r="BT35" i="55"/>
  <c r="BV24" i="55"/>
  <c r="EQ35" i="55"/>
  <c r="BS32" i="55"/>
  <c r="DN56" i="55"/>
  <c r="BT58" i="55"/>
  <c r="BU69" i="55"/>
  <c r="DM64" i="55"/>
  <c r="FD72" i="55"/>
  <c r="BR83" i="55"/>
  <c r="DO80" i="55"/>
  <c r="BR78" i="55"/>
  <c r="BQ101" i="55"/>
  <c r="DM105" i="55"/>
  <c r="BW104" i="55"/>
  <c r="BU115" i="55"/>
  <c r="BR56" i="55"/>
  <c r="DL80" i="55"/>
  <c r="BR103" i="55"/>
  <c r="BS116" i="55"/>
  <c r="BU119" i="55"/>
  <c r="DK117" i="55"/>
  <c r="BW131" i="55"/>
  <c r="DK153" i="55"/>
  <c r="DO149" i="55"/>
  <c r="BU152" i="55"/>
  <c r="FD159" i="55"/>
  <c r="FD10" i="55"/>
  <c r="BU10" i="55"/>
  <c r="DN18" i="55"/>
  <c r="DJ32" i="55"/>
  <c r="BS59" i="55"/>
  <c r="DG94" i="55"/>
  <c r="DJ97" i="55"/>
  <c r="BS134" i="55"/>
  <c r="FD141" i="55"/>
  <c r="DM119" i="55"/>
  <c r="DL151" i="55"/>
  <c r="DO178" i="55"/>
  <c r="FE131" i="55"/>
  <c r="BU151" i="55"/>
  <c r="DG13" i="55"/>
  <c r="BU19" i="55"/>
  <c r="DL25" i="55"/>
  <c r="DI35" i="55"/>
  <c r="DH24" i="55"/>
  <c r="BQ36" i="55"/>
  <c r="DN33" i="55"/>
  <c r="BR57" i="55"/>
  <c r="DI58" i="55"/>
  <c r="DJ69" i="55"/>
  <c r="BR65" i="55"/>
  <c r="BU73" i="55"/>
  <c r="BV83" i="55"/>
  <c r="FC8" i="55"/>
  <c r="DM45" i="55"/>
  <c r="DO9" i="55"/>
  <c r="BV76" i="55"/>
  <c r="DL83" i="55"/>
  <c r="BV51" i="55"/>
  <c r="BO35" i="55"/>
  <c r="DK65" i="55"/>
  <c r="BT130" i="55"/>
  <c r="BR91" i="55"/>
  <c r="BP131" i="55"/>
  <c r="DO66" i="55"/>
  <c r="DN94" i="55"/>
  <c r="BP64" i="55"/>
  <c r="BU85" i="55"/>
  <c r="BO113" i="55"/>
  <c r="DN120" i="55"/>
  <c r="FE98" i="55"/>
  <c r="BR115" i="55"/>
  <c r="FD147" i="55"/>
  <c r="BO152" i="55"/>
  <c r="BR17" i="55"/>
  <c r="BR33" i="55"/>
  <c r="DG48" i="55"/>
  <c r="FE87" i="55"/>
  <c r="FD140" i="55"/>
  <c r="FC154" i="55"/>
  <c r="DL165" i="55"/>
  <c r="DL8" i="55"/>
  <c r="FD27" i="55"/>
  <c r="DL44" i="55"/>
  <c r="BT47" i="55"/>
  <c r="FE56" i="55"/>
  <c r="DH65" i="55"/>
  <c r="BQ80" i="55"/>
  <c r="DI98" i="55"/>
  <c r="BO93" i="55"/>
  <c r="DO122" i="55"/>
  <c r="DI146" i="55"/>
  <c r="BR141" i="55"/>
  <c r="BS123" i="55"/>
  <c r="EQ145" i="55"/>
  <c r="BS152" i="55"/>
  <c r="DL159" i="55"/>
  <c r="FE157" i="55"/>
  <c r="BO18" i="55"/>
  <c r="DL21" i="55"/>
  <c r="BQ29" i="55"/>
  <c r="BW42" i="55"/>
  <c r="DJ40" i="55"/>
  <c r="BT62" i="55"/>
  <c r="BO48" i="55"/>
  <c r="FC55" i="55"/>
  <c r="BW56" i="55"/>
  <c r="BS77" i="55"/>
  <c r="DO89" i="55"/>
  <c r="DL92" i="55"/>
  <c r="EQ92" i="55"/>
  <c r="BS113" i="55"/>
  <c r="BV112" i="55"/>
  <c r="DN140" i="55"/>
  <c r="BT122" i="55"/>
  <c r="FD152" i="55"/>
  <c r="DO175" i="55"/>
  <c r="DN169" i="55"/>
  <c r="BQ148" i="55"/>
  <c r="DL187" i="55"/>
  <c r="DI16" i="55"/>
  <c r="BW13" i="55"/>
  <c r="DL17" i="55"/>
  <c r="DM26" i="55"/>
  <c r="BQ28" i="55"/>
  <c r="BU39" i="55"/>
  <c r="BT38" i="55"/>
  <c r="EQ59" i="55"/>
  <c r="BW61" i="55"/>
  <c r="DL72" i="55"/>
  <c r="DJ68" i="55"/>
  <c r="BV78" i="55"/>
  <c r="DI79" i="55"/>
  <c r="DG84" i="55"/>
  <c r="DN84" i="55"/>
  <c r="BO105" i="55"/>
  <c r="DG108" i="55"/>
  <c r="BU107" i="55"/>
  <c r="DH118" i="55"/>
  <c r="DI51" i="55"/>
  <c r="BQ88" i="55"/>
  <c r="BS112" i="55"/>
  <c r="DJ122" i="55"/>
  <c r="BW124" i="55"/>
  <c r="DG122" i="55"/>
  <c r="BP136" i="55"/>
  <c r="EQ156" i="55"/>
  <c r="BW154" i="55"/>
  <c r="DJ155" i="55"/>
  <c r="DK164" i="55"/>
  <c r="EQ14" i="55"/>
  <c r="BR21" i="55"/>
  <c r="BV22" i="55"/>
  <c r="DJ35" i="55"/>
  <c r="DK74" i="55"/>
  <c r="DH102" i="55"/>
  <c r="DO105" i="55"/>
  <c r="DN138" i="55"/>
  <c r="DK145" i="55"/>
  <c r="BT124" i="55"/>
  <c r="BW142" i="55"/>
  <c r="DN139" i="55"/>
  <c r="DH144" i="55"/>
  <c r="DN154" i="55"/>
  <c r="DM16" i="55"/>
  <c r="DI13" i="55"/>
  <c r="BU18" i="55"/>
  <c r="FC26" i="55"/>
  <c r="BU28" i="55"/>
  <c r="DG39" i="55"/>
  <c r="DI38" i="55"/>
  <c r="FD59" i="55"/>
  <c r="DH61" i="55"/>
  <c r="FC72" i="55"/>
  <c r="FE68" i="55"/>
  <c r="DI78" i="55"/>
  <c r="EQ79" i="55"/>
  <c r="BP47" i="55"/>
  <c r="BS85" i="55"/>
  <c r="FC124" i="55"/>
  <c r="DK148" i="55"/>
  <c r="BW66" i="55"/>
  <c r="BT152" i="55"/>
  <c r="BS37" i="55"/>
  <c r="BV96" i="55"/>
  <c r="BP153" i="55"/>
  <c r="DO40" i="55"/>
  <c r="DH87" i="55"/>
  <c r="DL121" i="55"/>
  <c r="BT117" i="55"/>
  <c r="DN160" i="55"/>
  <c r="BS18" i="55"/>
  <c r="BT79" i="55"/>
  <c r="BO108" i="55"/>
  <c r="DK154" i="55"/>
  <c r="BT153" i="55"/>
  <c r="DM11" i="55"/>
  <c r="BP20" i="55"/>
  <c r="DJ36" i="55"/>
  <c r="FD43" i="55"/>
  <c r="FE50" i="55"/>
  <c r="BU52" i="55"/>
  <c r="DM87" i="55"/>
  <c r="BQ64" i="55"/>
  <c r="DL105" i="55"/>
  <c r="BV107" i="55"/>
  <c r="BW139" i="55"/>
  <c r="BR147" i="55"/>
  <c r="BP125" i="55"/>
  <c r="FC143" i="55"/>
  <c r="DN141" i="55"/>
  <c r="FE145" i="55"/>
  <c r="DK155" i="55"/>
  <c r="BV17" i="55"/>
  <c r="BQ14" i="55"/>
  <c r="FC19" i="55"/>
  <c r="DN27" i="55"/>
  <c r="BO29" i="55"/>
  <c r="BT40" i="55"/>
  <c r="BO39" i="55"/>
  <c r="DN60" i="55"/>
  <c r="BU62" i="55"/>
  <c r="DM73" i="55"/>
  <c r="DL69" i="55"/>
  <c r="DJ61" i="55"/>
  <c r="DH83" i="55"/>
  <c r="DN116" i="55"/>
  <c r="DJ113" i="55"/>
  <c r="BV128" i="55"/>
  <c r="FD125" i="55"/>
  <c r="FD138" i="55"/>
  <c r="BT159" i="55"/>
  <c r="DJ156" i="55"/>
  <c r="DL157" i="55"/>
  <c r="DK168" i="55"/>
  <c r="DJ17" i="55"/>
  <c r="BU23" i="55"/>
  <c r="BW24" i="55"/>
  <c r="FE18" i="55"/>
  <c r="DN41" i="55"/>
  <c r="DI49" i="55"/>
  <c r="DI48" i="55"/>
  <c r="BR70" i="55"/>
  <c r="EQ51" i="55"/>
  <c r="BP60" i="55"/>
  <c r="FD60" i="55"/>
  <c r="DL66" i="55"/>
  <c r="BQ92" i="55"/>
  <c r="BS95" i="55"/>
  <c r="DJ95" i="55"/>
  <c r="DG115" i="55"/>
  <c r="DJ119" i="55"/>
  <c r="BV105" i="55"/>
  <c r="EQ118" i="55"/>
  <c r="FD116" i="55"/>
  <c r="DK143" i="55"/>
  <c r="DK38" i="55"/>
  <c r="BS72" i="55"/>
  <c r="BU82" i="55"/>
  <c r="EQ95" i="55"/>
  <c r="BR98" i="55"/>
  <c r="DK111" i="55"/>
  <c r="BP106" i="55"/>
  <c r="DJ128" i="55"/>
  <c r="BV136" i="55"/>
  <c r="BV131" i="55"/>
  <c r="BT136" i="55"/>
  <c r="FE148" i="55"/>
  <c r="BR143" i="55"/>
  <c r="DN147" i="55"/>
  <c r="BR94" i="55"/>
  <c r="BT50" i="55"/>
  <c r="DN66" i="55"/>
  <c r="DM83" i="55"/>
  <c r="EQ84" i="55"/>
  <c r="BW113" i="55"/>
  <c r="EQ97" i="55"/>
  <c r="DL118" i="55"/>
  <c r="DH110" i="55"/>
  <c r="EQ148" i="55"/>
  <c r="FD120" i="55"/>
  <c r="DI145" i="55"/>
  <c r="DJ161" i="55"/>
  <c r="DK157" i="55"/>
  <c r="DM158" i="55"/>
  <c r="DO108" i="55"/>
  <c r="FC133" i="55"/>
  <c r="FC172" i="55"/>
  <c r="DL180" i="55"/>
  <c r="FE164" i="55"/>
  <c r="DN168" i="55"/>
  <c r="DL234" i="55"/>
  <c r="DO197" i="55"/>
  <c r="DH247" i="55"/>
  <c r="DK310" i="55"/>
  <c r="DJ267" i="55"/>
  <c r="DH329" i="55"/>
  <c r="DJ245" i="55"/>
  <c r="DH334" i="55"/>
  <c r="DO299" i="55"/>
  <c r="DG372" i="55"/>
  <c r="DH358" i="55"/>
  <c r="BP65" i="55"/>
  <c r="BV77" i="55"/>
  <c r="BT22" i="55"/>
  <c r="FC139" i="55"/>
  <c r="DN105" i="55"/>
  <c r="DO161" i="55"/>
  <c r="DM76" i="55"/>
  <c r="DM155" i="55"/>
  <c r="EQ67" i="55"/>
  <c r="DO86" i="55"/>
  <c r="DM167" i="55"/>
  <c r="FD62" i="55"/>
  <c r="BT96" i="55"/>
  <c r="BV66" i="55"/>
  <c r="BW110" i="55"/>
  <c r="BQ144" i="55"/>
  <c r="DN15" i="55"/>
  <c r="BR81" i="55"/>
  <c r="FD118" i="55"/>
  <c r="DN162" i="55"/>
  <c r="BR159" i="55"/>
  <c r="FC18" i="55"/>
  <c r="DG26" i="55"/>
  <c r="BU43" i="55"/>
  <c r="FE34" i="55"/>
  <c r="DH54" i="55"/>
  <c r="BR63" i="55"/>
  <c r="DO93" i="55"/>
  <c r="FD78" i="55"/>
  <c r="BR92" i="55"/>
  <c r="BR113" i="55"/>
  <c r="FE114" i="55"/>
  <c r="DL110" i="55"/>
  <c r="DN129" i="55"/>
  <c r="DO150" i="55"/>
  <c r="DL146" i="55"/>
  <c r="DL150" i="55"/>
  <c r="DJ158" i="55"/>
  <c r="BU8" i="55"/>
  <c r="DI17" i="55"/>
  <c r="DN22" i="55"/>
  <c r="FC30" i="55"/>
  <c r="BW32" i="55"/>
  <c r="BR43" i="55"/>
  <c r="EQ41" i="55"/>
  <c r="DM63" i="55"/>
  <c r="FE45" i="55"/>
  <c r="DL76" i="55"/>
  <c r="BR73" i="55"/>
  <c r="DH76" i="55"/>
  <c r="BS88" i="55"/>
  <c r="FD94" i="55"/>
  <c r="DK123" i="55"/>
  <c r="DO132" i="55"/>
  <c r="DM129" i="55"/>
  <c r="DM142" i="55"/>
  <c r="DM165" i="55"/>
  <c r="DK159" i="55"/>
  <c r="DH161" i="55"/>
  <c r="FC173" i="55"/>
  <c r="BU9" i="55"/>
  <c r="BU14" i="55"/>
  <c r="BR28" i="55"/>
  <c r="DK27" i="55"/>
  <c r="FC44" i="55"/>
  <c r="DM36" i="55"/>
  <c r="FE47" i="55"/>
  <c r="DO50" i="55"/>
  <c r="BP57" i="55"/>
  <c r="DG52" i="55"/>
  <c r="DN65" i="55"/>
  <c r="EQ74" i="55"/>
  <c r="DN80" i="55"/>
  <c r="BS98" i="55"/>
  <c r="DM98" i="55"/>
  <c r="BQ95" i="55"/>
  <c r="FE93" i="55"/>
  <c r="BT108" i="55"/>
  <c r="EQ122" i="55"/>
  <c r="DM121" i="55"/>
  <c r="DM146" i="55"/>
  <c r="BO32" i="55"/>
  <c r="DM61" i="55"/>
  <c r="BW83" i="55"/>
  <c r="DI99" i="55"/>
  <c r="DJ104" i="55"/>
  <c r="BW115" i="55"/>
  <c r="DK109" i="55"/>
  <c r="FE132" i="55"/>
  <c r="FD139" i="55"/>
  <c r="BQ134" i="55"/>
  <c r="BR139" i="55"/>
  <c r="FC152" i="55"/>
  <c r="DJ148" i="55"/>
  <c r="DM151" i="55"/>
  <c r="DL101" i="55"/>
  <c r="DI62" i="55"/>
  <c r="FE74" i="55"/>
  <c r="FD79" i="55"/>
  <c r="DI88" i="55"/>
  <c r="DI90" i="55"/>
  <c r="FE103" i="55"/>
  <c r="DN122" i="55"/>
  <c r="DI119" i="55"/>
  <c r="FE117" i="55"/>
  <c r="DH124" i="55"/>
  <c r="BV148" i="55"/>
  <c r="DG167" i="55"/>
  <c r="DG161" i="55"/>
  <c r="FE125" i="55"/>
  <c r="DM90" i="55"/>
  <c r="BV145" i="55"/>
  <c r="BQ150" i="55"/>
  <c r="DN190" i="55"/>
  <c r="EQ175" i="55"/>
  <c r="EQ178" i="55"/>
  <c r="DI242" i="55"/>
  <c r="DG204" i="55"/>
  <c r="DI256" i="55"/>
  <c r="DO315" i="55"/>
  <c r="DO274" i="55"/>
  <c r="DG234" i="55"/>
  <c r="DL254" i="55"/>
  <c r="DN341" i="55"/>
  <c r="DM313" i="55"/>
  <c r="DN379" i="55"/>
  <c r="BS31" i="55"/>
  <c r="DG54" i="55"/>
  <c r="FC73" i="55"/>
  <c r="BT83" i="55"/>
  <c r="DO53" i="55"/>
  <c r="DN153" i="55"/>
  <c r="DG176" i="55"/>
  <c r="BO99" i="55"/>
  <c r="FE146" i="55"/>
  <c r="DK52" i="55"/>
  <c r="FD103" i="55"/>
  <c r="EQ9" i="55"/>
  <c r="DL64" i="55"/>
  <c r="FC107" i="55"/>
  <c r="DJ66" i="55"/>
  <c r="DL129" i="55"/>
  <c r="DG157" i="55"/>
  <c r="BP24" i="55"/>
  <c r="DM114" i="55"/>
  <c r="DJ135" i="55"/>
  <c r="DM173" i="55"/>
  <c r="DJ145" i="55"/>
  <c r="DL15" i="55"/>
  <c r="DM32" i="55"/>
  <c r="DL49" i="55"/>
  <c r="FD53" i="55"/>
  <c r="DO65" i="55"/>
  <c r="FE71" i="55"/>
  <c r="DM82" i="55"/>
  <c r="BS73" i="55"/>
  <c r="BT109" i="55"/>
  <c r="BV119" i="55"/>
  <c r="BW122" i="55"/>
  <c r="EQ119" i="55"/>
  <c r="DJ133" i="55"/>
  <c r="BW155" i="55"/>
  <c r="DH152" i="55"/>
  <c r="BP154" i="55"/>
  <c r="FD161" i="55"/>
  <c r="DL12" i="55"/>
  <c r="DO18" i="55"/>
  <c r="EQ20" i="55"/>
  <c r="BP34" i="55"/>
  <c r="DH37" i="55"/>
  <c r="BP46" i="55"/>
  <c r="DK44" i="55"/>
  <c r="DG66" i="55"/>
  <c r="DM51" i="55"/>
  <c r="DH53" i="55"/>
  <c r="FC53" i="55"/>
  <c r="DO55" i="55"/>
  <c r="FD99" i="55"/>
  <c r="DL103" i="55"/>
  <c r="BU128" i="55"/>
  <c r="BR136" i="55"/>
  <c r="FD133" i="55"/>
  <c r="FD145" i="55"/>
  <c r="DN170" i="55"/>
  <c r="EQ164" i="55"/>
  <c r="DJ141" i="55"/>
  <c r="DK8" i="55"/>
  <c r="FC12" i="55"/>
  <c r="BS21" i="55"/>
  <c r="BQ31" i="55"/>
  <c r="DM30" i="55"/>
  <c r="BQ48" i="55"/>
  <c r="FC39" i="55"/>
  <c r="DH52" i="55"/>
  <c r="DJ53" i="55"/>
  <c r="DH63" i="55"/>
  <c r="DI57" i="55"/>
  <c r="BO70" i="55"/>
  <c r="DM78" i="55"/>
  <c r="DK84" i="55"/>
  <c r="BR101" i="55"/>
  <c r="DH93" i="55"/>
  <c r="DI100" i="55"/>
  <c r="BS99" i="55"/>
  <c r="BO111" i="55"/>
  <c r="DM126" i="55"/>
  <c r="DL125" i="55"/>
  <c r="DJ149" i="55"/>
  <c r="DG37" i="55"/>
  <c r="DO67" i="55"/>
  <c r="BO90" i="55"/>
  <c r="BS103" i="55"/>
  <c r="BQ108" i="55"/>
  <c r="DN87" i="55"/>
  <c r="BV113" i="55"/>
  <c r="DN136" i="55"/>
  <c r="DI144" i="55"/>
  <c r="DI112" i="55"/>
  <c r="BP142" i="55"/>
  <c r="BT156" i="55"/>
  <c r="DL153" i="55"/>
  <c r="FD154" i="55"/>
  <c r="DI28" i="55"/>
  <c r="BW51" i="55"/>
  <c r="DH67" i="55"/>
  <c r="DM84" i="55"/>
  <c r="FD92" i="55"/>
  <c r="BR99" i="55"/>
  <c r="DJ107" i="55"/>
  <c r="BV114" i="55"/>
  <c r="DK124" i="55"/>
  <c r="DL122" i="55"/>
  <c r="DL127" i="55"/>
  <c r="BR151" i="55"/>
  <c r="DL172" i="55"/>
  <c r="DK166" i="55"/>
  <c r="BU144" i="55"/>
  <c r="DN107" i="55"/>
  <c r="FC122" i="55"/>
  <c r="DO166" i="55"/>
  <c r="DM178" i="55"/>
  <c r="DO185" i="55"/>
  <c r="DH190" i="55"/>
  <c r="DI250" i="55"/>
  <c r="DN209" i="55"/>
  <c r="DG265" i="55"/>
  <c r="DG321" i="55"/>
  <c r="DI282" i="55"/>
  <c r="DO244" i="55"/>
  <c r="DO262" i="55"/>
  <c r="DG348" i="55"/>
  <c r="DM329" i="55"/>
  <c r="DK292" i="55"/>
  <c r="DK35" i="55"/>
  <c r="FD49" i="55"/>
  <c r="EQ68" i="55"/>
  <c r="FC16" i="55"/>
  <c r="DJ23" i="55"/>
  <c r="DH162" i="55"/>
  <c r="DK17" i="55"/>
  <c r="BV102" i="55"/>
  <c r="DN189" i="55"/>
  <c r="BP61" i="55"/>
  <c r="DO128" i="55"/>
  <c r="BQ16" i="55"/>
  <c r="DO75" i="55"/>
  <c r="BO102" i="55"/>
  <c r="DN75" i="55"/>
  <c r="DM148" i="55"/>
  <c r="BW148" i="55"/>
  <c r="BT21" i="55"/>
  <c r="DH106" i="55"/>
  <c r="BT128" i="55"/>
  <c r="DN145" i="55"/>
  <c r="EQ157" i="55"/>
  <c r="BV16" i="55"/>
  <c r="BS30" i="55"/>
  <c r="DI42" i="55"/>
  <c r="BO63" i="55"/>
  <c r="BO76" i="55"/>
  <c r="BU81" i="55"/>
  <c r="DH48" i="55"/>
  <c r="BS81" i="55"/>
  <c r="BS115" i="55"/>
  <c r="BW108" i="55"/>
  <c r="BT127" i="55"/>
  <c r="BT125" i="55"/>
  <c r="DG137" i="55"/>
  <c r="DG158" i="55"/>
  <c r="EQ155" i="55"/>
  <c r="BO157" i="55"/>
  <c r="FD166" i="55"/>
  <c r="DG16" i="55"/>
  <c r="DH22" i="55"/>
  <c r="BS23" i="55"/>
  <c r="BQ37" i="55"/>
  <c r="FC40" i="55"/>
  <c r="DK48" i="55"/>
  <c r="DK47" i="55"/>
  <c r="DI69" i="55"/>
  <c r="BQ51" i="55"/>
  <c r="BO59" i="55"/>
  <c r="DG59" i="55"/>
  <c r="DN72" i="55"/>
  <c r="BT88" i="55"/>
  <c r="FD90" i="55"/>
  <c r="DN132" i="55"/>
  <c r="EQ139" i="55"/>
  <c r="BR114" i="55"/>
  <c r="BT150" i="55"/>
  <c r="DH176" i="55"/>
  <c r="DG170" i="55"/>
  <c r="DN148" i="55"/>
  <c r="DO11" i="55"/>
  <c r="DO17" i="55"/>
  <c r="BQ24" i="55"/>
  <c r="BO34" i="55"/>
  <c r="BT33" i="55"/>
  <c r="FE32" i="55"/>
  <c r="FE42" i="55"/>
  <c r="DI55" i="55"/>
  <c r="BO57" i="55"/>
  <c r="DL67" i="55"/>
  <c r="BW62" i="55"/>
  <c r="BT68" i="55"/>
  <c r="DM81" i="55"/>
  <c r="FD76" i="55"/>
  <c r="FD68" i="55"/>
  <c r="BW99" i="55"/>
  <c r="BV104" i="55"/>
  <c r="DK102" i="55"/>
  <c r="BO114" i="55"/>
  <c r="BV129" i="55"/>
  <c r="BS129" i="55"/>
  <c r="DG116" i="55"/>
  <c r="BR49" i="55"/>
  <c r="FE61" i="55"/>
  <c r="FE81" i="55"/>
  <c r="FE83" i="55"/>
  <c r="FE111" i="55"/>
  <c r="DL96" i="55"/>
  <c r="BO118" i="55"/>
  <c r="BU140" i="55"/>
  <c r="BP148" i="55"/>
  <c r="BO120" i="55"/>
  <c r="DK144" i="55"/>
  <c r="DJ159" i="55"/>
  <c r="DN156" i="55"/>
  <c r="FC157" i="55"/>
  <c r="DJ30" i="55"/>
  <c r="BS64" i="55"/>
  <c r="DJ79" i="55"/>
  <c r="BW88" i="55"/>
  <c r="BS97" i="55"/>
  <c r="BP105" i="55"/>
  <c r="EQ94" i="55"/>
  <c r="EQ120" i="55"/>
  <c r="FC129" i="55"/>
  <c r="BR126" i="55"/>
  <c r="DO130" i="55"/>
  <c r="BS136" i="55"/>
  <c r="EQ177" i="55"/>
  <c r="FC171" i="55"/>
  <c r="DN96" i="55"/>
  <c r="FD106" i="55"/>
  <c r="BP135" i="55"/>
  <c r="DO152" i="55"/>
  <c r="DG193" i="55"/>
  <c r="DG194" i="55"/>
  <c r="DI198" i="55"/>
  <c r="DJ257" i="55"/>
  <c r="DO216" i="55"/>
  <c r="DL272" i="55"/>
  <c r="DK326" i="55"/>
  <c r="DI290" i="55"/>
  <c r="DN253" i="55"/>
  <c r="DM270" i="55"/>
  <c r="DL353" i="55"/>
  <c r="DL338" i="55"/>
  <c r="DI306" i="55"/>
  <c r="BO49" i="55"/>
  <c r="FE64" i="55"/>
  <c r="DG79" i="55"/>
  <c r="BS76" i="55"/>
  <c r="DG73" i="55"/>
  <c r="BW16" i="55"/>
  <c r="DO33" i="55"/>
  <c r="BR129" i="55"/>
  <c r="BS10" i="55"/>
  <c r="EQ61" i="55"/>
  <c r="BV127" i="55"/>
  <c r="EQ21" i="55"/>
  <c r="FD71" i="55"/>
  <c r="DG111" i="55"/>
  <c r="DL73" i="55"/>
  <c r="DK126" i="55"/>
  <c r="DI158" i="55"/>
  <c r="DI25" i="55"/>
  <c r="DI111" i="55"/>
  <c r="EQ132" i="55"/>
  <c r="DK150" i="55"/>
  <c r="FD160" i="55"/>
  <c r="DH13" i="55"/>
  <c r="BW33" i="55"/>
  <c r="BV45" i="55"/>
  <c r="EQ65" i="55"/>
  <c r="BQ52" i="55"/>
  <c r="BO75" i="55"/>
  <c r="BQ62" i="55"/>
  <c r="BR76" i="55"/>
  <c r="BU91" i="55"/>
  <c r="DK121" i="55"/>
  <c r="BQ131" i="55"/>
  <c r="FC128" i="55"/>
  <c r="DO141" i="55"/>
  <c r="DH164" i="55"/>
  <c r="FC158" i="55"/>
  <c r="FC159" i="55"/>
  <c r="DK172" i="55"/>
  <c r="DM19" i="55"/>
  <c r="FD12" i="55"/>
  <c r="DI27" i="55"/>
  <c r="FD26" i="55"/>
  <c r="BS44" i="55"/>
  <c r="DO35" i="55"/>
  <c r="BQ44" i="55"/>
  <c r="BQ49" i="55"/>
  <c r="FE55" i="55"/>
  <c r="BQ65" i="55"/>
  <c r="DN64" i="55"/>
  <c r="BW68" i="55"/>
  <c r="FC89" i="55"/>
  <c r="DL102" i="55"/>
  <c r="DJ136" i="55"/>
  <c r="BT144" i="55"/>
  <c r="DJ121" i="55"/>
  <c r="FE127" i="55"/>
  <c r="DM182" i="55"/>
  <c r="DH141" i="55"/>
  <c r="BV153" i="55"/>
  <c r="BQ15" i="55"/>
  <c r="BO11" i="55"/>
  <c r="DJ11" i="55"/>
  <c r="BP25" i="55"/>
  <c r="FE26" i="55"/>
  <c r="FD37" i="55"/>
  <c r="DN36" i="55"/>
  <c r="DH58" i="55"/>
  <c r="BR60" i="55"/>
  <c r="DG71" i="55"/>
  <c r="FC66" i="55"/>
  <c r="BQ76" i="55"/>
  <c r="DL84" i="55"/>
  <c r="BO83" i="55"/>
  <c r="FE82" i="55"/>
  <c r="DO103" i="55"/>
  <c r="BT107" i="55"/>
  <c r="BO106" i="55"/>
  <c r="BQ117" i="55"/>
  <c r="BQ132" i="55"/>
  <c r="BV132" i="55"/>
  <c r="FC120" i="55"/>
  <c r="BT59" i="55"/>
  <c r="BR71" i="55"/>
  <c r="BR74" i="55"/>
  <c r="DL87" i="55"/>
  <c r="DJ87" i="55"/>
  <c r="EQ101" i="55"/>
  <c r="FC121" i="55"/>
  <c r="DO42" i="55"/>
  <c r="DH86" i="55"/>
  <c r="DJ27" i="55"/>
  <c r="DL32" i="55"/>
  <c r="BT116" i="55"/>
  <c r="FC15" i="55"/>
  <c r="BO68" i="55"/>
  <c r="BO142" i="55"/>
  <c r="BO30" i="55"/>
  <c r="BQ81" i="55"/>
  <c r="FE100" i="55"/>
  <c r="DN111" i="55"/>
  <c r="DH127" i="55"/>
  <c r="BP157" i="55"/>
  <c r="BU29" i="55"/>
  <c r="DH130" i="55"/>
  <c r="DI140" i="55"/>
  <c r="BS158" i="55"/>
  <c r="FD170" i="55"/>
  <c r="EQ24" i="55"/>
  <c r="BV26" i="55"/>
  <c r="BV34" i="55"/>
  <c r="DH45" i="55"/>
  <c r="DK63" i="55"/>
  <c r="DH71" i="55"/>
  <c r="DK55" i="55"/>
  <c r="BV85" i="55"/>
  <c r="DN101" i="55"/>
  <c r="DM127" i="55"/>
  <c r="DI135" i="55"/>
  <c r="DH132" i="55"/>
  <c r="BT145" i="55"/>
  <c r="DM169" i="55"/>
  <c r="DL163" i="55"/>
  <c r="BQ139" i="55"/>
  <c r="DN9" i="55"/>
  <c r="BQ12" i="55"/>
  <c r="DG20" i="55"/>
  <c r="BV30" i="55"/>
  <c r="DO29" i="55"/>
  <c r="BV47" i="55"/>
  <c r="BR39" i="55"/>
  <c r="DO51" i="55"/>
  <c r="EQ52" i="55"/>
  <c r="BS62" i="55"/>
  <c r="BT56" i="55"/>
  <c r="DL68" i="55"/>
  <c r="BS67" i="55"/>
  <c r="DN108" i="55"/>
  <c r="EQ108" i="55"/>
  <c r="BQ140" i="55"/>
  <c r="DO147" i="55"/>
  <c r="DL126" i="55"/>
  <c r="BO145" i="55"/>
  <c r="FC142" i="55"/>
  <c r="BQ147" i="55"/>
  <c r="BW156" i="55"/>
  <c r="DM8" i="55"/>
  <c r="FC14" i="55"/>
  <c r="DH20" i="55"/>
  <c r="DH28" i="55"/>
  <c r="DL29" i="55"/>
  <c r="FD40" i="55"/>
  <c r="DM39" i="55"/>
  <c r="DK61" i="55"/>
  <c r="BT63" i="55"/>
  <c r="BU74" i="55"/>
  <c r="DM70" i="55"/>
  <c r="FC79" i="55"/>
  <c r="DG82" i="55"/>
  <c r="BS86" i="55"/>
  <c r="BT86" i="55"/>
  <c r="DN106" i="55"/>
  <c r="BR110" i="55"/>
  <c r="DL89" i="55"/>
  <c r="BU120" i="55"/>
  <c r="BR135" i="55"/>
  <c r="BO135" i="55"/>
  <c r="BQ25" i="55"/>
  <c r="DO70" i="55"/>
  <c r="DM80" i="55"/>
  <c r="EQ83" i="55"/>
  <c r="DH91" i="55"/>
  <c r="DN97" i="55"/>
  <c r="DL106" i="55"/>
  <c r="DH108" i="55"/>
  <c r="DM123" i="55"/>
  <c r="EQ121" i="55"/>
  <c r="FC126" i="55"/>
  <c r="DI150" i="55"/>
  <c r="DG171" i="55"/>
  <c r="FD164" i="55"/>
  <c r="BU142" i="55"/>
  <c r="DK41" i="55"/>
  <c r="BV75" i="55"/>
  <c r="BO84" i="55"/>
  <c r="DJ96" i="55"/>
  <c r="DH100" i="55"/>
  <c r="BW112" i="55"/>
  <c r="EQ106" i="55"/>
  <c r="BO130" i="55"/>
  <c r="BP137" i="55"/>
  <c r="BO132" i="55"/>
  <c r="FD136" i="55"/>
  <c r="BO150" i="55"/>
  <c r="DN144" i="55"/>
  <c r="DL148" i="55"/>
  <c r="BW97" i="55"/>
  <c r="BQ121" i="55"/>
  <c r="BP140" i="55"/>
  <c r="BR155" i="55"/>
  <c r="DN210" i="55"/>
  <c r="DM208" i="55"/>
  <c r="DI213" i="55"/>
  <c r="DI167" i="55"/>
  <c r="DH231" i="55"/>
  <c r="DL287" i="55"/>
  <c r="DM235" i="55"/>
  <c r="DM305" i="55"/>
  <c r="DO271" i="55"/>
  <c r="DK290" i="55"/>
  <c r="DG369" i="55"/>
  <c r="DM353" i="55"/>
  <c r="DG336" i="55"/>
  <c r="DN40" i="55"/>
  <c r="DN58" i="55"/>
  <c r="BP16" i="55"/>
  <c r="DN82" i="55"/>
  <c r="EQ100" i="55"/>
  <c r="FC41" i="55"/>
  <c r="BW55" i="55"/>
  <c r="DK146" i="55"/>
  <c r="BU35" i="55"/>
  <c r="DN92" i="55"/>
  <c r="DI182" i="55"/>
  <c r="BP31" i="55"/>
  <c r="BU84" i="55"/>
  <c r="BS93" i="55"/>
  <c r="BU118" i="55"/>
  <c r="DK139" i="55"/>
  <c r="FC169" i="55"/>
  <c r="BT69" i="55"/>
  <c r="BP112" i="55"/>
  <c r="BR148" i="55"/>
  <c r="DL167" i="55"/>
  <c r="BT10" i="55"/>
  <c r="DM22" i="55"/>
  <c r="EQ31" i="55"/>
  <c r="BW41" i="55"/>
  <c r="BT55" i="55"/>
  <c r="FC59" i="55"/>
  <c r="BS80" i="55"/>
  <c r="DI73" i="55"/>
  <c r="BV97" i="55"/>
  <c r="BV86" i="55"/>
  <c r="BT131" i="55"/>
  <c r="BP139" i="55"/>
  <c r="FC110" i="55"/>
  <c r="DO148" i="55"/>
  <c r="DN174" i="55"/>
  <c r="EQ168" i="55"/>
  <c r="BS147" i="55"/>
  <c r="BP11" i="55"/>
  <c r="BO17" i="55"/>
  <c r="BV23" i="55"/>
  <c r="BV33" i="55"/>
  <c r="DG32" i="55"/>
  <c r="DJ50" i="55"/>
  <c r="BQ42" i="55"/>
  <c r="DN54" i="55"/>
  <c r="BV56" i="55"/>
  <c r="FE66" i="55"/>
  <c r="BQ61" i="55"/>
  <c r="DM52" i="55"/>
  <c r="DJ77" i="55"/>
  <c r="DJ98" i="55"/>
  <c r="DH114" i="55"/>
  <c r="EQ117" i="55"/>
  <c r="FE113" i="55"/>
  <c r="DK130" i="55"/>
  <c r="DL152" i="55"/>
  <c r="BU148" i="55"/>
  <c r="DG151" i="55"/>
  <c r="BW159" i="55"/>
  <c r="BQ10" i="55"/>
  <c r="BR18" i="55"/>
  <c r="EQ12" i="55"/>
  <c r="DL31" i="55"/>
  <c r="DG34" i="55"/>
  <c r="DO43" i="55"/>
  <c r="DG42" i="55"/>
  <c r="BV64" i="55"/>
  <c r="DL48" i="55"/>
  <c r="DI77" i="55"/>
  <c r="DO73" i="55"/>
  <c r="DI72" i="55"/>
  <c r="BQ86" i="55"/>
  <c r="BP89" i="55"/>
  <c r="BQ89" i="55"/>
  <c r="DH109" i="55"/>
  <c r="BP113" i="55"/>
  <c r="DM96" i="55"/>
  <c r="DH123" i="55"/>
  <c r="BQ138" i="55"/>
  <c r="EQ137" i="55"/>
  <c r="DH27" i="55"/>
  <c r="DO60" i="55"/>
  <c r="DH77" i="55"/>
  <c r="DK87" i="55"/>
  <c r="DG96" i="55"/>
  <c r="DK103" i="55"/>
  <c r="FC93" i="55"/>
  <c r="BP120" i="55"/>
  <c r="DG128" i="55"/>
  <c r="DI125" i="55"/>
  <c r="BR130" i="55"/>
  <c r="BU153" i="55"/>
  <c r="DL176" i="55"/>
  <c r="DK170" i="55"/>
  <c r="EQ93" i="55"/>
  <c r="DK37" i="55"/>
  <c r="DK53" i="55"/>
  <c r="DI85" i="55"/>
  <c r="BQ100" i="55"/>
  <c r="BS105" i="55"/>
  <c r="BO117" i="55"/>
  <c r="DI110" i="55"/>
  <c r="DK133" i="55"/>
  <c r="DI141" i="55"/>
  <c r="FE134" i="55"/>
  <c r="DO139" i="55"/>
  <c r="BR154" i="55"/>
  <c r="FE149" i="55"/>
  <c r="DJ152" i="55"/>
  <c r="BW105" i="55"/>
  <c r="DO133" i="55"/>
  <c r="BV151" i="55"/>
  <c r="DI161" i="55"/>
  <c r="DO217" i="55"/>
  <c r="DN215" i="55"/>
  <c r="DJ220" i="55"/>
  <c r="DN180" i="55"/>
  <c r="DJ238" i="55"/>
  <c r="DL295" i="55"/>
  <c r="DK246" i="55"/>
  <c r="DH313" i="55"/>
  <c r="DG279" i="55"/>
  <c r="DM303" i="55"/>
  <c r="DI376" i="55"/>
  <c r="DK359" i="55"/>
  <c r="DJ343" i="55"/>
  <c r="BT43" i="55"/>
  <c r="DH74" i="55"/>
  <c r="BU113" i="55"/>
  <c r="DG87" i="55"/>
  <c r="EQ149" i="55"/>
  <c r="DJ64" i="55"/>
  <c r="DH138" i="55"/>
  <c r="DH35" i="55"/>
  <c r="BO121" i="55"/>
  <c r="BR14" i="55"/>
  <c r="DN46" i="55"/>
  <c r="BQ116" i="55"/>
  <c r="DG91" i="55"/>
  <c r="BW128" i="55"/>
  <c r="FE141" i="55"/>
  <c r="DI91" i="55"/>
  <c r="DL114" i="55"/>
  <c r="EQ142" i="55"/>
  <c r="EQ90" i="55"/>
  <c r="DG225" i="55"/>
  <c r="DH236" i="55"/>
  <c r="DK233" i="55"/>
  <c r="DM350" i="55"/>
  <c r="DN85" i="55"/>
  <c r="DH85" i="55"/>
  <c r="BP114" i="55"/>
  <c r="BR100" i="55"/>
  <c r="DH119" i="55"/>
  <c r="FD112" i="55"/>
  <c r="FC108" i="55"/>
  <c r="DO121" i="55"/>
  <c r="BR146" i="55"/>
  <c r="DG163" i="55"/>
  <c r="BW158" i="55"/>
  <c r="BV159" i="55"/>
  <c r="DO111" i="55"/>
  <c r="DG136" i="55"/>
  <c r="DG178" i="55"/>
  <c r="DH183" i="55"/>
  <c r="DJ168" i="55"/>
  <c r="FE171" i="55"/>
  <c r="DJ236" i="55"/>
  <c r="DM199" i="55"/>
  <c r="DK249" i="55"/>
  <c r="DO311" i="55"/>
  <c r="DL269" i="55"/>
  <c r="DO330" i="55"/>
  <c r="DG247" i="55"/>
  <c r="DI336" i="55"/>
  <c r="DH303" i="55"/>
  <c r="DL373" i="55"/>
  <c r="DH360" i="55"/>
  <c r="DN347" i="55"/>
  <c r="FD67" i="55"/>
  <c r="BR79" i="55"/>
  <c r="BV82" i="55"/>
  <c r="DO90" i="55"/>
  <c r="BW96" i="55"/>
  <c r="BU105" i="55"/>
  <c r="BS125" i="55"/>
  <c r="DK122" i="55"/>
  <c r="FE119" i="55"/>
  <c r="BS126" i="55"/>
  <c r="DL149" i="55"/>
  <c r="EQ169" i="55"/>
  <c r="FC163" i="55"/>
  <c r="BW140" i="55"/>
  <c r="BT101" i="55"/>
  <c r="FC111" i="55"/>
  <c r="DO157" i="55"/>
  <c r="DO169" i="55"/>
  <c r="DJ180" i="55"/>
  <c r="DN184" i="55"/>
  <c r="DI246" i="55"/>
  <c r="DO206" i="55"/>
  <c r="DI260" i="55"/>
  <c r="DK318" i="55"/>
  <c r="DK278" i="55"/>
  <c r="DH240" i="55"/>
  <c r="DM258" i="55"/>
  <c r="DJ345" i="55"/>
  <c r="DM321" i="55"/>
  <c r="DG286" i="55"/>
  <c r="DM369" i="55"/>
  <c r="DI357" i="55"/>
  <c r="DH326" i="55"/>
  <c r="DK301" i="55"/>
  <c r="DL375" i="55"/>
  <c r="BU150" i="55"/>
  <c r="DM225" i="55"/>
  <c r="DG253" i="55"/>
  <c r="DK283" i="55"/>
  <c r="DO343" i="55"/>
  <c r="DJ248" i="55"/>
  <c r="DI324" i="55"/>
  <c r="EQ103" i="55"/>
  <c r="DK128" i="55"/>
  <c r="DK163" i="55"/>
  <c r="DK176" i="55"/>
  <c r="DG229" i="55"/>
  <c r="FE156" i="55"/>
  <c r="DK231" i="55"/>
  <c r="DM194" i="55"/>
  <c r="DH243" i="55"/>
  <c r="FE126" i="55"/>
  <c r="DG263" i="55"/>
  <c r="DI296" i="55"/>
  <c r="DJ344" i="55"/>
  <c r="DI359" i="55"/>
  <c r="DN281" i="55"/>
  <c r="DH372" i="55"/>
  <c r="DN118" i="55"/>
  <c r="BQ143" i="55"/>
  <c r="BO146" i="55"/>
  <c r="DG189" i="55"/>
  <c r="DG174" i="55"/>
  <c r="FE176" i="55"/>
  <c r="DM240" i="55"/>
  <c r="DG203" i="55"/>
  <c r="DM254" i="55"/>
  <c r="DO314" i="55"/>
  <c r="DL273" i="55"/>
  <c r="DN231" i="55"/>
  <c r="DK252" i="55"/>
  <c r="DI340" i="55"/>
  <c r="DJ310" i="55"/>
  <c r="DJ378" i="55"/>
  <c r="DL364" i="55"/>
  <c r="DJ352" i="55"/>
  <c r="DL243" i="55"/>
  <c r="DI122" i="55"/>
  <c r="BQ112" i="55"/>
  <c r="FD9" i="55"/>
  <c r="DL97" i="55"/>
  <c r="BQ152" i="55"/>
  <c r="DO57" i="55"/>
  <c r="DG123" i="55"/>
  <c r="BU20" i="55"/>
  <c r="EQ54" i="55"/>
  <c r="BR102" i="55"/>
  <c r="FE86" i="55"/>
  <c r="DJ123" i="55"/>
  <c r="DL161" i="55"/>
  <c r="FC92" i="55"/>
  <c r="DO125" i="55"/>
  <c r="BO144" i="55"/>
  <c r="FC118" i="55"/>
  <c r="DN200" i="55"/>
  <c r="DM279" i="55"/>
  <c r="DN277" i="55"/>
  <c r="DM44" i="55"/>
  <c r="BO81" i="55"/>
  <c r="BR90" i="55"/>
  <c r="DL93" i="55"/>
  <c r="DH104" i="55"/>
  <c r="BU124" i="55"/>
  <c r="DK120" i="55"/>
  <c r="BO119" i="55"/>
  <c r="BU125" i="55"/>
  <c r="BO149" i="55"/>
  <c r="DL168" i="55"/>
  <c r="DK162" i="55"/>
  <c r="BU137" i="55"/>
  <c r="FE96" i="55"/>
  <c r="BT148" i="55"/>
  <c r="DL154" i="55"/>
  <c r="DN164" i="55"/>
  <c r="DO177" i="55"/>
  <c r="DG182" i="55"/>
  <c r="DI244" i="55"/>
  <c r="DK205" i="55"/>
  <c r="DI258" i="55"/>
  <c r="DG317" i="55"/>
  <c r="DM276" i="55"/>
  <c r="DG237" i="55"/>
  <c r="DM256" i="55"/>
  <c r="DH343" i="55"/>
  <c r="DM317" i="55"/>
  <c r="DK282" i="55"/>
  <c r="DO367" i="55"/>
  <c r="FE22" i="55"/>
  <c r="DL57" i="55"/>
  <c r="EQ75" i="55"/>
  <c r="FC86" i="55"/>
  <c r="DK94" i="55"/>
  <c r="BU102" i="55"/>
  <c r="DN91" i="55"/>
  <c r="DG117" i="55"/>
  <c r="DJ127" i="55"/>
  <c r="DG124" i="55"/>
  <c r="BQ129" i="55"/>
  <c r="DM152" i="55"/>
  <c r="DG175" i="55"/>
  <c r="FD168" i="55"/>
  <c r="DN90" i="55"/>
  <c r="DG100" i="55"/>
  <c r="BT129" i="55"/>
  <c r="DJ143" i="55"/>
  <c r="DK186" i="55"/>
  <c r="DG190" i="55"/>
  <c r="DL194" i="55"/>
  <c r="DG254" i="55"/>
  <c r="DJ213" i="55"/>
  <c r="DG269" i="55"/>
  <c r="DO323" i="55"/>
  <c r="DI286" i="55"/>
  <c r="DH249" i="55"/>
  <c r="DH267" i="55"/>
  <c r="DO350" i="55"/>
  <c r="DH335" i="55"/>
  <c r="DO298" i="55"/>
  <c r="DK376" i="55"/>
  <c r="DJ365" i="55"/>
  <c r="DK243" i="55"/>
  <c r="DI343" i="55"/>
  <c r="DJ94" i="55"/>
  <c r="BV149" i="55"/>
  <c r="DK255" i="55"/>
  <c r="DI288" i="55"/>
  <c r="DG337" i="55"/>
  <c r="DI355" i="55"/>
  <c r="DH278" i="55"/>
  <c r="DI365" i="55"/>
  <c r="DH115" i="55"/>
  <c r="BR140" i="55"/>
  <c r="FC140" i="55"/>
  <c r="DL186" i="55"/>
  <c r="DN172" i="55"/>
  <c r="DL175" i="55"/>
  <c r="DM238" i="55"/>
  <c r="DO201" i="55"/>
  <c r="DG252" i="55"/>
  <c r="DG67" i="55"/>
  <c r="BT110" i="55"/>
  <c r="FD21" i="55"/>
  <c r="FC100" i="55"/>
  <c r="BT14" i="55"/>
  <c r="BQ59" i="55"/>
  <c r="DN121" i="55"/>
  <c r="DJ21" i="55"/>
  <c r="BU55" i="55"/>
  <c r="DM112" i="55"/>
  <c r="FD107" i="55"/>
  <c r="FD132" i="55"/>
  <c r="BU80" i="55"/>
  <c r="BW77" i="55"/>
  <c r="BW137" i="55"/>
  <c r="FD156" i="55"/>
  <c r="FD119" i="55"/>
  <c r="DO222" i="55"/>
  <c r="DJ303" i="55"/>
  <c r="DI318" i="55"/>
  <c r="BT53" i="55"/>
  <c r="DG85" i="55"/>
  <c r="DN93" i="55"/>
  <c r="DH101" i="55"/>
  <c r="DG86" i="55"/>
  <c r="BP116" i="55"/>
  <c r="DJ126" i="55"/>
  <c r="DN123" i="55"/>
  <c r="DI128" i="55"/>
  <c r="FC151" i="55"/>
  <c r="EQ173" i="55"/>
  <c r="FC167" i="55"/>
  <c r="BS146" i="55"/>
  <c r="BO94" i="55"/>
  <c r="BV126" i="55"/>
  <c r="DI172" i="55"/>
  <c r="DK182" i="55"/>
  <c r="DO187" i="55"/>
  <c r="DO192" i="55"/>
  <c r="DI252" i="55"/>
  <c r="DL211" i="55"/>
  <c r="DI267" i="55"/>
  <c r="DK322" i="55"/>
  <c r="DI284" i="55"/>
  <c r="DL246" i="55"/>
  <c r="DL264" i="55"/>
  <c r="DK349" i="55"/>
  <c r="DN332" i="55"/>
  <c r="DJ295" i="55"/>
  <c r="DG375" i="55"/>
  <c r="BT39" i="55"/>
  <c r="FC48" i="55"/>
  <c r="DH73" i="55"/>
  <c r="DJ90" i="55"/>
  <c r="BU99" i="55"/>
  <c r="DG106" i="55"/>
  <c r="BS100" i="55"/>
  <c r="BP124" i="55"/>
  <c r="BU131" i="55"/>
  <c r="DK127" i="55"/>
  <c r="BT132" i="55"/>
  <c r="BW141" i="55"/>
  <c r="DI181" i="55"/>
  <c r="FE139" i="55"/>
  <c r="EQ102" i="55"/>
  <c r="DJ112" i="55"/>
  <c r="BP121" i="55"/>
  <c r="EQ158" i="55"/>
  <c r="DG198" i="55"/>
  <c r="DI197" i="55"/>
  <c r="DN201" i="55"/>
  <c r="DI261" i="55"/>
  <c r="DK220" i="55"/>
  <c r="DH276" i="55"/>
  <c r="DG329" i="55"/>
  <c r="DI294" i="55"/>
  <c r="DL258" i="55"/>
  <c r="DI274" i="55"/>
  <c r="DN357" i="55"/>
  <c r="DH342" i="55"/>
  <c r="DM314" i="55"/>
  <c r="DJ290" i="55"/>
  <c r="DO374" i="55"/>
  <c r="DK266" i="55"/>
  <c r="DL365" i="55"/>
  <c r="BR82" i="55"/>
  <c r="DO168" i="55"/>
  <c r="DM187" i="55"/>
  <c r="DH319" i="55"/>
  <c r="DK363" i="55"/>
  <c r="DH371" i="55"/>
  <c r="DN261" i="55"/>
  <c r="DJ324" i="55"/>
  <c r="FD101" i="55"/>
  <c r="BP115" i="55"/>
  <c r="DH158" i="55"/>
  <c r="DH170" i="55"/>
  <c r="DK181" i="55"/>
  <c r="DK185" i="55"/>
  <c r="DM246" i="55"/>
  <c r="DG207" i="55"/>
  <c r="DO260" i="55"/>
  <c r="DI200" i="55"/>
  <c r="DI222" i="55"/>
  <c r="DL260" i="55"/>
  <c r="DM318" i="55"/>
  <c r="DG378" i="55"/>
  <c r="DM328" i="55"/>
  <c r="DK379" i="55"/>
  <c r="EQ104" i="55"/>
  <c r="FC132" i="55"/>
  <c r="BW150" i="55"/>
  <c r="DH191" i="55"/>
  <c r="DN192" i="55"/>
  <c r="DO196" i="55"/>
  <c r="DO255" i="55"/>
  <c r="DL215" i="55"/>
  <c r="DI271" i="55"/>
  <c r="DK325" i="55"/>
  <c r="DM288" i="55"/>
  <c r="DJ252" i="55"/>
  <c r="DJ269" i="55"/>
  <c r="DK352" i="55"/>
  <c r="DK337" i="55"/>
  <c r="DI303" i="55"/>
  <c r="DG280" i="55"/>
  <c r="DG379" i="55"/>
  <c r="DL308" i="55"/>
  <c r="DL137" i="55"/>
  <c r="DH148" i="55"/>
  <c r="BT31" i="55"/>
  <c r="DL135" i="55"/>
  <c r="BO10" i="55"/>
  <c r="DJ70" i="55"/>
  <c r="DG134" i="55"/>
  <c r="EQ34" i="55"/>
  <c r="DN76" i="55"/>
  <c r="FE102" i="55"/>
  <c r="BP101" i="55"/>
  <c r="DM147" i="55"/>
  <c r="DN45" i="55"/>
  <c r="BT90" i="55"/>
  <c r="DL133" i="55"/>
  <c r="DH136" i="55"/>
  <c r="FC127" i="55"/>
  <c r="DN205" i="55"/>
  <c r="DL332" i="55"/>
  <c r="DN361" i="55"/>
  <c r="BQ78" i="55"/>
  <c r="EQ89" i="55"/>
  <c r="FC97" i="55"/>
  <c r="EQ105" i="55"/>
  <c r="BQ98" i="55"/>
  <c r="BP122" i="55"/>
  <c r="DM130" i="55"/>
  <c r="DO126" i="55"/>
  <c r="DH131" i="55"/>
  <c r="BU139" i="55"/>
  <c r="DI179" i="55"/>
  <c r="DL136" i="55"/>
  <c r="DM99" i="55"/>
  <c r="DO109" i="55"/>
  <c r="BV116" i="55"/>
  <c r="FE155" i="55"/>
  <c r="DJ195" i="55"/>
  <c r="DK195" i="55"/>
  <c r="DG200" i="55"/>
  <c r="DJ259" i="55"/>
  <c r="DM218" i="55"/>
  <c r="DJ274" i="55"/>
  <c r="DO327" i="55"/>
  <c r="DI292" i="55"/>
  <c r="DL256" i="55"/>
  <c r="DK272" i="55"/>
  <c r="DN355" i="55"/>
  <c r="DN340" i="55"/>
  <c r="DM310" i="55"/>
  <c r="DK287" i="55"/>
  <c r="DJ34" i="55"/>
  <c r="DM68" i="55"/>
  <c r="FC80" i="55"/>
  <c r="BU94" i="55"/>
  <c r="DH96" i="55"/>
  <c r="DO110" i="55"/>
  <c r="DM104" i="55"/>
  <c r="EQ127" i="55"/>
  <c r="DM135" i="55"/>
  <c r="DJ130" i="55"/>
  <c r="DG135" i="55"/>
  <c r="BU147" i="55"/>
  <c r="FC141" i="55"/>
  <c r="BQ146" i="55"/>
  <c r="BO91" i="55"/>
  <c r="BW125" i="55"/>
  <c r="BR134" i="55"/>
  <c r="DI151" i="55"/>
  <c r="DH207" i="55"/>
  <c r="DM204" i="55"/>
  <c r="DM209" i="55"/>
  <c r="FE150" i="55"/>
  <c r="DL227" i="55"/>
  <c r="DL283" i="55"/>
  <c r="DK226" i="55"/>
  <c r="DH302" i="55"/>
  <c r="DJ268" i="55"/>
  <c r="DG284" i="55"/>
  <c r="DK365" i="55"/>
  <c r="DL349" i="55"/>
  <c r="DH330" i="55"/>
  <c r="DL303" i="55"/>
  <c r="DO366" i="55"/>
  <c r="DO238" i="55"/>
  <c r="DO290" i="55"/>
  <c r="DO94" i="55"/>
  <c r="DJ45" i="55"/>
  <c r="BV9" i="55"/>
  <c r="BP41" i="55"/>
  <c r="DK142" i="55"/>
  <c r="DJ26" i="55"/>
  <c r="FC65" i="55"/>
  <c r="BP156" i="55"/>
  <c r="BU38" i="55"/>
  <c r="BV89" i="55"/>
  <c r="DK140" i="55"/>
  <c r="EQ124" i="55"/>
  <c r="DL142" i="55"/>
  <c r="BV40" i="55"/>
  <c r="FE108" i="55"/>
  <c r="BR145" i="55"/>
  <c r="DH154" i="55"/>
  <c r="BV154" i="55"/>
  <c r="DK227" i="55"/>
  <c r="DJ255" i="55"/>
  <c r="DG287" i="55"/>
  <c r="BP71" i="55"/>
  <c r="DM93" i="55"/>
  <c r="BV95" i="55"/>
  <c r="DI109" i="55"/>
  <c r="DN103" i="55"/>
  <c r="BS127" i="55"/>
  <c r="DI134" i="55"/>
  <c r="EQ129" i="55"/>
  <c r="DK134" i="55"/>
  <c r="BW145" i="55"/>
  <c r="BO140" i="55"/>
  <c r="FE144" i="55"/>
  <c r="FC87" i="55"/>
  <c r="BQ122" i="55"/>
  <c r="BO131" i="55"/>
  <c r="FC148" i="55"/>
  <c r="DH205" i="55"/>
  <c r="DM202" i="55"/>
  <c r="DN207" i="55"/>
  <c r="DL266" i="55"/>
  <c r="DN225" i="55"/>
  <c r="DL281" i="55"/>
  <c r="DJ334" i="55"/>
  <c r="DI300" i="55"/>
  <c r="DJ265" i="55"/>
  <c r="DL279" i="55"/>
  <c r="DN363" i="55"/>
  <c r="DL347" i="55"/>
  <c r="DM326" i="55"/>
  <c r="DN300" i="55"/>
  <c r="BW47" i="55"/>
  <c r="BS56" i="55"/>
  <c r="DG81" i="55"/>
  <c r="FC98" i="55"/>
  <c r="DN102" i="55"/>
  <c r="DJ114" i="55"/>
  <c r="FD108" i="55"/>
  <c r="DI131" i="55"/>
  <c r="BT139" i="55"/>
  <c r="DI133" i="55"/>
  <c r="DI138" i="55"/>
  <c r="BR152" i="55"/>
  <c r="BO147" i="55"/>
  <c r="FC150" i="55"/>
  <c r="FD96" i="55"/>
  <c r="FD127" i="55"/>
  <c r="DM145" i="55"/>
  <c r="FD157" i="55"/>
  <c r="DJ214" i="55"/>
  <c r="DI212" i="55"/>
  <c r="DN216" i="55"/>
  <c r="DK174" i="55"/>
  <c r="DM234" i="55"/>
  <c r="DL291" i="55"/>
  <c r="DL241" i="55"/>
  <c r="DI309" i="55"/>
  <c r="DK275" i="55"/>
  <c r="DO296" i="55"/>
  <c r="DN372" i="55"/>
  <c r="DO356" i="55"/>
  <c r="DN339" i="55"/>
  <c r="DN318" i="55"/>
  <c r="DM359" i="55"/>
  <c r="DG268" i="55"/>
  <c r="DO336" i="55"/>
  <c r="BT114" i="55"/>
  <c r="DI223" i="55"/>
  <c r="DL232" i="55"/>
  <c r="DH229" i="55"/>
  <c r="DM348" i="55"/>
  <c r="DM355" i="55"/>
  <c r="DN356" i="55"/>
  <c r="DK97" i="55"/>
  <c r="DG113" i="55"/>
  <c r="BO122" i="55"/>
  <c r="DH159" i="55"/>
  <c r="DK198" i="55"/>
  <c r="DM197" i="55"/>
  <c r="DJ202" i="55"/>
  <c r="DM261" i="55"/>
  <c r="DO220" i="55"/>
  <c r="DN115" i="55"/>
  <c r="DG199" i="55"/>
  <c r="DO277" i="55"/>
  <c r="DG276" i="55"/>
  <c r="DI373" i="55"/>
  <c r="DO378" i="55"/>
  <c r="DI311" i="55"/>
  <c r="DL91" i="55"/>
  <c r="DO117" i="55"/>
  <c r="DO137" i="55"/>
  <c r="DO153" i="55"/>
  <c r="DK209" i="55"/>
  <c r="DI207" i="55"/>
  <c r="DO211" i="55"/>
  <c r="DJ164" i="55"/>
  <c r="DN229" i="55"/>
  <c r="DH286" i="55"/>
  <c r="DG233" i="55"/>
  <c r="DJ304" i="55"/>
  <c r="DL270" i="55"/>
  <c r="DG288" i="55"/>
  <c r="DM367" i="55"/>
  <c r="DH352" i="55"/>
  <c r="DK334" i="55"/>
  <c r="DK308" i="55"/>
  <c r="DL306" i="55"/>
  <c r="DM95" i="55"/>
  <c r="DL65" i="55"/>
  <c r="FC64" i="55"/>
  <c r="DM120" i="55"/>
  <c r="FE23" i="55"/>
  <c r="DL45" i="55"/>
  <c r="DG153" i="55"/>
  <c r="EQ46" i="55"/>
  <c r="BS92" i="55"/>
  <c r="DH42" i="55"/>
  <c r="BP118" i="55"/>
  <c r="EQ165" i="55"/>
  <c r="BV59" i="55"/>
  <c r="DK108" i="55"/>
  <c r="BP129" i="55"/>
  <c r="BT143" i="55"/>
  <c r="DJ144" i="55"/>
  <c r="DN264" i="55"/>
  <c r="DI298" i="55"/>
  <c r="DO345" i="55"/>
  <c r="BW78" i="55"/>
  <c r="DG97" i="55"/>
  <c r="BW101" i="55"/>
  <c r="EQ113" i="55"/>
  <c r="DG107" i="55"/>
  <c r="DL130" i="55"/>
  <c r="DG138" i="55"/>
  <c r="DL132" i="55"/>
  <c r="DK137" i="55"/>
  <c r="BQ151" i="55"/>
  <c r="FC145" i="55"/>
  <c r="BR150" i="55"/>
  <c r="BR88" i="55"/>
  <c r="BQ125" i="55"/>
  <c r="FD142" i="55"/>
  <c r="DH156" i="55"/>
  <c r="DL212" i="55"/>
  <c r="DK210" i="55"/>
  <c r="DG215" i="55"/>
  <c r="FE169" i="55"/>
  <c r="DO232" i="55"/>
  <c r="DL289" i="55"/>
  <c r="DH239" i="55"/>
  <c r="DK307" i="55"/>
  <c r="DM273" i="55"/>
  <c r="DJ293" i="55"/>
  <c r="DL370" i="55"/>
  <c r="DK355" i="55"/>
  <c r="DL337" i="55"/>
  <c r="DN314" i="55"/>
  <c r="DH43" i="55"/>
  <c r="DL63" i="55"/>
  <c r="BU88" i="55"/>
  <c r="DM102" i="55"/>
  <c r="BW107" i="55"/>
  <c r="DJ118" i="55"/>
  <c r="BU112" i="55"/>
  <c r="FC135" i="55"/>
  <c r="DO142" i="55"/>
  <c r="BS108" i="55"/>
  <c r="BV141" i="55"/>
  <c r="DH155" i="55"/>
  <c r="DN152" i="55"/>
  <c r="BT154" i="55"/>
  <c r="BT111" i="55"/>
  <c r="DL139" i="55"/>
  <c r="BW144" i="55"/>
  <c r="DI166" i="55"/>
  <c r="DK221" i="55"/>
  <c r="DJ219" i="55"/>
  <c r="DO223" i="55"/>
  <c r="DM185" i="55"/>
  <c r="DL229" i="55"/>
  <c r="DL299" i="55"/>
  <c r="DJ251" i="55"/>
  <c r="DH317" i="55"/>
  <c r="DN282" i="55"/>
  <c r="DI310" i="55"/>
  <c r="DI380" i="55"/>
  <c r="DG362" i="55"/>
  <c r="DM346" i="55"/>
  <c r="DG334" i="55"/>
  <c r="DL378" i="55"/>
  <c r="DJ301" i="55"/>
  <c r="DH359" i="55"/>
  <c r="BP104" i="55"/>
  <c r="DI192" i="55"/>
  <c r="DN270" i="55"/>
  <c r="DO268" i="55"/>
  <c r="DK371" i="55"/>
  <c r="DN373" i="55"/>
  <c r="DJ288" i="55"/>
  <c r="DM88" i="55"/>
  <c r="FE109" i="55"/>
  <c r="DO134" i="55"/>
  <c r="DN151" i="55"/>
  <c r="DL207" i="55"/>
  <c r="DI205" i="55"/>
  <c r="DH210" i="55"/>
  <c r="FE153" i="55"/>
  <c r="DG228" i="55"/>
  <c r="EQ130" i="55"/>
  <c r="DM163" i="55"/>
  <c r="DM308" i="55"/>
  <c r="DL330" i="55"/>
  <c r="DG297" i="55"/>
  <c r="DG303" i="55"/>
  <c r="DN354" i="55"/>
  <c r="BQ103" i="55"/>
  <c r="DM131" i="55"/>
  <c r="BS149" i="55"/>
  <c r="DM159" i="55"/>
  <c r="DL216" i="55"/>
  <c r="DK214" i="55"/>
  <c r="DG219" i="55"/>
  <c r="DK177" i="55"/>
  <c r="DO236" i="55"/>
  <c r="DH294" i="55"/>
  <c r="DN244" i="55"/>
  <c r="DL311" i="55"/>
  <c r="DM277" i="55"/>
  <c r="DO300" i="55"/>
  <c r="DL374" i="55"/>
  <c r="DK358" i="55"/>
  <c r="DL341" i="55"/>
  <c r="DM323" i="55"/>
  <c r="DH324" i="55"/>
  <c r="DH32" i="55"/>
  <c r="BQ153" i="55"/>
  <c r="DI45" i="55"/>
  <c r="DI183" i="55"/>
  <c r="DN155" i="55"/>
  <c r="DO364" i="55"/>
  <c r="DL117" i="55"/>
  <c r="DN135" i="55"/>
  <c r="DH153" i="55"/>
  <c r="DJ163" i="55"/>
  <c r="DK183" i="55"/>
  <c r="DH315" i="55"/>
  <c r="DO360" i="55"/>
  <c r="DI56" i="55"/>
  <c r="BR95" i="55"/>
  <c r="DG118" i="55"/>
  <c r="BS157" i="55"/>
  <c r="DN175" i="55"/>
  <c r="DI194" i="55"/>
  <c r="DH325" i="55"/>
  <c r="DK368" i="55"/>
  <c r="DG346" i="55"/>
  <c r="DK196" i="55"/>
  <c r="DO293" i="55"/>
  <c r="DI360" i="55"/>
  <c r="DL145" i="55"/>
  <c r="DM212" i="55"/>
  <c r="DN213" i="55"/>
  <c r="DN203" i="55"/>
  <c r="DN359" i="55"/>
  <c r="DN331" i="55"/>
  <c r="FD114" i="55"/>
  <c r="BW151" i="55"/>
  <c r="DM223" i="55"/>
  <c r="DH226" i="55"/>
  <c r="DL233" i="55"/>
  <c r="DM253" i="55"/>
  <c r="DN230" i="55"/>
  <c r="DJ284" i="55"/>
  <c r="DI349" i="55"/>
  <c r="DN245" i="55"/>
  <c r="DN297" i="55"/>
  <c r="DI92" i="55"/>
  <c r="FE112" i="55"/>
  <c r="DK135" i="55"/>
  <c r="FC144" i="55"/>
  <c r="DI240" i="55"/>
  <c r="DH273" i="55"/>
  <c r="DK309" i="55"/>
  <c r="DN351" i="55"/>
  <c r="DL259" i="55"/>
  <c r="DM349" i="55"/>
  <c r="DM109" i="55"/>
  <c r="DM134" i="55"/>
  <c r="FD173" i="55"/>
  <c r="DH181" i="55"/>
  <c r="DK165" i="55"/>
  <c r="DG169" i="55"/>
  <c r="DG235" i="55"/>
  <c r="DJ198" i="55"/>
  <c r="DN247" i="55"/>
  <c r="DO310" i="55"/>
  <c r="DI268" i="55"/>
  <c r="DL329" i="55"/>
  <c r="DO245" i="55"/>
  <c r="DM334" i="55"/>
  <c r="DJ300" i="55"/>
  <c r="DK372" i="55"/>
  <c r="DL358" i="55"/>
  <c r="DJ346" i="55"/>
  <c r="DL274" i="55"/>
  <c r="DN367" i="55"/>
  <c r="BP83" i="55"/>
  <c r="DI159" i="55"/>
  <c r="DJ176" i="55"/>
  <c r="DH311" i="55"/>
  <c r="DG358" i="55"/>
  <c r="DI363" i="55"/>
  <c r="DJ253" i="55"/>
  <c r="DK305" i="55"/>
  <c r="FE97" i="55"/>
  <c r="FD148" i="55"/>
  <c r="DI155" i="55"/>
  <c r="DG165" i="55"/>
  <c r="DH178" i="55"/>
  <c r="DO182" i="55"/>
  <c r="DM244" i="55"/>
  <c r="DO205" i="55"/>
  <c r="DO258" i="55"/>
  <c r="DK317" i="55"/>
  <c r="DH277" i="55"/>
  <c r="DO237" i="55"/>
  <c r="DH257" i="55"/>
  <c r="DL343" i="55"/>
  <c r="DJ318" i="55"/>
  <c r="DO283" i="55"/>
  <c r="DH368" i="55"/>
  <c r="DM357" i="55"/>
  <c r="DM257" i="55"/>
  <c r="DI320" i="55"/>
  <c r="EQ98" i="55"/>
  <c r="BQ123" i="55"/>
  <c r="DG141" i="55"/>
  <c r="DO155" i="55"/>
  <c r="DM211" i="55"/>
  <c r="DL209" i="55"/>
  <c r="DH214" i="55"/>
  <c r="FE168" i="55"/>
  <c r="DG232" i="55"/>
  <c r="DL288" i="55"/>
  <c r="DL237" i="55"/>
  <c r="DM339" i="55"/>
  <c r="DM286" i="55"/>
  <c r="DN335" i="55"/>
  <c r="DK298" i="55"/>
  <c r="BU138" i="55"/>
  <c r="DH150" i="55"/>
  <c r="DH224" i="55"/>
  <c r="DI186" i="55"/>
  <c r="DK267" i="55"/>
  <c r="DK234" i="55"/>
  <c r="DG319" i="55"/>
  <c r="DK347" i="55"/>
  <c r="BR108" i="55"/>
  <c r="BS133" i="55"/>
  <c r="DK171" i="55"/>
  <c r="DH180" i="55"/>
  <c r="DK36" i="55"/>
  <c r="DM180" i="55"/>
  <c r="BT67" i="55"/>
  <c r="DO159" i="55"/>
  <c r="BO85" i="55"/>
  <c r="DM322" i="55"/>
  <c r="DJ91" i="55"/>
  <c r="BR117" i="55"/>
  <c r="DG156" i="55"/>
  <c r="DI174" i="55"/>
  <c r="DL191" i="55"/>
  <c r="DH323" i="55"/>
  <c r="DM366" i="55"/>
  <c r="DK72" i="55"/>
  <c r="BO101" i="55"/>
  <c r="DM122" i="55"/>
  <c r="DH160" i="55"/>
  <c r="DH186" i="55"/>
  <c r="DK201" i="55"/>
  <c r="DM332" i="55"/>
  <c r="DN375" i="55"/>
  <c r="DH366" i="55"/>
  <c r="DH215" i="55"/>
  <c r="DN322" i="55"/>
  <c r="DG98" i="55"/>
  <c r="BS145" i="55"/>
  <c r="DN219" i="55"/>
  <c r="DH235" i="55"/>
  <c r="DN232" i="55"/>
  <c r="DJ296" i="55"/>
  <c r="DO252" i="55"/>
  <c r="DK106" i="55"/>
  <c r="FC168" i="55"/>
  <c r="FE162" i="55"/>
  <c r="DI233" i="55"/>
  <c r="DK245" i="55"/>
  <c r="DN265" i="55"/>
  <c r="DG243" i="55"/>
  <c r="DK297" i="55"/>
  <c r="DL356" i="55"/>
  <c r="DI269" i="55"/>
  <c r="DK340" i="55"/>
  <c r="DK99" i="55"/>
  <c r="DG129" i="55"/>
  <c r="BP147" i="55"/>
  <c r="DI153" i="55"/>
  <c r="FD163" i="55"/>
  <c r="DO303" i="55"/>
  <c r="DL351" i="55"/>
  <c r="DI361" i="55"/>
  <c r="DH246" i="55"/>
  <c r="DO285" i="55"/>
  <c r="BV92" i="55"/>
  <c r="BP146" i="55"/>
  <c r="DK151" i="55"/>
  <c r="DM191" i="55"/>
  <c r="DN176" i="55"/>
  <c r="DJ179" i="55"/>
  <c r="DM242" i="55"/>
  <c r="DK204" i="55"/>
  <c r="DO256" i="55"/>
  <c r="DG316" i="55"/>
  <c r="DJ275" i="55"/>
  <c r="DO234" i="55"/>
  <c r="DH255" i="55"/>
  <c r="DG342" i="55"/>
  <c r="DJ314" i="55"/>
  <c r="DJ380" i="55"/>
  <c r="DN366" i="55"/>
  <c r="DO353" i="55"/>
  <c r="DN250" i="55"/>
  <c r="DH308" i="55"/>
  <c r="DN95" i="55"/>
  <c r="DL174" i="55"/>
  <c r="DG208" i="55"/>
  <c r="DG242" i="55"/>
  <c r="DN289" i="55"/>
  <c r="DK366" i="55"/>
  <c r="DG292" i="55"/>
  <c r="DH354" i="55"/>
  <c r="BU95" i="55"/>
  <c r="BQ127" i="55"/>
  <c r="BQ137" i="55"/>
  <c r="DN183" i="55"/>
  <c r="DG188" i="55"/>
  <c r="DI193" i="55"/>
  <c r="DM252" i="55"/>
  <c r="DG212" i="55"/>
  <c r="DN267" i="55"/>
  <c r="DO322" i="55"/>
  <c r="DM284" i="55"/>
  <c r="DK247" i="55"/>
  <c r="DK265" i="55"/>
  <c r="DO349" i="55"/>
  <c r="DM333" i="55"/>
  <c r="DK296" i="55"/>
  <c r="DK375" i="55"/>
  <c r="DL367" i="55"/>
  <c r="DO281" i="55"/>
  <c r="DM351" i="55"/>
  <c r="FE106" i="55"/>
  <c r="BV135" i="55"/>
  <c r="EQ152" i="55"/>
  <c r="DI162" i="55"/>
  <c r="DN218" i="55"/>
  <c r="DM216" i="55"/>
  <c r="DI221" i="55"/>
  <c r="DO181" i="55"/>
  <c r="DJ239" i="55"/>
  <c r="DL296" i="55"/>
  <c r="DH252" i="55"/>
  <c r="DJ335" i="55"/>
  <c r="DL317" i="55"/>
  <c r="DK362" i="55"/>
  <c r="DI334" i="55"/>
  <c r="FD137" i="55"/>
  <c r="DN158" i="55"/>
  <c r="FE170" i="55"/>
  <c r="DJ197" i="55"/>
  <c r="DM175" i="55"/>
  <c r="DO250" i="55"/>
  <c r="BS141" i="55"/>
  <c r="FD25" i="55"/>
  <c r="BT92" i="55"/>
  <c r="DI71" i="55"/>
  <c r="DJ171" i="55"/>
  <c r="BO87" i="55"/>
  <c r="DM111" i="55"/>
  <c r="DM140" i="55"/>
  <c r="BU108" i="55"/>
  <c r="DM219" i="55"/>
  <c r="DJ240" i="55"/>
  <c r="DN280" i="55"/>
  <c r="DO344" i="55"/>
  <c r="DG76" i="55"/>
  <c r="BW116" i="55"/>
  <c r="FD143" i="55"/>
  <c r="DJ102" i="55"/>
  <c r="DL228" i="55"/>
  <c r="DO242" i="55"/>
  <c r="DK240" i="55"/>
  <c r="DK354" i="55"/>
  <c r="DN292" i="55"/>
  <c r="DL301" i="55"/>
  <c r="DI372" i="55"/>
  <c r="BR112" i="55"/>
  <c r="BQ158" i="55"/>
  <c r="DH195" i="55"/>
  <c r="DG230" i="55"/>
  <c r="DH196" i="55"/>
  <c r="DI370" i="55"/>
  <c r="DJ273" i="55"/>
  <c r="DJ105" i="55"/>
  <c r="DO162" i="55"/>
  <c r="DG184" i="55"/>
  <c r="DM248" i="55"/>
  <c r="DJ263" i="55"/>
  <c r="DM280" i="55"/>
  <c r="DH261" i="55"/>
  <c r="DJ326" i="55"/>
  <c r="DO371" i="55"/>
  <c r="DL271" i="55"/>
  <c r="DL368" i="55"/>
  <c r="DO112" i="55"/>
  <c r="DL108" i="55"/>
  <c r="DJ147" i="55"/>
  <c r="DL188" i="55"/>
  <c r="DO202" i="55"/>
  <c r="DK230" i="55"/>
  <c r="DN377" i="55"/>
  <c r="DH367" i="55"/>
  <c r="DJ285" i="55"/>
  <c r="DN346" i="55"/>
  <c r="BT87" i="55"/>
  <c r="EQ123" i="55"/>
  <c r="DI168" i="55"/>
  <c r="DN179" i="55"/>
  <c r="DG186" i="55"/>
  <c r="DM190" i="55"/>
  <c r="DM250" i="55"/>
  <c r="DI210" i="55"/>
  <c r="DL265" i="55"/>
  <c r="DK321" i="55"/>
  <c r="DM282" i="55"/>
  <c r="DH245" i="55"/>
  <c r="DI263" i="55"/>
  <c r="DK348" i="55"/>
  <c r="DM330" i="55"/>
  <c r="DN293" i="55"/>
  <c r="DM373" i="55"/>
  <c r="DG380" i="55"/>
  <c r="DH275" i="55"/>
  <c r="DL345" i="55"/>
  <c r="FC103" i="55"/>
  <c r="DH216" i="55"/>
  <c r="DK236" i="55"/>
  <c r="DI277" i="55"/>
  <c r="DH341" i="55"/>
  <c r="DH378" i="55"/>
  <c r="DK351" i="55"/>
  <c r="DK91" i="55"/>
  <c r="DM110" i="55"/>
  <c r="DM117" i="55"/>
  <c r="DK156" i="55"/>
  <c r="DI196" i="55"/>
  <c r="DO195" i="55"/>
  <c r="DK200" i="55"/>
  <c r="DN259" i="55"/>
  <c r="DH219" i="55"/>
  <c r="DN274" i="55"/>
  <c r="DG328" i="55"/>
  <c r="DM292" i="55"/>
  <c r="DG257" i="55"/>
  <c r="DO272" i="55"/>
  <c r="DJ356" i="55"/>
  <c r="DG341" i="55"/>
  <c r="DJ311" i="55"/>
  <c r="DN288" i="55"/>
  <c r="DJ279" i="55"/>
  <c r="DG335" i="55"/>
  <c r="DG377" i="55"/>
  <c r="DL95" i="55"/>
  <c r="FD121" i="55"/>
  <c r="DL155" i="55"/>
  <c r="DO172" i="55"/>
  <c r="DO225" i="55"/>
  <c r="DN223" i="55"/>
  <c r="DJ228" i="55"/>
  <c r="DO190" i="55"/>
  <c r="DH238" i="55"/>
  <c r="DI304" i="55"/>
  <c r="DI264" i="55"/>
  <c r="DM337" i="55"/>
  <c r="DN249" i="55"/>
  <c r="DJ299" i="55"/>
  <c r="DH363" i="55"/>
  <c r="DO127" i="55"/>
  <c r="DI170" i="55"/>
  <c r="DN182" i="55"/>
  <c r="DN208" i="55"/>
  <c r="DO188" i="55"/>
  <c r="DJ261" i="55"/>
  <c r="DI335" i="55"/>
  <c r="DO301" i="55"/>
  <c r="FC106" i="55"/>
  <c r="FE121" i="55"/>
  <c r="DJ165" i="55"/>
  <c r="DM176" i="55"/>
  <c r="BT42" i="55"/>
  <c r="BV37" i="55"/>
  <c r="DK112" i="55"/>
  <c r="DO77" i="55"/>
  <c r="DL202" i="55"/>
  <c r="BR93" i="55"/>
  <c r="DJ115" i="55"/>
  <c r="BW143" i="55"/>
  <c r="FD97" i="55"/>
  <c r="DN226" i="55"/>
  <c r="DO239" i="55"/>
  <c r="DH237" i="55"/>
  <c r="DM352" i="55"/>
  <c r="FC71" i="55"/>
  <c r="BS121" i="55"/>
  <c r="DO146" i="55"/>
  <c r="DN114" i="55"/>
  <c r="EQ171" i="55"/>
  <c r="DN251" i="55"/>
  <c r="DO249" i="55"/>
  <c r="DH362" i="55"/>
  <c r="DI341" i="55"/>
  <c r="DG325" i="55"/>
  <c r="DI299" i="55"/>
  <c r="BU101" i="55"/>
  <c r="DM166" i="55"/>
  <c r="DI217" i="55"/>
  <c r="FD105" i="55"/>
  <c r="DL244" i="55"/>
  <c r="DH356" i="55"/>
  <c r="DN360" i="55"/>
  <c r="DH116" i="55"/>
  <c r="DJ137" i="55"/>
  <c r="DK199" i="55"/>
  <c r="DK263" i="55"/>
  <c r="DJ278" i="55"/>
  <c r="DM296" i="55"/>
  <c r="DK276" i="55"/>
  <c r="DN344" i="55"/>
  <c r="DJ294" i="55"/>
  <c r="DK342" i="55"/>
  <c r="DJ298" i="55"/>
  <c r="DG104" i="55"/>
  <c r="BW129" i="55"/>
  <c r="FC164" i="55"/>
  <c r="DG209" i="55"/>
  <c r="DJ229" i="55"/>
  <c r="DH270" i="55"/>
  <c r="DN333" i="55"/>
  <c r="DG374" i="55"/>
  <c r="DM340" i="55"/>
  <c r="DN369" i="55"/>
  <c r="DK107" i="55"/>
  <c r="FE135" i="55"/>
  <c r="DM153" i="55"/>
  <c r="DK193" i="55"/>
  <c r="DK194" i="55"/>
  <c r="DM198" i="55"/>
  <c r="DN257" i="55"/>
  <c r="DJ217" i="55"/>
  <c r="DG273" i="55"/>
  <c r="DO326" i="55"/>
  <c r="DM290" i="55"/>
  <c r="DJ254" i="55"/>
  <c r="DH271" i="55"/>
  <c r="DI354" i="55"/>
  <c r="DI339" i="55"/>
  <c r="DM307" i="55"/>
  <c r="DG285" i="55"/>
  <c r="DL249" i="55"/>
  <c r="DM324" i="55"/>
  <c r="DO375" i="55"/>
  <c r="DL104" i="55"/>
  <c r="DO183" i="55"/>
  <c r="DK262" i="55"/>
  <c r="DM260" i="55"/>
  <c r="DJ366" i="55"/>
  <c r="DK370" i="55"/>
  <c r="DI379" i="55"/>
  <c r="DL85" i="55"/>
  <c r="BO123" i="55"/>
  <c r="DL131" i="55"/>
  <c r="BP149" i="55"/>
  <c r="DL205" i="55"/>
  <c r="DI203" i="55"/>
  <c r="DJ208" i="55"/>
  <c r="DG267" i="55"/>
  <c r="DI226" i="55"/>
  <c r="DH282" i="55"/>
  <c r="DN334" i="55"/>
  <c r="DM300" i="55"/>
  <c r="DO265" i="55"/>
  <c r="DK280" i="55"/>
  <c r="DJ364" i="55"/>
  <c r="DH348" i="55"/>
  <c r="DJ327" i="55"/>
  <c r="DG301" i="55"/>
  <c r="DI297" i="55"/>
  <c r="DO352" i="55"/>
  <c r="DJ316" i="55"/>
  <c r="BV110" i="55"/>
  <c r="BS135" i="55"/>
  <c r="DK175" i="55"/>
  <c r="DH182" i="55"/>
  <c r="FE165" i="55"/>
  <c r="FC170" i="55"/>
  <c r="DK235" i="55"/>
  <c r="DN198" i="55"/>
  <c r="DG248" i="55"/>
  <c r="DG311" i="55"/>
  <c r="DI272" i="55"/>
  <c r="BP93" i="55"/>
  <c r="DJ283" i="55"/>
  <c r="DI347" i="55"/>
  <c r="DL376" i="55"/>
  <c r="DI132" i="55"/>
  <c r="DL184" i="55"/>
  <c r="DH193" i="55"/>
  <c r="DM217" i="55"/>
  <c r="DL200" i="55"/>
  <c r="DM271" i="55"/>
  <c r="BV138" i="55"/>
  <c r="BT85" i="55"/>
  <c r="BS53" i="55"/>
  <c r="DH89" i="55"/>
  <c r="DM189" i="55"/>
  <c r="DO101" i="55"/>
  <c r="BW134" i="55"/>
  <c r="DO154" i="55"/>
  <c r="FE136" i="55"/>
  <c r="DL217" i="55"/>
  <c r="DL297" i="55"/>
  <c r="DM306" i="55"/>
  <c r="DI330" i="55"/>
  <c r="DL81" i="55"/>
  <c r="DH139" i="55"/>
  <c r="DK158" i="55"/>
  <c r="DN127" i="55"/>
  <c r="FE154" i="55"/>
  <c r="DO306" i="55"/>
  <c r="DI326" i="55"/>
  <c r="DJ342" i="55"/>
  <c r="DN113" i="55"/>
  <c r="DK251" i="55"/>
  <c r="DH322" i="55"/>
  <c r="DN128" i="55"/>
  <c r="DN187" i="55"/>
  <c r="DJ224" i="55"/>
  <c r="DM124" i="55"/>
  <c r="DN330" i="55"/>
  <c r="DN326" i="55"/>
  <c r="DN380" i="55"/>
  <c r="FE115" i="55"/>
  <c r="DH169" i="55"/>
  <c r="DL221" i="55"/>
  <c r="DJ188" i="55"/>
  <c r="DG302" i="55"/>
  <c r="DL319" i="55"/>
  <c r="DN315" i="55"/>
  <c r="DO363" i="55"/>
  <c r="DI337" i="55"/>
  <c r="DO369" i="55"/>
  <c r="DK339" i="55"/>
  <c r="BU116" i="55"/>
  <c r="DO140" i="55"/>
  <c r="FC117" i="55"/>
  <c r="DO173" i="55"/>
  <c r="DH254" i="55"/>
  <c r="DL251" i="55"/>
  <c r="DH364" i="55"/>
  <c r="DK374" i="55"/>
  <c r="DK373" i="55"/>
  <c r="BW103" i="55"/>
  <c r="DL119" i="55"/>
  <c r="DM128" i="55"/>
  <c r="DH146" i="55"/>
  <c r="DL203" i="55"/>
  <c r="DI201" i="55"/>
  <c r="DJ206" i="55"/>
  <c r="DI265" i="55"/>
  <c r="DK224" i="55"/>
  <c r="DH280" i="55"/>
  <c r="DG333" i="55"/>
  <c r="DM298" i="55"/>
  <c r="DH263" i="55"/>
  <c r="DI278" i="55"/>
  <c r="DJ362" i="55"/>
  <c r="DH346" i="55"/>
  <c r="DJ323" i="55"/>
  <c r="DO297" i="55"/>
  <c r="DI293" i="55"/>
  <c r="DO348" i="55"/>
  <c r="DG309" i="55"/>
  <c r="FC130" i="55"/>
  <c r="DG214" i="55"/>
  <c r="DL293" i="55"/>
  <c r="DG300" i="55"/>
  <c r="DN284" i="55"/>
  <c r="DI291" i="55"/>
  <c r="FD149" i="55"/>
  <c r="DK110" i="55"/>
  <c r="FE75" i="55"/>
  <c r="FC102" i="55"/>
  <c r="DG224" i="55"/>
  <c r="DK78" i="55"/>
  <c r="FE138" i="55"/>
  <c r="DN157" i="55"/>
  <c r="FD123" i="55"/>
  <c r="DM224" i="55"/>
  <c r="DH305" i="55"/>
  <c r="DI322" i="55"/>
  <c r="DH340" i="55"/>
  <c r="FD86" i="55"/>
  <c r="DM115" i="55"/>
  <c r="DL164" i="55"/>
  <c r="DI139" i="55"/>
  <c r="DH174" i="55"/>
  <c r="DG313" i="55"/>
  <c r="DG338" i="55"/>
  <c r="DN349" i="55"/>
  <c r="BS132" i="55"/>
  <c r="DI314" i="55"/>
  <c r="DM312" i="55"/>
  <c r="DJ140" i="55"/>
  <c r="DN214" i="55"/>
  <c r="DK254" i="55"/>
  <c r="DK167" i="55"/>
  <c r="DH265" i="55"/>
  <c r="DM345" i="55"/>
  <c r="DI342" i="55"/>
  <c r="DJ131" i="55"/>
  <c r="DN178" i="55"/>
  <c r="FE163" i="55"/>
  <c r="DL196" i="55"/>
  <c r="DH309" i="55"/>
  <c r="DL327" i="55"/>
  <c r="DL331" i="55"/>
  <c r="DM370" i="55"/>
  <c r="DH344" i="55"/>
  <c r="DG308" i="55"/>
  <c r="DI364" i="55"/>
  <c r="BT103" i="55"/>
  <c r="DO116" i="55"/>
  <c r="DK116" i="55"/>
  <c r="DM206" i="55"/>
  <c r="DL285" i="55"/>
  <c r="DN287" i="55"/>
  <c r="DO377" i="55"/>
  <c r="DH375" i="55"/>
  <c r="DG331" i="55"/>
  <c r="BP98" i="55"/>
  <c r="BV122" i="55"/>
  <c r="EQ140" i="55"/>
  <c r="BV155" i="55"/>
  <c r="DI211" i="55"/>
  <c r="DH209" i="55"/>
  <c r="DM213" i="55"/>
  <c r="EQ167" i="55"/>
  <c r="DL231" i="55"/>
  <c r="DH288" i="55"/>
  <c r="DI236" i="55"/>
  <c r="DH306" i="55"/>
  <c r="DJ272" i="55"/>
  <c r="DN291" i="55"/>
  <c r="DK369" i="55"/>
  <c r="DJ354" i="55"/>
  <c r="DK336" i="55"/>
  <c r="DM311" i="55"/>
  <c r="DH310" i="55"/>
  <c r="DI375" i="55"/>
  <c r="DL344" i="55"/>
  <c r="BW119" i="55"/>
  <c r="DK187" i="55"/>
  <c r="DO319" i="55"/>
  <c r="DO346" i="55"/>
  <c r="DN310" i="55"/>
  <c r="DH316" i="55"/>
  <c r="DH369" i="55"/>
  <c r="BO109" i="55"/>
  <c r="DH137" i="55"/>
  <c r="DJ139" i="55"/>
  <c r="DN163" i="55"/>
  <c r="DH220" i="55"/>
  <c r="DG218" i="55"/>
  <c r="DL222" i="55"/>
  <c r="DJ184" i="55"/>
  <c r="DG226" i="55"/>
  <c r="DH298" i="55"/>
  <c r="DG249" i="55"/>
  <c r="DL315" i="55"/>
  <c r="DJ281" i="55"/>
  <c r="DI307" i="55"/>
  <c r="DM378" i="55"/>
  <c r="DG361" i="55"/>
  <c r="DH345" i="55"/>
  <c r="DK331" i="55"/>
  <c r="DL333" i="55"/>
  <c r="DI323" i="55"/>
  <c r="DH376" i="55"/>
  <c r="FE89" i="55"/>
  <c r="DL124" i="55"/>
  <c r="DJ169" i="55"/>
  <c r="DG180" i="55"/>
  <c r="DM186" i="55"/>
  <c r="DK191" i="55"/>
  <c r="DI251" i="55"/>
  <c r="DM210" i="55"/>
  <c r="DI266" i="55"/>
  <c r="DO321" i="55"/>
  <c r="DH318" i="55"/>
  <c r="DH300" i="55"/>
  <c r="DN311" i="55"/>
  <c r="DL334" i="55"/>
  <c r="BT113" i="55"/>
  <c r="DM181" i="55"/>
  <c r="DN191" i="55"/>
  <c r="DH213" i="55"/>
  <c r="DI237" i="55"/>
  <c r="DG216" i="55"/>
  <c r="BQ72" i="55"/>
  <c r="EQ154" i="55"/>
  <c r="BO133" i="55"/>
  <c r="BT115" i="55"/>
  <c r="DH321" i="55"/>
  <c r="FC105" i="55"/>
  <c r="BR142" i="55"/>
  <c r="BS151" i="55"/>
  <c r="DN137" i="55"/>
  <c r="DH222" i="55"/>
  <c r="DN248" i="55"/>
  <c r="DI378" i="55"/>
  <c r="BR46" i="55"/>
  <c r="BP111" i="55"/>
  <c r="BV147" i="55"/>
  <c r="FD155" i="55"/>
  <c r="DN161" i="55"/>
  <c r="DG231" i="55"/>
  <c r="DM262" i="55"/>
  <c r="DK293" i="55"/>
  <c r="DG245" i="55"/>
  <c r="DK190" i="55"/>
  <c r="DG352" i="55"/>
  <c r="DL348" i="55"/>
  <c r="FD129" i="55"/>
  <c r="DO221" i="55"/>
  <c r="FE174" i="55"/>
  <c r="DJ178" i="55"/>
  <c r="DH327" i="55"/>
  <c r="DH379" i="55"/>
  <c r="DJ332" i="55"/>
  <c r="BS120" i="55"/>
  <c r="DH175" i="55"/>
  <c r="DI188" i="55"/>
  <c r="DK208" i="55"/>
  <c r="DG320" i="55"/>
  <c r="DL242" i="55"/>
  <c r="DG347" i="55"/>
  <c r="DG290" i="55"/>
  <c r="DN365" i="55"/>
  <c r="DK341" i="55"/>
  <c r="BW92" i="55"/>
  <c r="BW102" i="55"/>
  <c r="DN130" i="55"/>
  <c r="BV142" i="55"/>
  <c r="EQ176" i="55"/>
  <c r="DK314" i="55"/>
  <c r="DL339" i="55"/>
  <c r="DH307" i="55"/>
  <c r="DH312" i="55"/>
  <c r="DK361" i="55"/>
  <c r="BQ106" i="55"/>
  <c r="DH134" i="55"/>
  <c r="BP152" i="55"/>
  <c r="DM161" i="55"/>
  <c r="DJ218" i="55"/>
  <c r="DI216" i="55"/>
  <c r="DN220" i="55"/>
  <c r="DG181" i="55"/>
  <c r="DN238" i="55"/>
  <c r="DH296" i="55"/>
  <c r="DJ247" i="55"/>
  <c r="DL313" i="55"/>
  <c r="DK279" i="55"/>
  <c r="DG304" i="55"/>
  <c r="DM376" i="55"/>
  <c r="DO359" i="55"/>
  <c r="DN343" i="55"/>
  <c r="DM327" i="55"/>
  <c r="DG330" i="55"/>
  <c r="DI319" i="55"/>
  <c r="DL371" i="55"/>
  <c r="DG148" i="55"/>
  <c r="DL218" i="55"/>
  <c r="DH244" i="55"/>
  <c r="DH374" i="55"/>
  <c r="DN338" i="55"/>
  <c r="DN235" i="55"/>
  <c r="DI316" i="55"/>
  <c r="DL99" i="55"/>
  <c r="FE124" i="55"/>
  <c r="BR158" i="55"/>
  <c r="DM174" i="55"/>
  <c r="DI227" i="55"/>
  <c r="DH225" i="55"/>
  <c r="DM229" i="55"/>
  <c r="DK192" i="55"/>
  <c r="DL240" i="55"/>
  <c r="DL305" i="55"/>
  <c r="DK260" i="55"/>
  <c r="DL323" i="55"/>
  <c r="DG238" i="55"/>
  <c r="DN323" i="55"/>
  <c r="DG291" i="55"/>
  <c r="DJ367" i="55"/>
  <c r="DJ353" i="55"/>
  <c r="DL340" i="55"/>
  <c r="DL257" i="55"/>
  <c r="DL352" i="55"/>
  <c r="BW98" i="55"/>
  <c r="DI108" i="55"/>
  <c r="DN109" i="55"/>
  <c r="DI154" i="55"/>
  <c r="DJ194" i="55"/>
  <c r="DO194" i="55"/>
  <c r="DH199" i="55"/>
  <c r="DJ258" i="55"/>
  <c r="DN217" i="55"/>
  <c r="DK273" i="55"/>
  <c r="DG327" i="55"/>
  <c r="DG271" i="55"/>
  <c r="DG324" i="55"/>
  <c r="DG351" i="55"/>
  <c r="DI368" i="55"/>
  <c r="FC96" i="55"/>
  <c r="BU159" i="55"/>
  <c r="DH206" i="55"/>
  <c r="DG222" i="55"/>
  <c r="DI247" i="55"/>
  <c r="DM226" i="55"/>
  <c r="DK302" i="55"/>
  <c r="BT155" i="55"/>
  <c r="BQ159" i="55"/>
  <c r="DN376" i="55"/>
  <c r="DJ125" i="55"/>
  <c r="DI289" i="55"/>
  <c r="DI367" i="55"/>
  <c r="DK225" i="55"/>
  <c r="DJ234" i="55"/>
  <c r="BW95" i="55"/>
  <c r="DH355" i="55"/>
  <c r="DH184" i="55"/>
  <c r="DH200" i="55"/>
  <c r="DJ331" i="55"/>
  <c r="DI374" i="55"/>
  <c r="DM374" i="55"/>
  <c r="DH147" i="55"/>
  <c r="DM265" i="55"/>
  <c r="DM316" i="55"/>
  <c r="DL123" i="55"/>
  <c r="DJ256" i="55"/>
  <c r="DK261" i="55"/>
  <c r="DN104" i="55"/>
  <c r="DM144" i="55"/>
  <c r="DJ142" i="55"/>
  <c r="DK217" i="55"/>
  <c r="DJ215" i="55"/>
  <c r="DO219" i="55"/>
  <c r="DK179" i="55"/>
  <c r="DN237" i="55"/>
  <c r="DH295" i="55"/>
  <c r="DL245" i="55"/>
  <c r="DL312" i="55"/>
  <c r="DL278" i="55"/>
  <c r="DM302" i="55"/>
  <c r="DM375" i="55"/>
  <c r="DG359" i="55"/>
  <c r="DM342" i="55"/>
  <c r="DI325" i="55"/>
  <c r="DJ276" i="55"/>
  <c r="DJ371" i="55"/>
  <c r="DG294" i="55"/>
  <c r="DL263" i="55"/>
  <c r="DN294" i="55"/>
  <c r="DL261" i="55"/>
  <c r="BS119" i="55"/>
  <c r="BW157" i="55"/>
  <c r="DG217" i="55"/>
  <c r="FE175" i="55"/>
  <c r="DJ260" i="55"/>
  <c r="DJ237" i="55"/>
  <c r="DO313" i="55"/>
  <c r="DI235" i="55"/>
  <c r="DH250" i="55"/>
  <c r="DL362" i="55"/>
  <c r="BU89" i="55"/>
  <c r="BR144" i="55"/>
  <c r="DO189" i="55"/>
  <c r="DH198" i="55"/>
  <c r="DG223" i="55"/>
  <c r="DK203" i="55"/>
  <c r="DG277" i="55"/>
  <c r="DI254" i="55"/>
  <c r="BP102" i="55"/>
  <c r="EQ111" i="55"/>
  <c r="BT120" i="55"/>
  <c r="BP158" i="55"/>
  <c r="DH197" i="55"/>
  <c r="DN196" i="55"/>
  <c r="DJ201" i="55"/>
  <c r="DN260" i="55"/>
  <c r="DG220" i="55"/>
  <c r="DM275" i="55"/>
  <c r="DO328" i="55"/>
  <c r="DM293" i="55"/>
  <c r="DG258" i="55"/>
  <c r="DN273" i="55"/>
  <c r="DJ357" i="55"/>
  <c r="DG295" i="55"/>
  <c r="DL195" i="55"/>
  <c r="DK357" i="55"/>
  <c r="EQ112" i="55"/>
  <c r="DN194" i="55"/>
  <c r="DL199" i="55"/>
  <c r="DI218" i="55"/>
  <c r="DK327" i="55"/>
  <c r="DG256" i="55"/>
  <c r="DJ355" i="55"/>
  <c r="DG363" i="55"/>
  <c r="DI369" i="55"/>
  <c r="DM361" i="55"/>
  <c r="DI220" i="55"/>
  <c r="DI287" i="55"/>
  <c r="BR118" i="55"/>
  <c r="FE173" i="55"/>
  <c r="DN186" i="55"/>
  <c r="DO207" i="55"/>
  <c r="DK319" i="55"/>
  <c r="DN241" i="55"/>
  <c r="DK346" i="55"/>
  <c r="DO357" i="55"/>
  <c r="DL361" i="55"/>
  <c r="DG366" i="55"/>
  <c r="DG364" i="55"/>
  <c r="DO170" i="55"/>
  <c r="DJ192" i="55"/>
  <c r="DL248" i="55"/>
  <c r="DM299" i="55"/>
  <c r="DL335" i="55"/>
  <c r="DG368" i="55"/>
  <c r="DJ306" i="55"/>
  <c r="DO291" i="55"/>
  <c r="DH140" i="55"/>
  <c r="DH113" i="55"/>
  <c r="DL208" i="55"/>
  <c r="DO228" i="55"/>
  <c r="DO226" i="55"/>
  <c r="DM343" i="55"/>
  <c r="DI333" i="55"/>
  <c r="DJ369" i="55"/>
  <c r="DK295" i="55"/>
  <c r="BW126" i="55"/>
  <c r="DG197" i="55"/>
  <c r="BQ111" i="55"/>
  <c r="DJ187" i="55"/>
  <c r="DN246" i="55"/>
  <c r="DN378" i="55"/>
  <c r="DJ183" i="55"/>
  <c r="DJ84" i="55"/>
  <c r="BQ157" i="55"/>
  <c r="FE137" i="55"/>
  <c r="BV146" i="55"/>
  <c r="DM200" i="55"/>
  <c r="DO362" i="55"/>
  <c r="DL336" i="55"/>
  <c r="DJ223" i="55"/>
  <c r="DN319" i="55"/>
  <c r="DK161" i="55"/>
  <c r="FE91" i="55"/>
  <c r="DG213" i="55"/>
  <c r="DJ233" i="55"/>
  <c r="DH274" i="55"/>
  <c r="DI338" i="55"/>
  <c r="DN350" i="55"/>
  <c r="DH192" i="55"/>
  <c r="DO204" i="55"/>
  <c r="DK269" i="55"/>
  <c r="DL141" i="55"/>
  <c r="DK207" i="55"/>
  <c r="DG274" i="55"/>
  <c r="BV88" i="55"/>
  <c r="BU134" i="55"/>
  <c r="BU154" i="55"/>
  <c r="DL224" i="55"/>
  <c r="DK222" i="55"/>
  <c r="DG227" i="55"/>
  <c r="DH189" i="55"/>
  <c r="DJ235" i="55"/>
  <c r="DO302" i="55"/>
  <c r="DN254" i="55"/>
  <c r="DL320" i="55"/>
  <c r="DI232" i="55"/>
  <c r="DJ317" i="55"/>
  <c r="DN286" i="55"/>
  <c r="DK364" i="55"/>
  <c r="DI350" i="55"/>
  <c r="DJ338" i="55"/>
  <c r="DM255" i="55"/>
  <c r="DI312" i="55"/>
  <c r="DN352" i="55"/>
  <c r="DM294" i="55"/>
  <c r="DL342" i="55"/>
  <c r="DO338" i="55"/>
  <c r="BV117" i="55"/>
  <c r="BV152" i="55"/>
  <c r="DM227" i="55"/>
  <c r="DN188" i="55"/>
  <c r="FE158" i="55"/>
  <c r="DK241" i="55"/>
  <c r="DK320" i="55"/>
  <c r="DH284" i="55"/>
  <c r="DO284" i="55"/>
  <c r="DL304" i="55"/>
  <c r="DO100" i="55"/>
  <c r="DO158" i="55"/>
  <c r="DI185" i="55"/>
  <c r="DM207" i="55"/>
  <c r="DO231" i="55"/>
  <c r="DK212" i="55"/>
  <c r="DL286" i="55"/>
  <c r="DM268" i="55"/>
  <c r="BV90" i="55"/>
  <c r="DJ124" i="55"/>
  <c r="BQ133" i="55"/>
  <c r="DN150" i="55"/>
  <c r="DL206" i="55"/>
  <c r="DI204" i="55"/>
  <c r="DI209" i="55"/>
  <c r="DO267" i="55"/>
  <c r="DH227" i="55"/>
  <c r="DH283" i="55"/>
  <c r="DM335" i="55"/>
  <c r="DM301" i="55"/>
  <c r="DL267" i="55"/>
  <c r="DG283" i="55"/>
  <c r="DG365" i="55"/>
  <c r="DI107" i="55"/>
  <c r="DM233" i="55"/>
  <c r="BQ93" i="55"/>
  <c r="BT142" i="55"/>
  <c r="DH212" i="55"/>
  <c r="DL214" i="55"/>
  <c r="DK232" i="55"/>
  <c r="DK238" i="55"/>
  <c r="DI273" i="55"/>
  <c r="DH370" i="55"/>
  <c r="DH373" i="55"/>
  <c r="DK377" i="55"/>
  <c r="DG332" i="55"/>
  <c r="DN204" i="55"/>
  <c r="DN370" i="55"/>
  <c r="DO123" i="55"/>
  <c r="DN199" i="55"/>
  <c r="DJ203" i="55"/>
  <c r="DN221" i="55"/>
  <c r="DJ330" i="55"/>
  <c r="DG260" i="55"/>
  <c r="DJ359" i="55"/>
  <c r="DI366" i="55"/>
  <c r="DG371" i="55"/>
  <c r="DK380" i="55"/>
  <c r="DI328" i="55"/>
  <c r="DM162" i="55"/>
  <c r="DJ207" i="55"/>
  <c r="DN266" i="55"/>
  <c r="DK330" i="55"/>
  <c r="DJ363" i="55"/>
  <c r="DJ377" i="55"/>
  <c r="DM341" i="55"/>
  <c r="DG345" i="55"/>
  <c r="DJ222" i="55"/>
  <c r="BS117" i="55"/>
  <c r="DG173" i="55"/>
  <c r="DK253" i="55"/>
  <c r="DM269" i="55"/>
  <c r="DO361" i="55"/>
  <c r="DL354" i="55"/>
  <c r="DH336" i="55"/>
  <c r="DK242" i="55"/>
  <c r="DN146" i="55"/>
  <c r="DN233" i="55"/>
  <c r="DK92" i="55"/>
  <c r="DM171" i="55"/>
  <c r="DG349" i="55"/>
  <c r="DO380" i="55"/>
  <c r="DO263" i="55"/>
  <c r="FD162" i="55"/>
  <c r="DI229" i="55"/>
  <c r="DI238" i="55"/>
  <c r="DL190" i="55"/>
  <c r="DJ204" i="55"/>
  <c r="BW73" i="55"/>
  <c r="DH232" i="55"/>
  <c r="DO227" i="55"/>
  <c r="DO287" i="55"/>
  <c r="DI248" i="55"/>
  <c r="DH112" i="55"/>
  <c r="DL170" i="55"/>
  <c r="DJ250" i="55"/>
  <c r="DL247" i="55"/>
  <c r="DL360" i="55"/>
  <c r="DI86" i="55"/>
  <c r="DH204" i="55"/>
  <c r="DO224" i="55"/>
  <c r="DO251" i="55"/>
  <c r="BO151" i="55"/>
  <c r="DL235" i="55"/>
  <c r="DI295" i="55"/>
  <c r="DK88" i="55"/>
  <c r="BR127" i="55"/>
  <c r="DM160" i="55"/>
  <c r="EQ163" i="55"/>
  <c r="DH166" i="55"/>
  <c r="DH234" i="55"/>
  <c r="DK197" i="55"/>
  <c r="DO246" i="55"/>
  <c r="DG310" i="55"/>
  <c r="DO266" i="55"/>
  <c r="DL328" i="55"/>
  <c r="DK244" i="55"/>
  <c r="DJ333" i="55"/>
  <c r="DG299" i="55"/>
  <c r="DN371" i="55"/>
  <c r="DL357" i="55"/>
  <c r="DI345" i="55"/>
  <c r="DO288" i="55"/>
  <c r="DM347" i="55"/>
  <c r="F99" i="55"/>
  <c r="DL325" i="55"/>
  <c r="DO368" i="55"/>
  <c r="DO358" i="55"/>
  <c r="DO143" i="55"/>
  <c r="DI160" i="55"/>
  <c r="FD172" i="55"/>
  <c r="DO200" i="55"/>
  <c r="DL178" i="55"/>
  <c r="DL252" i="55"/>
  <c r="DK328" i="55"/>
  <c r="DK313" i="55"/>
  <c r="DK338" i="55"/>
  <c r="DJ350" i="55"/>
  <c r="DG99" i="55"/>
  <c r="BW147" i="55"/>
  <c r="DO198" i="55"/>
  <c r="DK218" i="55"/>
  <c r="DI241" i="55"/>
  <c r="DJ221" i="55"/>
  <c r="DL298" i="55"/>
  <c r="DL277" i="55"/>
  <c r="DK95" i="55"/>
  <c r="BW127" i="55"/>
  <c r="DO144" i="55"/>
  <c r="DI157" i="55"/>
  <c r="DO213" i="55"/>
  <c r="DN211" i="55"/>
  <c r="DJ216" i="55"/>
  <c r="DK173" i="55"/>
  <c r="DI234" i="55"/>
  <c r="DH291" i="55"/>
  <c r="DG241" i="55"/>
  <c r="DN308" i="55"/>
  <c r="DG275" i="55"/>
  <c r="DG296" i="55"/>
  <c r="DJ372" i="55"/>
  <c r="DG132" i="55"/>
  <c r="DJ172" i="55"/>
  <c r="DI96" i="55"/>
  <c r="DI156" i="55"/>
  <c r="DJ226" i="55"/>
  <c r="DN228" i="55"/>
  <c r="DG239" i="55"/>
  <c r="DK258" i="55"/>
  <c r="DM236" i="55"/>
  <c r="DG282" i="55"/>
  <c r="DN285" i="55"/>
  <c r="DK299" i="55"/>
  <c r="BS106" i="55"/>
  <c r="DI245" i="55"/>
  <c r="DM100" i="55"/>
  <c r="EQ147" i="55"/>
  <c r="DM215" i="55"/>
  <c r="DH218" i="55"/>
  <c r="DG236" i="55"/>
  <c r="DO243" i="55"/>
  <c r="DN276" i="55"/>
  <c r="DO373" i="55"/>
  <c r="DJ375" i="55"/>
  <c r="DJ286" i="55"/>
  <c r="DM263" i="55"/>
  <c r="DH361" i="55"/>
  <c r="DL182" i="55"/>
  <c r="DO235" i="55"/>
  <c r="DH297" i="55"/>
  <c r="DG246" i="55"/>
  <c r="DM377" i="55"/>
  <c r="DN313" i="55"/>
  <c r="DJ351" i="55"/>
  <c r="DM338" i="55"/>
  <c r="DO199" i="55"/>
  <c r="DG114" i="55"/>
  <c r="DI206" i="55"/>
  <c r="DH285" i="55"/>
  <c r="DG251" i="55"/>
  <c r="DL369" i="55"/>
  <c r="DH380" i="55"/>
  <c r="DJ347" i="55"/>
  <c r="DO275" i="55"/>
  <c r="DH179" i="55"/>
  <c r="DO269" i="55"/>
  <c r="BQ136" i="55"/>
  <c r="DM221" i="55"/>
  <c r="DO341" i="55"/>
  <c r="DH259" i="55"/>
  <c r="DO114" i="55"/>
  <c r="DK259" i="55"/>
  <c r="DJ271" i="55"/>
  <c r="DJ186" i="55"/>
  <c r="DM222" i="55"/>
  <c r="BS114" i="55"/>
  <c r="DK304" i="55"/>
  <c r="DI190" i="55"/>
  <c r="DH365" i="55"/>
  <c r="DI280" i="55"/>
  <c r="BP126" i="55"/>
  <c r="DO210" i="55"/>
  <c r="DH290" i="55"/>
  <c r="DK294" i="55"/>
  <c r="DM315" i="55"/>
  <c r="BT94" i="55"/>
  <c r="FD176" i="55"/>
  <c r="DI257" i="55"/>
  <c r="DM267" i="55"/>
  <c r="DN173" i="55"/>
  <c r="DL282" i="55"/>
  <c r="DL255" i="55"/>
  <c r="BT106" i="55"/>
  <c r="BV139" i="55"/>
  <c r="DM170" i="55"/>
  <c r="DI175" i="55"/>
  <c r="DI178" i="55"/>
  <c r="DM241" i="55"/>
  <c r="DO203" i="55"/>
  <c r="DN255" i="55"/>
  <c r="DK315" i="55"/>
  <c r="DK274" i="55"/>
  <c r="DH233" i="55"/>
  <c r="DO253" i="55"/>
  <c r="DJ341" i="55"/>
  <c r="DN312" i="55"/>
  <c r="DJ379" i="55"/>
  <c r="DM365" i="55"/>
  <c r="DG353" i="55"/>
  <c r="DK332" i="55"/>
  <c r="DJ374" i="55"/>
  <c r="BR87" i="55"/>
  <c r="DG259" i="55"/>
  <c r="DJ315" i="55"/>
  <c r="DG289" i="55"/>
  <c r="DM133" i="55"/>
  <c r="FD174" i="55"/>
  <c r="DM184" i="55"/>
  <c r="DL210" i="55"/>
  <c r="DJ193" i="55"/>
  <c r="DH264" i="55"/>
  <c r="DJ230" i="55"/>
  <c r="DM228" i="55"/>
  <c r="DO365" i="55"/>
  <c r="DI301" i="55"/>
  <c r="BS111" i="55"/>
  <c r="BS140" i="55"/>
  <c r="DO209" i="55"/>
  <c r="FE159" i="55"/>
  <c r="DH253" i="55"/>
  <c r="DI230" i="55"/>
  <c r="DN307" i="55"/>
  <c r="DH328" i="55"/>
  <c r="DJ110" i="55"/>
  <c r="BO139" i="55"/>
  <c r="BP143" i="55"/>
  <c r="DH165" i="55"/>
  <c r="DG221" i="55"/>
  <c r="DO218" i="55"/>
  <c r="DK223" i="55"/>
  <c r="DG185" i="55"/>
  <c r="DI228" i="55"/>
  <c r="DH299" i="55"/>
  <c r="DK250" i="55"/>
  <c r="DL316" i="55"/>
  <c r="DJ282" i="55"/>
  <c r="DJ309" i="55"/>
  <c r="DH292" i="55"/>
  <c r="FD169" i="55"/>
  <c r="DI214" i="55"/>
  <c r="DG95" i="55"/>
  <c r="BO154" i="55"/>
  <c r="DG177" i="55"/>
  <c r="DM243" i="55"/>
  <c r="DO257" i="55"/>
  <c r="DI276" i="55"/>
  <c r="DH256" i="55"/>
  <c r="DN302" i="55"/>
  <c r="DN301" i="55"/>
  <c r="DG370" i="55"/>
  <c r="BT121" i="55"/>
  <c r="DO186" i="55"/>
  <c r="BT105" i="55"/>
  <c r="FD165" i="55"/>
  <c r="DO229" i="55"/>
  <c r="DJ232" i="55"/>
  <c r="DG244" i="55"/>
  <c r="DO264" i="55"/>
  <c r="DH242" i="55"/>
  <c r="DK289" i="55"/>
  <c r="DK288" i="55"/>
  <c r="DJ302" i="55"/>
  <c r="DN263" i="55"/>
  <c r="DJ312" i="55"/>
  <c r="DJ181" i="55"/>
  <c r="DM251" i="55"/>
  <c r="DK311" i="55"/>
  <c r="DK264" i="55"/>
  <c r="DJ292" i="55"/>
  <c r="DO332" i="55"/>
  <c r="DM362" i="55"/>
  <c r="DG367" i="55"/>
  <c r="DN224" i="55"/>
  <c r="DM141" i="55"/>
  <c r="DI176" i="55"/>
  <c r="DH301" i="55"/>
  <c r="DK286" i="55"/>
  <c r="DG298" i="55"/>
  <c r="DO241" i="55"/>
  <c r="DH377" i="55"/>
  <c r="DG373" i="55"/>
  <c r="DK213" i="55"/>
  <c r="DL309" i="55"/>
  <c r="EQ135" i="55"/>
  <c r="DH266" i="55"/>
  <c r="DO294" i="55"/>
  <c r="DJ322" i="55"/>
  <c r="DN133" i="55"/>
  <c r="DN290" i="55"/>
  <c r="DN306" i="55"/>
  <c r="FE160" i="55"/>
  <c r="DI331" i="55"/>
  <c r="FD122" i="55"/>
  <c r="BS94" i="55"/>
  <c r="DK237" i="55"/>
  <c r="DI351" i="55"/>
  <c r="DM325" i="55"/>
  <c r="BT137" i="55"/>
  <c r="EQ172" i="55"/>
  <c r="DG312" i="55"/>
  <c r="DM336" i="55"/>
  <c r="DJ348" i="55"/>
  <c r="DJ120" i="55"/>
  <c r="DM201" i="55"/>
  <c r="DL280" i="55"/>
  <c r="DM380" i="55"/>
  <c r="DI215" i="55"/>
  <c r="DL292" i="55"/>
  <c r="DO372" i="55"/>
  <c r="BS118" i="55"/>
  <c r="DM150" i="55"/>
  <c r="DJ190" i="55"/>
  <c r="DJ185" i="55"/>
  <c r="DL189" i="55"/>
  <c r="DM249" i="55"/>
  <c r="DJ209" i="55"/>
  <c r="DM264" i="55"/>
  <c r="DO320" i="55"/>
  <c r="DM281" i="55"/>
  <c r="DJ244" i="55"/>
  <c r="DJ262" i="55"/>
  <c r="DO347" i="55"/>
  <c r="DN328" i="55"/>
  <c r="DJ291" i="55"/>
  <c r="DL372" i="55"/>
  <c r="DM360" i="55"/>
  <c r="DM354" i="55"/>
  <c r="DJ320" i="55"/>
  <c r="DJ99" i="55"/>
  <c r="DJ241" i="55"/>
  <c r="DO354" i="55"/>
  <c r="BV101" i="55"/>
  <c r="DM138" i="55"/>
  <c r="DH187" i="55"/>
  <c r="DJ196" i="55"/>
  <c r="DK219" i="55"/>
  <c r="DG202" i="55"/>
  <c r="DI275" i="55"/>
  <c r="DO247" i="55"/>
  <c r="DN271" i="55"/>
  <c r="DL307" i="55"/>
  <c r="DI231" i="55"/>
  <c r="EQ126" i="55"/>
  <c r="DL160" i="55"/>
  <c r="DL220" i="55"/>
  <c r="DJ177" i="55"/>
  <c r="DH262" i="55"/>
  <c r="DN227" i="55"/>
  <c r="DG315" i="55"/>
  <c r="DM259" i="55"/>
  <c r="DM101" i="55"/>
  <c r="DN126" i="55"/>
  <c r="DN159" i="55"/>
  <c r="DJ175" i="55"/>
  <c r="DH228" i="55"/>
  <c r="FE151" i="55"/>
  <c r="DL230" i="55"/>
  <c r="DN193" i="55"/>
  <c r="DJ242" i="55"/>
  <c r="DK306" i="55"/>
  <c r="DG262" i="55"/>
  <c r="DL324" i="55"/>
  <c r="DL239" i="55"/>
  <c r="DJ325" i="55"/>
  <c r="DM309" i="55"/>
  <c r="BT157" i="55"/>
  <c r="DJ246" i="55"/>
  <c r="DN262" i="55"/>
  <c r="BQ56" i="55"/>
  <c r="DJ308" i="55"/>
  <c r="DN242" i="55"/>
  <c r="DG261" i="55"/>
  <c r="BR137" i="55"/>
  <c r="FE120" i="55"/>
  <c r="DN303" i="55"/>
  <c r="DG339" i="55"/>
  <c r="DK353" i="55"/>
  <c r="DI143" i="55"/>
  <c r="DK215" i="55"/>
  <c r="DG240" i="55"/>
  <c r="DI371" i="55"/>
  <c r="DH314" i="55"/>
  <c r="EQ146" i="55"/>
  <c r="DK180" i="55"/>
  <c r="DK316" i="55"/>
  <c r="DO376" i="55"/>
  <c r="DM203" i="55"/>
  <c r="DK312" i="55"/>
  <c r="FD95" i="55"/>
  <c r="BV120" i="55"/>
  <c r="BR153" i="55"/>
  <c r="DM192" i="55"/>
  <c r="DL193" i="55"/>
  <c r="DN197" i="55"/>
  <c r="DN256" i="55"/>
  <c r="DK216" i="55"/>
  <c r="DH272" i="55"/>
  <c r="DG326" i="55"/>
  <c r="DM289" i="55"/>
  <c r="DI253" i="55"/>
  <c r="DI270" i="55"/>
  <c r="DH353" i="55"/>
  <c r="DH338" i="55"/>
  <c r="DJ305" i="55"/>
  <c r="DO282" i="55"/>
  <c r="DK378" i="55"/>
  <c r="DI377" i="55"/>
  <c r="DI356" i="55"/>
  <c r="DL276" i="55"/>
  <c r="DM274" i="55"/>
  <c r="DK291" i="55"/>
  <c r="DK115" i="55"/>
  <c r="BW152" i="55"/>
  <c r="FD175" i="55"/>
  <c r="DM205" i="55"/>
  <c r="DH230" i="55"/>
  <c r="DO208" i="55"/>
  <c r="DL284" i="55"/>
  <c r="DJ266" i="55"/>
  <c r="DL302" i="55"/>
  <c r="DH350" i="55"/>
  <c r="DN362" i="55"/>
  <c r="FC125" i="55"/>
  <c r="BQ154" i="55"/>
  <c r="DK229" i="55"/>
  <c r="DM193" i="55"/>
  <c r="DL166" i="55"/>
  <c r="DN243" i="55"/>
  <c r="DG323" i="55"/>
  <c r="DN298" i="55"/>
  <c r="FD113" i="55"/>
  <c r="DI302" i="55"/>
  <c r="DN171" i="55"/>
  <c r="DL156" i="55"/>
  <c r="DO280" i="55"/>
  <c r="DL109" i="55"/>
  <c r="DK118" i="55"/>
  <c r="DN212" i="55"/>
  <c r="DN234" i="55"/>
  <c r="DN368" i="55"/>
  <c r="DL377" i="55"/>
  <c r="DJ358" i="55"/>
  <c r="DH208" i="55"/>
  <c r="DG306" i="55"/>
  <c r="DJ328" i="55"/>
  <c r="DJ212" i="55"/>
  <c r="DM368" i="55"/>
  <c r="BS142" i="55"/>
  <c r="DI184" i="55"/>
  <c r="DH251" i="55"/>
  <c r="DM285" i="55"/>
  <c r="DM344" i="55"/>
  <c r="DL290" i="55"/>
  <c r="BO156" i="55"/>
  <c r="DK169" i="55"/>
  <c r="DG307" i="55"/>
  <c r="DN336" i="55"/>
  <c r="DO240" i="55"/>
  <c r="DI259" i="55"/>
  <c r="FC161" i="55"/>
  <c r="DL262" i="55"/>
  <c r="DM295" i="55"/>
  <c r="DN324" i="55"/>
  <c r="DO339" i="55"/>
  <c r="BW121" i="55"/>
  <c r="DI199" i="55"/>
  <c r="DG264" i="55"/>
  <c r="DG354" i="55"/>
  <c r="DO278" i="55"/>
  <c r="DH143" i="55"/>
  <c r="DN252" i="55"/>
  <c r="DL355" i="55"/>
  <c r="DI344" i="55"/>
  <c r="DO165" i="55"/>
  <c r="DJ153" i="55"/>
  <c r="DI329" i="55"/>
  <c r="DK257" i="55"/>
  <c r="DI189" i="55"/>
  <c r="DM214" i="55"/>
  <c r="DJ227" i="55"/>
  <c r="DN317" i="55"/>
  <c r="DN364" i="55"/>
  <c r="DM371" i="55"/>
  <c r="FE147" i="55"/>
  <c r="DN222" i="55"/>
  <c r="DK268" i="55"/>
  <c r="DI346" i="55"/>
  <c r="DG360" i="55"/>
  <c r="DH188" i="55"/>
  <c r="DK300" i="55"/>
  <c r="DL204" i="55"/>
  <c r="DO191" i="55"/>
  <c r="DH339" i="55"/>
  <c r="DG344" i="55"/>
  <c r="DO351" i="55"/>
  <c r="BP94" i="55"/>
  <c r="DI317" i="55"/>
  <c r="DI308" i="55"/>
  <c r="DH217" i="55"/>
  <c r="DN358" i="55"/>
  <c r="DH107" i="55"/>
  <c r="DG255" i="55"/>
  <c r="DH221" i="55"/>
  <c r="DL238" i="55"/>
  <c r="DJ361" i="55"/>
  <c r="DJ287" i="55"/>
  <c r="DJ173" i="55"/>
  <c r="DJ211" i="55"/>
  <c r="DN320" i="55"/>
  <c r="DM247" i="55"/>
  <c r="DI362" i="55"/>
  <c r="DK335" i="55"/>
  <c r="DK248" i="55"/>
  <c r="DN167" i="55"/>
  <c r="DO276" i="55"/>
  <c r="DM363" i="55"/>
  <c r="DK256" i="55"/>
  <c r="DN236" i="55"/>
  <c r="BU129" i="55"/>
  <c r="FE172" i="55"/>
  <c r="BT149" i="55"/>
  <c r="DJ264" i="55"/>
  <c r="DM297" i="55"/>
  <c r="DK345" i="55"/>
  <c r="DI315" i="55"/>
  <c r="DN342" i="55"/>
  <c r="DO214" i="55"/>
  <c r="DN275" i="55"/>
  <c r="DN149" i="55"/>
  <c r="DO184" i="55"/>
  <c r="BW100" i="55"/>
  <c r="DH185" i="55"/>
  <c r="DH194" i="55"/>
  <c r="DO259" i="55"/>
  <c r="DI332" i="55"/>
  <c r="DK350" i="55"/>
  <c r="DK324" i="55"/>
  <c r="DH173" i="55"/>
  <c r="DG191" i="55"/>
  <c r="DL322" i="55"/>
  <c r="DH347" i="55"/>
  <c r="DN345" i="55"/>
  <c r="DL300" i="55"/>
  <c r="BO159" i="55"/>
  <c r="FC175" i="55"/>
  <c r="DL310" i="55"/>
  <c r="DJ340" i="55"/>
  <c r="DJ349" i="55"/>
  <c r="BV130" i="55"/>
  <c r="DH211" i="55"/>
  <c r="DH279" i="55"/>
  <c r="DN374" i="55"/>
  <c r="DG266" i="55"/>
  <c r="DK152" i="55"/>
  <c r="DM287" i="55"/>
  <c r="DK367" i="55"/>
  <c r="DI327" i="55"/>
  <c r="DO215" i="55"/>
  <c r="DJ373" i="55"/>
  <c r="DL77" i="55"/>
  <c r="DJ231" i="55"/>
  <c r="DG356" i="55"/>
  <c r="DL318" i="55"/>
  <c r="DO254" i="55"/>
  <c r="DM320" i="55"/>
  <c r="DJ270" i="55"/>
  <c r="DG376" i="55"/>
  <c r="DH357" i="55"/>
  <c r="DH320" i="55"/>
  <c r="DG196" i="55"/>
  <c r="DK343" i="55"/>
  <c r="FC162" i="55"/>
  <c r="DK360" i="55"/>
  <c r="DK281" i="55"/>
  <c r="FC147" i="55"/>
  <c r="DL380" i="55"/>
  <c r="BO155" i="55"/>
  <c r="BR133" i="55"/>
  <c r="DO370" i="55"/>
  <c r="DN202" i="55"/>
  <c r="DO212" i="55"/>
  <c r="BQ155" i="55"/>
  <c r="DO318" i="55"/>
  <c r="DN279" i="55"/>
  <c r="DJ182" i="55"/>
  <c r="DI136" i="55"/>
  <c r="DM125" i="55"/>
  <c r="DG187" i="55"/>
  <c r="DN295" i="55"/>
  <c r="BU100" i="55"/>
  <c r="DL321" i="55"/>
  <c r="FD171" i="55"/>
  <c r="FE152" i="55"/>
  <c r="DL226" i="55"/>
  <c r="FD151" i="55"/>
  <c r="FE166" i="55"/>
  <c r="DI305" i="55"/>
  <c r="DI353" i="55"/>
  <c r="DL350" i="55"/>
  <c r="DI285" i="55"/>
  <c r="DL225" i="55"/>
  <c r="DN304" i="55"/>
  <c r="DO118" i="55"/>
  <c r="DI195" i="55"/>
  <c r="DN98" i="55"/>
  <c r="FE167" i="55"/>
  <c r="DM237" i="55"/>
  <c r="DL268" i="55"/>
  <c r="DK239" i="55"/>
  <c r="DJ297" i="55"/>
  <c r="DK270" i="55"/>
  <c r="DL192" i="55"/>
  <c r="DG205" i="55"/>
  <c r="DL236" i="55"/>
  <c r="DK356" i="55"/>
  <c r="DO286" i="55"/>
  <c r="DM331" i="55"/>
  <c r="DH177" i="55"/>
  <c r="DM195" i="55"/>
  <c r="DL326" i="55"/>
  <c r="DH349" i="55"/>
  <c r="DM358" i="55"/>
  <c r="FC176" i="55"/>
  <c r="DN239" i="55"/>
  <c r="DN305" i="55"/>
  <c r="DO289" i="55"/>
  <c r="BU132" i="55"/>
  <c r="DG293" i="55"/>
  <c r="BP103" i="55"/>
  <c r="DH241" i="55"/>
  <c r="DM231" i="55"/>
  <c r="DL359" i="55"/>
  <c r="DN316" i="55"/>
  <c r="DG355" i="55"/>
  <c r="BU110" i="55"/>
  <c r="DJ360" i="55"/>
  <c r="DG250" i="55"/>
  <c r="DG270" i="55"/>
  <c r="DN206" i="55"/>
  <c r="DO325" i="55"/>
  <c r="DH202" i="55"/>
  <c r="DL223" i="55"/>
  <c r="DI262" i="55"/>
  <c r="DN321" i="55"/>
  <c r="DO379" i="55"/>
  <c r="DN119" i="55"/>
  <c r="DI239" i="55"/>
  <c r="DH333" i="55"/>
  <c r="DO164" i="55"/>
  <c r="DI255" i="55"/>
  <c r="DK138" i="55"/>
  <c r="DN185" i="55"/>
  <c r="DM245" i="55"/>
  <c r="DO312" i="55"/>
  <c r="DO248" i="55"/>
  <c r="DG357" i="55"/>
  <c r="BR109" i="55"/>
  <c r="DG195" i="55"/>
  <c r="DO273" i="55"/>
  <c r="DG272" i="55"/>
  <c r="DN325" i="55"/>
  <c r="BQ156" i="55"/>
  <c r="BO104" i="55"/>
  <c r="DG183" i="55"/>
  <c r="DO261" i="55"/>
  <c r="DH260" i="55"/>
  <c r="DN309" i="55"/>
  <c r="DO304" i="55"/>
  <c r="DI219" i="55"/>
  <c r="DG322" i="55"/>
  <c r="DO308" i="55"/>
  <c r="DM372" i="55"/>
  <c r="DG206" i="55"/>
  <c r="DG211" i="55"/>
  <c r="DJ313" i="55"/>
  <c r="DJ337" i="55"/>
  <c r="DG340" i="55"/>
  <c r="DN240" i="55"/>
  <c r="DJ225" i="55"/>
  <c r="DJ370" i="55"/>
  <c r="BR111" i="55"/>
  <c r="DM220" i="55"/>
  <c r="DG314" i="55"/>
  <c r="DL366" i="55"/>
  <c r="DI313" i="55"/>
  <c r="DG343" i="55"/>
  <c r="DN348" i="55"/>
  <c r="DH289" i="55"/>
  <c r="FC114" i="55"/>
  <c r="DK277" i="55"/>
  <c r="DL275" i="55"/>
  <c r="DG350" i="55"/>
  <c r="FD167" i="55"/>
  <c r="DO331" i="55"/>
  <c r="DN283" i="55"/>
  <c r="DN278" i="55"/>
  <c r="DG305" i="55"/>
  <c r="DH281" i="55"/>
  <c r="DO295" i="55"/>
  <c r="DG179" i="55"/>
  <c r="DO337" i="55"/>
  <c r="DM278" i="55"/>
  <c r="DL314" i="55"/>
  <c r="DK303" i="55"/>
  <c r="DM179" i="55"/>
  <c r="DH332" i="55"/>
  <c r="DM196" i="55"/>
  <c r="BR157" i="55"/>
  <c r="DN337" i="55"/>
  <c r="DM291" i="55"/>
  <c r="DG160" i="55"/>
  <c r="DI321" i="55"/>
  <c r="DK344" i="55"/>
  <c r="DH337" i="55"/>
  <c r="DO230" i="55"/>
  <c r="DG281" i="55"/>
  <c r="DO145" i="55"/>
  <c r="DJ319" i="55"/>
  <c r="DL346" i="55"/>
  <c r="DO307" i="55"/>
  <c r="DI243" i="55"/>
  <c r="DJ243" i="55"/>
  <c r="DJ210" i="55"/>
  <c r="DM230" i="55"/>
  <c r="DK271" i="55"/>
  <c r="DO335" i="55"/>
  <c r="DJ368" i="55"/>
  <c r="DG105" i="55"/>
  <c r="DI249" i="55"/>
  <c r="DN268" i="55"/>
  <c r="DO176" i="55"/>
  <c r="DH268" i="55"/>
  <c r="BU109" i="55"/>
  <c r="DI171" i="55"/>
  <c r="DL253" i="55"/>
  <c r="DG318" i="55"/>
  <c r="DJ249" i="55"/>
  <c r="DM319" i="55"/>
  <c r="BV124" i="55"/>
  <c r="DG210" i="55"/>
  <c r="DO292" i="55"/>
  <c r="DJ339" i="55"/>
  <c r="DJ167" i="55"/>
  <c r="DL198" i="55"/>
  <c r="DN329" i="55"/>
  <c r="DH248" i="55"/>
  <c r="DM239" i="55"/>
  <c r="DG131" i="55"/>
  <c r="DI352" i="55"/>
  <c r="BU117" i="55"/>
  <c r="DL294" i="55"/>
  <c r="DJ191" i="55"/>
  <c r="EQ114" i="55"/>
  <c r="DK211" i="55"/>
  <c r="DN272" i="55"/>
  <c r="DH304" i="55"/>
  <c r="DK333" i="55"/>
  <c r="BT84" i="55"/>
  <c r="DJ200" i="55"/>
  <c r="DI279" i="55"/>
  <c r="DJ277" i="55"/>
  <c r="DN296" i="55"/>
  <c r="DJ307" i="55"/>
  <c r="BQ142" i="55"/>
  <c r="DL219" i="55"/>
  <c r="DJ376" i="55"/>
  <c r="DO174" i="55"/>
  <c r="DO329" i="55"/>
  <c r="DH128" i="55"/>
  <c r="DO179" i="55"/>
  <c r="DG201" i="55"/>
  <c r="DK323" i="55"/>
  <c r="DH258" i="55"/>
  <c r="DK188" i="55"/>
  <c r="FE122" i="55"/>
  <c r="DI224" i="55"/>
  <c r="DM304" i="55"/>
  <c r="DJ321" i="55"/>
  <c r="DI348" i="55"/>
  <c r="DL201" i="55"/>
  <c r="BS130" i="55"/>
  <c r="DL213" i="55"/>
  <c r="DH293" i="55"/>
  <c r="DN299" i="55"/>
  <c r="DO340" i="55"/>
  <c r="DK285" i="55"/>
  <c r="DI202" i="55"/>
  <c r="DH269" i="55"/>
  <c r="DH351" i="55"/>
  <c r="DN269" i="55"/>
  <c r="DO317" i="55"/>
  <c r="FE161" i="55"/>
  <c r="DM379" i="55"/>
  <c r="DK284" i="55"/>
  <c r="DI358" i="55"/>
  <c r="DL379" i="55"/>
  <c r="DO333" i="55"/>
  <c r="FC149" i="55"/>
  <c r="BR149" i="55"/>
  <c r="DI225" i="55"/>
  <c r="DM272" i="55"/>
  <c r="DO334" i="55"/>
  <c r="DM364" i="55"/>
  <c r="DM356" i="55"/>
  <c r="DI163" i="55"/>
  <c r="DG147" i="55"/>
  <c r="DN181" i="55"/>
  <c r="DO316" i="55"/>
  <c r="DO342" i="55"/>
  <c r="BP130" i="55"/>
  <c r="DJ329" i="55"/>
  <c r="DM283" i="55"/>
  <c r="DK202" i="55"/>
  <c r="FC166" i="55"/>
  <c r="DI283" i="55"/>
  <c r="DO279" i="55"/>
  <c r="DJ205" i="55"/>
  <c r="DN327" i="55"/>
  <c r="DN353" i="55"/>
  <c r="DG278" i="55"/>
  <c r="DN258" i="55"/>
  <c r="DH223" i="55"/>
  <c r="DO305" i="55"/>
  <c r="DJ280" i="55"/>
  <c r="DO324" i="55"/>
  <c r="DL363" i="55"/>
  <c r="DL250" i="55"/>
  <c r="BV111" i="55"/>
  <c r="DM232" i="55"/>
  <c r="DJ336" i="55"/>
  <c r="DO355" i="55"/>
  <c r="DI281" i="55"/>
  <c r="DK96" i="55"/>
  <c r="DI208" i="55"/>
  <c r="DH287" i="55"/>
  <c r="DJ289" i="55"/>
  <c r="DO309" i="55"/>
  <c r="DK329" i="55"/>
  <c r="DI164" i="55"/>
  <c r="DK228" i="55"/>
  <c r="DH331" i="55"/>
  <c r="DM188" i="55"/>
  <c r="DO233" i="55"/>
  <c r="DM183" i="55"/>
  <c r="DJ189" i="55"/>
  <c r="DK206" i="55"/>
  <c r="DO270" i="55"/>
  <c r="DM266" i="55"/>
  <c r="AQ223" i="55" l="1"/>
  <c r="AG223" i="55"/>
  <c r="AS336" i="55"/>
  <c r="AE490" i="55"/>
  <c r="DQ359" i="55"/>
  <c r="DQ360" i="55"/>
  <c r="DQ357" i="55"/>
  <c r="DQ358" i="55"/>
  <c r="DR283" i="55"/>
  <c r="DR284" i="55"/>
  <c r="DW365" i="55"/>
  <c r="DW364" i="55"/>
  <c r="DX276" i="55"/>
  <c r="DV365" i="55"/>
  <c r="DV364" i="55"/>
  <c r="DR314" i="55"/>
  <c r="DR313" i="55"/>
  <c r="DR346" i="55"/>
  <c r="DR347" i="55"/>
  <c r="DR348" i="55"/>
  <c r="DP282" i="55"/>
  <c r="DP281" i="55"/>
  <c r="DU366" i="55"/>
  <c r="DU367" i="55"/>
  <c r="DS227" i="55"/>
  <c r="DS228" i="55"/>
  <c r="DS230" i="55"/>
  <c r="DS229" i="55"/>
  <c r="DT304" i="55"/>
  <c r="DT303" i="55"/>
  <c r="DV231" i="55"/>
  <c r="DV232" i="55"/>
  <c r="DS272" i="55"/>
  <c r="DS271" i="55"/>
  <c r="DS270" i="55"/>
  <c r="DS273" i="55"/>
  <c r="DS231" i="55"/>
  <c r="DS232" i="55"/>
  <c r="DP198" i="55"/>
  <c r="DP199" i="55"/>
  <c r="DP196" i="55"/>
  <c r="DP197" i="55"/>
  <c r="DV222" i="55"/>
  <c r="DV221" i="55"/>
  <c r="DV220" i="55"/>
  <c r="FG147" i="55"/>
  <c r="CA149" i="55"/>
  <c r="DP132" i="55"/>
  <c r="DP131" i="55"/>
  <c r="DU77" i="55"/>
  <c r="FG166" i="55"/>
  <c r="FG149" i="55"/>
  <c r="BY94" i="55"/>
  <c r="DR332" i="55"/>
  <c r="DR329" i="55"/>
  <c r="DR331" i="55"/>
  <c r="DR330" i="55"/>
  <c r="DP353" i="55"/>
  <c r="DP352" i="55"/>
  <c r="DP349" i="55"/>
  <c r="DP350" i="55"/>
  <c r="DP351" i="55"/>
  <c r="DX333" i="55"/>
  <c r="DX335" i="55"/>
  <c r="DX334" i="55"/>
  <c r="DQ281" i="55"/>
  <c r="DQ282" i="55"/>
  <c r="DQ269" i="55"/>
  <c r="DQ267" i="55"/>
  <c r="DQ266" i="55"/>
  <c r="DQ268" i="55"/>
  <c r="DU207" i="55"/>
  <c r="DU204" i="55"/>
  <c r="DU205" i="55"/>
  <c r="DU206" i="55"/>
  <c r="ER135" i="55"/>
  <c r="BZ136" i="55"/>
  <c r="DT93" i="55"/>
  <c r="DT92" i="55"/>
  <c r="DW240" i="55"/>
  <c r="DW242" i="55"/>
  <c r="DW241" i="55"/>
  <c r="DU310" i="55"/>
  <c r="DU309" i="55"/>
  <c r="DW234" i="55"/>
  <c r="DW233" i="55"/>
  <c r="DX217" i="55"/>
  <c r="DX215" i="55"/>
  <c r="DX216" i="55"/>
  <c r="DX166" i="55"/>
  <c r="DX167" i="55"/>
  <c r="DX165" i="55"/>
  <c r="DQ181" i="55"/>
  <c r="DQ182" i="55"/>
  <c r="DQ180" i="55"/>
  <c r="DQ179" i="55"/>
  <c r="DQ183" i="55"/>
  <c r="CF126" i="55"/>
  <c r="CD117" i="55"/>
  <c r="DR328" i="55"/>
  <c r="DR327" i="55"/>
  <c r="DQ380" i="55"/>
  <c r="DQ378" i="55"/>
  <c r="DQ379" i="55"/>
  <c r="DQ377" i="55"/>
  <c r="DQ337" i="55"/>
  <c r="DQ341" i="55"/>
  <c r="DQ340" i="55"/>
  <c r="DQ338" i="55"/>
  <c r="DQ336" i="55"/>
  <c r="DQ339" i="55"/>
  <c r="DT282" i="55"/>
  <c r="DT281" i="55"/>
  <c r="DP305" i="55"/>
  <c r="DP306" i="55"/>
  <c r="DU355" i="55"/>
  <c r="DU356" i="55"/>
  <c r="DU354" i="55"/>
  <c r="DR335" i="55"/>
  <c r="DR333" i="55"/>
  <c r="DR334" i="55"/>
  <c r="DP294" i="55"/>
  <c r="DP295" i="55"/>
  <c r="DP293" i="55"/>
  <c r="DX363" i="55"/>
  <c r="DX361" i="55"/>
  <c r="DX362" i="55"/>
  <c r="DS314" i="55"/>
  <c r="DS313" i="55"/>
  <c r="DP252" i="55"/>
  <c r="DP251" i="55"/>
  <c r="DP255" i="55"/>
  <c r="DP253" i="55"/>
  <c r="DP254" i="55"/>
  <c r="DU319" i="55"/>
  <c r="DU318" i="55"/>
  <c r="DU320" i="55"/>
  <c r="DQ302" i="55"/>
  <c r="DQ301" i="55"/>
  <c r="DQ288" i="55"/>
  <c r="DQ286" i="55"/>
  <c r="DQ285" i="55"/>
  <c r="DQ287" i="55"/>
  <c r="DQ289" i="55"/>
  <c r="DP213" i="55"/>
  <c r="DP214" i="55"/>
  <c r="DP211" i="55"/>
  <c r="DP212" i="55"/>
  <c r="DU208" i="55"/>
  <c r="DU209" i="55"/>
  <c r="DU210" i="55"/>
  <c r="DQ188" i="55"/>
  <c r="DQ189" i="55"/>
  <c r="DP119" i="55"/>
  <c r="DP117" i="55"/>
  <c r="DP118" i="55"/>
  <c r="DP116" i="55"/>
  <c r="DP115" i="55"/>
  <c r="DP114" i="55"/>
  <c r="CB117" i="55"/>
  <c r="CD132" i="55"/>
  <c r="DP268" i="55"/>
  <c r="DP266" i="55"/>
  <c r="DP269" i="55"/>
  <c r="DP267" i="55"/>
  <c r="DW283" i="55"/>
  <c r="DW284" i="55"/>
  <c r="DV373" i="55"/>
  <c r="DV374" i="55"/>
  <c r="DV372" i="55"/>
  <c r="DP354" i="55"/>
  <c r="DP355" i="55"/>
  <c r="DP356" i="55"/>
  <c r="DW314" i="55"/>
  <c r="DW313" i="55"/>
  <c r="DS378" i="55"/>
  <c r="DS379" i="55"/>
  <c r="DS380" i="55"/>
  <c r="DS377" i="55"/>
  <c r="DP371" i="55"/>
  <c r="DP369" i="55"/>
  <c r="DP370" i="55"/>
  <c r="DP368" i="55"/>
  <c r="DV380" i="55"/>
  <c r="DV378" i="55"/>
  <c r="DV379" i="55"/>
  <c r="DV377" i="55"/>
  <c r="DW305" i="55"/>
  <c r="DW306" i="55"/>
  <c r="DP264" i="55"/>
  <c r="DP265" i="55"/>
  <c r="DS280" i="55"/>
  <c r="DT264" i="55"/>
  <c r="DT265" i="55"/>
  <c r="DV300" i="55"/>
  <c r="DV299" i="55"/>
  <c r="DV284" i="55"/>
  <c r="DV283" i="55"/>
  <c r="DT311" i="55"/>
  <c r="DW266" i="55"/>
  <c r="DW268" i="55"/>
  <c r="DW269" i="55"/>
  <c r="DW267" i="55"/>
  <c r="DQ212" i="55"/>
  <c r="DQ211" i="55"/>
  <c r="DQ213" i="55"/>
  <c r="DQ214" i="55"/>
  <c r="DV253" i="55"/>
  <c r="DV254" i="55"/>
  <c r="DV251" i="55"/>
  <c r="DV252" i="55"/>
  <c r="DV255" i="55"/>
  <c r="DX236" i="55"/>
  <c r="DX237" i="55"/>
  <c r="DX235" i="55"/>
  <c r="FG176" i="55"/>
  <c r="CE130" i="55"/>
  <c r="CF121" i="55"/>
  <c r="DS312" i="55"/>
  <c r="DQ362" i="55"/>
  <c r="DQ363" i="55"/>
  <c r="DQ361" i="55"/>
  <c r="DP364" i="55"/>
  <c r="DP365" i="55"/>
  <c r="DT287" i="55"/>
  <c r="DT289" i="55"/>
  <c r="DT286" i="55"/>
  <c r="DT288" i="55"/>
  <c r="DT285" i="55"/>
  <c r="DP367" i="55"/>
  <c r="DP366" i="55"/>
  <c r="DS353" i="55"/>
  <c r="DS349" i="55"/>
  <c r="DS350" i="55"/>
  <c r="DS351" i="55"/>
  <c r="DS352" i="55"/>
  <c r="DR324" i="55"/>
  <c r="DR326" i="55"/>
  <c r="DR325" i="55"/>
  <c r="DR323" i="55"/>
  <c r="DR322" i="55"/>
  <c r="DR321" i="55"/>
  <c r="DU361" i="55"/>
  <c r="DU362" i="55"/>
  <c r="DU363" i="55"/>
  <c r="DW329" i="55"/>
  <c r="DW331" i="55"/>
  <c r="DW330" i="55"/>
  <c r="DW332" i="55"/>
  <c r="DW309" i="55"/>
  <c r="DW310" i="55"/>
  <c r="DS376" i="55"/>
  <c r="DS375" i="55"/>
  <c r="DR367" i="55"/>
  <c r="DR366" i="55"/>
  <c r="DX357" i="55"/>
  <c r="DX360" i="55"/>
  <c r="DX358" i="55"/>
  <c r="DX359" i="55"/>
  <c r="DQ351" i="55"/>
  <c r="DQ350" i="55"/>
  <c r="DQ349" i="55"/>
  <c r="DQ353" i="55"/>
  <c r="DQ352" i="55"/>
  <c r="DX306" i="55"/>
  <c r="DX305" i="55"/>
  <c r="DT347" i="55"/>
  <c r="DT348" i="55"/>
  <c r="DT346" i="55"/>
  <c r="DS331" i="55"/>
  <c r="DS329" i="55"/>
  <c r="DS332" i="55"/>
  <c r="DS330" i="55"/>
  <c r="DW299" i="55"/>
  <c r="DW300" i="55"/>
  <c r="DQ260" i="55"/>
  <c r="DW276" i="55"/>
  <c r="DP260" i="55"/>
  <c r="DX265" i="55"/>
  <c r="DX264" i="55"/>
  <c r="DX245" i="55"/>
  <c r="DX249" i="55"/>
  <c r="DX243" i="55"/>
  <c r="DX250" i="55"/>
  <c r="DX246" i="55"/>
  <c r="DX247" i="55"/>
  <c r="DX248" i="55"/>
  <c r="DX244" i="55"/>
  <c r="DQ294" i="55"/>
  <c r="DQ293" i="55"/>
  <c r="DQ295" i="55"/>
  <c r="DT279" i="55"/>
  <c r="DT278" i="55"/>
  <c r="DT277" i="55"/>
  <c r="DX263" i="55"/>
  <c r="DX261" i="55"/>
  <c r="DX262" i="55"/>
  <c r="FG175" i="55"/>
  <c r="DQ218" i="55"/>
  <c r="DQ219" i="55"/>
  <c r="DW186" i="55"/>
  <c r="DW187" i="55"/>
  <c r="FG162" i="55"/>
  <c r="DV215" i="55"/>
  <c r="DV217" i="55"/>
  <c r="DV216" i="55"/>
  <c r="DQ177" i="55"/>
  <c r="DQ178" i="55"/>
  <c r="FG161" i="55"/>
  <c r="DP160" i="55"/>
  <c r="DP161" i="55"/>
  <c r="DP163" i="55"/>
  <c r="DP162" i="55"/>
  <c r="DP164" i="55"/>
  <c r="ER147" i="55"/>
  <c r="CA118" i="55"/>
  <c r="BY130" i="55"/>
  <c r="CB130" i="55"/>
  <c r="FG114" i="55"/>
  <c r="BX104" i="55"/>
  <c r="CC105" i="55"/>
  <c r="DQ224" i="55"/>
  <c r="DQ226" i="55"/>
  <c r="DQ225" i="55"/>
  <c r="DQ223" i="55"/>
  <c r="DX186" i="55"/>
  <c r="DX187" i="55"/>
  <c r="DW207" i="55"/>
  <c r="DW206" i="55"/>
  <c r="DW204" i="55"/>
  <c r="DW205" i="55"/>
  <c r="DR222" i="55"/>
  <c r="DR221" i="55"/>
  <c r="DR220" i="55"/>
  <c r="DP181" i="55"/>
  <c r="DP180" i="55"/>
  <c r="DP183" i="55"/>
  <c r="DP179" i="55"/>
  <c r="DP182" i="55"/>
  <c r="BZ156" i="55"/>
  <c r="CC121" i="55"/>
  <c r="CB106" i="55"/>
  <c r="DV361" i="55"/>
  <c r="DV362" i="55"/>
  <c r="DV363" i="55"/>
  <c r="DX242" i="55"/>
  <c r="DX240" i="55"/>
  <c r="DX241" i="55"/>
  <c r="DX318" i="55"/>
  <c r="DX320" i="55"/>
  <c r="DX319" i="55"/>
  <c r="DT300" i="55"/>
  <c r="DT299" i="55"/>
  <c r="DT377" i="55"/>
  <c r="DT378" i="55"/>
  <c r="DT379" i="55"/>
  <c r="DT380" i="55"/>
  <c r="DW301" i="55"/>
  <c r="DW302" i="55"/>
  <c r="DW289" i="55"/>
  <c r="DW285" i="55"/>
  <c r="DW286" i="55"/>
  <c r="DW288" i="55"/>
  <c r="DW287" i="55"/>
  <c r="DW339" i="55"/>
  <c r="DW340" i="55"/>
  <c r="DW338" i="55"/>
  <c r="DW337" i="55"/>
  <c r="DW336" i="55"/>
  <c r="DW341" i="55"/>
  <c r="DX344" i="55"/>
  <c r="DX345" i="55"/>
  <c r="DX343" i="55"/>
  <c r="DX342" i="55"/>
  <c r="DS326" i="55"/>
  <c r="DS325" i="55"/>
  <c r="DS324" i="55"/>
  <c r="DS323" i="55"/>
  <c r="DS321" i="55"/>
  <c r="DS322" i="55"/>
  <c r="DQ258" i="55"/>
  <c r="DQ259" i="55"/>
  <c r="DQ257" i="55"/>
  <c r="DQ256" i="55"/>
  <c r="DP259" i="55"/>
  <c r="DP257" i="55"/>
  <c r="DP258" i="55"/>
  <c r="DP256" i="55"/>
  <c r="DP307" i="55"/>
  <c r="DP308" i="55"/>
  <c r="DR276" i="55"/>
  <c r="DT239" i="55"/>
  <c r="DT238" i="55"/>
  <c r="DT328" i="55"/>
  <c r="DT327" i="55"/>
  <c r="DR218" i="55"/>
  <c r="DR219" i="55"/>
  <c r="DT170" i="55"/>
  <c r="DT172" i="55"/>
  <c r="DT173" i="55"/>
  <c r="DT169" i="55"/>
  <c r="DT171" i="55"/>
  <c r="DV249" i="55"/>
  <c r="DV248" i="55"/>
  <c r="DV243" i="55"/>
  <c r="DV244" i="55"/>
  <c r="DV245" i="55"/>
  <c r="DV247" i="55"/>
  <c r="DV250" i="55"/>
  <c r="DV246" i="55"/>
  <c r="DP178" i="55"/>
  <c r="DP177" i="55"/>
  <c r="BX156" i="55"/>
  <c r="BZ155" i="55"/>
  <c r="BX154" i="55"/>
  <c r="CC142" i="55"/>
  <c r="ER112" i="55"/>
  <c r="CE124" i="55"/>
  <c r="CA109" i="55"/>
  <c r="DR98" i="55"/>
  <c r="DR99" i="55"/>
  <c r="DR101" i="55"/>
  <c r="DR97" i="55"/>
  <c r="DR100" i="55"/>
  <c r="DR96" i="55"/>
  <c r="BZ93" i="55"/>
  <c r="DT357" i="55"/>
  <c r="DT360" i="55"/>
  <c r="DT359" i="55"/>
  <c r="DT358" i="55"/>
  <c r="DT271" i="55"/>
  <c r="DT272" i="55"/>
  <c r="DT270" i="55"/>
  <c r="DT273" i="55"/>
  <c r="DU292" i="55"/>
  <c r="DU291" i="55"/>
  <c r="DU290" i="55"/>
  <c r="DV234" i="55"/>
  <c r="DV233" i="55"/>
  <c r="DS213" i="55"/>
  <c r="DS214" i="55"/>
  <c r="DS211" i="55"/>
  <c r="DS212" i="55"/>
  <c r="DT189" i="55"/>
  <c r="DT188" i="55"/>
  <c r="CC157" i="55"/>
  <c r="DP359" i="55"/>
  <c r="DP358" i="55"/>
  <c r="DP357" i="55"/>
  <c r="DP360" i="55"/>
  <c r="DV310" i="55"/>
  <c r="DV309" i="55"/>
  <c r="DS374" i="55"/>
  <c r="DS373" i="55"/>
  <c r="DS372" i="55"/>
  <c r="DS359" i="55"/>
  <c r="DS357" i="55"/>
  <c r="DS360" i="55"/>
  <c r="DS358" i="55"/>
  <c r="DS310" i="55"/>
  <c r="DS309" i="55"/>
  <c r="DP297" i="55"/>
  <c r="DP296" i="55"/>
  <c r="DP298" i="55"/>
  <c r="DP283" i="55"/>
  <c r="DP284" i="55"/>
  <c r="DV269" i="55"/>
  <c r="DV268" i="55"/>
  <c r="DV267" i="55"/>
  <c r="DV266" i="55"/>
  <c r="DV301" i="55"/>
  <c r="DV302" i="55"/>
  <c r="DV294" i="55"/>
  <c r="DV293" i="55"/>
  <c r="DV295" i="55"/>
  <c r="DV288" i="55"/>
  <c r="DV289" i="55"/>
  <c r="DV286" i="55"/>
  <c r="DV285" i="55"/>
  <c r="DV287" i="55"/>
  <c r="DX271" i="55"/>
  <c r="DX272" i="55"/>
  <c r="DX270" i="55"/>
  <c r="DX273" i="55"/>
  <c r="DP318" i="55"/>
  <c r="DP320" i="55"/>
  <c r="DP319" i="55"/>
  <c r="DX312" i="55"/>
  <c r="DQ300" i="55"/>
  <c r="DQ299" i="55"/>
  <c r="DQ284" i="55"/>
  <c r="DQ283" i="55"/>
  <c r="DQ254" i="55"/>
  <c r="DQ255" i="55"/>
  <c r="DQ253" i="55"/>
  <c r="DQ251" i="55"/>
  <c r="DQ252" i="55"/>
  <c r="DQ228" i="55"/>
  <c r="DQ229" i="55"/>
  <c r="DQ230" i="55"/>
  <c r="DQ227" i="55"/>
  <c r="DP221" i="55"/>
  <c r="DP222" i="55"/>
  <c r="DP220" i="55"/>
  <c r="DW260" i="55"/>
  <c r="DT225" i="55"/>
  <c r="DT224" i="55"/>
  <c r="DT223" i="55"/>
  <c r="DT226" i="55"/>
  <c r="DR184" i="55"/>
  <c r="DR185" i="55"/>
  <c r="DX218" i="55"/>
  <c r="DX219" i="55"/>
  <c r="DW214" i="55"/>
  <c r="DW213" i="55"/>
  <c r="DW212" i="55"/>
  <c r="DW211" i="55"/>
  <c r="DR206" i="55"/>
  <c r="DR204" i="55"/>
  <c r="DR207" i="55"/>
  <c r="DR205" i="55"/>
  <c r="DW199" i="55"/>
  <c r="DW198" i="55"/>
  <c r="DW196" i="55"/>
  <c r="DW197" i="55"/>
  <c r="DX181" i="55"/>
  <c r="DX182" i="55"/>
  <c r="DX180" i="55"/>
  <c r="DX179" i="55"/>
  <c r="DX183" i="55"/>
  <c r="DQ167" i="55"/>
  <c r="DQ166" i="55"/>
  <c r="DQ165" i="55"/>
  <c r="BY158" i="55"/>
  <c r="CB142" i="55"/>
  <c r="CA157" i="55"/>
  <c r="BZ133" i="55"/>
  <c r="CC120" i="55"/>
  <c r="CD109" i="55"/>
  <c r="DW126" i="55"/>
  <c r="DW127" i="55"/>
  <c r="DW129" i="55"/>
  <c r="DW130" i="55"/>
  <c r="DW128" i="55"/>
  <c r="BX139" i="55"/>
  <c r="ER111" i="55"/>
  <c r="CF100" i="55"/>
  <c r="CE90" i="55"/>
  <c r="BY102" i="55"/>
  <c r="DV369" i="55"/>
  <c r="DV371" i="55"/>
  <c r="DV370" i="55"/>
  <c r="DV368" i="55"/>
  <c r="DU278" i="55"/>
  <c r="DU279" i="55"/>
  <c r="DU277" i="55"/>
  <c r="DX233" i="55"/>
  <c r="DX234" i="55"/>
  <c r="DX329" i="55"/>
  <c r="DX331" i="55"/>
  <c r="DX332" i="55"/>
  <c r="DX330" i="55"/>
  <c r="DP317" i="55"/>
  <c r="DP316" i="55"/>
  <c r="DP315" i="55"/>
  <c r="DW308" i="55"/>
  <c r="DW307" i="55"/>
  <c r="DP279" i="55"/>
  <c r="DP277" i="55"/>
  <c r="DP278" i="55"/>
  <c r="DW247" i="55"/>
  <c r="DW246" i="55"/>
  <c r="DW243" i="55"/>
  <c r="DW250" i="55"/>
  <c r="DW244" i="55"/>
  <c r="DW249" i="55"/>
  <c r="DW245" i="55"/>
  <c r="DW248" i="55"/>
  <c r="DW229" i="55"/>
  <c r="DW227" i="55"/>
  <c r="DW228" i="55"/>
  <c r="DW230" i="55"/>
  <c r="DX185" i="55"/>
  <c r="DX184" i="55"/>
  <c r="DX232" i="55"/>
  <c r="DX231" i="55"/>
  <c r="DP225" i="55"/>
  <c r="DP226" i="55"/>
  <c r="DP224" i="55"/>
  <c r="DP223" i="55"/>
  <c r="DS178" i="55"/>
  <c r="DS177" i="55"/>
  <c r="DT218" i="55"/>
  <c r="DT219" i="55"/>
  <c r="DV189" i="55"/>
  <c r="DV188" i="55"/>
  <c r="DX175" i="55"/>
  <c r="DX174" i="55"/>
  <c r="DX176" i="55"/>
  <c r="DU220" i="55"/>
  <c r="DU221" i="55"/>
  <c r="DU222" i="55"/>
  <c r="BZ154" i="55"/>
  <c r="DU163" i="55"/>
  <c r="DU162" i="55"/>
  <c r="DU164" i="55"/>
  <c r="DU160" i="55"/>
  <c r="DU161" i="55"/>
  <c r="CB140" i="55"/>
  <c r="CF147" i="55"/>
  <c r="DX159" i="55"/>
  <c r="DX158" i="55"/>
  <c r="CA144" i="55"/>
  <c r="FG125" i="55"/>
  <c r="ER126" i="55"/>
  <c r="CD89" i="55"/>
  <c r="DR231" i="55"/>
  <c r="DR232" i="55"/>
  <c r="DR302" i="55"/>
  <c r="DR301" i="55"/>
  <c r="DU307" i="55"/>
  <c r="DU308" i="55"/>
  <c r="DQ333" i="55"/>
  <c r="DQ334" i="55"/>
  <c r="DQ335" i="55"/>
  <c r="DT314" i="55"/>
  <c r="DT313" i="55"/>
  <c r="DR237" i="55"/>
  <c r="DR235" i="55"/>
  <c r="DR236" i="55"/>
  <c r="DS268" i="55"/>
  <c r="DS269" i="55"/>
  <c r="DS267" i="55"/>
  <c r="DS266" i="55"/>
  <c r="DX314" i="55"/>
  <c r="DX313" i="55"/>
  <c r="DQ264" i="55"/>
  <c r="DQ265" i="55"/>
  <c r="DX209" i="55"/>
  <c r="DX208" i="55"/>
  <c r="DX210" i="55"/>
  <c r="DS260" i="55"/>
  <c r="DX202" i="55"/>
  <c r="DX203" i="55"/>
  <c r="DX200" i="55"/>
  <c r="DX201" i="55"/>
  <c r="DW189" i="55"/>
  <c r="DW188" i="55"/>
  <c r="DS198" i="55"/>
  <c r="DS199" i="55"/>
  <c r="DS197" i="55"/>
  <c r="DS196" i="55"/>
  <c r="DV184" i="55"/>
  <c r="DV185" i="55"/>
  <c r="DV230" i="55"/>
  <c r="DV227" i="55"/>
  <c r="DV228" i="55"/>
  <c r="DV229" i="55"/>
  <c r="DQ208" i="55"/>
  <c r="DQ210" i="55"/>
  <c r="DQ209" i="55"/>
  <c r="DV196" i="55"/>
  <c r="DV199" i="55"/>
  <c r="DV198" i="55"/>
  <c r="DV197" i="55"/>
  <c r="DR162" i="55"/>
  <c r="DR160" i="55"/>
  <c r="DR163" i="55"/>
  <c r="DR164" i="55"/>
  <c r="DR161" i="55"/>
  <c r="CE152" i="55"/>
  <c r="CF157" i="55"/>
  <c r="BZ142" i="55"/>
  <c r="CF152" i="55"/>
  <c r="DV135" i="55"/>
  <c r="DV136" i="55"/>
  <c r="DV137" i="55"/>
  <c r="DV134" i="55"/>
  <c r="DV133" i="55"/>
  <c r="DV138" i="55"/>
  <c r="CE117" i="55"/>
  <c r="CE101" i="55"/>
  <c r="DU262" i="55"/>
  <c r="DU261" i="55"/>
  <c r="DU263" i="55"/>
  <c r="DR286" i="55"/>
  <c r="DR289" i="55"/>
  <c r="DR288" i="55"/>
  <c r="DR285" i="55"/>
  <c r="DR287" i="55"/>
  <c r="DW343" i="55"/>
  <c r="DW344" i="55"/>
  <c r="DW345" i="55"/>
  <c r="DW342" i="55"/>
  <c r="DX354" i="55"/>
  <c r="DX356" i="55"/>
  <c r="DX355" i="55"/>
  <c r="DS317" i="55"/>
  <c r="DS316" i="55"/>
  <c r="DS315" i="55"/>
  <c r="DX371" i="55"/>
  <c r="DX368" i="55"/>
  <c r="DX369" i="55"/>
  <c r="DX370" i="55"/>
  <c r="DU345" i="55"/>
  <c r="DU342" i="55"/>
  <c r="DU344" i="55"/>
  <c r="DU343" i="55"/>
  <c r="DW328" i="55"/>
  <c r="DW327" i="55"/>
  <c r="DV275" i="55"/>
  <c r="DV274" i="55"/>
  <c r="DT331" i="55"/>
  <c r="DT332" i="55"/>
  <c r="DT330" i="55"/>
  <c r="DT329" i="55"/>
  <c r="DS308" i="55"/>
  <c r="DS307" i="55"/>
  <c r="DU276" i="55"/>
  <c r="DS370" i="55"/>
  <c r="DS371" i="55"/>
  <c r="DS368" i="55"/>
  <c r="DS369" i="55"/>
  <c r="DR312" i="55"/>
  <c r="DR316" i="55"/>
  <c r="DR315" i="55"/>
  <c r="DR317" i="55"/>
  <c r="DR379" i="55"/>
  <c r="DR377" i="55"/>
  <c r="DR380" i="55"/>
  <c r="DR378" i="55"/>
  <c r="DV355" i="55"/>
  <c r="DV354" i="55"/>
  <c r="DV356" i="55"/>
  <c r="DS276" i="55"/>
  <c r="DU380" i="55"/>
  <c r="DU377" i="55"/>
  <c r="DU378" i="55"/>
  <c r="DU379" i="55"/>
  <c r="DX310" i="55"/>
  <c r="DX309" i="55"/>
  <c r="DW297" i="55"/>
  <c r="DW296" i="55"/>
  <c r="DW298" i="55"/>
  <c r="DU372" i="55"/>
  <c r="DU374" i="55"/>
  <c r="DU373" i="55"/>
  <c r="DU359" i="55"/>
  <c r="DU360" i="55"/>
  <c r="DU357" i="55"/>
  <c r="DU358" i="55"/>
  <c r="DV342" i="55"/>
  <c r="DV343" i="55"/>
  <c r="DV345" i="55"/>
  <c r="DV344" i="55"/>
  <c r="DW322" i="55"/>
  <c r="DW326" i="55"/>
  <c r="DW325" i="55"/>
  <c r="DW324" i="55"/>
  <c r="DW323" i="55"/>
  <c r="DW321" i="55"/>
  <c r="DS305" i="55"/>
  <c r="DS306" i="55"/>
  <c r="DT364" i="55"/>
  <c r="DT365" i="55"/>
  <c r="DW312" i="55"/>
  <c r="DP299" i="55"/>
  <c r="DP300" i="55"/>
  <c r="DV376" i="55"/>
  <c r="DV375" i="55"/>
  <c r="DW370" i="55"/>
  <c r="DW371" i="55"/>
  <c r="DW369" i="55"/>
  <c r="DW368" i="55"/>
  <c r="DS363" i="55"/>
  <c r="DS361" i="55"/>
  <c r="DS362" i="55"/>
  <c r="DS333" i="55"/>
  <c r="DS335" i="55"/>
  <c r="DS334" i="55"/>
  <c r="DS279" i="55"/>
  <c r="DS278" i="55"/>
  <c r="DS277" i="55"/>
  <c r="DR272" i="55"/>
  <c r="DR273" i="55"/>
  <c r="DR270" i="55"/>
  <c r="DR271" i="55"/>
  <c r="DQ234" i="55"/>
  <c r="DQ233" i="55"/>
  <c r="DU312" i="55"/>
  <c r="DR306" i="55"/>
  <c r="DR305" i="55"/>
  <c r="DV281" i="55"/>
  <c r="DV282" i="55"/>
  <c r="DT275" i="55"/>
  <c r="DT274" i="55"/>
  <c r="DX267" i="55"/>
  <c r="DX269" i="55"/>
  <c r="DX266" i="55"/>
  <c r="DX268" i="55"/>
  <c r="DT317" i="55"/>
  <c r="DT316" i="55"/>
  <c r="DT315" i="55"/>
  <c r="DV265" i="55"/>
  <c r="DV264" i="55"/>
  <c r="DS237" i="55"/>
  <c r="DS235" i="55"/>
  <c r="DS236" i="55"/>
  <c r="DU224" i="55"/>
  <c r="DU225" i="55"/>
  <c r="DU226" i="55"/>
  <c r="DU223" i="55"/>
  <c r="DT181" i="55"/>
  <c r="DT182" i="55"/>
  <c r="DT180" i="55"/>
  <c r="DT183" i="55"/>
  <c r="DT179" i="55"/>
  <c r="DS264" i="55"/>
  <c r="DS265" i="55"/>
  <c r="DW259" i="55"/>
  <c r="DW258" i="55"/>
  <c r="DW256" i="55"/>
  <c r="DW257" i="55"/>
  <c r="DP229" i="55"/>
  <c r="DP228" i="55"/>
  <c r="DP227" i="55"/>
  <c r="DP230" i="55"/>
  <c r="DS217" i="55"/>
  <c r="DS216" i="55"/>
  <c r="DS215" i="55"/>
  <c r="DR210" i="55"/>
  <c r="DR209" i="55"/>
  <c r="DR208" i="55"/>
  <c r="DS203" i="55"/>
  <c r="DS201" i="55"/>
  <c r="DS202" i="55"/>
  <c r="DS200" i="55"/>
  <c r="ER163" i="55"/>
  <c r="DS192" i="55"/>
  <c r="DS194" i="55"/>
  <c r="DS193" i="55"/>
  <c r="DS191" i="55"/>
  <c r="DS195" i="55"/>
  <c r="DS190" i="55"/>
  <c r="DV164" i="55"/>
  <c r="DV161" i="55"/>
  <c r="DV162" i="55"/>
  <c r="DV163" i="55"/>
  <c r="DV160" i="55"/>
  <c r="CD154" i="55"/>
  <c r="DS165" i="55"/>
  <c r="DS167" i="55"/>
  <c r="DS166" i="55"/>
  <c r="CC149" i="55"/>
  <c r="CA153" i="55"/>
  <c r="CE139" i="55"/>
  <c r="CD134" i="55"/>
  <c r="CB133" i="55"/>
  <c r="CA133" i="55"/>
  <c r="CE120" i="55"/>
  <c r="CB118" i="55"/>
  <c r="CC106" i="55"/>
  <c r="FG106" i="55"/>
  <c r="DT89" i="55"/>
  <c r="DT91" i="55"/>
  <c r="DT88" i="55"/>
  <c r="DT90" i="55"/>
  <c r="CA108" i="55"/>
  <c r="CE88" i="55"/>
  <c r="DW104" i="55"/>
  <c r="DW105" i="55"/>
  <c r="DW106" i="55"/>
  <c r="DW107" i="55"/>
  <c r="DT101" i="55"/>
  <c r="DT100" i="55"/>
  <c r="DT96" i="55"/>
  <c r="DT98" i="55"/>
  <c r="DT99" i="55"/>
  <c r="DT97" i="55"/>
  <c r="CC84" i="55"/>
  <c r="DX301" i="55"/>
  <c r="DX302" i="55"/>
  <c r="DX373" i="55"/>
  <c r="DX374" i="55"/>
  <c r="DX372" i="55"/>
  <c r="DP275" i="55"/>
  <c r="DP274" i="55"/>
  <c r="DT263" i="55"/>
  <c r="DT262" i="55"/>
  <c r="DT261" i="55"/>
  <c r="DS243" i="55"/>
  <c r="DS250" i="55"/>
  <c r="DS245" i="55"/>
  <c r="DS246" i="55"/>
  <c r="DS249" i="55"/>
  <c r="DS247" i="55"/>
  <c r="DS248" i="55"/>
  <c r="DS244" i="55"/>
  <c r="DT312" i="55"/>
  <c r="DS261" i="55"/>
  <c r="DS262" i="55"/>
  <c r="DS263" i="55"/>
  <c r="DU236" i="55"/>
  <c r="DU237" i="55"/>
  <c r="DU235" i="55"/>
  <c r="DU201" i="55"/>
  <c r="DU202" i="55"/>
  <c r="DU203" i="55"/>
  <c r="DU200" i="55"/>
  <c r="DX189" i="55"/>
  <c r="DX188" i="55"/>
  <c r="DS256" i="55"/>
  <c r="DS257" i="55"/>
  <c r="DS258" i="55"/>
  <c r="DS259" i="55"/>
  <c r="DW209" i="55"/>
  <c r="DW210" i="55"/>
  <c r="DW208" i="55"/>
  <c r="DR186" i="55"/>
  <c r="DR187" i="55"/>
  <c r="DR215" i="55"/>
  <c r="DR217" i="55"/>
  <c r="DR216" i="55"/>
  <c r="DU184" i="55"/>
  <c r="DU185" i="55"/>
  <c r="DW159" i="55"/>
  <c r="DW158" i="55"/>
  <c r="CD138" i="55"/>
  <c r="FG96" i="55"/>
  <c r="CC113" i="55"/>
  <c r="DU238" i="55"/>
  <c r="DU239" i="55"/>
  <c r="DR369" i="55"/>
  <c r="DR370" i="55"/>
  <c r="DR368" i="55"/>
  <c r="DR371" i="55"/>
  <c r="DS299" i="55"/>
  <c r="DS300" i="55"/>
  <c r="DW311" i="55"/>
  <c r="DS283" i="55"/>
  <c r="DS284" i="55"/>
  <c r="DX255" i="55"/>
  <c r="DX252" i="55"/>
  <c r="DX254" i="55"/>
  <c r="DX251" i="55"/>
  <c r="DX253" i="55"/>
  <c r="BY93" i="55"/>
  <c r="DQ320" i="55"/>
  <c r="DQ319" i="55"/>
  <c r="DQ318" i="55"/>
  <c r="DR282" i="55"/>
  <c r="DR281" i="55"/>
  <c r="DR264" i="55"/>
  <c r="DR265" i="55"/>
  <c r="DT333" i="55"/>
  <c r="DT334" i="55"/>
  <c r="DT335" i="55"/>
  <c r="DP328" i="55"/>
  <c r="DP327" i="55"/>
  <c r="DX326" i="55"/>
  <c r="DX325" i="55"/>
  <c r="DX324" i="55"/>
  <c r="DX323" i="55"/>
  <c r="DX322" i="55"/>
  <c r="DX321" i="55"/>
  <c r="DP311" i="55"/>
  <c r="DU296" i="55"/>
  <c r="DU297" i="55"/>
  <c r="DU298" i="55"/>
  <c r="DU280" i="55"/>
  <c r="DR267" i="55"/>
  <c r="DR269" i="55"/>
  <c r="DR266" i="55"/>
  <c r="DR268" i="55"/>
  <c r="DQ238" i="55"/>
  <c r="DQ239" i="55"/>
  <c r="DX207" i="55"/>
  <c r="DX204" i="55"/>
  <c r="DX206" i="55"/>
  <c r="DX205" i="55"/>
  <c r="DX191" i="55"/>
  <c r="DX193" i="55"/>
  <c r="DX195" i="55"/>
  <c r="DX192" i="55"/>
  <c r="DX194" i="55"/>
  <c r="DX190" i="55"/>
  <c r="DR251" i="55"/>
  <c r="DR255" i="55"/>
  <c r="DR253" i="55"/>
  <c r="DR252" i="55"/>
  <c r="DR254" i="55"/>
  <c r="DR247" i="55"/>
  <c r="DR246" i="55"/>
  <c r="DR250" i="55"/>
  <c r="DR243" i="55"/>
  <c r="DR249" i="55"/>
  <c r="DR245" i="55"/>
  <c r="DR244" i="55"/>
  <c r="DR248" i="55"/>
  <c r="DT236" i="55"/>
  <c r="DT235" i="55"/>
  <c r="DT237" i="55"/>
  <c r="FG170" i="55"/>
  <c r="DW226" i="55"/>
  <c r="DW223" i="55"/>
  <c r="DW225" i="55"/>
  <c r="DW224" i="55"/>
  <c r="DV186" i="55"/>
  <c r="DV187" i="55"/>
  <c r="DW218" i="55"/>
  <c r="DW219" i="55"/>
  <c r="DV211" i="55"/>
  <c r="DV214" i="55"/>
  <c r="DV212" i="55"/>
  <c r="DV213" i="55"/>
  <c r="DQ207" i="55"/>
  <c r="DQ204" i="55"/>
  <c r="DQ206" i="55"/>
  <c r="DQ205" i="55"/>
  <c r="DS169" i="55"/>
  <c r="DS171" i="55"/>
  <c r="DS172" i="55"/>
  <c r="DS173" i="55"/>
  <c r="DS170" i="55"/>
  <c r="ER152" i="55"/>
  <c r="CD129" i="55"/>
  <c r="ER146" i="55"/>
  <c r="BZ123" i="55"/>
  <c r="DS123" i="55"/>
  <c r="DS120" i="55"/>
  <c r="DS124" i="55"/>
  <c r="DS121" i="55"/>
  <c r="DS125" i="55"/>
  <c r="DS122" i="55"/>
  <c r="DR113" i="55"/>
  <c r="DR109" i="55"/>
  <c r="DR110" i="55"/>
  <c r="DR108" i="55"/>
  <c r="DR112" i="55"/>
  <c r="DR111" i="55"/>
  <c r="CC94" i="55"/>
  <c r="CE110" i="55"/>
  <c r="ER98" i="55"/>
  <c r="DR87" i="55"/>
  <c r="DR86" i="55"/>
  <c r="CF98" i="55"/>
  <c r="DP377" i="55"/>
  <c r="DP379" i="55"/>
  <c r="DP380" i="55"/>
  <c r="DP378" i="55"/>
  <c r="DX280" i="55"/>
  <c r="DX281" i="55"/>
  <c r="DX282" i="55"/>
  <c r="DU335" i="55"/>
  <c r="DU334" i="55"/>
  <c r="DU333" i="55"/>
  <c r="DV358" i="55"/>
  <c r="DV359" i="55"/>
  <c r="DV360" i="55"/>
  <c r="DV357" i="55"/>
  <c r="DV317" i="55"/>
  <c r="DV316" i="55"/>
  <c r="DV315" i="55"/>
  <c r="DP302" i="55"/>
  <c r="DP301" i="55"/>
  <c r="DT375" i="55"/>
  <c r="DT376" i="55"/>
  <c r="DQ368" i="55"/>
  <c r="DQ371" i="55"/>
  <c r="DQ370" i="55"/>
  <c r="DQ369" i="55"/>
  <c r="DS327" i="55"/>
  <c r="DS328" i="55"/>
  <c r="DS311" i="55"/>
  <c r="DT296" i="55"/>
  <c r="DT298" i="55"/>
  <c r="DT297" i="55"/>
  <c r="DX284" i="55"/>
  <c r="DX283" i="55"/>
  <c r="DP363" i="55"/>
  <c r="DP362" i="55"/>
  <c r="DP361" i="55"/>
  <c r="DV335" i="55"/>
  <c r="DV333" i="55"/>
  <c r="DV334" i="55"/>
  <c r="DS320" i="55"/>
  <c r="DS319" i="55"/>
  <c r="DS318" i="55"/>
  <c r="DS365" i="55"/>
  <c r="DS364" i="55"/>
  <c r="DX351" i="55"/>
  <c r="DX353" i="55"/>
  <c r="DX352" i="55"/>
  <c r="DX349" i="55"/>
  <c r="DX350" i="55"/>
  <c r="DV338" i="55"/>
  <c r="DV340" i="55"/>
  <c r="DV341" i="55"/>
  <c r="DV336" i="55"/>
  <c r="DV337" i="55"/>
  <c r="DV339" i="55"/>
  <c r="DR308" i="55"/>
  <c r="DR307" i="55"/>
  <c r="DT280" i="55"/>
  <c r="DP238" i="55"/>
  <c r="DP239" i="55"/>
  <c r="DS282" i="55"/>
  <c r="DS281" i="55"/>
  <c r="DQ274" i="55"/>
  <c r="DQ275" i="55"/>
  <c r="DU315" i="55"/>
  <c r="DU317" i="55"/>
  <c r="DU316" i="55"/>
  <c r="DX308" i="55"/>
  <c r="DX307" i="55"/>
  <c r="DQ278" i="55"/>
  <c r="DQ277" i="55"/>
  <c r="DQ279" i="55"/>
  <c r="DP271" i="55"/>
  <c r="DP270" i="55"/>
  <c r="DP273" i="55"/>
  <c r="DP272" i="55"/>
  <c r="DT260" i="55"/>
  <c r="DP242" i="55"/>
  <c r="DP240" i="55"/>
  <c r="DP241" i="55"/>
  <c r="DP312" i="55"/>
  <c r="DU305" i="55"/>
  <c r="DU306" i="55"/>
  <c r="DQ291" i="55"/>
  <c r="DQ292" i="55"/>
  <c r="DQ290" i="55"/>
  <c r="DW274" i="55"/>
  <c r="DW275" i="55"/>
  <c r="DU242" i="55"/>
  <c r="DU240" i="55"/>
  <c r="DU241" i="55"/>
  <c r="DS234" i="55"/>
  <c r="DS233" i="55"/>
  <c r="DQ201" i="55"/>
  <c r="DQ202" i="55"/>
  <c r="DQ203" i="55"/>
  <c r="DQ200" i="55"/>
  <c r="DS185" i="55"/>
  <c r="DS184" i="55"/>
  <c r="DT217" i="55"/>
  <c r="DT215" i="55"/>
  <c r="DT216" i="55"/>
  <c r="DS209" i="55"/>
  <c r="DS210" i="55"/>
  <c r="DS208" i="55"/>
  <c r="DT203" i="55"/>
  <c r="DT202" i="55"/>
  <c r="DT201" i="55"/>
  <c r="DT200" i="55"/>
  <c r="ER172" i="55"/>
  <c r="DP218" i="55"/>
  <c r="DP219" i="55"/>
  <c r="DP189" i="55"/>
  <c r="DP188" i="55"/>
  <c r="DR229" i="55"/>
  <c r="DR228" i="55"/>
  <c r="DR230" i="55"/>
  <c r="DR227" i="55"/>
  <c r="DQ220" i="55"/>
  <c r="DQ221" i="55"/>
  <c r="DQ222" i="55"/>
  <c r="DR199" i="55"/>
  <c r="DR196" i="55"/>
  <c r="DR198" i="55"/>
  <c r="DR197" i="55"/>
  <c r="DP166" i="55"/>
  <c r="DP165" i="55"/>
  <c r="DP167" i="55"/>
  <c r="DQ184" i="55"/>
  <c r="DQ185" i="55"/>
  <c r="DV174" i="55"/>
  <c r="DV176" i="55"/>
  <c r="DV175" i="55"/>
  <c r="BY149" i="55"/>
  <c r="BZ137" i="55"/>
  <c r="DV179" i="55"/>
  <c r="DV181" i="55"/>
  <c r="DV182" i="55"/>
  <c r="DV180" i="55"/>
  <c r="DV183" i="55"/>
  <c r="CA158" i="55"/>
  <c r="DS144" i="55"/>
  <c r="DS141" i="55"/>
  <c r="DS142" i="55"/>
  <c r="DS140" i="55"/>
  <c r="DS143" i="55"/>
  <c r="DS139" i="55"/>
  <c r="DU131" i="55"/>
  <c r="DU132" i="55"/>
  <c r="CC137" i="55"/>
  <c r="BY126" i="55"/>
  <c r="BX123" i="55"/>
  <c r="BX109" i="55"/>
  <c r="DQ355" i="55"/>
  <c r="DQ356" i="55"/>
  <c r="DQ354" i="55"/>
  <c r="DT306" i="55"/>
  <c r="DT305" i="55"/>
  <c r="DS339" i="55"/>
  <c r="DS338" i="55"/>
  <c r="DS337" i="55"/>
  <c r="DS340" i="55"/>
  <c r="DS336" i="55"/>
  <c r="DS341" i="55"/>
  <c r="DW237" i="55"/>
  <c r="DW235" i="55"/>
  <c r="DW236" i="55"/>
  <c r="DT367" i="55"/>
  <c r="DT366" i="55"/>
  <c r="DS366" i="55"/>
  <c r="DS367" i="55"/>
  <c r="DX348" i="55"/>
  <c r="DX346" i="55"/>
  <c r="DX347" i="55"/>
  <c r="DV260" i="55"/>
  <c r="DR277" i="55"/>
  <c r="DR278" i="55"/>
  <c r="DR279" i="55"/>
  <c r="DQ311" i="55"/>
  <c r="DR280" i="55"/>
  <c r="DU294" i="55"/>
  <c r="DU293" i="55"/>
  <c r="DU295" i="55"/>
  <c r="DP209" i="55"/>
  <c r="DP208" i="55"/>
  <c r="DP210" i="55"/>
  <c r="DU218" i="55"/>
  <c r="DU219" i="55"/>
  <c r="DU176" i="55"/>
  <c r="DU175" i="55"/>
  <c r="DU174" i="55"/>
  <c r="FG130" i="55"/>
  <c r="DU106" i="55"/>
  <c r="DU104" i="55"/>
  <c r="DU107" i="55"/>
  <c r="DU105" i="55"/>
  <c r="FG103" i="55"/>
  <c r="BY83" i="55"/>
  <c r="DP310" i="55"/>
  <c r="DP309" i="55"/>
  <c r="DX376" i="55"/>
  <c r="DX375" i="55"/>
  <c r="DU347" i="55"/>
  <c r="DU348" i="55"/>
  <c r="DU346" i="55"/>
  <c r="DR375" i="55"/>
  <c r="DR376" i="55"/>
  <c r="DU274" i="55"/>
  <c r="DU275" i="55"/>
  <c r="DR294" i="55"/>
  <c r="DR295" i="55"/>
  <c r="DR293" i="55"/>
  <c r="DS347" i="55"/>
  <c r="DS346" i="55"/>
  <c r="DS348" i="55"/>
  <c r="DV328" i="55"/>
  <c r="DV327" i="55"/>
  <c r="DV311" i="55"/>
  <c r="DP288" i="55"/>
  <c r="DP289" i="55"/>
  <c r="DP286" i="55"/>
  <c r="DP285" i="55"/>
  <c r="DP287" i="55"/>
  <c r="DW366" i="55"/>
  <c r="DW367" i="55"/>
  <c r="DT340" i="55"/>
  <c r="DT336" i="55"/>
  <c r="DT337" i="55"/>
  <c r="DT339" i="55"/>
  <c r="DT341" i="55"/>
  <c r="DT338" i="55"/>
  <c r="DV308" i="55"/>
  <c r="DV307" i="55"/>
  <c r="DW293" i="55"/>
  <c r="DW294" i="55"/>
  <c r="DW295" i="55"/>
  <c r="DT372" i="55"/>
  <c r="DT374" i="55"/>
  <c r="DT373" i="55"/>
  <c r="DS354" i="55"/>
  <c r="DS355" i="55"/>
  <c r="DS356" i="55"/>
  <c r="DQ348" i="55"/>
  <c r="DQ346" i="55"/>
  <c r="DQ347" i="55"/>
  <c r="DR355" i="55"/>
  <c r="DR356" i="55"/>
  <c r="DR354" i="55"/>
  <c r="DP344" i="55"/>
  <c r="DP343" i="55"/>
  <c r="DP345" i="55"/>
  <c r="DP342" i="55"/>
  <c r="DU332" i="55"/>
  <c r="DU330" i="55"/>
  <c r="DU329" i="55"/>
  <c r="DU331" i="55"/>
  <c r="DU323" i="55"/>
  <c r="DU321" i="55"/>
  <c r="DU326" i="55"/>
  <c r="DU325" i="55"/>
  <c r="DU324" i="55"/>
  <c r="DU322" i="55"/>
  <c r="DU314" i="55"/>
  <c r="DU313" i="55"/>
  <c r="DV292" i="55"/>
  <c r="DV291" i="55"/>
  <c r="DV290" i="55"/>
  <c r="DT256" i="55"/>
  <c r="DT259" i="55"/>
  <c r="DT258" i="55"/>
  <c r="DT257" i="55"/>
  <c r="DP335" i="55"/>
  <c r="DP333" i="55"/>
  <c r="DP334" i="55"/>
  <c r="DT326" i="55"/>
  <c r="DT322" i="55"/>
  <c r="DT321" i="55"/>
  <c r="DT323" i="55"/>
  <c r="DT324" i="55"/>
  <c r="DT325" i="55"/>
  <c r="DW304" i="55"/>
  <c r="DW303" i="55"/>
  <c r="DQ297" i="55"/>
  <c r="DQ298" i="55"/>
  <c r="DQ296" i="55"/>
  <c r="DQ280" i="55"/>
  <c r="DX259" i="55"/>
  <c r="DX256" i="55"/>
  <c r="DX258" i="55"/>
  <c r="DX257" i="55"/>
  <c r="DW238" i="55"/>
  <c r="DW239" i="55"/>
  <c r="DU232" i="55"/>
  <c r="DU231" i="55"/>
  <c r="DT207" i="55"/>
  <c r="DT204" i="55"/>
  <c r="DT205" i="55"/>
  <c r="DT206" i="55"/>
  <c r="DR194" i="55"/>
  <c r="DR195" i="55"/>
  <c r="DR193" i="55"/>
  <c r="DR192" i="55"/>
  <c r="DR191" i="55"/>
  <c r="DR190" i="55"/>
  <c r="ER167" i="55"/>
  <c r="DP237" i="55"/>
  <c r="DP236" i="55"/>
  <c r="DP235" i="55"/>
  <c r="DX229" i="55"/>
  <c r="DX227" i="55"/>
  <c r="DX230" i="55"/>
  <c r="DX228" i="55"/>
  <c r="DW222" i="55"/>
  <c r="DW221" i="55"/>
  <c r="DW220" i="55"/>
  <c r="DV193" i="55"/>
  <c r="DV194" i="55"/>
  <c r="DV195" i="55"/>
  <c r="DV192" i="55"/>
  <c r="DV191" i="55"/>
  <c r="DV190" i="55"/>
  <c r="DS183" i="55"/>
  <c r="DS182" i="55"/>
  <c r="DS179" i="55"/>
  <c r="DS180" i="55"/>
  <c r="DS181" i="55"/>
  <c r="DP170" i="55"/>
  <c r="DP172" i="55"/>
  <c r="DP173" i="55"/>
  <c r="DP171" i="55"/>
  <c r="DP169" i="55"/>
  <c r="DS226" i="55"/>
  <c r="DS224" i="55"/>
  <c r="DS223" i="55"/>
  <c r="DS225" i="55"/>
  <c r="DP187" i="55"/>
  <c r="DP186" i="55"/>
  <c r="DT166" i="55"/>
  <c r="DT167" i="55"/>
  <c r="DT165" i="55"/>
  <c r="DS218" i="55"/>
  <c r="DS219" i="55"/>
  <c r="DR214" i="55"/>
  <c r="DR211" i="55"/>
  <c r="DR213" i="55"/>
  <c r="DR212" i="55"/>
  <c r="DW180" i="55"/>
  <c r="DW182" i="55"/>
  <c r="DW183" i="55"/>
  <c r="DW181" i="55"/>
  <c r="DW179" i="55"/>
  <c r="CE155" i="55"/>
  <c r="DR168" i="55"/>
  <c r="DT157" i="55"/>
  <c r="DT152" i="55"/>
  <c r="DT153" i="55"/>
  <c r="DT154" i="55"/>
  <c r="DT155" i="55"/>
  <c r="DT151" i="55"/>
  <c r="DT156" i="55"/>
  <c r="BX155" i="55"/>
  <c r="BY152" i="55"/>
  <c r="ER140" i="55"/>
  <c r="ER123" i="55"/>
  <c r="BY146" i="55"/>
  <c r="CE122" i="55"/>
  <c r="CE92" i="55"/>
  <c r="CB94" i="55"/>
  <c r="BZ106" i="55"/>
  <c r="BY98" i="55"/>
  <c r="DW347" i="55"/>
  <c r="DW346" i="55"/>
  <c r="DW348" i="55"/>
  <c r="DX288" i="55"/>
  <c r="DX285" i="55"/>
  <c r="DX287" i="55"/>
  <c r="DX286" i="55"/>
  <c r="DX289" i="55"/>
  <c r="DV352" i="55"/>
  <c r="DV349" i="55"/>
  <c r="DV350" i="55"/>
  <c r="DV351" i="55"/>
  <c r="DV353" i="55"/>
  <c r="DT363" i="55"/>
  <c r="DT361" i="55"/>
  <c r="DT362" i="55"/>
  <c r="DS287" i="55"/>
  <c r="DS289" i="55"/>
  <c r="DS286" i="55"/>
  <c r="DS288" i="55"/>
  <c r="DS285" i="55"/>
  <c r="DQ312" i="55"/>
  <c r="DQ376" i="55"/>
  <c r="DQ375" i="55"/>
  <c r="DR363" i="55"/>
  <c r="DR361" i="55"/>
  <c r="DR362" i="55"/>
  <c r="DU337" i="55"/>
  <c r="DU341" i="55"/>
  <c r="DU338" i="55"/>
  <c r="DU336" i="55"/>
  <c r="DU339" i="55"/>
  <c r="DU340" i="55"/>
  <c r="DQ307" i="55"/>
  <c r="DQ308" i="55"/>
  <c r="DX379" i="55"/>
  <c r="DX380" i="55"/>
  <c r="DX377" i="55"/>
  <c r="DX378" i="55"/>
  <c r="DQ364" i="55"/>
  <c r="DQ365" i="55"/>
  <c r="DW334" i="55"/>
  <c r="DW335" i="55"/>
  <c r="DW333" i="55"/>
  <c r="DW380" i="55"/>
  <c r="DW378" i="55"/>
  <c r="DW379" i="55"/>
  <c r="DW377" i="55"/>
  <c r="DT310" i="55"/>
  <c r="DT309" i="55"/>
  <c r="DU253" i="55"/>
  <c r="DU251" i="55"/>
  <c r="DU252" i="55"/>
  <c r="DU254" i="55"/>
  <c r="DU255" i="55"/>
  <c r="DQ270" i="55"/>
  <c r="DQ271" i="55"/>
  <c r="DQ273" i="55"/>
  <c r="DQ272" i="55"/>
  <c r="DX303" i="55"/>
  <c r="DX304" i="55"/>
  <c r="DU288" i="55"/>
  <c r="DU289" i="55"/>
  <c r="DU286" i="55"/>
  <c r="DU287" i="55"/>
  <c r="DU285" i="55"/>
  <c r="DR240" i="55"/>
  <c r="DR242" i="55"/>
  <c r="DR241" i="55"/>
  <c r="DT213" i="55"/>
  <c r="DT212" i="55"/>
  <c r="DT211" i="55"/>
  <c r="DT214" i="55"/>
  <c r="ER176" i="55"/>
  <c r="DU188" i="55"/>
  <c r="DU189" i="55"/>
  <c r="FG144" i="55"/>
  <c r="CA137" i="55"/>
  <c r="CE142" i="55"/>
  <c r="FG117" i="55"/>
  <c r="FG164" i="55"/>
  <c r="BY147" i="55"/>
  <c r="CF129" i="55"/>
  <c r="DU112" i="55"/>
  <c r="DU111" i="55"/>
  <c r="DU108" i="55"/>
  <c r="DU110" i="55"/>
  <c r="DU113" i="55"/>
  <c r="DU109" i="55"/>
  <c r="CB114" i="55"/>
  <c r="CF102" i="55"/>
  <c r="CD116" i="55"/>
  <c r="DP104" i="55"/>
  <c r="DP106" i="55"/>
  <c r="DP105" i="55"/>
  <c r="DP107" i="55"/>
  <c r="DR92" i="55"/>
  <c r="DR93" i="55"/>
  <c r="CF73" i="55"/>
  <c r="CF92" i="55"/>
  <c r="DR365" i="55"/>
  <c r="DR364" i="55"/>
  <c r="DU368" i="55"/>
  <c r="DU369" i="55"/>
  <c r="DU371" i="55"/>
  <c r="DU370" i="55"/>
  <c r="DT344" i="55"/>
  <c r="DT345" i="55"/>
  <c r="DT342" i="55"/>
  <c r="DT343" i="55"/>
  <c r="DU248" i="55"/>
  <c r="DU250" i="55"/>
  <c r="DU246" i="55"/>
  <c r="DU247" i="55"/>
  <c r="DU243" i="55"/>
  <c r="DU249" i="55"/>
  <c r="DU244" i="55"/>
  <c r="DU245" i="55"/>
  <c r="DP280" i="55"/>
  <c r="DU364" i="55"/>
  <c r="DU365" i="55"/>
  <c r="DR352" i="55"/>
  <c r="DR349" i="55"/>
  <c r="DR350" i="55"/>
  <c r="DR351" i="55"/>
  <c r="DR353" i="55"/>
  <c r="DR303" i="55"/>
  <c r="DR304" i="55"/>
  <c r="DP292" i="55"/>
  <c r="DP291" i="55"/>
  <c r="DP290" i="55"/>
  <c r="DW316" i="55"/>
  <c r="DW315" i="55"/>
  <c r="DW317" i="55"/>
  <c r="DT276" i="55"/>
  <c r="DQ263" i="55"/>
  <c r="DQ261" i="55"/>
  <c r="DQ262" i="55"/>
  <c r="DP247" i="55"/>
  <c r="DP245" i="55"/>
  <c r="DP244" i="55"/>
  <c r="DP249" i="55"/>
  <c r="DP248" i="55"/>
  <c r="DP243" i="55"/>
  <c r="DP250" i="55"/>
  <c r="DP246" i="55"/>
  <c r="DV277" i="55"/>
  <c r="DV279" i="55"/>
  <c r="DV278" i="55"/>
  <c r="DU270" i="55"/>
  <c r="DU273" i="55"/>
  <c r="DU272" i="55"/>
  <c r="DU271" i="55"/>
  <c r="DP261" i="55"/>
  <c r="DP263" i="55"/>
  <c r="DP262" i="55"/>
  <c r="DW232" i="55"/>
  <c r="DW231" i="55"/>
  <c r="DU327" i="55"/>
  <c r="DU328" i="55"/>
  <c r="DU311" i="55"/>
  <c r="DV296" i="55"/>
  <c r="DV297" i="55"/>
  <c r="DV298" i="55"/>
  <c r="DV280" i="55"/>
  <c r="DP233" i="55"/>
  <c r="DP234" i="55"/>
  <c r="DQ310" i="55"/>
  <c r="DQ309" i="55"/>
  <c r="DU233" i="55"/>
  <c r="DU234" i="55"/>
  <c r="DU216" i="55"/>
  <c r="DU217" i="55"/>
  <c r="DU215" i="55"/>
  <c r="DT208" i="55"/>
  <c r="DT209" i="55"/>
  <c r="DT210" i="55"/>
  <c r="DU197" i="55"/>
  <c r="DU199" i="55"/>
  <c r="DU196" i="55"/>
  <c r="DU198" i="55"/>
  <c r="DS188" i="55"/>
  <c r="DS189" i="55"/>
  <c r="DT178" i="55"/>
  <c r="DT177" i="55"/>
  <c r="DV241" i="55"/>
  <c r="DV240" i="55"/>
  <c r="DV242" i="55"/>
  <c r="DR234" i="55"/>
  <c r="DR233" i="55"/>
  <c r="DX212" i="55"/>
  <c r="DX213" i="55"/>
  <c r="DX211" i="55"/>
  <c r="DX214" i="55"/>
  <c r="DS207" i="55"/>
  <c r="DS205" i="55"/>
  <c r="DS206" i="55"/>
  <c r="DS204" i="55"/>
  <c r="DX198" i="55"/>
  <c r="DX197" i="55"/>
  <c r="DX196" i="55"/>
  <c r="DX199" i="55"/>
  <c r="DR189" i="55"/>
  <c r="DR188" i="55"/>
  <c r="DP185" i="55"/>
  <c r="DP184" i="55"/>
  <c r="DP175" i="55"/>
  <c r="DP176" i="55"/>
  <c r="DP174" i="55"/>
  <c r="DV226" i="55"/>
  <c r="DV223" i="55"/>
  <c r="DV225" i="55"/>
  <c r="DV224" i="55"/>
  <c r="DV200" i="55"/>
  <c r="DV202" i="55"/>
  <c r="DV203" i="55"/>
  <c r="DV201" i="55"/>
  <c r="DQ171" i="55"/>
  <c r="DQ172" i="55"/>
  <c r="DQ170" i="55"/>
  <c r="DQ169" i="55"/>
  <c r="DQ173" i="55"/>
  <c r="CF150" i="55"/>
  <c r="BX146" i="55"/>
  <c r="FG168" i="55"/>
  <c r="CB149" i="55"/>
  <c r="FG132" i="55"/>
  <c r="CB120" i="55"/>
  <c r="DS131" i="55"/>
  <c r="DS132" i="55"/>
  <c r="DV132" i="55"/>
  <c r="DV131" i="55"/>
  <c r="ER104" i="55"/>
  <c r="CD100" i="55"/>
  <c r="DQ372" i="55"/>
  <c r="DQ373" i="55"/>
  <c r="DQ374" i="55"/>
  <c r="DR342" i="55"/>
  <c r="DR344" i="55"/>
  <c r="DR345" i="55"/>
  <c r="DR343" i="55"/>
  <c r="DW354" i="55"/>
  <c r="DW355" i="55"/>
  <c r="DW356" i="55"/>
  <c r="DR311" i="55"/>
  <c r="DW282" i="55"/>
  <c r="DW281" i="55"/>
  <c r="DP303" i="55"/>
  <c r="DP304" i="55"/>
  <c r="DV318" i="55"/>
  <c r="DV320" i="55"/>
  <c r="DV319" i="55"/>
  <c r="DS297" i="55"/>
  <c r="DS296" i="55"/>
  <c r="DS298" i="55"/>
  <c r="DP276" i="55"/>
  <c r="DU260" i="55"/>
  <c r="DQ327" i="55"/>
  <c r="DQ328" i="55"/>
  <c r="DR298" i="55"/>
  <c r="DR297" i="55"/>
  <c r="DR296" i="55"/>
  <c r="DX279" i="55"/>
  <c r="DX278" i="55"/>
  <c r="DX277" i="55"/>
  <c r="DQ197" i="55"/>
  <c r="DQ199" i="55"/>
  <c r="DQ198" i="55"/>
  <c r="DQ196" i="55"/>
  <c r="DR200" i="55"/>
  <c r="DR202" i="55"/>
  <c r="DR201" i="55"/>
  <c r="DR203" i="55"/>
  <c r="ER130" i="55"/>
  <c r="DX260" i="55"/>
  <c r="DQ247" i="55"/>
  <c r="DQ243" i="55"/>
  <c r="DQ249" i="55"/>
  <c r="DQ244" i="55"/>
  <c r="DQ248" i="55"/>
  <c r="DQ245" i="55"/>
  <c r="DQ246" i="55"/>
  <c r="DQ250" i="55"/>
  <c r="DQ235" i="55"/>
  <c r="DQ236" i="55"/>
  <c r="DQ237" i="55"/>
  <c r="DX221" i="55"/>
  <c r="DX222" i="55"/>
  <c r="DX220" i="55"/>
  <c r="DS187" i="55"/>
  <c r="DS186" i="55"/>
  <c r="DV263" i="55"/>
  <c r="DV261" i="55"/>
  <c r="DV262" i="55"/>
  <c r="DV239" i="55"/>
  <c r="DV238" i="55"/>
  <c r="DT231" i="55"/>
  <c r="DT232" i="55"/>
  <c r="DU190" i="55"/>
  <c r="DU195" i="55"/>
  <c r="DU193" i="55"/>
  <c r="DU194" i="55"/>
  <c r="DU192" i="55"/>
  <c r="DU191" i="55"/>
  <c r="DU186" i="55"/>
  <c r="DU187" i="55"/>
  <c r="BZ158" i="55"/>
  <c r="DW157" i="55"/>
  <c r="DW151" i="55"/>
  <c r="DW156" i="55"/>
  <c r="DW155" i="55"/>
  <c r="DW152" i="55"/>
  <c r="DW153" i="55"/>
  <c r="DW154" i="55"/>
  <c r="CB145" i="55"/>
  <c r="DQ158" i="55"/>
  <c r="DQ159" i="55"/>
  <c r="FG140" i="55"/>
  <c r="DU145" i="55"/>
  <c r="DU147" i="55"/>
  <c r="DU149" i="55"/>
  <c r="DU148" i="55"/>
  <c r="DU150" i="55"/>
  <c r="DU146" i="55"/>
  <c r="CE146" i="55"/>
  <c r="BX122" i="55"/>
  <c r="BY115" i="55"/>
  <c r="CA140" i="55"/>
  <c r="CD101" i="55"/>
  <c r="ER103" i="55"/>
  <c r="CA112" i="55"/>
  <c r="DV91" i="55"/>
  <c r="DV89" i="55"/>
  <c r="DV90" i="55"/>
  <c r="DV88" i="55"/>
  <c r="DV312" i="55"/>
  <c r="DW262" i="55"/>
  <c r="DW261" i="55"/>
  <c r="DW263" i="55"/>
  <c r="DR300" i="55"/>
  <c r="DR299" i="55"/>
  <c r="DR373" i="55"/>
  <c r="DR374" i="55"/>
  <c r="DR372" i="55"/>
  <c r="DX293" i="55"/>
  <c r="DX295" i="55"/>
  <c r="DX294" i="55"/>
  <c r="DT284" i="55"/>
  <c r="DT283" i="55"/>
  <c r="DT251" i="55"/>
  <c r="DT254" i="55"/>
  <c r="DT255" i="55"/>
  <c r="DT252" i="55"/>
  <c r="DT253" i="55"/>
  <c r="DU302" i="55"/>
  <c r="DU301" i="55"/>
  <c r="DW272" i="55"/>
  <c r="DW273" i="55"/>
  <c r="DW271" i="55"/>
  <c r="DW270" i="55"/>
  <c r="DQ216" i="55"/>
  <c r="DQ217" i="55"/>
  <c r="DQ215" i="55"/>
  <c r="DT198" i="55"/>
  <c r="DT197" i="55"/>
  <c r="DT199" i="55"/>
  <c r="DT196" i="55"/>
  <c r="DR223" i="55"/>
  <c r="DR226" i="55"/>
  <c r="DR224" i="55"/>
  <c r="DR225" i="55"/>
  <c r="DT193" i="55"/>
  <c r="DT191" i="55"/>
  <c r="DT194" i="55"/>
  <c r="DT192" i="55"/>
  <c r="DT195" i="55"/>
  <c r="DT190" i="55"/>
  <c r="DX168" i="55"/>
  <c r="CE149" i="55"/>
  <c r="CD150" i="55"/>
  <c r="CB132" i="55"/>
  <c r="BY104" i="55"/>
  <c r="CC114" i="55"/>
  <c r="DX94" i="55"/>
  <c r="DX95" i="55"/>
  <c r="CA82" i="55"/>
  <c r="DS95" i="55"/>
  <c r="DS94" i="55"/>
  <c r="DU376" i="55"/>
  <c r="DU375" i="55"/>
  <c r="DX336" i="55"/>
  <c r="DX340" i="55"/>
  <c r="DX341" i="55"/>
  <c r="DX338" i="55"/>
  <c r="DX337" i="55"/>
  <c r="DX339" i="55"/>
  <c r="DX292" i="55"/>
  <c r="DX290" i="55"/>
  <c r="DX291" i="55"/>
  <c r="DT301" i="55"/>
  <c r="DT302" i="55"/>
  <c r="DQ367" i="55"/>
  <c r="DQ366" i="55"/>
  <c r="DP346" i="55"/>
  <c r="DP347" i="55"/>
  <c r="DP348" i="55"/>
  <c r="DS302" i="55"/>
  <c r="DS301" i="55"/>
  <c r="DX238" i="55"/>
  <c r="DX239" i="55"/>
  <c r="DT268" i="55"/>
  <c r="DT266" i="55"/>
  <c r="DT267" i="55"/>
  <c r="DT269" i="55"/>
  <c r="DT245" i="55"/>
  <c r="DT249" i="55"/>
  <c r="DT246" i="55"/>
  <c r="DT250" i="55"/>
  <c r="DT247" i="55"/>
  <c r="DT243" i="55"/>
  <c r="DT248" i="55"/>
  <c r="DT244" i="55"/>
  <c r="DX367" i="55"/>
  <c r="DX366" i="55"/>
  <c r="DR360" i="55"/>
  <c r="DR357" i="55"/>
  <c r="DR358" i="55"/>
  <c r="DR359" i="55"/>
  <c r="DW353" i="55"/>
  <c r="DW350" i="55"/>
  <c r="DW352" i="55"/>
  <c r="DW349" i="55"/>
  <c r="DW351" i="55"/>
  <c r="DS343" i="55"/>
  <c r="DS342" i="55"/>
  <c r="DS344" i="55"/>
  <c r="DS345" i="55"/>
  <c r="DW318" i="55"/>
  <c r="DW320" i="55"/>
  <c r="DW319" i="55"/>
  <c r="DU303" i="55"/>
  <c r="DU304" i="55"/>
  <c r="DS291" i="55"/>
  <c r="DS292" i="55"/>
  <c r="DS290" i="55"/>
  <c r="DT354" i="55"/>
  <c r="DT356" i="55"/>
  <c r="DT355" i="55"/>
  <c r="DV346" i="55"/>
  <c r="DV347" i="55"/>
  <c r="DV348" i="55"/>
  <c r="DW376" i="55"/>
  <c r="DW375" i="55"/>
  <c r="DT371" i="55"/>
  <c r="DT369" i="55"/>
  <c r="DT370" i="55"/>
  <c r="DT368" i="55"/>
  <c r="DU350" i="55"/>
  <c r="DU352" i="55"/>
  <c r="DU351" i="55"/>
  <c r="DU349" i="55"/>
  <c r="DU353" i="55"/>
  <c r="DQ345" i="55"/>
  <c r="DQ344" i="55"/>
  <c r="DQ342" i="55"/>
  <c r="DQ343" i="55"/>
  <c r="DV322" i="55"/>
  <c r="DV326" i="55"/>
  <c r="DV321" i="55"/>
  <c r="DV324" i="55"/>
  <c r="DV325" i="55"/>
  <c r="DV323" i="55"/>
  <c r="DT293" i="55"/>
  <c r="DT295" i="55"/>
  <c r="DT294" i="55"/>
  <c r="DW374" i="55"/>
  <c r="DW373" i="55"/>
  <c r="DW372" i="55"/>
  <c r="DW359" i="55"/>
  <c r="DW357" i="55"/>
  <c r="DW360" i="55"/>
  <c r="DW358" i="55"/>
  <c r="DX296" i="55"/>
  <c r="DX298" i="55"/>
  <c r="DX297" i="55"/>
  <c r="DR275" i="55"/>
  <c r="DR274" i="55"/>
  <c r="DT240" i="55"/>
  <c r="DT241" i="55"/>
  <c r="DT242" i="55"/>
  <c r="DQ240" i="55"/>
  <c r="DQ242" i="55"/>
  <c r="DQ241" i="55"/>
  <c r="DR310" i="55"/>
  <c r="DR309" i="55"/>
  <c r="DS253" i="55"/>
  <c r="DS255" i="55"/>
  <c r="DS254" i="55"/>
  <c r="DS251" i="55"/>
  <c r="DS252" i="55"/>
  <c r="DP330" i="55"/>
  <c r="DP329" i="55"/>
  <c r="DP332" i="55"/>
  <c r="DP331" i="55"/>
  <c r="DT320" i="55"/>
  <c r="DT319" i="55"/>
  <c r="DT318" i="55"/>
  <c r="DP314" i="55"/>
  <c r="DP313" i="55"/>
  <c r="DU300" i="55"/>
  <c r="DU299" i="55"/>
  <c r="DU283" i="55"/>
  <c r="DU284" i="55"/>
  <c r="DQ276" i="55"/>
  <c r="DR260" i="55"/>
  <c r="DW251" i="55"/>
  <c r="DW254" i="55"/>
  <c r="DW252" i="55"/>
  <c r="DW255" i="55"/>
  <c r="DW253" i="55"/>
  <c r="DU228" i="55"/>
  <c r="DU230" i="55"/>
  <c r="DU227" i="55"/>
  <c r="DU229" i="55"/>
  <c r="DT221" i="55"/>
  <c r="DT222" i="55"/>
  <c r="DT220" i="55"/>
  <c r="DT174" i="55"/>
  <c r="DT175" i="55"/>
  <c r="DT176" i="55"/>
  <c r="DR262" i="55"/>
  <c r="DR261" i="55"/>
  <c r="DR263" i="55"/>
  <c r="DR239" i="55"/>
  <c r="DR238" i="55"/>
  <c r="DP232" i="55"/>
  <c r="DP231" i="55"/>
  <c r="DX225" i="55"/>
  <c r="DX223" i="55"/>
  <c r="DX226" i="55"/>
  <c r="DX224" i="55"/>
  <c r="DW185" i="55"/>
  <c r="DW184" i="55"/>
  <c r="DQ176" i="55"/>
  <c r="DQ175" i="55"/>
  <c r="DQ174" i="55"/>
  <c r="DV206" i="55"/>
  <c r="DV204" i="55"/>
  <c r="DV207" i="55"/>
  <c r="DV205" i="55"/>
  <c r="DP190" i="55"/>
  <c r="DP193" i="55"/>
  <c r="DP192" i="55"/>
  <c r="DP191" i="55"/>
  <c r="DP194" i="55"/>
  <c r="DP195" i="55"/>
  <c r="ER171" i="55"/>
  <c r="DT187" i="55"/>
  <c r="DT186" i="55"/>
  <c r="DX170" i="55"/>
  <c r="DX172" i="55"/>
  <c r="DX169" i="55"/>
  <c r="DX173" i="55"/>
  <c r="DX171" i="55"/>
  <c r="DQ186" i="55"/>
  <c r="DQ187" i="55"/>
  <c r="DR155" i="55"/>
  <c r="DR151" i="55"/>
  <c r="DR154" i="55"/>
  <c r="DR152" i="55"/>
  <c r="DR157" i="55"/>
  <c r="DR153" i="55"/>
  <c r="DR156" i="55"/>
  <c r="ER158" i="55"/>
  <c r="CF144" i="55"/>
  <c r="DV146" i="55"/>
  <c r="DV147" i="55"/>
  <c r="DV150" i="55"/>
  <c r="DV145" i="55"/>
  <c r="DV148" i="55"/>
  <c r="DV149" i="55"/>
  <c r="CA134" i="55"/>
  <c r="BY121" i="55"/>
  <c r="CC129" i="55"/>
  <c r="FG111" i="55"/>
  <c r="DR143" i="55"/>
  <c r="DR139" i="55"/>
  <c r="DR144" i="55"/>
  <c r="DR141" i="55"/>
  <c r="DR142" i="55"/>
  <c r="DR140" i="55"/>
  <c r="DU142" i="55"/>
  <c r="DU143" i="55"/>
  <c r="DU140" i="55"/>
  <c r="DU144" i="55"/>
  <c r="DU141" i="55"/>
  <c r="DU139" i="55"/>
  <c r="CF125" i="55"/>
  <c r="CC101" i="55"/>
  <c r="DW119" i="55"/>
  <c r="DW116" i="55"/>
  <c r="DW117" i="55"/>
  <c r="DW114" i="55"/>
  <c r="DW118" i="55"/>
  <c r="DW115" i="55"/>
  <c r="DS103" i="55"/>
  <c r="DS102" i="55"/>
  <c r="BX91" i="55"/>
  <c r="ER102" i="55"/>
  <c r="CF140" i="55"/>
  <c r="DQ163" i="55"/>
  <c r="DQ164" i="55"/>
  <c r="DQ161" i="55"/>
  <c r="DQ162" i="55"/>
  <c r="DQ160" i="55"/>
  <c r="CB157" i="55"/>
  <c r="CC154" i="55"/>
  <c r="FG150" i="55"/>
  <c r="BZ146" i="55"/>
  <c r="FG163" i="55"/>
  <c r="BX147" i="55"/>
  <c r="FG141" i="55"/>
  <c r="ER169" i="55"/>
  <c r="DT159" i="55"/>
  <c r="DT158" i="55"/>
  <c r="CA152" i="55"/>
  <c r="CD147" i="55"/>
  <c r="CF141" i="55"/>
  <c r="CE141" i="55"/>
  <c r="CC132" i="55"/>
  <c r="BZ129" i="55"/>
  <c r="CB126" i="55"/>
  <c r="CB108" i="55"/>
  <c r="DR134" i="55"/>
  <c r="DR135" i="55"/>
  <c r="DR138" i="55"/>
  <c r="DR136" i="55"/>
  <c r="DR137" i="55"/>
  <c r="DR133" i="55"/>
  <c r="CE147" i="55"/>
  <c r="CC139" i="55"/>
  <c r="CD131" i="55"/>
  <c r="DQ143" i="55"/>
  <c r="DQ139" i="55"/>
  <c r="DQ144" i="55"/>
  <c r="DQ140" i="55"/>
  <c r="DQ142" i="55"/>
  <c r="DQ141" i="55"/>
  <c r="FG135" i="55"/>
  <c r="DR132" i="55"/>
  <c r="DR131" i="55"/>
  <c r="ER127" i="55"/>
  <c r="BY124" i="55"/>
  <c r="CB125" i="55"/>
  <c r="CB121" i="55"/>
  <c r="CF116" i="55"/>
  <c r="CD112" i="55"/>
  <c r="DV107" i="55"/>
  <c r="DV105" i="55"/>
  <c r="DV106" i="55"/>
  <c r="DV104" i="55"/>
  <c r="CB100" i="55"/>
  <c r="CD105" i="55"/>
  <c r="BX101" i="55"/>
  <c r="DS118" i="55"/>
  <c r="DS117" i="55"/>
  <c r="DS114" i="55"/>
  <c r="DS116" i="55"/>
  <c r="DS119" i="55"/>
  <c r="DS115" i="55"/>
  <c r="CD102" i="55"/>
  <c r="CF96" i="55"/>
  <c r="ER114" i="55"/>
  <c r="CF107" i="55"/>
  <c r="DW103" i="55"/>
  <c r="DW102" i="55"/>
  <c r="DQ101" i="55"/>
  <c r="DQ97" i="55"/>
  <c r="DQ100" i="55"/>
  <c r="DQ96" i="55"/>
  <c r="DQ98" i="55"/>
  <c r="DQ99" i="55"/>
  <c r="CD99" i="55"/>
  <c r="DT94" i="55"/>
  <c r="DT95" i="55"/>
  <c r="DV102" i="55"/>
  <c r="DV103" i="55"/>
  <c r="FG98" i="55"/>
  <c r="CD94" i="55"/>
  <c r="FG86" i="55"/>
  <c r="CE82" i="55"/>
  <c r="FG71" i="55"/>
  <c r="CD88" i="55"/>
  <c r="FG80" i="55"/>
  <c r="DQ75" i="55"/>
  <c r="DQ74" i="55"/>
  <c r="DQ73" i="55"/>
  <c r="DQ76" i="55"/>
  <c r="ER75" i="55"/>
  <c r="CB56" i="55"/>
  <c r="FG48" i="55"/>
  <c r="BZ56" i="55"/>
  <c r="CA46" i="55"/>
  <c r="DQ48" i="55"/>
  <c r="DQ45" i="55"/>
  <c r="DQ44" i="55"/>
  <c r="DQ43" i="55"/>
  <c r="DQ46" i="55"/>
  <c r="DQ47" i="55"/>
  <c r="DP376" i="55"/>
  <c r="DP375" i="55"/>
  <c r="DV366" i="55"/>
  <c r="DV367" i="55"/>
  <c r="DQ303" i="55"/>
  <c r="DQ304" i="55"/>
  <c r="DW291" i="55"/>
  <c r="DW292" i="55"/>
  <c r="DW290" i="55"/>
  <c r="DT350" i="55"/>
  <c r="DT353" i="55"/>
  <c r="DT351" i="55"/>
  <c r="DT352" i="55"/>
  <c r="DT349" i="55"/>
  <c r="DR338" i="55"/>
  <c r="DR339" i="55"/>
  <c r="DR340" i="55"/>
  <c r="DR341" i="55"/>
  <c r="DR336" i="55"/>
  <c r="DR337" i="55"/>
  <c r="DS295" i="55"/>
  <c r="DS294" i="55"/>
  <c r="DS293" i="55"/>
  <c r="DU264" i="55"/>
  <c r="DU265" i="55"/>
  <c r="DV258" i="55"/>
  <c r="DV256" i="55"/>
  <c r="DV259" i="55"/>
  <c r="DV257" i="55"/>
  <c r="DW280" i="55"/>
  <c r="DU259" i="55"/>
  <c r="DU257" i="55"/>
  <c r="DU258" i="55"/>
  <c r="DU256" i="55"/>
  <c r="DQ317" i="55"/>
  <c r="DQ316" i="55"/>
  <c r="DQ315" i="55"/>
  <c r="DT307" i="55"/>
  <c r="DT308" i="55"/>
  <c r="DV276" i="55"/>
  <c r="DX328" i="55"/>
  <c r="DX327" i="55"/>
  <c r="DX311" i="55"/>
  <c r="DQ306" i="55"/>
  <c r="DQ305" i="55"/>
  <c r="DU281" i="55"/>
  <c r="DU282" i="55"/>
  <c r="DS275" i="55"/>
  <c r="DS274" i="55"/>
  <c r="DS241" i="55"/>
  <c r="DS242" i="55"/>
  <c r="DS240" i="55"/>
  <c r="DV219" i="55"/>
  <c r="DV218" i="55"/>
  <c r="DU212" i="55"/>
  <c r="DU214" i="55"/>
  <c r="DU213" i="55"/>
  <c r="DU211" i="55"/>
  <c r="DU266" i="55"/>
  <c r="DU269" i="55"/>
  <c r="DU268" i="55"/>
  <c r="DU267" i="55"/>
  <c r="DP217" i="55"/>
  <c r="DP215" i="55"/>
  <c r="DP216" i="55"/>
  <c r="DP203" i="55"/>
  <c r="DP200" i="55"/>
  <c r="DP202" i="55"/>
  <c r="DP201" i="55"/>
  <c r="DX177" i="55"/>
  <c r="DX178" i="55"/>
  <c r="DS168" i="55"/>
  <c r="DR176" i="55"/>
  <c r="DR174" i="55"/>
  <c r="DR175" i="55"/>
  <c r="FG148" i="55"/>
  <c r="BZ157" i="55"/>
  <c r="BX131" i="55"/>
  <c r="CE116" i="55"/>
  <c r="CE126" i="55"/>
  <c r="CC148" i="55"/>
  <c r="BZ125" i="55"/>
  <c r="BZ122" i="55"/>
  <c r="BX94" i="55"/>
  <c r="CD108" i="55"/>
  <c r="CA88" i="55"/>
  <c r="FG87" i="55"/>
  <c r="CB146" i="55"/>
  <c r="CD137" i="55"/>
  <c r="CA150" i="55"/>
  <c r="FG167" i="55"/>
  <c r="CF158" i="55"/>
  <c r="CC155" i="55"/>
  <c r="FG145" i="55"/>
  <c r="BX140" i="55"/>
  <c r="DR181" i="55"/>
  <c r="DR182" i="55"/>
  <c r="DR179" i="55"/>
  <c r="DR180" i="55"/>
  <c r="DR183" i="55"/>
  <c r="ER173" i="55"/>
  <c r="DU168" i="55"/>
  <c r="CF145" i="55"/>
  <c r="CD139" i="55"/>
  <c r="FG151" i="55"/>
  <c r="BX149" i="55"/>
  <c r="CA146" i="55"/>
  <c r="DQ131" i="55"/>
  <c r="DQ132" i="55"/>
  <c r="CD125" i="55"/>
  <c r="CA117" i="55"/>
  <c r="ER129" i="55"/>
  <c r="DX126" i="55"/>
  <c r="DX127" i="55"/>
  <c r="DX128" i="55"/>
  <c r="DX129" i="55"/>
  <c r="DX130" i="55"/>
  <c r="FG108" i="55"/>
  <c r="DX145" i="55"/>
  <c r="DX150" i="55"/>
  <c r="DX148" i="55"/>
  <c r="DX147" i="55"/>
  <c r="DX146" i="55"/>
  <c r="DX149" i="55"/>
  <c r="CA142" i="55"/>
  <c r="DS127" i="55"/>
  <c r="DS126" i="55"/>
  <c r="DS129" i="55"/>
  <c r="DS128" i="55"/>
  <c r="DS130" i="55"/>
  <c r="DT122" i="55"/>
  <c r="DT124" i="55"/>
  <c r="DT120" i="55"/>
  <c r="DT125" i="55"/>
  <c r="DT121" i="55"/>
  <c r="DT123" i="55"/>
  <c r="CF134" i="55"/>
  <c r="BY122" i="55"/>
  <c r="BY116" i="55"/>
  <c r="CD124" i="55"/>
  <c r="BZ98" i="55"/>
  <c r="DP87" i="55"/>
  <c r="DP86" i="55"/>
  <c r="DQ105" i="55"/>
  <c r="DQ106" i="55"/>
  <c r="DQ104" i="55"/>
  <c r="DQ107" i="55"/>
  <c r="CA100" i="55"/>
  <c r="ER113" i="55"/>
  <c r="ER105" i="55"/>
  <c r="BY114" i="55"/>
  <c r="CD110" i="55"/>
  <c r="FG105" i="55"/>
  <c r="CF101" i="55"/>
  <c r="FG97" i="55"/>
  <c r="CA90" i="55"/>
  <c r="DT81" i="55"/>
  <c r="DT79" i="55"/>
  <c r="DT78" i="55"/>
  <c r="DT80" i="55"/>
  <c r="ER89" i="55"/>
  <c r="BX81" i="55"/>
  <c r="CA93" i="55"/>
  <c r="CF78" i="55"/>
  <c r="ER68" i="55"/>
  <c r="FG73" i="55"/>
  <c r="CE77" i="55"/>
  <c r="BZ78" i="55"/>
  <c r="BY65" i="55"/>
  <c r="CC53" i="55"/>
  <c r="CC43" i="55"/>
  <c r="BX49" i="55"/>
  <c r="DP336" i="55"/>
  <c r="DP340" i="55"/>
  <c r="DP339" i="55"/>
  <c r="DP341" i="55"/>
  <c r="DP337" i="55"/>
  <c r="DP338" i="55"/>
  <c r="DP374" i="55"/>
  <c r="DP372" i="55"/>
  <c r="DP373" i="55"/>
  <c r="DX364" i="55"/>
  <c r="DX365" i="55"/>
  <c r="DV329" i="55"/>
  <c r="DV331" i="55"/>
  <c r="DV330" i="55"/>
  <c r="DV332" i="55"/>
  <c r="DV314" i="55"/>
  <c r="DV313" i="55"/>
  <c r="DX300" i="55"/>
  <c r="DX299" i="55"/>
  <c r="DW363" i="55"/>
  <c r="DW361" i="55"/>
  <c r="DW362" i="55"/>
  <c r="DR320" i="55"/>
  <c r="DR318" i="55"/>
  <c r="DR319" i="55"/>
  <c r="DV304" i="55"/>
  <c r="DV303" i="55"/>
  <c r="DT292" i="55"/>
  <c r="DT290" i="55"/>
  <c r="DT291" i="55"/>
  <c r="DW279" i="55"/>
  <c r="DW278" i="55"/>
  <c r="DW277" i="55"/>
  <c r="DV273" i="55"/>
  <c r="DV272" i="55"/>
  <c r="DV270" i="55"/>
  <c r="DV271" i="55"/>
  <c r="DT233" i="55"/>
  <c r="DT234" i="55"/>
  <c r="DQ329" i="55"/>
  <c r="DQ330" i="55"/>
  <c r="DQ331" i="55"/>
  <c r="DQ332" i="55"/>
  <c r="DQ321" i="55"/>
  <c r="DQ325" i="55"/>
  <c r="DQ326" i="55"/>
  <c r="DQ324" i="55"/>
  <c r="DQ323" i="55"/>
  <c r="DQ322" i="55"/>
  <c r="DQ313" i="55"/>
  <c r="DQ314" i="55"/>
  <c r="DV306" i="55"/>
  <c r="DV305" i="55"/>
  <c r="DR290" i="55"/>
  <c r="DR292" i="55"/>
  <c r="DR291" i="55"/>
  <c r="DX275" i="55"/>
  <c r="DX274" i="55"/>
  <c r="DV235" i="55"/>
  <c r="DV237" i="55"/>
  <c r="DV236" i="55"/>
  <c r="DP322" i="55"/>
  <c r="DP326" i="55"/>
  <c r="DP325" i="55"/>
  <c r="DP324" i="55"/>
  <c r="DP323" i="55"/>
  <c r="DP321" i="55"/>
  <c r="DX317" i="55"/>
  <c r="DX316" i="55"/>
  <c r="DX315" i="55"/>
  <c r="DS304" i="55"/>
  <c r="DS303" i="55"/>
  <c r="DR258" i="55"/>
  <c r="DR256" i="55"/>
  <c r="DR259" i="55"/>
  <c r="DR257" i="55"/>
  <c r="DS239" i="55"/>
  <c r="DS238" i="55"/>
  <c r="DQ232" i="55"/>
  <c r="DQ231" i="55"/>
  <c r="DP207" i="55"/>
  <c r="DP204" i="55"/>
  <c r="DP206" i="55"/>
  <c r="DP205" i="55"/>
  <c r="DW264" i="55"/>
  <c r="DW265" i="55"/>
  <c r="DT229" i="55"/>
  <c r="DT230" i="55"/>
  <c r="DT228" i="55"/>
  <c r="DT227" i="55"/>
  <c r="DS222" i="55"/>
  <c r="DS220" i="55"/>
  <c r="DS221" i="55"/>
  <c r="DQ190" i="55"/>
  <c r="DQ192" i="55"/>
  <c r="DQ195" i="55"/>
  <c r="DQ191" i="55"/>
  <c r="DQ194" i="55"/>
  <c r="DQ193" i="55"/>
  <c r="ER178" i="55"/>
  <c r="DW168" i="55"/>
  <c r="DW217" i="55"/>
  <c r="DW215" i="55"/>
  <c r="DW216" i="55"/>
  <c r="DV209" i="55"/>
  <c r="DV210" i="55"/>
  <c r="DV208" i="55"/>
  <c r="DW202" i="55"/>
  <c r="DW200" i="55"/>
  <c r="DW201" i="55"/>
  <c r="DW203" i="55"/>
  <c r="ER175" i="55"/>
  <c r="DW192" i="55"/>
  <c r="DW195" i="55"/>
  <c r="DW193" i="55"/>
  <c r="DW191" i="55"/>
  <c r="DW190" i="55"/>
  <c r="DW194" i="55"/>
  <c r="CA155" i="55"/>
  <c r="BZ150" i="55"/>
  <c r="FG172" i="55"/>
  <c r="CE154" i="55"/>
  <c r="BY140" i="55"/>
  <c r="FG127" i="55"/>
  <c r="FG122" i="55"/>
  <c r="CE145" i="55"/>
  <c r="FG133" i="55"/>
  <c r="DX138" i="55"/>
  <c r="DX136" i="55"/>
  <c r="DX135" i="55"/>
  <c r="DX137" i="55"/>
  <c r="DX133" i="55"/>
  <c r="DX134" i="55"/>
  <c r="BZ121" i="55"/>
  <c r="FG118" i="55"/>
  <c r="DX110" i="55"/>
  <c r="DX111" i="55"/>
  <c r="DX108" i="55"/>
  <c r="DX113" i="55"/>
  <c r="DX112" i="55"/>
  <c r="DX109" i="55"/>
  <c r="ER90" i="55"/>
  <c r="CF105" i="55"/>
  <c r="CF97" i="55"/>
  <c r="BX85" i="55"/>
  <c r="DW100" i="55"/>
  <c r="DW98" i="55"/>
  <c r="DW99" i="55"/>
  <c r="DW97" i="55"/>
  <c r="DW101" i="55"/>
  <c r="DW96" i="55"/>
  <c r="CD144" i="55"/>
  <c r="DV158" i="55"/>
  <c r="DV159" i="55"/>
  <c r="FG171" i="55"/>
  <c r="ER177" i="55"/>
  <c r="CA154" i="55"/>
  <c r="BX150" i="55"/>
  <c r="BX144" i="55"/>
  <c r="CB136" i="55"/>
  <c r="CE148" i="55"/>
  <c r="DR150" i="55"/>
  <c r="DR145" i="55"/>
  <c r="DR148" i="55"/>
  <c r="DR147" i="55"/>
  <c r="DR149" i="55"/>
  <c r="DR146" i="55"/>
  <c r="ER142" i="55"/>
  <c r="DX141" i="55"/>
  <c r="DX144" i="55"/>
  <c r="DX142" i="55"/>
  <c r="DX140" i="55"/>
  <c r="DX139" i="55"/>
  <c r="DX143" i="55"/>
  <c r="DW133" i="55"/>
  <c r="DW137" i="55"/>
  <c r="DW134" i="55"/>
  <c r="DW138" i="55"/>
  <c r="DW136" i="55"/>
  <c r="DW135" i="55"/>
  <c r="CC115" i="55"/>
  <c r="BX132" i="55"/>
  <c r="BY129" i="55"/>
  <c r="CA126" i="55"/>
  <c r="ER148" i="55"/>
  <c r="CA145" i="55"/>
  <c r="BY137" i="55"/>
  <c r="DU133" i="55"/>
  <c r="DU137" i="55"/>
  <c r="DU136" i="55"/>
  <c r="DU134" i="55"/>
  <c r="DU138" i="55"/>
  <c r="DU135" i="55"/>
  <c r="FG129" i="55"/>
  <c r="CF137" i="55"/>
  <c r="DT136" i="55"/>
  <c r="DT138" i="55"/>
  <c r="DT137" i="55"/>
  <c r="DT133" i="55"/>
  <c r="DT135" i="55"/>
  <c r="DT134" i="55"/>
  <c r="BX130" i="55"/>
  <c r="ER120" i="55"/>
  <c r="CE114" i="55"/>
  <c r="DU116" i="55"/>
  <c r="DU119" i="55"/>
  <c r="DU118" i="55"/>
  <c r="DU117" i="55"/>
  <c r="DU115" i="55"/>
  <c r="DU114" i="55"/>
  <c r="ER106" i="55"/>
  <c r="FG102" i="55"/>
  <c r="ER94" i="55"/>
  <c r="ER97" i="55"/>
  <c r="BX117" i="55"/>
  <c r="CF112" i="55"/>
  <c r="DT108" i="55"/>
  <c r="DT110" i="55"/>
  <c r="DT111" i="55"/>
  <c r="DT113" i="55"/>
  <c r="DT109" i="55"/>
  <c r="DT112" i="55"/>
  <c r="BY105" i="55"/>
  <c r="CA99" i="55"/>
  <c r="CF113" i="55"/>
  <c r="CB105" i="55"/>
  <c r="CC90" i="55"/>
  <c r="CB97" i="55"/>
  <c r="DR91" i="55"/>
  <c r="DR90" i="55"/>
  <c r="DR88" i="55"/>
  <c r="DR89" i="55"/>
  <c r="ER84" i="55"/>
  <c r="CF77" i="55"/>
  <c r="BZ100" i="55"/>
  <c r="DS100" i="55"/>
  <c r="DS98" i="55"/>
  <c r="DS99" i="55"/>
  <c r="DS101" i="55"/>
  <c r="DS96" i="55"/>
  <c r="DS97" i="55"/>
  <c r="FG92" i="55"/>
  <c r="CF88" i="55"/>
  <c r="BX84" i="55"/>
  <c r="DX77" i="55"/>
  <c r="DQ72" i="55"/>
  <c r="DQ70" i="55"/>
  <c r="DQ68" i="55"/>
  <c r="DQ67" i="55"/>
  <c r="DQ71" i="55"/>
  <c r="DQ69" i="55"/>
  <c r="CE75" i="55"/>
  <c r="CE59" i="55"/>
  <c r="CB64" i="55"/>
  <c r="CF51" i="55"/>
  <c r="CC50" i="55"/>
  <c r="CE40" i="55"/>
  <c r="CA94" i="55"/>
  <c r="CD80" i="55"/>
  <c r="ER93" i="55"/>
  <c r="CD142" i="55"/>
  <c r="FG157" i="55"/>
  <c r="DV155" i="55"/>
  <c r="DV154" i="55"/>
  <c r="DV156" i="55"/>
  <c r="DV157" i="55"/>
  <c r="DV153" i="55"/>
  <c r="DV152" i="55"/>
  <c r="DV151" i="55"/>
  <c r="ER165" i="55"/>
  <c r="CC156" i="55"/>
  <c r="FG152" i="55"/>
  <c r="CD153" i="55"/>
  <c r="BY142" i="55"/>
  <c r="CA139" i="55"/>
  <c r="CC136" i="55"/>
  <c r="CA130" i="55"/>
  <c r="FG126" i="55"/>
  <c r="BX120" i="55"/>
  <c r="BZ134" i="55"/>
  <c r="CE131" i="55"/>
  <c r="CF128" i="55"/>
  <c r="ER121" i="55"/>
  <c r="DX117" i="55"/>
  <c r="DX119" i="55"/>
  <c r="DX115" i="55"/>
  <c r="DX118" i="55"/>
  <c r="DX114" i="55"/>
  <c r="DX116" i="55"/>
  <c r="BY148" i="55"/>
  <c r="CE136" i="55"/>
  <c r="BX133" i="55"/>
  <c r="BY118" i="55"/>
  <c r="CD140" i="55"/>
  <c r="ER124" i="55"/>
  <c r="BY120" i="55"/>
  <c r="DQ112" i="55"/>
  <c r="DQ109" i="55"/>
  <c r="DQ111" i="55"/>
  <c r="DQ108" i="55"/>
  <c r="DQ113" i="55"/>
  <c r="DQ110" i="55"/>
  <c r="FG121" i="55"/>
  <c r="BX118" i="55"/>
  <c r="CE113" i="55"/>
  <c r="BY106" i="55"/>
  <c r="BY101" i="55"/>
  <c r="FG93" i="55"/>
  <c r="ER101" i="55"/>
  <c r="DU97" i="55"/>
  <c r="DU96" i="55"/>
  <c r="DU100" i="55"/>
  <c r="DU101" i="55"/>
  <c r="DU99" i="55"/>
  <c r="DU98" i="55"/>
  <c r="CF115" i="55"/>
  <c r="BZ108" i="55"/>
  <c r="DS104" i="55"/>
  <c r="DS106" i="55"/>
  <c r="DS105" i="55"/>
  <c r="DS107" i="55"/>
  <c r="CA98" i="55"/>
  <c r="DP100" i="55"/>
  <c r="DP96" i="55"/>
  <c r="DP99" i="55"/>
  <c r="DP101" i="55"/>
  <c r="DP97" i="55"/>
  <c r="DP98" i="55"/>
  <c r="ER95" i="55"/>
  <c r="ER83" i="55"/>
  <c r="CA74" i="55"/>
  <c r="BX90" i="55"/>
  <c r="CF83" i="55"/>
  <c r="CD82" i="55"/>
  <c r="DQ77" i="55"/>
  <c r="DX67" i="55"/>
  <c r="DX69" i="55"/>
  <c r="DX72" i="55"/>
  <c r="DX71" i="55"/>
  <c r="DX70" i="55"/>
  <c r="DX68" i="55"/>
  <c r="DV64" i="55"/>
  <c r="DV65" i="55"/>
  <c r="DV61" i="55"/>
  <c r="DV66" i="55"/>
  <c r="DV62" i="55"/>
  <c r="DV63" i="55"/>
  <c r="CB72" i="55"/>
  <c r="CB53" i="55"/>
  <c r="CC59" i="55"/>
  <c r="CA49" i="55"/>
  <c r="BX32" i="55"/>
  <c r="DT38" i="55"/>
  <c r="DT39" i="55"/>
  <c r="DT41" i="55"/>
  <c r="DT40" i="55"/>
  <c r="DT42" i="55"/>
  <c r="BZ25" i="55"/>
  <c r="FG120" i="55"/>
  <c r="ER137" i="55"/>
  <c r="CE132" i="55"/>
  <c r="CB129" i="55"/>
  <c r="BZ138" i="55"/>
  <c r="BZ132" i="55"/>
  <c r="CE129" i="55"/>
  <c r="DV128" i="55"/>
  <c r="DV129" i="55"/>
  <c r="DV126" i="55"/>
  <c r="DV130" i="55"/>
  <c r="DV127" i="55"/>
  <c r="ER122" i="55"/>
  <c r="ER118" i="55"/>
  <c r="CD120" i="55"/>
  <c r="BZ117" i="55"/>
  <c r="BX114" i="55"/>
  <c r="CC108" i="55"/>
  <c r="CE105" i="55"/>
  <c r="CA102" i="55"/>
  <c r="DV101" i="55"/>
  <c r="DV97" i="55"/>
  <c r="DV98" i="55"/>
  <c r="DV99" i="55"/>
  <c r="DV96" i="55"/>
  <c r="DV100" i="55"/>
  <c r="BX106" i="55"/>
  <c r="DT102" i="55"/>
  <c r="DT103" i="55"/>
  <c r="CB99" i="55"/>
  <c r="BZ116" i="55"/>
  <c r="BY113" i="55"/>
  <c r="CA110" i="55"/>
  <c r="CC107" i="55"/>
  <c r="CE104" i="55"/>
  <c r="CF99" i="55"/>
  <c r="CC92" i="55"/>
  <c r="BZ89" i="55"/>
  <c r="CC86" i="55"/>
  <c r="CA101" i="55"/>
  <c r="CB98" i="55"/>
  <c r="CB92" i="55"/>
  <c r="BY89" i="55"/>
  <c r="CB86" i="55"/>
  <c r="BX83" i="55"/>
  <c r="BZ92" i="55"/>
  <c r="CE89" i="55"/>
  <c r="BZ86" i="55"/>
  <c r="DP85" i="55"/>
  <c r="DP83" i="55"/>
  <c r="DP84" i="55"/>
  <c r="DP82" i="55"/>
  <c r="DV80" i="55"/>
  <c r="DV78" i="55"/>
  <c r="DV81" i="55"/>
  <c r="DV79" i="55"/>
  <c r="ER74" i="55"/>
  <c r="FG79" i="55"/>
  <c r="BZ76" i="55"/>
  <c r="CC68" i="55"/>
  <c r="BX70" i="55"/>
  <c r="DX75" i="55"/>
  <c r="DX73" i="55"/>
  <c r="DX74" i="55"/>
  <c r="DX76" i="55"/>
  <c r="FG66" i="55"/>
  <c r="CF62" i="55"/>
  <c r="BY60" i="55"/>
  <c r="ER54" i="55"/>
  <c r="DR77" i="55"/>
  <c r="CD74" i="55"/>
  <c r="DU72" i="55"/>
  <c r="DU71" i="55"/>
  <c r="DU67" i="55"/>
  <c r="DU70" i="55"/>
  <c r="DU69" i="55"/>
  <c r="DU68" i="55"/>
  <c r="BY57" i="55"/>
  <c r="ER51" i="55"/>
  <c r="CA60" i="55"/>
  <c r="BX57" i="55"/>
  <c r="CA70" i="55"/>
  <c r="CC67" i="55"/>
  <c r="CE64" i="55"/>
  <c r="DT63" i="55"/>
  <c r="DT61" i="55"/>
  <c r="DT66" i="55"/>
  <c r="DT64" i="55"/>
  <c r="DT62" i="55"/>
  <c r="DT65" i="55"/>
  <c r="DR57" i="55"/>
  <c r="DR59" i="55"/>
  <c r="DR55" i="55"/>
  <c r="DR56" i="55"/>
  <c r="DR58" i="55"/>
  <c r="DR60" i="55"/>
  <c r="FG39" i="55"/>
  <c r="DR51" i="55"/>
  <c r="DR49" i="55"/>
  <c r="DR54" i="55"/>
  <c r="DR53" i="55"/>
  <c r="DR50" i="55"/>
  <c r="DR52" i="55"/>
  <c r="ER46" i="55"/>
  <c r="DX48" i="55"/>
  <c r="DX45" i="55"/>
  <c r="DX43" i="55"/>
  <c r="DX46" i="55"/>
  <c r="DX47" i="55"/>
  <c r="DX44" i="55"/>
  <c r="BZ48" i="55"/>
  <c r="FG44" i="55"/>
  <c r="CD38" i="55"/>
  <c r="DU32" i="55"/>
  <c r="DU35" i="55"/>
  <c r="DU37" i="55"/>
  <c r="DU30" i="55"/>
  <c r="DU36" i="55"/>
  <c r="DU29" i="55"/>
  <c r="DU33" i="55"/>
  <c r="DU31" i="55"/>
  <c r="DU34" i="55"/>
  <c r="CC33" i="55"/>
  <c r="ER34" i="55"/>
  <c r="BY25" i="55"/>
  <c r="BX34" i="55"/>
  <c r="CA28" i="55"/>
  <c r="CF24" i="55"/>
  <c r="ER12" i="55"/>
  <c r="DS14" i="55"/>
  <c r="DS11" i="55"/>
  <c r="DS15" i="55"/>
  <c r="DS13" i="55"/>
  <c r="DS17" i="55"/>
  <c r="DS16" i="55"/>
  <c r="DS12" i="55"/>
  <c r="BZ24" i="55"/>
  <c r="CB21" i="55"/>
  <c r="CD14" i="55"/>
  <c r="CD20" i="55"/>
  <c r="CA18" i="55"/>
  <c r="FG14" i="55"/>
  <c r="FG12" i="55"/>
  <c r="CD9" i="55"/>
  <c r="CA14" i="55"/>
  <c r="BZ10" i="55"/>
  <c r="DV8" i="55"/>
  <c r="DX17" i="55"/>
  <c r="DX13" i="55"/>
  <c r="DX11" i="55"/>
  <c r="DX12" i="55"/>
  <c r="DX15" i="55"/>
  <c r="DX14" i="55"/>
  <c r="DX16" i="55"/>
  <c r="DT8" i="55"/>
  <c r="FG173" i="55"/>
  <c r="DT168" i="55"/>
  <c r="CF156" i="55"/>
  <c r="CE153" i="55"/>
  <c r="ER154" i="55"/>
  <c r="DP157" i="55"/>
  <c r="DP156" i="55"/>
  <c r="DP155" i="55"/>
  <c r="DP151" i="55"/>
  <c r="DP153" i="55"/>
  <c r="DP152" i="55"/>
  <c r="DP154" i="55"/>
  <c r="BZ147" i="55"/>
  <c r="ER164" i="55"/>
  <c r="CD148" i="55"/>
  <c r="FG142" i="55"/>
  <c r="DV165" i="55"/>
  <c r="DV167" i="55"/>
  <c r="DV166" i="55"/>
  <c r="BY156" i="55"/>
  <c r="BX145" i="55"/>
  <c r="CC150" i="55"/>
  <c r="DU129" i="55"/>
  <c r="DU127" i="55"/>
  <c r="DU126" i="55"/>
  <c r="DU130" i="55"/>
  <c r="DU128" i="55"/>
  <c r="CA114" i="55"/>
  <c r="CC144" i="55"/>
  <c r="ER139" i="55"/>
  <c r="CA136" i="55"/>
  <c r="CE128" i="55"/>
  <c r="ER117" i="55"/>
  <c r="BZ140" i="55"/>
  <c r="CD128" i="55"/>
  <c r="BX121" i="55"/>
  <c r="DQ115" i="55"/>
  <c r="DQ118" i="55"/>
  <c r="DQ116" i="55"/>
  <c r="DQ119" i="55"/>
  <c r="DQ117" i="55"/>
  <c r="DQ114" i="55"/>
  <c r="ER108" i="55"/>
  <c r="DU102" i="55"/>
  <c r="DU103" i="55"/>
  <c r="DW112" i="55"/>
  <c r="DW113" i="55"/>
  <c r="DW111" i="55"/>
  <c r="DW108" i="55"/>
  <c r="DW110" i="55"/>
  <c r="DW109" i="55"/>
  <c r="FG89" i="55"/>
  <c r="CC88" i="55"/>
  <c r="CB88" i="55"/>
  <c r="CC85" i="55"/>
  <c r="DS77" i="55"/>
  <c r="CB67" i="55"/>
  <c r="CF68" i="55"/>
  <c r="DX55" i="55"/>
  <c r="DX59" i="55"/>
  <c r="DX56" i="55"/>
  <c r="DX60" i="55"/>
  <c r="DX58" i="55"/>
  <c r="DX57" i="55"/>
  <c r="DS62" i="55"/>
  <c r="DS63" i="55"/>
  <c r="DS65" i="55"/>
  <c r="DS61" i="55"/>
  <c r="DS66" i="55"/>
  <c r="DS64" i="55"/>
  <c r="FG53" i="55"/>
  <c r="CA73" i="55"/>
  <c r="FG65" i="55"/>
  <c r="BZ61" i="55"/>
  <c r="CC56" i="55"/>
  <c r="BZ65" i="55"/>
  <c r="BX59" i="55"/>
  <c r="DV76" i="55"/>
  <c r="DV75" i="55"/>
  <c r="DV73" i="55"/>
  <c r="DV74" i="55"/>
  <c r="CB62" i="55"/>
  <c r="BZ51" i="55"/>
  <c r="CD62" i="55"/>
  <c r="BZ59" i="55"/>
  <c r="CE56" i="55"/>
  <c r="ER52" i="55"/>
  <c r="BZ49" i="55"/>
  <c r="BZ44" i="55"/>
  <c r="ER41" i="55"/>
  <c r="BZ42" i="55"/>
  <c r="BY46" i="55"/>
  <c r="CA43" i="55"/>
  <c r="CC40" i="55"/>
  <c r="CE37" i="55"/>
  <c r="CB44" i="55"/>
  <c r="FG40" i="55"/>
  <c r="CF32" i="55"/>
  <c r="BX29" i="55"/>
  <c r="DX32" i="55"/>
  <c r="DX35" i="55"/>
  <c r="DX37" i="55"/>
  <c r="DX29" i="55"/>
  <c r="DX34" i="55"/>
  <c r="DX33" i="55"/>
  <c r="DX30" i="55"/>
  <c r="DX31" i="55"/>
  <c r="DX36" i="55"/>
  <c r="BZ37" i="55"/>
  <c r="BY34" i="55"/>
  <c r="FG30" i="55"/>
  <c r="CE33" i="55"/>
  <c r="CE30" i="55"/>
  <c r="ER20" i="55"/>
  <c r="FG19" i="55"/>
  <c r="DX19" i="55"/>
  <c r="DX20" i="55"/>
  <c r="DX21" i="55"/>
  <c r="DX18" i="55"/>
  <c r="DX22" i="55"/>
  <c r="BZ14" i="55"/>
  <c r="BX17" i="55"/>
  <c r="BZ12" i="55"/>
  <c r="CD8" i="55"/>
  <c r="CE17" i="55"/>
  <c r="CC14" i="55"/>
  <c r="DW9" i="55"/>
  <c r="DW10" i="55"/>
  <c r="DS158" i="55"/>
  <c r="DS159" i="55"/>
  <c r="BZ152" i="55"/>
  <c r="CB147" i="55"/>
  <c r="BZ139" i="55"/>
  <c r="FG159" i="55"/>
  <c r="BX157" i="55"/>
  <c r="BY154" i="55"/>
  <c r="ER168" i="55"/>
  <c r="FG158" i="55"/>
  <c r="ER155" i="55"/>
  <c r="DW176" i="55"/>
  <c r="DW175" i="55"/>
  <c r="DW174" i="55"/>
  <c r="DV173" i="55"/>
  <c r="DV170" i="55"/>
  <c r="DV169" i="55"/>
  <c r="DV171" i="55"/>
  <c r="DV172" i="55"/>
  <c r="DP159" i="55"/>
  <c r="DP158" i="55"/>
  <c r="CF155" i="55"/>
  <c r="FG143" i="55"/>
  <c r="BZ153" i="55"/>
  <c r="CC145" i="55"/>
  <c r="DS133" i="55"/>
  <c r="DS137" i="55"/>
  <c r="DS136" i="55"/>
  <c r="DS135" i="55"/>
  <c r="DS134" i="55"/>
  <c r="DS138" i="55"/>
  <c r="BY125" i="55"/>
  <c r="DV121" i="55"/>
  <c r="DV123" i="55"/>
  <c r="DV122" i="55"/>
  <c r="DV125" i="55"/>
  <c r="DV124" i="55"/>
  <c r="DV120" i="55"/>
  <c r="FG110" i="55"/>
  <c r="FG128" i="55"/>
  <c r="CC125" i="55"/>
  <c r="ER119" i="55"/>
  <c r="CA147" i="55"/>
  <c r="BY139" i="55"/>
  <c r="BZ131" i="55"/>
  <c r="CF122" i="55"/>
  <c r="CF139" i="55"/>
  <c r="CC131" i="55"/>
  <c r="CF108" i="55"/>
  <c r="CA113" i="55"/>
  <c r="CE107" i="55"/>
  <c r="FG100" i="55"/>
  <c r="CE86" i="55"/>
  <c r="CD91" i="55"/>
  <c r="CB115" i="55"/>
  <c r="CC109" i="55"/>
  <c r="CA92" i="55"/>
  <c r="CF85" i="55"/>
  <c r="CE97" i="55"/>
  <c r="CE85" i="55"/>
  <c r="CA76" i="55"/>
  <c r="CB81" i="55"/>
  <c r="CB73" i="55"/>
  <c r="BZ64" i="55"/>
  <c r="DR76" i="55"/>
  <c r="DR75" i="55"/>
  <c r="DR74" i="55"/>
  <c r="DR73" i="55"/>
  <c r="DT60" i="55"/>
  <c r="DT56" i="55"/>
  <c r="DT55" i="55"/>
  <c r="DT58" i="55"/>
  <c r="DT59" i="55"/>
  <c r="DT57" i="55"/>
  <c r="BZ62" i="55"/>
  <c r="DV85" i="55"/>
  <c r="DV84" i="55"/>
  <c r="DV82" i="55"/>
  <c r="DV83" i="55"/>
  <c r="ER79" i="55"/>
  <c r="CE83" i="55"/>
  <c r="CB80" i="55"/>
  <c r="DP78" i="55"/>
  <c r="DP81" i="55"/>
  <c r="DP79" i="55"/>
  <c r="DP80" i="55"/>
  <c r="BX75" i="55"/>
  <c r="CD81" i="55"/>
  <c r="DR81" i="55"/>
  <c r="DR78" i="55"/>
  <c r="DR80" i="55"/>
  <c r="DR79" i="55"/>
  <c r="CD73" i="55"/>
  <c r="CE67" i="55"/>
  <c r="CA58" i="55"/>
  <c r="CD52" i="55"/>
  <c r="BZ72" i="55"/>
  <c r="CA65" i="55"/>
  <c r="FG59" i="55"/>
  <c r="BZ52" i="55"/>
  <c r="BX76" i="55"/>
  <c r="FG72" i="55"/>
  <c r="CB50" i="55"/>
  <c r="FG64" i="55"/>
  <c r="DQ61" i="55"/>
  <c r="DQ63" i="55"/>
  <c r="DQ64" i="55"/>
  <c r="DQ66" i="55"/>
  <c r="DQ65" i="55"/>
  <c r="DQ62" i="55"/>
  <c r="BY52" i="55"/>
  <c r="ER65" i="55"/>
  <c r="CA57" i="55"/>
  <c r="CA51" i="55"/>
  <c r="BY41" i="55"/>
  <c r="DR39" i="55"/>
  <c r="DR40" i="55"/>
  <c r="DR38" i="55"/>
  <c r="DR41" i="55"/>
  <c r="DR42" i="55"/>
  <c r="CF41" i="55"/>
  <c r="CF38" i="55"/>
  <c r="CE34" i="55"/>
  <c r="CE45" i="55"/>
  <c r="BZ36" i="55"/>
  <c r="DU50" i="55"/>
  <c r="DU51" i="55"/>
  <c r="DU54" i="55"/>
  <c r="DU49" i="55"/>
  <c r="DU52" i="55"/>
  <c r="DU53" i="55"/>
  <c r="CD43" i="55"/>
  <c r="CB40" i="55"/>
  <c r="CD28" i="55"/>
  <c r="ER31" i="55"/>
  <c r="CA29" i="55"/>
  <c r="CE26" i="55"/>
  <c r="CF36" i="55"/>
  <c r="CF33" i="55"/>
  <c r="CB30" i="55"/>
  <c r="FG26" i="55"/>
  <c r="DV35" i="55"/>
  <c r="DV33" i="55"/>
  <c r="DV37" i="55"/>
  <c r="DV36" i="55"/>
  <c r="DV30" i="55"/>
  <c r="DV34" i="55"/>
  <c r="DV31" i="55"/>
  <c r="DV29" i="55"/>
  <c r="DV32" i="55"/>
  <c r="BY20" i="55"/>
  <c r="CD18" i="55"/>
  <c r="DU26" i="55"/>
  <c r="DU27" i="55"/>
  <c r="DU25" i="55"/>
  <c r="DU28" i="55"/>
  <c r="ER24" i="55"/>
  <c r="CE16" i="55"/>
  <c r="CD19" i="55"/>
  <c r="DR17" i="55"/>
  <c r="DR13" i="55"/>
  <c r="DR15" i="55"/>
  <c r="DR11" i="55"/>
  <c r="DR14" i="55"/>
  <c r="DR16" i="55"/>
  <c r="DR12" i="55"/>
  <c r="FG18" i="55"/>
  <c r="DV15" i="55"/>
  <c r="DV12" i="55"/>
  <c r="DV11" i="55"/>
  <c r="DV17" i="55"/>
  <c r="DV16" i="55"/>
  <c r="DV13" i="55"/>
  <c r="DV14" i="55"/>
  <c r="CC10" i="55"/>
  <c r="FG165" i="55"/>
  <c r="ER157" i="55"/>
  <c r="DS148" i="55"/>
  <c r="DS146" i="55"/>
  <c r="DS150" i="55"/>
  <c r="DS145" i="55"/>
  <c r="DS147" i="55"/>
  <c r="DS149" i="55"/>
  <c r="FG136" i="55"/>
  <c r="CE156" i="55"/>
  <c r="CC153" i="55"/>
  <c r="ER149" i="55"/>
  <c r="CB158" i="55"/>
  <c r="BY155" i="55"/>
  <c r="DW150" i="55"/>
  <c r="DW149" i="55"/>
  <c r="DW148" i="55"/>
  <c r="DW146" i="55"/>
  <c r="DW147" i="55"/>
  <c r="DW145" i="55"/>
  <c r="DW139" i="55"/>
  <c r="DW140" i="55"/>
  <c r="DW144" i="55"/>
  <c r="DW141" i="55"/>
  <c r="DW142" i="55"/>
  <c r="DW143" i="55"/>
  <c r="DQ168" i="55"/>
  <c r="CF142" i="55"/>
  <c r="DU154" i="55"/>
  <c r="DU153" i="55"/>
  <c r="DU157" i="55"/>
  <c r="DU152" i="55"/>
  <c r="DU151" i="55"/>
  <c r="DU156" i="55"/>
  <c r="DU155" i="55"/>
  <c r="CA148" i="55"/>
  <c r="ER136" i="55"/>
  <c r="ER132" i="55"/>
  <c r="CC128" i="55"/>
  <c r="CC124" i="55"/>
  <c r="DX132" i="55"/>
  <c r="DX131" i="55"/>
  <c r="CB128" i="55"/>
  <c r="BX108" i="55"/>
  <c r="DT148" i="55"/>
  <c r="DT150" i="55"/>
  <c r="DT149" i="55"/>
  <c r="DT147" i="55"/>
  <c r="DT146" i="55"/>
  <c r="DT145" i="55"/>
  <c r="CE138" i="55"/>
  <c r="CC134" i="55"/>
  <c r="CD126" i="55"/>
  <c r="CF120" i="55"/>
  <c r="BY112" i="55"/>
  <c r="CB134" i="55"/>
  <c r="BZ124" i="55"/>
  <c r="FG99" i="55"/>
  <c r="CE106" i="55"/>
  <c r="DV114" i="55"/>
  <c r="DV117" i="55"/>
  <c r="DV115" i="55"/>
  <c r="DV119" i="55"/>
  <c r="DV116" i="55"/>
  <c r="DV118" i="55"/>
  <c r="DQ103" i="55"/>
  <c r="DQ102" i="55"/>
  <c r="DP94" i="55"/>
  <c r="DP95" i="55"/>
  <c r="CA81" i="55"/>
  <c r="BZ94" i="55"/>
  <c r="BY82" i="55"/>
  <c r="CC91" i="55"/>
  <c r="CB59" i="55"/>
  <c r="CD70" i="55"/>
  <c r="FG50" i="55"/>
  <c r="CC69" i="55"/>
  <c r="CD29" i="55"/>
  <c r="BX26" i="55"/>
  <c r="DR25" i="55"/>
  <c r="DR28" i="55"/>
  <c r="DR27" i="55"/>
  <c r="DR26" i="55"/>
  <c r="CE22" i="55"/>
  <c r="DW18" i="55"/>
  <c r="DW22" i="55"/>
  <c r="DW21" i="55"/>
  <c r="DW19" i="55"/>
  <c r="DW20" i="55"/>
  <c r="CC21" i="55"/>
  <c r="CD16" i="55"/>
  <c r="BX25" i="55"/>
  <c r="FG21" i="55"/>
  <c r="BY24" i="55"/>
  <c r="CA21" i="55"/>
  <c r="CD10" i="55"/>
  <c r="DV22" i="55"/>
  <c r="DV20" i="55"/>
  <c r="DV18" i="55"/>
  <c r="DV21" i="55"/>
  <c r="DV19" i="55"/>
  <c r="CB14" i="55"/>
  <c r="CB18" i="55"/>
  <c r="ER14" i="55"/>
  <c r="CE9" i="55"/>
  <c r="DP9" i="55"/>
  <c r="DP10" i="55"/>
  <c r="CF8" i="55"/>
  <c r="FG169" i="55"/>
  <c r="BY157" i="55"/>
  <c r="CB150" i="55"/>
  <c r="DR158" i="55"/>
  <c r="DR159" i="55"/>
  <c r="CD152" i="55"/>
  <c r="CF148" i="55"/>
  <c r="DX160" i="55"/>
  <c r="DX161" i="55"/>
  <c r="DX163" i="55"/>
  <c r="DX162" i="55"/>
  <c r="DX164" i="55"/>
  <c r="CF154" i="55"/>
  <c r="BZ144" i="55"/>
  <c r="CF136" i="55"/>
  <c r="DV177" i="55"/>
  <c r="DV178" i="55"/>
  <c r="DW161" i="55"/>
  <c r="DW164" i="55"/>
  <c r="DW163" i="55"/>
  <c r="DW162" i="55"/>
  <c r="DW160" i="55"/>
  <c r="ER156" i="55"/>
  <c r="FG138" i="55"/>
  <c r="DT140" i="55"/>
  <c r="DT144" i="55"/>
  <c r="DT143" i="55"/>
  <c r="DT142" i="55"/>
  <c r="DT139" i="55"/>
  <c r="DT141" i="55"/>
  <c r="BY136" i="55"/>
  <c r="CF131" i="55"/>
  <c r="CD123" i="55"/>
  <c r="ER116" i="55"/>
  <c r="CA131" i="55"/>
  <c r="DT126" i="55"/>
  <c r="DT127" i="55"/>
  <c r="DT128" i="55"/>
  <c r="DT129" i="55"/>
  <c r="DT130" i="55"/>
  <c r="CC141" i="55"/>
  <c r="DQ133" i="55"/>
  <c r="DQ137" i="55"/>
  <c r="DQ138" i="55"/>
  <c r="DQ135" i="55"/>
  <c r="DQ134" i="55"/>
  <c r="DQ136" i="55"/>
  <c r="CF124" i="55"/>
  <c r="CF110" i="55"/>
  <c r="CB137" i="55"/>
  <c r="DP136" i="55"/>
  <c r="DP138" i="55"/>
  <c r="DP135" i="55"/>
  <c r="DP134" i="55"/>
  <c r="DP133" i="55"/>
  <c r="DP137" i="55"/>
  <c r="CC117" i="55"/>
  <c r="CB116" i="55"/>
  <c r="CC110" i="55"/>
  <c r="DR105" i="55"/>
  <c r="DR107" i="55"/>
  <c r="DR104" i="55"/>
  <c r="DR106" i="55"/>
  <c r="DR94" i="55"/>
  <c r="DR95" i="55"/>
  <c r="BZ105" i="55"/>
  <c r="CD118" i="55"/>
  <c r="CB112" i="55"/>
  <c r="CF91" i="55"/>
  <c r="CE91" i="55"/>
  <c r="DU74" i="55"/>
  <c r="DU75" i="55"/>
  <c r="DU76" i="55"/>
  <c r="DU73" i="55"/>
  <c r="BZ88" i="55"/>
  <c r="FG60" i="55"/>
  <c r="CE53" i="55"/>
  <c r="CA56" i="55"/>
  <c r="CE66" i="55"/>
  <c r="DX120" i="55"/>
  <c r="DX122" i="55"/>
  <c r="DX124" i="55"/>
  <c r="DX123" i="55"/>
  <c r="DX125" i="55"/>
  <c r="DX121" i="55"/>
  <c r="ER115" i="55"/>
  <c r="BX125" i="55"/>
  <c r="CD115" i="55"/>
  <c r="BZ112" i="55"/>
  <c r="CB93" i="55"/>
  <c r="CD107" i="55"/>
  <c r="CF104" i="55"/>
  <c r="BY96" i="55"/>
  <c r="CF89" i="55"/>
  <c r="CD114" i="55"/>
  <c r="DP108" i="55"/>
  <c r="DP111" i="55"/>
  <c r="DP109" i="55"/>
  <c r="DP112" i="55"/>
  <c r="DP110" i="55"/>
  <c r="DP113" i="55"/>
  <c r="BX102" i="55"/>
  <c r="BZ97" i="55"/>
  <c r="CB89" i="55"/>
  <c r="FG113" i="55"/>
  <c r="FG107" i="55"/>
  <c r="BX105" i="55"/>
  <c r="BZ101" i="55"/>
  <c r="CC96" i="55"/>
  <c r="DT86" i="55"/>
  <c r="DT87" i="55"/>
  <c r="BX97" i="55"/>
  <c r="CA78" i="55"/>
  <c r="DR103" i="55"/>
  <c r="DR102" i="55"/>
  <c r="CC99" i="55"/>
  <c r="CD96" i="55"/>
  <c r="CD90" i="55"/>
  <c r="DQ84" i="55"/>
  <c r="DQ85" i="55"/>
  <c r="DQ83" i="55"/>
  <c r="DQ82" i="55"/>
  <c r="CD84" i="55"/>
  <c r="CA83" i="55"/>
  <c r="BX80" i="55"/>
  <c r="CB78" i="55"/>
  <c r="BZ81" i="55"/>
  <c r="CE78" i="55"/>
  <c r="BZ67" i="55"/>
  <c r="FG62" i="55"/>
  <c r="BZ57" i="55"/>
  <c r="DW81" i="55"/>
  <c r="DW78" i="55"/>
  <c r="DW79" i="55"/>
  <c r="DW80" i="55"/>
  <c r="CD69" i="55"/>
  <c r="CF60" i="55"/>
  <c r="CC54" i="55"/>
  <c r="CF61" i="55"/>
  <c r="CC58" i="55"/>
  <c r="FG51" i="55"/>
  <c r="CF45" i="55"/>
  <c r="ER59" i="55"/>
  <c r="ER53" i="55"/>
  <c r="DT54" i="55"/>
  <c r="DT53" i="55"/>
  <c r="DT50" i="55"/>
  <c r="DT49" i="55"/>
  <c r="DT52" i="55"/>
  <c r="DT51" i="55"/>
  <c r="ER43" i="55"/>
  <c r="CC38" i="55"/>
  <c r="CB32" i="55"/>
  <c r="CB41" i="55"/>
  <c r="CB38" i="55"/>
  <c r="ER47" i="55"/>
  <c r="CA45" i="55"/>
  <c r="CC42" i="55"/>
  <c r="ER35" i="55"/>
  <c r="DQ51" i="55"/>
  <c r="DQ50" i="55"/>
  <c r="DQ54" i="55"/>
  <c r="DQ52" i="55"/>
  <c r="DQ53" i="55"/>
  <c r="DQ49" i="55"/>
  <c r="CF46" i="55"/>
  <c r="BZ43" i="55"/>
  <c r="BX40" i="55"/>
  <c r="CD36" i="55"/>
  <c r="BZ28" i="55"/>
  <c r="CE24" i="55"/>
  <c r="BY26" i="55"/>
  <c r="CB36" i="55"/>
  <c r="CB33" i="55"/>
  <c r="BX30" i="55"/>
  <c r="CC35" i="55"/>
  <c r="DR35" i="55"/>
  <c r="DR33" i="55"/>
  <c r="DR37" i="55"/>
  <c r="DR36" i="55"/>
  <c r="DR30" i="55"/>
  <c r="DR32" i="55"/>
  <c r="DR31" i="55"/>
  <c r="DR29" i="55"/>
  <c r="DR34" i="55"/>
  <c r="CB26" i="55"/>
  <c r="ER21" i="55"/>
  <c r="DQ26" i="55"/>
  <c r="DQ27" i="55"/>
  <c r="DQ25" i="55"/>
  <c r="DQ28" i="55"/>
  <c r="CF19" i="55"/>
  <c r="BZ13" i="55"/>
  <c r="BZ16" i="55"/>
  <c r="CF13" i="55"/>
  <c r="BZ19" i="55"/>
  <c r="CF11" i="55"/>
  <c r="DU21" i="55"/>
  <c r="DU20" i="55"/>
  <c r="DU19" i="55"/>
  <c r="DU18" i="55"/>
  <c r="DU22" i="55"/>
  <c r="DQ12" i="55"/>
  <c r="DQ17" i="55"/>
  <c r="DQ13" i="55"/>
  <c r="DQ15" i="55"/>
  <c r="DQ16" i="55"/>
  <c r="DQ11" i="55"/>
  <c r="DQ14" i="55"/>
  <c r="ER9" i="55"/>
  <c r="CC13" i="55"/>
  <c r="DU180" i="55"/>
  <c r="DU183" i="55"/>
  <c r="DU179" i="55"/>
  <c r="DU182" i="55"/>
  <c r="DU181" i="55"/>
  <c r="DP168" i="55"/>
  <c r="ER162" i="55"/>
  <c r="CB156" i="55"/>
  <c r="BY153" i="55"/>
  <c r="BZ148" i="55"/>
  <c r="CD141" i="55"/>
  <c r="FG160" i="55"/>
  <c r="FG146" i="55"/>
  <c r="CB141" i="55"/>
  <c r="DW169" i="55"/>
  <c r="DW173" i="55"/>
  <c r="DW172" i="55"/>
  <c r="DW170" i="55"/>
  <c r="DW171" i="55"/>
  <c r="CD156" i="55"/>
  <c r="CB153" i="55"/>
  <c r="DR167" i="55"/>
  <c r="DR166" i="55"/>
  <c r="DR165" i="55"/>
  <c r="FG155" i="55"/>
  <c r="CB148" i="55"/>
  <c r="BX142" i="55"/>
  <c r="BY150" i="55"/>
  <c r="DP141" i="55"/>
  <c r="DP144" i="55"/>
  <c r="DP142" i="55"/>
  <c r="DP139" i="55"/>
  <c r="DP140" i="55"/>
  <c r="DP143" i="55"/>
  <c r="CB131" i="55"/>
  <c r="CC122" i="55"/>
  <c r="BZ113" i="55"/>
  <c r="DT132" i="55"/>
  <c r="DT131" i="55"/>
  <c r="ER125" i="55"/>
  <c r="CE140" i="55"/>
  <c r="CB110" i="55"/>
  <c r="BZ102" i="55"/>
  <c r="CE112" i="55"/>
  <c r="FG91" i="55"/>
  <c r="ER107" i="55"/>
  <c r="DX106" i="55"/>
  <c r="DX107" i="55"/>
  <c r="DX105" i="55"/>
  <c r="DX104" i="55"/>
  <c r="CB101" i="55"/>
  <c r="BX96" i="55"/>
  <c r="DX87" i="55"/>
  <c r="DX86" i="55"/>
  <c r="CB113" i="55"/>
  <c r="BZ110" i="55"/>
  <c r="CB107" i="55"/>
  <c r="CD104" i="55"/>
  <c r="CC100" i="55"/>
  <c r="BZ99" i="55"/>
  <c r="CE96" i="55"/>
  <c r="ER92" i="55"/>
  <c r="ER86" i="55"/>
  <c r="FG75" i="55"/>
  <c r="DU92" i="55"/>
  <c r="DU93" i="55"/>
  <c r="DU87" i="55"/>
  <c r="DU86" i="55"/>
  <c r="DW92" i="55"/>
  <c r="DW93" i="55"/>
  <c r="DW86" i="55"/>
  <c r="DW87" i="55"/>
  <c r="BZ83" i="55"/>
  <c r="BZ82" i="55"/>
  <c r="BX68" i="55"/>
  <c r="CB77" i="55"/>
  <c r="DW76" i="55"/>
  <c r="DW73" i="55"/>
  <c r="DW74" i="55"/>
  <c r="DW75" i="55"/>
  <c r="BZ77" i="55"/>
  <c r="ER61" i="55"/>
  <c r="CF56" i="55"/>
  <c r="CF74" i="55"/>
  <c r="DS67" i="55"/>
  <c r="DS71" i="55"/>
  <c r="DS72" i="55"/>
  <c r="DS70" i="55"/>
  <c r="DS68" i="55"/>
  <c r="DS69" i="55"/>
  <c r="BZ58" i="55"/>
  <c r="CF53" i="55"/>
  <c r="BY61" i="55"/>
  <c r="FG55" i="55"/>
  <c r="CA75" i="55"/>
  <c r="BX72" i="55"/>
  <c r="ER64" i="55"/>
  <c r="BX48" i="55"/>
  <c r="DS50" i="55"/>
  <c r="DS49" i="55"/>
  <c r="DS53" i="55"/>
  <c r="DS54" i="55"/>
  <c r="DS51" i="55"/>
  <c r="DS52" i="55"/>
  <c r="BX64" i="55"/>
  <c r="CE54" i="55"/>
  <c r="CB51" i="55"/>
  <c r="ER67" i="55"/>
  <c r="CC62" i="55"/>
  <c r="BY59" i="55"/>
  <c r="BY53" i="55"/>
  <c r="BX50" i="55"/>
  <c r="BY43" i="55"/>
  <c r="CA40" i="55"/>
  <c r="CB37" i="55"/>
  <c r="CF43" i="55"/>
  <c r="CF37" i="55"/>
  <c r="DP41" i="55"/>
  <c r="DP38" i="55"/>
  <c r="DP39" i="55"/>
  <c r="DP42" i="55"/>
  <c r="DP40" i="55"/>
  <c r="CD34" i="55"/>
  <c r="CF42" i="55"/>
  <c r="CF35" i="55"/>
  <c r="CD30" i="55"/>
  <c r="CF27" i="55"/>
  <c r="ER33" i="55"/>
  <c r="CC28" i="55"/>
  <c r="CD35" i="55"/>
  <c r="CD32" i="55"/>
  <c r="BZ29" i="55"/>
  <c r="DX27" i="55"/>
  <c r="DX25" i="55"/>
  <c r="DX28" i="55"/>
  <c r="DX26" i="55"/>
  <c r="CC25" i="55"/>
  <c r="CA22" i="55"/>
  <c r="FG17" i="55"/>
  <c r="BY21" i="55"/>
  <c r="FG15" i="55"/>
  <c r="CD17" i="55"/>
  <c r="DX24" i="55"/>
  <c r="DX23" i="55"/>
  <c r="DT20" i="55"/>
  <c r="DT19" i="55"/>
  <c r="DT22" i="55"/>
  <c r="DT21" i="55"/>
  <c r="DT18" i="55"/>
  <c r="CB12" i="55"/>
  <c r="DR20" i="55"/>
  <c r="DR22" i="55"/>
  <c r="DR18" i="55"/>
  <c r="DR21" i="55"/>
  <c r="DR19" i="55"/>
  <c r="CB10" i="55"/>
  <c r="BX18" i="55"/>
  <c r="ER10" i="55"/>
  <c r="CA9" i="55"/>
  <c r="CC9" i="55"/>
  <c r="CB8" i="55"/>
  <c r="DW177" i="55"/>
  <c r="DW178" i="55"/>
  <c r="DU178" i="55"/>
  <c r="DU177" i="55"/>
  <c r="ER166" i="55"/>
  <c r="ER161" i="55"/>
  <c r="CD158" i="55"/>
  <c r="ER151" i="55"/>
  <c r="FG153" i="55"/>
  <c r="DQ149" i="55"/>
  <c r="DQ147" i="55"/>
  <c r="DQ148" i="55"/>
  <c r="DQ146" i="55"/>
  <c r="DQ150" i="55"/>
  <c r="DQ145" i="55"/>
  <c r="CF138" i="55"/>
  <c r="DV168" i="55"/>
  <c r="DU158" i="55"/>
  <c r="DU159" i="55"/>
  <c r="CB152" i="55"/>
  <c r="CF146" i="55"/>
  <c r="BZ141" i="55"/>
  <c r="DS175" i="55"/>
  <c r="DS174" i="55"/>
  <c r="DS176" i="55"/>
  <c r="DR169" i="55"/>
  <c r="DR173" i="55"/>
  <c r="DR172" i="55"/>
  <c r="DR170" i="55"/>
  <c r="DR171" i="55"/>
  <c r="CE158" i="55"/>
  <c r="CB155" i="55"/>
  <c r="DS157" i="55"/>
  <c r="DS153" i="55"/>
  <c r="DS156" i="55"/>
  <c r="DS154" i="55"/>
  <c r="DS151" i="55"/>
  <c r="DS155" i="55"/>
  <c r="DS152" i="55"/>
  <c r="CD146" i="55"/>
  <c r="CC152" i="55"/>
  <c r="CF149" i="55"/>
  <c r="ER145" i="55"/>
  <c r="BY138" i="55"/>
  <c r="CE134" i="55"/>
  <c r="CD121" i="55"/>
  <c r="BZ130" i="55"/>
  <c r="CC146" i="55"/>
  <c r="CA125" i="55"/>
  <c r="CC126" i="55"/>
  <c r="CB123" i="55"/>
  <c r="ER110" i="55"/>
  <c r="CE98" i="55"/>
  <c r="BY100" i="55"/>
  <c r="CB109" i="55"/>
  <c r="DX93" i="55"/>
  <c r="DX92" i="55"/>
  <c r="ER88" i="55"/>
  <c r="DX157" i="55"/>
  <c r="DX153" i="55"/>
  <c r="DX154" i="55"/>
  <c r="DX155" i="55"/>
  <c r="DX152" i="55"/>
  <c r="DX156" i="55"/>
  <c r="DX151" i="55"/>
  <c r="BX141" i="55"/>
  <c r="ER143" i="55"/>
  <c r="CA141" i="55"/>
  <c r="CC138" i="55"/>
  <c r="BY132" i="55"/>
  <c r="BX126" i="55"/>
  <c r="CC118" i="55"/>
  <c r="CC133" i="55"/>
  <c r="CD130" i="55"/>
  <c r="CB124" i="55"/>
  <c r="DU124" i="55"/>
  <c r="DU125" i="55"/>
  <c r="DU122" i="55"/>
  <c r="DU120" i="55"/>
  <c r="DU121" i="55"/>
  <c r="DU123" i="55"/>
  <c r="CC116" i="55"/>
  <c r="CD149" i="55"/>
  <c r="CA132" i="55"/>
  <c r="BX129" i="55"/>
  <c r="FG137" i="55"/>
  <c r="FG134" i="55"/>
  <c r="CA129" i="55"/>
  <c r="DR129" i="55"/>
  <c r="DR128" i="55"/>
  <c r="DR130" i="55"/>
  <c r="DR127" i="55"/>
  <c r="DR126" i="55"/>
  <c r="CF123" i="55"/>
  <c r="BZ120" i="55"/>
  <c r="FG116" i="55"/>
  <c r="BY108" i="55"/>
  <c r="CA105" i="55"/>
  <c r="CB96" i="55"/>
  <c r="DX89" i="55"/>
  <c r="DX88" i="55"/>
  <c r="DX91" i="55"/>
  <c r="DX90" i="55"/>
  <c r="CE102" i="55"/>
  <c r="BX93" i="55"/>
  <c r="FG115" i="55"/>
  <c r="FG112" i="55"/>
  <c r="BY107" i="55"/>
  <c r="CA104" i="55"/>
  <c r="CE100" i="55"/>
  <c r="FG94" i="55"/>
  <c r="CE115" i="55"/>
  <c r="CF109" i="55"/>
  <c r="BX99" i="55"/>
  <c r="CF93" i="55"/>
  <c r="BY92" i="55"/>
  <c r="BY86" i="55"/>
  <c r="DT82" i="55"/>
  <c r="DT84" i="55"/>
  <c r="DT85" i="55"/>
  <c r="DT83" i="55"/>
  <c r="BX98" i="55"/>
  <c r="BX92" i="55"/>
  <c r="FG88" i="55"/>
  <c r="BX86" i="55"/>
  <c r="ER82" i="55"/>
  <c r="CE84" i="55"/>
  <c r="BZ80" i="55"/>
  <c r="CA89" i="55"/>
  <c r="CB82" i="55"/>
  <c r="DQ79" i="55"/>
  <c r="DQ78" i="55"/>
  <c r="DQ81" i="55"/>
  <c r="DQ80" i="55"/>
  <c r="BZ66" i="55"/>
  <c r="CF66" i="55"/>
  <c r="FG54" i="55"/>
  <c r="DT73" i="55"/>
  <c r="DT75" i="55"/>
  <c r="DT76" i="55"/>
  <c r="DT74" i="55"/>
  <c r="BX62" i="55"/>
  <c r="CC57" i="55"/>
  <c r="CA52" i="55"/>
  <c r="CC77" i="55"/>
  <c r="BZ74" i="55"/>
  <c r="DP69" i="55"/>
  <c r="DP70" i="55"/>
  <c r="DP71" i="55"/>
  <c r="DP72" i="55"/>
  <c r="DP67" i="55"/>
  <c r="DP68" i="55"/>
  <c r="FG45" i="55"/>
  <c r="CD53" i="55"/>
  <c r="BY67" i="55"/>
  <c r="CA64" i="55"/>
  <c r="DP65" i="55"/>
  <c r="DP64" i="55"/>
  <c r="DP62" i="55"/>
  <c r="DP63" i="55"/>
  <c r="DP61" i="55"/>
  <c r="DP66" i="55"/>
  <c r="CF58" i="55"/>
  <c r="CF52" i="55"/>
  <c r="CC48" i="55"/>
  <c r="CC45" i="55"/>
  <c r="CE42" i="55"/>
  <c r="CC49" i="55"/>
  <c r="DT43" i="55"/>
  <c r="DT45" i="55"/>
  <c r="DT48" i="55"/>
  <c r="DT46" i="55"/>
  <c r="DT47" i="55"/>
  <c r="DT44" i="55"/>
  <c r="ER40" i="55"/>
  <c r="ER37" i="55"/>
  <c r="FG47" i="55"/>
  <c r="BZ38" i="55"/>
  <c r="CA34" i="55"/>
  <c r="DQ32" i="55"/>
  <c r="DQ35" i="55"/>
  <c r="DQ36" i="55"/>
  <c r="DQ37" i="55"/>
  <c r="DQ34" i="55"/>
  <c r="DQ33" i="55"/>
  <c r="DQ30" i="55"/>
  <c r="DQ29" i="55"/>
  <c r="DQ31" i="55"/>
  <c r="BY33" i="55"/>
  <c r="CF28" i="55"/>
  <c r="FG24" i="55"/>
  <c r="BX24" i="55"/>
  <c r="CD21" i="55"/>
  <c r="CF20" i="55"/>
  <c r="CB11" i="55"/>
  <c r="FG23" i="55"/>
  <c r="BX21" i="55"/>
  <c r="FG13" i="55"/>
  <c r="BZ20" i="55"/>
  <c r="FG10" i="55"/>
  <c r="DU8" i="55"/>
  <c r="CB17" i="55"/>
  <c r="FG9" i="55"/>
  <c r="DR8" i="55"/>
  <c r="DT16" i="55"/>
  <c r="DT17" i="55"/>
  <c r="DT13" i="55"/>
  <c r="DT12" i="55"/>
  <c r="DT15" i="55"/>
  <c r="DT11" i="55"/>
  <c r="DT14" i="55"/>
  <c r="DP8" i="55"/>
  <c r="FG174" i="55"/>
  <c r="ER170" i="55"/>
  <c r="DU167" i="55"/>
  <c r="DU165" i="55"/>
  <c r="DU166" i="55"/>
  <c r="ER160" i="55"/>
  <c r="CD145" i="55"/>
  <c r="BX136" i="55"/>
  <c r="CA156" i="55"/>
  <c r="BX153" i="55"/>
  <c r="CB144" i="55"/>
  <c r="BX158" i="55"/>
  <c r="FG154" i="55"/>
  <c r="CE150" i="55"/>
  <c r="BZ145" i="55"/>
  <c r="CB138" i="55"/>
  <c r="CD157" i="55"/>
  <c r="BX138" i="55"/>
  <c r="DQ154" i="55"/>
  <c r="DQ156" i="55"/>
  <c r="DQ152" i="55"/>
  <c r="DQ153" i="55"/>
  <c r="DQ151" i="55"/>
  <c r="DQ157" i="55"/>
  <c r="DQ155" i="55"/>
  <c r="BY145" i="55"/>
  <c r="CE137" i="55"/>
  <c r="CD133" i="55"/>
  <c r="ER128" i="55"/>
  <c r="DQ123" i="55"/>
  <c r="DQ125" i="55"/>
  <c r="DQ120" i="55"/>
  <c r="DQ124" i="55"/>
  <c r="DQ121" i="55"/>
  <c r="DQ122" i="55"/>
  <c r="CB122" i="55"/>
  <c r="ER144" i="55"/>
  <c r="ER134" i="55"/>
  <c r="CA121" i="55"/>
  <c r="FG119" i="55"/>
  <c r="DP93" i="55"/>
  <c r="DP92" i="55"/>
  <c r="ER109" i="55"/>
  <c r="DV94" i="55"/>
  <c r="DV95" i="55"/>
  <c r="CD106" i="55"/>
  <c r="CC98" i="55"/>
  <c r="FG85" i="55"/>
  <c r="CE35" i="55"/>
  <c r="FG41" i="55"/>
  <c r="FG38" i="55"/>
  <c r="BY40" i="55"/>
  <c r="BY37" i="55"/>
  <c r="CD50" i="55"/>
  <c r="BX44" i="55"/>
  <c r="CC37" i="55"/>
  <c r="DV28" i="55"/>
  <c r="DV25" i="55"/>
  <c r="DV26" i="55"/>
  <c r="DV27" i="55"/>
  <c r="CE32" i="55"/>
  <c r="DT35" i="55"/>
  <c r="DT37" i="55"/>
  <c r="DT32" i="55"/>
  <c r="DT29" i="55"/>
  <c r="DT31" i="55"/>
  <c r="DT33" i="55"/>
  <c r="DT36" i="55"/>
  <c r="DT30" i="55"/>
  <c r="DT34" i="55"/>
  <c r="ER26" i="55"/>
  <c r="FG36" i="55"/>
  <c r="FG33" i="55"/>
  <c r="ER23" i="55"/>
  <c r="CA33" i="55"/>
  <c r="CA30" i="55"/>
  <c r="CC27" i="55"/>
  <c r="DW24" i="55"/>
  <c r="DW23" i="55"/>
  <c r="CD26" i="55"/>
  <c r="CE20" i="55"/>
  <c r="CF22" i="55"/>
  <c r="BY17" i="55"/>
  <c r="CF17" i="55"/>
  <c r="BZ8" i="55"/>
  <c r="CF16" i="55"/>
  <c r="CD12" i="55"/>
  <c r="CA17" i="55"/>
  <c r="DS9" i="55"/>
  <c r="DS10" i="55"/>
  <c r="DT185" i="55"/>
  <c r="DT184" i="55"/>
  <c r="ER174" i="55"/>
  <c r="DU171" i="55"/>
  <c r="DU172" i="55"/>
  <c r="DU170" i="55"/>
  <c r="DU169" i="55"/>
  <c r="DU173" i="55"/>
  <c r="ER159" i="55"/>
  <c r="FG156" i="55"/>
  <c r="ER153" i="55"/>
  <c r="CC158" i="55"/>
  <c r="CD155" i="55"/>
  <c r="BX152" i="55"/>
  <c r="BX148" i="55"/>
  <c r="DW165" i="55"/>
  <c r="DW167" i="55"/>
  <c r="DW166" i="55"/>
  <c r="DT160" i="55"/>
  <c r="DT161" i="55"/>
  <c r="DT163" i="55"/>
  <c r="DT162" i="55"/>
  <c r="DT164" i="55"/>
  <c r="CE157" i="55"/>
  <c r="CB154" i="55"/>
  <c r="DR178" i="55"/>
  <c r="DR177" i="55"/>
  <c r="DS164" i="55"/>
  <c r="DS161" i="55"/>
  <c r="DS162" i="55"/>
  <c r="DS160" i="55"/>
  <c r="DS163" i="55"/>
  <c r="CF153" i="55"/>
  <c r="ER150" i="55"/>
  <c r="CC140" i="55"/>
  <c r="FG131" i="55"/>
  <c r="BY128" i="55"/>
  <c r="BX124" i="55"/>
  <c r="BY133" i="55"/>
  <c r="DP122" i="55"/>
  <c r="DP124" i="55"/>
  <c r="DP120" i="55"/>
  <c r="DP125" i="55"/>
  <c r="DP121" i="55"/>
  <c r="DP123" i="55"/>
  <c r="BZ149" i="55"/>
  <c r="DW131" i="55"/>
  <c r="DW132" i="55"/>
  <c r="CA116" i="55"/>
  <c r="ER131" i="55"/>
  <c r="CE118" i="55"/>
  <c r="CA115" i="55"/>
  <c r="CF82" i="55"/>
  <c r="CC147" i="55"/>
  <c r="CE144" i="55"/>
  <c r="ER138" i="55"/>
  <c r="DQ126" i="55"/>
  <c r="DQ129" i="55"/>
  <c r="DQ127" i="55"/>
  <c r="DQ128" i="55"/>
  <c r="DQ130" i="55"/>
  <c r="BY123" i="55"/>
  <c r="BX110" i="55"/>
  <c r="ER133" i="55"/>
  <c r="BX128" i="55"/>
  <c r="FG124" i="55"/>
  <c r="BY117" i="55"/>
  <c r="BY144" i="55"/>
  <c r="BY141" i="55"/>
  <c r="CA138" i="55"/>
  <c r="BZ126" i="55"/>
  <c r="CA122" i="55"/>
  <c r="BZ109" i="55"/>
  <c r="CE123" i="55"/>
  <c r="CD113" i="55"/>
  <c r="FG123" i="55"/>
  <c r="DW122" i="55"/>
  <c r="DW124" i="55"/>
  <c r="DW120" i="55"/>
  <c r="DW125" i="55"/>
  <c r="DW123" i="55"/>
  <c r="DW121" i="55"/>
  <c r="CF114" i="55"/>
  <c r="DV109" i="55"/>
  <c r="DV113" i="55"/>
  <c r="DV110" i="55"/>
  <c r="DV111" i="55"/>
  <c r="DV112" i="55"/>
  <c r="DV108" i="55"/>
  <c r="DP102" i="55"/>
  <c r="DP103" i="55"/>
  <c r="CD97" i="55"/>
  <c r="BY90" i="55"/>
  <c r="CF106" i="55"/>
  <c r="DQ94" i="55"/>
  <c r="DQ95" i="55"/>
  <c r="CA86" i="55"/>
  <c r="DT106" i="55"/>
  <c r="DT104" i="55"/>
  <c r="DT107" i="55"/>
  <c r="DT105" i="55"/>
  <c r="ER100" i="55"/>
  <c r="FG95" i="55"/>
  <c r="BX113" i="55"/>
  <c r="FG109" i="55"/>
  <c r="BX107" i="55"/>
  <c r="BZ104" i="55"/>
  <c r="BX100" i="55"/>
  <c r="DU94" i="55"/>
  <c r="DU95" i="55"/>
  <c r="CA96" i="55"/>
  <c r="DV92" i="55"/>
  <c r="DV93" i="55"/>
  <c r="DV87" i="55"/>
  <c r="DV86" i="55"/>
  <c r="CD83" i="55"/>
  <c r="DQ92" i="55"/>
  <c r="DQ93" i="55"/>
  <c r="DQ86" i="55"/>
  <c r="DQ87" i="55"/>
  <c r="DP77" i="55"/>
  <c r="CD85" i="55"/>
  <c r="CE81" i="55"/>
  <c r="DS92" i="55"/>
  <c r="DS93" i="55"/>
  <c r="DS86" i="55"/>
  <c r="DS87" i="55"/>
  <c r="FG82" i="55"/>
  <c r="ER70" i="55"/>
  <c r="CD75" i="55"/>
  <c r="BZ73" i="55"/>
  <c r="CC80" i="55"/>
  <c r="BZ69" i="55"/>
  <c r="CD57" i="55"/>
  <c r="DP73" i="55"/>
  <c r="DP76" i="55"/>
  <c r="DP75" i="55"/>
  <c r="DP74" i="55"/>
  <c r="CF69" i="55"/>
  <c r="BY64" i="55"/>
  <c r="CD64" i="55"/>
  <c r="FG56" i="55"/>
  <c r="BY77" i="55"/>
  <c r="CC73" i="55"/>
  <c r="BX69" i="55"/>
  <c r="ER49" i="55"/>
  <c r="FG61" i="55"/>
  <c r="BY58" i="55"/>
  <c r="BZ53" i="55"/>
  <c r="CF48" i="55"/>
  <c r="CE68" i="55"/>
  <c r="CD60" i="55"/>
  <c r="CD54" i="55"/>
  <c r="CE44" i="55"/>
  <c r="ER38" i="55"/>
  <c r="CB35" i="55"/>
  <c r="BZ50" i="55"/>
  <c r="DP26" i="55"/>
  <c r="DP27" i="55"/>
  <c r="DP25" i="55"/>
  <c r="DP28" i="55"/>
  <c r="DS24" i="55"/>
  <c r="DS23" i="55"/>
  <c r="BZ26" i="55"/>
  <c r="CB22" i="55"/>
  <c r="DW95" i="55"/>
  <c r="DW94" i="55"/>
  <c r="DU90" i="55"/>
  <c r="DU91" i="55"/>
  <c r="DU89" i="55"/>
  <c r="DU88" i="55"/>
  <c r="DX82" i="55"/>
  <c r="DX83" i="55"/>
  <c r="DX85" i="55"/>
  <c r="DX84" i="55"/>
  <c r="BZ84" i="55"/>
  <c r="ER91" i="55"/>
  <c r="DW89" i="55"/>
  <c r="DW88" i="55"/>
  <c r="DW90" i="55"/>
  <c r="DW91" i="55"/>
  <c r="ER85" i="55"/>
  <c r="FG81" i="55"/>
  <c r="CF84" i="55"/>
  <c r="CC81" i="55"/>
  <c r="CC78" i="55"/>
  <c r="CE74" i="55"/>
  <c r="CC76" i="55"/>
  <c r="CF75" i="55"/>
  <c r="BZ68" i="55"/>
  <c r="CD68" i="55"/>
  <c r="DP55" i="55"/>
  <c r="DP59" i="55"/>
  <c r="DP56" i="55"/>
  <c r="DP57" i="55"/>
  <c r="DP60" i="55"/>
  <c r="DP58" i="55"/>
  <c r="CF54" i="55"/>
  <c r="CF76" i="55"/>
  <c r="CF67" i="55"/>
  <c r="CD61" i="55"/>
  <c r="BX45" i="55"/>
  <c r="CB61" i="55"/>
  <c r="DP50" i="55"/>
  <c r="DP53" i="55"/>
  <c r="DP54" i="55"/>
  <c r="DP51" i="55"/>
  <c r="DP49" i="55"/>
  <c r="DP52" i="55"/>
  <c r="DV48" i="55"/>
  <c r="DV46" i="55"/>
  <c r="DV44" i="55"/>
  <c r="DV47" i="55"/>
  <c r="DV45" i="55"/>
  <c r="DV43" i="55"/>
  <c r="BY38" i="55"/>
  <c r="BX41" i="55"/>
  <c r="CD33" i="55"/>
  <c r="CF49" i="55"/>
  <c r="BX37" i="55"/>
  <c r="CA32" i="55"/>
  <c r="CF132" i="55"/>
  <c r="DP127" i="55"/>
  <c r="DP128" i="55"/>
  <c r="DP129" i="55"/>
  <c r="DP126" i="55"/>
  <c r="DP130" i="55"/>
  <c r="CC123" i="55"/>
  <c r="CC112" i="55"/>
  <c r="DP145" i="55"/>
  <c r="DP148" i="55"/>
  <c r="DP150" i="55"/>
  <c r="DP146" i="55"/>
  <c r="DP149" i="55"/>
  <c r="DP147" i="55"/>
  <c r="DV139" i="55"/>
  <c r="DV142" i="55"/>
  <c r="DV144" i="55"/>
  <c r="DV141" i="55"/>
  <c r="DV143" i="55"/>
  <c r="DV140" i="55"/>
  <c r="BY134" i="55"/>
  <c r="CA128" i="55"/>
  <c r="CA124" i="55"/>
  <c r="CA120" i="55"/>
  <c r="DT118" i="55"/>
  <c r="DT116" i="55"/>
  <c r="DT114" i="55"/>
  <c r="DT117" i="55"/>
  <c r="DT115" i="55"/>
  <c r="DT119" i="55"/>
  <c r="FG139" i="55"/>
  <c r="BX137" i="55"/>
  <c r="BX134" i="55"/>
  <c r="BY131" i="55"/>
  <c r="BZ128" i="55"/>
  <c r="CE125" i="55"/>
  <c r="CE121" i="55"/>
  <c r="CD122" i="55"/>
  <c r="BX116" i="55"/>
  <c r="BY110" i="55"/>
  <c r="CA107" i="55"/>
  <c r="CC104" i="55"/>
  <c r="CF94" i="55"/>
  <c r="FG104" i="55"/>
  <c r="CC97" i="55"/>
  <c r="BZ118" i="55"/>
  <c r="BX115" i="55"/>
  <c r="BX112" i="55"/>
  <c r="BY109" i="55"/>
  <c r="CA106" i="55"/>
  <c r="DX103" i="55"/>
  <c r="DX102" i="55"/>
  <c r="CD98" i="55"/>
  <c r="BZ91" i="55"/>
  <c r="DR119" i="55"/>
  <c r="DR116" i="55"/>
  <c r="DR114" i="55"/>
  <c r="DR117" i="55"/>
  <c r="DR115" i="55"/>
  <c r="DR118" i="55"/>
  <c r="DS113" i="55"/>
  <c r="DS111" i="55"/>
  <c r="DS109" i="55"/>
  <c r="DS110" i="55"/>
  <c r="DS112" i="55"/>
  <c r="DS108" i="55"/>
  <c r="CB102" i="55"/>
  <c r="BY97" i="55"/>
  <c r="BX89" i="55"/>
  <c r="CE94" i="55"/>
  <c r="CB91" i="55"/>
  <c r="BY88" i="55"/>
  <c r="CB85" i="55"/>
  <c r="ER99" i="55"/>
  <c r="CA97" i="55"/>
  <c r="CA91" i="55"/>
  <c r="BX88" i="55"/>
  <c r="CA85" i="55"/>
  <c r="BX73" i="55"/>
  <c r="CB83" i="55"/>
  <c r="BY91" i="55"/>
  <c r="BY85" i="55"/>
  <c r="CD77" i="55"/>
  <c r="ER78" i="55"/>
  <c r="BY74" i="55"/>
  <c r="CE72" i="55"/>
  <c r="CC60" i="55"/>
  <c r="CA53" i="55"/>
  <c r="ER71" i="55"/>
  <c r="BY54" i="55"/>
  <c r="CD66" i="55"/>
  <c r="BX60" i="55"/>
  <c r="CC51" i="55"/>
  <c r="DW58" i="55"/>
  <c r="DW55" i="55"/>
  <c r="DW59" i="55"/>
  <c r="DW57" i="55"/>
  <c r="DW56" i="55"/>
  <c r="DW60" i="55"/>
  <c r="ER69" i="55"/>
  <c r="CA66" i="55"/>
  <c r="ER62" i="55"/>
  <c r="DU39" i="55"/>
  <c r="DU41" i="55"/>
  <c r="DU38" i="55"/>
  <c r="DU42" i="55"/>
  <c r="DU40" i="55"/>
  <c r="CE48" i="55"/>
  <c r="ER42" i="55"/>
  <c r="FG46" i="55"/>
  <c r="DP32" i="55"/>
  <c r="DP37" i="55"/>
  <c r="DP35" i="55"/>
  <c r="DP31" i="55"/>
  <c r="DP36" i="55"/>
  <c r="DP29" i="55"/>
  <c r="DP34" i="55"/>
  <c r="DP30" i="55"/>
  <c r="DP33" i="55"/>
  <c r="CD22" i="55"/>
  <c r="CA20" i="55"/>
  <c r="BZ17" i="55"/>
  <c r="ER141" i="55"/>
  <c r="CF133" i="55"/>
  <c r="CC130" i="55"/>
  <c r="CA123" i="55"/>
  <c r="CB139" i="55"/>
  <c r="CD136" i="55"/>
  <c r="CE133" i="55"/>
  <c r="CF130" i="55"/>
  <c r="DR124" i="55"/>
  <c r="DR120" i="55"/>
  <c r="DR121" i="55"/>
  <c r="DR125" i="55"/>
  <c r="DR122" i="55"/>
  <c r="DR123" i="55"/>
  <c r="CF118" i="55"/>
  <c r="BZ115" i="55"/>
  <c r="CE109" i="55"/>
  <c r="CE99" i="55"/>
  <c r="BZ107" i="55"/>
  <c r="CB104" i="55"/>
  <c r="CF117" i="55"/>
  <c r="BZ114" i="55"/>
  <c r="CE108" i="55"/>
  <c r="FG101" i="55"/>
  <c r="ER96" i="55"/>
  <c r="DP89" i="55"/>
  <c r="DP88" i="55"/>
  <c r="DP90" i="55"/>
  <c r="DP91" i="55"/>
  <c r="DX99" i="55"/>
  <c r="DX96" i="55"/>
  <c r="DX100" i="55"/>
  <c r="DX98" i="55"/>
  <c r="DX101" i="55"/>
  <c r="DX97" i="55"/>
  <c r="CD93" i="55"/>
  <c r="FG77" i="55"/>
  <c r="CC102" i="55"/>
  <c r="BY99" i="55"/>
  <c r="BZ96" i="55"/>
  <c r="CC93" i="55"/>
  <c r="BZ90" i="55"/>
  <c r="CA84" i="55"/>
  <c r="CE69" i="55"/>
  <c r="CC82" i="55"/>
  <c r="CF90" i="55"/>
  <c r="BY84" i="55"/>
  <c r="DW85" i="55"/>
  <c r="DW82" i="55"/>
  <c r="DW84" i="55"/>
  <c r="DW83" i="55"/>
  <c r="CD76" i="55"/>
  <c r="CF70" i="55"/>
  <c r="BY78" i="55"/>
  <c r="BY72" i="55"/>
  <c r="CB65" i="55"/>
  <c r="FG74" i="55"/>
  <c r="CB70" i="55"/>
  <c r="CA59" i="55"/>
  <c r="CE58" i="55"/>
  <c r="DS81" i="55"/>
  <c r="DS78" i="55"/>
  <c r="DS80" i="55"/>
  <c r="DS79" i="55"/>
  <c r="BY70" i="55"/>
  <c r="CD65" i="55"/>
  <c r="CF50" i="55"/>
  <c r="ER58" i="55"/>
  <c r="CE50" i="55"/>
  <c r="BY69" i="55"/>
  <c r="CE61" i="55"/>
  <c r="FG43" i="55"/>
  <c r="BX38" i="55"/>
  <c r="BY42" i="55"/>
  <c r="DW45" i="55"/>
  <c r="DW46" i="55"/>
  <c r="DW44" i="55"/>
  <c r="DW48" i="55"/>
  <c r="DW47" i="55"/>
  <c r="DW43" i="55"/>
  <c r="CD27" i="55"/>
  <c r="BY27" i="55"/>
  <c r="CA19" i="55"/>
  <c r="CF12" i="55"/>
  <c r="ER13" i="55"/>
  <c r="CC66" i="55"/>
  <c r="DR65" i="55"/>
  <c r="DR61" i="55"/>
  <c r="DR66" i="55"/>
  <c r="DR62" i="55"/>
  <c r="DR64" i="55"/>
  <c r="DR63" i="55"/>
  <c r="BX56" i="55"/>
  <c r="CB74" i="55"/>
  <c r="CD67" i="55"/>
  <c r="BX53" i="55"/>
  <c r="DU60" i="55"/>
  <c r="DU56" i="55"/>
  <c r="DU59" i="55"/>
  <c r="DU58" i="55"/>
  <c r="DU57" i="55"/>
  <c r="DU55" i="55"/>
  <c r="ER77" i="55"/>
  <c r="CB68" i="55"/>
  <c r="CD58" i="55"/>
  <c r="CE52" i="55"/>
  <c r="CD49" i="55"/>
  <c r="CF57" i="55"/>
  <c r="CA54" i="55"/>
  <c r="BX51" i="55"/>
  <c r="DV69" i="55"/>
  <c r="DV70" i="55"/>
  <c r="DV72" i="55"/>
  <c r="DV68" i="55"/>
  <c r="DV71" i="55"/>
  <c r="DV67" i="55"/>
  <c r="BY62" i="55"/>
  <c r="FG58" i="55"/>
  <c r="ER55" i="55"/>
  <c r="FG52" i="55"/>
  <c r="DX54" i="55"/>
  <c r="DX50" i="55"/>
  <c r="DX53" i="55"/>
  <c r="DX49" i="55"/>
  <c r="DX52" i="55"/>
  <c r="DX51" i="55"/>
  <c r="ER48" i="55"/>
  <c r="ER45" i="55"/>
  <c r="CB43" i="55"/>
  <c r="CD40" i="55"/>
  <c r="CA37" i="55"/>
  <c r="CC44" i="55"/>
  <c r="CE41" i="55"/>
  <c r="CE38" i="55"/>
  <c r="CD45" i="55"/>
  <c r="CB42" i="55"/>
  <c r="DW38" i="55"/>
  <c r="DW39" i="55"/>
  <c r="DW42" i="55"/>
  <c r="DW41" i="55"/>
  <c r="DW40" i="55"/>
  <c r="BX35" i="55"/>
  <c r="BZ30" i="55"/>
  <c r="CB27" i="55"/>
  <c r="BY28" i="55"/>
  <c r="BZ35" i="55"/>
  <c r="BZ32" i="55"/>
  <c r="FG28" i="55"/>
  <c r="DS26" i="55"/>
  <c r="DS25" i="55"/>
  <c r="DS27" i="55"/>
  <c r="DS28" i="55"/>
  <c r="CF34" i="55"/>
  <c r="FG20" i="55"/>
  <c r="BX16" i="55"/>
  <c r="DT24" i="55"/>
  <c r="DT23" i="55"/>
  <c r="DP19" i="55"/>
  <c r="DP20" i="55"/>
  <c r="DP18" i="55"/>
  <c r="DP21" i="55"/>
  <c r="DP22" i="55"/>
  <c r="DU17" i="55"/>
  <c r="DU11" i="55"/>
  <c r="DU13" i="55"/>
  <c r="DU15" i="55"/>
  <c r="DU16" i="55"/>
  <c r="DU12" i="55"/>
  <c r="DU14" i="55"/>
  <c r="CC18" i="55"/>
  <c r="CD13" i="55"/>
  <c r="CC12" i="55"/>
  <c r="CF81" i="55"/>
  <c r="CC72" i="55"/>
  <c r="FG90" i="55"/>
  <c r="ER87" i="55"/>
  <c r="CE80" i="55"/>
  <c r="CF80" i="55"/>
  <c r="BX77" i="55"/>
  <c r="DU78" i="55"/>
  <c r="DU79" i="55"/>
  <c r="DU80" i="55"/>
  <c r="DU81" i="55"/>
  <c r="CC75" i="55"/>
  <c r="DX81" i="55"/>
  <c r="DX78" i="55"/>
  <c r="DX79" i="55"/>
  <c r="DX80" i="55"/>
  <c r="DS74" i="55"/>
  <c r="DS73" i="55"/>
  <c r="DS76" i="55"/>
  <c r="DS75" i="55"/>
  <c r="CA72" i="55"/>
  <c r="DT71" i="55"/>
  <c r="DT68" i="55"/>
  <c r="DT69" i="55"/>
  <c r="DT70" i="55"/>
  <c r="DT72" i="55"/>
  <c r="DT67" i="55"/>
  <c r="CD72" i="55"/>
  <c r="CA69" i="55"/>
  <c r="CF65" i="55"/>
  <c r="CB60" i="55"/>
  <c r="CB76" i="55"/>
  <c r="BY73" i="55"/>
  <c r="BY66" i="55"/>
  <c r="ER60" i="55"/>
  <c r="BX61" i="55"/>
  <c r="CC52" i="55"/>
  <c r="CD44" i="55"/>
  <c r="CE51" i="55"/>
  <c r="CE49" i="55"/>
  <c r="CC41" i="55"/>
  <c r="DQ38" i="55"/>
  <c r="DQ41" i="55"/>
  <c r="DQ39" i="55"/>
  <c r="DQ40" i="55"/>
  <c r="DQ42" i="55"/>
  <c r="CE29" i="55"/>
  <c r="CF30" i="55"/>
  <c r="ER29" i="55"/>
  <c r="BZ22" i="55"/>
  <c r="DW16" i="55"/>
  <c r="DW14" i="55"/>
  <c r="DW11" i="55"/>
  <c r="DW17" i="55"/>
  <c r="DW15" i="55"/>
  <c r="DW13" i="55"/>
  <c r="DW12" i="55"/>
  <c r="CA10" i="55"/>
  <c r="CB9" i="55"/>
  <c r="CB58" i="55"/>
  <c r="CB52" i="55"/>
  <c r="BY48" i="55"/>
  <c r="BY45" i="55"/>
  <c r="CA42" i="55"/>
  <c r="CC36" i="55"/>
  <c r="CA36" i="55"/>
  <c r="BY49" i="55"/>
  <c r="DP43" i="55"/>
  <c r="DP45" i="55"/>
  <c r="DP48" i="55"/>
  <c r="DP47" i="55"/>
  <c r="DP44" i="55"/>
  <c r="DP46" i="55"/>
  <c r="CD41" i="55"/>
  <c r="FG37" i="55"/>
  <c r="CF29" i="55"/>
  <c r="CF26" i="55"/>
  <c r="CC30" i="55"/>
  <c r="CE27" i="55"/>
  <c r="CB28" i="55"/>
  <c r="ER27" i="55"/>
  <c r="BZ21" i="55"/>
  <c r="CB20" i="55"/>
  <c r="DU9" i="55"/>
  <c r="DU10" i="55"/>
  <c r="DU23" i="55"/>
  <c r="DU24" i="55"/>
  <c r="FG22" i="55"/>
  <c r="ER17" i="55"/>
  <c r="FG16" i="55"/>
  <c r="BZ9" i="55"/>
  <c r="CE8" i="55"/>
  <c r="DP15" i="55"/>
  <c r="DP16" i="55"/>
  <c r="DP11" i="55"/>
  <c r="DP13" i="55"/>
  <c r="DP17" i="55"/>
  <c r="DP14" i="55"/>
  <c r="DP12" i="55"/>
  <c r="CC8" i="55"/>
  <c r="CA80" i="55"/>
  <c r="BX82" i="55"/>
  <c r="CE93" i="55"/>
  <c r="CB90" i="55"/>
  <c r="DS82" i="55"/>
  <c r="DS84" i="55"/>
  <c r="DS85" i="55"/>
  <c r="DS83" i="55"/>
  <c r="BY76" i="55"/>
  <c r="DW77" i="55"/>
  <c r="CC74" i="55"/>
  <c r="ER80" i="55"/>
  <c r="DT77" i="55"/>
  <c r="ER66" i="55"/>
  <c r="CA62" i="55"/>
  <c r="ER56" i="55"/>
  <c r="BY68" i="55"/>
  <c r="FG63" i="55"/>
  <c r="CE62" i="55"/>
  <c r="CD78" i="55"/>
  <c r="CF72" i="55"/>
  <c r="FG68" i="55"/>
  <c r="BX65" i="55"/>
  <c r="CD51" i="55"/>
  <c r="BY51" i="55"/>
  <c r="CF64" i="55"/>
  <c r="CD59" i="55"/>
  <c r="DS55" i="55"/>
  <c r="DS59" i="55"/>
  <c r="DS58" i="55"/>
  <c r="DS60" i="55"/>
  <c r="DS57" i="55"/>
  <c r="DS56" i="55"/>
  <c r="BX58" i="55"/>
  <c r="BZ54" i="55"/>
  <c r="CA44" i="55"/>
  <c r="DV41" i="55"/>
  <c r="DV38" i="55"/>
  <c r="DV42" i="55"/>
  <c r="DV39" i="55"/>
  <c r="DV40" i="55"/>
  <c r="DS48" i="55"/>
  <c r="DS46" i="55"/>
  <c r="DS44" i="55"/>
  <c r="DS43" i="55"/>
  <c r="DS47" i="55"/>
  <c r="DS45" i="55"/>
  <c r="BZ27" i="55"/>
  <c r="DS19" i="55"/>
  <c r="DS22" i="55"/>
  <c r="DS18" i="55"/>
  <c r="DS20" i="55"/>
  <c r="DS21" i="55"/>
  <c r="BY19" i="55"/>
  <c r="ER16" i="55"/>
  <c r="ER11" i="55"/>
  <c r="CC19" i="55"/>
  <c r="CA16" i="55"/>
  <c r="CE10" i="55"/>
  <c r="CF9" i="55"/>
  <c r="CC89" i="55"/>
  <c r="CF86" i="55"/>
  <c r="CC83" i="55"/>
  <c r="CA77" i="55"/>
  <c r="BZ85" i="55"/>
  <c r="CD92" i="55"/>
  <c r="CD86" i="55"/>
  <c r="DU84" i="55"/>
  <c r="DU82" i="55"/>
  <c r="DU85" i="55"/>
  <c r="DU83" i="55"/>
  <c r="FG84" i="55"/>
  <c r="ER81" i="55"/>
  <c r="FG78" i="55"/>
  <c r="BY75" i="55"/>
  <c r="DW72" i="55"/>
  <c r="DW67" i="55"/>
  <c r="DW71" i="55"/>
  <c r="DW70" i="55"/>
  <c r="DW68" i="55"/>
  <c r="DW69" i="55"/>
  <c r="ER76" i="55"/>
  <c r="ER72" i="55"/>
  <c r="BY80" i="55"/>
  <c r="CE76" i="55"/>
  <c r="CC70" i="55"/>
  <c r="BX66" i="55"/>
  <c r="CC61" i="55"/>
  <c r="DQ60" i="55"/>
  <c r="DQ56" i="55"/>
  <c r="DQ57" i="55"/>
  <c r="DQ55" i="55"/>
  <c r="DQ59" i="55"/>
  <c r="DQ58" i="55"/>
  <c r="BX74" i="55"/>
  <c r="BX67" i="55"/>
  <c r="ER57" i="55"/>
  <c r="DV77" i="55"/>
  <c r="FG67" i="55"/>
  <c r="CC64" i="55"/>
  <c r="BY56" i="55"/>
  <c r="CA50" i="55"/>
  <c r="BY50" i="55"/>
  <c r="CC65" i="55"/>
  <c r="CA61" i="55"/>
  <c r="CE57" i="55"/>
  <c r="CB45" i="55"/>
  <c r="DR46" i="55"/>
  <c r="DR44" i="55"/>
  <c r="DR48" i="55"/>
  <c r="DR43" i="55"/>
  <c r="DR47" i="55"/>
  <c r="DR45" i="55"/>
  <c r="BZ34" i="55"/>
  <c r="CA48" i="55"/>
  <c r="CE36" i="55"/>
  <c r="CF40" i="55"/>
  <c r="CA25" i="55"/>
  <c r="FG25" i="55"/>
  <c r="BX22" i="55"/>
  <c r="CB46" i="55"/>
  <c r="FG42" i="55"/>
  <c r="BY36" i="55"/>
  <c r="FG27" i="55"/>
  <c r="DR23" i="55"/>
  <c r="DR24" i="55"/>
  <c r="ER28" i="55"/>
  <c r="DT26" i="55"/>
  <c r="DT27" i="55"/>
  <c r="DT25" i="55"/>
  <c r="DT28" i="55"/>
  <c r="BX36" i="55"/>
  <c r="BX33" i="55"/>
  <c r="DW29" i="55"/>
  <c r="DW37" i="55"/>
  <c r="DW32" i="55"/>
  <c r="DW36" i="55"/>
  <c r="DW35" i="55"/>
  <c r="DW30" i="55"/>
  <c r="DW33" i="55"/>
  <c r="DW31" i="55"/>
  <c r="DW34" i="55"/>
  <c r="BY35" i="55"/>
  <c r="CC32" i="55"/>
  <c r="CC29" i="55"/>
  <c r="ER25" i="55"/>
  <c r="CF25" i="55"/>
  <c r="CC22" i="55"/>
  <c r="BX19" i="55"/>
  <c r="CA13" i="55"/>
  <c r="CA11" i="55"/>
  <c r="DQ21" i="55"/>
  <c r="DQ20" i="55"/>
  <c r="DQ18" i="55"/>
  <c r="DQ19" i="55"/>
  <c r="DQ22" i="55"/>
  <c r="CE11" i="55"/>
  <c r="DV10" i="55"/>
  <c r="DV9" i="55"/>
  <c r="CC16" i="55"/>
  <c r="DX9" i="55"/>
  <c r="DX10" i="55"/>
  <c r="DW8" i="55"/>
  <c r="DQ90" i="55"/>
  <c r="DQ89" i="55"/>
  <c r="DQ88" i="55"/>
  <c r="DQ91" i="55"/>
  <c r="DR83" i="55"/>
  <c r="DR85" i="55"/>
  <c r="DR82" i="55"/>
  <c r="DR84" i="55"/>
  <c r="CB75" i="55"/>
  <c r="FG83" i="55"/>
  <c r="DS88" i="55"/>
  <c r="DS90" i="55"/>
  <c r="DS91" i="55"/>
  <c r="DS89" i="55"/>
  <c r="CB84" i="55"/>
  <c r="BY81" i="55"/>
  <c r="BX78" i="55"/>
  <c r="BZ70" i="55"/>
  <c r="BZ75" i="55"/>
  <c r="CB69" i="55"/>
  <c r="CB54" i="55"/>
  <c r="CE73" i="55"/>
  <c r="FG69" i="55"/>
  <c r="CB66" i="55"/>
  <c r="DW63" i="55"/>
  <c r="DW65" i="55"/>
  <c r="DW62" i="55"/>
  <c r="DW64" i="55"/>
  <c r="DW66" i="55"/>
  <c r="DW61" i="55"/>
  <c r="CE65" i="55"/>
  <c r="CF59" i="55"/>
  <c r="BX54" i="55"/>
  <c r="FG76" i="55"/>
  <c r="ER73" i="55"/>
  <c r="FG70" i="55"/>
  <c r="CA67" i="55"/>
  <c r="DW49" i="55"/>
  <c r="DW53" i="55"/>
  <c r="DW54" i="55"/>
  <c r="DW50" i="55"/>
  <c r="DW52" i="55"/>
  <c r="DW51" i="55"/>
  <c r="CD46" i="55"/>
  <c r="DU64" i="55"/>
  <c r="DU66" i="55"/>
  <c r="DU63" i="55"/>
  <c r="DU62" i="55"/>
  <c r="DU61" i="55"/>
  <c r="DU65" i="55"/>
  <c r="FG57" i="55"/>
  <c r="BZ46" i="55"/>
  <c r="CA68" i="55"/>
  <c r="ER63" i="55"/>
  <c r="BZ60" i="55"/>
  <c r="CD56" i="55"/>
  <c r="BX52" i="55"/>
  <c r="CE46" i="55"/>
  <c r="FG49" i="55"/>
  <c r="ER32" i="55"/>
  <c r="CC20" i="55"/>
  <c r="ER22" i="55"/>
  <c r="CB16" i="55"/>
  <c r="FG11" i="55"/>
  <c r="CE60" i="55"/>
  <c r="CB57" i="55"/>
  <c r="ER50" i="55"/>
  <c r="CE70" i="55"/>
  <c r="DR72" i="55"/>
  <c r="DR68" i="55"/>
  <c r="DR69" i="55"/>
  <c r="DR70" i="55"/>
  <c r="DR67" i="55"/>
  <c r="DR71" i="55"/>
  <c r="DX62" i="55"/>
  <c r="DX63" i="55"/>
  <c r="DX65" i="55"/>
  <c r="DX61" i="55"/>
  <c r="DX64" i="55"/>
  <c r="DX66" i="55"/>
  <c r="DV58" i="55"/>
  <c r="DV57" i="55"/>
  <c r="DV59" i="55"/>
  <c r="DV55" i="55"/>
  <c r="DV56" i="55"/>
  <c r="DV60" i="55"/>
  <c r="CB48" i="55"/>
  <c r="ER39" i="55"/>
  <c r="ER36" i="55"/>
  <c r="BX43" i="55"/>
  <c r="BZ40" i="55"/>
  <c r="DV54" i="55"/>
  <c r="DV51" i="55"/>
  <c r="DV53" i="55"/>
  <c r="DV52" i="55"/>
  <c r="DV49" i="55"/>
  <c r="DV50" i="55"/>
  <c r="BY44" i="55"/>
  <c r="CA41" i="55"/>
  <c r="CA38" i="55"/>
  <c r="BZ33" i="55"/>
  <c r="CD48" i="55"/>
  <c r="BZ45" i="55"/>
  <c r="BX42" i="55"/>
  <c r="DS38" i="55"/>
  <c r="DS39" i="55"/>
  <c r="DS41" i="55"/>
  <c r="DS42" i="55"/>
  <c r="DS40" i="55"/>
  <c r="FG29" i="55"/>
  <c r="BX27" i="55"/>
  <c r="ER30" i="55"/>
  <c r="CB24" i="55"/>
  <c r="FG31" i="55"/>
  <c r="CD25" i="55"/>
  <c r="CB34" i="55"/>
  <c r="CE28" i="55"/>
  <c r="CD24" i="55"/>
  <c r="CF21" i="55"/>
  <c r="DP24" i="55"/>
  <c r="DP23" i="55"/>
  <c r="CE18" i="55"/>
  <c r="CD11" i="55"/>
  <c r="BY18" i="55"/>
  <c r="DQ10" i="55"/>
  <c r="DQ9" i="55"/>
  <c r="CF14" i="55"/>
  <c r="ER8" i="55"/>
  <c r="DX8" i="55"/>
  <c r="FG35" i="55"/>
  <c r="CD42" i="55"/>
  <c r="CC46" i="55"/>
  <c r="CE43" i="55"/>
  <c r="CF44" i="55"/>
  <c r="BZ41" i="55"/>
  <c r="CB29" i="55"/>
  <c r="CA26" i="55"/>
  <c r="BY30" i="55"/>
  <c r="CA27" i="55"/>
  <c r="CD37" i="55"/>
  <c r="CC34" i="55"/>
  <c r="BX28" i="55"/>
  <c r="CA24" i="55"/>
  <c r="DV24" i="55"/>
  <c r="DV23" i="55"/>
  <c r="FG8" i="55"/>
  <c r="BX20" i="55"/>
  <c r="DQ24" i="55"/>
  <c r="DQ23" i="55"/>
  <c r="CE13" i="55"/>
  <c r="CE19" i="55"/>
  <c r="CE14" i="55"/>
  <c r="CF10" i="55"/>
  <c r="CC17" i="55"/>
  <c r="CE12" i="55"/>
  <c r="ER19" i="55"/>
  <c r="CB13" i="55"/>
  <c r="DQ8" i="55"/>
  <c r="CA8" i="55"/>
  <c r="CC11" i="55"/>
  <c r="DU48" i="55"/>
  <c r="DU47" i="55"/>
  <c r="DU45" i="55"/>
  <c r="DU43" i="55"/>
  <c r="DU46" i="55"/>
  <c r="DU44" i="55"/>
  <c r="FG32" i="55"/>
  <c r="ER44" i="55"/>
  <c r="DX38" i="55"/>
  <c r="DX39" i="55"/>
  <c r="DX41" i="55"/>
  <c r="DX42" i="55"/>
  <c r="DX40" i="55"/>
  <c r="CA35" i="55"/>
  <c r="CB49" i="55"/>
  <c r="BX46" i="55"/>
  <c r="CE25" i="55"/>
  <c r="DS37" i="55"/>
  <c r="DS29" i="55"/>
  <c r="DS34" i="55"/>
  <c r="DS32" i="55"/>
  <c r="DS36" i="55"/>
  <c r="DS31" i="55"/>
  <c r="DS33" i="55"/>
  <c r="DS35" i="55"/>
  <c r="DS30" i="55"/>
  <c r="CC26" i="55"/>
  <c r="FG34" i="55"/>
  <c r="BY32" i="55"/>
  <c r="BY29" i="55"/>
  <c r="DW27" i="55"/>
  <c r="DW25" i="55"/>
  <c r="DW26" i="55"/>
  <c r="DW28" i="55"/>
  <c r="CB19" i="55"/>
  <c r="CB25" i="55"/>
  <c r="BY22" i="55"/>
  <c r="BZ18" i="55"/>
  <c r="CC24" i="55"/>
  <c r="CE21" i="55"/>
  <c r="CA12" i="55"/>
  <c r="ER15" i="55"/>
  <c r="ER18" i="55"/>
  <c r="CF18" i="55"/>
  <c r="BZ11" i="55"/>
  <c r="DR9" i="55"/>
  <c r="DR10" i="55"/>
  <c r="BY16" i="55"/>
  <c r="DT9" i="55"/>
  <c r="DT10" i="55"/>
  <c r="DS8" i="55"/>
  <c r="W219" i="55"/>
  <c r="X219" i="55" s="1"/>
  <c r="Y219" i="55" s="1"/>
  <c r="AH219" i="55" s="1"/>
  <c r="AE219" i="55"/>
  <c r="AO219" i="55"/>
  <c r="AA100" i="55"/>
  <c r="AT100" i="55" s="1"/>
  <c r="AS100" i="55"/>
  <c r="AP269" i="55"/>
  <c r="AD236" i="55"/>
  <c r="AD443" i="55"/>
  <c r="AC565" i="55"/>
  <c r="AB565" i="55"/>
  <c r="AK565" i="55" s="1"/>
  <c r="AK525" i="55"/>
  <c r="AK509" i="55"/>
  <c r="AK570" i="55"/>
  <c r="AC527" i="55"/>
  <c r="U527" i="55"/>
  <c r="AN334" i="55"/>
  <c r="V334" i="55"/>
  <c r="AK564" i="55"/>
  <c r="AK517" i="55"/>
  <c r="AK513" i="55"/>
  <c r="AK437" i="55"/>
  <c r="AC387" i="55"/>
  <c r="AE384" i="55"/>
  <c r="AB384" i="55"/>
  <c r="AK384" i="55" s="1"/>
  <c r="AH381" i="55"/>
  <c r="AC361" i="55"/>
  <c r="AK341" i="55"/>
  <c r="AK311" i="55"/>
  <c r="AD309" i="55"/>
  <c r="U279" i="55"/>
  <c r="U273" i="55"/>
  <c r="AC227" i="55"/>
  <c r="AK204" i="55"/>
  <c r="AK175" i="55"/>
  <c r="AC162" i="55"/>
  <c r="AC154" i="55"/>
  <c r="AK145" i="55"/>
  <c r="AN114" i="55"/>
  <c r="AK111" i="55"/>
  <c r="AK46" i="55"/>
  <c r="AK25" i="55"/>
  <c r="AK463" i="55"/>
  <c r="AM453" i="55"/>
  <c r="AK438" i="55"/>
  <c r="AI436" i="55"/>
  <c r="U395" i="55"/>
  <c r="AG381" i="55"/>
  <c r="AC380" i="55"/>
  <c r="AD376" i="55"/>
  <c r="AK319" i="55"/>
  <c r="U303" i="55"/>
  <c r="U277" i="55"/>
  <c r="U262" i="55"/>
  <c r="AE197" i="55"/>
  <c r="AC197" i="55"/>
  <c r="AK176" i="55"/>
  <c r="AK141" i="55"/>
  <c r="AO77" i="55"/>
  <c r="AK66" i="55"/>
  <c r="AK49" i="55"/>
  <c r="U35" i="55"/>
  <c r="AK8" i="55"/>
  <c r="AK439" i="55"/>
  <c r="AK368" i="55"/>
  <c r="AK327" i="55"/>
  <c r="AK171" i="55"/>
  <c r="AK142" i="55"/>
  <c r="AC595" i="55"/>
  <c r="AC558" i="55"/>
  <c r="AF387" i="55"/>
  <c r="AK372" i="55"/>
  <c r="AK337" i="55"/>
  <c r="AM308" i="55"/>
  <c r="AK206" i="55"/>
  <c r="AK144" i="55"/>
  <c r="AK109" i="55"/>
  <c r="V231" i="55"/>
  <c r="AD231" i="55"/>
  <c r="AC483" i="55"/>
  <c r="AS457" i="55"/>
  <c r="AO553" i="55"/>
  <c r="AQ100" i="55"/>
  <c r="AR100" i="55"/>
  <c r="AP100" i="55"/>
  <c r="AQ211" i="55"/>
  <c r="AG219" i="55"/>
  <c r="AQ269" i="55"/>
  <c r="AQ453" i="55"/>
  <c r="AP156" i="55"/>
  <c r="AO156" i="55"/>
  <c r="AO211" i="55"/>
  <c r="AP211" i="55"/>
  <c r="AF211" i="55"/>
  <c r="AO269" i="55"/>
  <c r="AP268" i="55"/>
  <c r="AP457" i="55"/>
  <c r="W441" i="55"/>
  <c r="AO441" i="55"/>
  <c r="AA98" i="55"/>
  <c r="AT98" i="55" s="1"/>
  <c r="AS98" i="55"/>
  <c r="W235" i="55"/>
  <c r="AP235" i="55" s="1"/>
  <c r="AE235" i="55"/>
  <c r="AO235" i="55"/>
  <c r="W215" i="55"/>
  <c r="AP215" i="55" s="1"/>
  <c r="AO215" i="55"/>
  <c r="V407" i="55"/>
  <c r="AD407" i="55"/>
  <c r="AE266" i="55"/>
  <c r="W266" i="55"/>
  <c r="AD82" i="55"/>
  <c r="V82" i="55"/>
  <c r="AO99" i="55"/>
  <c r="AQ99" i="55"/>
  <c r="AO131" i="55"/>
  <c r="AP223" i="55"/>
  <c r="AQ272" i="55"/>
  <c r="AF223" i="55"/>
  <c r="AP272" i="55"/>
  <c r="AE152" i="55"/>
  <c r="W152" i="55"/>
  <c r="AN217" i="55"/>
  <c r="V217" i="55"/>
  <c r="AQ98" i="55"/>
  <c r="AP452" i="55"/>
  <c r="AP234" i="55"/>
  <c r="AP131" i="55"/>
  <c r="AQ131" i="55"/>
  <c r="AE149" i="55"/>
  <c r="AE158" i="55"/>
  <c r="AO223" i="55"/>
  <c r="AD217" i="55"/>
  <c r="AE225" i="55"/>
  <c r="AO271" i="55"/>
  <c r="AQ234" i="55"/>
  <c r="AD235" i="55"/>
  <c r="AD356" i="55"/>
  <c r="X271" i="55"/>
  <c r="AS306" i="55"/>
  <c r="AD479" i="55"/>
  <c r="AO531" i="55"/>
  <c r="AS452" i="55"/>
  <c r="V80" i="55"/>
  <c r="AN80" i="55"/>
  <c r="AP79" i="55"/>
  <c r="AP81" i="55"/>
  <c r="AF86" i="55"/>
  <c r="AS92" i="55"/>
  <c r="W221" i="55"/>
  <c r="AP221" i="55" s="1"/>
  <c r="AG211" i="55"/>
  <c r="AQ275" i="55"/>
  <c r="AF219" i="55"/>
  <c r="AQ268" i="55"/>
  <c r="AE221" i="55"/>
  <c r="AE223" i="55"/>
  <c r="AG264" i="55"/>
  <c r="AE275" i="55"/>
  <c r="AQ452" i="55"/>
  <c r="AR452" i="55"/>
  <c r="AD476" i="55"/>
  <c r="AO480" i="55"/>
  <c r="AE480" i="55"/>
  <c r="AC19" i="55"/>
  <c r="AE78" i="55"/>
  <c r="AI78" i="55"/>
  <c r="AC78" i="55"/>
  <c r="AH78" i="55"/>
  <c r="AF78" i="55"/>
  <c r="AG78" i="55"/>
  <c r="AD78" i="55"/>
  <c r="AJ78" i="55"/>
  <c r="AM85" i="55"/>
  <c r="U85" i="55"/>
  <c r="AE81" i="55"/>
  <c r="AI81" i="55"/>
  <c r="AD81" i="55"/>
  <c r="AH81" i="55"/>
  <c r="AC81" i="55"/>
  <c r="AF81" i="55"/>
  <c r="AG81" i="55"/>
  <c r="AR86" i="55"/>
  <c r="Z86" i="55"/>
  <c r="W95" i="55"/>
  <c r="AE95" i="55"/>
  <c r="AE92" i="55"/>
  <c r="AI92" i="55"/>
  <c r="AG92" i="55"/>
  <c r="AD92" i="55"/>
  <c r="AH92" i="55"/>
  <c r="AF92" i="55"/>
  <c r="AJ92" i="55"/>
  <c r="AB92" i="55"/>
  <c r="AK92" i="55" s="1"/>
  <c r="AE101" i="55"/>
  <c r="W101" i="55"/>
  <c r="AO101" i="55"/>
  <c r="W93" i="55"/>
  <c r="AF93" i="55" s="1"/>
  <c r="AO93" i="55"/>
  <c r="W87" i="55"/>
  <c r="AF87" i="55" s="1"/>
  <c r="AO87" i="55"/>
  <c r="AD131" i="55"/>
  <c r="AH131" i="55"/>
  <c r="AE131" i="55"/>
  <c r="AB131" i="55"/>
  <c r="AK131" i="55" s="1"/>
  <c r="AF131" i="55"/>
  <c r="AG131" i="55"/>
  <c r="AO113" i="55"/>
  <c r="W113" i="55"/>
  <c r="W94" i="55"/>
  <c r="AE94" i="55"/>
  <c r="X133" i="55"/>
  <c r="AP133" i="55"/>
  <c r="AD156" i="55"/>
  <c r="AH156" i="55"/>
  <c r="AE156" i="55"/>
  <c r="AB156" i="55"/>
  <c r="AK156" i="55" s="1"/>
  <c r="AF156" i="55"/>
  <c r="AG156" i="55"/>
  <c r="V134" i="55"/>
  <c r="AN134" i="55"/>
  <c r="X149" i="55"/>
  <c r="AF149" i="55"/>
  <c r="V128" i="55"/>
  <c r="AD128" i="55"/>
  <c r="W150" i="55"/>
  <c r="AE150" i="55"/>
  <c r="Z153" i="55"/>
  <c r="AR153" i="55"/>
  <c r="X154" i="55"/>
  <c r="AP154" i="55"/>
  <c r="X158" i="55"/>
  <c r="AP158" i="55"/>
  <c r="AF158" i="55"/>
  <c r="AM212" i="55"/>
  <c r="U212" i="55"/>
  <c r="AO218" i="55"/>
  <c r="W218" i="55"/>
  <c r="AF218" i="55" s="1"/>
  <c r="X221" i="55"/>
  <c r="AO222" i="55"/>
  <c r="W222" i="55"/>
  <c r="AF222" i="55" s="1"/>
  <c r="W237" i="55"/>
  <c r="AO237" i="55"/>
  <c r="AO236" i="55"/>
  <c r="W236" i="55"/>
  <c r="AE236" i="55"/>
  <c r="AD268" i="55"/>
  <c r="AH268" i="55"/>
  <c r="AE268" i="55"/>
  <c r="AF268" i="55"/>
  <c r="AC268" i="55"/>
  <c r="AG268" i="55"/>
  <c r="AD272" i="55"/>
  <c r="AH272" i="55"/>
  <c r="AE272" i="55"/>
  <c r="AF272" i="55"/>
  <c r="AC272" i="55"/>
  <c r="AG272" i="55"/>
  <c r="AE226" i="55"/>
  <c r="W226" i="55"/>
  <c r="AE237" i="55"/>
  <c r="AB272" i="55"/>
  <c r="AK272" i="55" s="1"/>
  <c r="W232" i="55"/>
  <c r="AE232" i="55"/>
  <c r="AE261" i="55"/>
  <c r="W261" i="55"/>
  <c r="AA230" i="55"/>
  <c r="AT230" i="55" s="1"/>
  <c r="AS230" i="55"/>
  <c r="X265" i="55"/>
  <c r="AG265" i="55" s="1"/>
  <c r="AP265" i="55"/>
  <c r="X278" i="55"/>
  <c r="AF278" i="55"/>
  <c r="X359" i="55"/>
  <c r="AF359" i="55"/>
  <c r="AD398" i="55"/>
  <c r="AH398" i="55"/>
  <c r="AE398" i="55"/>
  <c r="AI398" i="55"/>
  <c r="AB398" i="55"/>
  <c r="AK398" i="55" s="1"/>
  <c r="AJ398" i="55"/>
  <c r="AC398" i="55"/>
  <c r="AF398" i="55"/>
  <c r="AG398" i="55"/>
  <c r="AD410" i="55"/>
  <c r="AH410" i="55"/>
  <c r="AE410" i="55"/>
  <c r="AI410" i="55"/>
  <c r="AB410" i="55"/>
  <c r="AK410" i="55" s="1"/>
  <c r="AJ410" i="55"/>
  <c r="AC410" i="55"/>
  <c r="AF410" i="55"/>
  <c r="AG410" i="55"/>
  <c r="W440" i="55"/>
  <c r="AE440" i="55"/>
  <c r="X446" i="55"/>
  <c r="AF446" i="55"/>
  <c r="AE481" i="55"/>
  <c r="AD481" i="55"/>
  <c r="AF481" i="55"/>
  <c r="AG529" i="55"/>
  <c r="AD529" i="55"/>
  <c r="AI529" i="55"/>
  <c r="AE529" i="55"/>
  <c r="AJ529" i="55"/>
  <c r="AF529" i="55"/>
  <c r="AB529" i="55"/>
  <c r="AK529" i="55" s="1"/>
  <c r="AH529" i="55"/>
  <c r="AE534" i="55"/>
  <c r="AD534" i="55"/>
  <c r="AF534" i="55"/>
  <c r="X358" i="55"/>
  <c r="AF358" i="55"/>
  <c r="AD434" i="55"/>
  <c r="AH434" i="55"/>
  <c r="AE434" i="55"/>
  <c r="AI434" i="55"/>
  <c r="AG434" i="55"/>
  <c r="AJ434" i="55"/>
  <c r="AC434" i="55"/>
  <c r="AF434" i="55"/>
  <c r="AD441" i="55"/>
  <c r="AE441" i="55"/>
  <c r="AC441" i="55"/>
  <c r="AF441" i="55"/>
  <c r="AB486" i="55"/>
  <c r="AK486" i="55" s="1"/>
  <c r="AD486" i="55"/>
  <c r="AO567" i="55"/>
  <c r="AE567" i="55"/>
  <c r="W567" i="55"/>
  <c r="X362" i="55"/>
  <c r="AF362" i="55"/>
  <c r="AD386" i="55"/>
  <c r="AH386" i="55"/>
  <c r="AE386" i="55"/>
  <c r="AI386" i="55"/>
  <c r="AC386" i="55"/>
  <c r="AF386" i="55"/>
  <c r="AG386" i="55"/>
  <c r="AJ386" i="55"/>
  <c r="AG435" i="55"/>
  <c r="AD435" i="55"/>
  <c r="AH435" i="55"/>
  <c r="AB435" i="55"/>
  <c r="AK435" i="55" s="1"/>
  <c r="AJ435" i="55"/>
  <c r="AE435" i="55"/>
  <c r="AF435" i="55"/>
  <c r="AI435" i="55"/>
  <c r="AO443" i="55"/>
  <c r="W443" i="55"/>
  <c r="AE443" i="55"/>
  <c r="AP532" i="55"/>
  <c r="X532" i="55"/>
  <c r="AG532" i="55" s="1"/>
  <c r="V566" i="55"/>
  <c r="AN566" i="55"/>
  <c r="AE536" i="55"/>
  <c r="W536" i="55"/>
  <c r="Y458" i="55"/>
  <c r="AQ458" i="55"/>
  <c r="W558" i="55"/>
  <c r="AO558" i="55"/>
  <c r="AP491" i="55"/>
  <c r="X491" i="55"/>
  <c r="AG491" i="55" s="1"/>
  <c r="X553" i="55"/>
  <c r="AP553" i="55"/>
  <c r="AP481" i="55"/>
  <c r="X481" i="55"/>
  <c r="AG481" i="55" s="1"/>
  <c r="V504" i="55"/>
  <c r="AD504" i="55"/>
  <c r="V507" i="55"/>
  <c r="AN507" i="55"/>
  <c r="X403" i="55"/>
  <c r="AF403" i="55"/>
  <c r="AD23" i="55"/>
  <c r="AH23" i="55"/>
  <c r="AE23" i="55"/>
  <c r="AI23" i="55"/>
  <c r="AC23" i="55"/>
  <c r="AG23" i="55"/>
  <c r="AJ23" i="55"/>
  <c r="AB23" i="55"/>
  <c r="AK23" i="55" s="1"/>
  <c r="AF23" i="55"/>
  <c r="AC52" i="55"/>
  <c r="AG52" i="55"/>
  <c r="AD52" i="55"/>
  <c r="AH52" i="55"/>
  <c r="AF52" i="55"/>
  <c r="AI52" i="55"/>
  <c r="AB52" i="55"/>
  <c r="AK52" i="55" s="1"/>
  <c r="AJ52" i="55"/>
  <c r="AE52" i="55"/>
  <c r="AO75" i="55"/>
  <c r="AE75" i="55"/>
  <c r="W75" i="55"/>
  <c r="W71" i="55"/>
  <c r="AE71" i="55"/>
  <c r="W83" i="55"/>
  <c r="AE83" i="55"/>
  <c r="AQ86" i="55"/>
  <c r="AE79" i="55"/>
  <c r="AI79" i="55"/>
  <c r="AC79" i="55"/>
  <c r="AG79" i="55"/>
  <c r="AD79" i="55"/>
  <c r="AH79" i="55"/>
  <c r="AF79" i="55"/>
  <c r="AJ79" i="55"/>
  <c r="AB79" i="55"/>
  <c r="AK79" i="55" s="1"/>
  <c r="AO86" i="55"/>
  <c r="AB81" i="55"/>
  <c r="AK81" i="55" s="1"/>
  <c r="AS88" i="55"/>
  <c r="AE88" i="55"/>
  <c r="AI88" i="55"/>
  <c r="AG88" i="55"/>
  <c r="AD88" i="55"/>
  <c r="AH88" i="55"/>
  <c r="AJ88" i="55"/>
  <c r="AB88" i="55"/>
  <c r="AK88" i="55" s="1"/>
  <c r="AF88" i="55"/>
  <c r="U91" i="55"/>
  <c r="AM91" i="55"/>
  <c r="W90" i="55"/>
  <c r="AE90" i="55"/>
  <c r="AD99" i="55"/>
  <c r="AH99" i="55"/>
  <c r="AE99" i="55"/>
  <c r="AI99" i="55"/>
  <c r="AG99" i="55"/>
  <c r="AC99" i="55"/>
  <c r="AF99" i="55"/>
  <c r="AE89" i="55"/>
  <c r="W89" i="55"/>
  <c r="AC85" i="55"/>
  <c r="AC92" i="55"/>
  <c r="AG98" i="55"/>
  <c r="AD98" i="55"/>
  <c r="AH98" i="55"/>
  <c r="AB98" i="55"/>
  <c r="AK98" i="55" s="1"/>
  <c r="AE98" i="55"/>
  <c r="AF98" i="55"/>
  <c r="AI98" i="55"/>
  <c r="W96" i="55"/>
  <c r="AE96" i="55"/>
  <c r="AE113" i="55"/>
  <c r="AD134" i="55"/>
  <c r="W112" i="55"/>
  <c r="AE112" i="55"/>
  <c r="AD114" i="55"/>
  <c r="AH114" i="55"/>
  <c r="AE114" i="55"/>
  <c r="AI114" i="55"/>
  <c r="AG114" i="55"/>
  <c r="AB114" i="55"/>
  <c r="AK114" i="55" s="1"/>
  <c r="AF114" i="55"/>
  <c r="AJ114" i="55"/>
  <c r="AE153" i="55"/>
  <c r="AI153" i="55"/>
  <c r="AD153" i="55"/>
  <c r="AF153" i="55"/>
  <c r="AB153" i="55"/>
  <c r="AK153" i="55" s="1"/>
  <c r="AG153" i="55"/>
  <c r="AH153" i="55"/>
  <c r="W129" i="55"/>
  <c r="AE129" i="55"/>
  <c r="Z131" i="55"/>
  <c r="AR131" i="55"/>
  <c r="AC153" i="55"/>
  <c r="U155" i="55"/>
  <c r="AM155" i="55"/>
  <c r="U159" i="55"/>
  <c r="AM159" i="55"/>
  <c r="W157" i="55"/>
  <c r="AE157" i="55"/>
  <c r="AC155" i="55"/>
  <c r="AP213" i="55"/>
  <c r="X213" i="55"/>
  <c r="AM224" i="55"/>
  <c r="U224" i="55"/>
  <c r="Z156" i="55"/>
  <c r="AI156" i="55" s="1"/>
  <c r="AR156" i="55"/>
  <c r="AF199" i="55"/>
  <c r="AJ199" i="55"/>
  <c r="AC199" i="55"/>
  <c r="AG199" i="55"/>
  <c r="AD199" i="55"/>
  <c r="AH199" i="55"/>
  <c r="AE199" i="55"/>
  <c r="AI199" i="55"/>
  <c r="AE211" i="55"/>
  <c r="AF213" i="55"/>
  <c r="AC212" i="55"/>
  <c r="AD276" i="55"/>
  <c r="AH276" i="55"/>
  <c r="AE276" i="55"/>
  <c r="AF276" i="55"/>
  <c r="AC276" i="55"/>
  <c r="AG276" i="55"/>
  <c r="AD280" i="55"/>
  <c r="AE280" i="55"/>
  <c r="AC280" i="55"/>
  <c r="AR223" i="55"/>
  <c r="Z223" i="55"/>
  <c r="AG269" i="55"/>
  <c r="AD269" i="55"/>
  <c r="AH269" i="55"/>
  <c r="AE269" i="55"/>
  <c r="AB269" i="55"/>
  <c r="AK269" i="55" s="1"/>
  <c r="AF269" i="55"/>
  <c r="U228" i="55"/>
  <c r="AM228" i="55"/>
  <c r="X229" i="55"/>
  <c r="AP229" i="55"/>
  <c r="AN274" i="55"/>
  <c r="V274" i="55"/>
  <c r="Z276" i="55"/>
  <c r="AI276" i="55" s="1"/>
  <c r="AR276" i="55"/>
  <c r="AG310" i="55"/>
  <c r="AD310" i="55"/>
  <c r="AH310" i="55"/>
  <c r="AI310" i="55"/>
  <c r="AB310" i="55"/>
  <c r="AK310" i="55" s="1"/>
  <c r="AJ310" i="55"/>
  <c r="AE310" i="55"/>
  <c r="AF310" i="55"/>
  <c r="X302" i="55"/>
  <c r="AF302" i="55"/>
  <c r="AG275" i="55"/>
  <c r="AE335" i="55"/>
  <c r="AC335" i="55"/>
  <c r="AD335" i="55"/>
  <c r="AF335" i="55"/>
  <c r="AD332" i="55"/>
  <c r="AH332" i="55"/>
  <c r="AE332" i="55"/>
  <c r="AI332" i="55"/>
  <c r="AC332" i="55"/>
  <c r="AF332" i="55"/>
  <c r="AG332" i="55"/>
  <c r="AB332" i="55"/>
  <c r="AK332" i="55" s="1"/>
  <c r="AJ332" i="55"/>
  <c r="X335" i="55"/>
  <c r="AG335" i="55" s="1"/>
  <c r="AP335" i="55"/>
  <c r="W396" i="55"/>
  <c r="AE396" i="55"/>
  <c r="W404" i="55"/>
  <c r="AE404" i="55"/>
  <c r="W408" i="55"/>
  <c r="AE408" i="55"/>
  <c r="AP449" i="55"/>
  <c r="AR457" i="55"/>
  <c r="AS483" i="55"/>
  <c r="AC555" i="55"/>
  <c r="AE548" i="55"/>
  <c r="AI548" i="55"/>
  <c r="AF548" i="55"/>
  <c r="AB548" i="55"/>
  <c r="AK548" i="55" s="1"/>
  <c r="AG548" i="55"/>
  <c r="AC548" i="55"/>
  <c r="AH548" i="55"/>
  <c r="AD548" i="55"/>
  <c r="AJ548" i="55"/>
  <c r="W448" i="55"/>
  <c r="AO448" i="55"/>
  <c r="AQ483" i="55"/>
  <c r="AA305" i="55"/>
  <c r="AT305" i="55" s="1"/>
  <c r="AS305" i="55"/>
  <c r="X363" i="55"/>
  <c r="AF363" i="55"/>
  <c r="AO403" i="55"/>
  <c r="AO412" i="55"/>
  <c r="W412" i="55"/>
  <c r="AP453" i="55"/>
  <c r="AE475" i="55"/>
  <c r="W475" i="55"/>
  <c r="AS449" i="55"/>
  <c r="AQ460" i="55"/>
  <c r="AR483" i="55"/>
  <c r="AC529" i="55"/>
  <c r="AE530" i="55"/>
  <c r="AB530" i="55"/>
  <c r="AK530" i="55" s="1"/>
  <c r="AD530" i="55"/>
  <c r="AO535" i="55"/>
  <c r="AD566" i="55"/>
  <c r="V411" i="55"/>
  <c r="AN411" i="55"/>
  <c r="X480" i="55"/>
  <c r="AP480" i="55"/>
  <c r="W530" i="55"/>
  <c r="AO530" i="55"/>
  <c r="W533" i="55"/>
  <c r="AE533" i="55"/>
  <c r="V568" i="55"/>
  <c r="AN568" i="55"/>
  <c r="W597" i="55"/>
  <c r="AE597" i="55"/>
  <c r="W489" i="55"/>
  <c r="AE489" i="55"/>
  <c r="W593" i="55"/>
  <c r="AE593" i="55"/>
  <c r="W400" i="55"/>
  <c r="AE400" i="55"/>
  <c r="V455" i="55"/>
  <c r="AD455" i="55"/>
  <c r="AE477" i="55"/>
  <c r="W477" i="55"/>
  <c r="X490" i="55"/>
  <c r="AP490" i="55"/>
  <c r="AS398" i="55"/>
  <c r="AA402" i="55"/>
  <c r="AT402" i="55" s="1"/>
  <c r="AS402" i="55"/>
  <c r="AF479" i="55"/>
  <c r="X479" i="55"/>
  <c r="AE531" i="55"/>
  <c r="AB534" i="55"/>
  <c r="AK534" i="55" s="1"/>
  <c r="V556" i="55"/>
  <c r="AN556" i="55"/>
  <c r="AS410" i="55"/>
  <c r="W450" i="55"/>
  <c r="AE450" i="55"/>
  <c r="V554" i="55"/>
  <c r="AD554" i="55"/>
  <c r="V22" i="55"/>
  <c r="AN22" i="55"/>
  <c r="AN20" i="55"/>
  <c r="V20" i="55"/>
  <c r="AD20" i="55"/>
  <c r="W21" i="55"/>
  <c r="AE21" i="55"/>
  <c r="AD35" i="55"/>
  <c r="AC35" i="55"/>
  <c r="AD53" i="55"/>
  <c r="AH53" i="55"/>
  <c r="AE53" i="55"/>
  <c r="AI53" i="55"/>
  <c r="AC53" i="55"/>
  <c r="AF53" i="55"/>
  <c r="AG53" i="55"/>
  <c r="AB53" i="55"/>
  <c r="AK53" i="55" s="1"/>
  <c r="AJ53" i="55"/>
  <c r="W72" i="55"/>
  <c r="AE72" i="55"/>
  <c r="AB78" i="55"/>
  <c r="AK78" i="55" s="1"/>
  <c r="AD93" i="55"/>
  <c r="AE93" i="55"/>
  <c r="AC93" i="55"/>
  <c r="AD84" i="55"/>
  <c r="AN84" i="55"/>
  <c r="V84" i="55"/>
  <c r="AG86" i="55"/>
  <c r="AE100" i="55"/>
  <c r="AI100" i="55"/>
  <c r="AB100" i="55"/>
  <c r="AK100" i="55" s="1"/>
  <c r="AG100" i="55"/>
  <c r="AH100" i="55"/>
  <c r="AD100" i="55"/>
  <c r="AJ100" i="55"/>
  <c r="AF100" i="55"/>
  <c r="AA99" i="55"/>
  <c r="AT99" i="55" s="1"/>
  <c r="AS99" i="55"/>
  <c r="AC100" i="55"/>
  <c r="AB133" i="55"/>
  <c r="AK133" i="55" s="1"/>
  <c r="AF133" i="55"/>
  <c r="AG133" i="55"/>
  <c r="AD133" i="55"/>
  <c r="AE133" i="55"/>
  <c r="V132" i="55"/>
  <c r="AD132" i="55"/>
  <c r="X161" i="55"/>
  <c r="AP161" i="55"/>
  <c r="X162" i="55"/>
  <c r="AP162" i="55"/>
  <c r="AF154" i="55"/>
  <c r="AC156" i="55"/>
  <c r="AF161" i="55"/>
  <c r="AP225" i="55"/>
  <c r="X225" i="55"/>
  <c r="AC222" i="55"/>
  <c r="AD222" i="55"/>
  <c r="AE222" i="55"/>
  <c r="AR211" i="55"/>
  <c r="Z211" i="55"/>
  <c r="AB222" i="55"/>
  <c r="AK222" i="55" s="1"/>
  <c r="AE215" i="55"/>
  <c r="AD230" i="55"/>
  <c r="AH230" i="55"/>
  <c r="AE230" i="55"/>
  <c r="AI230" i="55"/>
  <c r="AG230" i="55"/>
  <c r="AC230" i="55"/>
  <c r="AF230" i="55"/>
  <c r="AF221" i="55"/>
  <c r="X227" i="55"/>
  <c r="AF227" i="55"/>
  <c r="AE265" i="55"/>
  <c r="AC265" i="55"/>
  <c r="AD265" i="55"/>
  <c r="AF265" i="55"/>
  <c r="AF267" i="55"/>
  <c r="X267" i="55"/>
  <c r="AB276" i="55"/>
  <c r="AK276" i="55" s="1"/>
  <c r="W214" i="55"/>
  <c r="AE214" i="55"/>
  <c r="AC224" i="55"/>
  <c r="AI264" i="55"/>
  <c r="AA264" i="55"/>
  <c r="AS264" i="55"/>
  <c r="Z269" i="55"/>
  <c r="AR269" i="55"/>
  <c r="W233" i="55"/>
  <c r="AE233" i="55"/>
  <c r="AB265" i="55"/>
  <c r="AK265" i="55" s="1"/>
  <c r="Z268" i="55"/>
  <c r="AR268" i="55"/>
  <c r="AN270" i="55"/>
  <c r="V270" i="55"/>
  <c r="Z272" i="55"/>
  <c r="AR272" i="55"/>
  <c r="W304" i="55"/>
  <c r="AE304" i="55"/>
  <c r="AD305" i="55"/>
  <c r="AH305" i="55"/>
  <c r="AE305" i="55"/>
  <c r="AI305" i="55"/>
  <c r="AF305" i="55"/>
  <c r="AG305" i="55"/>
  <c r="AJ305" i="55"/>
  <c r="AC305" i="55"/>
  <c r="AG351" i="55"/>
  <c r="AD351" i="55"/>
  <c r="AH351" i="55"/>
  <c r="AE351" i="55"/>
  <c r="AI351" i="55"/>
  <c r="AB351" i="55"/>
  <c r="AK351" i="55" s="1"/>
  <c r="AF351" i="55"/>
  <c r="AJ351" i="55"/>
  <c r="Y309" i="55"/>
  <c r="AG309" i="55"/>
  <c r="W331" i="55"/>
  <c r="AE331" i="55"/>
  <c r="AE491" i="55"/>
  <c r="AD491" i="55"/>
  <c r="AF491" i="55"/>
  <c r="AE532" i="55"/>
  <c r="AD532" i="55"/>
  <c r="AF532" i="55"/>
  <c r="AF553" i="55"/>
  <c r="AN364" i="55"/>
  <c r="V364" i="55"/>
  <c r="AD457" i="55"/>
  <c r="AH457" i="55"/>
  <c r="AB457" i="55"/>
  <c r="AK457" i="55" s="1"/>
  <c r="AG457" i="55"/>
  <c r="AC457" i="55"/>
  <c r="AI457" i="55"/>
  <c r="AE457" i="55"/>
  <c r="AJ457" i="55"/>
  <c r="AF457" i="55"/>
  <c r="AE483" i="55"/>
  <c r="AI483" i="55"/>
  <c r="AH483" i="55"/>
  <c r="AD483" i="55"/>
  <c r="AJ483" i="55"/>
  <c r="AF483" i="55"/>
  <c r="AG483" i="55"/>
  <c r="W330" i="55"/>
  <c r="AE330" i="55"/>
  <c r="X357" i="55"/>
  <c r="AF357" i="55"/>
  <c r="W401" i="55"/>
  <c r="AO401" i="55"/>
  <c r="AP403" i="55"/>
  <c r="AC435" i="55"/>
  <c r="AR449" i="55"/>
  <c r="AN459" i="55"/>
  <c r="AD459" i="55"/>
  <c r="V459" i="55"/>
  <c r="AB482" i="55"/>
  <c r="AK482" i="55" s="1"/>
  <c r="AD482" i="55"/>
  <c r="AO506" i="55"/>
  <c r="AE506" i="55"/>
  <c r="W506" i="55"/>
  <c r="AD528" i="55"/>
  <c r="V528" i="55"/>
  <c r="AN360" i="55"/>
  <c r="V360" i="55"/>
  <c r="W397" i="55"/>
  <c r="AO397" i="55"/>
  <c r="AD402" i="55"/>
  <c r="AH402" i="55"/>
  <c r="AE402" i="55"/>
  <c r="AI402" i="55"/>
  <c r="AC402" i="55"/>
  <c r="AF402" i="55"/>
  <c r="AG402" i="55"/>
  <c r="AE403" i="55"/>
  <c r="W409" i="55"/>
  <c r="AO409" i="55"/>
  <c r="AG442" i="55"/>
  <c r="AD442" i="55"/>
  <c r="AH442" i="55"/>
  <c r="AB442" i="55"/>
  <c r="AK442" i="55" s="1"/>
  <c r="AJ442" i="55"/>
  <c r="AE442" i="55"/>
  <c r="AF442" i="55"/>
  <c r="AI442" i="55"/>
  <c r="W444" i="55"/>
  <c r="AO444" i="55"/>
  <c r="AN451" i="55"/>
  <c r="V451" i="55"/>
  <c r="AD451" i="55"/>
  <c r="AE460" i="55"/>
  <c r="AF460" i="55"/>
  <c r="AB460" i="55"/>
  <c r="AK460" i="55" s="1"/>
  <c r="AG460" i="55"/>
  <c r="AH460" i="55"/>
  <c r="AD460" i="55"/>
  <c r="AC491" i="55"/>
  <c r="AC534" i="55"/>
  <c r="Z453" i="55"/>
  <c r="AI453" i="55" s="1"/>
  <c r="AR453" i="55"/>
  <c r="AG458" i="55"/>
  <c r="V486" i="55"/>
  <c r="AE486" i="55" s="1"/>
  <c r="AN486" i="55"/>
  <c r="V505" i="55"/>
  <c r="AN505" i="55"/>
  <c r="AB532" i="55"/>
  <c r="AK532" i="55" s="1"/>
  <c r="W591" i="55"/>
  <c r="AE591" i="55"/>
  <c r="W589" i="55"/>
  <c r="AE589" i="55"/>
  <c r="AE535" i="55"/>
  <c r="AF456" i="55"/>
  <c r="X456" i="55"/>
  <c r="W478" i="55"/>
  <c r="AE478" i="55"/>
  <c r="AE558" i="55"/>
  <c r="W565" i="55"/>
  <c r="AO565" i="55"/>
  <c r="W588" i="55"/>
  <c r="AE588" i="55"/>
  <c r="AE485" i="55"/>
  <c r="W485" i="55"/>
  <c r="AB481" i="55"/>
  <c r="AK481" i="55" s="1"/>
  <c r="V482" i="55"/>
  <c r="AN482" i="55"/>
  <c r="X531" i="55"/>
  <c r="AP531" i="55"/>
  <c r="AE487" i="55"/>
  <c r="W487" i="55"/>
  <c r="X399" i="55"/>
  <c r="AF399" i="55"/>
  <c r="AQ449" i="55"/>
  <c r="V19" i="55"/>
  <c r="AD19" i="55"/>
  <c r="W34" i="55"/>
  <c r="AE34" i="55"/>
  <c r="W76" i="55"/>
  <c r="AE76" i="55"/>
  <c r="AE74" i="55"/>
  <c r="AI74" i="55"/>
  <c r="AG74" i="55"/>
  <c r="AH74" i="55"/>
  <c r="AD74" i="55"/>
  <c r="AF74" i="55"/>
  <c r="AB74" i="55"/>
  <c r="AK74" i="55" s="1"/>
  <c r="AJ74" i="55"/>
  <c r="V73" i="55"/>
  <c r="AN73" i="55"/>
  <c r="AD77" i="55"/>
  <c r="AH77" i="55"/>
  <c r="AC77" i="55"/>
  <c r="AI77" i="55"/>
  <c r="AF77" i="55"/>
  <c r="AG77" i="55"/>
  <c r="AE77" i="55"/>
  <c r="AJ77" i="55"/>
  <c r="AP86" i="55"/>
  <c r="AD87" i="55"/>
  <c r="AE87" i="55"/>
  <c r="AC87" i="55"/>
  <c r="AA81" i="55"/>
  <c r="AT81" i="55" s="1"/>
  <c r="AS81" i="55"/>
  <c r="AE86" i="55"/>
  <c r="W97" i="55"/>
  <c r="AE97" i="55"/>
  <c r="AB87" i="55"/>
  <c r="AK87" i="55" s="1"/>
  <c r="AC131" i="55"/>
  <c r="AO133" i="55"/>
  <c r="V130" i="55"/>
  <c r="AN130" i="55"/>
  <c r="AC133" i="55"/>
  <c r="X151" i="55"/>
  <c r="AF151" i="55"/>
  <c r="W160" i="55"/>
  <c r="AE160" i="55"/>
  <c r="AM216" i="55"/>
  <c r="U216" i="55"/>
  <c r="AC218" i="55"/>
  <c r="AD218" i="55"/>
  <c r="AE218" i="55"/>
  <c r="W209" i="55"/>
  <c r="AE209" i="55"/>
  <c r="W210" i="55"/>
  <c r="AE210" i="55"/>
  <c r="AB268" i="55"/>
  <c r="AK268" i="55" s="1"/>
  <c r="X220" i="55"/>
  <c r="AF220" i="55"/>
  <c r="AD234" i="55"/>
  <c r="AH234" i="55"/>
  <c r="AE234" i="55"/>
  <c r="AC234" i="55"/>
  <c r="AF234" i="55"/>
  <c r="AG234" i="55"/>
  <c r="AB234" i="55"/>
  <c r="AK234" i="55" s="1"/>
  <c r="AR275" i="55"/>
  <c r="Z275" i="55"/>
  <c r="AO307" i="55"/>
  <c r="W307" i="55"/>
  <c r="AE307" i="55"/>
  <c r="AC269" i="55"/>
  <c r="AH275" i="55"/>
  <c r="AG306" i="55"/>
  <c r="AD306" i="55"/>
  <c r="AH306" i="55"/>
  <c r="AE306" i="55"/>
  <c r="AF306" i="55"/>
  <c r="AI306" i="55"/>
  <c r="AB306" i="55"/>
  <c r="AK306" i="55" s="1"/>
  <c r="AJ306" i="55"/>
  <c r="AE336" i="55"/>
  <c r="AI336" i="55"/>
  <c r="AB336" i="55"/>
  <c r="AK336" i="55" s="1"/>
  <c r="AF336" i="55"/>
  <c r="AJ336" i="55"/>
  <c r="AC336" i="55"/>
  <c r="AG336" i="55"/>
  <c r="AD336" i="55"/>
  <c r="AH336" i="55"/>
  <c r="AG349" i="55"/>
  <c r="AD349" i="55"/>
  <c r="AH349" i="55"/>
  <c r="AE349" i="55"/>
  <c r="AI349" i="55"/>
  <c r="AB349" i="55"/>
  <c r="AK349" i="55" s="1"/>
  <c r="AF349" i="55"/>
  <c r="AJ349" i="55"/>
  <c r="Z234" i="55"/>
  <c r="AR234" i="55"/>
  <c r="V263" i="55"/>
  <c r="AD263" i="55"/>
  <c r="AN263" i="55"/>
  <c r="AP276" i="55"/>
  <c r="W280" i="55"/>
  <c r="AF280" i="55" s="1"/>
  <c r="AO280" i="55"/>
  <c r="AC310" i="55"/>
  <c r="AB335" i="55"/>
  <c r="AK335" i="55" s="1"/>
  <c r="AE452" i="55"/>
  <c r="AI452" i="55"/>
  <c r="AD452" i="55"/>
  <c r="AJ452" i="55"/>
  <c r="AF452" i="55"/>
  <c r="AB452" i="55"/>
  <c r="AK452" i="55" s="1"/>
  <c r="AG452" i="55"/>
  <c r="AH452" i="55"/>
  <c r="AG557" i="55"/>
  <c r="AD557" i="55"/>
  <c r="AI557" i="55"/>
  <c r="AE557" i="55"/>
  <c r="AJ557" i="55"/>
  <c r="AF557" i="55"/>
  <c r="AB557" i="55"/>
  <c r="AK557" i="55" s="1"/>
  <c r="AH557" i="55"/>
  <c r="V333" i="55"/>
  <c r="AN333" i="55"/>
  <c r="AN361" i="55"/>
  <c r="V361" i="55"/>
  <c r="AD390" i="55"/>
  <c r="AH390" i="55"/>
  <c r="AE390" i="55"/>
  <c r="AI390" i="55"/>
  <c r="AG390" i="55"/>
  <c r="AB390" i="55"/>
  <c r="AK390" i="55" s="1"/>
  <c r="AJ390" i="55"/>
  <c r="AC390" i="55"/>
  <c r="AF390" i="55"/>
  <c r="AB434" i="55"/>
  <c r="AK434" i="55" s="1"/>
  <c r="AB441" i="55"/>
  <c r="AK441" i="55" s="1"/>
  <c r="AO447" i="55"/>
  <c r="W447" i="55"/>
  <c r="AE447" i="55"/>
  <c r="AD453" i="55"/>
  <c r="AH453" i="55"/>
  <c r="AB453" i="55"/>
  <c r="AK453" i="55" s="1"/>
  <c r="AG453" i="55"/>
  <c r="AC453" i="55"/>
  <c r="AE453" i="55"/>
  <c r="AF453" i="55"/>
  <c r="AC486" i="55"/>
  <c r="AE555" i="55"/>
  <c r="AI555" i="55"/>
  <c r="AH555" i="55"/>
  <c r="AD555" i="55"/>
  <c r="AJ555" i="55"/>
  <c r="AF555" i="55"/>
  <c r="AG555" i="55"/>
  <c r="AA308" i="55"/>
  <c r="AS308" i="55"/>
  <c r="Z460" i="55"/>
  <c r="AR460" i="55"/>
  <c r="AE552" i="55"/>
  <c r="W552" i="55"/>
  <c r="X356" i="55"/>
  <c r="AF356" i="55"/>
  <c r="AB386" i="55"/>
  <c r="AK386" i="55" s="1"/>
  <c r="W405" i="55"/>
  <c r="AO405" i="55"/>
  <c r="AD449" i="55"/>
  <c r="AH449" i="55"/>
  <c r="AE449" i="55"/>
  <c r="AJ449" i="55"/>
  <c r="AF449" i="55"/>
  <c r="AB449" i="55"/>
  <c r="AK449" i="55" s="1"/>
  <c r="AG449" i="55"/>
  <c r="AC449" i="55"/>
  <c r="AI449" i="55"/>
  <c r="AC481" i="55"/>
  <c r="X445" i="55"/>
  <c r="AF445" i="55"/>
  <c r="W488" i="55"/>
  <c r="AE488" i="55"/>
  <c r="V492" i="55"/>
  <c r="AD492" i="55"/>
  <c r="AN492" i="55"/>
  <c r="W595" i="55"/>
  <c r="AE595" i="55"/>
  <c r="W484" i="55"/>
  <c r="AE484" i="55"/>
  <c r="W454" i="55"/>
  <c r="AE454" i="55"/>
  <c r="X476" i="55"/>
  <c r="AF476" i="55"/>
  <c r="AQ457" i="55"/>
  <c r="X406" i="55"/>
  <c r="AF406" i="55"/>
  <c r="AP534" i="55"/>
  <c r="X534" i="55"/>
  <c r="AG534" i="55" s="1"/>
  <c r="AE553" i="55"/>
  <c r="W594" i="55"/>
  <c r="AE594" i="55"/>
  <c r="X535" i="55"/>
  <c r="AP535" i="55"/>
  <c r="AQ219" i="55" l="1"/>
  <c r="AP219" i="55"/>
  <c r="Z219" i="55"/>
  <c r="X235" i="55"/>
  <c r="AR219" i="55"/>
  <c r="V303" i="55"/>
  <c r="AD303" i="55"/>
  <c r="AD273" i="55"/>
  <c r="V273" i="55"/>
  <c r="AD527" i="55"/>
  <c r="V527" i="55"/>
  <c r="AD277" i="55"/>
  <c r="V277" i="55"/>
  <c r="V395" i="55"/>
  <c r="AD395" i="55"/>
  <c r="V279" i="55"/>
  <c r="AN279" i="55"/>
  <c r="AD279" i="55"/>
  <c r="V35" i="55"/>
  <c r="AN35" i="55"/>
  <c r="V262" i="55"/>
  <c r="AD262" i="55"/>
  <c r="AO334" i="55"/>
  <c r="W334" i="55"/>
  <c r="AE334" i="55"/>
  <c r="W231" i="55"/>
  <c r="AE231" i="55"/>
  <c r="X441" i="55"/>
  <c r="AP441" i="55"/>
  <c r="AF152" i="55"/>
  <c r="X152" i="55"/>
  <c r="Y271" i="55"/>
  <c r="AQ271" i="55"/>
  <c r="AG271" i="55"/>
  <c r="AE82" i="55"/>
  <c r="W82" i="55"/>
  <c r="W80" i="55"/>
  <c r="AE80" i="55"/>
  <c r="AO80" i="55"/>
  <c r="AO217" i="55"/>
  <c r="W217" i="55"/>
  <c r="AE217" i="55"/>
  <c r="W407" i="55"/>
  <c r="AE407" i="55"/>
  <c r="AJ402" i="55"/>
  <c r="AJ230" i="55"/>
  <c r="AJ98" i="55"/>
  <c r="AF235" i="55"/>
  <c r="X266" i="55"/>
  <c r="AF266" i="55"/>
  <c r="X215" i="55"/>
  <c r="AF215" i="55"/>
  <c r="W492" i="55"/>
  <c r="AE492" i="55"/>
  <c r="AO492" i="55"/>
  <c r="Y445" i="55"/>
  <c r="AG445" i="55"/>
  <c r="X405" i="55"/>
  <c r="AP405" i="55"/>
  <c r="AF405" i="55"/>
  <c r="X552" i="55"/>
  <c r="AF552" i="55"/>
  <c r="X447" i="55"/>
  <c r="AP447" i="55"/>
  <c r="AF447" i="55"/>
  <c r="W333" i="55"/>
  <c r="AO333" i="55"/>
  <c r="AE333" i="55"/>
  <c r="W263" i="55"/>
  <c r="AE263" i="55"/>
  <c r="AO263" i="55"/>
  <c r="Y151" i="55"/>
  <c r="AG151" i="55"/>
  <c r="X97" i="55"/>
  <c r="AF97" i="55"/>
  <c r="X76" i="55"/>
  <c r="AF76" i="55"/>
  <c r="W19" i="55"/>
  <c r="AE19" i="55"/>
  <c r="AF487" i="55"/>
  <c r="X487" i="55"/>
  <c r="X565" i="55"/>
  <c r="AP565" i="55"/>
  <c r="AF565" i="55"/>
  <c r="Y456" i="55"/>
  <c r="AG456" i="55"/>
  <c r="X589" i="55"/>
  <c r="AF589" i="55"/>
  <c r="X331" i="55"/>
  <c r="AF331" i="55"/>
  <c r="X304" i="55"/>
  <c r="AF304" i="55"/>
  <c r="Y227" i="55"/>
  <c r="AG227" i="55"/>
  <c r="W84" i="55"/>
  <c r="AO84" i="55"/>
  <c r="AE84" i="55"/>
  <c r="W20" i="55"/>
  <c r="AE20" i="55"/>
  <c r="AO20" i="55"/>
  <c r="AF477" i="55"/>
  <c r="X477" i="55"/>
  <c r="AA223" i="55"/>
  <c r="AI223" i="55"/>
  <c r="AS223" i="55"/>
  <c r="AA131" i="55"/>
  <c r="AS131" i="55"/>
  <c r="X112" i="55"/>
  <c r="AF112" i="55"/>
  <c r="X96" i="55"/>
  <c r="AF96" i="55"/>
  <c r="V91" i="55"/>
  <c r="AN91" i="55"/>
  <c r="AD91" i="55"/>
  <c r="W507" i="55"/>
  <c r="AO507" i="55"/>
  <c r="AE507" i="55"/>
  <c r="Z458" i="55"/>
  <c r="AR458" i="55"/>
  <c r="AH458" i="55"/>
  <c r="W566" i="55"/>
  <c r="AO566" i="55"/>
  <c r="AE566" i="55"/>
  <c r="X443" i="55"/>
  <c r="AP443" i="55"/>
  <c r="AF443" i="55"/>
  <c r="X567" i="55"/>
  <c r="AP567" i="55"/>
  <c r="AF567" i="55"/>
  <c r="AF261" i="55"/>
  <c r="X261" i="55"/>
  <c r="X226" i="55"/>
  <c r="AF226" i="55"/>
  <c r="AP113" i="55"/>
  <c r="X113" i="55"/>
  <c r="AF113" i="55"/>
  <c r="X594" i="55"/>
  <c r="AF594" i="55"/>
  <c r="AG476" i="55"/>
  <c r="Y476" i="55"/>
  <c r="AP595" i="55"/>
  <c r="X595" i="55"/>
  <c r="AF595" i="55"/>
  <c r="AT308" i="55"/>
  <c r="AJ308" i="55"/>
  <c r="AO361" i="55"/>
  <c r="W361" i="55"/>
  <c r="AE361" i="55"/>
  <c r="X307" i="55"/>
  <c r="AP307" i="55"/>
  <c r="AF307" i="55"/>
  <c r="W482" i="55"/>
  <c r="AO482" i="55"/>
  <c r="W505" i="55"/>
  <c r="AO505" i="55"/>
  <c r="AE505" i="55"/>
  <c r="X444" i="55"/>
  <c r="AP444" i="55"/>
  <c r="AF444" i="55"/>
  <c r="W528" i="55"/>
  <c r="AE528" i="55"/>
  <c r="X401" i="55"/>
  <c r="AP401" i="55"/>
  <c r="AF401" i="55"/>
  <c r="X330" i="55"/>
  <c r="AF330" i="55"/>
  <c r="X233" i="55"/>
  <c r="AF233" i="55"/>
  <c r="AT264" i="55"/>
  <c r="AJ264" i="55"/>
  <c r="Y267" i="55"/>
  <c r="AG267" i="55"/>
  <c r="AA211" i="55"/>
  <c r="AS211" i="55"/>
  <c r="AI211" i="55"/>
  <c r="Y162" i="55"/>
  <c r="AG162" i="55"/>
  <c r="AQ162" i="55"/>
  <c r="W554" i="55"/>
  <c r="AE554" i="55"/>
  <c r="Y479" i="55"/>
  <c r="AG479" i="55"/>
  <c r="X400" i="55"/>
  <c r="AF400" i="55"/>
  <c r="AF489" i="55"/>
  <c r="X489" i="55"/>
  <c r="W568" i="55"/>
  <c r="AO568" i="55"/>
  <c r="AE568" i="55"/>
  <c r="X530" i="55"/>
  <c r="AP530" i="55"/>
  <c r="W411" i="55"/>
  <c r="AE411" i="55"/>
  <c r="AO411" i="55"/>
  <c r="AF530" i="55"/>
  <c r="X412" i="55"/>
  <c r="AP412" i="55"/>
  <c r="AF412" i="55"/>
  <c r="Y363" i="55"/>
  <c r="AG363" i="55"/>
  <c r="X408" i="55"/>
  <c r="AF408" i="55"/>
  <c r="X396" i="55"/>
  <c r="AF396" i="55"/>
  <c r="Y302" i="55"/>
  <c r="AG302" i="55"/>
  <c r="AA276" i="55"/>
  <c r="AS276" i="55"/>
  <c r="Y229" i="55"/>
  <c r="AG229" i="55"/>
  <c r="AQ229" i="55"/>
  <c r="Y213" i="55"/>
  <c r="AQ213" i="55"/>
  <c r="AG213" i="55"/>
  <c r="X157" i="55"/>
  <c r="AF157" i="55"/>
  <c r="V155" i="55"/>
  <c r="AN155" i="55"/>
  <c r="AD155" i="55"/>
  <c r="X71" i="55"/>
  <c r="AF71" i="55"/>
  <c r="AF536" i="55"/>
  <c r="X536" i="55"/>
  <c r="Y532" i="55"/>
  <c r="AQ532" i="55"/>
  <c r="X440" i="55"/>
  <c r="AF440" i="55"/>
  <c r="Y359" i="55"/>
  <c r="AG359" i="55"/>
  <c r="Y235" i="55"/>
  <c r="AQ235" i="55"/>
  <c r="AG235" i="55"/>
  <c r="Y221" i="55"/>
  <c r="AG221" i="55"/>
  <c r="AQ221" i="55"/>
  <c r="Y154" i="55"/>
  <c r="AQ154" i="55"/>
  <c r="AG154" i="55"/>
  <c r="X150" i="55"/>
  <c r="AF150" i="55"/>
  <c r="Y149" i="55"/>
  <c r="AG149" i="55"/>
  <c r="Y133" i="55"/>
  <c r="AQ133" i="55"/>
  <c r="X93" i="55"/>
  <c r="AP93" i="55"/>
  <c r="AJ81" i="55"/>
  <c r="V85" i="55"/>
  <c r="AN85" i="55"/>
  <c r="AD85" i="55"/>
  <c r="X280" i="55"/>
  <c r="AP280" i="55"/>
  <c r="AA234" i="55"/>
  <c r="AS234" i="55"/>
  <c r="AI234" i="55"/>
  <c r="X210" i="55"/>
  <c r="AF210" i="55"/>
  <c r="X209" i="55"/>
  <c r="AF209" i="55"/>
  <c r="X160" i="55"/>
  <c r="AF160" i="55"/>
  <c r="AO73" i="55"/>
  <c r="W73" i="55"/>
  <c r="AE73" i="55"/>
  <c r="X34" i="55"/>
  <c r="AF34" i="55"/>
  <c r="X588" i="55"/>
  <c r="AF588" i="55"/>
  <c r="AP591" i="55"/>
  <c r="X591" i="55"/>
  <c r="AF591" i="55"/>
  <c r="AA453" i="55"/>
  <c r="AS453" i="55"/>
  <c r="W451" i="55"/>
  <c r="AO451" i="55"/>
  <c r="AE451" i="55"/>
  <c r="X397" i="55"/>
  <c r="AP397" i="55"/>
  <c r="AF397" i="55"/>
  <c r="W459" i="55"/>
  <c r="AO459" i="55"/>
  <c r="AE459" i="55"/>
  <c r="AO364" i="55"/>
  <c r="W364" i="55"/>
  <c r="AE364" i="55"/>
  <c r="Z309" i="55"/>
  <c r="AH309" i="55"/>
  <c r="AA272" i="55"/>
  <c r="AS272" i="55"/>
  <c r="AA268" i="55"/>
  <c r="AS268" i="55"/>
  <c r="X21" i="55"/>
  <c r="AP21" i="55"/>
  <c r="AF21" i="55"/>
  <c r="W556" i="55"/>
  <c r="AO556" i="55"/>
  <c r="AE556" i="55"/>
  <c r="X475" i="55"/>
  <c r="AF475" i="55"/>
  <c r="X448" i="55"/>
  <c r="AP448" i="55"/>
  <c r="AF448" i="55"/>
  <c r="AO274" i="55"/>
  <c r="W274" i="55"/>
  <c r="AE274" i="55"/>
  <c r="AA219" i="55"/>
  <c r="AI219" i="55"/>
  <c r="AS219" i="55"/>
  <c r="AA156" i="55"/>
  <c r="AS156" i="55"/>
  <c r="X129" i="55"/>
  <c r="AF129" i="55"/>
  <c r="AF90" i="55"/>
  <c r="X90" i="55"/>
  <c r="X75" i="55"/>
  <c r="AP75" i="55"/>
  <c r="AF75" i="55"/>
  <c r="Y403" i="55"/>
  <c r="AQ403" i="55"/>
  <c r="AG403" i="55"/>
  <c r="W504" i="55"/>
  <c r="AE504" i="55"/>
  <c r="Y553" i="55"/>
  <c r="AG553" i="55"/>
  <c r="AQ553" i="55"/>
  <c r="X558" i="55"/>
  <c r="AP558" i="55"/>
  <c r="AF558" i="55"/>
  <c r="AI272" i="55"/>
  <c r="AI268" i="55"/>
  <c r="X237" i="55"/>
  <c r="AP237" i="55"/>
  <c r="AF237" i="55"/>
  <c r="AI131" i="55"/>
  <c r="X95" i="55"/>
  <c r="AF95" i="55"/>
  <c r="Y406" i="55"/>
  <c r="AG406" i="55"/>
  <c r="X488" i="55"/>
  <c r="AF488" i="55"/>
  <c r="Y535" i="55"/>
  <c r="AG535" i="55"/>
  <c r="AQ535" i="55"/>
  <c r="Y534" i="55"/>
  <c r="AQ534" i="55"/>
  <c r="X454" i="55"/>
  <c r="AF454" i="55"/>
  <c r="X484" i="55"/>
  <c r="AF484" i="55"/>
  <c r="Y356" i="55"/>
  <c r="AG356" i="55"/>
  <c r="AA460" i="55"/>
  <c r="AS460" i="55"/>
  <c r="AA275" i="55"/>
  <c r="AS275" i="55"/>
  <c r="AI275" i="55"/>
  <c r="Y220" i="55"/>
  <c r="AG220" i="55"/>
  <c r="V216" i="55"/>
  <c r="AN216" i="55"/>
  <c r="AD216" i="55"/>
  <c r="AO130" i="55"/>
  <c r="W130" i="55"/>
  <c r="AE130" i="55"/>
  <c r="Y399" i="55"/>
  <c r="AG399" i="55"/>
  <c r="Y531" i="55"/>
  <c r="AQ531" i="55"/>
  <c r="AG531" i="55"/>
  <c r="AF485" i="55"/>
  <c r="X485" i="55"/>
  <c r="X478" i="55"/>
  <c r="AF478" i="55"/>
  <c r="W486" i="55"/>
  <c r="AO486" i="55"/>
  <c r="AI460" i="55"/>
  <c r="X409" i="55"/>
  <c r="AP409" i="55"/>
  <c r="AF409" i="55"/>
  <c r="AO360" i="55"/>
  <c r="W360" i="55"/>
  <c r="AE360" i="55"/>
  <c r="X506" i="55"/>
  <c r="AP506" i="55"/>
  <c r="AF506" i="55"/>
  <c r="AE482" i="55"/>
  <c r="Y357" i="55"/>
  <c r="AG357" i="55"/>
  <c r="AO270" i="55"/>
  <c r="W270" i="55"/>
  <c r="AE270" i="55"/>
  <c r="AA269" i="55"/>
  <c r="AS269" i="55"/>
  <c r="X214" i="55"/>
  <c r="AF214" i="55"/>
  <c r="Y225" i="55"/>
  <c r="AG225" i="55"/>
  <c r="AQ225" i="55"/>
  <c r="Y161" i="55"/>
  <c r="AG161" i="55"/>
  <c r="AQ161" i="55"/>
  <c r="W132" i="55"/>
  <c r="AE132" i="55"/>
  <c r="X72" i="55"/>
  <c r="AF72" i="55"/>
  <c r="W22" i="55"/>
  <c r="AE22" i="55"/>
  <c r="AO22" i="55"/>
  <c r="AF450" i="55"/>
  <c r="X450" i="55"/>
  <c r="Y490" i="55"/>
  <c r="AQ490" i="55"/>
  <c r="AG490" i="55"/>
  <c r="W455" i="55"/>
  <c r="AE455" i="55"/>
  <c r="X593" i="55"/>
  <c r="AP593" i="55"/>
  <c r="AF593" i="55"/>
  <c r="X597" i="55"/>
  <c r="AF597" i="55"/>
  <c r="X533" i="55"/>
  <c r="AF533" i="55"/>
  <c r="Y480" i="55"/>
  <c r="AG480" i="55"/>
  <c r="AQ480" i="55"/>
  <c r="X404" i="55"/>
  <c r="AF404" i="55"/>
  <c r="Y335" i="55"/>
  <c r="AQ335" i="55"/>
  <c r="V228" i="55"/>
  <c r="AN228" i="55"/>
  <c r="AD228" i="55"/>
  <c r="AI269" i="55"/>
  <c r="V224" i="55"/>
  <c r="AN224" i="55"/>
  <c r="AD224" i="55"/>
  <c r="V159" i="55"/>
  <c r="AN159" i="55"/>
  <c r="AD159" i="55"/>
  <c r="X89" i="55"/>
  <c r="AF89" i="55"/>
  <c r="AJ99" i="55"/>
  <c r="AF83" i="55"/>
  <c r="X83" i="55"/>
  <c r="Y481" i="55"/>
  <c r="AQ481" i="55"/>
  <c r="Y491" i="55"/>
  <c r="AQ491" i="55"/>
  <c r="Y362" i="55"/>
  <c r="AG362" i="55"/>
  <c r="Y358" i="55"/>
  <c r="AG358" i="55"/>
  <c r="Y446" i="55"/>
  <c r="AG446" i="55"/>
  <c r="Y278" i="55"/>
  <c r="AG278" i="55"/>
  <c r="Y265" i="55"/>
  <c r="AQ265" i="55"/>
  <c r="X232" i="55"/>
  <c r="AF232" i="55"/>
  <c r="X236" i="55"/>
  <c r="AP236" i="55"/>
  <c r="AF236" i="55"/>
  <c r="X222" i="55"/>
  <c r="AP222" i="55"/>
  <c r="X218" i="55"/>
  <c r="AP218" i="55"/>
  <c r="V212" i="55"/>
  <c r="AN212" i="55"/>
  <c r="AD212" i="55"/>
  <c r="Y158" i="55"/>
  <c r="AG158" i="55"/>
  <c r="AQ158" i="55"/>
  <c r="AA153" i="55"/>
  <c r="AS153" i="55"/>
  <c r="W128" i="55"/>
  <c r="AE128" i="55"/>
  <c r="AO134" i="55"/>
  <c r="W134" i="55"/>
  <c r="AE134" i="55"/>
  <c r="X94" i="55"/>
  <c r="AF94" i="55"/>
  <c r="X87" i="55"/>
  <c r="AP87" i="55"/>
  <c r="X101" i="55"/>
  <c r="AP101" i="55"/>
  <c r="AF101" i="55"/>
  <c r="AA86" i="55"/>
  <c r="AI86" i="55"/>
  <c r="AS86" i="55"/>
  <c r="W262" i="55" l="1"/>
  <c r="AE262" i="55"/>
  <c r="W277" i="55"/>
  <c r="AE277" i="55"/>
  <c r="W273" i="55"/>
  <c r="AE273" i="55"/>
  <c r="X334" i="55"/>
  <c r="AF334" i="55"/>
  <c r="AP334" i="55"/>
  <c r="W279" i="55"/>
  <c r="AO279" i="55"/>
  <c r="AE279" i="55"/>
  <c r="W35" i="55"/>
  <c r="AO35" i="55"/>
  <c r="AE35" i="55"/>
  <c r="AE527" i="55"/>
  <c r="W527" i="55"/>
  <c r="AE395" i="55"/>
  <c r="W395" i="55"/>
  <c r="W303" i="55"/>
  <c r="AE303" i="55"/>
  <c r="Y441" i="55"/>
  <c r="AQ441" i="55"/>
  <c r="AG441" i="55"/>
  <c r="X231" i="55"/>
  <c r="AF231" i="55"/>
  <c r="X217" i="55"/>
  <c r="AP217" i="55"/>
  <c r="AF217" i="55"/>
  <c r="Y215" i="55"/>
  <c r="AQ215" i="55"/>
  <c r="AG215" i="55"/>
  <c r="AF82" i="55"/>
  <c r="X82" i="55"/>
  <c r="AH271" i="55"/>
  <c r="AR271" i="55"/>
  <c r="Z271" i="55"/>
  <c r="X407" i="55"/>
  <c r="AF407" i="55"/>
  <c r="Y152" i="55"/>
  <c r="AG152" i="55"/>
  <c r="X80" i="55"/>
  <c r="AF80" i="55"/>
  <c r="AP80" i="55"/>
  <c r="Y266" i="55"/>
  <c r="AG266" i="55"/>
  <c r="AT153" i="55"/>
  <c r="AJ153" i="55"/>
  <c r="Y87" i="55"/>
  <c r="AQ87" i="55"/>
  <c r="AG87" i="55"/>
  <c r="AP134" i="55"/>
  <c r="X134" i="55"/>
  <c r="AF134" i="55"/>
  <c r="AR158" i="55"/>
  <c r="Z158" i="55"/>
  <c r="AH158" i="55"/>
  <c r="Z265" i="55"/>
  <c r="AR265" i="55"/>
  <c r="AH265" i="55"/>
  <c r="Z446" i="55"/>
  <c r="AH446" i="55"/>
  <c r="Z362" i="55"/>
  <c r="AH362" i="55"/>
  <c r="Z481" i="55"/>
  <c r="AR481" i="55"/>
  <c r="AH481" i="55"/>
  <c r="AO159" i="55"/>
  <c r="W159" i="55"/>
  <c r="AE159" i="55"/>
  <c r="Z480" i="55"/>
  <c r="AR480" i="55"/>
  <c r="AH480" i="55"/>
  <c r="Y597" i="55"/>
  <c r="AG597" i="55"/>
  <c r="Z490" i="55"/>
  <c r="AH490" i="55"/>
  <c r="AR490" i="55"/>
  <c r="AR161" i="55"/>
  <c r="Z161" i="55"/>
  <c r="AH161" i="55"/>
  <c r="Z357" i="55"/>
  <c r="AH357" i="55"/>
  <c r="Y506" i="55"/>
  <c r="AG506" i="55"/>
  <c r="AQ506" i="55"/>
  <c r="Y485" i="55"/>
  <c r="AG485" i="55"/>
  <c r="Z531" i="55"/>
  <c r="AH531" i="55"/>
  <c r="AR531" i="55"/>
  <c r="AP130" i="55"/>
  <c r="X130" i="55"/>
  <c r="AF130" i="55"/>
  <c r="W216" i="55"/>
  <c r="AE216" i="55"/>
  <c r="AO216" i="55"/>
  <c r="AT275" i="55"/>
  <c r="AJ275" i="55"/>
  <c r="AH535" i="55"/>
  <c r="AR535" i="55"/>
  <c r="Z535" i="55"/>
  <c r="Z406" i="55"/>
  <c r="AH406" i="55"/>
  <c r="AF504" i="55"/>
  <c r="X504" i="55"/>
  <c r="AT156" i="55"/>
  <c r="AJ156" i="55"/>
  <c r="X556" i="55"/>
  <c r="AP556" i="55"/>
  <c r="AF556" i="55"/>
  <c r="Y588" i="55"/>
  <c r="AG588" i="55"/>
  <c r="X73" i="55"/>
  <c r="AF73" i="55"/>
  <c r="AP73" i="55"/>
  <c r="Y280" i="55"/>
  <c r="AQ280" i="55"/>
  <c r="AG280" i="55"/>
  <c r="Y93" i="55"/>
  <c r="AQ93" i="55"/>
  <c r="AG93" i="55"/>
  <c r="Z149" i="55"/>
  <c r="AH149" i="55"/>
  <c r="Z359" i="55"/>
  <c r="AH359" i="55"/>
  <c r="Z532" i="55"/>
  <c r="AR532" i="55"/>
  <c r="AH532" i="55"/>
  <c r="Y71" i="55"/>
  <c r="AG71" i="55"/>
  <c r="Z213" i="55"/>
  <c r="AR213" i="55"/>
  <c r="AH213" i="55"/>
  <c r="Y412" i="55"/>
  <c r="AQ412" i="55"/>
  <c r="AG412" i="55"/>
  <c r="Y530" i="55"/>
  <c r="AQ530" i="55"/>
  <c r="AG530" i="55"/>
  <c r="Y489" i="55"/>
  <c r="AG489" i="55"/>
  <c r="Y401" i="55"/>
  <c r="AG401" i="55"/>
  <c r="AQ401" i="55"/>
  <c r="X505" i="55"/>
  <c r="AF505" i="55"/>
  <c r="AP505" i="55"/>
  <c r="Y595" i="55"/>
  <c r="AQ595" i="55"/>
  <c r="AG595" i="55"/>
  <c r="Y443" i="55"/>
  <c r="AQ443" i="55"/>
  <c r="AG443" i="55"/>
  <c r="AO91" i="55"/>
  <c r="W91" i="55"/>
  <c r="AE91" i="55"/>
  <c r="Y112" i="55"/>
  <c r="AG112" i="55"/>
  <c r="Y565" i="55"/>
  <c r="AG565" i="55"/>
  <c r="AQ565" i="55"/>
  <c r="X19" i="55"/>
  <c r="AF19" i="55"/>
  <c r="Y97" i="55"/>
  <c r="AG97" i="55"/>
  <c r="Z445" i="55"/>
  <c r="AH445" i="55"/>
  <c r="AG83" i="55"/>
  <c r="Y83" i="55"/>
  <c r="Y89" i="55"/>
  <c r="AG89" i="55"/>
  <c r="Y404" i="55"/>
  <c r="AG404" i="55"/>
  <c r="AF455" i="55"/>
  <c r="X455" i="55"/>
  <c r="Y450" i="55"/>
  <c r="AG450" i="55"/>
  <c r="X22" i="55"/>
  <c r="AF22" i="55"/>
  <c r="AP22" i="55"/>
  <c r="X132" i="55"/>
  <c r="AF132" i="55"/>
  <c r="Y214" i="55"/>
  <c r="AG214" i="55"/>
  <c r="X270" i="55"/>
  <c r="AP270" i="55"/>
  <c r="AF270" i="55"/>
  <c r="X486" i="55"/>
  <c r="AP486" i="55"/>
  <c r="AF486" i="55"/>
  <c r="Z220" i="55"/>
  <c r="AH220" i="55"/>
  <c r="AT460" i="55"/>
  <c r="AJ460" i="55"/>
  <c r="AG484" i="55"/>
  <c r="Y484" i="55"/>
  <c r="Z534" i="55"/>
  <c r="AR534" i="55"/>
  <c r="AH534" i="55"/>
  <c r="X274" i="55"/>
  <c r="AP274" i="55"/>
  <c r="AF274" i="55"/>
  <c r="Y475" i="55"/>
  <c r="AG475" i="55"/>
  <c r="AT268" i="55"/>
  <c r="AJ268" i="55"/>
  <c r="AA309" i="55"/>
  <c r="AJ309" i="55" s="1"/>
  <c r="AI309" i="55"/>
  <c r="X451" i="55"/>
  <c r="AP451" i="55"/>
  <c r="AF451" i="55"/>
  <c r="Y591" i="55"/>
  <c r="AQ591" i="55"/>
  <c r="AG591" i="55"/>
  <c r="Y209" i="55"/>
  <c r="AG209" i="55"/>
  <c r="W85" i="55"/>
  <c r="AE85" i="55"/>
  <c r="AO85" i="55"/>
  <c r="AR154" i="55"/>
  <c r="Z154" i="55"/>
  <c r="AH154" i="55"/>
  <c r="Y536" i="55"/>
  <c r="AG536" i="55"/>
  <c r="Y157" i="55"/>
  <c r="AG157" i="55"/>
  <c r="AT276" i="55"/>
  <c r="AJ276" i="55"/>
  <c r="Y396" i="55"/>
  <c r="AG396" i="55"/>
  <c r="Z363" i="55"/>
  <c r="AH363" i="55"/>
  <c r="AH479" i="55"/>
  <c r="Z479" i="55"/>
  <c r="AJ211" i="55"/>
  <c r="AT211" i="55"/>
  <c r="Y330" i="55"/>
  <c r="AG330" i="55"/>
  <c r="Y444" i="55"/>
  <c r="AG444" i="55"/>
  <c r="AQ444" i="55"/>
  <c r="Y307" i="55"/>
  <c r="AQ307" i="55"/>
  <c r="AG307" i="55"/>
  <c r="Y594" i="55"/>
  <c r="AG594" i="55"/>
  <c r="Y567" i="55"/>
  <c r="AG567" i="55"/>
  <c r="AQ567" i="55"/>
  <c r="X507" i="55"/>
  <c r="AP507" i="55"/>
  <c r="AF507" i="55"/>
  <c r="AT223" i="55"/>
  <c r="AJ223" i="55"/>
  <c r="Y331" i="55"/>
  <c r="AG331" i="55"/>
  <c r="Z456" i="55"/>
  <c r="AH456" i="55"/>
  <c r="Y487" i="55"/>
  <c r="AG487" i="55"/>
  <c r="Y447" i="55"/>
  <c r="AQ447" i="55"/>
  <c r="AG447" i="55"/>
  <c r="AG101" i="55"/>
  <c r="AQ101" i="55"/>
  <c r="Y101" i="55"/>
  <c r="Y94" i="55"/>
  <c r="AG94" i="55"/>
  <c r="Y236" i="55"/>
  <c r="AQ236" i="55"/>
  <c r="AG236" i="55"/>
  <c r="Y232" i="55"/>
  <c r="AG232" i="55"/>
  <c r="Z278" i="55"/>
  <c r="AH278" i="55"/>
  <c r="Z358" i="55"/>
  <c r="AH358" i="55"/>
  <c r="Z491" i="55"/>
  <c r="AR491" i="55"/>
  <c r="AH491" i="55"/>
  <c r="Y533" i="55"/>
  <c r="AG533" i="55"/>
  <c r="X360" i="55"/>
  <c r="AP360" i="55"/>
  <c r="AF360" i="55"/>
  <c r="Y409" i="55"/>
  <c r="AG409" i="55"/>
  <c r="AQ409" i="55"/>
  <c r="Z399" i="55"/>
  <c r="AH399" i="55"/>
  <c r="Y488" i="55"/>
  <c r="AG488" i="55"/>
  <c r="Y95" i="55"/>
  <c r="AG95" i="55"/>
  <c r="Y237" i="55"/>
  <c r="AG237" i="55"/>
  <c r="AQ237" i="55"/>
  <c r="AH553" i="55"/>
  <c r="AR553" i="55"/>
  <c r="Z553" i="55"/>
  <c r="Y75" i="55"/>
  <c r="AG75" i="55"/>
  <c r="AQ75" i="55"/>
  <c r="Y129" i="55"/>
  <c r="AG129" i="55"/>
  <c r="Y397" i="55"/>
  <c r="AG397" i="55"/>
  <c r="AQ397" i="55"/>
  <c r="Y34" i="55"/>
  <c r="AG34" i="55"/>
  <c r="AT234" i="55"/>
  <c r="AJ234" i="55"/>
  <c r="AR133" i="55"/>
  <c r="Z133" i="55"/>
  <c r="AH133" i="55"/>
  <c r="Y150" i="55"/>
  <c r="AG150" i="55"/>
  <c r="Z235" i="55"/>
  <c r="AR235" i="55"/>
  <c r="AH235" i="55"/>
  <c r="Y440" i="55"/>
  <c r="AG440" i="55"/>
  <c r="X411" i="55"/>
  <c r="AF411" i="55"/>
  <c r="AP411" i="55"/>
  <c r="AR162" i="55"/>
  <c r="Z162" i="55"/>
  <c r="AH162" i="55"/>
  <c r="X528" i="55"/>
  <c r="AF528" i="55"/>
  <c r="X482" i="55"/>
  <c r="AP482" i="55"/>
  <c r="AF482" i="55"/>
  <c r="AH476" i="55"/>
  <c r="Z476" i="55"/>
  <c r="Y226" i="55"/>
  <c r="AG226" i="55"/>
  <c r="AA458" i="55"/>
  <c r="AI458" i="55"/>
  <c r="AS458" i="55"/>
  <c r="Y96" i="55"/>
  <c r="AG96" i="55"/>
  <c r="AT131" i="55"/>
  <c r="AJ131" i="55"/>
  <c r="Y477" i="55"/>
  <c r="AG477" i="55"/>
  <c r="X20" i="55"/>
  <c r="AF20" i="55"/>
  <c r="AP20" i="55"/>
  <c r="Y76" i="55"/>
  <c r="AG76" i="55"/>
  <c r="Z151" i="55"/>
  <c r="AH151" i="55"/>
  <c r="X333" i="55"/>
  <c r="AF333" i="55"/>
  <c r="AP333" i="55"/>
  <c r="Y405" i="55"/>
  <c r="AG405" i="55"/>
  <c r="AQ405" i="55"/>
  <c r="Y218" i="55"/>
  <c r="AQ218" i="55"/>
  <c r="AG218" i="55"/>
  <c r="AJ86" i="55"/>
  <c r="AT86" i="55"/>
  <c r="X128" i="55"/>
  <c r="AF128" i="55"/>
  <c r="W212" i="55"/>
  <c r="AE212" i="55"/>
  <c r="AO212" i="55"/>
  <c r="Y222" i="55"/>
  <c r="AQ222" i="55"/>
  <c r="AG222" i="55"/>
  <c r="W224" i="55"/>
  <c r="AE224" i="55"/>
  <c r="AO224" i="55"/>
  <c r="AO228" i="55"/>
  <c r="W228" i="55"/>
  <c r="AE228" i="55"/>
  <c r="Z335" i="55"/>
  <c r="AR335" i="55"/>
  <c r="AH335" i="55"/>
  <c r="Y593" i="55"/>
  <c r="AQ593" i="55"/>
  <c r="AG593" i="55"/>
  <c r="Y72" i="55"/>
  <c r="AG72" i="55"/>
  <c r="Z225" i="55"/>
  <c r="AR225" i="55"/>
  <c r="AH225" i="55"/>
  <c r="AT269" i="55"/>
  <c r="AJ269" i="55"/>
  <c r="Y478" i="55"/>
  <c r="AG478" i="55"/>
  <c r="Z356" i="55"/>
  <c r="AH356" i="55"/>
  <c r="AG454" i="55"/>
  <c r="Y454" i="55"/>
  <c r="AQ558" i="55"/>
  <c r="Y558" i="55"/>
  <c r="AG558" i="55"/>
  <c r="Z403" i="55"/>
  <c r="AR403" i="55"/>
  <c r="AH403" i="55"/>
  <c r="Y90" i="55"/>
  <c r="AG90" i="55"/>
  <c r="AT219" i="55"/>
  <c r="AJ219" i="55"/>
  <c r="Y448" i="55"/>
  <c r="AG448" i="55"/>
  <c r="AQ448" i="55"/>
  <c r="Y21" i="55"/>
  <c r="AQ21" i="55"/>
  <c r="AG21" i="55"/>
  <c r="AT272" i="55"/>
  <c r="AJ272" i="55"/>
  <c r="X364" i="55"/>
  <c r="AP364" i="55"/>
  <c r="AF364" i="55"/>
  <c r="X459" i="55"/>
  <c r="AP459" i="55"/>
  <c r="AF459" i="55"/>
  <c r="AT453" i="55"/>
  <c r="AJ453" i="55"/>
  <c r="Y160" i="55"/>
  <c r="AG160" i="55"/>
  <c r="Y210" i="55"/>
  <c r="AG210" i="55"/>
  <c r="Z221" i="55"/>
  <c r="AR221" i="55"/>
  <c r="AH221" i="55"/>
  <c r="AO155" i="55"/>
  <c r="W155" i="55"/>
  <c r="AE155" i="55"/>
  <c r="AR229" i="55"/>
  <c r="Z229" i="55"/>
  <c r="AH229" i="55"/>
  <c r="Z302" i="55"/>
  <c r="AH302" i="55"/>
  <c r="Y408" i="55"/>
  <c r="AG408" i="55"/>
  <c r="X568" i="55"/>
  <c r="AF568" i="55"/>
  <c r="AP568" i="55"/>
  <c r="Y400" i="55"/>
  <c r="AG400" i="55"/>
  <c r="AF554" i="55"/>
  <c r="X554" i="55"/>
  <c r="Z267" i="55"/>
  <c r="AH267" i="55"/>
  <c r="Y233" i="55"/>
  <c r="AG233" i="55"/>
  <c r="X361" i="55"/>
  <c r="AP361" i="55"/>
  <c r="AF361" i="55"/>
  <c r="Y113" i="55"/>
  <c r="AQ113" i="55"/>
  <c r="AG113" i="55"/>
  <c r="Y261" i="55"/>
  <c r="AG261" i="55"/>
  <c r="X566" i="55"/>
  <c r="AF566" i="55"/>
  <c r="AP566" i="55"/>
  <c r="X84" i="55"/>
  <c r="AP84" i="55"/>
  <c r="AF84" i="55"/>
  <c r="AH227" i="55"/>
  <c r="Z227" i="55"/>
  <c r="Y304" i="55"/>
  <c r="AG304" i="55"/>
  <c r="Y589" i="55"/>
  <c r="AG589" i="55"/>
  <c r="AP263" i="55"/>
  <c r="X263" i="55"/>
  <c r="AF263" i="55"/>
  <c r="Y552" i="55"/>
  <c r="AG552" i="55"/>
  <c r="X492" i="55"/>
  <c r="AP492" i="55"/>
  <c r="AF492" i="55"/>
  <c r="X303" i="55" l="1"/>
  <c r="AF303" i="55"/>
  <c r="X395" i="55"/>
  <c r="AF395" i="55"/>
  <c r="Y334" i="55"/>
  <c r="AG334" i="55"/>
  <c r="AQ334" i="55"/>
  <c r="X277" i="55"/>
  <c r="AF277" i="55"/>
  <c r="X279" i="55"/>
  <c r="AP279" i="55"/>
  <c r="AF279" i="55"/>
  <c r="AF527" i="55"/>
  <c r="X527" i="55"/>
  <c r="X35" i="55"/>
  <c r="AP35" i="55"/>
  <c r="AF35" i="55"/>
  <c r="X273" i="55"/>
  <c r="AF273" i="55"/>
  <c r="AF262" i="55"/>
  <c r="X262" i="55"/>
  <c r="Y231" i="55"/>
  <c r="AG231" i="55"/>
  <c r="Z441" i="55"/>
  <c r="AR441" i="55"/>
  <c r="AH441" i="55"/>
  <c r="Y407" i="55"/>
  <c r="AG407" i="55"/>
  <c r="Y82" i="55"/>
  <c r="AG82" i="55"/>
  <c r="Z266" i="55"/>
  <c r="AH266" i="55"/>
  <c r="AA271" i="55"/>
  <c r="AS271" i="55"/>
  <c r="AI271" i="55"/>
  <c r="AH152" i="55"/>
  <c r="Z152" i="55"/>
  <c r="Y80" i="55"/>
  <c r="AQ80" i="55"/>
  <c r="AG80" i="55"/>
  <c r="AH215" i="55"/>
  <c r="Z215" i="55"/>
  <c r="AR215" i="55"/>
  <c r="AG217" i="55"/>
  <c r="Y217" i="55"/>
  <c r="AQ217" i="55"/>
  <c r="Z552" i="55"/>
  <c r="AH552" i="55"/>
  <c r="AA227" i="55"/>
  <c r="AJ227" i="55" s="1"/>
  <c r="AI227" i="55"/>
  <c r="Z589" i="55"/>
  <c r="AH589" i="55"/>
  <c r="Y566" i="55"/>
  <c r="AG566" i="55"/>
  <c r="AQ566" i="55"/>
  <c r="Z261" i="55"/>
  <c r="AH261" i="55"/>
  <c r="Z233" i="55"/>
  <c r="AH233" i="55"/>
  <c r="Z210" i="55"/>
  <c r="AH210" i="55"/>
  <c r="AA356" i="55"/>
  <c r="AJ356" i="55" s="1"/>
  <c r="AI356" i="55"/>
  <c r="Z593" i="55"/>
  <c r="AR593" i="55"/>
  <c r="AH593" i="55"/>
  <c r="AR222" i="55"/>
  <c r="Z222" i="55"/>
  <c r="AH222" i="55"/>
  <c r="Y333" i="55"/>
  <c r="AQ333" i="55"/>
  <c r="AG333" i="55"/>
  <c r="AH76" i="55"/>
  <c r="Z76" i="55"/>
  <c r="AT458" i="55"/>
  <c r="AJ458" i="55"/>
  <c r="AA235" i="55"/>
  <c r="AI235" i="55"/>
  <c r="AS235" i="55"/>
  <c r="AA133" i="55"/>
  <c r="AS133" i="55"/>
  <c r="AI133" i="55"/>
  <c r="Z129" i="55"/>
  <c r="AH129" i="55"/>
  <c r="AA553" i="55"/>
  <c r="AI553" i="55"/>
  <c r="AS553" i="55"/>
  <c r="AA358" i="55"/>
  <c r="AJ358" i="55" s="1"/>
  <c r="AI358" i="55"/>
  <c r="Z232" i="55"/>
  <c r="AH232" i="55"/>
  <c r="AQ507" i="55"/>
  <c r="AG507" i="55"/>
  <c r="Y507" i="55"/>
  <c r="AR307" i="55"/>
  <c r="Z307" i="55"/>
  <c r="AH307" i="55"/>
  <c r="AA479" i="55"/>
  <c r="AJ479" i="55" s="1"/>
  <c r="AI479" i="55"/>
  <c r="Z591" i="55"/>
  <c r="AH591" i="55"/>
  <c r="AR591" i="55"/>
  <c r="Y274" i="55"/>
  <c r="AQ274" i="55"/>
  <c r="AG274" i="55"/>
  <c r="AH484" i="55"/>
  <c r="Z484" i="55"/>
  <c r="Y486" i="55"/>
  <c r="AQ486" i="55"/>
  <c r="AG486" i="55"/>
  <c r="Z450" i="55"/>
  <c r="AH450" i="55"/>
  <c r="Z404" i="55"/>
  <c r="AH404" i="55"/>
  <c r="Z89" i="55"/>
  <c r="AH89" i="55"/>
  <c r="AA445" i="55"/>
  <c r="AJ445" i="55" s="1"/>
  <c r="AI445" i="55"/>
  <c r="Y19" i="55"/>
  <c r="AG19" i="55"/>
  <c r="AR401" i="55"/>
  <c r="Z401" i="55"/>
  <c r="AH401" i="55"/>
  <c r="AR412" i="55"/>
  <c r="Z412" i="55"/>
  <c r="AH412" i="55"/>
  <c r="AA532" i="55"/>
  <c r="AS532" i="55"/>
  <c r="AI532" i="55"/>
  <c r="Y73" i="55"/>
  <c r="AQ73" i="55"/>
  <c r="AG73" i="55"/>
  <c r="AR506" i="55"/>
  <c r="Z506" i="55"/>
  <c r="AH506" i="55"/>
  <c r="AS161" i="55"/>
  <c r="AA161" i="55"/>
  <c r="AI161" i="55"/>
  <c r="AI490" i="55"/>
  <c r="AA490" i="55"/>
  <c r="AS490" i="55"/>
  <c r="AG568" i="55"/>
  <c r="Y568" i="55"/>
  <c r="AQ568" i="55"/>
  <c r="AA302" i="55"/>
  <c r="AJ302" i="55" s="1"/>
  <c r="AI302" i="55"/>
  <c r="AA403" i="55"/>
  <c r="AI403" i="55"/>
  <c r="AS403" i="55"/>
  <c r="AH454" i="55"/>
  <c r="Z454" i="55"/>
  <c r="Z72" i="55"/>
  <c r="AH72" i="55"/>
  <c r="AP228" i="55"/>
  <c r="X228" i="55"/>
  <c r="AF228" i="55"/>
  <c r="AP224" i="55"/>
  <c r="X224" i="55"/>
  <c r="AF224" i="55"/>
  <c r="Y128" i="55"/>
  <c r="AG128" i="55"/>
  <c r="AR405" i="55"/>
  <c r="Z405" i="55"/>
  <c r="AH405" i="55"/>
  <c r="Z477" i="55"/>
  <c r="AH477" i="55"/>
  <c r="Z96" i="55"/>
  <c r="AH96" i="55"/>
  <c r="Y528" i="55"/>
  <c r="AG528" i="55"/>
  <c r="Z440" i="55"/>
  <c r="AH440" i="55"/>
  <c r="AR237" i="55"/>
  <c r="Z237" i="55"/>
  <c r="AH237" i="55"/>
  <c r="AH488" i="55"/>
  <c r="Z488" i="55"/>
  <c r="Y360" i="55"/>
  <c r="AQ360" i="55"/>
  <c r="AG360" i="55"/>
  <c r="Z94" i="55"/>
  <c r="AH94" i="55"/>
  <c r="AA456" i="55"/>
  <c r="AJ456" i="55" s="1"/>
  <c r="AI456" i="55"/>
  <c r="Z594" i="55"/>
  <c r="AH594" i="55"/>
  <c r="Z330" i="55"/>
  <c r="AH330" i="55"/>
  <c r="AA363" i="55"/>
  <c r="AJ363" i="55" s="1"/>
  <c r="AI363" i="55"/>
  <c r="Z536" i="55"/>
  <c r="AH536" i="55"/>
  <c r="Z209" i="55"/>
  <c r="AH209" i="55"/>
  <c r="Z475" i="55"/>
  <c r="AH475" i="55"/>
  <c r="AA220" i="55"/>
  <c r="AJ220" i="55" s="1"/>
  <c r="AI220" i="55"/>
  <c r="Z214" i="55"/>
  <c r="AH214" i="55"/>
  <c r="AG455" i="55"/>
  <c r="Y455" i="55"/>
  <c r="Z83" i="55"/>
  <c r="AH83" i="55"/>
  <c r="Z112" i="55"/>
  <c r="AH112" i="55"/>
  <c r="Y505" i="55"/>
  <c r="AG505" i="55"/>
  <c r="AQ505" i="55"/>
  <c r="Z530" i="55"/>
  <c r="AR530" i="55"/>
  <c r="AH530" i="55"/>
  <c r="Z71" i="55"/>
  <c r="AH71" i="55"/>
  <c r="Z280" i="55"/>
  <c r="AR280" i="55"/>
  <c r="AH280" i="55"/>
  <c r="AG556" i="55"/>
  <c r="Y556" i="55"/>
  <c r="AQ556" i="55"/>
  <c r="AA406" i="55"/>
  <c r="AJ406" i="55" s="1"/>
  <c r="AI406" i="55"/>
  <c r="AP216" i="55"/>
  <c r="X216" i="55"/>
  <c r="AF216" i="55"/>
  <c r="Z485" i="55"/>
  <c r="AH485" i="55"/>
  <c r="AI480" i="55"/>
  <c r="AA480" i="55"/>
  <c r="AS480" i="55"/>
  <c r="AA362" i="55"/>
  <c r="AJ362" i="55" s="1"/>
  <c r="AI362" i="55"/>
  <c r="Y134" i="55"/>
  <c r="AQ134" i="55"/>
  <c r="AG134" i="55"/>
  <c r="AR87" i="55"/>
  <c r="Z87" i="55"/>
  <c r="AH87" i="55"/>
  <c r="Y492" i="55"/>
  <c r="AG492" i="55"/>
  <c r="AQ492" i="55"/>
  <c r="Z304" i="55"/>
  <c r="AH304" i="55"/>
  <c r="Y361" i="55"/>
  <c r="AQ361" i="55"/>
  <c r="AG361" i="55"/>
  <c r="AA267" i="55"/>
  <c r="AJ267" i="55" s="1"/>
  <c r="AI267" i="55"/>
  <c r="Z400" i="55"/>
  <c r="AH400" i="55"/>
  <c r="AP155" i="55"/>
  <c r="X155" i="55"/>
  <c r="AF155" i="55"/>
  <c r="AS221" i="55"/>
  <c r="AA221" i="55"/>
  <c r="AI221" i="55"/>
  <c r="Z160" i="55"/>
  <c r="AH160" i="55"/>
  <c r="Y364" i="55"/>
  <c r="AQ364" i="55"/>
  <c r="AG364" i="55"/>
  <c r="AR448" i="55"/>
  <c r="Z448" i="55"/>
  <c r="AH448" i="55"/>
  <c r="Z90" i="55"/>
  <c r="AH90" i="55"/>
  <c r="AH478" i="55"/>
  <c r="Z478" i="55"/>
  <c r="AR218" i="55"/>
  <c r="Z218" i="55"/>
  <c r="AH218" i="55"/>
  <c r="AI151" i="55"/>
  <c r="AA151" i="55"/>
  <c r="AJ151" i="55" s="1"/>
  <c r="Z226" i="55"/>
  <c r="AH226" i="55"/>
  <c r="AH150" i="55"/>
  <c r="Z150" i="55"/>
  <c r="AR397" i="55"/>
  <c r="Z397" i="55"/>
  <c r="AH397" i="55"/>
  <c r="AR409" i="55"/>
  <c r="Z409" i="55"/>
  <c r="AH409" i="55"/>
  <c r="AA491" i="55"/>
  <c r="AS491" i="55"/>
  <c r="AI491" i="55"/>
  <c r="AA278" i="55"/>
  <c r="AJ278" i="55" s="1"/>
  <c r="AI278" i="55"/>
  <c r="AR101" i="55"/>
  <c r="Z101" i="55"/>
  <c r="AH101" i="55"/>
  <c r="Y22" i="55"/>
  <c r="AQ22" i="55"/>
  <c r="AG22" i="55"/>
  <c r="Z97" i="55"/>
  <c r="AH97" i="55"/>
  <c r="Z595" i="55"/>
  <c r="AH595" i="55"/>
  <c r="AR595" i="55"/>
  <c r="AH489" i="55"/>
  <c r="Z489" i="55"/>
  <c r="AA359" i="55"/>
  <c r="AJ359" i="55" s="1"/>
  <c r="AI359" i="55"/>
  <c r="AR93" i="55"/>
  <c r="Z93" i="55"/>
  <c r="AH93" i="55"/>
  <c r="Z588" i="55"/>
  <c r="AH588" i="55"/>
  <c r="AG504" i="55"/>
  <c r="Y504" i="55"/>
  <c r="AA535" i="55"/>
  <c r="AI535" i="55"/>
  <c r="AS535" i="55"/>
  <c r="AA357" i="55"/>
  <c r="AJ357" i="55" s="1"/>
  <c r="AI357" i="55"/>
  <c r="Z597" i="55"/>
  <c r="AH597" i="55"/>
  <c r="AA265" i="55"/>
  <c r="AS265" i="55"/>
  <c r="AI265" i="55"/>
  <c r="AS158" i="55"/>
  <c r="AA158" i="55"/>
  <c r="AI158" i="55"/>
  <c r="Y263" i="55"/>
  <c r="AQ263" i="55"/>
  <c r="AG263" i="55"/>
  <c r="Y84" i="55"/>
  <c r="AQ84" i="55"/>
  <c r="AG84" i="55"/>
  <c r="Z113" i="55"/>
  <c r="AR113" i="55"/>
  <c r="AH113" i="55"/>
  <c r="AG554" i="55"/>
  <c r="Y554" i="55"/>
  <c r="Z408" i="55"/>
  <c r="AH408" i="55"/>
  <c r="AS229" i="55"/>
  <c r="AA229" i="55"/>
  <c r="AI229" i="55"/>
  <c r="Y459" i="55"/>
  <c r="AQ459" i="55"/>
  <c r="AG459" i="55"/>
  <c r="AR21" i="55"/>
  <c r="Z21" i="55"/>
  <c r="AH21" i="55"/>
  <c r="AR558" i="55"/>
  <c r="AH558" i="55"/>
  <c r="Z558" i="55"/>
  <c r="AS225" i="55"/>
  <c r="AA225" i="55"/>
  <c r="AI225" i="55"/>
  <c r="AA335" i="55"/>
  <c r="AS335" i="55"/>
  <c r="AI335" i="55"/>
  <c r="AP212" i="55"/>
  <c r="X212" i="55"/>
  <c r="AF212" i="55"/>
  <c r="AQ20" i="55"/>
  <c r="Y20" i="55"/>
  <c r="AG20" i="55"/>
  <c r="AA476" i="55"/>
  <c r="AJ476" i="55" s="1"/>
  <c r="AI476" i="55"/>
  <c r="Y482" i="55"/>
  <c r="AQ482" i="55"/>
  <c r="AG482" i="55"/>
  <c r="AS162" i="55"/>
  <c r="AA162" i="55"/>
  <c r="AI162" i="55"/>
  <c r="Y411" i="55"/>
  <c r="AQ411" i="55"/>
  <c r="AG411" i="55"/>
  <c r="Z34" i="55"/>
  <c r="AH34" i="55"/>
  <c r="AR75" i="55"/>
  <c r="Z75" i="55"/>
  <c r="AH75" i="55"/>
  <c r="Z95" i="55"/>
  <c r="AH95" i="55"/>
  <c r="AA399" i="55"/>
  <c r="AJ399" i="55" s="1"/>
  <c r="AI399" i="55"/>
  <c r="AH533" i="55"/>
  <c r="Z533" i="55"/>
  <c r="AR236" i="55"/>
  <c r="Z236" i="55"/>
  <c r="AH236" i="55"/>
  <c r="AR447" i="55"/>
  <c r="Z447" i="55"/>
  <c r="AH447" i="55"/>
  <c r="Z487" i="55"/>
  <c r="AH487" i="55"/>
  <c r="Z331" i="55"/>
  <c r="AH331" i="55"/>
  <c r="AR567" i="55"/>
  <c r="Z567" i="55"/>
  <c r="AH567" i="55"/>
  <c r="AR444" i="55"/>
  <c r="Z444" i="55"/>
  <c r="AH444" i="55"/>
  <c r="Z396" i="55"/>
  <c r="AH396" i="55"/>
  <c r="Z157" i="55"/>
  <c r="AH157" i="55"/>
  <c r="AS154" i="55"/>
  <c r="AA154" i="55"/>
  <c r="AI154" i="55"/>
  <c r="AP85" i="55"/>
  <c r="X85" i="55"/>
  <c r="AF85" i="55"/>
  <c r="AG451" i="55"/>
  <c r="AQ451" i="55"/>
  <c r="Y451" i="55"/>
  <c r="AA534" i="55"/>
  <c r="AS534" i="55"/>
  <c r="AI534" i="55"/>
  <c r="Y270" i="55"/>
  <c r="AQ270" i="55"/>
  <c r="AG270" i="55"/>
  <c r="Y132" i="55"/>
  <c r="AG132" i="55"/>
  <c r="AR565" i="55"/>
  <c r="Z565" i="55"/>
  <c r="AH565" i="55"/>
  <c r="AP91" i="55"/>
  <c r="X91" i="55"/>
  <c r="AF91" i="55"/>
  <c r="AR443" i="55"/>
  <c r="Z443" i="55"/>
  <c r="AH443" i="55"/>
  <c r="AS213" i="55"/>
  <c r="AA213" i="55"/>
  <c r="AI213" i="55"/>
  <c r="AA149" i="55"/>
  <c r="AJ149" i="55" s="1"/>
  <c r="AI149" i="55"/>
  <c r="Y130" i="55"/>
  <c r="AQ130" i="55"/>
  <c r="AG130" i="55"/>
  <c r="AI531" i="55"/>
  <c r="AA531" i="55"/>
  <c r="AS531" i="55"/>
  <c r="AP159" i="55"/>
  <c r="X159" i="55"/>
  <c r="AF159" i="55"/>
  <c r="AA481" i="55"/>
  <c r="AS481" i="55"/>
  <c r="AI481" i="55"/>
  <c r="AA446" i="55"/>
  <c r="AJ446" i="55" s="1"/>
  <c r="AI446" i="55"/>
  <c r="AG277" i="55" l="1"/>
  <c r="Y277" i="55"/>
  <c r="Y35" i="55"/>
  <c r="AQ35" i="55"/>
  <c r="AG35" i="55"/>
  <c r="Y395" i="55"/>
  <c r="AG395" i="55"/>
  <c r="Y273" i="55"/>
  <c r="AG273" i="55"/>
  <c r="Y527" i="55"/>
  <c r="AG527" i="55"/>
  <c r="AG279" i="55"/>
  <c r="AQ279" i="55"/>
  <c r="Y279" i="55"/>
  <c r="AG262" i="55"/>
  <c r="Y262" i="55"/>
  <c r="AR334" i="55"/>
  <c r="AH334" i="55"/>
  <c r="Z334" i="55"/>
  <c r="AG303" i="55"/>
  <c r="Y303" i="55"/>
  <c r="AS441" i="55"/>
  <c r="AA441" i="55"/>
  <c r="AI441" i="55"/>
  <c r="Z231" i="55"/>
  <c r="AH231" i="55"/>
  <c r="AA215" i="55"/>
  <c r="AI215" i="55"/>
  <c r="AS215" i="55"/>
  <c r="Z80" i="55"/>
  <c r="AH80" i="55"/>
  <c r="AR80" i="55"/>
  <c r="AH217" i="55"/>
  <c r="Z217" i="55"/>
  <c r="AR217" i="55"/>
  <c r="AA152" i="55"/>
  <c r="AJ152" i="55" s="1"/>
  <c r="AI152" i="55"/>
  <c r="AT271" i="55"/>
  <c r="AJ271" i="55"/>
  <c r="Z82" i="55"/>
  <c r="AH82" i="55"/>
  <c r="AA266" i="55"/>
  <c r="AJ266" i="55" s="1"/>
  <c r="AI266" i="55"/>
  <c r="Z407" i="55"/>
  <c r="AH407" i="55"/>
  <c r="AT481" i="55"/>
  <c r="AJ481" i="55"/>
  <c r="AS443" i="55"/>
  <c r="AA443" i="55"/>
  <c r="AI443" i="55"/>
  <c r="AR270" i="55"/>
  <c r="Z270" i="55"/>
  <c r="AH270" i="55"/>
  <c r="AR451" i="55"/>
  <c r="Z451" i="55"/>
  <c r="AH451" i="55"/>
  <c r="AQ85" i="55"/>
  <c r="Y85" i="55"/>
  <c r="AG85" i="55"/>
  <c r="AA396" i="55"/>
  <c r="AJ396" i="55" s="1"/>
  <c r="AI396" i="55"/>
  <c r="AA444" i="55"/>
  <c r="AS444" i="55"/>
  <c r="AI444" i="55"/>
  <c r="AA487" i="55"/>
  <c r="AJ487" i="55" s="1"/>
  <c r="AI487" i="55"/>
  <c r="AA95" i="55"/>
  <c r="AJ95" i="55" s="1"/>
  <c r="AI95" i="55"/>
  <c r="AT162" i="55"/>
  <c r="AJ162" i="55"/>
  <c r="AR482" i="55"/>
  <c r="Z482" i="55"/>
  <c r="AH482" i="55"/>
  <c r="AR20" i="55"/>
  <c r="Z20" i="55"/>
  <c r="AH20" i="55"/>
  <c r="AA408" i="55"/>
  <c r="AJ408" i="55" s="1"/>
  <c r="AI408" i="55"/>
  <c r="AR84" i="55"/>
  <c r="Z84" i="55"/>
  <c r="AH84" i="55"/>
  <c r="AT535" i="55"/>
  <c r="AJ535" i="55"/>
  <c r="AA588" i="55"/>
  <c r="AJ588" i="55" s="1"/>
  <c r="AI588" i="55"/>
  <c r="AA97" i="55"/>
  <c r="AJ97" i="55" s="1"/>
  <c r="AI97" i="55"/>
  <c r="AA397" i="55"/>
  <c r="AS397" i="55"/>
  <c r="AI397" i="55"/>
  <c r="AA448" i="55"/>
  <c r="AS448" i="55"/>
  <c r="AI448" i="55"/>
  <c r="AR364" i="55"/>
  <c r="Z364" i="55"/>
  <c r="AH364" i="55"/>
  <c r="AT221" i="55"/>
  <c r="AJ221" i="55"/>
  <c r="AA87" i="55"/>
  <c r="AS87" i="55"/>
  <c r="AI87" i="55"/>
  <c r="Z134" i="55"/>
  <c r="AR134" i="55"/>
  <c r="AH134" i="55"/>
  <c r="AT480" i="55"/>
  <c r="AJ480" i="55"/>
  <c r="AR360" i="55"/>
  <c r="Z360" i="55"/>
  <c r="AH360" i="55"/>
  <c r="AA237" i="55"/>
  <c r="AS237" i="55"/>
  <c r="AI237" i="55"/>
  <c r="AQ224" i="55"/>
  <c r="Y224" i="55"/>
  <c r="AG224" i="55"/>
  <c r="AI506" i="55"/>
  <c r="AA506" i="55"/>
  <c r="AS506" i="55"/>
  <c r="Z73" i="55"/>
  <c r="AR73" i="55"/>
  <c r="AH73" i="55"/>
  <c r="AA401" i="55"/>
  <c r="AS401" i="55"/>
  <c r="AI401" i="55"/>
  <c r="Z507" i="55"/>
  <c r="AR507" i="55"/>
  <c r="AH507" i="55"/>
  <c r="AA232" i="55"/>
  <c r="AJ232" i="55" s="1"/>
  <c r="AI232" i="55"/>
  <c r="AA76" i="55"/>
  <c r="AJ76" i="55" s="1"/>
  <c r="AI76" i="55"/>
  <c r="Z333" i="55"/>
  <c r="AR333" i="55"/>
  <c r="AH333" i="55"/>
  <c r="AA233" i="55"/>
  <c r="AJ233" i="55" s="1"/>
  <c r="AI233" i="55"/>
  <c r="AT531" i="55"/>
  <c r="AJ531" i="55"/>
  <c r="Z130" i="55"/>
  <c r="AR130" i="55"/>
  <c r="AH130" i="55"/>
  <c r="AT213" i="55"/>
  <c r="AJ213" i="55"/>
  <c r="Z132" i="55"/>
  <c r="AH132" i="55"/>
  <c r="AS236" i="55"/>
  <c r="AA236" i="55"/>
  <c r="AI236" i="55"/>
  <c r="AA34" i="55"/>
  <c r="AJ34" i="55" s="1"/>
  <c r="AI34" i="55"/>
  <c r="AT225" i="55"/>
  <c r="AJ225" i="55"/>
  <c r="AT229" i="55"/>
  <c r="AJ229" i="55"/>
  <c r="Z554" i="55"/>
  <c r="AH554" i="55"/>
  <c r="AS113" i="55"/>
  <c r="AA113" i="55"/>
  <c r="AI113" i="55"/>
  <c r="AT158" i="55"/>
  <c r="AJ158" i="55"/>
  <c r="AT265" i="55"/>
  <c r="AJ265" i="55"/>
  <c r="Z504" i="55"/>
  <c r="AH504" i="55"/>
  <c r="AA101" i="55"/>
  <c r="AS101" i="55"/>
  <c r="AI101" i="55"/>
  <c r="AA409" i="55"/>
  <c r="AS409" i="55"/>
  <c r="AI409" i="55"/>
  <c r="AA226" i="55"/>
  <c r="AJ226" i="55" s="1"/>
  <c r="AI226" i="55"/>
  <c r="AS218" i="55"/>
  <c r="AA218" i="55"/>
  <c r="AI218" i="55"/>
  <c r="AA304" i="55"/>
  <c r="AJ304" i="55" s="1"/>
  <c r="AI304" i="55"/>
  <c r="AQ216" i="55"/>
  <c r="Y216" i="55"/>
  <c r="AG216" i="55"/>
  <c r="Z505" i="55"/>
  <c r="AH505" i="55"/>
  <c r="AR505" i="55"/>
  <c r="AA83" i="55"/>
  <c r="AJ83" i="55" s="1"/>
  <c r="AI83" i="55"/>
  <c r="AA214" i="55"/>
  <c r="AJ214" i="55" s="1"/>
  <c r="AI214" i="55"/>
  <c r="AI475" i="55"/>
  <c r="AA475" i="55"/>
  <c r="AJ475" i="55" s="1"/>
  <c r="AA536" i="55"/>
  <c r="AJ536" i="55" s="1"/>
  <c r="AI536" i="55"/>
  <c r="AA330" i="55"/>
  <c r="AJ330" i="55" s="1"/>
  <c r="AI330" i="55"/>
  <c r="AA94" i="55"/>
  <c r="AJ94" i="55" s="1"/>
  <c r="AI94" i="55"/>
  <c r="AA488" i="55"/>
  <c r="AJ488" i="55" s="1"/>
  <c r="AI488" i="55"/>
  <c r="AH528" i="55"/>
  <c r="Z528" i="55"/>
  <c r="AA477" i="55"/>
  <c r="AJ477" i="55" s="1"/>
  <c r="AI477" i="55"/>
  <c r="AT161" i="55"/>
  <c r="AJ161" i="55"/>
  <c r="AS412" i="55"/>
  <c r="AA412" i="55"/>
  <c r="AI412" i="55"/>
  <c r="AA404" i="55"/>
  <c r="AJ404" i="55" s="1"/>
  <c r="AI404" i="55"/>
  <c r="AT553" i="55"/>
  <c r="AJ553" i="55"/>
  <c r="AJ235" i="55"/>
  <c r="AT235" i="55"/>
  <c r="Z566" i="55"/>
  <c r="AR566" i="55"/>
  <c r="AH566" i="55"/>
  <c r="Y159" i="55"/>
  <c r="AQ159" i="55"/>
  <c r="AG159" i="55"/>
  <c r="AS565" i="55"/>
  <c r="AI565" i="55"/>
  <c r="AA565" i="55"/>
  <c r="AA157" i="55"/>
  <c r="AJ157" i="55" s="1"/>
  <c r="AI157" i="55"/>
  <c r="AA331" i="55"/>
  <c r="AJ331" i="55" s="1"/>
  <c r="AI331" i="55"/>
  <c r="AS447" i="55"/>
  <c r="AA447" i="55"/>
  <c r="AI447" i="55"/>
  <c r="AS75" i="55"/>
  <c r="AA75" i="55"/>
  <c r="AI75" i="55"/>
  <c r="Z411" i="55"/>
  <c r="AR411" i="55"/>
  <c r="AH411" i="55"/>
  <c r="AA93" i="55"/>
  <c r="AS93" i="55"/>
  <c r="AI93" i="55"/>
  <c r="AA489" i="55"/>
  <c r="AJ489" i="55" s="1"/>
  <c r="AI489" i="55"/>
  <c r="AA595" i="55"/>
  <c r="AI595" i="55"/>
  <c r="AS595" i="55"/>
  <c r="AI150" i="55"/>
  <c r="AA150" i="55"/>
  <c r="AJ150" i="55" s="1"/>
  <c r="AA90" i="55"/>
  <c r="AJ90" i="55" s="1"/>
  <c r="AI90" i="55"/>
  <c r="AA160" i="55"/>
  <c r="AJ160" i="55" s="1"/>
  <c r="AI160" i="55"/>
  <c r="AA400" i="55"/>
  <c r="AJ400" i="55" s="1"/>
  <c r="AI400" i="55"/>
  <c r="AH492" i="55"/>
  <c r="AR492" i="55"/>
  <c r="Z492" i="55"/>
  <c r="Z556" i="55"/>
  <c r="AR556" i="55"/>
  <c r="AH556" i="55"/>
  <c r="AA280" i="55"/>
  <c r="AS280" i="55"/>
  <c r="AI280" i="55"/>
  <c r="AA530" i="55"/>
  <c r="AS530" i="55"/>
  <c r="AI530" i="55"/>
  <c r="Z455" i="55"/>
  <c r="AH455" i="55"/>
  <c r="Z128" i="55"/>
  <c r="AH128" i="55"/>
  <c r="AA72" i="55"/>
  <c r="AJ72" i="55" s="1"/>
  <c r="AI72" i="55"/>
  <c r="AT490" i="55"/>
  <c r="AJ490" i="55"/>
  <c r="AR486" i="55"/>
  <c r="Z486" i="55"/>
  <c r="AH486" i="55"/>
  <c r="AA591" i="55"/>
  <c r="AI591" i="55"/>
  <c r="AS591" i="55"/>
  <c r="AS307" i="55"/>
  <c r="AA307" i="55"/>
  <c r="AI307" i="55"/>
  <c r="AT133" i="55"/>
  <c r="AJ133" i="55"/>
  <c r="AS222" i="55"/>
  <c r="AA222" i="55"/>
  <c r="AI222" i="55"/>
  <c r="AA593" i="55"/>
  <c r="AI593" i="55"/>
  <c r="AS593" i="55"/>
  <c r="AA210" i="55"/>
  <c r="AJ210" i="55" s="1"/>
  <c r="AI210" i="55"/>
  <c r="AA261" i="55"/>
  <c r="AJ261" i="55" s="1"/>
  <c r="AI261" i="55"/>
  <c r="Y91" i="55"/>
  <c r="AQ91" i="55"/>
  <c r="AG91" i="55"/>
  <c r="AT534" i="55"/>
  <c r="AJ534" i="55"/>
  <c r="AT154" i="55"/>
  <c r="AJ154" i="55"/>
  <c r="AI567" i="55"/>
  <c r="AA567" i="55"/>
  <c r="AS567" i="55"/>
  <c r="AA533" i="55"/>
  <c r="AJ533" i="55" s="1"/>
  <c r="AI533" i="55"/>
  <c r="AQ212" i="55"/>
  <c r="Y212" i="55"/>
  <c r="AG212" i="55"/>
  <c r="AT335" i="55"/>
  <c r="AJ335" i="55"/>
  <c r="AA558" i="55"/>
  <c r="AS558" i="55"/>
  <c r="AI558" i="55"/>
  <c r="AA21" i="55"/>
  <c r="AI21" i="55"/>
  <c r="AS21" i="55"/>
  <c r="AR459" i="55"/>
  <c r="Z459" i="55"/>
  <c r="AH459" i="55"/>
  <c r="Z263" i="55"/>
  <c r="AR263" i="55"/>
  <c r="AH263" i="55"/>
  <c r="AA597" i="55"/>
  <c r="AJ597" i="55" s="1"/>
  <c r="AI597" i="55"/>
  <c r="Z22" i="55"/>
  <c r="AR22" i="55"/>
  <c r="AH22" i="55"/>
  <c r="AT491" i="55"/>
  <c r="AJ491" i="55"/>
  <c r="AA478" i="55"/>
  <c r="AJ478" i="55" s="1"/>
  <c r="AI478" i="55"/>
  <c r="Y155" i="55"/>
  <c r="AQ155" i="55"/>
  <c r="AG155" i="55"/>
  <c r="AR361" i="55"/>
  <c r="Z361" i="55"/>
  <c r="AH361" i="55"/>
  <c r="AA485" i="55"/>
  <c r="AJ485" i="55" s="1"/>
  <c r="AI485" i="55"/>
  <c r="AA71" i="55"/>
  <c r="AJ71" i="55" s="1"/>
  <c r="AI71" i="55"/>
  <c r="AA112" i="55"/>
  <c r="AJ112" i="55" s="1"/>
  <c r="AI112" i="55"/>
  <c r="AA209" i="55"/>
  <c r="AJ209" i="55" s="1"/>
  <c r="AI209" i="55"/>
  <c r="AA594" i="55"/>
  <c r="AJ594" i="55" s="1"/>
  <c r="AI594" i="55"/>
  <c r="AA440" i="55"/>
  <c r="AJ440" i="55" s="1"/>
  <c r="AI440" i="55"/>
  <c r="AA96" i="55"/>
  <c r="AJ96" i="55" s="1"/>
  <c r="AI96" i="55"/>
  <c r="AA405" i="55"/>
  <c r="AS405" i="55"/>
  <c r="AI405" i="55"/>
  <c r="Y228" i="55"/>
  <c r="AQ228" i="55"/>
  <c r="AG228" i="55"/>
  <c r="AA454" i="55"/>
  <c r="AJ454" i="55" s="1"/>
  <c r="AI454" i="55"/>
  <c r="AJ403" i="55"/>
  <c r="AT403" i="55"/>
  <c r="Z568" i="55"/>
  <c r="AR568" i="55"/>
  <c r="AH568" i="55"/>
  <c r="AT532" i="55"/>
  <c r="AJ532" i="55"/>
  <c r="Z19" i="55"/>
  <c r="AH19" i="55"/>
  <c r="AA89" i="55"/>
  <c r="AJ89" i="55" s="1"/>
  <c r="AI89" i="55"/>
  <c r="AA450" i="55"/>
  <c r="AJ450" i="55" s="1"/>
  <c r="AI450" i="55"/>
  <c r="AA484" i="55"/>
  <c r="AJ484" i="55" s="1"/>
  <c r="AI484" i="55"/>
  <c r="AR274" i="55"/>
  <c r="Z274" i="55"/>
  <c r="AH274" i="55"/>
  <c r="AA129" i="55"/>
  <c r="AJ129" i="55" s="1"/>
  <c r="AI129" i="55"/>
  <c r="AA589" i="55"/>
  <c r="AJ589" i="55" s="1"/>
  <c r="AI589" i="55"/>
  <c r="AI552" i="55"/>
  <c r="AA552" i="55"/>
  <c r="AJ552" i="55" s="1"/>
  <c r="AH262" i="55" l="1"/>
  <c r="Z262" i="55"/>
  <c r="Z273" i="55"/>
  <c r="AH273" i="55"/>
  <c r="AS334" i="55"/>
  <c r="AA334" i="55"/>
  <c r="AI334" i="55"/>
  <c r="Z35" i="55"/>
  <c r="AR35" i="55"/>
  <c r="AH35" i="55"/>
  <c r="AH279" i="55"/>
  <c r="Z279" i="55"/>
  <c r="AR279" i="55"/>
  <c r="Z527" i="55"/>
  <c r="AH527" i="55"/>
  <c r="AH395" i="55"/>
  <c r="Z395" i="55"/>
  <c r="Z277" i="55"/>
  <c r="AH277" i="55"/>
  <c r="Z303" i="55"/>
  <c r="AH303" i="55"/>
  <c r="AA231" i="55"/>
  <c r="AJ231" i="55" s="1"/>
  <c r="AI231" i="55"/>
  <c r="AT441" i="55"/>
  <c r="AJ441" i="55"/>
  <c r="AA80" i="55"/>
  <c r="AI80" i="55"/>
  <c r="AS80" i="55"/>
  <c r="AA407" i="55"/>
  <c r="AJ407" i="55" s="1"/>
  <c r="AI407" i="55"/>
  <c r="AA82" i="55"/>
  <c r="AJ82" i="55" s="1"/>
  <c r="AI82" i="55"/>
  <c r="AI217" i="55"/>
  <c r="AA217" i="55"/>
  <c r="AS217" i="55"/>
  <c r="AT215" i="55"/>
  <c r="AJ215" i="55"/>
  <c r="AS274" i="55"/>
  <c r="AA274" i="55"/>
  <c r="AI274" i="55"/>
  <c r="AT405" i="55"/>
  <c r="AJ405" i="55"/>
  <c r="AS459" i="55"/>
  <c r="AI459" i="55"/>
  <c r="AA459" i="55"/>
  <c r="AT21" i="55"/>
  <c r="AJ21" i="55"/>
  <c r="AT567" i="55"/>
  <c r="AJ567" i="55"/>
  <c r="Z91" i="55"/>
  <c r="AR91" i="55"/>
  <c r="AH91" i="55"/>
  <c r="AA486" i="55"/>
  <c r="AS486" i="55"/>
  <c r="AI486" i="55"/>
  <c r="AT530" i="55"/>
  <c r="AJ530" i="55"/>
  <c r="AT595" i="55"/>
  <c r="AJ595" i="55"/>
  <c r="AA411" i="55"/>
  <c r="AI411" i="55"/>
  <c r="AS411" i="55"/>
  <c r="AT218" i="55"/>
  <c r="AJ218" i="55"/>
  <c r="AA554" i="55"/>
  <c r="AJ554" i="55" s="1"/>
  <c r="AI554" i="55"/>
  <c r="AT236" i="55"/>
  <c r="AJ236" i="55"/>
  <c r="AS130" i="55"/>
  <c r="AA130" i="55"/>
  <c r="AI130" i="55"/>
  <c r="AS73" i="55"/>
  <c r="AA73" i="55"/>
  <c r="AI73" i="55"/>
  <c r="AT443" i="55"/>
  <c r="AJ443" i="55"/>
  <c r="AA19" i="55"/>
  <c r="AJ19" i="55" s="1"/>
  <c r="AI19" i="55"/>
  <c r="Z228" i="55"/>
  <c r="AR228" i="55"/>
  <c r="AH228" i="55"/>
  <c r="AA22" i="55"/>
  <c r="AI22" i="55"/>
  <c r="AS22" i="55"/>
  <c r="AT222" i="55"/>
  <c r="AJ222" i="55"/>
  <c r="AA455" i="55"/>
  <c r="AJ455" i="55" s="1"/>
  <c r="AI455" i="55"/>
  <c r="AT93" i="55"/>
  <c r="AJ93" i="55"/>
  <c r="AT447" i="55"/>
  <c r="AJ447" i="55"/>
  <c r="AT565" i="55"/>
  <c r="AJ565" i="55"/>
  <c r="AI566" i="55"/>
  <c r="AS566" i="55"/>
  <c r="AA566" i="55"/>
  <c r="AT412" i="55"/>
  <c r="AJ412" i="55"/>
  <c r="AI505" i="55"/>
  <c r="AS505" i="55"/>
  <c r="AA505" i="55"/>
  <c r="AT101" i="55"/>
  <c r="AJ101" i="55"/>
  <c r="AT113" i="55"/>
  <c r="AJ113" i="55"/>
  <c r="AT401" i="55"/>
  <c r="AJ401" i="55"/>
  <c r="Z224" i="55"/>
  <c r="AR224" i="55"/>
  <c r="AH224" i="55"/>
  <c r="AT237" i="55"/>
  <c r="AJ237" i="55"/>
  <c r="AT397" i="55"/>
  <c r="AJ397" i="55"/>
  <c r="AI84" i="55"/>
  <c r="AA84" i="55"/>
  <c r="AS84" i="55"/>
  <c r="AA482" i="55"/>
  <c r="AS482" i="55"/>
  <c r="AI482" i="55"/>
  <c r="AS270" i="55"/>
  <c r="AA270" i="55"/>
  <c r="AI270" i="55"/>
  <c r="AA568" i="55"/>
  <c r="AI568" i="55"/>
  <c r="AS568" i="55"/>
  <c r="AS361" i="55"/>
  <c r="AA361" i="55"/>
  <c r="AI361" i="55"/>
  <c r="Z155" i="55"/>
  <c r="AR155" i="55"/>
  <c r="AH155" i="55"/>
  <c r="AA263" i="55"/>
  <c r="AI263" i="55"/>
  <c r="AS263" i="55"/>
  <c r="AT307" i="55"/>
  <c r="AJ307" i="55"/>
  <c r="AT591" i="55"/>
  <c r="AJ591" i="55"/>
  <c r="AA556" i="55"/>
  <c r="AI556" i="55"/>
  <c r="AS556" i="55"/>
  <c r="AT75" i="55"/>
  <c r="AJ75" i="55"/>
  <c r="Z159" i="55"/>
  <c r="AR159" i="55"/>
  <c r="AH159" i="55"/>
  <c r="AT409" i="55"/>
  <c r="AJ409" i="55"/>
  <c r="AA507" i="55"/>
  <c r="AI507" i="55"/>
  <c r="AS507" i="55"/>
  <c r="AT506" i="55"/>
  <c r="AJ506" i="55"/>
  <c r="AT87" i="55"/>
  <c r="AJ87" i="55"/>
  <c r="AS364" i="55"/>
  <c r="AA364" i="55"/>
  <c r="AI364" i="55"/>
  <c r="AT448" i="55"/>
  <c r="AJ448" i="55"/>
  <c r="AA20" i="55"/>
  <c r="AI20" i="55"/>
  <c r="AS20" i="55"/>
  <c r="AA451" i="55"/>
  <c r="AS451" i="55"/>
  <c r="AI451" i="55"/>
  <c r="AT558" i="55"/>
  <c r="AJ558" i="55"/>
  <c r="Z212" i="55"/>
  <c r="AR212" i="55"/>
  <c r="AH212" i="55"/>
  <c r="AT593" i="55"/>
  <c r="AJ593" i="55"/>
  <c r="AA128" i="55"/>
  <c r="AJ128" i="55" s="1"/>
  <c r="AI128" i="55"/>
  <c r="AT280" i="55"/>
  <c r="AJ280" i="55"/>
  <c r="AA492" i="55"/>
  <c r="AI492" i="55"/>
  <c r="AS492" i="55"/>
  <c r="AI528" i="55"/>
  <c r="AA528" i="55"/>
  <c r="AJ528" i="55" s="1"/>
  <c r="Z216" i="55"/>
  <c r="AR216" i="55"/>
  <c r="AH216" i="55"/>
  <c r="AA504" i="55"/>
  <c r="AJ504" i="55" s="1"/>
  <c r="AI504" i="55"/>
  <c r="AA132" i="55"/>
  <c r="AJ132" i="55" s="1"/>
  <c r="AI132" i="55"/>
  <c r="AA333" i="55"/>
  <c r="AI333" i="55"/>
  <c r="AS333" i="55"/>
  <c r="AS360" i="55"/>
  <c r="AA360" i="55"/>
  <c r="AI360" i="55"/>
  <c r="AS134" i="55"/>
  <c r="AA134" i="55"/>
  <c r="AI134" i="55"/>
  <c r="AT444" i="55"/>
  <c r="AJ444" i="55"/>
  <c r="Z85" i="55"/>
  <c r="AR85" i="55"/>
  <c r="AH85" i="55"/>
  <c r="AI303" i="55" l="1"/>
  <c r="AA303" i="55"/>
  <c r="AJ303" i="55" s="1"/>
  <c r="AS279" i="55"/>
  <c r="AI279" i="55"/>
  <c r="AA279" i="55"/>
  <c r="AS35" i="55"/>
  <c r="AA35" i="55"/>
  <c r="AI35" i="55"/>
  <c r="AA273" i="55"/>
  <c r="AJ273" i="55" s="1"/>
  <c r="AI273" i="55"/>
  <c r="AA277" i="55"/>
  <c r="AJ277" i="55" s="1"/>
  <c r="AI277" i="55"/>
  <c r="AA527" i="55"/>
  <c r="AJ527" i="55" s="1"/>
  <c r="AI527" i="55"/>
  <c r="AT334" i="55"/>
  <c r="AJ334" i="55"/>
  <c r="AA262" i="55"/>
  <c r="AJ262" i="55" s="1"/>
  <c r="AI262" i="55"/>
  <c r="AA395" i="55"/>
  <c r="AJ395" i="55" s="1"/>
  <c r="AI395" i="55"/>
  <c r="AT217" i="55"/>
  <c r="AJ217" i="55"/>
  <c r="AJ80" i="55"/>
  <c r="AT80" i="55"/>
  <c r="AA216" i="55"/>
  <c r="AI216" i="55"/>
  <c r="AS216" i="55"/>
  <c r="AJ556" i="55"/>
  <c r="AT556" i="55"/>
  <c r="AT361" i="55"/>
  <c r="AJ361" i="55"/>
  <c r="AT568" i="55"/>
  <c r="AJ568" i="55"/>
  <c r="AT84" i="55"/>
  <c r="AJ84" i="55"/>
  <c r="AA224" i="55"/>
  <c r="AI224" i="55"/>
  <c r="AS224" i="55"/>
  <c r="AJ566" i="55"/>
  <c r="AT566" i="55"/>
  <c r="AJ73" i="55"/>
  <c r="AT73" i="55"/>
  <c r="AT486" i="55"/>
  <c r="AJ486" i="55"/>
  <c r="AT459" i="55"/>
  <c r="AJ459" i="55"/>
  <c r="AT360" i="55"/>
  <c r="AJ360" i="55"/>
  <c r="AJ411" i="55"/>
  <c r="AT411" i="55"/>
  <c r="AT333" i="55"/>
  <c r="AJ333" i="55"/>
  <c r="AT492" i="55"/>
  <c r="AJ492" i="55"/>
  <c r="AA85" i="55"/>
  <c r="AI85" i="55"/>
  <c r="AS85" i="55"/>
  <c r="AT134" i="55"/>
  <c r="AJ134" i="55"/>
  <c r="AA212" i="55"/>
  <c r="AI212" i="55"/>
  <c r="AS212" i="55"/>
  <c r="AJ20" i="55"/>
  <c r="AT20" i="55"/>
  <c r="AT364" i="55"/>
  <c r="AJ364" i="55"/>
  <c r="AT507" i="55"/>
  <c r="AJ507" i="55"/>
  <c r="AS155" i="55"/>
  <c r="AA155" i="55"/>
  <c r="AI155" i="55"/>
  <c r="AT270" i="55"/>
  <c r="AJ270" i="55"/>
  <c r="AT482" i="55"/>
  <c r="AJ482" i="55"/>
  <c r="AS228" i="55"/>
  <c r="AA228" i="55"/>
  <c r="AI228" i="55"/>
  <c r="AT274" i="55"/>
  <c r="AJ274" i="55"/>
  <c r="AT451" i="55"/>
  <c r="AJ451" i="55"/>
  <c r="AS159" i="55"/>
  <c r="AA159" i="55"/>
  <c r="AI159" i="55"/>
  <c r="AT263" i="55"/>
  <c r="AJ263" i="55"/>
  <c r="AT505" i="55"/>
  <c r="AJ505" i="55"/>
  <c r="AT22" i="55"/>
  <c r="AJ22" i="55"/>
  <c r="AT130" i="55"/>
  <c r="AJ130" i="55"/>
  <c r="AS91" i="55"/>
  <c r="AI91" i="55"/>
  <c r="AA91" i="55"/>
  <c r="AT35" i="55" l="1"/>
  <c r="AJ35" i="55"/>
  <c r="AT279" i="55"/>
  <c r="AJ279" i="55"/>
  <c r="AT91" i="55"/>
  <c r="AJ91" i="55"/>
  <c r="AT159" i="55"/>
  <c r="AJ159" i="55"/>
  <c r="AT212" i="55"/>
  <c r="AJ212" i="55"/>
  <c r="AT224" i="55"/>
  <c r="AJ224" i="55"/>
  <c r="AT85" i="55"/>
  <c r="AJ85" i="55"/>
  <c r="AT155" i="55"/>
  <c r="AJ155" i="55"/>
  <c r="AT228" i="55"/>
  <c r="AJ228" i="55"/>
  <c r="AT216" i="55"/>
  <c r="AJ216" i="55"/>
  <c r="B109" i="10" l="1"/>
  <c r="B108" i="10"/>
  <c r="B107" i="10"/>
  <c r="B105" i="10"/>
  <c r="B102" i="10"/>
  <c r="B101" i="10"/>
  <c r="B100" i="10"/>
  <c r="B99" i="10"/>
  <c r="B98" i="10"/>
  <c r="B97" i="10"/>
  <c r="B96" i="10"/>
  <c r="B95" i="10"/>
  <c r="B94" i="10"/>
  <c r="B246" i="11"/>
  <c r="B46" i="58" s="1"/>
  <c r="B92" i="10"/>
  <c r="B245" i="11" s="1"/>
  <c r="B88" i="10"/>
  <c r="B87" i="10"/>
  <c r="B86" i="10"/>
  <c r="B239" i="11" s="1"/>
  <c r="B85" i="10"/>
  <c r="B238" i="11" s="1"/>
  <c r="D356" i="11"/>
  <c r="C356" i="11"/>
  <c r="D331" i="11"/>
  <c r="C331" i="11"/>
  <c r="D306" i="11"/>
  <c r="C306" i="11"/>
  <c r="C1277" i="11"/>
  <c r="D103" i="10"/>
  <c r="D2079" i="11"/>
  <c r="D2077" i="11"/>
  <c r="D2076" i="11"/>
  <c r="D2075" i="11"/>
  <c r="D2074" i="11"/>
  <c r="D2073" i="11"/>
  <c r="D2072" i="11"/>
  <c r="D2071" i="11"/>
  <c r="D2070" i="11"/>
  <c r="D2068" i="11"/>
  <c r="D2067" i="11"/>
  <c r="D2066" i="11"/>
  <c r="D2064" i="11"/>
  <c r="D2063" i="11"/>
  <c r="D2062" i="11"/>
  <c r="D2061" i="11"/>
  <c r="D2060" i="11"/>
  <c r="D2059" i="11"/>
  <c r="D2058" i="11"/>
  <c r="D2057" i="11"/>
  <c r="D2055" i="11"/>
  <c r="D2054" i="11"/>
  <c r="D2040" i="11"/>
  <c r="D2038" i="11"/>
  <c r="D2037" i="11"/>
  <c r="D2036" i="11"/>
  <c r="D2035" i="11"/>
  <c r="D2034" i="11"/>
  <c r="D2033" i="11"/>
  <c r="D2032" i="11"/>
  <c r="D2031" i="11"/>
  <c r="D2029" i="11"/>
  <c r="D2028" i="11"/>
  <c r="D2001" i="11"/>
  <c r="D1999" i="11"/>
  <c r="D1998" i="11"/>
  <c r="D1997" i="11"/>
  <c r="D1996" i="11"/>
  <c r="D1995" i="11"/>
  <c r="D1994" i="11"/>
  <c r="D1993" i="11"/>
  <c r="D1992" i="11"/>
  <c r="D1990" i="11"/>
  <c r="D1989" i="11"/>
  <c r="D1988" i="11"/>
  <c r="D1986" i="11"/>
  <c r="D1985" i="11"/>
  <c r="D1984" i="11"/>
  <c r="D1983" i="11"/>
  <c r="D1982" i="11"/>
  <c r="D1981" i="11"/>
  <c r="D1980" i="11"/>
  <c r="D1979" i="11"/>
  <c r="D1977" i="11"/>
  <c r="D1976" i="11"/>
  <c r="D1949" i="11"/>
  <c r="D1947" i="11"/>
  <c r="D1946" i="11"/>
  <c r="D1945" i="11"/>
  <c r="D1944" i="11"/>
  <c r="D1943" i="11"/>
  <c r="D1942" i="11"/>
  <c r="D1941" i="11"/>
  <c r="D1940" i="11"/>
  <c r="D1937" i="11"/>
  <c r="F21" i="55"/>
  <c r="F50" i="55"/>
  <c r="F596" i="55"/>
  <c r="F227" i="55"/>
  <c r="F27" i="55"/>
  <c r="F306" i="55"/>
  <c r="F118" i="55"/>
  <c r="F488" i="55"/>
  <c r="F184" i="55"/>
  <c r="F525" i="55"/>
  <c r="F577" i="55"/>
  <c r="F261" i="55"/>
  <c r="F49" i="55"/>
  <c r="F533" i="55"/>
  <c r="F215" i="55"/>
  <c r="F309" i="55"/>
  <c r="F254" i="55"/>
  <c r="F580" i="55"/>
  <c r="F328" i="55"/>
  <c r="F145" i="55"/>
  <c r="F319" i="55"/>
  <c r="F8" i="55"/>
  <c r="F168" i="55"/>
  <c r="F63" i="55"/>
  <c r="F167" i="55"/>
  <c r="F585" i="55"/>
  <c r="F109" i="55"/>
  <c r="F497" i="55"/>
  <c r="F36" i="55"/>
  <c r="F112" i="55"/>
  <c r="F143" i="55"/>
  <c r="F581" i="55"/>
  <c r="F256" i="55"/>
  <c r="F15" i="55"/>
  <c r="F185" i="55"/>
  <c r="F117" i="55"/>
  <c r="F504" i="55"/>
  <c r="F476" i="55"/>
  <c r="F283" i="55"/>
  <c r="F60" i="55"/>
  <c r="F481" i="55"/>
  <c r="F105" i="55"/>
  <c r="F516" i="55"/>
  <c r="F314" i="55"/>
  <c r="F94" i="55"/>
  <c r="F219" i="55"/>
  <c r="F71" i="55"/>
  <c r="F43" i="55"/>
  <c r="F202" i="55"/>
  <c r="F83" i="55"/>
  <c r="F114" i="55"/>
  <c r="F47" i="55"/>
  <c r="F152" i="55"/>
  <c r="F327" i="55"/>
  <c r="F490" i="55"/>
  <c r="F505" i="55"/>
  <c r="F101" i="55"/>
  <c r="F316" i="55"/>
  <c r="F190" i="55"/>
  <c r="F311" i="55"/>
  <c r="F70" i="55"/>
  <c r="F198" i="55"/>
  <c r="F489" i="55"/>
  <c r="F472" i="55"/>
  <c r="F91" i="55"/>
  <c r="F275" i="55"/>
  <c r="F54" i="55"/>
  <c r="F156" i="55"/>
  <c r="F19" i="55"/>
  <c r="F595" i="55"/>
  <c r="F153" i="55"/>
  <c r="F123" i="55"/>
  <c r="F335" i="55"/>
  <c r="F292" i="55"/>
  <c r="F160" i="55"/>
  <c r="F161" i="55"/>
  <c r="F571" i="55"/>
  <c r="F255" i="55"/>
  <c r="F221" i="55"/>
  <c r="F62" i="55"/>
  <c r="F262" i="55"/>
  <c r="F293" i="55"/>
  <c r="F18" i="55"/>
  <c r="F126" i="55"/>
  <c r="F106" i="55"/>
  <c r="F42" i="55"/>
  <c r="F470" i="55"/>
  <c r="F141" i="55"/>
  <c r="F194" i="55"/>
  <c r="F97" i="55"/>
  <c r="F584" i="55"/>
  <c r="F180" i="55"/>
  <c r="F85" i="55"/>
  <c r="F287" i="55"/>
  <c r="F170" i="55"/>
  <c r="F166" i="55"/>
  <c r="F482" i="55"/>
  <c r="F195" i="55"/>
  <c r="F510" i="55"/>
  <c r="F313" i="55"/>
  <c r="F41" i="55"/>
  <c r="F100" i="55"/>
  <c r="F61" i="55"/>
  <c r="F58" i="55"/>
  <c r="F591" i="55"/>
  <c r="F297" i="55"/>
  <c r="F264" i="55"/>
  <c r="F575" i="55"/>
  <c r="F463" i="55"/>
  <c r="F289" i="55"/>
  <c r="F310" i="55"/>
  <c r="F78" i="55"/>
  <c r="F299" i="55"/>
  <c r="F461" i="55"/>
  <c r="F46" i="55"/>
  <c r="F479" i="55"/>
  <c r="F512" i="55"/>
  <c r="F178" i="55"/>
  <c r="F79" i="55"/>
  <c r="F224" i="55"/>
  <c r="F177" i="55"/>
  <c r="F597" i="55"/>
  <c r="F108" i="55"/>
  <c r="F290" i="55"/>
  <c r="F172" i="55"/>
  <c r="F183" i="55"/>
  <c r="F90" i="55"/>
  <c r="F272" i="55"/>
  <c r="F40" i="55"/>
  <c r="F59" i="55"/>
  <c r="F594" i="55"/>
  <c r="F323" i="55"/>
  <c r="F278" i="55"/>
  <c r="F142" i="55"/>
  <c r="F530" i="55"/>
  <c r="F144" i="55"/>
  <c r="F13" i="55"/>
  <c r="F331" i="55"/>
  <c r="F30" i="55"/>
  <c r="F211" i="55"/>
  <c r="F149" i="55"/>
  <c r="F80" i="55"/>
  <c r="F68" i="55"/>
  <c r="F28" i="55"/>
  <c r="F493" i="55"/>
  <c r="F312" i="55"/>
  <c r="F284" i="55"/>
  <c r="F193" i="55"/>
  <c r="F81" i="55"/>
  <c r="F35" i="55"/>
  <c r="F330" i="55"/>
  <c r="F274" i="55"/>
  <c r="F515" i="55"/>
  <c r="F17" i="55"/>
  <c r="F528" i="55"/>
  <c r="F173" i="55"/>
  <c r="F251" i="55"/>
  <c r="F286" i="55"/>
  <c r="F506" i="55"/>
  <c r="F228" i="55"/>
  <c r="F258" i="55"/>
  <c r="F67" i="55"/>
  <c r="F579" i="55"/>
  <c r="F494" i="55"/>
  <c r="F20" i="55"/>
  <c r="F87" i="55"/>
  <c r="F523" i="55"/>
  <c r="F578" i="55"/>
  <c r="F315" i="55"/>
  <c r="F569" i="55"/>
  <c r="F574" i="55"/>
  <c r="F492" i="55"/>
  <c r="F82" i="55"/>
  <c r="F568" i="55"/>
  <c r="F44" i="55"/>
  <c r="F164" i="55"/>
  <c r="F139" i="55"/>
  <c r="F33" i="55"/>
  <c r="F498" i="55"/>
  <c r="F179" i="55"/>
  <c r="F122" i="55"/>
  <c r="F561" i="55"/>
  <c r="F191" i="55"/>
  <c r="F268" i="55"/>
  <c r="F535" i="55"/>
  <c r="F263" i="55"/>
  <c r="F576" i="55"/>
  <c r="F133" i="55"/>
  <c r="F205" i="55"/>
  <c r="F14" i="55"/>
  <c r="F522" i="55"/>
  <c r="F207" i="55"/>
  <c r="F477" i="55"/>
  <c r="F165" i="55"/>
  <c r="F466" i="55"/>
  <c r="F22" i="55"/>
  <c r="F216" i="55"/>
  <c r="F181" i="55"/>
  <c r="F51" i="55"/>
  <c r="F462" i="55"/>
  <c r="F45" i="55"/>
  <c r="F279" i="55"/>
  <c r="F89" i="55"/>
  <c r="F587" i="55"/>
  <c r="F252" i="55"/>
  <c r="F76" i="55"/>
  <c r="F48" i="55"/>
  <c r="F151" i="55"/>
  <c r="F273" i="55"/>
  <c r="F469" i="55"/>
  <c r="F249" i="55"/>
  <c r="F496" i="55"/>
  <c r="F566" i="55"/>
  <c r="F521" i="55"/>
  <c r="F53" i="55"/>
  <c r="F12" i="55"/>
  <c r="F186" i="55"/>
  <c r="F247" i="55"/>
  <c r="F128" i="55"/>
  <c r="F573" i="55"/>
  <c r="F301" i="55"/>
  <c r="F132" i="55"/>
  <c r="F56" i="55"/>
  <c r="F520" i="55"/>
  <c r="F38" i="55"/>
  <c r="F267" i="55"/>
  <c r="F245" i="55"/>
  <c r="F484" i="55"/>
  <c r="F265" i="55"/>
  <c r="F253" i="55"/>
  <c r="F487" i="55"/>
  <c r="F240" i="55"/>
  <c r="F282" i="55"/>
  <c r="F329" i="55"/>
  <c r="F77" i="55"/>
  <c r="F154" i="55"/>
  <c r="F532" i="55"/>
  <c r="F220" i="55"/>
  <c r="F508" i="55"/>
  <c r="F212" i="55"/>
  <c r="F317" i="55"/>
  <c r="F88" i="55"/>
  <c r="F500" i="55"/>
  <c r="F320" i="55"/>
  <c r="F517" i="55"/>
  <c r="F73" i="55"/>
  <c r="F25" i="55"/>
  <c r="F111" i="55"/>
  <c r="F31" i="55"/>
  <c r="F110" i="55"/>
  <c r="F259" i="55"/>
  <c r="F298" i="55"/>
  <c r="F169" i="55"/>
  <c r="F218" i="55"/>
  <c r="F204" i="55"/>
  <c r="F213" i="55"/>
  <c r="F509" i="55"/>
  <c r="F52" i="55"/>
  <c r="F158" i="55"/>
  <c r="F201" i="55"/>
  <c r="F119" i="55"/>
  <c r="F57" i="55"/>
  <c r="F210" i="55"/>
  <c r="F29" i="55"/>
  <c r="F244" i="55"/>
  <c r="F147" i="55"/>
  <c r="F157" i="55"/>
  <c r="F559" i="55"/>
  <c r="F536" i="55"/>
  <c r="F322" i="55"/>
  <c r="F499" i="55"/>
  <c r="F237" i="55"/>
  <c r="F236" i="55"/>
  <c r="F586" i="55"/>
  <c r="F285" i="55"/>
  <c r="F531" i="55"/>
  <c r="F588" i="55"/>
  <c r="F214" i="55"/>
  <c r="F200" i="55"/>
  <c r="F140" i="55"/>
  <c r="F270" i="55"/>
  <c r="F495" i="55"/>
  <c r="F155" i="55"/>
  <c r="F524" i="55"/>
  <c r="F483" i="55"/>
  <c r="F589" i="55"/>
  <c r="F318" i="55"/>
  <c r="F187" i="55"/>
  <c r="F9" i="55"/>
  <c r="F102" i="55"/>
  <c r="F465" i="55"/>
  <c r="F55" i="55"/>
  <c r="F514" i="55"/>
  <c r="F473" i="55"/>
  <c r="F511" i="55"/>
  <c r="F593" i="55"/>
  <c r="F92" i="55"/>
  <c r="F501" i="55"/>
  <c r="F305" i="55"/>
  <c r="F239" i="55"/>
  <c r="F39" i="55"/>
  <c r="F223" i="55"/>
  <c r="F72" i="55"/>
  <c r="F104" i="55"/>
  <c r="F474" i="55"/>
  <c r="F199" i="55"/>
  <c r="F475" i="55"/>
  <c r="F321" i="55"/>
  <c r="F534" i="55"/>
  <c r="F115" i="55"/>
  <c r="F300" i="55"/>
  <c r="F125" i="55"/>
  <c r="F206" i="55"/>
  <c r="F124" i="55"/>
  <c r="F276" i="55"/>
  <c r="F277" i="55"/>
  <c r="F271" i="55"/>
  <c r="F113" i="55"/>
  <c r="F229" i="55"/>
  <c r="F480" i="55"/>
  <c r="F37" i="55"/>
  <c r="F196" i="55"/>
  <c r="F26" i="55"/>
  <c r="F103" i="55"/>
  <c r="F98" i="55"/>
  <c r="F32" i="55"/>
  <c r="F572" i="55"/>
  <c r="F266" i="55"/>
  <c r="F24" i="55"/>
  <c r="F486" i="55"/>
  <c r="F175" i="55"/>
  <c r="F74" i="55"/>
  <c r="F241" i="55"/>
  <c r="F121" i="55"/>
  <c r="F135" i="55"/>
  <c r="F197" i="55"/>
  <c r="F171" i="55"/>
  <c r="F567" i="55"/>
  <c r="F307" i="55"/>
  <c r="F208" i="55"/>
  <c r="F107" i="55"/>
  <c r="F238" i="55"/>
  <c r="F225" i="55"/>
  <c r="F69" i="55"/>
  <c r="F507" i="55"/>
  <c r="F294" i="55"/>
  <c r="F86" i="55"/>
  <c r="F23" i="55"/>
  <c r="F192" i="55"/>
  <c r="F296" i="55"/>
  <c r="F188" i="55"/>
  <c r="F291" i="55"/>
  <c r="F95" i="55"/>
  <c r="F176" i="55"/>
  <c r="F464" i="55"/>
  <c r="F84" i="55"/>
  <c r="F66" i="55"/>
  <c r="F242" i="55"/>
  <c r="F564" i="55"/>
  <c r="F231" i="55"/>
  <c r="F491" i="55"/>
  <c r="F590" i="55"/>
  <c r="F34" i="55"/>
  <c r="F280" i="55"/>
  <c r="F250" i="55"/>
  <c r="F527" i="55"/>
  <c r="F334" i="55"/>
  <c r="F232" i="55"/>
  <c r="F302" i="55"/>
  <c r="F288" i="55"/>
  <c r="F96" i="55"/>
  <c r="F513" i="55"/>
  <c r="F226" i="55"/>
  <c r="F233" i="55"/>
  <c r="F16" i="55"/>
  <c r="F269" i="55"/>
  <c r="F182" i="55"/>
  <c r="F257" i="55"/>
  <c r="F146" i="55"/>
  <c r="F281" i="55"/>
  <c r="F503" i="55"/>
  <c r="F75" i="55"/>
  <c r="F235" i="55"/>
  <c r="F120" i="55"/>
  <c r="F326" i="55"/>
  <c r="F131" i="55"/>
  <c r="F560" i="55"/>
  <c r="F582" i="55"/>
  <c r="F234" i="55"/>
  <c r="F159" i="55"/>
  <c r="F308" i="55"/>
  <c r="F260" i="55"/>
  <c r="F174" i="55"/>
  <c r="F163" i="55"/>
  <c r="F324" i="55"/>
  <c r="F138" i="55"/>
  <c r="F478" i="55"/>
  <c r="F565" i="55"/>
  <c r="F304" i="55"/>
  <c r="F129" i="55"/>
  <c r="F148" i="55"/>
  <c r="F502" i="55"/>
  <c r="F243" i="55"/>
  <c r="F136" i="55"/>
  <c r="F93" i="55"/>
  <c r="F563" i="55"/>
  <c r="F592" i="55"/>
  <c r="F203" i="55"/>
  <c r="F246" i="55"/>
  <c r="F332" i="55"/>
  <c r="F526" i="55"/>
  <c r="F150" i="55"/>
  <c r="F65" i="55"/>
  <c r="F209" i="55"/>
  <c r="F134" i="55"/>
  <c r="F130" i="55"/>
  <c r="F471" i="55"/>
  <c r="F570" i="55"/>
  <c r="F127" i="55"/>
  <c r="F64" i="55"/>
  <c r="F230" i="55"/>
  <c r="F189" i="55"/>
  <c r="F562" i="55"/>
  <c r="F518" i="55"/>
  <c r="F519" i="55"/>
  <c r="F11" i="55"/>
  <c r="F162" i="55"/>
  <c r="F222" i="55"/>
  <c r="F485" i="55"/>
  <c r="F529" i="55"/>
  <c r="F295" i="55"/>
  <c r="F137" i="55"/>
  <c r="F583" i="55"/>
  <c r="F468" i="55"/>
  <c r="F467" i="55"/>
  <c r="F325" i="55"/>
  <c r="F116" i="55"/>
  <c r="F10" i="55"/>
  <c r="F248" i="55"/>
  <c r="F333" i="55"/>
  <c r="F303" i="55"/>
  <c r="F217" i="55"/>
  <c r="F336" i="55"/>
  <c r="B724" i="11" l="1"/>
  <c r="B749" i="11"/>
  <c r="B725" i="11"/>
  <c r="B750" i="11"/>
  <c r="B756" i="11"/>
  <c r="B731" i="11"/>
  <c r="B734" i="11"/>
  <c r="B759" i="11"/>
  <c r="B760" i="11"/>
  <c r="B735" i="11"/>
  <c r="B761" i="11"/>
  <c r="B736" i="11"/>
  <c r="B762" i="11"/>
  <c r="B737" i="11"/>
  <c r="B763" i="11"/>
  <c r="B738" i="11"/>
  <c r="B733" i="11"/>
  <c r="B758" i="11"/>
  <c r="B764" i="11"/>
  <c r="B739" i="11"/>
  <c r="B767" i="11"/>
  <c r="B742" i="11"/>
  <c r="B744" i="11"/>
  <c r="B769" i="11"/>
  <c r="D1277" i="11"/>
  <c r="D765" i="11"/>
  <c r="D715" i="11"/>
  <c r="D740" i="11"/>
  <c r="B757" i="11"/>
  <c r="B732" i="11"/>
  <c r="B745" i="11"/>
  <c r="B770" i="11"/>
  <c r="B746" i="11"/>
  <c r="B771" i="11"/>
  <c r="B248" i="11"/>
  <c r="B1269" i="11"/>
  <c r="B252" i="11"/>
  <c r="B1273" i="11"/>
  <c r="B258" i="11"/>
  <c r="B1279" i="11"/>
  <c r="B249" i="11"/>
  <c r="B1270" i="11"/>
  <c r="B253" i="11"/>
  <c r="B1274" i="11"/>
  <c r="B260" i="11"/>
  <c r="B1281" i="11"/>
  <c r="C597" i="58"/>
  <c r="C576" i="58" s="1"/>
  <c r="C618" i="58"/>
  <c r="C639" i="58"/>
  <c r="C660" i="58"/>
  <c r="C681" i="58"/>
  <c r="B72" i="58"/>
  <c r="B98" i="58"/>
  <c r="B124" i="58"/>
  <c r="B250" i="11"/>
  <c r="B1271" i="11"/>
  <c r="B254" i="11"/>
  <c r="B1275" i="11"/>
  <c r="B261" i="11"/>
  <c r="B1282" i="11"/>
  <c r="B247" i="11"/>
  <c r="B1268" i="11"/>
  <c r="B251" i="11"/>
  <c r="B1272" i="11"/>
  <c r="B255" i="11"/>
  <c r="B1276" i="11"/>
  <c r="B262" i="11"/>
  <c r="B1283" i="11"/>
  <c r="B38" i="58"/>
  <c r="B142" i="58"/>
  <c r="B90" i="58"/>
  <c r="B64" i="58"/>
  <c r="B116" i="58"/>
  <c r="B143" i="58"/>
  <c r="B39" i="58"/>
  <c r="B91" i="58"/>
  <c r="B117" i="58"/>
  <c r="B65" i="58"/>
  <c r="B149" i="58"/>
  <c r="B45" i="58"/>
  <c r="B97" i="58"/>
  <c r="B71" i="58"/>
  <c r="B123" i="58"/>
  <c r="B241" i="11"/>
  <c r="B1262" i="11"/>
  <c r="B240" i="11"/>
  <c r="B1261" i="11"/>
  <c r="B707" i="11"/>
  <c r="B273" i="11"/>
  <c r="B348" i="11"/>
  <c r="B323" i="11"/>
  <c r="B298" i="11"/>
  <c r="B717" i="11"/>
  <c r="B708" i="11"/>
  <c r="B349" i="11"/>
  <c r="B324" i="11"/>
  <c r="B299" i="11"/>
  <c r="B274" i="11"/>
  <c r="B719" i="11"/>
  <c r="B285" i="11"/>
  <c r="B360" i="11"/>
  <c r="B335" i="11"/>
  <c r="B310" i="11"/>
  <c r="B233" i="11"/>
  <c r="B709" i="11"/>
  <c r="B325" i="11"/>
  <c r="B300" i="11"/>
  <c r="B275" i="11"/>
  <c r="B350" i="11"/>
  <c r="B713" i="11"/>
  <c r="B329" i="11"/>
  <c r="B304" i="11"/>
  <c r="B279" i="11"/>
  <c r="B354" i="11"/>
  <c r="B720" i="11"/>
  <c r="B361" i="11"/>
  <c r="B336" i="11"/>
  <c r="B311" i="11"/>
  <c r="B286" i="11"/>
  <c r="B711" i="11"/>
  <c r="B277" i="11"/>
  <c r="B352" i="11"/>
  <c r="B327" i="11"/>
  <c r="B302" i="11"/>
  <c r="B712" i="11"/>
  <c r="B353" i="11"/>
  <c r="B328" i="11"/>
  <c r="B303" i="11"/>
  <c r="B278" i="11"/>
  <c r="B234" i="11"/>
  <c r="B706" i="11"/>
  <c r="B297" i="11"/>
  <c r="B272" i="11"/>
  <c r="B347" i="11"/>
  <c r="B322" i="11"/>
  <c r="B710" i="11"/>
  <c r="B301" i="11"/>
  <c r="B276" i="11"/>
  <c r="B351" i="11"/>
  <c r="B326" i="11"/>
  <c r="B714" i="11"/>
  <c r="B967" i="58" s="1"/>
  <c r="B305" i="11"/>
  <c r="B280" i="11"/>
  <c r="B355" i="11"/>
  <c r="B330" i="11"/>
  <c r="B721" i="11"/>
  <c r="B337" i="11"/>
  <c r="B312" i="11"/>
  <c r="B287" i="11"/>
  <c r="B362" i="11"/>
  <c r="C393" i="58"/>
  <c r="C238" i="58"/>
  <c r="D238" i="58"/>
  <c r="D393" i="58"/>
  <c r="C367" i="58"/>
  <c r="C212" i="58"/>
  <c r="C315" i="58"/>
  <c r="C289" i="58"/>
  <c r="C263" i="58"/>
  <c r="D367" i="58"/>
  <c r="D212" i="58"/>
  <c r="D289" i="58"/>
  <c r="D263" i="58"/>
  <c r="D315" i="58"/>
  <c r="D1938" i="11"/>
  <c r="D1300" i="11"/>
  <c r="D1939" i="11"/>
  <c r="B984" i="58" l="1"/>
  <c r="B884" i="58"/>
  <c r="B778" i="58"/>
  <c r="B588" i="58"/>
  <c r="B672" i="58"/>
  <c r="B959" i="58"/>
  <c r="B859" i="58"/>
  <c r="B753" i="58"/>
  <c r="B609" i="58"/>
  <c r="B934" i="58"/>
  <c r="B828" i="58"/>
  <c r="B728" i="58"/>
  <c r="B630" i="58"/>
  <c r="B567" i="58"/>
  <c r="B909" i="58"/>
  <c r="B803" i="58"/>
  <c r="B703" i="58"/>
  <c r="B651" i="58"/>
  <c r="B999" i="58"/>
  <c r="B843" i="58"/>
  <c r="B948" i="58"/>
  <c r="B842" i="58"/>
  <c r="B742" i="58"/>
  <c r="B644" i="58"/>
  <c r="B686" i="58"/>
  <c r="B923" i="58"/>
  <c r="B817" i="58"/>
  <c r="B717" i="58"/>
  <c r="B581" i="58"/>
  <c r="B998" i="58"/>
  <c r="B898" i="58"/>
  <c r="B792" i="58"/>
  <c r="B602" i="58"/>
  <c r="B973" i="58"/>
  <c r="B873" i="58"/>
  <c r="B767" i="58"/>
  <c r="B623" i="58"/>
  <c r="B665" i="58"/>
  <c r="B816" i="58"/>
  <c r="B997" i="58"/>
  <c r="B791" i="58"/>
  <c r="B664" i="58"/>
  <c r="B972" i="58"/>
  <c r="B766" i="58"/>
  <c r="B947" i="58"/>
  <c r="B741" i="58"/>
  <c r="B685" i="58"/>
  <c r="B922" i="58"/>
  <c r="B716" i="58"/>
  <c r="B897" i="58"/>
  <c r="B601" i="58"/>
  <c r="B580" i="58"/>
  <c r="B872" i="58"/>
  <c r="B622" i="58"/>
  <c r="B841" i="58"/>
  <c r="B643" i="58"/>
  <c r="B836" i="58"/>
  <c r="B892" i="58"/>
  <c r="B659" i="58"/>
  <c r="B811" i="58"/>
  <c r="D893" i="58"/>
  <c r="D868" i="58" s="1"/>
  <c r="D918" i="58"/>
  <c r="D943" i="58"/>
  <c r="D968" i="58"/>
  <c r="D993" i="58"/>
  <c r="D737" i="58"/>
  <c r="D712" i="58" s="1"/>
  <c r="D762" i="58"/>
  <c r="D787" i="58"/>
  <c r="D812" i="58"/>
  <c r="D837" i="58"/>
  <c r="D597" i="58"/>
  <c r="D576" i="58" s="1"/>
  <c r="D618" i="58"/>
  <c r="D639" i="58"/>
  <c r="D660" i="58"/>
  <c r="D681" i="58"/>
  <c r="B966" i="58"/>
  <c r="B916" i="58"/>
  <c r="B866" i="58"/>
  <c r="B810" i="58"/>
  <c r="B760" i="58"/>
  <c r="B710" i="58"/>
  <c r="B616" i="58"/>
  <c r="B658" i="58"/>
  <c r="B991" i="58"/>
  <c r="B941" i="58"/>
  <c r="B891" i="58"/>
  <c r="B835" i="58"/>
  <c r="B785" i="58"/>
  <c r="B735" i="58"/>
  <c r="B595" i="58"/>
  <c r="B637" i="58"/>
  <c r="B679" i="58"/>
  <c r="B574" i="58"/>
  <c r="B911" i="58"/>
  <c r="B805" i="58"/>
  <c r="B705" i="58"/>
  <c r="B674" i="58"/>
  <c r="B986" i="58"/>
  <c r="B886" i="58"/>
  <c r="B780" i="58"/>
  <c r="B590" i="58"/>
  <c r="B961" i="58"/>
  <c r="B861" i="58"/>
  <c r="B755" i="58"/>
  <c r="B611" i="58"/>
  <c r="B569" i="58"/>
  <c r="B632" i="58"/>
  <c r="B936" i="58"/>
  <c r="B830" i="58"/>
  <c r="B730" i="58"/>
  <c r="B653" i="58"/>
  <c r="B680" i="58"/>
  <c r="B942" i="58"/>
  <c r="B992" i="58"/>
  <c r="B617" i="58"/>
  <c r="B867" i="58"/>
  <c r="B990" i="58"/>
  <c r="B890" i="58"/>
  <c r="B784" i="58"/>
  <c r="B594" i="58"/>
  <c r="B965" i="58"/>
  <c r="B865" i="58"/>
  <c r="B759" i="58"/>
  <c r="B615" i="58"/>
  <c r="B636" i="58"/>
  <c r="B573" i="58"/>
  <c r="B940" i="58"/>
  <c r="B834" i="58"/>
  <c r="B734" i="58"/>
  <c r="B657" i="58"/>
  <c r="B915" i="58"/>
  <c r="B809" i="58"/>
  <c r="B709" i="58"/>
  <c r="B678" i="58"/>
  <c r="B887" i="58"/>
  <c r="B591" i="58"/>
  <c r="B962" i="58"/>
  <c r="B756" i="58"/>
  <c r="B654" i="58"/>
  <c r="B831" i="58"/>
  <c r="B912" i="58"/>
  <c r="B706" i="58"/>
  <c r="B675" i="58"/>
  <c r="B987" i="58"/>
  <c r="B781" i="58"/>
  <c r="B862" i="58"/>
  <c r="B612" i="58"/>
  <c r="B570" i="58"/>
  <c r="B937" i="58"/>
  <c r="B731" i="58"/>
  <c r="B806" i="58"/>
  <c r="B633" i="58"/>
  <c r="B814" i="58"/>
  <c r="B945" i="58"/>
  <c r="B739" i="58"/>
  <c r="B578" i="58"/>
  <c r="B970" i="58"/>
  <c r="B764" i="58"/>
  <c r="B895" i="58"/>
  <c r="B599" i="58"/>
  <c r="B683" i="58"/>
  <c r="B920" i="58"/>
  <c r="B714" i="58"/>
  <c r="B839" i="58"/>
  <c r="B641" i="58"/>
  <c r="B870" i="58"/>
  <c r="B620" i="58"/>
  <c r="B995" i="58"/>
  <c r="B789" i="58"/>
  <c r="B662" i="58"/>
  <c r="B638" i="58"/>
  <c r="B596" i="58"/>
  <c r="B711" i="58"/>
  <c r="B917" i="58"/>
  <c r="B938" i="58"/>
  <c r="B832" i="58"/>
  <c r="B732" i="58"/>
  <c r="B634" i="58"/>
  <c r="B913" i="58"/>
  <c r="B807" i="58"/>
  <c r="B707" i="58"/>
  <c r="B655" i="58"/>
  <c r="B571" i="58"/>
  <c r="B988" i="58"/>
  <c r="B888" i="58"/>
  <c r="B782" i="58"/>
  <c r="B592" i="58"/>
  <c r="B676" i="58"/>
  <c r="B963" i="58"/>
  <c r="B863" i="58"/>
  <c r="B757" i="58"/>
  <c r="B613" i="58"/>
  <c r="B572" i="58"/>
  <c r="B808" i="58"/>
  <c r="B889" i="58"/>
  <c r="B593" i="58"/>
  <c r="B656" i="58"/>
  <c r="B964" i="58"/>
  <c r="B758" i="58"/>
  <c r="B833" i="58"/>
  <c r="B914" i="58"/>
  <c r="B708" i="58"/>
  <c r="B989" i="58"/>
  <c r="B783" i="58"/>
  <c r="B635" i="58"/>
  <c r="B864" i="58"/>
  <c r="B614" i="58"/>
  <c r="B939" i="58"/>
  <c r="B733" i="58"/>
  <c r="B677" i="58"/>
  <c r="B652" i="58"/>
  <c r="B935" i="58"/>
  <c r="B729" i="58"/>
  <c r="B910" i="58"/>
  <c r="B704" i="58"/>
  <c r="B673" i="58"/>
  <c r="B885" i="58"/>
  <c r="B589" i="58"/>
  <c r="B860" i="58"/>
  <c r="B610" i="58"/>
  <c r="B568" i="58"/>
  <c r="B829" i="58"/>
  <c r="B804" i="58"/>
  <c r="B631" i="58"/>
  <c r="B985" i="58"/>
  <c r="B779" i="58"/>
  <c r="B960" i="58"/>
  <c r="B754" i="58"/>
  <c r="B786" i="58"/>
  <c r="B736" i="58"/>
  <c r="B575" i="58"/>
  <c r="B761" i="58"/>
  <c r="B978" i="58"/>
  <c r="B878" i="58"/>
  <c r="B772" i="58"/>
  <c r="B538" i="58"/>
  <c r="B534" i="58"/>
  <c r="B546" i="58"/>
  <c r="B953" i="58"/>
  <c r="B853" i="58"/>
  <c r="B747" i="58"/>
  <c r="B542" i="58"/>
  <c r="B550" i="58"/>
  <c r="B554" i="58"/>
  <c r="B928" i="58"/>
  <c r="B822" i="58"/>
  <c r="B722" i="58"/>
  <c r="B903" i="58"/>
  <c r="B797" i="58"/>
  <c r="B697" i="58"/>
  <c r="B821" i="58"/>
  <c r="B549" i="58"/>
  <c r="B852" i="58"/>
  <c r="B977" i="58"/>
  <c r="B771" i="58"/>
  <c r="B553" i="58"/>
  <c r="B796" i="58"/>
  <c r="B927" i="58"/>
  <c r="B721" i="58"/>
  <c r="B952" i="58"/>
  <c r="B746" i="58"/>
  <c r="B533" i="58"/>
  <c r="B877" i="58"/>
  <c r="B537" i="58"/>
  <c r="B545" i="58"/>
  <c r="B902" i="58"/>
  <c r="B696" i="58"/>
  <c r="B541" i="58"/>
  <c r="B218" i="58"/>
  <c r="B151" i="58"/>
  <c r="B73" i="58"/>
  <c r="B47" i="58"/>
  <c r="B99" i="58"/>
  <c r="B125" i="58"/>
  <c r="B209" i="58"/>
  <c r="B216" i="58"/>
  <c r="B75" i="58"/>
  <c r="B153" i="58"/>
  <c r="B101" i="58"/>
  <c r="B127" i="58"/>
  <c r="B49" i="58"/>
  <c r="B178" i="58"/>
  <c r="B62" i="58"/>
  <c r="B166" i="58"/>
  <c r="B114" i="58"/>
  <c r="B88" i="58"/>
  <c r="B140" i="58"/>
  <c r="B262" i="58"/>
  <c r="B207" i="58"/>
  <c r="B254" i="58"/>
  <c r="B235" i="58"/>
  <c r="B78" i="58"/>
  <c r="B130" i="58"/>
  <c r="B104" i="58"/>
  <c r="B156" i="58"/>
  <c r="B52" i="58"/>
  <c r="B261" i="58"/>
  <c r="B92" i="58"/>
  <c r="B144" i="58"/>
  <c r="B66" i="58"/>
  <c r="B118" i="58"/>
  <c r="B40" i="58"/>
  <c r="B242" i="58"/>
  <c r="B256" i="58"/>
  <c r="B48" i="58"/>
  <c r="B152" i="58"/>
  <c r="B74" i="58"/>
  <c r="B126" i="58"/>
  <c r="B100" i="58"/>
  <c r="B269" i="58"/>
  <c r="B192" i="58"/>
  <c r="B237" i="58"/>
  <c r="B211" i="58"/>
  <c r="B258" i="58"/>
  <c r="B229" i="58"/>
  <c r="B203" i="58"/>
  <c r="B183" i="58"/>
  <c r="B260" i="58"/>
  <c r="B259" i="58"/>
  <c r="B113" i="58"/>
  <c r="B165" i="58"/>
  <c r="B139" i="58"/>
  <c r="B87" i="58"/>
  <c r="B61" i="58"/>
  <c r="B268" i="58"/>
  <c r="B106" i="58"/>
  <c r="B54" i="58"/>
  <c r="B158" i="58"/>
  <c r="B132" i="58"/>
  <c r="B80" i="58"/>
  <c r="B257" i="58"/>
  <c r="B232" i="58"/>
  <c r="B138" i="58"/>
  <c r="B60" i="58"/>
  <c r="B164" i="58"/>
  <c r="B112" i="58"/>
  <c r="B86" i="58"/>
  <c r="B190" i="58"/>
  <c r="B231" i="58"/>
  <c r="B162" i="58"/>
  <c r="B136" i="58"/>
  <c r="B58" i="58"/>
  <c r="B84" i="58"/>
  <c r="B110" i="58"/>
  <c r="B255" i="58"/>
  <c r="B159" i="58"/>
  <c r="B81" i="58"/>
  <c r="B55" i="58"/>
  <c r="B107" i="58"/>
  <c r="B133" i="58"/>
  <c r="B181" i="58"/>
  <c r="B182" i="58"/>
  <c r="B191" i="58"/>
  <c r="B210" i="58"/>
  <c r="B180" i="58"/>
  <c r="B244" i="58"/>
  <c r="B233" i="58"/>
  <c r="B93" i="58"/>
  <c r="B119" i="58"/>
  <c r="B67" i="58"/>
  <c r="B145" i="58"/>
  <c r="B41" i="58"/>
  <c r="B208" i="58"/>
  <c r="B217" i="58"/>
  <c r="B236" i="58"/>
  <c r="B76" i="58"/>
  <c r="B50" i="58"/>
  <c r="B102" i="58"/>
  <c r="B154" i="58"/>
  <c r="B128" i="58"/>
  <c r="B179" i="58"/>
  <c r="B204" i="58"/>
  <c r="B185" i="58"/>
  <c r="B129" i="58"/>
  <c r="B103" i="58"/>
  <c r="B77" i="58"/>
  <c r="B155" i="58"/>
  <c r="B51" i="58"/>
  <c r="B177" i="58"/>
  <c r="B157" i="58"/>
  <c r="B79" i="58"/>
  <c r="B53" i="58"/>
  <c r="B131" i="58"/>
  <c r="B105" i="58"/>
  <c r="B234" i="58"/>
  <c r="B243" i="58"/>
  <c r="B184" i="58"/>
  <c r="B206" i="58"/>
  <c r="B267" i="58"/>
  <c r="B205" i="58"/>
  <c r="B230" i="58"/>
  <c r="C927" i="11" l="1"/>
  <c r="C936" i="11"/>
  <c r="B1257" i="11" l="1"/>
  <c r="B1244" i="11"/>
  <c r="B1218" i="11"/>
  <c r="B1205" i="11"/>
  <c r="B515" i="12"/>
  <c r="B514" i="12"/>
  <c r="B513" i="12"/>
  <c r="B512" i="12"/>
  <c r="B511" i="12"/>
  <c r="B509" i="12"/>
  <c r="B508" i="12"/>
  <c r="B507" i="12"/>
  <c r="B506" i="12"/>
  <c r="B505" i="12"/>
  <c r="B504" i="12"/>
  <c r="B503" i="12"/>
  <c r="B502" i="12"/>
  <c r="B501" i="12"/>
  <c r="B500" i="12"/>
  <c r="B499" i="12"/>
  <c r="B498" i="12"/>
  <c r="B497" i="12"/>
  <c r="B496" i="12"/>
  <c r="B495" i="12"/>
  <c r="B494" i="12"/>
  <c r="B493" i="12"/>
  <c r="B492" i="12"/>
  <c r="B491" i="12"/>
  <c r="B490" i="12"/>
  <c r="B489" i="12"/>
  <c r="B488" i="12"/>
  <c r="B487" i="12"/>
  <c r="B486" i="12"/>
  <c r="B485" i="12"/>
  <c r="B484" i="12"/>
  <c r="B483" i="12"/>
  <c r="B482" i="12"/>
  <c r="B481" i="12"/>
  <c r="B480" i="12"/>
  <c r="B479" i="12"/>
  <c r="B478" i="12"/>
  <c r="B477" i="12"/>
  <c r="B476" i="12"/>
  <c r="B475" i="12"/>
  <c r="B474" i="12"/>
  <c r="B473" i="12"/>
  <c r="B472" i="12"/>
  <c r="B471" i="12"/>
  <c r="B470" i="12"/>
  <c r="B469" i="12"/>
  <c r="B468" i="12"/>
  <c r="B467" i="12"/>
  <c r="B466" i="12"/>
  <c r="B465" i="12"/>
  <c r="B464" i="12"/>
  <c r="B463" i="12"/>
  <c r="B462" i="12"/>
  <c r="B461" i="12"/>
  <c r="B460" i="12"/>
  <c r="B459" i="12"/>
  <c r="B458" i="12"/>
  <c r="B457" i="12"/>
  <c r="B456" i="12"/>
  <c r="B455" i="12"/>
  <c r="B454" i="12"/>
  <c r="B453" i="12"/>
  <c r="B452" i="12"/>
  <c r="B451" i="12"/>
  <c r="B450" i="12"/>
  <c r="B449" i="12"/>
  <c r="B448" i="12"/>
  <c r="B447" i="12"/>
  <c r="B446" i="12"/>
  <c r="B445" i="12"/>
  <c r="B444" i="12"/>
  <c r="B443" i="12"/>
  <c r="B442" i="12"/>
  <c r="B441" i="12"/>
  <c r="B440" i="12"/>
  <c r="B439" i="12"/>
  <c r="B438" i="12"/>
  <c r="B437" i="12"/>
  <c r="B436" i="12"/>
  <c r="B435" i="12"/>
  <c r="B434" i="12"/>
  <c r="B433" i="12"/>
  <c r="B432" i="12"/>
  <c r="B431" i="12"/>
  <c r="B430" i="12"/>
  <c r="B429" i="12"/>
  <c r="B428" i="12"/>
  <c r="B427" i="12"/>
  <c r="B426" i="12"/>
  <c r="B425" i="12"/>
  <c r="B424" i="12"/>
  <c r="B423" i="12"/>
  <c r="B422" i="12"/>
  <c r="B421" i="12"/>
  <c r="B420" i="12"/>
  <c r="B419" i="12"/>
  <c r="B418" i="12"/>
  <c r="B417" i="12"/>
  <c r="B416" i="12"/>
  <c r="B415" i="12"/>
  <c r="B414" i="12"/>
  <c r="B413" i="12"/>
  <c r="B412" i="12"/>
  <c r="B411" i="12"/>
  <c r="B410" i="12"/>
  <c r="B409" i="12"/>
  <c r="B408" i="12"/>
  <c r="B407" i="12"/>
  <c r="B406" i="12"/>
  <c r="B405" i="12"/>
  <c r="B404" i="12"/>
  <c r="B403" i="12"/>
  <c r="B402" i="12"/>
  <c r="B401" i="12"/>
  <c r="B400" i="12"/>
  <c r="B399" i="12"/>
  <c r="B398" i="12"/>
  <c r="B397" i="12"/>
  <c r="B396" i="12"/>
  <c r="B395" i="12"/>
  <c r="B394" i="12"/>
  <c r="B393" i="12"/>
  <c r="B392" i="12"/>
  <c r="B391" i="12"/>
  <c r="B390" i="12"/>
  <c r="B389" i="12"/>
  <c r="B388" i="12"/>
  <c r="B387" i="12"/>
  <c r="B386" i="12"/>
  <c r="B385" i="12"/>
  <c r="B384" i="12"/>
  <c r="B383" i="12"/>
  <c r="B382" i="12"/>
  <c r="B381" i="12"/>
  <c r="B380" i="12"/>
  <c r="B379" i="12"/>
  <c r="B378" i="12"/>
  <c r="B377" i="12"/>
  <c r="B376" i="12"/>
  <c r="B375" i="12"/>
  <c r="B374" i="12"/>
  <c r="B373" i="12"/>
  <c r="B372" i="12"/>
  <c r="B371" i="12"/>
  <c r="B370" i="12"/>
  <c r="B369" i="12"/>
  <c r="B368" i="12"/>
  <c r="B367" i="12"/>
  <c r="B366" i="12"/>
  <c r="B365" i="12"/>
  <c r="B364" i="12"/>
  <c r="B363" i="12"/>
  <c r="B362" i="12"/>
  <c r="B361" i="12"/>
  <c r="B360" i="12"/>
  <c r="B359" i="12"/>
  <c r="B358" i="12"/>
  <c r="B357" i="12"/>
  <c r="B356" i="12"/>
  <c r="B355" i="12"/>
  <c r="B354" i="12"/>
  <c r="B353" i="12"/>
  <c r="B352" i="12"/>
  <c r="B351" i="12"/>
  <c r="B350" i="12"/>
  <c r="B349" i="12"/>
  <c r="B348" i="12"/>
  <c r="B347" i="12"/>
  <c r="B346" i="12"/>
  <c r="B230" i="12"/>
  <c r="B229" i="12"/>
  <c r="B228" i="12"/>
  <c r="B227" i="12"/>
  <c r="B226" i="12"/>
  <c r="B345" i="12"/>
  <c r="B344" i="12"/>
  <c r="B343" i="12"/>
  <c r="B342" i="12"/>
  <c r="B341" i="12"/>
  <c r="B340" i="12"/>
  <c r="B339" i="12"/>
  <c r="B338" i="12"/>
  <c r="B337" i="12"/>
  <c r="B336" i="12"/>
  <c r="B335" i="12"/>
  <c r="B334" i="12"/>
  <c r="B333" i="12"/>
  <c r="B332" i="12"/>
  <c r="B331" i="12"/>
  <c r="B330" i="12"/>
  <c r="B329" i="12"/>
  <c r="B328" i="12"/>
  <c r="B327" i="12"/>
  <c r="B326" i="12"/>
  <c r="B325" i="12"/>
  <c r="B324" i="12"/>
  <c r="B323" i="12"/>
  <c r="B322" i="12"/>
  <c r="B321" i="12"/>
  <c r="B320" i="12"/>
  <c r="B319" i="12"/>
  <c r="B318" i="12"/>
  <c r="B317" i="12"/>
  <c r="B316" i="12"/>
  <c r="B315" i="12"/>
  <c r="B314" i="12"/>
  <c r="B313" i="12"/>
  <c r="B312" i="12"/>
  <c r="B311" i="12"/>
  <c r="B310" i="12"/>
  <c r="B309" i="12"/>
  <c r="B308" i="12"/>
  <c r="B307" i="12"/>
  <c r="B306" i="12"/>
  <c r="B305" i="12"/>
  <c r="B304" i="12"/>
  <c r="B303" i="12"/>
  <c r="B302" i="12"/>
  <c r="B301" i="12"/>
  <c r="B300" i="12"/>
  <c r="B299" i="12"/>
  <c r="B298" i="12"/>
  <c r="B297" i="12"/>
  <c r="B296" i="12"/>
  <c r="B295" i="12"/>
  <c r="B294" i="12"/>
  <c r="B219" i="12"/>
  <c r="B218" i="12"/>
  <c r="B217" i="12"/>
  <c r="B216" i="12"/>
  <c r="B215" i="12"/>
  <c r="B293" i="12"/>
  <c r="B292" i="12"/>
  <c r="B291" i="12"/>
  <c r="B290" i="12"/>
  <c r="B289" i="12"/>
  <c r="B288" i="12"/>
  <c r="B287" i="12"/>
  <c r="B286" i="12"/>
  <c r="B285" i="12"/>
  <c r="B284" i="12"/>
  <c r="B281" i="12"/>
  <c r="B280" i="12"/>
  <c r="B279" i="12"/>
  <c r="B278" i="12"/>
  <c r="B277" i="12"/>
  <c r="B276" i="12"/>
  <c r="B275" i="12"/>
  <c r="B274" i="12"/>
  <c r="B273" i="12"/>
  <c r="B272" i="12"/>
  <c r="B271" i="12"/>
  <c r="B270" i="12"/>
  <c r="B269" i="12"/>
  <c r="B268" i="12"/>
  <c r="B267" i="12"/>
  <c r="B266" i="12"/>
  <c r="B265" i="12"/>
  <c r="B264" i="12"/>
  <c r="B263" i="12"/>
  <c r="B262" i="12"/>
  <c r="B261" i="12"/>
  <c r="B260" i="12"/>
  <c r="B259" i="12"/>
  <c r="B258" i="12"/>
  <c r="B257" i="12"/>
  <c r="B256" i="12"/>
  <c r="B255" i="12"/>
  <c r="B254" i="12"/>
  <c r="B253" i="12"/>
  <c r="B252" i="12"/>
  <c r="B251" i="12"/>
  <c r="B250" i="12"/>
  <c r="B249" i="12"/>
  <c r="B248" i="12"/>
  <c r="B247" i="12"/>
  <c r="B246" i="12"/>
  <c r="B245" i="12"/>
  <c r="B244" i="12"/>
  <c r="B243" i="12"/>
  <c r="B242" i="12"/>
  <c r="B208" i="12"/>
  <c r="B207" i="12"/>
  <c r="B206" i="12"/>
  <c r="B205" i="12"/>
  <c r="B204" i="12"/>
  <c r="B203" i="12"/>
  <c r="B241" i="12"/>
  <c r="B240" i="12"/>
  <c r="B239" i="12"/>
  <c r="B238" i="12"/>
  <c r="B237" i="12"/>
  <c r="B236" i="12"/>
  <c r="B235" i="12"/>
  <c r="B234" i="12"/>
  <c r="B233" i="12"/>
  <c r="E24" i="12" l="1"/>
  <c r="E23" i="12"/>
  <c r="E22" i="12"/>
  <c r="E21" i="12"/>
  <c r="E20" i="12"/>
  <c r="E19" i="12"/>
  <c r="E13" i="12"/>
  <c r="E12" i="12"/>
  <c r="E11" i="12"/>
  <c r="E10" i="12"/>
  <c r="E9" i="12"/>
  <c r="F24" i="12"/>
  <c r="F23" i="12"/>
  <c r="F22" i="12"/>
  <c r="F21" i="12"/>
  <c r="F20" i="12"/>
  <c r="F19" i="12"/>
  <c r="C24" i="12"/>
  <c r="C23" i="12"/>
  <c r="C22" i="12"/>
  <c r="C21" i="12"/>
  <c r="C20" i="12"/>
  <c r="C19" i="12"/>
  <c r="C13" i="12"/>
  <c r="C12" i="12"/>
  <c r="C11" i="12"/>
  <c r="C10" i="12"/>
  <c r="C9" i="12"/>
  <c r="B321" i="10" l="1"/>
  <c r="B320" i="10"/>
  <c r="B299" i="10"/>
  <c r="B298" i="10"/>
  <c r="B296" i="10"/>
  <c r="B295" i="10"/>
  <c r="G26" i="52" l="1"/>
  <c r="G25" i="52"/>
  <c r="G23" i="52"/>
  <c r="G22" i="52"/>
  <c r="G21" i="52"/>
  <c r="G20" i="52"/>
  <c r="G19" i="52"/>
  <c r="C73" i="47" l="1"/>
  <c r="B73" i="47"/>
  <c r="C53" i="47"/>
  <c r="C74" i="47" s="1"/>
  <c r="B53" i="47"/>
  <c r="B74" i="47" s="1"/>
  <c r="K59" i="47"/>
  <c r="H62" i="47"/>
  <c r="I62" i="47" s="1"/>
  <c r="F61" i="47" l="1"/>
  <c r="G61" i="47" s="1"/>
  <c r="F63" i="47"/>
  <c r="G63" i="47" s="1"/>
  <c r="I63" i="47" s="1"/>
  <c r="F64" i="47"/>
  <c r="G64" i="47" s="1"/>
  <c r="F65" i="47"/>
  <c r="G65" i="47" s="1"/>
  <c r="F58" i="47"/>
  <c r="G58" i="47" s="1"/>
  <c r="Y20" i="12"/>
  <c r="Z20" i="12"/>
  <c r="AA20" i="12"/>
  <c r="AB20" i="12"/>
  <c r="AC20" i="12"/>
  <c r="AE20" i="12"/>
  <c r="AG20" i="12"/>
  <c r="AH20" i="12"/>
  <c r="X20" i="12"/>
  <c r="I65" i="47" l="1"/>
  <c r="K65" i="47"/>
  <c r="I64" i="47"/>
  <c r="K64" i="47"/>
  <c r="K61" i="47"/>
  <c r="I61" i="47"/>
  <c r="K67" i="47" l="1"/>
  <c r="K68" i="47" s="1"/>
  <c r="C75" i="47" s="1"/>
  <c r="AD20" i="12" s="1"/>
  <c r="I67" i="47"/>
  <c r="I68" i="47" s="1"/>
  <c r="B75" i="47" s="1"/>
  <c r="AF20" i="12" s="1"/>
  <c r="L19" i="48"/>
  <c r="M19" i="48"/>
  <c r="N19" i="48"/>
  <c r="O19" i="48"/>
  <c r="P19" i="48"/>
  <c r="L10" i="48"/>
  <c r="M10" i="48"/>
  <c r="N10" i="48"/>
  <c r="O10" i="48"/>
  <c r="P10" i="48"/>
  <c r="C18" i="48"/>
  <c r="K19" i="48" s="1"/>
  <c r="C17" i="48"/>
  <c r="C16" i="48"/>
  <c r="C15" i="48"/>
  <c r="C14" i="48"/>
  <c r="C13" i="48"/>
  <c r="C12" i="48"/>
  <c r="C9" i="48"/>
  <c r="K10" i="48" s="1"/>
  <c r="P9" i="48" l="1"/>
  <c r="P12" i="48"/>
  <c r="P13" i="48"/>
  <c r="P14" i="48"/>
  <c r="P15" i="48"/>
  <c r="P16" i="48"/>
  <c r="P17" i="48"/>
  <c r="P18" i="48"/>
  <c r="J45" i="19" l="1"/>
  <c r="J44" i="19"/>
  <c r="J43" i="19"/>
  <c r="J42" i="19"/>
  <c r="J41" i="19"/>
  <c r="J40" i="19"/>
  <c r="J39" i="19"/>
  <c r="J38" i="19"/>
  <c r="J37" i="19"/>
  <c r="J36" i="19"/>
  <c r="J35" i="19"/>
  <c r="J34" i="19"/>
  <c r="J33" i="19"/>
  <c r="J32" i="19"/>
  <c r="J31" i="19"/>
  <c r="J30" i="19"/>
  <c r="J29" i="19"/>
  <c r="J28" i="19"/>
  <c r="J27" i="19"/>
  <c r="J26" i="19"/>
  <c r="J25" i="19"/>
  <c r="J24" i="19"/>
  <c r="J23" i="19"/>
  <c r="J22" i="19"/>
  <c r="J21" i="19"/>
  <c r="J20" i="19"/>
  <c r="J19" i="19"/>
  <c r="J18" i="19"/>
  <c r="J17" i="19"/>
  <c r="J16" i="19"/>
  <c r="M27" i="50" l="1"/>
  <c r="M38" i="50"/>
  <c r="M37" i="50"/>
  <c r="M36" i="50"/>
  <c r="M35" i="50"/>
  <c r="M34" i="50"/>
  <c r="M33" i="50"/>
  <c r="M32" i="50"/>
  <c r="M31" i="50"/>
  <c r="G11" i="12" s="1"/>
  <c r="M30" i="50"/>
  <c r="L30" i="50"/>
  <c r="L27" i="50"/>
  <c r="L38" i="50"/>
  <c r="L37" i="50"/>
  <c r="L36" i="50"/>
  <c r="L35" i="50"/>
  <c r="L34" i="50"/>
  <c r="L33" i="50"/>
  <c r="L32" i="50"/>
  <c r="L31" i="50"/>
  <c r="S27" i="50"/>
  <c r="O27" i="50"/>
  <c r="S38" i="50"/>
  <c r="O38" i="50"/>
  <c r="S37" i="50"/>
  <c r="O37" i="50"/>
  <c r="S36" i="50"/>
  <c r="O36" i="50"/>
  <c r="S35" i="50"/>
  <c r="O35" i="50"/>
  <c r="S34" i="50"/>
  <c r="O34" i="50"/>
  <c r="S33" i="50"/>
  <c r="O33" i="50"/>
  <c r="S32" i="50"/>
  <c r="O32" i="50"/>
  <c r="S31" i="50"/>
  <c r="M11" i="12" s="1"/>
  <c r="O31" i="50"/>
  <c r="I11" i="12" s="1"/>
  <c r="S30" i="50"/>
  <c r="O30" i="50"/>
  <c r="R27" i="50"/>
  <c r="N27" i="50"/>
  <c r="R38" i="50"/>
  <c r="N38" i="50"/>
  <c r="R37" i="50"/>
  <c r="N37" i="50"/>
  <c r="R36" i="50"/>
  <c r="N36" i="50"/>
  <c r="R35" i="50"/>
  <c r="N35" i="50"/>
  <c r="R34" i="50"/>
  <c r="N34" i="50"/>
  <c r="R33" i="50"/>
  <c r="N33" i="50"/>
  <c r="R32" i="50"/>
  <c r="N32" i="50"/>
  <c r="R31" i="50"/>
  <c r="L11" i="12" s="1"/>
  <c r="N31" i="50"/>
  <c r="H11" i="12" s="1"/>
  <c r="R30" i="50"/>
  <c r="N30" i="50"/>
  <c r="Q27" i="50"/>
  <c r="Q38" i="50"/>
  <c r="Q37" i="50"/>
  <c r="Q36" i="50"/>
  <c r="Q35" i="50"/>
  <c r="Q34" i="50"/>
  <c r="Q33" i="50"/>
  <c r="Q32" i="50"/>
  <c r="Q31" i="50"/>
  <c r="K11" i="12" s="1"/>
  <c r="Q30" i="50"/>
  <c r="P27" i="50"/>
  <c r="P38" i="50"/>
  <c r="P37" i="50"/>
  <c r="P36" i="50"/>
  <c r="P35" i="50"/>
  <c r="P34" i="50"/>
  <c r="P33" i="50"/>
  <c r="P32" i="50"/>
  <c r="P31" i="50"/>
  <c r="J11" i="12" s="1"/>
  <c r="P30" i="50"/>
  <c r="G14" i="52"/>
  <c r="G13" i="52"/>
  <c r="G12" i="52"/>
  <c r="G11" i="52"/>
  <c r="G10" i="52"/>
  <c r="G9" i="52"/>
  <c r="G8" i="52"/>
  <c r="G7" i="52"/>
  <c r="C35" i="52"/>
  <c r="D20" i="52" l="1"/>
  <c r="G24" i="52"/>
  <c r="H24" i="52" s="1"/>
  <c r="H22" i="52"/>
  <c r="H25" i="52"/>
  <c r="H26" i="52"/>
  <c r="H21" i="52"/>
  <c r="H19" i="52"/>
  <c r="H23" i="52"/>
  <c r="H20" i="52"/>
  <c r="D8" i="52"/>
  <c r="D13" i="52"/>
  <c r="D9" i="52"/>
  <c r="H7" i="52"/>
  <c r="H12" i="52"/>
  <c r="H10" i="52"/>
  <c r="H8" i="52"/>
  <c r="H14" i="52"/>
  <c r="H13" i="52"/>
  <c r="H11" i="52"/>
  <c r="H9" i="52"/>
  <c r="D25" i="52"/>
  <c r="D16" i="52"/>
  <c r="D7" i="52"/>
  <c r="D10" i="52"/>
  <c r="D15" i="52"/>
  <c r="D17" i="52"/>
  <c r="D31" i="52"/>
  <c r="D33" i="52"/>
  <c r="D29" i="52"/>
  <c r="D11" i="52"/>
  <c r="D27" i="52"/>
  <c r="D18" i="52"/>
  <c r="D32" i="52"/>
  <c r="D34" i="52"/>
  <c r="D24" i="52"/>
  <c r="D30" i="52"/>
  <c r="D23" i="52"/>
  <c r="D22" i="52"/>
  <c r="D14" i="52"/>
  <c r="D28" i="52"/>
  <c r="D19" i="52"/>
  <c r="D21" i="52"/>
  <c r="D12" i="52"/>
  <c r="D26" i="52"/>
  <c r="H27" i="52" l="1"/>
  <c r="D35" i="52"/>
  <c r="H15" i="52"/>
  <c r="Y21" i="12" l="1"/>
  <c r="Y22" i="12" s="1"/>
  <c r="Y23" i="12" s="1"/>
  <c r="Y24" i="12" s="1"/>
  <c r="Z21" i="12"/>
  <c r="Z22" i="12" s="1"/>
  <c r="Z23" i="12" s="1"/>
  <c r="Z24" i="12" s="1"/>
  <c r="AA21" i="12"/>
  <c r="AA22" i="12" s="1"/>
  <c r="AA23" i="12" s="1"/>
  <c r="AA24" i="12" s="1"/>
  <c r="AB21" i="12"/>
  <c r="AB22" i="12" s="1"/>
  <c r="AB23" i="12" s="1"/>
  <c r="AB24" i="12" s="1"/>
  <c r="AC21" i="12"/>
  <c r="AC22" i="12" s="1"/>
  <c r="AC23" i="12" s="1"/>
  <c r="AC24" i="12" s="1"/>
  <c r="AD21" i="12"/>
  <c r="AD22" i="12" s="1"/>
  <c r="AD23" i="12" s="1"/>
  <c r="AD24" i="12" s="1"/>
  <c r="AE21" i="12"/>
  <c r="AE22" i="12" s="1"/>
  <c r="AE23" i="12" s="1"/>
  <c r="AE24" i="12" s="1"/>
  <c r="AF21" i="12"/>
  <c r="AF22" i="12" s="1"/>
  <c r="AF23" i="12" s="1"/>
  <c r="AF24" i="12" s="1"/>
  <c r="AG21" i="12"/>
  <c r="AG22" i="12" s="1"/>
  <c r="AG23" i="12" s="1"/>
  <c r="AG24" i="12" s="1"/>
  <c r="AH21" i="12"/>
  <c r="AH22" i="12" s="1"/>
  <c r="AH23" i="12" s="1"/>
  <c r="AH24" i="12" s="1"/>
  <c r="X21" i="12"/>
  <c r="X22" i="12" s="1"/>
  <c r="X23" i="12" s="1"/>
  <c r="X24" i="12" s="1"/>
  <c r="C708" i="44" l="1"/>
  <c r="C748" i="44"/>
  <c r="L18" i="48" l="1"/>
  <c r="K18" i="48"/>
  <c r="L17" i="48"/>
  <c r="K17" i="48"/>
  <c r="L16" i="48"/>
  <c r="K16" i="48"/>
  <c r="L15" i="48"/>
  <c r="K15" i="48"/>
  <c r="L14" i="48"/>
  <c r="K14" i="48"/>
  <c r="L13" i="48"/>
  <c r="K13" i="48"/>
  <c r="L12" i="48"/>
  <c r="K12" i="48"/>
  <c r="L9" i="48"/>
  <c r="K9" i="48"/>
  <c r="C162" i="11" l="1"/>
  <c r="D162" i="11"/>
  <c r="C163" i="11"/>
  <c r="D163" i="11"/>
  <c r="C164" i="11"/>
  <c r="D164" i="11"/>
  <c r="C165" i="11"/>
  <c r="D165" i="11"/>
  <c r="C166" i="11"/>
  <c r="D166" i="11"/>
  <c r="C167" i="11"/>
  <c r="D167" i="11"/>
  <c r="C168" i="11"/>
  <c r="D168" i="11"/>
  <c r="C169" i="11"/>
  <c r="D169" i="11"/>
  <c r="C170" i="11"/>
  <c r="D170" i="11"/>
  <c r="C171" i="11"/>
  <c r="D171" i="11"/>
  <c r="C172" i="11"/>
  <c r="D172" i="11"/>
  <c r="C173" i="11"/>
  <c r="D173" i="11"/>
  <c r="C174" i="11"/>
  <c r="D174" i="11"/>
  <c r="C175" i="11"/>
  <c r="D175" i="11"/>
  <c r="C176" i="11"/>
  <c r="D176" i="11"/>
  <c r="C177" i="11"/>
  <c r="D177" i="11"/>
  <c r="C178" i="11"/>
  <c r="D178" i="11"/>
  <c r="C179" i="11"/>
  <c r="D179" i="11"/>
  <c r="C180" i="11"/>
  <c r="D180" i="11"/>
  <c r="C181" i="11"/>
  <c r="D181" i="11"/>
  <c r="C182" i="11"/>
  <c r="D182" i="11"/>
  <c r="C183" i="11"/>
  <c r="D183" i="11"/>
  <c r="C184" i="11"/>
  <c r="D184" i="11"/>
  <c r="C185" i="11"/>
  <c r="D185" i="11"/>
  <c r="C186" i="11"/>
  <c r="D186" i="11"/>
  <c r="O9" i="48"/>
  <c r="N9" i="48"/>
  <c r="M9" i="48"/>
  <c r="I397" i="28" l="1"/>
  <c r="I403" i="28" s="1"/>
  <c r="I384" i="28"/>
  <c r="I390" i="28" s="1"/>
  <c r="I371" i="28"/>
  <c r="I377" i="28" s="1"/>
  <c r="I358" i="28"/>
  <c r="I364" i="28" s="1"/>
  <c r="I345" i="28"/>
  <c r="I351" i="28" s="1"/>
  <c r="I332" i="28"/>
  <c r="I338" i="28" s="1"/>
  <c r="I319" i="28"/>
  <c r="I325" i="28" s="1"/>
  <c r="I306" i="28"/>
  <c r="I312" i="28" s="1"/>
  <c r="I293" i="28"/>
  <c r="I299" i="28" s="1"/>
  <c r="I280" i="28"/>
  <c r="I286" i="28" s="1"/>
  <c r="I267" i="28"/>
  <c r="I273" i="28" s="1"/>
  <c r="I254" i="28"/>
  <c r="I260" i="28" s="1"/>
  <c r="I241" i="28"/>
  <c r="I247" i="28" s="1"/>
  <c r="I228" i="28"/>
  <c r="I234" i="28" s="1"/>
  <c r="I215" i="28"/>
  <c r="I221" i="28" s="1"/>
  <c r="I202" i="28"/>
  <c r="I208" i="28" s="1"/>
  <c r="I189" i="28"/>
  <c r="I195" i="28" s="1"/>
  <c r="I176" i="28"/>
  <c r="I182" i="28" s="1"/>
  <c r="I163" i="28"/>
  <c r="I169" i="28" s="1"/>
  <c r="I150" i="28"/>
  <c r="I156" i="28" s="1"/>
  <c r="I137" i="28"/>
  <c r="I143" i="28" s="1"/>
  <c r="I124" i="28"/>
  <c r="I125" i="28" s="1"/>
  <c r="I131" i="28" s="1"/>
  <c r="I111" i="28"/>
  <c r="I117" i="28" s="1"/>
  <c r="I98" i="28"/>
  <c r="I99" i="28" s="1"/>
  <c r="I105" i="28" s="1"/>
  <c r="I85" i="28"/>
  <c r="I91" i="28" s="1"/>
  <c r="I72" i="28"/>
  <c r="I73" i="28" s="1"/>
  <c r="I79" i="28" s="1"/>
  <c r="I59" i="28"/>
  <c r="I65" i="28" s="1"/>
  <c r="I46" i="28"/>
  <c r="I52" i="28" s="1"/>
  <c r="I33" i="28"/>
  <c r="I39" i="28" s="1"/>
  <c r="I20" i="28"/>
  <c r="I26" i="28" s="1"/>
  <c r="I7" i="28"/>
  <c r="I112" i="28" l="1"/>
  <c r="I118" i="28" s="1"/>
  <c r="I86" i="28"/>
  <c r="I92" i="28" s="1"/>
  <c r="I78" i="28"/>
  <c r="I104" i="28"/>
  <c r="I130" i="28"/>
  <c r="I13" i="28"/>
  <c r="I398" i="28"/>
  <c r="I333" i="28"/>
  <c r="I346" i="28"/>
  <c r="I359" i="28"/>
  <c r="I372" i="28"/>
  <c r="I385" i="28"/>
  <c r="I268" i="28"/>
  <c r="I281" i="28"/>
  <c r="I294" i="28"/>
  <c r="I307" i="28"/>
  <c r="I320" i="28"/>
  <c r="I203" i="28"/>
  <c r="I216" i="28"/>
  <c r="I229" i="28"/>
  <c r="I242" i="28"/>
  <c r="I255" i="28"/>
  <c r="I138" i="28"/>
  <c r="I151" i="28"/>
  <c r="I164" i="28"/>
  <c r="I177" i="28"/>
  <c r="I190" i="28"/>
  <c r="I74" i="28"/>
  <c r="I100" i="28"/>
  <c r="I113" i="28"/>
  <c r="I126" i="28"/>
  <c r="I60" i="28"/>
  <c r="I47" i="28"/>
  <c r="I34" i="28"/>
  <c r="I21" i="28"/>
  <c r="I8" i="28"/>
  <c r="G100" i="45"/>
  <c r="G85" i="45"/>
  <c r="G86" i="45"/>
  <c r="G87" i="45"/>
  <c r="G83" i="45"/>
  <c r="G54" i="45"/>
  <c r="G55" i="45"/>
  <c r="G99" i="45"/>
  <c r="G98" i="45"/>
  <c r="G97" i="45"/>
  <c r="G96" i="45"/>
  <c r="G95" i="45"/>
  <c r="G94" i="45"/>
  <c r="G93" i="45"/>
  <c r="G92" i="45"/>
  <c r="G91" i="45"/>
  <c r="G90" i="45"/>
  <c r="G89" i="45"/>
  <c r="G88" i="45"/>
  <c r="G84" i="45"/>
  <c r="G82" i="45"/>
  <c r="G81" i="45"/>
  <c r="G80" i="45"/>
  <c r="G79" i="45"/>
  <c r="G78" i="45"/>
  <c r="G77" i="45"/>
  <c r="G76" i="45"/>
  <c r="G75" i="45"/>
  <c r="G74" i="45"/>
  <c r="G73" i="45"/>
  <c r="G72" i="45"/>
  <c r="G71" i="45"/>
  <c r="G70" i="45"/>
  <c r="G69" i="45"/>
  <c r="G68" i="45"/>
  <c r="G67" i="45"/>
  <c r="G66" i="45"/>
  <c r="G65" i="45"/>
  <c r="G64" i="45"/>
  <c r="G63" i="45"/>
  <c r="G62" i="45"/>
  <c r="G61" i="45"/>
  <c r="G60" i="45"/>
  <c r="G59" i="45"/>
  <c r="G58" i="45"/>
  <c r="G57" i="45"/>
  <c r="G56" i="45"/>
  <c r="G46" i="45"/>
  <c r="G47" i="45"/>
  <c r="G48" i="45"/>
  <c r="G49" i="45"/>
  <c r="G50" i="45"/>
  <c r="G51" i="45"/>
  <c r="G52" i="45"/>
  <c r="G53" i="45"/>
  <c r="G45" i="45"/>
  <c r="C52" i="19"/>
  <c r="I87" i="28" l="1"/>
  <c r="I93" i="28" s="1"/>
  <c r="I404" i="28"/>
  <c r="I399" i="28"/>
  <c r="I378" i="28"/>
  <c r="I373" i="28"/>
  <c r="I352" i="28"/>
  <c r="I347" i="28"/>
  <c r="I391" i="28"/>
  <c r="I386" i="28"/>
  <c r="I365" i="28"/>
  <c r="I360" i="28"/>
  <c r="I339" i="28"/>
  <c r="I334" i="28"/>
  <c r="I313" i="28"/>
  <c r="I308" i="28"/>
  <c r="I326" i="28"/>
  <c r="I321" i="28"/>
  <c r="I300" i="28"/>
  <c r="I295" i="28"/>
  <c r="I274" i="28"/>
  <c r="I269" i="28"/>
  <c r="I287" i="28"/>
  <c r="I282" i="28"/>
  <c r="I248" i="28"/>
  <c r="I243" i="28"/>
  <c r="I222" i="28"/>
  <c r="I217" i="28"/>
  <c r="I261" i="28"/>
  <c r="I256" i="28"/>
  <c r="I235" i="28"/>
  <c r="I230" i="28"/>
  <c r="I209" i="28"/>
  <c r="I204" i="28"/>
  <c r="I183" i="28"/>
  <c r="I178" i="28"/>
  <c r="I196" i="28"/>
  <c r="I191" i="28"/>
  <c r="I170" i="28"/>
  <c r="I165" i="28"/>
  <c r="I139" i="28"/>
  <c r="I144" i="28"/>
  <c r="I157" i="28"/>
  <c r="I152" i="28"/>
  <c r="I132" i="28"/>
  <c r="I127" i="28"/>
  <c r="I106" i="28"/>
  <c r="I101" i="28"/>
  <c r="I80" i="28"/>
  <c r="I75" i="28"/>
  <c r="I119" i="28"/>
  <c r="I114" i="28"/>
  <c r="I66" i="28"/>
  <c r="I61" i="28"/>
  <c r="I53" i="28"/>
  <c r="I48" i="28"/>
  <c r="I40" i="28"/>
  <c r="I35" i="28"/>
  <c r="I27" i="28"/>
  <c r="I22" i="28"/>
  <c r="I14" i="28"/>
  <c r="I9" i="28"/>
  <c r="I88" i="28" l="1"/>
  <c r="I94" i="28" s="1"/>
  <c r="I405" i="28"/>
  <c r="I400" i="28"/>
  <c r="I366" i="28"/>
  <c r="I361" i="28"/>
  <c r="I353" i="28"/>
  <c r="I348" i="28"/>
  <c r="I340" i="28"/>
  <c r="I335" i="28"/>
  <c r="I392" i="28"/>
  <c r="I387" i="28"/>
  <c r="I379" i="28"/>
  <c r="I374" i="28"/>
  <c r="I288" i="28"/>
  <c r="I283" i="28"/>
  <c r="I301" i="28"/>
  <c r="I296" i="28"/>
  <c r="I327" i="28"/>
  <c r="I322" i="28"/>
  <c r="I275" i="28"/>
  <c r="I270" i="28"/>
  <c r="I314" i="28"/>
  <c r="I309" i="28"/>
  <c r="I236" i="28"/>
  <c r="I231" i="28"/>
  <c r="I262" i="28"/>
  <c r="I257" i="28"/>
  <c r="I223" i="28"/>
  <c r="I218" i="28"/>
  <c r="I249" i="28"/>
  <c r="I244" i="28"/>
  <c r="I210" i="28"/>
  <c r="I205" i="28"/>
  <c r="I145" i="28"/>
  <c r="I140" i="28"/>
  <c r="I158" i="28"/>
  <c r="I153" i="28"/>
  <c r="I171" i="28"/>
  <c r="I166" i="28"/>
  <c r="I197" i="28"/>
  <c r="I192" i="28"/>
  <c r="I184" i="28"/>
  <c r="I179" i="28"/>
  <c r="I120" i="28"/>
  <c r="I115" i="28"/>
  <c r="I121" i="28" s="1"/>
  <c r="I81" i="28"/>
  <c r="I76" i="28"/>
  <c r="I82" i="28" s="1"/>
  <c r="I107" i="28"/>
  <c r="I102" i="28"/>
  <c r="I108" i="28" s="1"/>
  <c r="I133" i="28"/>
  <c r="I128" i="28"/>
  <c r="I134" i="28" s="1"/>
  <c r="I67" i="28"/>
  <c r="I62" i="28"/>
  <c r="I54" i="28"/>
  <c r="I49" i="28"/>
  <c r="I41" i="28"/>
  <c r="I36" i="28"/>
  <c r="I28" i="28"/>
  <c r="I23" i="28"/>
  <c r="I15" i="28"/>
  <c r="I10" i="28"/>
  <c r="I89" i="28" l="1"/>
  <c r="I95" i="28" s="1"/>
  <c r="I406" i="28"/>
  <c r="I401" i="28"/>
  <c r="I407" i="28" s="1"/>
  <c r="I380" i="28"/>
  <c r="I375" i="28"/>
  <c r="I381" i="28" s="1"/>
  <c r="I393" i="28"/>
  <c r="I388" i="28"/>
  <c r="I394" i="28" s="1"/>
  <c r="I341" i="28"/>
  <c r="I336" i="28"/>
  <c r="I342" i="28" s="1"/>
  <c r="I354" i="28"/>
  <c r="I349" i="28"/>
  <c r="I355" i="28" s="1"/>
  <c r="I367" i="28"/>
  <c r="I362" i="28"/>
  <c r="I368" i="28" s="1"/>
  <c r="I315" i="28"/>
  <c r="I310" i="28"/>
  <c r="I316" i="28" s="1"/>
  <c r="I276" i="28"/>
  <c r="I271" i="28"/>
  <c r="I277" i="28" s="1"/>
  <c r="I328" i="28"/>
  <c r="I323" i="28"/>
  <c r="I329" i="28" s="1"/>
  <c r="I302" i="28"/>
  <c r="I297" i="28"/>
  <c r="I303" i="28" s="1"/>
  <c r="I289" i="28"/>
  <c r="I284" i="28"/>
  <c r="I290" i="28" s="1"/>
  <c r="I211" i="28"/>
  <c r="I206" i="28"/>
  <c r="I212" i="28" s="1"/>
  <c r="I250" i="28"/>
  <c r="I245" i="28"/>
  <c r="I251" i="28" s="1"/>
  <c r="I224" i="28"/>
  <c r="I219" i="28"/>
  <c r="I225" i="28" s="1"/>
  <c r="I263" i="28"/>
  <c r="I258" i="28"/>
  <c r="I264" i="28" s="1"/>
  <c r="I237" i="28"/>
  <c r="I232" i="28"/>
  <c r="I238" i="28" s="1"/>
  <c r="I185" i="28"/>
  <c r="I180" i="28"/>
  <c r="I186" i="28" s="1"/>
  <c r="I198" i="28"/>
  <c r="I193" i="28"/>
  <c r="I199" i="28" s="1"/>
  <c r="I172" i="28"/>
  <c r="I167" i="28"/>
  <c r="I173" i="28" s="1"/>
  <c r="I159" i="28"/>
  <c r="I154" i="28"/>
  <c r="I160" i="28" s="1"/>
  <c r="I146" i="28"/>
  <c r="I141" i="28"/>
  <c r="I147" i="28" s="1"/>
  <c r="I68" i="28"/>
  <c r="I63" i="28"/>
  <c r="I69" i="28" s="1"/>
  <c r="I55" i="28"/>
  <c r="I50" i="28"/>
  <c r="I56" i="28" s="1"/>
  <c r="I42" i="28"/>
  <c r="I37" i="28"/>
  <c r="I43" i="28" s="1"/>
  <c r="I29" i="28"/>
  <c r="I24" i="28"/>
  <c r="I30" i="28" s="1"/>
  <c r="I16" i="28"/>
  <c r="I11" i="28"/>
  <c r="D492" i="11" l="1"/>
  <c r="D483" i="11"/>
  <c r="D478" i="11"/>
  <c r="D512" i="11"/>
  <c r="D507" i="11"/>
  <c r="D502" i="11"/>
  <c r="D508" i="11"/>
  <c r="D513" i="11"/>
  <c r="D503" i="11"/>
  <c r="D498" i="11"/>
  <c r="D217" i="11"/>
  <c r="D487" i="11"/>
  <c r="D653" i="11"/>
  <c r="D524" i="11"/>
  <c r="D519" i="11"/>
  <c r="D688" i="11"/>
  <c r="D482" i="11"/>
  <c r="D678" i="11"/>
  <c r="D658" i="11"/>
  <c r="D626" i="11"/>
  <c r="D596" i="11"/>
  <c r="D576" i="11"/>
  <c r="D554" i="11"/>
  <c r="D539" i="11"/>
  <c r="D673" i="11"/>
  <c r="D643" i="11"/>
  <c r="D621" i="11"/>
  <c r="D591" i="11"/>
  <c r="D571" i="11"/>
  <c r="D549" i="11"/>
  <c r="D534" i="11"/>
  <c r="D497" i="11"/>
  <c r="D216" i="11"/>
  <c r="D493" i="11"/>
  <c r="D212" i="11"/>
  <c r="D468" i="11"/>
  <c r="D473" i="11"/>
  <c r="D648" i="11"/>
  <c r="D606" i="11"/>
  <c r="D601" i="11"/>
  <c r="D221" i="11"/>
  <c r="D467" i="11"/>
  <c r="D668" i="11"/>
  <c r="D638" i="11"/>
  <c r="D616" i="11"/>
  <c r="D586" i="11"/>
  <c r="D564" i="11"/>
  <c r="D544" i="11"/>
  <c r="D529" i="11"/>
  <c r="D683" i="11"/>
  <c r="D477" i="11"/>
  <c r="D472" i="11"/>
  <c r="D211" i="11"/>
  <c r="D663" i="11"/>
  <c r="D633" i="11"/>
  <c r="D611" i="11"/>
  <c r="D581" i="11"/>
  <c r="D559" i="11"/>
  <c r="D226" i="11"/>
  <c r="I17" i="28"/>
  <c r="E93" i="27" s="1" a="1"/>
  <c r="E93" i="27" s="1"/>
  <c r="H93" i="27" s="1"/>
  <c r="H137" i="26" s="1"/>
  <c r="F77" i="27" l="1" a="1"/>
  <c r="F77" i="27" s="1"/>
  <c r="E97" i="27" a="1"/>
  <c r="E97" i="27" s="1"/>
  <c r="H97" i="27" s="1"/>
  <c r="I132" i="26" s="1"/>
  <c r="F103" i="27" a="1"/>
  <c r="F103" i="27" s="1"/>
  <c r="F79" i="27" a="1"/>
  <c r="F79" i="27" s="1"/>
  <c r="E75" i="27" a="1"/>
  <c r="E75" i="27" s="1"/>
  <c r="H75" i="27" s="1"/>
  <c r="I96" i="26" s="1"/>
  <c r="E43" i="27" a="1"/>
  <c r="E43" i="27" s="1"/>
  <c r="H43" i="27" s="1"/>
  <c r="J59" i="26" s="1"/>
  <c r="E15" i="27" a="1"/>
  <c r="E15" i="27" s="1"/>
  <c r="H15" i="27" s="1"/>
  <c r="I18" i="26" s="1"/>
  <c r="F96" i="27" a="1"/>
  <c r="F96" i="27" s="1"/>
  <c r="F64" i="27" a="1"/>
  <c r="F64" i="27" s="1"/>
  <c r="E78" i="27" a="1"/>
  <c r="E78" i="27" s="1"/>
  <c r="H78" i="27" s="1"/>
  <c r="I111" i="26" s="1"/>
  <c r="E46" i="27" a="1"/>
  <c r="E46" i="27" s="1"/>
  <c r="H46" i="27" s="1"/>
  <c r="G75" i="26" s="1"/>
  <c r="E14" i="27" a="1"/>
  <c r="E14" i="27" s="1"/>
  <c r="H14" i="27" s="1"/>
  <c r="I13" i="26" s="1"/>
  <c r="F50" i="27" a="1"/>
  <c r="F50" i="27" s="1"/>
  <c r="F15" i="27" a="1"/>
  <c r="F15" i="27" s="1"/>
  <c r="F43" i="27" a="1"/>
  <c r="F43" i="27" s="1"/>
  <c r="E61" i="27" a="1"/>
  <c r="E61" i="27" s="1"/>
  <c r="H61" i="27" s="1"/>
  <c r="J75" i="26" s="1"/>
  <c r="E29" i="27" a="1"/>
  <c r="E29" i="27" s="1"/>
  <c r="H29" i="27" s="1"/>
  <c r="H39" i="26" s="1"/>
  <c r="F23" i="27" a="1"/>
  <c r="F23" i="27" s="1"/>
  <c r="F82" i="27" a="1"/>
  <c r="F82" i="27" s="1"/>
  <c r="E96" i="27" a="1"/>
  <c r="E96" i="27" s="1"/>
  <c r="H96" i="27" s="1"/>
  <c r="I127" i="26" s="1"/>
  <c r="E48" i="27" a="1"/>
  <c r="E48" i="27" s="1"/>
  <c r="H48" i="27" s="1"/>
  <c r="G85" i="26" s="1"/>
  <c r="F46" i="27" a="1"/>
  <c r="F46" i="27" s="1"/>
  <c r="F35" i="27" a="1"/>
  <c r="F35" i="27" s="1"/>
  <c r="F101" i="27" a="1"/>
  <c r="F101" i="27" s="1"/>
  <c r="E87" i="27" a="1"/>
  <c r="E87" i="27" s="1"/>
  <c r="H87" i="27" s="1"/>
  <c r="G132" i="26" s="1"/>
  <c r="E23" i="27" a="1"/>
  <c r="E23" i="27" s="1"/>
  <c r="H23" i="27" s="1"/>
  <c r="J33" i="26" s="1"/>
  <c r="F76" i="27" a="1"/>
  <c r="F76" i="27" s="1"/>
  <c r="E58" i="27" a="1"/>
  <c r="E58" i="27" s="1"/>
  <c r="H58" i="27" s="1"/>
  <c r="I85" i="26" s="1"/>
  <c r="F26" i="27" a="1"/>
  <c r="F26" i="27" s="1"/>
  <c r="F20" i="27" a="1"/>
  <c r="F20" i="27" s="1"/>
  <c r="E57" i="27" a="1"/>
  <c r="E57" i="27" s="1"/>
  <c r="H57" i="27" s="1"/>
  <c r="I80" i="26" s="1"/>
  <c r="F39" i="27" a="1"/>
  <c r="F39" i="27" s="1"/>
  <c r="E92" i="27" a="1"/>
  <c r="E92" i="27" s="1"/>
  <c r="H92" i="27" s="1"/>
  <c r="H132" i="26" s="1"/>
  <c r="E28" i="27" a="1"/>
  <c r="E28" i="27" s="1"/>
  <c r="H28" i="27" s="1"/>
  <c r="G59" i="26" s="1"/>
  <c r="F37" i="27" a="1"/>
  <c r="F37" i="27" s="1"/>
  <c r="E101" i="27" a="1"/>
  <c r="E101" i="27" s="1"/>
  <c r="H101" i="27" s="1"/>
  <c r="J127" i="26" s="1"/>
  <c r="F87" i="27" a="1"/>
  <c r="F87" i="27" s="1"/>
  <c r="E67" i="27" a="1"/>
  <c r="E67" i="27" s="1"/>
  <c r="H67" i="27" s="1"/>
  <c r="G106" i="26" s="1"/>
  <c r="E35" i="27" a="1"/>
  <c r="E35" i="27" s="1"/>
  <c r="H35" i="27" s="1"/>
  <c r="I44" i="26" s="1"/>
  <c r="F9" i="27" a="1"/>
  <c r="F9" i="27" s="1"/>
  <c r="F88" i="27" a="1"/>
  <c r="F88" i="27" s="1"/>
  <c r="E102" i="27" a="1"/>
  <c r="E102" i="27" s="1"/>
  <c r="H102" i="27" s="1"/>
  <c r="J132" i="26" s="1"/>
  <c r="E70" i="27" a="1"/>
  <c r="E70" i="27" s="1"/>
  <c r="H70" i="27" s="1"/>
  <c r="H96" i="26" s="1"/>
  <c r="E38" i="27" a="1"/>
  <c r="E38" i="27" s="1"/>
  <c r="H38" i="27" s="1"/>
  <c r="I59" i="26" s="1"/>
  <c r="F10" i="27" a="1"/>
  <c r="F10" i="27" s="1"/>
  <c r="E16" i="27" a="1"/>
  <c r="E16" i="27" s="1"/>
  <c r="H16" i="27" s="1"/>
  <c r="I23" i="26" s="1"/>
  <c r="F28" i="27" a="1"/>
  <c r="F28" i="27" s="1"/>
  <c r="E85" i="27" a="1"/>
  <c r="E85" i="27" s="1"/>
  <c r="H85" i="27" s="1"/>
  <c r="G122" i="26" s="1"/>
  <c r="E53" i="27" a="1"/>
  <c r="E53" i="27" s="1"/>
  <c r="H53" i="27" s="1"/>
  <c r="H85" i="26" s="1"/>
  <c r="E21" i="27" a="1"/>
  <c r="E21" i="27" s="1"/>
  <c r="H21" i="27" s="1"/>
  <c r="J23" i="26" s="1"/>
  <c r="F51" i="27" a="1"/>
  <c r="F51" i="27" s="1"/>
  <c r="F74" i="27" a="1"/>
  <c r="F74" i="27" s="1"/>
  <c r="E88" i="27" a="1"/>
  <c r="E88" i="27" s="1"/>
  <c r="H88" i="27" s="1"/>
  <c r="G137" i="26" s="1"/>
  <c r="E56" i="27" a="1"/>
  <c r="E56" i="27" s="1"/>
  <c r="H56" i="27" s="1"/>
  <c r="I75" i="26" s="1"/>
  <c r="E24" i="27" a="1"/>
  <c r="E24" i="27" s="1"/>
  <c r="H24" i="27" s="1"/>
  <c r="G39" i="26" s="1"/>
  <c r="F30" i="27" a="1"/>
  <c r="F30" i="27" s="1"/>
  <c r="F45" i="27" a="1"/>
  <c r="F45" i="27" s="1"/>
  <c r="F56" i="27" a="1"/>
  <c r="F56" i="27" s="1"/>
  <c r="F61" i="27" a="1"/>
  <c r="F61" i="27" s="1"/>
  <c r="F93" i="27" a="1"/>
  <c r="F93" i="27" s="1"/>
  <c r="F67" i="27" a="1"/>
  <c r="F67" i="27" s="1"/>
  <c r="F99" i="27" a="1"/>
  <c r="F99" i="27" s="1"/>
  <c r="E63" i="27" a="1"/>
  <c r="E63" i="27" s="1"/>
  <c r="H63" i="27" s="1"/>
  <c r="J85" i="26" s="1"/>
  <c r="E31" i="27" a="1"/>
  <c r="E31" i="27" s="1"/>
  <c r="H31" i="27" s="1"/>
  <c r="H49" i="26" s="1"/>
  <c r="E13" i="27" a="1"/>
  <c r="E13" i="27" s="1"/>
  <c r="H13" i="27" s="1"/>
  <c r="H33" i="26" s="1"/>
  <c r="F84" i="27" a="1"/>
  <c r="F84" i="27" s="1"/>
  <c r="E98" i="27" a="1"/>
  <c r="E98" i="27" s="1"/>
  <c r="H98" i="27" s="1"/>
  <c r="I137" i="26" s="1"/>
  <c r="E66" i="27" a="1"/>
  <c r="E66" i="27" s="1"/>
  <c r="H66" i="27" s="1"/>
  <c r="G101" i="26" s="1"/>
  <c r="E34" i="27" a="1"/>
  <c r="E34" i="27" s="1"/>
  <c r="H34" i="27" s="1"/>
  <c r="I39" i="26" s="1"/>
  <c r="F14" i="27" a="1"/>
  <c r="F14" i="27" s="1"/>
  <c r="F25" i="27" a="1"/>
  <c r="F25" i="27" s="1"/>
  <c r="F36" i="27" a="1"/>
  <c r="F36" i="27" s="1"/>
  <c r="E81" i="27" a="1"/>
  <c r="E81" i="27" s="1"/>
  <c r="H81" i="27" s="1"/>
  <c r="J101" i="26" s="1"/>
  <c r="E49" i="27" a="1"/>
  <c r="E49" i="27" s="1"/>
  <c r="H49" i="27" s="1"/>
  <c r="H65" i="26" s="1"/>
  <c r="F8" i="27" a="1"/>
  <c r="F8" i="27" s="1"/>
  <c r="F102" i="27" a="1"/>
  <c r="F102" i="27" s="1"/>
  <c r="F70" i="27" a="1"/>
  <c r="F70" i="27" s="1"/>
  <c r="E84" i="27" a="1"/>
  <c r="E84" i="27" s="1"/>
  <c r="H84" i="27" s="1"/>
  <c r="G117" i="26" s="1"/>
  <c r="E52" i="27" a="1"/>
  <c r="E52" i="27" s="1"/>
  <c r="H52" i="27" s="1"/>
  <c r="H80" i="26" s="1"/>
  <c r="E20" i="27" a="1"/>
  <c r="E20" i="27" s="1"/>
  <c r="H20" i="27" s="1"/>
  <c r="J18" i="26" s="1"/>
  <c r="F38" i="27" a="1"/>
  <c r="F38" i="27" s="1"/>
  <c r="F53" i="27" a="1"/>
  <c r="F53" i="27" s="1"/>
  <c r="E18" i="27" a="1"/>
  <c r="E18" i="27" s="1"/>
  <c r="H18" i="27" s="1"/>
  <c r="I33" i="26" s="1"/>
  <c r="E32" i="27" a="1"/>
  <c r="E32" i="27" s="1"/>
  <c r="H32" i="27" s="1"/>
  <c r="H54" i="26" s="1"/>
  <c r="F29" i="27" a="1"/>
  <c r="F29" i="27" s="1"/>
  <c r="E99" i="27" a="1"/>
  <c r="E99" i="27" s="1"/>
  <c r="H99" i="27" s="1"/>
  <c r="J117" i="26" s="1"/>
  <c r="F59" i="27" a="1"/>
  <c r="F59" i="27" s="1"/>
  <c r="E71" i="27" a="1"/>
  <c r="E71" i="27" s="1"/>
  <c r="H71" i="27" s="1"/>
  <c r="H101" i="26" s="1"/>
  <c r="E8" i="27" a="1"/>
  <c r="E8" i="27" s="1"/>
  <c r="H8" i="27" s="1"/>
  <c r="G33" i="26" s="1"/>
  <c r="F60" i="27" a="1"/>
  <c r="F60" i="27" s="1"/>
  <c r="E42" i="27" a="1"/>
  <c r="E42" i="27" s="1"/>
  <c r="H42" i="27" s="1"/>
  <c r="J54" i="26" s="1"/>
  <c r="F7" i="27" a="1"/>
  <c r="F7" i="27" s="1"/>
  <c r="E73" i="27" a="1"/>
  <c r="E73" i="27" s="1"/>
  <c r="H73" i="27" s="1"/>
  <c r="H111" i="26" s="1"/>
  <c r="F19" i="27" a="1"/>
  <c r="F19" i="27" s="1"/>
  <c r="F62" i="27" a="1"/>
  <c r="F62" i="27" s="1"/>
  <c r="E44" i="27" a="1"/>
  <c r="E44" i="27" s="1"/>
  <c r="H44" i="27" s="1"/>
  <c r="G65" i="26" s="1"/>
  <c r="F54" i="27" a="1"/>
  <c r="F54" i="27" s="1"/>
  <c r="E95" i="27" a="1"/>
  <c r="E95" i="27" s="1"/>
  <c r="H95" i="27" s="1"/>
  <c r="I122" i="26" s="1"/>
  <c r="F81" i="27" a="1"/>
  <c r="F81" i="27" s="1"/>
  <c r="E103" i="27" a="1"/>
  <c r="E103" i="27" s="1"/>
  <c r="H103" i="27" s="1"/>
  <c r="J137" i="26" s="1"/>
  <c r="F89" i="27" a="1"/>
  <c r="F89" i="27" s="1"/>
  <c r="F63" i="27" a="1"/>
  <c r="F63" i="27" s="1"/>
  <c r="F95" i="27" a="1"/>
  <c r="F95" i="27" s="1"/>
  <c r="E59" i="27" a="1"/>
  <c r="E59" i="27" s="1"/>
  <c r="H59" i="27" s="1"/>
  <c r="J65" i="26" s="1"/>
  <c r="E27" i="27" a="1"/>
  <c r="E27" i="27" s="1"/>
  <c r="H27" i="27" s="1"/>
  <c r="G54" i="26" s="1"/>
  <c r="F31" i="27" a="1"/>
  <c r="F31" i="27" s="1"/>
  <c r="F80" i="27" a="1"/>
  <c r="F80" i="27" s="1"/>
  <c r="E94" i="27" a="1"/>
  <c r="E94" i="27" s="1"/>
  <c r="H94" i="27" s="1"/>
  <c r="I117" i="26" s="1"/>
  <c r="E62" i="27" a="1"/>
  <c r="E62" i="27" s="1"/>
  <c r="H62" i="27" s="1"/>
  <c r="J80" i="26" s="1"/>
  <c r="E30" i="27" a="1"/>
  <c r="E30" i="27" s="1"/>
  <c r="H30" i="27" s="1"/>
  <c r="H44" i="26" s="1"/>
  <c r="F18" i="27" a="1"/>
  <c r="F18" i="27" s="1"/>
  <c r="F33" i="27" a="1"/>
  <c r="F33" i="27" s="1"/>
  <c r="F44" i="27" a="1"/>
  <c r="F44" i="27" s="1"/>
  <c r="E77" i="27" a="1"/>
  <c r="E77" i="27" s="1"/>
  <c r="H77" i="27" s="1"/>
  <c r="I106" i="26" s="1"/>
  <c r="E45" i="27" a="1"/>
  <c r="E45" i="27" s="1"/>
  <c r="H45" i="27" s="1"/>
  <c r="G70" i="26" s="1"/>
  <c r="E12" i="27" a="1"/>
  <c r="E12" i="27" s="1"/>
  <c r="H12" i="27" s="1"/>
  <c r="H28" i="26" s="1"/>
  <c r="F98" i="27" a="1"/>
  <c r="F98" i="27" s="1"/>
  <c r="F66" i="27" a="1"/>
  <c r="F66" i="27" s="1"/>
  <c r="E80" i="27" a="1"/>
  <c r="E80" i="27" s="1"/>
  <c r="H80" i="27" s="1"/>
  <c r="J96" i="26" s="1"/>
  <c r="E10" i="27" a="1"/>
  <c r="E10" i="27" s="1"/>
  <c r="H10" i="27" s="1"/>
  <c r="H18" i="26" s="1"/>
  <c r="F13" i="27" a="1"/>
  <c r="F13" i="27" s="1"/>
  <c r="F69" i="27" a="1"/>
  <c r="F69" i="27" s="1"/>
  <c r="F75" i="27" a="1"/>
  <c r="F75" i="27" s="1"/>
  <c r="E55" i="27" a="1"/>
  <c r="E55" i="27" s="1"/>
  <c r="H55" i="27" s="1"/>
  <c r="I70" i="26" s="1"/>
  <c r="F47" i="27" a="1"/>
  <c r="F47" i="27" s="1"/>
  <c r="E90" i="27" a="1"/>
  <c r="E90" i="27" s="1"/>
  <c r="H90" i="27" s="1"/>
  <c r="H122" i="26" s="1"/>
  <c r="E26" i="27" a="1"/>
  <c r="E26" i="27" s="1"/>
  <c r="H26" i="27" s="1"/>
  <c r="G49" i="26" s="1"/>
  <c r="F41" i="27" a="1"/>
  <c r="F41" i="27" s="1"/>
  <c r="E89" i="27" a="1"/>
  <c r="E89" i="27" s="1"/>
  <c r="H89" i="27" s="1"/>
  <c r="H117" i="26" s="1"/>
  <c r="E25" i="27" a="1"/>
  <c r="E25" i="27" s="1"/>
  <c r="H25" i="27" s="1"/>
  <c r="G44" i="26" s="1"/>
  <c r="F78" i="27" a="1"/>
  <c r="F78" i="27" s="1"/>
  <c r="E60" i="27" a="1"/>
  <c r="E60" i="27" s="1"/>
  <c r="H60" i="27" s="1"/>
  <c r="J70" i="26" s="1"/>
  <c r="F22" i="27" a="1"/>
  <c r="F22" i="27" s="1"/>
  <c r="F48" i="27" a="1"/>
  <c r="F48" i="27" s="1"/>
  <c r="F71" i="27" a="1"/>
  <c r="F71" i="27" s="1"/>
  <c r="E83" i="27" a="1"/>
  <c r="E83" i="27" s="1"/>
  <c r="H83" i="27" s="1"/>
  <c r="J111" i="26" s="1"/>
  <c r="E51" i="27" a="1"/>
  <c r="E51" i="27" s="1"/>
  <c r="H51" i="27" s="1"/>
  <c r="H75" i="26" s="1"/>
  <c r="E19" i="27" a="1"/>
  <c r="E19" i="27" s="1"/>
  <c r="H19" i="27" s="1"/>
  <c r="J13" i="26" s="1"/>
  <c r="F55" i="27" a="1"/>
  <c r="F55" i="27" s="1"/>
  <c r="F72" i="27" a="1"/>
  <c r="F72" i="27" s="1"/>
  <c r="E86" i="27" a="1"/>
  <c r="E86" i="27" s="1"/>
  <c r="H86" i="27" s="1"/>
  <c r="G127" i="26" s="1"/>
  <c r="E54" i="27" a="1"/>
  <c r="E54" i="27" s="1"/>
  <c r="H54" i="27" s="1"/>
  <c r="I65" i="26" s="1"/>
  <c r="E22" i="27" a="1"/>
  <c r="E22" i="27" s="1"/>
  <c r="H22" i="27" s="1"/>
  <c r="J28" i="26" s="1"/>
  <c r="F34" i="27" a="1"/>
  <c r="F34" i="27" s="1"/>
  <c r="F49" i="27" a="1"/>
  <c r="F49" i="27" s="1"/>
  <c r="E9" i="27" a="1"/>
  <c r="E9" i="27" s="1"/>
  <c r="H9" i="27" s="1"/>
  <c r="H13" i="26" s="1"/>
  <c r="E69" i="27" a="1"/>
  <c r="E69" i="27" s="1"/>
  <c r="H69" i="27" s="1"/>
  <c r="H91" i="26" s="1"/>
  <c r="E37" i="27" a="1"/>
  <c r="E37" i="27" s="1"/>
  <c r="H37" i="27" s="1"/>
  <c r="I54" i="26" s="1"/>
  <c r="E6" i="27" a="1"/>
  <c r="E6" i="27" s="1"/>
  <c r="H6" i="27" s="1"/>
  <c r="G23" i="26" s="1"/>
  <c r="F90" i="27" a="1"/>
  <c r="F90" i="27" s="1"/>
  <c r="F58" i="27" a="1"/>
  <c r="F58" i="27" s="1"/>
  <c r="E72" i="27" a="1"/>
  <c r="E72" i="27" s="1"/>
  <c r="H72" i="27" s="1"/>
  <c r="H106" i="26" s="1"/>
  <c r="E40" i="27" a="1"/>
  <c r="E40" i="27" s="1"/>
  <c r="H40" i="27" s="1"/>
  <c r="J44" i="26" s="1"/>
  <c r="E5" i="27" a="1"/>
  <c r="E5" i="27" s="1"/>
  <c r="H5" i="27" s="1"/>
  <c r="G18" i="26" s="1"/>
  <c r="E11" i="27" a="1"/>
  <c r="E11" i="27" s="1"/>
  <c r="H11" i="27" s="1"/>
  <c r="H23" i="26" s="1"/>
  <c r="F24" i="27" a="1"/>
  <c r="F24" i="27" s="1"/>
  <c r="E91" i="27" a="1"/>
  <c r="E91" i="27" s="1"/>
  <c r="H91" i="27" s="1"/>
  <c r="H127" i="26" s="1"/>
  <c r="F83" i="27" a="1"/>
  <c r="F83" i="27" s="1"/>
  <c r="E79" i="27" a="1"/>
  <c r="E79" i="27" s="1"/>
  <c r="H79" i="27" s="1"/>
  <c r="J91" i="26" s="1"/>
  <c r="E47" i="27" a="1"/>
  <c r="E47" i="27" s="1"/>
  <c r="H47" i="27" s="1"/>
  <c r="G80" i="26" s="1"/>
  <c r="F5" i="27" a="1"/>
  <c r="F5" i="27" s="1"/>
  <c r="F100" i="27" a="1"/>
  <c r="F100" i="27" s="1"/>
  <c r="F68" i="27" a="1"/>
  <c r="F68" i="27" s="1"/>
  <c r="E82" i="27" a="1"/>
  <c r="E82" i="27" s="1"/>
  <c r="H82" i="27" s="1"/>
  <c r="J106" i="26" s="1"/>
  <c r="E50" i="27" a="1"/>
  <c r="E50" i="27" s="1"/>
  <c r="H50" i="27" s="1"/>
  <c r="H70" i="26" s="1"/>
  <c r="F6" i="27" a="1"/>
  <c r="F6" i="27" s="1"/>
  <c r="F42" i="27" a="1"/>
  <c r="F42" i="27" s="1"/>
  <c r="F57" i="27" a="1"/>
  <c r="F57" i="27" s="1"/>
  <c r="F27" i="27" a="1"/>
  <c r="F27" i="27" s="1"/>
  <c r="E65" i="27" a="1"/>
  <c r="E65" i="27" s="1"/>
  <c r="H65" i="27" s="1"/>
  <c r="G96" i="26" s="1"/>
  <c r="E33" i="27" a="1"/>
  <c r="E33" i="27" s="1"/>
  <c r="H33" i="27" s="1"/>
  <c r="H59" i="26" s="1"/>
  <c r="F11" i="27" a="1"/>
  <c r="F11" i="27" s="1"/>
  <c r="F86" i="27" a="1"/>
  <c r="F86" i="27" s="1"/>
  <c r="E100" i="27" a="1"/>
  <c r="E100" i="27" s="1"/>
  <c r="H100" i="27" s="1"/>
  <c r="J122" i="26" s="1"/>
  <c r="E68" i="27" a="1"/>
  <c r="E68" i="27" s="1"/>
  <c r="H68" i="27" s="1"/>
  <c r="G111" i="26" s="1"/>
  <c r="E36" i="27" a="1"/>
  <c r="E36" i="27" s="1"/>
  <c r="H36" i="27" s="1"/>
  <c r="I49" i="26" s="1"/>
  <c r="F12" i="27" a="1"/>
  <c r="F12" i="27" s="1"/>
  <c r="F21" i="27" a="1"/>
  <c r="F21" i="27" s="1"/>
  <c r="F32" i="27" a="1"/>
  <c r="F32" i="27" s="1"/>
  <c r="E64" i="27" a="1"/>
  <c r="E64" i="27" s="1"/>
  <c r="H64" i="27" s="1"/>
  <c r="G91" i="26" s="1"/>
  <c r="F16" i="27" a="1"/>
  <c r="F16" i="27" s="1"/>
  <c r="F40" i="27" a="1"/>
  <c r="F40" i="27" s="1"/>
  <c r="F85" i="27" a="1"/>
  <c r="F85" i="27" s="1"/>
  <c r="F91" i="27" a="1"/>
  <c r="F91" i="27" s="1"/>
  <c r="E39" i="27" a="1"/>
  <c r="E39" i="27" s="1"/>
  <c r="H39" i="27" s="1"/>
  <c r="J39" i="26" s="1"/>
  <c r="F92" i="27" a="1"/>
  <c r="F92" i="27" s="1"/>
  <c r="E74" i="27" a="1"/>
  <c r="E74" i="27" s="1"/>
  <c r="H74" i="27" s="1"/>
  <c r="I91" i="26" s="1"/>
  <c r="E7" i="27" a="1"/>
  <c r="E7" i="27" s="1"/>
  <c r="H7" i="27" s="1"/>
  <c r="G28" i="26" s="1"/>
  <c r="F52" i="27" a="1"/>
  <c r="F52" i="27" s="1"/>
  <c r="E41" i="27" a="1"/>
  <c r="E41" i="27" s="1"/>
  <c r="H41" i="27" s="1"/>
  <c r="J49" i="26" s="1"/>
  <c r="F94" i="27" a="1"/>
  <c r="F94" i="27" s="1"/>
  <c r="E76" i="27" a="1"/>
  <c r="E76" i="27" s="1"/>
  <c r="H76" i="27" s="1"/>
  <c r="I101" i="26" s="1"/>
  <c r="E17" i="27" a="1"/>
  <c r="E17" i="27" s="1"/>
  <c r="H17" i="27" s="1"/>
  <c r="I28" i="26" s="1"/>
  <c r="F17" i="27" a="1"/>
  <c r="F17" i="27" s="1"/>
  <c r="F65" i="27" a="1"/>
  <c r="F65" i="27" s="1"/>
  <c r="F97" i="27" a="1"/>
  <c r="F97" i="27" s="1"/>
  <c r="F73" i="27" a="1"/>
  <c r="F73" i="27" s="1"/>
  <c r="C688" i="11"/>
  <c r="D218" i="11"/>
  <c r="D499" i="11"/>
  <c r="D504" i="11"/>
  <c r="D514" i="11"/>
  <c r="D509" i="11"/>
  <c r="D474" i="11"/>
  <c r="D479" i="11"/>
  <c r="D469" i="11"/>
  <c r="D213" i="11"/>
  <c r="D484" i="11"/>
  <c r="D494" i="11"/>
  <c r="D488" i="11"/>
  <c r="D520" i="11"/>
  <c r="D525" i="11"/>
  <c r="D222" i="11"/>
  <c r="D530" i="11"/>
  <c r="D535" i="11"/>
  <c r="D540" i="11"/>
  <c r="D227" i="11"/>
  <c r="D545" i="11"/>
  <c r="D550" i="11"/>
  <c r="D555" i="11"/>
  <c r="D560" i="11"/>
  <c r="D565" i="11"/>
  <c r="D572" i="11"/>
  <c r="D577" i="11"/>
  <c r="D582" i="11"/>
  <c r="D587" i="11"/>
  <c r="D592" i="11"/>
  <c r="D597" i="11"/>
  <c r="D602" i="11"/>
  <c r="D607" i="11"/>
  <c r="D649" i="11"/>
  <c r="D659" i="11"/>
  <c r="D664" i="11"/>
  <c r="D669" i="11"/>
  <c r="D674" i="11"/>
  <c r="D679" i="11"/>
  <c r="D684" i="11"/>
  <c r="D689" i="11"/>
  <c r="D654" i="11"/>
  <c r="D612" i="11"/>
  <c r="D617" i="11"/>
  <c r="D622" i="11"/>
  <c r="D627" i="11"/>
  <c r="D634" i="11"/>
  <c r="D639" i="11"/>
  <c r="D644" i="11"/>
  <c r="C611" i="11"/>
  <c r="C616" i="11"/>
  <c r="C621" i="11"/>
  <c r="C626" i="11"/>
  <c r="C633" i="11"/>
  <c r="C638" i="11"/>
  <c r="C643" i="11"/>
  <c r="C473" i="11"/>
  <c r="C478" i="11"/>
  <c r="C468" i="11"/>
  <c r="C212" i="11"/>
  <c r="C483" i="11"/>
  <c r="C493" i="11"/>
  <c r="C467" i="11"/>
  <c r="C211" i="11"/>
  <c r="C482" i="11"/>
  <c r="C216" i="11"/>
  <c r="C497" i="11"/>
  <c r="C507" i="11"/>
  <c r="C519" i="11"/>
  <c r="C524" i="11"/>
  <c r="C221" i="11"/>
  <c r="C529" i="11"/>
  <c r="C534" i="11"/>
  <c r="C539" i="11"/>
  <c r="C226" i="11"/>
  <c r="C544" i="11"/>
  <c r="C549" i="11"/>
  <c r="C554" i="11"/>
  <c r="C559" i="11"/>
  <c r="C564" i="11"/>
  <c r="C571" i="11"/>
  <c r="C576" i="11"/>
  <c r="C581" i="11"/>
  <c r="C586" i="11"/>
  <c r="C591" i="11"/>
  <c r="C596" i="11"/>
  <c r="C601" i="11"/>
  <c r="C606" i="11"/>
  <c r="C648" i="11"/>
  <c r="C653" i="11"/>
  <c r="C658" i="11"/>
  <c r="C663" i="11"/>
  <c r="C668" i="11"/>
  <c r="C673" i="11"/>
  <c r="C678" i="11"/>
  <c r="C683" i="11"/>
  <c r="C217" i="11"/>
  <c r="C498" i="11"/>
  <c r="C472" i="11"/>
  <c r="C477" i="11"/>
  <c r="C487" i="11"/>
  <c r="C503" i="11"/>
  <c r="C513" i="11"/>
  <c r="C508" i="11"/>
  <c r="C492" i="11"/>
  <c r="C502" i="11"/>
  <c r="C512" i="11"/>
  <c r="D495" i="11" l="1"/>
  <c r="D470" i="11"/>
  <c r="D475" i="11"/>
  <c r="D510" i="11"/>
  <c r="D515" i="11"/>
  <c r="D219" i="11"/>
  <c r="D645" i="11"/>
  <c r="D635" i="11"/>
  <c r="D628" i="11"/>
  <c r="D623" i="11"/>
  <c r="D618" i="11"/>
  <c r="D613" i="11"/>
  <c r="D655" i="11"/>
  <c r="D690" i="11"/>
  <c r="D685" i="11"/>
  <c r="D680" i="11"/>
  <c r="D675" i="11"/>
  <c r="D670" i="11"/>
  <c r="D665" i="11"/>
  <c r="D660" i="11"/>
  <c r="D650" i="11"/>
  <c r="D608" i="11"/>
  <c r="D603" i="11"/>
  <c r="D598" i="11"/>
  <c r="D593" i="11"/>
  <c r="D588" i="11"/>
  <c r="D583" i="11"/>
  <c r="D578" i="11"/>
  <c r="D573" i="11"/>
  <c r="D566" i="11"/>
  <c r="D561" i="11"/>
  <c r="D556" i="11"/>
  <c r="D551" i="11"/>
  <c r="D546" i="11"/>
  <c r="D228" i="11"/>
  <c r="D541" i="11"/>
  <c r="D536" i="11"/>
  <c r="D531" i="11"/>
  <c r="D223" i="11"/>
  <c r="D526" i="11"/>
  <c r="D521" i="11"/>
  <c r="C644" i="11"/>
  <c r="C639" i="11"/>
  <c r="C634" i="11"/>
  <c r="C627" i="11"/>
  <c r="C622" i="11"/>
  <c r="C617" i="11"/>
  <c r="C612" i="11"/>
  <c r="C684" i="11"/>
  <c r="C679" i="11"/>
  <c r="C674" i="11"/>
  <c r="C669" i="11"/>
  <c r="C664" i="11"/>
  <c r="C659" i="11"/>
  <c r="C649" i="11"/>
  <c r="C602" i="11"/>
  <c r="C222" i="11"/>
  <c r="C525" i="11"/>
  <c r="C520" i="11"/>
  <c r="C488" i="11"/>
  <c r="C494" i="11"/>
  <c r="C484" i="11"/>
  <c r="C213" i="11"/>
  <c r="C469" i="11"/>
  <c r="C479" i="11"/>
  <c r="C474" i="11"/>
  <c r="C509" i="11"/>
  <c r="C514" i="11"/>
  <c r="C504" i="11"/>
  <c r="C499" i="11"/>
  <c r="C218" i="11"/>
  <c r="C654" i="11"/>
  <c r="C607" i="11"/>
  <c r="C597" i="11"/>
  <c r="C592" i="11"/>
  <c r="C587" i="11"/>
  <c r="C582" i="11"/>
  <c r="C577" i="11"/>
  <c r="C572" i="11"/>
  <c r="C565" i="11"/>
  <c r="C560" i="11"/>
  <c r="C555" i="11"/>
  <c r="C550" i="11"/>
  <c r="C545" i="11"/>
  <c r="C227" i="11"/>
  <c r="C540" i="11"/>
  <c r="C535" i="11"/>
  <c r="C530" i="11"/>
  <c r="C689" i="11"/>
  <c r="D489" i="11"/>
  <c r="D485" i="11"/>
  <c r="D214" i="11"/>
  <c r="D480" i="11"/>
  <c r="D505" i="11"/>
  <c r="D500" i="11"/>
  <c r="D640" i="11"/>
  <c r="D501" i="11" l="1"/>
  <c r="D516" i="11"/>
  <c r="D476" i="11"/>
  <c r="D471" i="11"/>
  <c r="D486" i="11"/>
  <c r="D490" i="11"/>
  <c r="D522" i="11"/>
  <c r="D527" i="11"/>
  <c r="D532" i="11"/>
  <c r="D537" i="11"/>
  <c r="D542" i="11"/>
  <c r="D229" i="11"/>
  <c r="D547" i="11"/>
  <c r="D552" i="11"/>
  <c r="D557" i="11"/>
  <c r="D562" i="11"/>
  <c r="D567" i="11"/>
  <c r="D574" i="11"/>
  <c r="D579" i="11"/>
  <c r="D584" i="11"/>
  <c r="D589" i="11"/>
  <c r="D594" i="11"/>
  <c r="D599" i="11"/>
  <c r="D604" i="11"/>
  <c r="D609" i="11"/>
  <c r="D651" i="11"/>
  <c r="D661" i="11"/>
  <c r="D666" i="11"/>
  <c r="D671" i="11"/>
  <c r="D676" i="11"/>
  <c r="D686" i="11"/>
  <c r="D691" i="11"/>
  <c r="D656" i="11"/>
  <c r="D614" i="11"/>
  <c r="D619" i="11"/>
  <c r="D624" i="11"/>
  <c r="D629" i="11"/>
  <c r="D636" i="11"/>
  <c r="D641" i="11"/>
  <c r="D646" i="11"/>
  <c r="C521" i="11"/>
  <c r="C526" i="11"/>
  <c r="C223" i="11"/>
  <c r="C603" i="11"/>
  <c r="C650" i="11"/>
  <c r="C660" i="11"/>
  <c r="C665" i="11"/>
  <c r="C670" i="11"/>
  <c r="C675" i="11"/>
  <c r="C680" i="11"/>
  <c r="C655" i="11"/>
  <c r="C613" i="11"/>
  <c r="C618" i="11"/>
  <c r="C623" i="11"/>
  <c r="C628" i="11"/>
  <c r="C635" i="11"/>
  <c r="C640" i="11"/>
  <c r="C645" i="11"/>
  <c r="C219" i="11"/>
  <c r="C500" i="11"/>
  <c r="C505" i="11"/>
  <c r="C515" i="11"/>
  <c r="C510" i="11"/>
  <c r="C475" i="11"/>
  <c r="C480" i="11"/>
  <c r="C470" i="11"/>
  <c r="C214" i="11"/>
  <c r="C485" i="11"/>
  <c r="C495" i="11"/>
  <c r="C489" i="11"/>
  <c r="C531" i="11"/>
  <c r="C536" i="11"/>
  <c r="C541" i="11"/>
  <c r="C228" i="11"/>
  <c r="C546" i="11"/>
  <c r="C551" i="11"/>
  <c r="C556" i="11"/>
  <c r="C561" i="11"/>
  <c r="C566" i="11"/>
  <c r="C573" i="11"/>
  <c r="C578" i="11"/>
  <c r="C583" i="11"/>
  <c r="C588" i="11"/>
  <c r="C593" i="11"/>
  <c r="C598" i="11"/>
  <c r="C608" i="11"/>
  <c r="C685" i="11"/>
  <c r="C690" i="11"/>
  <c r="D220" i="11"/>
  <c r="D506" i="11"/>
  <c r="D511" i="11"/>
  <c r="D481" i="11"/>
  <c r="D215" i="11"/>
  <c r="D496" i="11"/>
  <c r="D224" i="11"/>
  <c r="D681" i="11"/>
  <c r="D637" i="11" l="1"/>
  <c r="D625" i="11"/>
  <c r="D615" i="11"/>
  <c r="D687" i="11"/>
  <c r="D672" i="11"/>
  <c r="D662" i="11"/>
  <c r="D652" i="11"/>
  <c r="D605" i="11"/>
  <c r="D590" i="11"/>
  <c r="D580" i="11"/>
  <c r="D568" i="11"/>
  <c r="D558" i="11"/>
  <c r="D548" i="11"/>
  <c r="D543" i="11"/>
  <c r="D533" i="11"/>
  <c r="D523" i="11"/>
  <c r="C641" i="11"/>
  <c r="C636" i="11"/>
  <c r="C629" i="11"/>
  <c r="C624" i="11"/>
  <c r="C619" i="11"/>
  <c r="C614" i="11"/>
  <c r="C656" i="11"/>
  <c r="C681" i="11"/>
  <c r="C676" i="11"/>
  <c r="C671" i="11"/>
  <c r="C666" i="11"/>
  <c r="C661" i="11"/>
  <c r="C651" i="11"/>
  <c r="C609" i="11"/>
  <c r="C604" i="11"/>
  <c r="C599" i="11"/>
  <c r="C594" i="11"/>
  <c r="C589" i="11"/>
  <c r="C584" i="11"/>
  <c r="C579" i="11"/>
  <c r="C574" i="11"/>
  <c r="C567" i="11"/>
  <c r="C562" i="11"/>
  <c r="C557" i="11"/>
  <c r="C552" i="11"/>
  <c r="C547" i="11"/>
  <c r="C229" i="11"/>
  <c r="C542" i="11"/>
  <c r="C537" i="11"/>
  <c r="C532" i="11"/>
  <c r="C527" i="11"/>
  <c r="C522" i="11"/>
  <c r="C490" i="11"/>
  <c r="C486" i="11"/>
  <c r="C471" i="11"/>
  <c r="C476" i="11"/>
  <c r="C516" i="11"/>
  <c r="C501" i="11"/>
  <c r="C646" i="11"/>
  <c r="C224" i="11"/>
  <c r="C496" i="11"/>
  <c r="C215" i="11"/>
  <c r="C481" i="11"/>
  <c r="C511" i="11"/>
  <c r="C506" i="11"/>
  <c r="C220" i="11"/>
  <c r="C691" i="11"/>
  <c r="C686" i="11"/>
  <c r="D491" i="11"/>
  <c r="D647" i="11"/>
  <c r="D642" i="11"/>
  <c r="D630" i="11"/>
  <c r="D620" i="11"/>
  <c r="D657" i="11"/>
  <c r="D692" i="11"/>
  <c r="D682" i="11"/>
  <c r="D677" i="11"/>
  <c r="D667" i="11"/>
  <c r="D610" i="11"/>
  <c r="D600" i="11"/>
  <c r="D595" i="11"/>
  <c r="D585" i="11"/>
  <c r="D575" i="11"/>
  <c r="D563" i="11"/>
  <c r="D553" i="11"/>
  <c r="D230" i="11"/>
  <c r="D538" i="11"/>
  <c r="D225" i="11"/>
  <c r="D528" i="11"/>
  <c r="C533" i="11" l="1"/>
  <c r="C548" i="11"/>
  <c r="C568" i="11"/>
  <c r="C590" i="11"/>
  <c r="C610" i="11"/>
  <c r="C672" i="11"/>
  <c r="C615" i="11"/>
  <c r="C637" i="11"/>
  <c r="C523" i="11"/>
  <c r="C538" i="11"/>
  <c r="C230" i="11"/>
  <c r="C563" i="11"/>
  <c r="C585" i="11"/>
  <c r="C595" i="11"/>
  <c r="C652" i="11"/>
  <c r="C667" i="11"/>
  <c r="C677" i="11"/>
  <c r="C657" i="11"/>
  <c r="C620" i="11"/>
  <c r="C630" i="11"/>
  <c r="C642" i="11"/>
  <c r="C491" i="11"/>
  <c r="C692" i="11"/>
  <c r="C687" i="11"/>
  <c r="C528" i="11"/>
  <c r="C543" i="11"/>
  <c r="C558" i="11"/>
  <c r="C580" i="11"/>
  <c r="C600" i="11"/>
  <c r="C662" i="11"/>
  <c r="C682" i="11"/>
  <c r="C625" i="11"/>
  <c r="C647" i="11"/>
  <c r="C225" i="11"/>
  <c r="C553" i="11"/>
  <c r="C575" i="11"/>
  <c r="C605" i="11"/>
  <c r="O18" i="48"/>
  <c r="N18" i="48"/>
  <c r="M18" i="48"/>
  <c r="O17" i="48"/>
  <c r="N17" i="48"/>
  <c r="M17" i="48"/>
  <c r="O16" i="48"/>
  <c r="N16" i="48"/>
  <c r="M16" i="48"/>
  <c r="O15" i="48"/>
  <c r="N15" i="48"/>
  <c r="M15" i="48"/>
  <c r="O14" i="48"/>
  <c r="N14" i="48"/>
  <c r="M14" i="48"/>
  <c r="O13" i="48"/>
  <c r="N13" i="48"/>
  <c r="M13" i="48"/>
  <c r="O12" i="48"/>
  <c r="N12" i="48"/>
  <c r="M12" i="48"/>
  <c r="H1117" i="25"/>
  <c r="H1080" i="25"/>
  <c r="H1098" i="25" s="1"/>
  <c r="H1043" i="25"/>
  <c r="H1006" i="25"/>
  <c r="H1024" i="25" s="1"/>
  <c r="H969" i="25"/>
  <c r="H932" i="25"/>
  <c r="H933" i="25" s="1"/>
  <c r="H895" i="25"/>
  <c r="H858" i="25"/>
  <c r="H821" i="25"/>
  <c r="H784" i="25"/>
  <c r="H785" i="25" s="1"/>
  <c r="H747" i="25"/>
  <c r="H710" i="25"/>
  <c r="H673" i="25"/>
  <c r="H636" i="25"/>
  <c r="H637" i="25" s="1"/>
  <c r="H599" i="25"/>
  <c r="H562" i="25"/>
  <c r="H525" i="25"/>
  <c r="H543" i="25" s="1"/>
  <c r="H488" i="25"/>
  <c r="H451" i="25"/>
  <c r="H469" i="25" s="1"/>
  <c r="H414" i="25"/>
  <c r="H377" i="25"/>
  <c r="H395" i="25" s="1"/>
  <c r="H340" i="25"/>
  <c r="H303" i="25"/>
  <c r="H321" i="25" s="1"/>
  <c r="H266" i="25"/>
  <c r="H229" i="25"/>
  <c r="H247" i="25" s="1"/>
  <c r="H192" i="25"/>
  <c r="H193" i="25" s="1"/>
  <c r="H194" i="25" s="1"/>
  <c r="H155" i="25"/>
  <c r="H173" i="25" s="1"/>
  <c r="H154" i="25"/>
  <c r="H118" i="25"/>
  <c r="H119" i="25" s="1"/>
  <c r="H120" i="25" s="1"/>
  <c r="H121" i="25" s="1"/>
  <c r="H122" i="25" s="1"/>
  <c r="H123" i="25" s="1"/>
  <c r="H124" i="25" s="1"/>
  <c r="H125" i="25" s="1"/>
  <c r="H126" i="25" s="1"/>
  <c r="H127" i="25" s="1"/>
  <c r="H128" i="25" s="1"/>
  <c r="H129" i="25" s="1"/>
  <c r="H130" i="25" s="1"/>
  <c r="H131" i="25" s="1"/>
  <c r="H132" i="25" s="1"/>
  <c r="H133" i="25" s="1"/>
  <c r="H134" i="25" s="1"/>
  <c r="H152" i="25" s="1"/>
  <c r="H81" i="25"/>
  <c r="H82" i="25" s="1"/>
  <c r="H83" i="25" s="1"/>
  <c r="H84" i="25" s="1"/>
  <c r="H85" i="25" s="1"/>
  <c r="H86" i="25" s="1"/>
  <c r="H87" i="25" s="1"/>
  <c r="H88" i="25" s="1"/>
  <c r="H89" i="25" s="1"/>
  <c r="H90" i="25" s="1"/>
  <c r="H91" i="25" s="1"/>
  <c r="H92" i="25" s="1"/>
  <c r="H93" i="25" s="1"/>
  <c r="H94" i="25" s="1"/>
  <c r="H95" i="25" s="1"/>
  <c r="H96" i="25" s="1"/>
  <c r="H97" i="25" s="1"/>
  <c r="H115" i="25" s="1"/>
  <c r="H44" i="25"/>
  <c r="H45" i="25" s="1"/>
  <c r="H46" i="25" s="1"/>
  <c r="H47" i="25" s="1"/>
  <c r="H48" i="25" s="1"/>
  <c r="H49" i="25" s="1"/>
  <c r="H50" i="25" s="1"/>
  <c r="H51" i="25" s="1"/>
  <c r="H52" i="25" s="1"/>
  <c r="H53" i="25" s="1"/>
  <c r="H54" i="25" s="1"/>
  <c r="H55" i="25" s="1"/>
  <c r="H56" i="25" s="1"/>
  <c r="H57" i="25" s="1"/>
  <c r="H58" i="25" s="1"/>
  <c r="H59" i="25" s="1"/>
  <c r="H60" i="25" s="1"/>
  <c r="H78" i="25" s="1"/>
  <c r="H7" i="25"/>
  <c r="H156" i="25" l="1"/>
  <c r="H157" i="25" s="1"/>
  <c r="H158" i="25" s="1"/>
  <c r="H159" i="25" s="1"/>
  <c r="H160" i="25" s="1"/>
  <c r="H161" i="25" s="1"/>
  <c r="H162" i="25" s="1"/>
  <c r="H163" i="25" s="1"/>
  <c r="H164" i="25" s="1"/>
  <c r="H165" i="25" s="1"/>
  <c r="H166" i="25" s="1"/>
  <c r="H167" i="25" s="1"/>
  <c r="H168" i="25" s="1"/>
  <c r="H169" i="25" s="1"/>
  <c r="H170" i="25" s="1"/>
  <c r="H171" i="25" s="1"/>
  <c r="H189" i="25" s="1"/>
  <c r="H304" i="25"/>
  <c r="H452" i="25"/>
  <c r="H1007" i="25"/>
  <c r="H1008" i="25" s="1"/>
  <c r="H934" i="25"/>
  <c r="H951" i="25"/>
  <c r="H8" i="25"/>
  <c r="H267" i="25"/>
  <c r="H284" i="25"/>
  <c r="H305" i="25"/>
  <c r="H322" i="25"/>
  <c r="H415" i="25"/>
  <c r="H432" i="25"/>
  <c r="H453" i="25"/>
  <c r="H470" i="25"/>
  <c r="H563" i="25"/>
  <c r="H580" i="25"/>
  <c r="H638" i="25"/>
  <c r="H655" i="25"/>
  <c r="H711" i="25"/>
  <c r="H728" i="25"/>
  <c r="H786" i="25"/>
  <c r="H803" i="25"/>
  <c r="H859" i="25"/>
  <c r="H876" i="25"/>
  <c r="H970" i="25"/>
  <c r="H987" i="25"/>
  <c r="H1118" i="25"/>
  <c r="H1135" i="25"/>
  <c r="H62" i="25"/>
  <c r="H64" i="25"/>
  <c r="H66" i="25"/>
  <c r="H68" i="25"/>
  <c r="H70" i="25"/>
  <c r="H72" i="25"/>
  <c r="H74" i="25"/>
  <c r="H76" i="25"/>
  <c r="H100" i="25"/>
  <c r="H102" i="25"/>
  <c r="H104" i="25"/>
  <c r="H106" i="25"/>
  <c r="H108" i="25"/>
  <c r="H110" i="25"/>
  <c r="H112" i="25"/>
  <c r="H114" i="25"/>
  <c r="H136" i="25"/>
  <c r="H138" i="25"/>
  <c r="H140" i="25"/>
  <c r="H142" i="25"/>
  <c r="H144" i="25"/>
  <c r="H146" i="25"/>
  <c r="H148" i="25"/>
  <c r="H150" i="25"/>
  <c r="H176" i="25"/>
  <c r="H178" i="25"/>
  <c r="H180" i="25"/>
  <c r="H184" i="25"/>
  <c r="H186" i="25"/>
  <c r="H188" i="25"/>
  <c r="H210" i="25"/>
  <c r="H654" i="25"/>
  <c r="H950" i="25"/>
  <c r="H195" i="25"/>
  <c r="H212" i="25"/>
  <c r="H230" i="25"/>
  <c r="H341" i="25"/>
  <c r="H358" i="25"/>
  <c r="H378" i="25"/>
  <c r="H489" i="25"/>
  <c r="H506" i="25"/>
  <c r="H526" i="25"/>
  <c r="H600" i="25"/>
  <c r="H617" i="25"/>
  <c r="H674" i="25"/>
  <c r="H691" i="25"/>
  <c r="H748" i="25"/>
  <c r="H765" i="25"/>
  <c r="H822" i="25"/>
  <c r="H839" i="25"/>
  <c r="H896" i="25"/>
  <c r="H913" i="25"/>
  <c r="H1044" i="25"/>
  <c r="H1061" i="25"/>
  <c r="H1081" i="25"/>
  <c r="H25" i="25"/>
  <c r="H63" i="25"/>
  <c r="H65" i="25"/>
  <c r="H67" i="25"/>
  <c r="H69" i="25"/>
  <c r="H71" i="25"/>
  <c r="H73" i="25"/>
  <c r="H75" i="25"/>
  <c r="H77" i="25"/>
  <c r="H99" i="25"/>
  <c r="H101" i="25"/>
  <c r="H103" i="25"/>
  <c r="H105" i="25"/>
  <c r="H107" i="25"/>
  <c r="H109" i="25"/>
  <c r="H111" i="25"/>
  <c r="H113" i="25"/>
  <c r="H137" i="25"/>
  <c r="H139" i="25"/>
  <c r="H141" i="25"/>
  <c r="H143" i="25"/>
  <c r="H145" i="25"/>
  <c r="H147" i="25"/>
  <c r="H149" i="25"/>
  <c r="H151" i="25"/>
  <c r="H175" i="25"/>
  <c r="H177" i="25"/>
  <c r="H181" i="25"/>
  <c r="H183" i="25"/>
  <c r="H185" i="25"/>
  <c r="H211" i="25"/>
  <c r="H802" i="25"/>
  <c r="F41" i="47"/>
  <c r="F40" i="47"/>
  <c r="F39" i="47"/>
  <c r="F38" i="47"/>
  <c r="F37" i="47"/>
  <c r="F36" i="47"/>
  <c r="F35" i="47"/>
  <c r="F34" i="47"/>
  <c r="F33" i="47"/>
  <c r="F32" i="47"/>
  <c r="H1025" i="25" l="1"/>
  <c r="H187" i="25"/>
  <c r="H179" i="25"/>
  <c r="H182" i="25"/>
  <c r="H174" i="25"/>
  <c r="H527" i="25"/>
  <c r="H544" i="25"/>
  <c r="H490" i="25"/>
  <c r="H507" i="25"/>
  <c r="H231" i="25"/>
  <c r="H248" i="25"/>
  <c r="H196" i="25"/>
  <c r="H213" i="25"/>
  <c r="H1082" i="25"/>
  <c r="H1099" i="25"/>
  <c r="H1045" i="25"/>
  <c r="H1062" i="25"/>
  <c r="H897" i="25"/>
  <c r="H914" i="25"/>
  <c r="H823" i="25"/>
  <c r="H840" i="25"/>
  <c r="H749" i="25"/>
  <c r="H766" i="25"/>
  <c r="H675" i="25"/>
  <c r="H692" i="25"/>
  <c r="H601" i="25"/>
  <c r="H618" i="25"/>
  <c r="H379" i="25"/>
  <c r="H396" i="25"/>
  <c r="H342" i="25"/>
  <c r="H359" i="25"/>
  <c r="H1119" i="25"/>
  <c r="H1136" i="25"/>
  <c r="H1009" i="25"/>
  <c r="H1026" i="25"/>
  <c r="H971" i="25"/>
  <c r="H988" i="25"/>
  <c r="H860" i="25"/>
  <c r="H877" i="25"/>
  <c r="H787" i="25"/>
  <c r="H804" i="25"/>
  <c r="H712" i="25"/>
  <c r="H729" i="25"/>
  <c r="H639" i="25"/>
  <c r="H656" i="25"/>
  <c r="H564" i="25"/>
  <c r="H581" i="25"/>
  <c r="H454" i="25"/>
  <c r="H471" i="25"/>
  <c r="H416" i="25"/>
  <c r="H433" i="25"/>
  <c r="H306" i="25"/>
  <c r="H323" i="25"/>
  <c r="H268" i="25"/>
  <c r="H285" i="25"/>
  <c r="H9" i="25"/>
  <c r="H26" i="25"/>
  <c r="H935" i="25"/>
  <c r="H952" i="25"/>
  <c r="G47" i="47"/>
  <c r="H45" i="45"/>
  <c r="H46" i="45"/>
  <c r="H47" i="45"/>
  <c r="H49" i="45"/>
  <c r="H50" i="45"/>
  <c r="H51" i="45"/>
  <c r="H56" i="45"/>
  <c r="J56" i="45"/>
  <c r="L56" i="45"/>
  <c r="H57" i="45"/>
  <c r="J57" i="45"/>
  <c r="L57" i="45"/>
  <c r="H58" i="45"/>
  <c r="J58" i="45"/>
  <c r="L58" i="45"/>
  <c r="H59" i="45"/>
  <c r="J59" i="45"/>
  <c r="L59" i="45"/>
  <c r="H60" i="45"/>
  <c r="J60" i="45"/>
  <c r="L60" i="45"/>
  <c r="J61" i="45"/>
  <c r="L61" i="45"/>
  <c r="H62" i="45"/>
  <c r="J62" i="45"/>
  <c r="L62" i="45"/>
  <c r="J63" i="45"/>
  <c r="L63" i="45"/>
  <c r="H64" i="45"/>
  <c r="J64" i="45"/>
  <c r="L64" i="45"/>
  <c r="H65" i="45"/>
  <c r="J65" i="45"/>
  <c r="L65" i="45"/>
  <c r="H66" i="45"/>
  <c r="J66" i="45"/>
  <c r="K66" i="45" s="1"/>
  <c r="L66" i="45"/>
  <c r="J67" i="45"/>
  <c r="K67" i="45" s="1"/>
  <c r="L67" i="45"/>
  <c r="H68" i="45"/>
  <c r="J68" i="45"/>
  <c r="K68" i="45" s="1"/>
  <c r="L68" i="45"/>
  <c r="H69" i="45"/>
  <c r="J69" i="45"/>
  <c r="L69" i="45"/>
  <c r="J70" i="45"/>
  <c r="L70" i="45"/>
  <c r="H71" i="45"/>
  <c r="J71" i="45"/>
  <c r="L71" i="45"/>
  <c r="J72" i="45"/>
  <c r="L72" i="45"/>
  <c r="H73" i="45"/>
  <c r="J73" i="45"/>
  <c r="L73" i="45"/>
  <c r="J74" i="45"/>
  <c r="L74" i="45"/>
  <c r="H75" i="45"/>
  <c r="J75" i="45"/>
  <c r="L75" i="45"/>
  <c r="H76" i="45"/>
  <c r="J76" i="45"/>
  <c r="L76" i="45"/>
  <c r="H77" i="45"/>
  <c r="J77" i="45"/>
  <c r="L77" i="45"/>
  <c r="H78" i="45"/>
  <c r="J78" i="45"/>
  <c r="L78" i="45"/>
  <c r="H79" i="45"/>
  <c r="J79" i="45"/>
  <c r="L79" i="45"/>
  <c r="J80" i="45"/>
  <c r="L80" i="45"/>
  <c r="J81" i="45"/>
  <c r="L81" i="45"/>
  <c r="H82" i="45"/>
  <c r="J82" i="45"/>
  <c r="L82" i="45"/>
  <c r="J83" i="45"/>
  <c r="L83" i="45"/>
  <c r="J84" i="45"/>
  <c r="L84" i="45"/>
  <c r="K88" i="45"/>
  <c r="K89" i="45"/>
  <c r="H90" i="45"/>
  <c r="K90" i="45"/>
  <c r="K91" i="45"/>
  <c r="H92" i="45"/>
  <c r="K92" i="45"/>
  <c r="H93" i="45"/>
  <c r="K93" i="45"/>
  <c r="H94" i="45"/>
  <c r="K94" i="45"/>
  <c r="K95" i="45"/>
  <c r="H96" i="45"/>
  <c r="K96" i="45"/>
  <c r="H97" i="45"/>
  <c r="K97" i="45"/>
  <c r="H98" i="45"/>
  <c r="K98" i="45"/>
  <c r="H99" i="45"/>
  <c r="K99" i="45"/>
  <c r="H8" i="44"/>
  <c r="O80" i="44" s="1"/>
  <c r="I8" i="44"/>
  <c r="H9" i="44"/>
  <c r="I9" i="44"/>
  <c r="H10" i="44"/>
  <c r="O82" i="44" s="1"/>
  <c r="I10" i="44"/>
  <c r="B19" i="44"/>
  <c r="C19" i="44"/>
  <c r="D19" i="44"/>
  <c r="E19" i="44"/>
  <c r="F19" i="44"/>
  <c r="B20" i="44"/>
  <c r="C20" i="44"/>
  <c r="D20" i="44"/>
  <c r="E20" i="44"/>
  <c r="F20" i="44"/>
  <c r="B21" i="44"/>
  <c r="C21" i="44"/>
  <c r="D21" i="44"/>
  <c r="E21" i="44"/>
  <c r="F21" i="44"/>
  <c r="B22" i="44"/>
  <c r="C22" i="44"/>
  <c r="D22" i="44"/>
  <c r="E22" i="44"/>
  <c r="F22" i="44"/>
  <c r="B23" i="44"/>
  <c r="C23" i="44"/>
  <c r="D23" i="44"/>
  <c r="E23" i="44"/>
  <c r="F23" i="44"/>
  <c r="B24" i="44"/>
  <c r="C24" i="44"/>
  <c r="D24" i="44"/>
  <c r="E24" i="44"/>
  <c r="F24" i="44"/>
  <c r="B25" i="44"/>
  <c r="C25" i="44"/>
  <c r="D25" i="44"/>
  <c r="E25" i="44"/>
  <c r="F25" i="44"/>
  <c r="B26" i="44"/>
  <c r="C26" i="44"/>
  <c r="D26" i="44"/>
  <c r="E26" i="44"/>
  <c r="F26" i="44"/>
  <c r="B27" i="44"/>
  <c r="C27" i="44"/>
  <c r="D27" i="44"/>
  <c r="E27" i="44"/>
  <c r="F27" i="44"/>
  <c r="B28" i="44"/>
  <c r="C28" i="44"/>
  <c r="D28" i="44"/>
  <c r="E28" i="44"/>
  <c r="F28" i="44"/>
  <c r="B29" i="44"/>
  <c r="C29" i="44"/>
  <c r="D29" i="44"/>
  <c r="E29" i="44"/>
  <c r="F29" i="44"/>
  <c r="B30" i="44"/>
  <c r="C30" i="44"/>
  <c r="D30" i="44"/>
  <c r="E30" i="44"/>
  <c r="F30" i="44"/>
  <c r="B31" i="44"/>
  <c r="C31" i="44"/>
  <c r="D31" i="44"/>
  <c r="E31" i="44"/>
  <c r="F31" i="44"/>
  <c r="B32" i="44"/>
  <c r="C32" i="44"/>
  <c r="D32" i="44"/>
  <c r="E32" i="44"/>
  <c r="F32" i="44"/>
  <c r="B33" i="44"/>
  <c r="C33" i="44"/>
  <c r="D33" i="44"/>
  <c r="E33" i="44"/>
  <c r="F33" i="44"/>
  <c r="B34" i="44"/>
  <c r="C34" i="44"/>
  <c r="D34" i="44"/>
  <c r="E34" i="44"/>
  <c r="F34" i="44"/>
  <c r="B38" i="44" a="1"/>
  <c r="B38" i="44" s="1"/>
  <c r="B39" i="44" a="1"/>
  <c r="B39" i="44" s="1"/>
  <c r="B77" i="44" s="1"/>
  <c r="B40" i="44" a="1"/>
  <c r="B40" i="44" s="1"/>
  <c r="B41" i="44" a="1"/>
  <c r="B41" i="44" s="1"/>
  <c r="B42" i="44" a="1"/>
  <c r="B42" i="44" s="1"/>
  <c r="B43" i="44" a="1"/>
  <c r="B43" i="44" s="1"/>
  <c r="B44" i="44" a="1"/>
  <c r="B44" i="44" s="1"/>
  <c r="B80" i="44" s="1"/>
  <c r="B45" i="44" a="1"/>
  <c r="B45" i="44" s="1"/>
  <c r="B46" i="44" a="1"/>
  <c r="B46" i="44" s="1"/>
  <c r="B47" i="44" a="1"/>
  <c r="B47" i="44" s="1"/>
  <c r="B48" i="44" a="1"/>
  <c r="B48" i="44" s="1"/>
  <c r="B51" i="44" a="1"/>
  <c r="B51" i="44" s="1"/>
  <c r="B86" i="44" s="1"/>
  <c r="B52" i="44" a="1"/>
  <c r="F52" i="44" s="1"/>
  <c r="B53" i="44" a="1"/>
  <c r="D53" i="44" s="1"/>
  <c r="B54" i="44" a="1"/>
  <c r="F54" i="44" s="1"/>
  <c r="B55" i="44" a="1"/>
  <c r="D55" i="44" s="1"/>
  <c r="D90" i="44" s="1"/>
  <c r="B56" i="44" a="1"/>
  <c r="F56" i="44" s="1"/>
  <c r="B57" i="44" a="1"/>
  <c r="D57" i="44" s="1"/>
  <c r="D92" i="44" s="1"/>
  <c r="B58" i="44" a="1"/>
  <c r="F58" i="44" s="1"/>
  <c r="B59" i="44" a="1"/>
  <c r="D59" i="44" s="1"/>
  <c r="D95" i="44" s="1"/>
  <c r="B60" i="44" a="1"/>
  <c r="F60" i="44" s="1"/>
  <c r="F69" i="44" s="1"/>
  <c r="B61" i="44" a="1"/>
  <c r="D61" i="44" s="1"/>
  <c r="D97" i="44" s="1"/>
  <c r="B62" i="44" a="1"/>
  <c r="F62" i="44" s="1"/>
  <c r="F70" i="44" s="1"/>
  <c r="B63" i="44" a="1"/>
  <c r="D63" i="44" s="1"/>
  <c r="B64" i="44" a="1"/>
  <c r="F64" i="44" s="1"/>
  <c r="F72" i="44" s="1"/>
  <c r="B65" i="44" a="1"/>
  <c r="D65" i="44" s="1"/>
  <c r="A69" i="44"/>
  <c r="A70" i="44"/>
  <c r="A71" i="44"/>
  <c r="A72" i="44"/>
  <c r="A73" i="44"/>
  <c r="A77" i="44"/>
  <c r="O77" i="44"/>
  <c r="P77" i="44"/>
  <c r="A78" i="44"/>
  <c r="O78" i="44"/>
  <c r="P78" i="44"/>
  <c r="A79" i="44"/>
  <c r="O79" i="44"/>
  <c r="P79" i="44"/>
  <c r="A80" i="44"/>
  <c r="P80" i="44"/>
  <c r="A81" i="44"/>
  <c r="B81" i="44"/>
  <c r="O81" i="44"/>
  <c r="P81" i="44"/>
  <c r="A82" i="44"/>
  <c r="P82" i="44"/>
  <c r="A83" i="44"/>
  <c r="B83" i="44"/>
  <c r="O83" i="44"/>
  <c r="P83" i="44"/>
  <c r="A84" i="44"/>
  <c r="O84" i="44"/>
  <c r="P84" i="44"/>
  <c r="A85" i="44"/>
  <c r="O85" i="44"/>
  <c r="P85" i="44"/>
  <c r="A86" i="44"/>
  <c r="A87" i="44"/>
  <c r="A88" i="44"/>
  <c r="A89" i="44"/>
  <c r="A90" i="44"/>
  <c r="A91" i="44"/>
  <c r="A92" i="44"/>
  <c r="A93" i="44"/>
  <c r="A95" i="44"/>
  <c r="A96" i="44"/>
  <c r="H96" i="44"/>
  <c r="A97" i="44"/>
  <c r="A98" i="44"/>
  <c r="B98" i="44"/>
  <c r="C98" i="44"/>
  <c r="E98" i="44"/>
  <c r="G98" i="44"/>
  <c r="A99" i="44"/>
  <c r="G99" i="44"/>
  <c r="A100" i="44"/>
  <c r="D100" i="44"/>
  <c r="E100" i="44"/>
  <c r="G100" i="44"/>
  <c r="H100" i="44"/>
  <c r="I100" i="44"/>
  <c r="J100" i="44"/>
  <c r="A101" i="44"/>
  <c r="C111" i="44"/>
  <c r="C115" i="44" s="1"/>
  <c r="D111" i="44"/>
  <c r="D115" i="44" s="1"/>
  <c r="E111" i="44"/>
  <c r="E117" i="44" s="1"/>
  <c r="F111" i="44"/>
  <c r="G111" i="44"/>
  <c r="G115" i="44" s="1"/>
  <c r="H111" i="44"/>
  <c r="H115" i="44" s="1"/>
  <c r="I111" i="44"/>
  <c r="I115" i="44" s="1"/>
  <c r="J111" i="44"/>
  <c r="J115" i="44" s="1"/>
  <c r="K111" i="44"/>
  <c r="K115" i="44" s="1"/>
  <c r="L111" i="44"/>
  <c r="L115" i="44" s="1"/>
  <c r="M111" i="44"/>
  <c r="M115" i="44" s="1"/>
  <c r="N111" i="44"/>
  <c r="O111" i="44"/>
  <c r="O115" i="44" s="1"/>
  <c r="P111" i="44"/>
  <c r="P114" i="44" s="1"/>
  <c r="Q111" i="44"/>
  <c r="Q114" i="44" s="1"/>
  <c r="R111" i="44"/>
  <c r="R114" i="44" s="1"/>
  <c r="S111" i="44"/>
  <c r="S114" i="44" s="1"/>
  <c r="T111" i="44"/>
  <c r="T114" i="44" s="1"/>
  <c r="U111" i="44"/>
  <c r="U114" i="44" s="1"/>
  <c r="M6" i="44" s="1"/>
  <c r="V111" i="44"/>
  <c r="W111" i="44"/>
  <c r="W114" i="44" s="1"/>
  <c r="X111" i="44"/>
  <c r="X114" i="44" s="1"/>
  <c r="Y111" i="44"/>
  <c r="Y117" i="44" s="1"/>
  <c r="Z111" i="44"/>
  <c r="Z114" i="44" s="1"/>
  <c r="C114" i="44"/>
  <c r="D114" i="44"/>
  <c r="E114" i="44"/>
  <c r="F114" i="44"/>
  <c r="G114" i="44"/>
  <c r="H114" i="44"/>
  <c r="I114" i="44"/>
  <c r="J114" i="44"/>
  <c r="K114" i="44"/>
  <c r="L114" i="44"/>
  <c r="M114" i="44"/>
  <c r="N114" i="44"/>
  <c r="O114" i="44"/>
  <c r="V114" i="44"/>
  <c r="Y114" i="44"/>
  <c r="F115" i="44"/>
  <c r="N115" i="44"/>
  <c r="Q115" i="44"/>
  <c r="V115" i="44"/>
  <c r="E116" i="44"/>
  <c r="F116" i="44"/>
  <c r="N116" i="44"/>
  <c r="V116" i="44"/>
  <c r="Y116" i="44"/>
  <c r="F117" i="44"/>
  <c r="N117" i="44"/>
  <c r="Q117" i="44"/>
  <c r="V117" i="44"/>
  <c r="F118" i="44"/>
  <c r="I118" i="44"/>
  <c r="N118" i="44"/>
  <c r="U118" i="44"/>
  <c r="V118" i="44"/>
  <c r="C120" i="44"/>
  <c r="C144" i="44"/>
  <c r="C168" i="44"/>
  <c r="C192" i="44"/>
  <c r="C216" i="44"/>
  <c r="C240" i="44"/>
  <c r="C264" i="44"/>
  <c r="C288" i="44"/>
  <c r="C312" i="44"/>
  <c r="C336" i="44"/>
  <c r="C361" i="44"/>
  <c r="C434" i="44"/>
  <c r="C508" i="44"/>
  <c r="C526" i="44"/>
  <c r="C577" i="44"/>
  <c r="C639" i="44"/>
  <c r="C657" i="44"/>
  <c r="A18" i="26"/>
  <c r="A19" i="26" s="1"/>
  <c r="A23" i="26"/>
  <c r="A24" i="26" s="1"/>
  <c r="A28" i="26"/>
  <c r="A29" i="26" s="1"/>
  <c r="A33" i="26"/>
  <c r="A34" i="26" s="1"/>
  <c r="X137" i="26"/>
  <c r="Z137" i="26"/>
  <c r="F13" i="26"/>
  <c r="F14" i="26" s="1"/>
  <c r="F15" i="26" s="1"/>
  <c r="F16" i="26" s="1"/>
  <c r="F17" i="26" s="1"/>
  <c r="F18" i="26"/>
  <c r="F19" i="26" s="1"/>
  <c r="F20" i="26" s="1"/>
  <c r="F21" i="26" s="1"/>
  <c r="F22" i="26" s="1"/>
  <c r="F23" i="26"/>
  <c r="F24" i="26" s="1"/>
  <c r="F25" i="26" s="1"/>
  <c r="F26" i="26" s="1"/>
  <c r="F27" i="26" s="1"/>
  <c r="W23" i="26"/>
  <c r="F28" i="26"/>
  <c r="F29" i="26" s="1"/>
  <c r="F30" i="26" s="1"/>
  <c r="F31" i="26" s="1"/>
  <c r="F32" i="26" s="1"/>
  <c r="F33" i="26"/>
  <c r="F34" i="26" s="1"/>
  <c r="F35" i="26" s="1"/>
  <c r="F36" i="26" s="1"/>
  <c r="F37" i="26" s="1"/>
  <c r="W33" i="26"/>
  <c r="X23" i="26"/>
  <c r="Y13" i="26"/>
  <c r="Z18" i="26"/>
  <c r="Z23" i="26"/>
  <c r="A39" i="26"/>
  <c r="A40" i="26" s="1"/>
  <c r="F39" i="26"/>
  <c r="W39" i="26"/>
  <c r="A44" i="26"/>
  <c r="A45" i="26" s="1"/>
  <c r="F44" i="26"/>
  <c r="F45" i="26" s="1"/>
  <c r="F46" i="26" s="1"/>
  <c r="F47" i="26" s="1"/>
  <c r="F48" i="26" s="1"/>
  <c r="A49" i="26"/>
  <c r="A50" i="26" s="1"/>
  <c r="F49" i="26"/>
  <c r="F50" i="26" s="1"/>
  <c r="F51" i="26" s="1"/>
  <c r="F52" i="26" s="1"/>
  <c r="F53" i="26" s="1"/>
  <c r="A54" i="26"/>
  <c r="A55" i="26" s="1"/>
  <c r="F54" i="26"/>
  <c r="F55" i="26" s="1"/>
  <c r="F56" i="26" s="1"/>
  <c r="F57" i="26" s="1"/>
  <c r="F58" i="26" s="1"/>
  <c r="A59" i="26"/>
  <c r="A60" i="26" s="1"/>
  <c r="F59" i="26"/>
  <c r="F60" i="26" s="1"/>
  <c r="F61" i="26" s="1"/>
  <c r="F62" i="26" s="1"/>
  <c r="F63" i="26" s="1"/>
  <c r="X49" i="26"/>
  <c r="X54" i="26"/>
  <c r="Z44" i="26"/>
  <c r="Z59" i="26"/>
  <c r="A65" i="26"/>
  <c r="A66" i="26" s="1"/>
  <c r="F65" i="26"/>
  <c r="F66" i="26" s="1"/>
  <c r="F67" i="26" s="1"/>
  <c r="F68" i="26" s="1"/>
  <c r="F69" i="26" s="1"/>
  <c r="A70" i="26"/>
  <c r="A71" i="26" s="1"/>
  <c r="F70" i="26"/>
  <c r="F71" i="26" s="1"/>
  <c r="F72" i="26" s="1"/>
  <c r="F73" i="26" s="1"/>
  <c r="F74" i="26" s="1"/>
  <c r="A75" i="26"/>
  <c r="A76" i="26" s="1"/>
  <c r="F75" i="26"/>
  <c r="F76" i="26" s="1"/>
  <c r="F77" i="26" s="1"/>
  <c r="F78" i="26" s="1"/>
  <c r="F79" i="26" s="1"/>
  <c r="A80" i="26"/>
  <c r="A81" i="26" s="1"/>
  <c r="F80" i="26"/>
  <c r="A85" i="26"/>
  <c r="A86" i="26" s="1"/>
  <c r="F85" i="26"/>
  <c r="F86" i="26" s="1"/>
  <c r="F87" i="26" s="1"/>
  <c r="F88" i="26" s="1"/>
  <c r="F89" i="26" s="1"/>
  <c r="Z65" i="26"/>
  <c r="Z75" i="26"/>
  <c r="Z85" i="26"/>
  <c r="A91" i="26"/>
  <c r="A92" i="26" s="1"/>
  <c r="F91" i="26"/>
  <c r="F92" i="26" s="1"/>
  <c r="F93" i="26" s="1"/>
  <c r="F94" i="26" s="1"/>
  <c r="F95" i="26" s="1"/>
  <c r="A96" i="26"/>
  <c r="A97" i="26" s="1"/>
  <c r="F96" i="26"/>
  <c r="F97" i="26" s="1"/>
  <c r="F98" i="26" s="1"/>
  <c r="F99" i="26" s="1"/>
  <c r="F100" i="26" s="1"/>
  <c r="W96" i="26"/>
  <c r="A101" i="26"/>
  <c r="A102" i="26" s="1"/>
  <c r="F101" i="26"/>
  <c r="F102" i="26" s="1"/>
  <c r="F103" i="26" s="1"/>
  <c r="F104" i="26" s="1"/>
  <c r="F105" i="26" s="1"/>
  <c r="A106" i="26"/>
  <c r="A107" i="26" s="1"/>
  <c r="F106" i="26"/>
  <c r="F107" i="26" s="1"/>
  <c r="F108" i="26" s="1"/>
  <c r="F109" i="26" s="1"/>
  <c r="F110" i="26" s="1"/>
  <c r="W106" i="26"/>
  <c r="A111" i="26"/>
  <c r="A112" i="26" s="1"/>
  <c r="F111" i="26"/>
  <c r="F112" i="26" s="1"/>
  <c r="F113" i="26" s="1"/>
  <c r="F114" i="26" s="1"/>
  <c r="F115" i="26" s="1"/>
  <c r="X91" i="26"/>
  <c r="X96" i="26"/>
  <c r="X101" i="26"/>
  <c r="X106" i="26"/>
  <c r="X111" i="26"/>
  <c r="Y106" i="26"/>
  <c r="F117" i="26"/>
  <c r="F118" i="26" s="1"/>
  <c r="F119" i="26" s="1"/>
  <c r="F120" i="26" s="1"/>
  <c r="F121" i="26" s="1"/>
  <c r="A122" i="26"/>
  <c r="A123" i="26" s="1"/>
  <c r="F122" i="26"/>
  <c r="F123" i="26" s="1"/>
  <c r="F124" i="26" s="1"/>
  <c r="F125" i="26" s="1"/>
  <c r="F126" i="26" s="1"/>
  <c r="A127" i="26"/>
  <c r="A128" i="26" s="1"/>
  <c r="F127" i="26"/>
  <c r="F128" i="26" s="1"/>
  <c r="F129" i="26" s="1"/>
  <c r="F130" i="26" s="1"/>
  <c r="F131" i="26" s="1"/>
  <c r="A132" i="26"/>
  <c r="A133" i="26" s="1"/>
  <c r="F132" i="26"/>
  <c r="F133" i="26" s="1"/>
  <c r="F134" i="26" s="1"/>
  <c r="F135" i="26" s="1"/>
  <c r="F136" i="26" s="1"/>
  <c r="A137" i="26"/>
  <c r="A138" i="26" s="1"/>
  <c r="F137" i="26"/>
  <c r="F138" i="26" s="1"/>
  <c r="F139" i="26" s="1"/>
  <c r="F140" i="26" s="1"/>
  <c r="F141" i="26" s="1"/>
  <c r="X117" i="26"/>
  <c r="X127" i="26"/>
  <c r="Y132" i="26"/>
  <c r="Z117" i="26"/>
  <c r="Z122" i="26"/>
  <c r="Z127" i="26"/>
  <c r="Z132" i="26"/>
  <c r="D2" i="22"/>
  <c r="D3" i="22"/>
  <c r="D4" i="22"/>
  <c r="D5" i="22"/>
  <c r="D6" i="22"/>
  <c r="D7" i="22"/>
  <c r="D8" i="22"/>
  <c r="D9" i="22"/>
  <c r="D12" i="22"/>
  <c r="D13" i="22"/>
  <c r="H24" i="22"/>
  <c r="H25" i="22"/>
  <c r="H26" i="22"/>
  <c r="H27" i="22"/>
  <c r="H28" i="22"/>
  <c r="H31" i="22"/>
  <c r="H32" i="22"/>
  <c r="H33" i="22"/>
  <c r="D7" i="19"/>
  <c r="D8" i="19"/>
  <c r="D9" i="19"/>
  <c r="D10" i="19"/>
  <c r="D11" i="19"/>
  <c r="D12" i="19"/>
  <c r="D13" i="19"/>
  <c r="D14" i="19"/>
  <c r="D15" i="19"/>
  <c r="D16" i="19"/>
  <c r="D17" i="19"/>
  <c r="D18" i="19"/>
  <c r="D20" i="19"/>
  <c r="D21" i="19"/>
  <c r="D22" i="19"/>
  <c r="D23" i="19"/>
  <c r="D24" i="19"/>
  <c r="D25" i="19"/>
  <c r="C26" i="19"/>
  <c r="D11" i="22" s="1"/>
  <c r="D27" i="19"/>
  <c r="D28" i="19"/>
  <c r="D29" i="19"/>
  <c r="D30" i="19"/>
  <c r="D31" i="19"/>
  <c r="D32" i="19"/>
  <c r="D33" i="19"/>
  <c r="D34" i="19"/>
  <c r="D35" i="19"/>
  <c r="D36" i="19"/>
  <c r="D37" i="19"/>
  <c r="D38" i="19"/>
  <c r="D39" i="19"/>
  <c r="D40" i="19"/>
  <c r="C42" i="19"/>
  <c r="D10" i="22" s="1"/>
  <c r="D45" i="19"/>
  <c r="D46" i="19"/>
  <c r="D47" i="19"/>
  <c r="C48" i="19"/>
  <c r="E167" i="12"/>
  <c r="E168" i="12"/>
  <c r="E169" i="12"/>
  <c r="E170" i="12"/>
  <c r="E171" i="12"/>
  <c r="E172" i="12"/>
  <c r="E173" i="12"/>
  <c r="E174" i="12"/>
  <c r="E175" i="12"/>
  <c r="E176" i="12"/>
  <c r="E177" i="12"/>
  <c r="E178" i="12"/>
  <c r="E179" i="12"/>
  <c r="E180" i="12"/>
  <c r="E181" i="12"/>
  <c r="E182" i="12"/>
  <c r="E183" i="12"/>
  <c r="E184" i="12"/>
  <c r="E185" i="12"/>
  <c r="E186" i="12"/>
  <c r="E187" i="12"/>
  <c r="E188" i="12"/>
  <c r="E189" i="12"/>
  <c r="E190" i="12"/>
  <c r="E191" i="12"/>
  <c r="C167" i="12"/>
  <c r="D167" i="12"/>
  <c r="C168" i="12"/>
  <c r="D168" i="12"/>
  <c r="C169" i="12"/>
  <c r="D169" i="12"/>
  <c r="C170" i="12"/>
  <c r="D170" i="12"/>
  <c r="C171" i="12"/>
  <c r="D171" i="12"/>
  <c r="C172" i="12"/>
  <c r="D172" i="12"/>
  <c r="C173" i="12"/>
  <c r="D173" i="12"/>
  <c r="C174" i="12"/>
  <c r="D174" i="12"/>
  <c r="C175" i="12"/>
  <c r="D175" i="12"/>
  <c r="C176" i="12"/>
  <c r="D176" i="12"/>
  <c r="C177" i="12"/>
  <c r="D177" i="12"/>
  <c r="C178" i="12"/>
  <c r="D178" i="12"/>
  <c r="C179" i="12"/>
  <c r="D179" i="12"/>
  <c r="C180" i="12"/>
  <c r="D180" i="12"/>
  <c r="C181" i="12"/>
  <c r="D181" i="12"/>
  <c r="C182" i="12"/>
  <c r="D182" i="12"/>
  <c r="C183" i="12"/>
  <c r="D183" i="12"/>
  <c r="C184" i="12"/>
  <c r="D184" i="12"/>
  <c r="C185" i="12"/>
  <c r="D185" i="12"/>
  <c r="C186" i="12"/>
  <c r="D186" i="12"/>
  <c r="C187" i="12"/>
  <c r="D187" i="12"/>
  <c r="C188" i="12"/>
  <c r="D188" i="12"/>
  <c r="C189" i="12"/>
  <c r="D189" i="12"/>
  <c r="C190" i="12"/>
  <c r="D190" i="12"/>
  <c r="C191" i="12"/>
  <c r="D191" i="12"/>
  <c r="C928" i="11"/>
  <c r="C937" i="11"/>
  <c r="C188" i="11"/>
  <c r="D1283" i="11"/>
  <c r="D1286" i="11"/>
  <c r="D1287" i="11"/>
  <c r="D1289" i="11"/>
  <c r="D1290" i="11"/>
  <c r="D1291" i="11"/>
  <c r="D1294" i="11"/>
  <c r="D1295" i="11"/>
  <c r="D1297" i="11"/>
  <c r="C1298" i="11"/>
  <c r="C1937" i="11" s="1"/>
  <c r="C1299" i="11"/>
  <c r="D1299" i="11" s="1"/>
  <c r="C1301" i="11"/>
  <c r="C1302" i="11"/>
  <c r="C1941" i="11" s="1"/>
  <c r="C1303" i="11"/>
  <c r="C1304" i="11"/>
  <c r="C1943" i="11" s="1"/>
  <c r="C1305" i="11"/>
  <c r="C1306" i="11"/>
  <c r="C1945" i="11" s="1"/>
  <c r="C1307" i="11"/>
  <c r="C1308" i="11"/>
  <c r="C1947" i="11" s="1"/>
  <c r="C1309" i="11"/>
  <c r="D1309" i="11" s="1"/>
  <c r="C1310" i="11"/>
  <c r="C1949" i="11" s="1"/>
  <c r="C1311" i="11"/>
  <c r="C1950" i="11" s="1"/>
  <c r="C1312" i="11"/>
  <c r="C1951" i="11" s="1"/>
  <c r="C1313" i="11"/>
  <c r="C1952" i="11" s="1"/>
  <c r="C1314" i="11"/>
  <c r="C1953" i="11" s="1"/>
  <c r="C1315" i="11"/>
  <c r="C1954" i="11" s="1"/>
  <c r="C1316" i="11"/>
  <c r="C1955" i="11" s="1"/>
  <c r="C1317" i="11"/>
  <c r="C1956" i="11" s="1"/>
  <c r="C1318" i="11"/>
  <c r="C1957" i="11" s="1"/>
  <c r="C1319" i="11"/>
  <c r="C1958" i="11" s="1"/>
  <c r="C1320" i="11"/>
  <c r="C1959" i="11" s="1"/>
  <c r="C1321" i="11"/>
  <c r="C1960" i="11" s="1"/>
  <c r="C1322" i="11"/>
  <c r="C1961" i="11" s="1"/>
  <c r="C1323" i="11"/>
  <c r="C1962" i="11" s="1"/>
  <c r="C1324" i="11"/>
  <c r="C1963" i="11" s="1"/>
  <c r="C1325" i="11"/>
  <c r="C1964" i="11" s="1"/>
  <c r="C1326" i="11"/>
  <c r="C1965" i="11" s="1"/>
  <c r="C1327" i="11"/>
  <c r="C1966" i="11" s="1"/>
  <c r="C1328" i="11"/>
  <c r="C1967" i="11" s="1"/>
  <c r="C1329" i="11"/>
  <c r="C1968" i="11" s="1"/>
  <c r="C1330" i="11"/>
  <c r="C1969" i="11" s="1"/>
  <c r="C1331" i="11"/>
  <c r="C1970" i="11" s="1"/>
  <c r="C1332" i="11"/>
  <c r="C1971" i="11" s="1"/>
  <c r="C1333" i="11"/>
  <c r="C1972" i="11" s="1"/>
  <c r="C1334" i="11"/>
  <c r="C1973" i="11" s="1"/>
  <c r="C1335" i="11"/>
  <c r="C1974" i="11" s="1"/>
  <c r="C1336" i="11"/>
  <c r="C1975" i="11" s="1"/>
  <c r="C1337" i="11"/>
  <c r="C1976" i="11" s="1"/>
  <c r="C1338" i="11"/>
  <c r="C1977" i="11" s="1"/>
  <c r="C1339" i="11"/>
  <c r="C1978" i="11" s="1"/>
  <c r="C1340" i="11"/>
  <c r="C1979" i="11" s="1"/>
  <c r="C1341" i="11"/>
  <c r="C1980" i="11" s="1"/>
  <c r="C1342" i="11"/>
  <c r="C1981" i="11" s="1"/>
  <c r="C1343" i="11"/>
  <c r="C1982" i="11" s="1"/>
  <c r="C1344" i="11"/>
  <c r="C1983" i="11" s="1"/>
  <c r="C1345" i="11"/>
  <c r="C1984" i="11" s="1"/>
  <c r="C1346" i="11"/>
  <c r="C1985" i="11" s="1"/>
  <c r="C1347" i="11"/>
  <c r="C1986" i="11" s="1"/>
  <c r="C1348" i="11"/>
  <c r="C1987" i="11" s="1"/>
  <c r="C1349" i="11"/>
  <c r="C1350" i="11"/>
  <c r="C1989" i="11" s="1"/>
  <c r="C1351" i="11"/>
  <c r="C1990" i="11" s="1"/>
  <c r="C1352" i="11"/>
  <c r="C1991" i="11" s="1"/>
  <c r="C1353" i="11"/>
  <c r="C1992" i="11" s="1"/>
  <c r="C1354" i="11"/>
  <c r="C1993" i="11" s="1"/>
  <c r="C1355" i="11"/>
  <c r="C1994" i="11" s="1"/>
  <c r="C1356" i="11"/>
  <c r="C1995" i="11" s="1"/>
  <c r="C1357" i="11"/>
  <c r="C1996" i="11" s="1"/>
  <c r="C1358" i="11"/>
  <c r="C1997" i="11" s="1"/>
  <c r="C1359" i="11"/>
  <c r="C1998" i="11" s="1"/>
  <c r="C1360" i="11"/>
  <c r="C1999" i="11" s="1"/>
  <c r="C1361" i="11"/>
  <c r="C2000" i="11" s="1"/>
  <c r="C1362" i="11"/>
  <c r="C2001" i="11" s="1"/>
  <c r="D1363" i="11"/>
  <c r="C2015" i="11"/>
  <c r="C2016" i="11"/>
  <c r="C2017" i="11"/>
  <c r="C2018" i="11"/>
  <c r="C2019" i="11"/>
  <c r="C2020" i="11"/>
  <c r="C2021" i="11"/>
  <c r="C2022" i="11"/>
  <c r="C2023" i="11"/>
  <c r="C2024" i="11"/>
  <c r="C2025" i="11"/>
  <c r="C2026" i="11"/>
  <c r="C2027" i="11"/>
  <c r="C1389" i="11"/>
  <c r="C1390" i="11"/>
  <c r="C2029" i="11" s="1"/>
  <c r="C1391" i="11"/>
  <c r="C1392" i="11"/>
  <c r="C2031" i="11" s="1"/>
  <c r="C1393" i="11"/>
  <c r="C2032" i="11" s="1"/>
  <c r="C1394" i="11"/>
  <c r="C2033" i="11" s="1"/>
  <c r="C1395" i="11"/>
  <c r="C1396" i="11"/>
  <c r="C2035" i="11" s="1"/>
  <c r="C1397" i="11"/>
  <c r="C2036" i="11" s="1"/>
  <c r="C1398" i="11"/>
  <c r="C2037" i="11" s="1"/>
  <c r="C1399" i="11"/>
  <c r="C1400" i="11"/>
  <c r="C2039" i="11" s="1"/>
  <c r="C1401" i="11"/>
  <c r="C2040" i="11" s="1"/>
  <c r="D1403" i="11"/>
  <c r="D1407" i="11"/>
  <c r="D1409" i="11"/>
  <c r="D1411" i="11"/>
  <c r="D1413" i="11"/>
  <c r="C1415" i="11"/>
  <c r="C2054" i="11" s="1"/>
  <c r="C1416" i="11"/>
  <c r="C2055" i="11" s="1"/>
  <c r="C1417" i="11"/>
  <c r="C2056" i="11" s="1"/>
  <c r="C1418" i="11"/>
  <c r="C2057" i="11" s="1"/>
  <c r="C1419" i="11"/>
  <c r="C2058" i="11" s="1"/>
  <c r="C1420" i="11"/>
  <c r="C2059" i="11" s="1"/>
  <c r="C1421" i="11"/>
  <c r="C2060" i="11" s="1"/>
  <c r="C1422" i="11"/>
  <c r="C2061" i="11" s="1"/>
  <c r="C1423" i="11"/>
  <c r="C2062" i="11" s="1"/>
  <c r="C1424" i="11"/>
  <c r="C2063" i="11" s="1"/>
  <c r="C1425" i="11"/>
  <c r="C2064" i="11" s="1"/>
  <c r="C1426" i="11"/>
  <c r="C2065" i="11" s="1"/>
  <c r="C1427" i="11"/>
  <c r="C2066" i="11" s="1"/>
  <c r="C1428" i="11"/>
  <c r="C2067" i="11" s="1"/>
  <c r="C1429" i="11"/>
  <c r="C2068" i="11" s="1"/>
  <c r="C1430" i="11"/>
  <c r="C2069" i="11" s="1"/>
  <c r="C1431" i="11"/>
  <c r="C2070" i="11" s="1"/>
  <c r="C1432" i="11"/>
  <c r="C2071" i="11" s="1"/>
  <c r="C1433" i="11"/>
  <c r="C2072" i="11" s="1"/>
  <c r="C1434" i="11"/>
  <c r="C2073" i="11" s="1"/>
  <c r="C1435" i="11"/>
  <c r="C2074" i="11" s="1"/>
  <c r="C1436" i="11"/>
  <c r="C2075" i="11" s="1"/>
  <c r="C1437" i="11"/>
  <c r="C2076" i="11" s="1"/>
  <c r="C1438" i="11"/>
  <c r="C2077" i="11" s="1"/>
  <c r="C1439" i="11"/>
  <c r="C2078" i="11" s="1"/>
  <c r="C1440" i="11"/>
  <c r="C2079" i="11" s="1"/>
  <c r="D1442" i="11"/>
  <c r="D1443" i="11"/>
  <c r="D1444" i="11"/>
  <c r="D1445" i="11"/>
  <c r="D1446" i="11"/>
  <c r="D1447" i="11"/>
  <c r="D1448" i="11"/>
  <c r="D1449" i="11"/>
  <c r="D1450" i="11"/>
  <c r="D1451" i="11"/>
  <c r="D1452" i="11"/>
  <c r="D1453" i="11"/>
  <c r="C1454" i="11"/>
  <c r="D1454" i="11" s="1"/>
  <c r="C1455" i="11"/>
  <c r="D1455" i="11" s="1"/>
  <c r="C1456" i="11"/>
  <c r="D1456" i="11" s="1"/>
  <c r="C1457" i="11"/>
  <c r="D1457" i="11" s="1"/>
  <c r="C1458" i="11"/>
  <c r="D1458" i="11" s="1"/>
  <c r="C1459" i="11"/>
  <c r="D1459" i="11" s="1"/>
  <c r="C1460" i="11"/>
  <c r="D1460" i="11" s="1"/>
  <c r="C1461" i="11"/>
  <c r="D1461" i="11" s="1"/>
  <c r="C1462" i="11"/>
  <c r="D1462" i="11" s="1"/>
  <c r="C1463" i="11"/>
  <c r="D1463" i="11" s="1"/>
  <c r="C1464" i="11"/>
  <c r="D1464" i="11" s="1"/>
  <c r="C1465" i="11"/>
  <c r="D1465" i="11" s="1"/>
  <c r="C1466" i="11"/>
  <c r="D1466" i="11" s="1"/>
  <c r="C1467" i="11"/>
  <c r="D1467" i="11" s="1"/>
  <c r="C1468" i="11"/>
  <c r="D1468" i="11" s="1"/>
  <c r="C1469" i="11"/>
  <c r="D1469" i="11" s="1"/>
  <c r="C1470" i="11"/>
  <c r="D1470" i="11" s="1"/>
  <c r="C1471" i="11"/>
  <c r="D1471" i="11" s="1"/>
  <c r="C1472" i="11"/>
  <c r="D1472" i="11" s="1"/>
  <c r="C1473" i="11"/>
  <c r="D1473" i="11" s="1"/>
  <c r="C1474" i="11"/>
  <c r="D1474" i="11" s="1"/>
  <c r="C1475" i="11"/>
  <c r="D1475" i="11" s="1"/>
  <c r="C1476" i="11"/>
  <c r="D1476" i="11" s="1"/>
  <c r="C1477" i="11"/>
  <c r="D1477" i="11" s="1"/>
  <c r="C1478" i="11"/>
  <c r="D1478" i="11" s="1"/>
  <c r="C1479" i="11"/>
  <c r="D1479" i="11" s="1"/>
  <c r="C1480" i="11"/>
  <c r="D1480" i="11" s="1"/>
  <c r="C1481" i="11"/>
  <c r="D1481" i="11" s="1"/>
  <c r="C1482" i="11"/>
  <c r="D1482" i="11" s="1"/>
  <c r="C1483" i="11"/>
  <c r="D1483" i="11" s="1"/>
  <c r="C1484" i="11"/>
  <c r="D1484" i="11" s="1"/>
  <c r="C1485" i="11"/>
  <c r="D1485" i="11" s="1"/>
  <c r="C1486" i="11"/>
  <c r="D1486" i="11" s="1"/>
  <c r="C1487" i="11"/>
  <c r="D1487" i="11" s="1"/>
  <c r="C1488" i="11"/>
  <c r="D1488" i="11" s="1"/>
  <c r="C1489" i="11"/>
  <c r="D1489" i="11" s="1"/>
  <c r="C1490" i="11"/>
  <c r="D1490" i="11" s="1"/>
  <c r="C1491" i="11"/>
  <c r="D1491" i="11" s="1"/>
  <c r="C1492" i="11"/>
  <c r="D1492" i="11" s="1"/>
  <c r="C1493" i="11"/>
  <c r="D1493" i="11" s="1"/>
  <c r="C1494" i="11"/>
  <c r="D1494" i="11" s="1"/>
  <c r="C1495" i="11"/>
  <c r="D1495" i="11" s="1"/>
  <c r="C1496" i="11"/>
  <c r="D1496" i="11" s="1"/>
  <c r="C1497" i="11"/>
  <c r="D1497" i="11" s="1"/>
  <c r="C1498" i="11"/>
  <c r="D1498" i="11" s="1"/>
  <c r="C1499" i="11"/>
  <c r="D1499" i="11" s="1"/>
  <c r="C1500" i="11"/>
  <c r="D1500" i="11" s="1"/>
  <c r="C1501" i="11"/>
  <c r="D1501" i="11" s="1"/>
  <c r="C1502" i="11"/>
  <c r="D1502" i="11" s="1"/>
  <c r="C1503" i="11"/>
  <c r="D1503" i="11" s="1"/>
  <c r="C1504" i="11"/>
  <c r="D1504" i="11" s="1"/>
  <c r="C1505" i="11"/>
  <c r="D1505" i="11" s="1"/>
  <c r="C1506" i="11"/>
  <c r="D1506" i="11" s="1"/>
  <c r="C1507" i="11"/>
  <c r="D1507" i="11" s="1"/>
  <c r="C1508" i="11"/>
  <c r="D1508" i="11" s="1"/>
  <c r="C1509" i="11"/>
  <c r="D1509" i="11" s="1"/>
  <c r="C1510" i="11"/>
  <c r="D1510" i="11" s="1"/>
  <c r="C1511" i="11"/>
  <c r="D1511" i="11" s="1"/>
  <c r="C1512" i="11"/>
  <c r="D1512" i="11" s="1"/>
  <c r="C1513" i="11"/>
  <c r="D1513" i="11" s="1"/>
  <c r="C1514" i="11"/>
  <c r="D1514" i="11" s="1"/>
  <c r="C1515" i="11"/>
  <c r="D1515" i="11" s="1"/>
  <c r="C1516" i="11"/>
  <c r="D1516" i="11" s="1"/>
  <c r="C1517" i="11"/>
  <c r="D1517" i="11" s="1"/>
  <c r="C1518" i="11"/>
  <c r="D1518" i="11" s="1"/>
  <c r="C1519" i="11"/>
  <c r="D1519" i="11" s="1"/>
  <c r="C1520" i="11"/>
  <c r="D1520" i="11" s="1"/>
  <c r="C1521" i="11"/>
  <c r="D1521" i="11" s="1"/>
  <c r="C1522" i="11"/>
  <c r="D1522" i="11" s="1"/>
  <c r="C1523" i="11"/>
  <c r="D1523" i="11" s="1"/>
  <c r="C1524" i="11"/>
  <c r="D1524" i="11" s="1"/>
  <c r="C1525" i="11"/>
  <c r="D1525" i="11" s="1"/>
  <c r="C1526" i="11"/>
  <c r="D1526" i="11" s="1"/>
  <c r="C1527" i="11"/>
  <c r="D1527" i="11" s="1"/>
  <c r="C1528" i="11"/>
  <c r="D1528" i="11" s="1"/>
  <c r="C1529" i="11"/>
  <c r="D1529" i="11" s="1"/>
  <c r="C1530" i="11"/>
  <c r="D1530" i="11" s="1"/>
  <c r="C1531" i="11"/>
  <c r="D1531" i="11" s="1"/>
  <c r="C1532" i="11"/>
  <c r="D1532" i="11" s="1"/>
  <c r="C1533" i="11"/>
  <c r="D1533" i="11" s="1"/>
  <c r="C1534" i="11"/>
  <c r="D1534" i="11" s="1"/>
  <c r="C1535" i="11"/>
  <c r="D1535" i="11" s="1"/>
  <c r="C1536" i="11"/>
  <c r="D1536" i="11" s="1"/>
  <c r="C1537" i="11"/>
  <c r="D1537" i="11" s="1"/>
  <c r="C1538" i="11"/>
  <c r="D1538" i="11" s="1"/>
  <c r="C1539" i="11"/>
  <c r="D1539" i="11" s="1"/>
  <c r="C1540" i="11"/>
  <c r="D1540" i="11" s="1"/>
  <c r="C1541" i="11"/>
  <c r="D1541" i="11" s="1"/>
  <c r="C1542" i="11"/>
  <c r="D1542" i="11" s="1"/>
  <c r="C1543" i="11"/>
  <c r="D1543" i="11" s="1"/>
  <c r="C1544" i="11"/>
  <c r="D1544" i="11" s="1"/>
  <c r="C1546" i="11"/>
  <c r="C1547" i="11"/>
  <c r="D1547" i="11" s="1"/>
  <c r="C1548" i="11"/>
  <c r="D1548" i="11" s="1"/>
  <c r="C1549" i="11"/>
  <c r="C1550" i="11"/>
  <c r="C1551" i="11"/>
  <c r="C1552" i="11"/>
  <c r="D1552" i="11" s="1"/>
  <c r="C1553" i="11"/>
  <c r="C1554" i="11"/>
  <c r="C1555" i="11"/>
  <c r="D1555" i="11" s="1"/>
  <c r="C1556" i="11"/>
  <c r="C1557" i="11"/>
  <c r="C1558" i="11"/>
  <c r="C1559" i="11"/>
  <c r="C1560" i="11"/>
  <c r="C1561" i="11"/>
  <c r="C1562" i="11"/>
  <c r="C1563" i="11"/>
  <c r="C1564" i="11"/>
  <c r="C1565" i="11"/>
  <c r="C1566" i="11"/>
  <c r="C1567" i="11"/>
  <c r="C1568" i="11"/>
  <c r="C1569" i="11"/>
  <c r="C1570" i="11"/>
  <c r="C1571" i="11"/>
  <c r="C1572" i="11"/>
  <c r="D1572" i="11" s="1"/>
  <c r="C1573" i="11"/>
  <c r="D1573" i="11" s="1"/>
  <c r="C1574" i="11"/>
  <c r="D1574" i="11" s="1"/>
  <c r="C1575" i="11"/>
  <c r="D1575" i="11" s="1"/>
  <c r="C1576" i="11"/>
  <c r="D1576" i="11" s="1"/>
  <c r="C1577" i="11"/>
  <c r="D1577" i="11" s="1"/>
  <c r="C1578" i="11"/>
  <c r="D1578" i="11" s="1"/>
  <c r="C1579" i="11"/>
  <c r="D1579" i="11" s="1"/>
  <c r="C1580" i="11"/>
  <c r="D1580" i="11" s="1"/>
  <c r="C1581" i="11"/>
  <c r="D1581" i="11" s="1"/>
  <c r="C1582" i="11"/>
  <c r="D1582" i="11" s="1"/>
  <c r="C1583" i="11"/>
  <c r="D1583" i="11" s="1"/>
  <c r="C1584" i="11"/>
  <c r="D1584" i="11" s="1"/>
  <c r="C1585" i="11"/>
  <c r="C1586" i="11"/>
  <c r="C1587" i="11"/>
  <c r="C1588" i="11"/>
  <c r="C1589" i="11"/>
  <c r="C1590" i="11"/>
  <c r="C1591" i="11"/>
  <c r="C1592" i="11"/>
  <c r="C1593" i="11"/>
  <c r="C1594" i="11"/>
  <c r="C1595" i="11"/>
  <c r="C1596" i="11"/>
  <c r="C1597" i="11"/>
  <c r="C1598" i="11"/>
  <c r="C1599" i="11"/>
  <c r="D1599" i="11" s="1"/>
  <c r="C1600" i="11"/>
  <c r="D1600" i="11" s="1"/>
  <c r="C1601" i="11"/>
  <c r="C1602" i="11"/>
  <c r="C1603" i="11"/>
  <c r="D1603" i="11" s="1"/>
  <c r="C1604" i="11"/>
  <c r="D1604" i="11" s="1"/>
  <c r="C1605" i="11"/>
  <c r="C1606" i="11"/>
  <c r="C1607" i="11"/>
  <c r="C1608" i="11"/>
  <c r="C1609" i="11"/>
  <c r="C1610" i="11"/>
  <c r="C1611" i="11"/>
  <c r="C1612" i="11"/>
  <c r="C1613" i="11"/>
  <c r="C1614" i="11"/>
  <c r="C1615" i="11"/>
  <c r="C1616" i="11"/>
  <c r="C1617" i="11"/>
  <c r="C1618" i="11"/>
  <c r="C1619" i="11"/>
  <c r="C1620" i="11"/>
  <c r="C1621" i="11"/>
  <c r="C1622" i="11"/>
  <c r="C1623" i="11"/>
  <c r="C1624" i="11"/>
  <c r="C1625" i="11"/>
  <c r="C1626" i="11"/>
  <c r="C1627" i="11"/>
  <c r="C1628" i="11"/>
  <c r="C1629" i="11"/>
  <c r="C1630" i="11"/>
  <c r="C1631" i="11"/>
  <c r="C1632" i="11"/>
  <c r="C1633" i="11"/>
  <c r="C1634" i="11"/>
  <c r="C1635" i="11"/>
  <c r="C1636" i="11"/>
  <c r="C1637" i="11"/>
  <c r="C1638" i="11"/>
  <c r="C1639" i="11"/>
  <c r="C1640" i="11"/>
  <c r="C1641" i="11"/>
  <c r="C1642" i="11"/>
  <c r="C1643" i="11"/>
  <c r="C1644" i="11"/>
  <c r="C1645" i="11"/>
  <c r="C1646" i="11"/>
  <c r="C1647" i="11"/>
  <c r="C1648" i="11"/>
  <c r="C1649" i="11"/>
  <c r="C1650" i="11"/>
  <c r="D1650" i="11" s="1"/>
  <c r="C1651" i="11"/>
  <c r="C1652" i="11"/>
  <c r="C1653" i="11"/>
  <c r="D1653" i="11" s="1"/>
  <c r="C1654" i="11"/>
  <c r="C1655" i="11"/>
  <c r="C1656" i="11"/>
  <c r="C1657" i="11"/>
  <c r="C1658" i="11"/>
  <c r="C1659" i="11"/>
  <c r="C1660" i="11"/>
  <c r="D1660" i="11" s="1"/>
  <c r="C1661" i="11"/>
  <c r="C1662" i="11"/>
  <c r="D1662" i="11" s="1"/>
  <c r="C1663" i="11"/>
  <c r="C1664" i="11"/>
  <c r="C1665" i="11"/>
  <c r="C1666" i="11"/>
  <c r="C1667" i="11"/>
  <c r="C1668" i="11"/>
  <c r="C1669" i="11"/>
  <c r="C1670" i="11"/>
  <c r="C1671" i="11"/>
  <c r="C1672" i="11"/>
  <c r="C1673" i="11"/>
  <c r="C1674" i="11"/>
  <c r="C1675" i="11"/>
  <c r="C1676" i="11"/>
  <c r="D1676" i="11" s="1"/>
  <c r="C1677" i="11"/>
  <c r="D1677" i="11" s="1"/>
  <c r="C1678" i="11"/>
  <c r="D1678" i="11" s="1"/>
  <c r="C1679" i="11"/>
  <c r="D1679" i="11" s="1"/>
  <c r="C1680" i="11"/>
  <c r="D1680" i="11" s="1"/>
  <c r="C1681" i="11"/>
  <c r="D1681" i="11" s="1"/>
  <c r="C1682" i="11"/>
  <c r="D1682" i="11" s="1"/>
  <c r="C1683" i="11"/>
  <c r="D1683" i="11" s="1"/>
  <c r="C1684" i="11"/>
  <c r="D1684" i="11" s="1"/>
  <c r="C1685" i="11"/>
  <c r="D1685" i="11" s="1"/>
  <c r="C1686" i="11"/>
  <c r="D1686" i="11" s="1"/>
  <c r="C1687" i="11"/>
  <c r="D1687" i="11" s="1"/>
  <c r="C1688" i="11"/>
  <c r="D1688" i="11" s="1"/>
  <c r="C1689" i="11"/>
  <c r="C1690" i="11"/>
  <c r="C1691" i="11"/>
  <c r="C1692" i="11"/>
  <c r="C1693" i="11"/>
  <c r="C1694" i="11"/>
  <c r="C1695" i="11"/>
  <c r="C1696" i="11"/>
  <c r="C1697" i="11"/>
  <c r="C1698" i="11"/>
  <c r="C1699" i="11"/>
  <c r="C1700" i="11"/>
  <c r="C1701" i="11"/>
  <c r="C1702" i="11"/>
  <c r="D1702" i="11" s="1"/>
  <c r="C1703" i="11"/>
  <c r="D1703" i="11" s="1"/>
  <c r="C1704" i="11"/>
  <c r="C1705" i="11"/>
  <c r="D1705" i="11" s="1"/>
  <c r="C1706" i="11"/>
  <c r="C1707" i="11"/>
  <c r="D1707" i="11" s="1"/>
  <c r="C1708" i="11"/>
  <c r="C1709" i="11"/>
  <c r="C1710" i="11"/>
  <c r="C1711" i="11"/>
  <c r="D1711" i="11" s="1"/>
  <c r="C1712" i="11"/>
  <c r="C1713" i="11"/>
  <c r="C1714" i="11"/>
  <c r="D1714" i="11" s="1"/>
  <c r="C1715" i="11"/>
  <c r="D1715" i="11" s="1"/>
  <c r="C1716" i="11"/>
  <c r="D1716" i="11" s="1"/>
  <c r="C1717" i="11"/>
  <c r="D1717" i="11" s="1"/>
  <c r="C1718" i="11"/>
  <c r="D1718" i="11" s="1"/>
  <c r="C1719" i="11"/>
  <c r="D1719" i="11" s="1"/>
  <c r="C1720" i="11"/>
  <c r="D1720" i="11" s="1"/>
  <c r="C1721" i="11"/>
  <c r="D1721" i="11" s="1"/>
  <c r="C1722" i="11"/>
  <c r="D1722" i="11" s="1"/>
  <c r="C1723" i="11"/>
  <c r="D1723" i="11" s="1"/>
  <c r="C1724" i="11"/>
  <c r="D1724" i="11" s="1"/>
  <c r="C1725" i="11"/>
  <c r="D1725" i="11" s="1"/>
  <c r="C1726" i="11"/>
  <c r="D1726" i="11" s="1"/>
  <c r="C1727" i="11"/>
  <c r="D1727" i="11" s="1"/>
  <c r="C1728" i="11"/>
  <c r="C1729" i="11"/>
  <c r="C1730" i="11"/>
  <c r="C1731" i="11"/>
  <c r="C1732" i="11"/>
  <c r="C1733" i="11"/>
  <c r="C1734" i="11"/>
  <c r="C1735" i="11"/>
  <c r="C1736" i="11"/>
  <c r="C1737" i="11"/>
  <c r="C1738" i="11"/>
  <c r="C1739" i="11"/>
  <c r="C1740" i="11"/>
  <c r="C1741" i="11"/>
  <c r="C1742" i="11"/>
  <c r="C1743" i="11"/>
  <c r="C1744" i="11"/>
  <c r="C1745" i="11"/>
  <c r="C1746" i="11"/>
  <c r="C1747" i="11"/>
  <c r="C1748" i="11"/>
  <c r="C1749" i="11"/>
  <c r="C1750" i="11"/>
  <c r="C1751" i="11"/>
  <c r="C1752" i="11"/>
  <c r="C1753" i="11"/>
  <c r="C1754" i="11"/>
  <c r="D1754" i="11" s="1"/>
  <c r="C1755" i="11"/>
  <c r="C1756" i="11"/>
  <c r="C1757" i="11"/>
  <c r="C1758" i="11"/>
  <c r="D1758" i="11" s="1"/>
  <c r="C1759" i="11"/>
  <c r="D1759" i="11" s="1"/>
  <c r="C1760" i="11"/>
  <c r="C1761" i="11"/>
  <c r="C1762" i="11"/>
  <c r="D1762" i="11" s="1"/>
  <c r="C1763" i="11"/>
  <c r="D1763" i="11" s="1"/>
  <c r="C1764" i="11"/>
  <c r="C1765" i="11"/>
  <c r="C1766" i="11"/>
  <c r="D1766" i="11" s="1"/>
  <c r="C1767" i="11"/>
  <c r="C1768" i="11"/>
  <c r="C1769" i="11"/>
  <c r="C1770" i="11"/>
  <c r="C1771" i="11"/>
  <c r="C1772" i="11"/>
  <c r="C1773" i="11"/>
  <c r="C1774" i="11"/>
  <c r="C1775" i="11"/>
  <c r="C1776" i="11"/>
  <c r="C1777" i="11"/>
  <c r="C1778" i="11"/>
  <c r="C1779" i="11"/>
  <c r="C1780" i="11"/>
  <c r="C1781" i="11"/>
  <c r="C1782" i="11"/>
  <c r="C1783" i="11"/>
  <c r="C1784" i="11"/>
  <c r="C1785" i="11"/>
  <c r="C1786" i="11"/>
  <c r="C1787" i="11"/>
  <c r="C1788" i="11"/>
  <c r="C1789" i="11"/>
  <c r="C1790" i="11"/>
  <c r="C1791" i="11"/>
  <c r="C1792" i="11"/>
  <c r="C1793" i="11"/>
  <c r="D1793" i="11" s="1"/>
  <c r="C1794" i="11"/>
  <c r="C1795" i="11"/>
  <c r="D1795" i="11" s="1"/>
  <c r="C1796" i="11"/>
  <c r="C1797" i="11"/>
  <c r="D1797" i="11" s="1"/>
  <c r="C1798" i="11"/>
  <c r="C1799" i="11"/>
  <c r="D1799" i="11" s="1"/>
  <c r="C1800" i="11"/>
  <c r="C1801" i="11"/>
  <c r="D1801" i="11" s="1"/>
  <c r="C1802" i="11"/>
  <c r="C1803" i="11"/>
  <c r="D1803" i="11" s="1"/>
  <c r="C1804" i="11"/>
  <c r="C1805" i="11"/>
  <c r="D1805" i="11" s="1"/>
  <c r="C1806" i="11"/>
  <c r="D1806" i="11" s="1"/>
  <c r="C1807" i="11"/>
  <c r="D1807" i="11" s="1"/>
  <c r="C1808" i="11"/>
  <c r="D1808" i="11" s="1"/>
  <c r="C1809" i="11"/>
  <c r="D1809" i="11" s="1"/>
  <c r="C1810" i="11"/>
  <c r="D1810" i="11" s="1"/>
  <c r="C1811" i="11"/>
  <c r="D1811" i="11" s="1"/>
  <c r="C1812" i="11"/>
  <c r="D1812" i="11" s="1"/>
  <c r="C1813" i="11"/>
  <c r="D1813" i="11" s="1"/>
  <c r="C1814" i="11"/>
  <c r="D1814" i="11" s="1"/>
  <c r="C1815" i="11"/>
  <c r="D1815" i="11" s="1"/>
  <c r="C1816" i="11"/>
  <c r="D1816" i="11" s="1"/>
  <c r="C1817" i="11"/>
  <c r="D1817" i="11" s="1"/>
  <c r="C1818" i="11"/>
  <c r="D1818" i="11" s="1"/>
  <c r="C1819" i="11"/>
  <c r="C1820" i="11"/>
  <c r="D1820" i="11" s="1"/>
  <c r="C1821" i="11"/>
  <c r="C1822" i="11"/>
  <c r="D1822" i="11" s="1"/>
  <c r="C1823" i="11"/>
  <c r="C1824" i="11"/>
  <c r="D1824" i="11" s="1"/>
  <c r="C1825" i="11"/>
  <c r="C1826" i="11"/>
  <c r="D1826" i="11" s="1"/>
  <c r="C1827" i="11"/>
  <c r="C1828" i="11"/>
  <c r="D1828" i="11" s="1"/>
  <c r="C1829" i="11"/>
  <c r="C1830" i="11"/>
  <c r="D1830" i="11" s="1"/>
  <c r="C1831" i="11"/>
  <c r="C1832" i="11"/>
  <c r="D1832" i="11" s="1"/>
  <c r="C1833" i="11"/>
  <c r="D1833" i="11" s="1"/>
  <c r="C1834" i="11"/>
  <c r="D1834" i="11" s="1"/>
  <c r="C1835" i="11"/>
  <c r="D1835" i="11" s="1"/>
  <c r="C1836" i="11"/>
  <c r="D1836" i="11" s="1"/>
  <c r="C1837" i="11"/>
  <c r="D1837" i="11" s="1"/>
  <c r="C1838" i="11"/>
  <c r="D1838" i="11" s="1"/>
  <c r="C1839" i="11"/>
  <c r="D1839" i="11" s="1"/>
  <c r="C1840" i="11"/>
  <c r="D1840" i="11" s="1"/>
  <c r="C1841" i="11"/>
  <c r="D1841" i="11" s="1"/>
  <c r="C1842" i="11"/>
  <c r="D1842" i="11" s="1"/>
  <c r="C1843" i="11"/>
  <c r="D1843" i="11" s="1"/>
  <c r="C1844" i="11"/>
  <c r="D1844" i="11" s="1"/>
  <c r="C1845" i="11"/>
  <c r="D1845" i="11" s="1"/>
  <c r="C1846" i="11"/>
  <c r="C1847" i="11"/>
  <c r="D1847" i="11" s="1"/>
  <c r="C1848" i="11"/>
  <c r="C1849" i="11"/>
  <c r="D1849" i="11" s="1"/>
  <c r="C1850" i="11"/>
  <c r="C1851" i="11"/>
  <c r="D1851" i="11" s="1"/>
  <c r="C1852" i="11"/>
  <c r="C1853" i="11"/>
  <c r="D1853" i="11" s="1"/>
  <c r="C1854" i="11"/>
  <c r="C1855" i="11"/>
  <c r="D1855" i="11" s="1"/>
  <c r="C1856" i="11"/>
  <c r="C1857" i="11"/>
  <c r="D1857" i="11" s="1"/>
  <c r="C1858" i="11"/>
  <c r="D1858" i="11" s="1"/>
  <c r="C1859" i="11"/>
  <c r="D1859" i="11" s="1"/>
  <c r="C1860" i="11"/>
  <c r="D1860" i="11" s="1"/>
  <c r="C1861" i="11"/>
  <c r="D1861" i="11" s="1"/>
  <c r="C1862" i="11"/>
  <c r="D1862" i="11" s="1"/>
  <c r="C1863" i="11"/>
  <c r="D1863" i="11" s="1"/>
  <c r="C1864" i="11"/>
  <c r="D1864" i="11" s="1"/>
  <c r="C1865" i="11"/>
  <c r="D1865" i="11" s="1"/>
  <c r="C1866" i="11"/>
  <c r="D1866" i="11" s="1"/>
  <c r="C1867" i="11"/>
  <c r="D1867" i="11" s="1"/>
  <c r="C1868" i="11"/>
  <c r="D1868" i="11" s="1"/>
  <c r="C1869" i="11"/>
  <c r="D1869" i="11" s="1"/>
  <c r="C1870" i="11"/>
  <c r="D1870" i="11" s="1"/>
  <c r="C1871" i="11"/>
  <c r="C1872" i="11"/>
  <c r="D1872" i="11" s="1"/>
  <c r="C1873" i="11"/>
  <c r="C1874" i="11"/>
  <c r="D1874" i="11" s="1"/>
  <c r="C1875" i="11"/>
  <c r="C1876" i="11"/>
  <c r="D1876" i="11" s="1"/>
  <c r="C1877" i="11"/>
  <c r="C1878" i="11"/>
  <c r="D1878" i="11" s="1"/>
  <c r="C1879" i="11"/>
  <c r="C1880" i="11"/>
  <c r="D1880" i="11" s="1"/>
  <c r="C1881" i="11"/>
  <c r="C1882" i="11"/>
  <c r="D1882" i="11" s="1"/>
  <c r="C1883" i="11"/>
  <c r="C1884" i="11"/>
  <c r="D1884" i="11" s="1"/>
  <c r="C1885" i="11"/>
  <c r="D1885" i="11" s="1"/>
  <c r="C1886" i="11"/>
  <c r="D1886" i="11" s="1"/>
  <c r="C1887" i="11"/>
  <c r="D1887" i="11" s="1"/>
  <c r="C1888" i="11"/>
  <c r="D1888" i="11" s="1"/>
  <c r="C1889" i="11"/>
  <c r="D1889" i="11" s="1"/>
  <c r="C1890" i="11"/>
  <c r="D1890" i="11" s="1"/>
  <c r="C1891" i="11"/>
  <c r="D1891" i="11" s="1"/>
  <c r="C1892" i="11"/>
  <c r="D1892" i="11" s="1"/>
  <c r="C1893" i="11"/>
  <c r="D1893" i="11" s="1"/>
  <c r="C1894" i="11"/>
  <c r="D1894" i="11" s="1"/>
  <c r="C1895" i="11"/>
  <c r="D1895" i="11" s="1"/>
  <c r="C1896" i="11"/>
  <c r="D1896" i="11" s="1"/>
  <c r="C1897" i="11"/>
  <c r="D1897" i="11" s="1"/>
  <c r="C1898" i="11"/>
  <c r="C1899" i="11"/>
  <c r="D1899" i="11" s="1"/>
  <c r="C1900" i="11"/>
  <c r="C1901" i="11"/>
  <c r="D1901" i="11" s="1"/>
  <c r="C1902" i="11"/>
  <c r="C1903" i="11"/>
  <c r="D1903" i="11" s="1"/>
  <c r="C1904" i="11"/>
  <c r="C1905" i="11"/>
  <c r="D1905" i="11" s="1"/>
  <c r="C1906" i="11"/>
  <c r="C1907" i="11"/>
  <c r="D1907" i="11" s="1"/>
  <c r="C1908" i="11"/>
  <c r="C1909" i="11"/>
  <c r="D1909" i="11" s="1"/>
  <c r="C1910" i="11"/>
  <c r="C1911" i="11"/>
  <c r="C1912" i="11"/>
  <c r="C1913" i="11"/>
  <c r="C1914" i="11"/>
  <c r="C1915" i="11"/>
  <c r="C1916" i="11"/>
  <c r="C1917" i="11"/>
  <c r="C1918" i="11"/>
  <c r="C1919" i="11"/>
  <c r="C1920" i="11"/>
  <c r="C1921" i="11"/>
  <c r="C1922" i="11"/>
  <c r="C2185" i="11"/>
  <c r="C2186" i="11"/>
  <c r="D2186" i="11"/>
  <c r="C2187" i="11"/>
  <c r="C2188" i="11"/>
  <c r="D2188" i="11"/>
  <c r="C2189" i="11"/>
  <c r="C2190" i="11"/>
  <c r="D2190" i="11"/>
  <c r="C2191" i="11"/>
  <c r="C2192" i="11"/>
  <c r="D2192" i="11"/>
  <c r="C2193" i="11"/>
  <c r="C2194" i="11"/>
  <c r="D2194" i="11"/>
  <c r="C2195" i="11"/>
  <c r="C2196" i="11"/>
  <c r="D2196" i="11"/>
  <c r="C2197" i="11"/>
  <c r="C2198" i="11"/>
  <c r="C2199" i="11"/>
  <c r="C2200" i="11"/>
  <c r="C2201" i="11"/>
  <c r="C2202" i="11"/>
  <c r="C2203" i="11"/>
  <c r="D2203" i="11"/>
  <c r="C2204" i="11"/>
  <c r="C2205" i="11"/>
  <c r="D2205" i="11"/>
  <c r="C2206" i="11"/>
  <c r="C2207" i="11"/>
  <c r="C2208" i="11"/>
  <c r="C2209" i="11"/>
  <c r="C2210" i="11"/>
  <c r="C2211" i="11"/>
  <c r="D2211" i="11"/>
  <c r="C2212" i="11"/>
  <c r="D2212" i="11"/>
  <c r="C2213" i="11"/>
  <c r="D2213" i="11"/>
  <c r="C2214" i="11"/>
  <c r="D2214" i="11"/>
  <c r="C2215" i="11"/>
  <c r="D2215" i="11"/>
  <c r="C2216" i="11"/>
  <c r="D2216" i="11"/>
  <c r="C2217" i="11"/>
  <c r="D2217" i="11"/>
  <c r="C2218" i="11"/>
  <c r="D2218" i="11"/>
  <c r="C2219" i="11"/>
  <c r="D2219" i="11"/>
  <c r="C2220" i="11"/>
  <c r="D2220" i="11"/>
  <c r="C2221" i="11"/>
  <c r="D2221" i="11"/>
  <c r="C2222" i="11"/>
  <c r="D2222" i="11"/>
  <c r="C2223" i="11"/>
  <c r="D2223" i="11"/>
  <c r="C2224" i="11"/>
  <c r="D2224" i="11"/>
  <c r="C2225" i="11"/>
  <c r="D2225" i="11"/>
  <c r="C2226" i="11"/>
  <c r="D2226" i="11"/>
  <c r="C2227" i="11"/>
  <c r="D2227" i="11"/>
  <c r="C2228" i="11"/>
  <c r="D2228" i="11"/>
  <c r="C2229" i="11"/>
  <c r="D2229" i="11"/>
  <c r="C2230" i="11"/>
  <c r="D2230" i="11"/>
  <c r="C2231" i="11"/>
  <c r="D2231" i="11"/>
  <c r="C2232" i="11"/>
  <c r="D2232" i="11"/>
  <c r="C2233" i="11"/>
  <c r="D2233" i="11"/>
  <c r="C2234" i="11"/>
  <c r="D2234" i="11"/>
  <c r="C2235" i="11"/>
  <c r="D2235" i="11"/>
  <c r="C2236" i="11"/>
  <c r="D2236" i="11"/>
  <c r="C2237" i="11"/>
  <c r="C2238" i="11"/>
  <c r="D2238" i="11"/>
  <c r="C2239" i="11"/>
  <c r="C2240" i="11"/>
  <c r="D2240" i="11"/>
  <c r="C2241" i="11"/>
  <c r="C2242" i="11"/>
  <c r="D2242" i="11"/>
  <c r="C2243" i="11"/>
  <c r="C2244" i="11"/>
  <c r="D2244" i="11"/>
  <c r="C2245" i="11"/>
  <c r="C2246" i="11"/>
  <c r="D2246" i="11"/>
  <c r="C2247" i="11"/>
  <c r="C2248" i="11"/>
  <c r="D2248" i="11"/>
  <c r="C2249" i="11"/>
  <c r="C2250" i="11"/>
  <c r="C2251" i="11"/>
  <c r="D2251" i="11"/>
  <c r="C2252" i="11"/>
  <c r="C2253" i="11"/>
  <c r="D2253" i="11"/>
  <c r="C2254" i="11"/>
  <c r="C2255" i="11"/>
  <c r="D2255" i="11"/>
  <c r="C2256" i="11"/>
  <c r="C2257" i="11"/>
  <c r="D2257" i="11"/>
  <c r="C2258" i="11"/>
  <c r="C2259" i="11"/>
  <c r="D2259" i="11"/>
  <c r="C2260" i="11"/>
  <c r="C2261" i="11"/>
  <c r="D2261" i="11"/>
  <c r="C2262" i="11"/>
  <c r="C2263" i="11"/>
  <c r="D2263" i="11"/>
  <c r="C2264" i="11"/>
  <c r="D2264" i="11"/>
  <c r="C2265" i="11"/>
  <c r="D2265" i="11"/>
  <c r="C2266" i="11"/>
  <c r="D2266" i="11"/>
  <c r="C2267" i="11"/>
  <c r="D2267" i="11"/>
  <c r="C2268" i="11"/>
  <c r="D2268" i="11"/>
  <c r="C2269" i="11"/>
  <c r="D2269" i="11"/>
  <c r="C2270" i="11"/>
  <c r="D2270" i="11"/>
  <c r="C2271" i="11"/>
  <c r="D2271" i="11"/>
  <c r="C2272" i="11"/>
  <c r="D2272" i="11"/>
  <c r="C2273" i="11"/>
  <c r="D2273" i="11"/>
  <c r="C2274" i="11"/>
  <c r="D2274" i="11"/>
  <c r="C2275" i="11"/>
  <c r="D2275" i="11"/>
  <c r="C2276" i="11"/>
  <c r="D2276" i="11"/>
  <c r="C2277" i="11"/>
  <c r="D2277" i="11"/>
  <c r="C2278" i="11"/>
  <c r="D2278" i="11"/>
  <c r="C2279" i="11"/>
  <c r="D2279" i="11"/>
  <c r="C2280" i="11"/>
  <c r="D2280" i="11"/>
  <c r="C2281" i="11"/>
  <c r="D2281" i="11"/>
  <c r="C2282" i="11"/>
  <c r="D2282" i="11"/>
  <c r="C2283" i="11"/>
  <c r="D2283" i="11"/>
  <c r="C2284" i="11"/>
  <c r="D2284" i="11"/>
  <c r="C2285" i="11"/>
  <c r="D2285" i="11"/>
  <c r="C2286" i="11"/>
  <c r="D2286" i="11"/>
  <c r="C2287" i="11"/>
  <c r="D2287" i="11"/>
  <c r="C2288" i="11"/>
  <c r="D2288" i="11"/>
  <c r="C2289" i="11"/>
  <c r="C2290" i="11"/>
  <c r="D2290" i="11"/>
  <c r="C2291" i="11"/>
  <c r="C2292" i="11"/>
  <c r="D2292" i="11"/>
  <c r="C2293" i="11"/>
  <c r="C2294" i="11"/>
  <c r="D2294" i="11"/>
  <c r="C2295" i="11"/>
  <c r="C2296" i="11"/>
  <c r="D2296" i="11"/>
  <c r="C2297" i="11"/>
  <c r="C2298" i="11"/>
  <c r="D2298" i="11"/>
  <c r="C2299" i="11"/>
  <c r="C2300" i="11"/>
  <c r="D2300" i="11"/>
  <c r="C2301" i="11"/>
  <c r="C2302" i="11"/>
  <c r="C2303" i="11"/>
  <c r="C2304" i="11"/>
  <c r="C2305" i="11"/>
  <c r="C2306" i="11"/>
  <c r="C2307" i="11"/>
  <c r="D2307" i="11"/>
  <c r="C2308" i="11"/>
  <c r="C2309" i="11"/>
  <c r="D2309" i="11"/>
  <c r="C2310" i="11"/>
  <c r="C2311" i="11"/>
  <c r="C2312" i="11"/>
  <c r="C2313" i="11"/>
  <c r="C2314" i="11"/>
  <c r="C2315" i="11"/>
  <c r="D2315" i="11"/>
  <c r="C2316" i="11"/>
  <c r="D2316" i="11"/>
  <c r="C2317" i="11"/>
  <c r="D2317" i="11"/>
  <c r="C2318" i="11"/>
  <c r="D2318" i="11"/>
  <c r="C2319" i="11"/>
  <c r="D2319" i="11"/>
  <c r="C2320" i="11"/>
  <c r="D2320" i="11"/>
  <c r="C2321" i="11"/>
  <c r="D2321" i="11"/>
  <c r="C2322" i="11"/>
  <c r="D2322" i="11"/>
  <c r="C2323" i="11"/>
  <c r="D2323" i="11"/>
  <c r="C2324" i="11"/>
  <c r="D2324" i="11"/>
  <c r="C2325" i="11"/>
  <c r="D2325" i="11"/>
  <c r="C2326" i="11"/>
  <c r="D2326" i="11"/>
  <c r="C2327" i="11"/>
  <c r="D2327" i="11"/>
  <c r="C2328" i="11"/>
  <c r="D2328" i="11"/>
  <c r="C2329" i="11"/>
  <c r="D2329" i="11"/>
  <c r="C2330" i="11"/>
  <c r="D2330" i="11"/>
  <c r="C2331" i="11"/>
  <c r="D2331" i="11"/>
  <c r="C2332" i="11"/>
  <c r="D2332" i="11"/>
  <c r="C2333" i="11"/>
  <c r="D2333" i="11"/>
  <c r="C2334" i="11"/>
  <c r="D2334" i="11"/>
  <c r="C2335" i="11"/>
  <c r="D2335" i="11"/>
  <c r="C2336" i="11"/>
  <c r="D2336" i="11"/>
  <c r="C2337" i="11"/>
  <c r="D2337" i="11"/>
  <c r="C2338" i="11"/>
  <c r="D2338" i="11"/>
  <c r="C2339" i="11"/>
  <c r="D2339" i="11"/>
  <c r="C2340" i="11"/>
  <c r="D2340" i="11"/>
  <c r="C2341" i="11"/>
  <c r="C2342" i="11"/>
  <c r="D2342" i="11"/>
  <c r="C2343" i="11"/>
  <c r="C2344" i="11"/>
  <c r="D2344" i="11"/>
  <c r="C2345" i="11"/>
  <c r="C2346" i="11"/>
  <c r="D2346" i="11"/>
  <c r="C2347" i="11"/>
  <c r="C2348" i="11"/>
  <c r="D2348" i="11"/>
  <c r="C2349" i="11"/>
  <c r="C2350" i="11"/>
  <c r="D2350" i="11"/>
  <c r="C2351" i="11"/>
  <c r="C2352" i="11"/>
  <c r="D2352" i="11"/>
  <c r="C2353" i="11"/>
  <c r="C2354" i="11"/>
  <c r="C2355" i="11"/>
  <c r="D2355" i="11"/>
  <c r="C2356" i="11"/>
  <c r="C2357" i="11"/>
  <c r="D2357" i="11"/>
  <c r="C2358" i="11"/>
  <c r="C2359" i="11"/>
  <c r="D2359" i="11"/>
  <c r="C2360" i="11"/>
  <c r="C2361" i="11"/>
  <c r="D2361" i="11"/>
  <c r="C2362" i="11"/>
  <c r="C2363" i="11"/>
  <c r="D2363" i="11"/>
  <c r="C2364" i="11"/>
  <c r="C2365" i="11"/>
  <c r="D2365" i="11"/>
  <c r="C2366" i="11"/>
  <c r="C2367" i="11"/>
  <c r="D2367" i="11"/>
  <c r="C2368" i="11"/>
  <c r="D2368" i="11"/>
  <c r="C2369" i="11"/>
  <c r="D2369" i="11"/>
  <c r="C2370" i="11"/>
  <c r="D2370" i="11"/>
  <c r="C2371" i="11"/>
  <c r="D2371" i="11"/>
  <c r="C2372" i="11"/>
  <c r="D2372" i="11"/>
  <c r="C2373" i="11"/>
  <c r="D2373" i="11"/>
  <c r="C2374" i="11"/>
  <c r="D2374" i="11"/>
  <c r="C2375" i="11"/>
  <c r="D2375" i="11"/>
  <c r="C2376" i="11"/>
  <c r="D2376" i="11"/>
  <c r="C2377" i="11"/>
  <c r="D2377" i="11"/>
  <c r="C2378" i="11"/>
  <c r="D2378" i="11"/>
  <c r="C2379" i="11"/>
  <c r="D2379" i="11"/>
  <c r="C2380" i="11"/>
  <c r="D2380" i="11"/>
  <c r="C2381" i="11"/>
  <c r="D2381" i="11"/>
  <c r="C2382" i="11"/>
  <c r="D2382" i="11"/>
  <c r="C2383" i="11"/>
  <c r="D2383" i="11"/>
  <c r="C2384" i="11"/>
  <c r="D2384" i="11"/>
  <c r="C2385" i="11"/>
  <c r="D2385" i="11"/>
  <c r="C2386" i="11"/>
  <c r="D2386" i="11"/>
  <c r="C2387" i="11"/>
  <c r="D2387" i="11"/>
  <c r="C2388" i="11"/>
  <c r="D2388" i="11"/>
  <c r="C2389" i="11"/>
  <c r="D2389" i="11"/>
  <c r="C2390" i="11"/>
  <c r="D2390" i="11"/>
  <c r="C2391" i="11"/>
  <c r="D2391" i="11"/>
  <c r="C2392" i="11"/>
  <c r="D2392" i="11"/>
  <c r="C2393" i="11"/>
  <c r="C2394" i="11"/>
  <c r="D2394" i="11"/>
  <c r="C2395" i="11"/>
  <c r="C2396" i="11"/>
  <c r="D2396" i="11"/>
  <c r="C2397" i="11"/>
  <c r="C2398" i="11"/>
  <c r="D2398" i="11"/>
  <c r="C2399" i="11"/>
  <c r="C2400" i="11"/>
  <c r="D2400" i="11"/>
  <c r="C2401" i="11"/>
  <c r="C2402" i="11"/>
  <c r="D2402" i="11"/>
  <c r="C2403" i="11"/>
  <c r="C2404" i="11"/>
  <c r="D2404" i="11"/>
  <c r="C2405" i="11"/>
  <c r="C2406" i="11"/>
  <c r="C2407" i="11"/>
  <c r="C2408" i="11"/>
  <c r="C2409" i="11"/>
  <c r="C2410" i="11"/>
  <c r="C2411" i="11"/>
  <c r="D2411" i="11"/>
  <c r="C2412" i="11"/>
  <c r="C2413" i="11"/>
  <c r="D2413" i="11"/>
  <c r="C2414" i="11"/>
  <c r="C2415" i="11"/>
  <c r="C2416" i="11"/>
  <c r="C2417" i="11"/>
  <c r="C2418" i="11"/>
  <c r="C2419" i="11"/>
  <c r="D2419" i="11"/>
  <c r="C2420" i="11"/>
  <c r="D2420" i="11"/>
  <c r="C2421" i="11"/>
  <c r="D2421" i="11"/>
  <c r="C2422" i="11"/>
  <c r="D2422" i="11"/>
  <c r="C2423" i="11"/>
  <c r="D2423" i="11"/>
  <c r="C2424" i="11"/>
  <c r="D2424" i="11"/>
  <c r="C2425" i="11"/>
  <c r="D2425" i="11"/>
  <c r="C2426" i="11"/>
  <c r="D2426" i="11"/>
  <c r="C2427" i="11"/>
  <c r="D2427" i="11"/>
  <c r="C2428" i="11"/>
  <c r="D2428" i="11"/>
  <c r="C2429" i="11"/>
  <c r="D2429" i="11"/>
  <c r="C2430" i="11"/>
  <c r="D2430" i="11"/>
  <c r="C2431" i="11"/>
  <c r="D2431" i="11"/>
  <c r="C2432" i="11"/>
  <c r="D2432" i="11"/>
  <c r="C2433" i="11"/>
  <c r="D2433" i="11"/>
  <c r="C2434" i="11"/>
  <c r="D2434" i="11"/>
  <c r="C2435" i="11"/>
  <c r="D2435" i="11"/>
  <c r="C2436" i="11"/>
  <c r="D2436" i="11"/>
  <c r="C2437" i="11"/>
  <c r="D2437" i="11"/>
  <c r="C2438" i="11"/>
  <c r="D2438" i="11"/>
  <c r="C2439" i="11"/>
  <c r="D2439" i="11"/>
  <c r="C2440" i="11"/>
  <c r="D2440" i="11"/>
  <c r="C2441" i="11"/>
  <c r="D2441" i="11"/>
  <c r="C2442" i="11"/>
  <c r="D2442" i="11"/>
  <c r="C2443" i="11"/>
  <c r="D2443" i="11"/>
  <c r="C2444" i="11"/>
  <c r="D2444" i="11"/>
  <c r="C2445" i="11"/>
  <c r="C2446" i="11"/>
  <c r="D2446" i="11"/>
  <c r="C2447" i="11"/>
  <c r="C2448" i="11"/>
  <c r="D2448" i="11"/>
  <c r="C2449" i="11"/>
  <c r="C2450" i="11"/>
  <c r="D2450" i="11"/>
  <c r="C2451" i="11"/>
  <c r="C2452" i="11"/>
  <c r="D2452" i="11"/>
  <c r="C2453" i="11"/>
  <c r="C2454" i="11"/>
  <c r="D2454" i="11"/>
  <c r="C2455" i="11"/>
  <c r="C2456" i="11"/>
  <c r="D2456" i="11"/>
  <c r="C2457" i="11"/>
  <c r="C2458" i="11"/>
  <c r="C2459" i="11"/>
  <c r="D2459" i="11"/>
  <c r="C2460" i="11"/>
  <c r="C2461" i="11"/>
  <c r="D2461" i="11"/>
  <c r="C2462" i="11"/>
  <c r="C2463" i="11"/>
  <c r="D2463" i="11"/>
  <c r="C2464" i="11"/>
  <c r="C2465" i="11"/>
  <c r="D2465" i="11"/>
  <c r="C2466" i="11"/>
  <c r="C2467" i="11"/>
  <c r="D2467" i="11"/>
  <c r="C2468" i="11"/>
  <c r="C2469" i="11"/>
  <c r="D2469" i="11"/>
  <c r="C2470" i="11"/>
  <c r="C2471" i="11"/>
  <c r="D2471" i="11"/>
  <c r="C2472" i="11"/>
  <c r="D2472" i="11"/>
  <c r="C2473" i="11"/>
  <c r="D2473" i="11"/>
  <c r="C2474" i="11"/>
  <c r="D2474" i="11"/>
  <c r="C2475" i="11"/>
  <c r="D2475" i="11"/>
  <c r="C2476" i="11"/>
  <c r="D2476" i="11"/>
  <c r="C2477" i="11"/>
  <c r="D2477" i="11"/>
  <c r="C2478" i="11"/>
  <c r="D2478" i="11"/>
  <c r="C2479" i="11"/>
  <c r="D2479" i="11"/>
  <c r="C2480" i="11"/>
  <c r="D2480" i="11"/>
  <c r="C2481" i="11"/>
  <c r="D2481" i="11"/>
  <c r="C2482" i="11"/>
  <c r="D2482" i="11"/>
  <c r="C2483" i="11"/>
  <c r="D2483" i="11"/>
  <c r="C2484" i="11"/>
  <c r="D2484" i="11"/>
  <c r="C2485" i="11"/>
  <c r="D2485" i="11"/>
  <c r="C2486" i="11"/>
  <c r="D2486" i="11"/>
  <c r="C2487" i="11"/>
  <c r="D2487" i="11"/>
  <c r="C2488" i="11"/>
  <c r="D2488" i="11"/>
  <c r="C2489" i="11"/>
  <c r="D2489" i="11"/>
  <c r="C2490" i="11"/>
  <c r="D2490" i="11"/>
  <c r="C2491" i="11"/>
  <c r="D2491" i="11"/>
  <c r="C2492" i="11"/>
  <c r="D2492" i="11"/>
  <c r="C2493" i="11"/>
  <c r="D2493" i="11"/>
  <c r="C2494" i="11"/>
  <c r="D2494" i="11"/>
  <c r="C2495" i="11"/>
  <c r="D2495" i="11"/>
  <c r="C2496" i="11"/>
  <c r="D2496" i="11"/>
  <c r="C2497" i="11"/>
  <c r="C2498" i="11"/>
  <c r="C2499" i="11"/>
  <c r="C2500" i="11"/>
  <c r="C2501" i="11"/>
  <c r="C2502" i="11"/>
  <c r="D2502" i="11"/>
  <c r="C2503" i="11"/>
  <c r="C2504" i="11"/>
  <c r="D2504" i="11"/>
  <c r="C2505" i="11"/>
  <c r="C2506" i="11"/>
  <c r="C2507" i="11"/>
  <c r="C2508" i="11"/>
  <c r="C2509" i="11"/>
  <c r="C2510" i="11"/>
  <c r="C2511" i="11"/>
  <c r="C2512" i="11"/>
  <c r="C2513" i="11"/>
  <c r="C2514" i="11"/>
  <c r="C2515" i="11"/>
  <c r="D2515" i="11"/>
  <c r="C2516" i="11"/>
  <c r="C2517" i="11"/>
  <c r="D2517" i="11"/>
  <c r="C2518" i="11"/>
  <c r="C2519" i="11"/>
  <c r="C2520" i="11"/>
  <c r="C2521" i="11"/>
  <c r="C2522" i="11"/>
  <c r="D2522" i="11"/>
  <c r="C2523" i="11"/>
  <c r="C2524" i="11"/>
  <c r="C2525" i="11"/>
  <c r="C2526" i="11"/>
  <c r="C2527" i="11"/>
  <c r="C2528" i="11"/>
  <c r="D2528" i="11"/>
  <c r="C2529" i="11"/>
  <c r="C2530" i="11"/>
  <c r="D2530" i="11"/>
  <c r="C2531" i="11"/>
  <c r="C2532" i="11"/>
  <c r="C2533" i="11"/>
  <c r="C2534" i="11"/>
  <c r="C2535" i="11"/>
  <c r="C2536" i="11"/>
  <c r="C2537" i="11"/>
  <c r="D2537" i="11"/>
  <c r="C2538" i="11"/>
  <c r="C2539" i="11"/>
  <c r="D2539" i="11"/>
  <c r="C2540" i="11"/>
  <c r="C2541" i="11"/>
  <c r="D2541" i="11"/>
  <c r="C2542" i="11"/>
  <c r="C2543" i="11"/>
  <c r="D2543" i="11"/>
  <c r="C2544" i="11"/>
  <c r="C2545" i="11"/>
  <c r="D2545" i="11"/>
  <c r="C2546" i="11"/>
  <c r="C2547" i="11"/>
  <c r="D2547" i="11"/>
  <c r="C2548" i="11"/>
  <c r="C2549" i="11"/>
  <c r="C2550" i="11"/>
  <c r="C2551" i="11"/>
  <c r="C2552" i="11"/>
  <c r="C2553" i="11"/>
  <c r="C2554" i="11"/>
  <c r="C2555" i="11"/>
  <c r="C2556" i="11"/>
  <c r="C2557" i="11"/>
  <c r="C2558" i="11"/>
  <c r="C2559" i="11"/>
  <c r="C2560" i="11"/>
  <c r="C2561" i="11"/>
  <c r="C2563" i="11"/>
  <c r="D2563" i="11"/>
  <c r="C2564" i="11"/>
  <c r="D2564" i="11"/>
  <c r="C2565" i="11"/>
  <c r="D2565" i="11"/>
  <c r="C2566" i="11"/>
  <c r="D2566" i="11"/>
  <c r="C2567" i="11"/>
  <c r="D2567" i="11"/>
  <c r="C2568" i="11"/>
  <c r="D2568" i="11"/>
  <c r="C2569" i="11"/>
  <c r="D2569" i="11"/>
  <c r="C2570" i="11"/>
  <c r="D2570" i="11"/>
  <c r="C2571" i="11"/>
  <c r="D2571" i="11"/>
  <c r="C2572" i="11"/>
  <c r="D2572" i="11"/>
  <c r="C2573" i="11"/>
  <c r="D2573" i="11"/>
  <c r="C2574" i="11"/>
  <c r="D2574" i="11"/>
  <c r="C2575" i="11"/>
  <c r="D2575" i="11"/>
  <c r="C774" i="11"/>
  <c r="C775" i="11"/>
  <c r="C778" i="11"/>
  <c r="C780" i="11"/>
  <c r="C781" i="11"/>
  <c r="C782" i="11"/>
  <c r="C783" i="11"/>
  <c r="C784" i="11"/>
  <c r="C785" i="11"/>
  <c r="C786" i="11"/>
  <c r="C787" i="11"/>
  <c r="C788" i="11"/>
  <c r="C789" i="11"/>
  <c r="C790" i="11"/>
  <c r="C791" i="11"/>
  <c r="C792" i="11"/>
  <c r="C793" i="11"/>
  <c r="C794" i="11"/>
  <c r="C796" i="11"/>
  <c r="C797" i="11"/>
  <c r="C798" i="11"/>
  <c r="C799" i="11"/>
  <c r="C800" i="11"/>
  <c r="C801" i="11"/>
  <c r="C802" i="11"/>
  <c r="C803" i="11"/>
  <c r="C804" i="11"/>
  <c r="C806" i="11"/>
  <c r="C807" i="11"/>
  <c r="C808" i="11"/>
  <c r="C809" i="11"/>
  <c r="C810" i="11"/>
  <c r="C811" i="11"/>
  <c r="C812" i="11"/>
  <c r="C813" i="11"/>
  <c r="C814" i="11"/>
  <c r="C815" i="11"/>
  <c r="C816" i="11"/>
  <c r="C817" i="11"/>
  <c r="C818" i="11"/>
  <c r="C819" i="11"/>
  <c r="C820" i="11"/>
  <c r="C821" i="11"/>
  <c r="C822" i="11"/>
  <c r="C823" i="11"/>
  <c r="C824" i="11"/>
  <c r="C825" i="11"/>
  <c r="C826" i="11"/>
  <c r="C827" i="11"/>
  <c r="C828" i="11"/>
  <c r="C829" i="11"/>
  <c r="C830" i="11"/>
  <c r="C831" i="11"/>
  <c r="C832" i="11"/>
  <c r="C833" i="11"/>
  <c r="C834" i="11"/>
  <c r="C835" i="11"/>
  <c r="D17" i="10"/>
  <c r="D18" i="10" s="1"/>
  <c r="D19" i="10" s="1"/>
  <c r="D20" i="10" s="1"/>
  <c r="D21" i="10" s="1"/>
  <c r="C18" i="10"/>
  <c r="C65" i="10"/>
  <c r="D65" i="10"/>
  <c r="C323" i="10"/>
  <c r="C959" i="11" s="1"/>
  <c r="D323" i="10"/>
  <c r="C324" i="10"/>
  <c r="D324" i="10"/>
  <c r="C325" i="10"/>
  <c r="D325" i="10"/>
  <c r="C326" i="10"/>
  <c r="D326" i="10"/>
  <c r="C64" i="10"/>
  <c r="E32" i="58" s="1"/>
  <c r="D64" i="10"/>
  <c r="C327" i="10"/>
  <c r="D327" i="10"/>
  <c r="C328" i="10"/>
  <c r="C1004" i="11" s="1"/>
  <c r="D328" i="10"/>
  <c r="C329" i="10"/>
  <c r="D329" i="10"/>
  <c r="C330" i="10"/>
  <c r="D330" i="10"/>
  <c r="C331" i="10"/>
  <c r="D331" i="10"/>
  <c r="C332" i="10"/>
  <c r="C956" i="11" s="1"/>
  <c r="D956" i="11" s="1"/>
  <c r="D332" i="10"/>
  <c r="C67" i="10"/>
  <c r="D67" i="10"/>
  <c r="C334" i="10"/>
  <c r="D334" i="10"/>
  <c r="C335" i="10"/>
  <c r="D335" i="10"/>
  <c r="C336" i="10"/>
  <c r="C1039" i="11" s="1"/>
  <c r="D336" i="10"/>
  <c r="C337" i="10"/>
  <c r="D337" i="10"/>
  <c r="C66" i="10"/>
  <c r="D66" i="10"/>
  <c r="C338" i="10"/>
  <c r="D338" i="10"/>
  <c r="C339" i="10"/>
  <c r="D339" i="10"/>
  <c r="C340" i="10"/>
  <c r="D340" i="10"/>
  <c r="C341" i="10"/>
  <c r="D341" i="10"/>
  <c r="C342" i="10"/>
  <c r="D342" i="10"/>
  <c r="C343" i="10"/>
  <c r="D343" i="10"/>
  <c r="C69" i="10"/>
  <c r="D69" i="10"/>
  <c r="C345" i="10"/>
  <c r="D345" i="10"/>
  <c r="C346" i="10"/>
  <c r="D346" i="10"/>
  <c r="C347" i="10"/>
  <c r="D347" i="10"/>
  <c r="C348" i="10"/>
  <c r="D348" i="10"/>
  <c r="C68" i="10"/>
  <c r="D68" i="10"/>
  <c r="C349" i="10"/>
  <c r="D349" i="10"/>
  <c r="C350" i="10"/>
  <c r="C1056" i="11" s="1"/>
  <c r="D1056" i="11" s="1"/>
  <c r="D350" i="10"/>
  <c r="C351" i="10"/>
  <c r="D351" i="10"/>
  <c r="C352" i="10"/>
  <c r="D352" i="10"/>
  <c r="C353" i="10"/>
  <c r="D353" i="10"/>
  <c r="C354" i="10"/>
  <c r="D354" i="10"/>
  <c r="C356" i="10"/>
  <c r="D356" i="10"/>
  <c r="C357" i="10"/>
  <c r="D357" i="10"/>
  <c r="C358" i="10"/>
  <c r="D358" i="10"/>
  <c r="C359" i="10"/>
  <c r="D359" i="10"/>
  <c r="C360" i="10"/>
  <c r="D360" i="10"/>
  <c r="C361" i="10"/>
  <c r="C1237" i="11" s="1"/>
  <c r="D1237" i="11" s="1"/>
  <c r="B1237" i="11" s="1"/>
  <c r="D361" i="10"/>
  <c r="C362" i="10"/>
  <c r="D362" i="10"/>
  <c r="C363" i="10"/>
  <c r="D363" i="10"/>
  <c r="C364" i="10"/>
  <c r="D364" i="10"/>
  <c r="C365" i="10"/>
  <c r="C1084" i="11" s="1"/>
  <c r="D1084" i="11" s="1"/>
  <c r="D365" i="10"/>
  <c r="C366" i="10"/>
  <c r="D366" i="10"/>
  <c r="C367" i="10"/>
  <c r="D367" i="10"/>
  <c r="C369" i="10"/>
  <c r="C1088" i="11" s="1"/>
  <c r="D369" i="10"/>
  <c r="C370" i="10"/>
  <c r="C1246" i="11" s="1"/>
  <c r="D1246" i="11" s="1"/>
  <c r="B1246" i="11" s="1"/>
  <c r="D370" i="10"/>
  <c r="C371" i="10"/>
  <c r="D371" i="10"/>
  <c r="C372" i="10"/>
  <c r="D372" i="10"/>
  <c r="C373" i="10"/>
  <c r="C1249" i="11" s="1"/>
  <c r="D1249" i="11" s="1"/>
  <c r="B1249" i="11" s="1"/>
  <c r="D373" i="10"/>
  <c r="C374" i="10"/>
  <c r="D374" i="10"/>
  <c r="C375" i="10"/>
  <c r="C1251" i="11" s="1"/>
  <c r="D1251" i="11" s="1"/>
  <c r="B1251" i="11" s="1"/>
  <c r="D375" i="10"/>
  <c r="C376" i="10"/>
  <c r="D376" i="10"/>
  <c r="C377" i="10"/>
  <c r="D377" i="10"/>
  <c r="C378" i="10"/>
  <c r="C1097" i="11" s="1"/>
  <c r="D1097" i="11" s="1"/>
  <c r="D378" i="10"/>
  <c r="C379" i="10"/>
  <c r="D379" i="10"/>
  <c r="C380" i="10"/>
  <c r="D380" i="10"/>
  <c r="C117" i="10"/>
  <c r="D117" i="10"/>
  <c r="C118" i="10"/>
  <c r="D118" i="10"/>
  <c r="C119" i="10"/>
  <c r="D119" i="10"/>
  <c r="C120" i="10"/>
  <c r="D120" i="10"/>
  <c r="C121" i="10"/>
  <c r="D121" i="10"/>
  <c r="C122" i="10"/>
  <c r="D122" i="10"/>
  <c r="C123" i="10"/>
  <c r="D123" i="10"/>
  <c r="C124" i="10"/>
  <c r="D124" i="10"/>
  <c r="C125" i="10"/>
  <c r="D125" i="10"/>
  <c r="C126" i="10"/>
  <c r="E897" i="58" s="1"/>
  <c r="D126" i="10"/>
  <c r="C127" i="10"/>
  <c r="E898" i="58" s="1"/>
  <c r="D127" i="10"/>
  <c r="C128" i="10"/>
  <c r="D128" i="10"/>
  <c r="C129" i="10"/>
  <c r="D129" i="10"/>
  <c r="C130" i="10"/>
  <c r="D130" i="10"/>
  <c r="C131" i="10"/>
  <c r="D131" i="10"/>
  <c r="C132" i="10"/>
  <c r="D132" i="10"/>
  <c r="C133" i="10"/>
  <c r="D133" i="10"/>
  <c r="C134" i="10"/>
  <c r="D134" i="10"/>
  <c r="C135" i="10"/>
  <c r="D135" i="10"/>
  <c r="C136" i="10"/>
  <c r="D136" i="10"/>
  <c r="C137" i="10"/>
  <c r="D137" i="10"/>
  <c r="C138" i="10"/>
  <c r="D138" i="10"/>
  <c r="C139" i="10"/>
  <c r="D139" i="10"/>
  <c r="C140" i="10"/>
  <c r="D140" i="10"/>
  <c r="C141" i="10"/>
  <c r="D141" i="10"/>
  <c r="C142" i="10"/>
  <c r="D142" i="10"/>
  <c r="C143" i="10"/>
  <c r="D143" i="10"/>
  <c r="C144" i="10"/>
  <c r="D144" i="10"/>
  <c r="C145" i="10"/>
  <c r="D145" i="10"/>
  <c r="C146" i="10"/>
  <c r="D146" i="10"/>
  <c r="C147" i="10"/>
  <c r="D147" i="10"/>
  <c r="C148" i="10"/>
  <c r="D148" i="10"/>
  <c r="C149" i="10"/>
  <c r="D149" i="10"/>
  <c r="C150" i="10"/>
  <c r="D150" i="10"/>
  <c r="C151" i="10"/>
  <c r="E922" i="58" s="1"/>
  <c r="D151" i="10"/>
  <c r="C152" i="10"/>
  <c r="E923" i="58" s="1"/>
  <c r="D152" i="10"/>
  <c r="C153" i="10"/>
  <c r="D153" i="10"/>
  <c r="C154" i="10"/>
  <c r="D154" i="10"/>
  <c r="C155" i="10"/>
  <c r="D155" i="10"/>
  <c r="C156" i="10"/>
  <c r="D156" i="10"/>
  <c r="C157" i="10"/>
  <c r="D157" i="10"/>
  <c r="C158" i="10"/>
  <c r="D158" i="10"/>
  <c r="C159" i="10"/>
  <c r="D159" i="10"/>
  <c r="C160" i="10"/>
  <c r="D160" i="10"/>
  <c r="C161" i="10"/>
  <c r="D161" i="10"/>
  <c r="C162" i="10"/>
  <c r="D162" i="10"/>
  <c r="C163" i="10"/>
  <c r="D163" i="10"/>
  <c r="C164" i="10"/>
  <c r="D164" i="10"/>
  <c r="C165" i="10"/>
  <c r="D165" i="10"/>
  <c r="C166" i="10"/>
  <c r="D166" i="10"/>
  <c r="C167" i="10"/>
  <c r="D167" i="10"/>
  <c r="C168" i="10"/>
  <c r="D168" i="10"/>
  <c r="C169" i="10"/>
  <c r="D169" i="10"/>
  <c r="C170" i="10"/>
  <c r="D170" i="10"/>
  <c r="C171" i="10"/>
  <c r="D171" i="10"/>
  <c r="C172" i="10"/>
  <c r="D172" i="10"/>
  <c r="C173" i="10"/>
  <c r="D173" i="10"/>
  <c r="C174" i="10"/>
  <c r="D174" i="10"/>
  <c r="C175" i="10"/>
  <c r="D175" i="10"/>
  <c r="C176" i="10"/>
  <c r="D176" i="10"/>
  <c r="C177" i="10"/>
  <c r="E948" i="58" s="1"/>
  <c r="D177" i="10"/>
  <c r="C178" i="10"/>
  <c r="D178" i="10"/>
  <c r="C179" i="10"/>
  <c r="D179" i="10"/>
  <c r="C180" i="10"/>
  <c r="D180" i="10"/>
  <c r="C181" i="10"/>
  <c r="D181" i="10"/>
  <c r="C182" i="10"/>
  <c r="D182" i="10"/>
  <c r="C183" i="10"/>
  <c r="D183" i="10"/>
  <c r="C184" i="10"/>
  <c r="D184" i="10"/>
  <c r="C185" i="10"/>
  <c r="D185" i="10"/>
  <c r="C186" i="10"/>
  <c r="D186" i="10"/>
  <c r="C187" i="10"/>
  <c r="D187" i="10"/>
  <c r="C188" i="10"/>
  <c r="D188" i="10"/>
  <c r="C189" i="10"/>
  <c r="D189" i="10"/>
  <c r="C190" i="10"/>
  <c r="D190" i="10"/>
  <c r="C191" i="10"/>
  <c r="D191" i="10"/>
  <c r="C192" i="10"/>
  <c r="D192" i="10"/>
  <c r="C193" i="10"/>
  <c r="D193" i="10"/>
  <c r="C194" i="10"/>
  <c r="D194" i="10"/>
  <c r="C196" i="10"/>
  <c r="C222" i="10" s="1"/>
  <c r="D196" i="10"/>
  <c r="C197" i="10"/>
  <c r="D197" i="10"/>
  <c r="D262" i="10" s="1"/>
  <c r="C198" i="10"/>
  <c r="D198" i="10"/>
  <c r="C199" i="10"/>
  <c r="D199" i="10"/>
  <c r="D251" i="10" s="1"/>
  <c r="C200" i="10"/>
  <c r="D200" i="10"/>
  <c r="D213" i="10" s="1"/>
  <c r="C201" i="10"/>
  <c r="D201" i="10"/>
  <c r="D227" i="10" s="1"/>
  <c r="C202" i="10"/>
  <c r="D202" i="10"/>
  <c r="C203" i="10"/>
  <c r="D203" i="10"/>
  <c r="D229" i="10" s="1"/>
  <c r="C204" i="10"/>
  <c r="D204" i="10"/>
  <c r="C205" i="10"/>
  <c r="D205" i="10"/>
  <c r="D244" i="10" s="1"/>
  <c r="C206" i="10"/>
  <c r="D206" i="10"/>
  <c r="C207" i="10"/>
  <c r="D207" i="10"/>
  <c r="D233" i="10" s="1"/>
  <c r="C208" i="10"/>
  <c r="D208" i="10"/>
  <c r="C85" i="10"/>
  <c r="D85" i="10"/>
  <c r="C86" i="10"/>
  <c r="D86" i="10"/>
  <c r="C87" i="10"/>
  <c r="D87" i="10"/>
  <c r="C88" i="10"/>
  <c r="D88" i="10"/>
  <c r="C89" i="10"/>
  <c r="D89" i="10"/>
  <c r="C90" i="10"/>
  <c r="D90" i="10"/>
  <c r="C91" i="10"/>
  <c r="D91" i="10"/>
  <c r="C92" i="10"/>
  <c r="D92" i="10"/>
  <c r="C93" i="10"/>
  <c r="D93" i="10"/>
  <c r="C94" i="10"/>
  <c r="D94" i="10"/>
  <c r="C95" i="10"/>
  <c r="D95" i="10"/>
  <c r="C96" i="10"/>
  <c r="D96" i="10"/>
  <c r="C97" i="10"/>
  <c r="D97" i="10"/>
  <c r="C98" i="10"/>
  <c r="D98" i="10"/>
  <c r="C99" i="10"/>
  <c r="D99" i="10"/>
  <c r="C100" i="10"/>
  <c r="D100" i="10"/>
  <c r="C101" i="10"/>
  <c r="D101" i="10"/>
  <c r="C102" i="10"/>
  <c r="D102" i="10"/>
  <c r="C104" i="10"/>
  <c r="D104" i="10"/>
  <c r="C105" i="10"/>
  <c r="D105" i="10"/>
  <c r="C106" i="10"/>
  <c r="D106" i="10"/>
  <c r="C107" i="10"/>
  <c r="D107" i="10"/>
  <c r="C108" i="10"/>
  <c r="D108" i="10"/>
  <c r="C109" i="10"/>
  <c r="B774" i="11"/>
  <c r="B780" i="11"/>
  <c r="B781" i="11"/>
  <c r="B783" i="11"/>
  <c r="D297" i="10"/>
  <c r="D783" i="11" s="1"/>
  <c r="B784" i="11"/>
  <c r="B797" i="11"/>
  <c r="D303" i="10"/>
  <c r="B798" i="11"/>
  <c r="B799" i="11"/>
  <c r="B800" i="11"/>
  <c r="B802" i="11"/>
  <c r="B803" i="11"/>
  <c r="B804" i="11"/>
  <c r="B806" i="11"/>
  <c r="B807" i="11"/>
  <c r="B808" i="11"/>
  <c r="B809" i="11"/>
  <c r="D809" i="11"/>
  <c r="B810" i="11"/>
  <c r="B811" i="11"/>
  <c r="B812" i="11"/>
  <c r="B813" i="11"/>
  <c r="B814" i="11"/>
  <c r="B815" i="11"/>
  <c r="F191" i="12"/>
  <c r="F185" i="12"/>
  <c r="F181" i="12"/>
  <c r="F175" i="12"/>
  <c r="F171" i="12"/>
  <c r="D2549" i="11"/>
  <c r="D2553" i="11"/>
  <c r="D2557" i="11"/>
  <c r="D2561" i="11"/>
  <c r="D127" i="26"/>
  <c r="E146" i="12" s="1"/>
  <c r="D927" i="11"/>
  <c r="D813" i="11"/>
  <c r="D833" i="11"/>
  <c r="B835" i="11"/>
  <c r="B834" i="11"/>
  <c r="B833" i="11"/>
  <c r="B832" i="11"/>
  <c r="B831" i="11"/>
  <c r="B830" i="11"/>
  <c r="B829" i="11"/>
  <c r="B827" i="11"/>
  <c r="B826" i="11"/>
  <c r="B824" i="11"/>
  <c r="B823" i="11"/>
  <c r="B822" i="11"/>
  <c r="B820" i="11"/>
  <c r="B819" i="11"/>
  <c r="B818" i="11"/>
  <c r="B817" i="11"/>
  <c r="B793" i="11"/>
  <c r="B792" i="11"/>
  <c r="B790" i="11"/>
  <c r="B789" i="11"/>
  <c r="B788" i="11"/>
  <c r="B787" i="11"/>
  <c r="B786" i="11"/>
  <c r="B2020" i="11" l="1"/>
  <c r="F32" i="58"/>
  <c r="D32" i="58" s="1"/>
  <c r="D30" i="11" s="1"/>
  <c r="C32" i="58"/>
  <c r="C30" i="11" s="1"/>
  <c r="D706" i="11"/>
  <c r="D609" i="58" s="1"/>
  <c r="D756" i="11"/>
  <c r="D731" i="11"/>
  <c r="C1116" i="11"/>
  <c r="C755" i="11"/>
  <c r="C232" i="11"/>
  <c r="C730" i="11"/>
  <c r="D1276" i="11"/>
  <c r="D764" i="11"/>
  <c r="D739" i="11"/>
  <c r="D714" i="11"/>
  <c r="D1266" i="11"/>
  <c r="D729" i="11"/>
  <c r="D705" i="11"/>
  <c r="D754" i="11"/>
  <c r="C739" i="11"/>
  <c r="C764" i="11"/>
  <c r="C714" i="11"/>
  <c r="C754" i="11"/>
  <c r="C705" i="11"/>
  <c r="C729" i="11"/>
  <c r="D766" i="11"/>
  <c r="D716" i="11"/>
  <c r="D598" i="58" s="1"/>
  <c r="D741" i="11"/>
  <c r="D704" i="11"/>
  <c r="D728" i="11"/>
  <c r="D753" i="11"/>
  <c r="D727" i="11"/>
  <c r="D236" i="11"/>
  <c r="D855" i="58" s="1"/>
  <c r="D752" i="11"/>
  <c r="C762" i="11"/>
  <c r="C712" i="11"/>
  <c r="C737" i="11"/>
  <c r="C236" i="11"/>
  <c r="C752" i="11"/>
  <c r="C727" i="11"/>
  <c r="D761" i="11"/>
  <c r="D736" i="11"/>
  <c r="D711" i="11"/>
  <c r="D572" i="58" s="1"/>
  <c r="D726" i="11"/>
  <c r="D235" i="11"/>
  <c r="D551" i="58" s="1"/>
  <c r="D751" i="11"/>
  <c r="C761" i="11"/>
  <c r="C711" i="11"/>
  <c r="C736" i="11"/>
  <c r="D760" i="11"/>
  <c r="D710" i="11"/>
  <c r="D613" i="58" s="1"/>
  <c r="D735" i="11"/>
  <c r="D1262" i="11"/>
  <c r="D725" i="11"/>
  <c r="D234" i="11"/>
  <c r="D903" i="58" s="1"/>
  <c r="D750" i="11"/>
  <c r="C722" i="11"/>
  <c r="C702" i="11"/>
  <c r="C747" i="11"/>
  <c r="D730" i="11"/>
  <c r="D232" i="11"/>
  <c r="D671" i="58" s="1"/>
  <c r="D755" i="11"/>
  <c r="C756" i="11"/>
  <c r="C706" i="11"/>
  <c r="C731" i="11"/>
  <c r="C381" i="11"/>
  <c r="C741" i="11"/>
  <c r="C716" i="11"/>
  <c r="C766" i="11"/>
  <c r="D2593" i="11"/>
  <c r="C763" i="11"/>
  <c r="C713" i="11"/>
  <c r="C738" i="11"/>
  <c r="D1274" i="11"/>
  <c r="D762" i="11"/>
  <c r="D737" i="11"/>
  <c r="D712" i="11"/>
  <c r="C760" i="11"/>
  <c r="C710" i="11"/>
  <c r="C735" i="11"/>
  <c r="C743" i="11"/>
  <c r="C718" i="11"/>
  <c r="C768" i="11"/>
  <c r="C726" i="11"/>
  <c r="C751" i="11"/>
  <c r="C235" i="11"/>
  <c r="C724" i="11"/>
  <c r="C749" i="11"/>
  <c r="C233" i="11"/>
  <c r="C757" i="11"/>
  <c r="C707" i="11"/>
  <c r="C732" i="11"/>
  <c r="C742" i="11"/>
  <c r="C717" i="11"/>
  <c r="C767" i="11"/>
  <c r="D763" i="11"/>
  <c r="D738" i="11"/>
  <c r="D713" i="11"/>
  <c r="C725" i="11"/>
  <c r="C234" i="11"/>
  <c r="C750" i="11"/>
  <c r="D745" i="11"/>
  <c r="D720" i="11"/>
  <c r="D770" i="11"/>
  <c r="D724" i="11"/>
  <c r="D233" i="11"/>
  <c r="D549" i="58" s="1"/>
  <c r="D749" i="11"/>
  <c r="C745" i="11"/>
  <c r="C770" i="11"/>
  <c r="C720" i="11"/>
  <c r="D723" i="11"/>
  <c r="D703" i="11"/>
  <c r="D926" i="58" s="1"/>
  <c r="D748" i="11"/>
  <c r="C744" i="11"/>
  <c r="C769" i="11"/>
  <c r="C719" i="11"/>
  <c r="C723" i="11"/>
  <c r="C748" i="11"/>
  <c r="C703" i="11"/>
  <c r="D1279" i="11"/>
  <c r="D767" i="11"/>
  <c r="D742" i="11"/>
  <c r="D717" i="11"/>
  <c r="D895" i="58" s="1"/>
  <c r="C2703" i="11"/>
  <c r="C704" i="11"/>
  <c r="C753" i="11"/>
  <c r="C728" i="11"/>
  <c r="D709" i="11"/>
  <c r="D759" i="11"/>
  <c r="D734" i="11"/>
  <c r="C709" i="11"/>
  <c r="C759" i="11"/>
  <c r="C734" i="11"/>
  <c r="D744" i="11"/>
  <c r="D719" i="11"/>
  <c r="D685" i="58" s="1"/>
  <c r="D769" i="11"/>
  <c r="D708" i="11"/>
  <c r="D758" i="11"/>
  <c r="D733" i="11"/>
  <c r="C708" i="11"/>
  <c r="C758" i="11"/>
  <c r="C733" i="11"/>
  <c r="D743" i="11"/>
  <c r="D718" i="11"/>
  <c r="D971" i="58" s="1"/>
  <c r="D768" i="11"/>
  <c r="D707" i="11"/>
  <c r="D757" i="11"/>
  <c r="D732" i="11"/>
  <c r="D747" i="11"/>
  <c r="D722" i="11"/>
  <c r="D702" i="11"/>
  <c r="D694" i="58" s="1"/>
  <c r="C1161" i="11"/>
  <c r="C1078" i="11"/>
  <c r="D1078" i="11" s="1"/>
  <c r="D210" i="10"/>
  <c r="C210" i="10"/>
  <c r="C1196" i="11"/>
  <c r="D1196" i="11" s="1"/>
  <c r="B1196" i="11" s="1"/>
  <c r="Q118" i="44"/>
  <c r="U117" i="44"/>
  <c r="Y115" i="44"/>
  <c r="E115" i="44"/>
  <c r="F51" i="44"/>
  <c r="F86" i="44" s="1"/>
  <c r="U116" i="44"/>
  <c r="M118" i="44"/>
  <c r="M13" i="44" s="1"/>
  <c r="T85" i="44" s="1"/>
  <c r="Q116" i="44"/>
  <c r="U115" i="44"/>
  <c r="M7" i="44" s="1"/>
  <c r="J41" i="44"/>
  <c r="M117" i="44"/>
  <c r="I117" i="44"/>
  <c r="M116" i="44"/>
  <c r="H86" i="44"/>
  <c r="Y118" i="44"/>
  <c r="E118" i="44"/>
  <c r="I116" i="44"/>
  <c r="H51" i="44"/>
  <c r="J43" i="44"/>
  <c r="J79" i="44" s="1"/>
  <c r="J94" i="44" s="1"/>
  <c r="J47" i="44"/>
  <c r="J45" i="44"/>
  <c r="J81" i="44" s="1"/>
  <c r="J38" i="44"/>
  <c r="B79" i="44"/>
  <c r="B94" i="44" s="1"/>
  <c r="C1045" i="11"/>
  <c r="Z118" i="44"/>
  <c r="R118" i="44"/>
  <c r="J118" i="44"/>
  <c r="Z117" i="44"/>
  <c r="R117" i="44"/>
  <c r="J117" i="44"/>
  <c r="Z116" i="44"/>
  <c r="R116" i="44"/>
  <c r="J116" i="44"/>
  <c r="Z115" i="44"/>
  <c r="R115" i="44"/>
  <c r="F96" i="44"/>
  <c r="J51" i="44"/>
  <c r="J86" i="44" s="1"/>
  <c r="F47" i="44"/>
  <c r="F45" i="44"/>
  <c r="F81" i="44" s="1"/>
  <c r="J40" i="44"/>
  <c r="J78" i="44" s="1"/>
  <c r="J53" i="44"/>
  <c r="J88" i="44" s="1"/>
  <c r="D1272" i="11"/>
  <c r="C1050" i="11"/>
  <c r="D1050" i="11" s="1"/>
  <c r="C1093" i="11"/>
  <c r="D1093" i="11" s="1"/>
  <c r="D249" i="10"/>
  <c r="D216" i="10"/>
  <c r="D1690" i="11"/>
  <c r="H850" i="58"/>
  <c r="H694" i="58"/>
  <c r="H866" i="58"/>
  <c r="H710" i="58"/>
  <c r="H574" i="58"/>
  <c r="F865" i="58"/>
  <c r="F890" i="58"/>
  <c r="F915" i="58"/>
  <c r="F940" i="58"/>
  <c r="F965" i="58"/>
  <c r="F990" i="58"/>
  <c r="F734" i="58"/>
  <c r="F709" i="58"/>
  <c r="F759" i="58"/>
  <c r="F784" i="58"/>
  <c r="F809" i="58"/>
  <c r="F834" i="58"/>
  <c r="F573" i="58"/>
  <c r="F594" i="58"/>
  <c r="F615" i="58"/>
  <c r="F636" i="58"/>
  <c r="F657" i="58"/>
  <c r="F678" i="58"/>
  <c r="F516" i="58"/>
  <c r="F491" i="58"/>
  <c r="F466" i="58"/>
  <c r="F441" i="58"/>
  <c r="F416" i="58"/>
  <c r="F390" i="58"/>
  <c r="F364" i="58"/>
  <c r="F338" i="58"/>
  <c r="F312" i="58"/>
  <c r="F286" i="58"/>
  <c r="F260" i="58"/>
  <c r="F235" i="58"/>
  <c r="F209" i="58"/>
  <c r="F79" i="58"/>
  <c r="F157" i="58"/>
  <c r="F131" i="58"/>
  <c r="F53" i="58"/>
  <c r="F183" i="58"/>
  <c r="F105" i="58"/>
  <c r="F859" i="58"/>
  <c r="F884" i="58"/>
  <c r="F909" i="58"/>
  <c r="F934" i="58"/>
  <c r="F959" i="58"/>
  <c r="F984" i="58"/>
  <c r="F703" i="58"/>
  <c r="F728" i="58"/>
  <c r="F753" i="58"/>
  <c r="F778" i="58"/>
  <c r="F803" i="58"/>
  <c r="F828" i="58"/>
  <c r="F567" i="58"/>
  <c r="F588" i="58"/>
  <c r="F609" i="58"/>
  <c r="F630" i="58"/>
  <c r="F651" i="58"/>
  <c r="F672" i="58"/>
  <c r="F510" i="58"/>
  <c r="F485" i="58"/>
  <c r="F460" i="58"/>
  <c r="F435" i="58"/>
  <c r="F410" i="58"/>
  <c r="F384" i="58"/>
  <c r="F358" i="58"/>
  <c r="F332" i="58"/>
  <c r="F306" i="58"/>
  <c r="F280" i="58"/>
  <c r="F254" i="58"/>
  <c r="F229" i="58"/>
  <c r="F125" i="58"/>
  <c r="F47" i="58"/>
  <c r="F99" i="58"/>
  <c r="F203" i="58"/>
  <c r="F177" i="58"/>
  <c r="F151" i="58"/>
  <c r="F73" i="58"/>
  <c r="D2650" i="11"/>
  <c r="F851" i="58"/>
  <c r="F876" i="58"/>
  <c r="F901" i="58"/>
  <c r="F926" i="58"/>
  <c r="F951" i="58"/>
  <c r="F976" i="58"/>
  <c r="F695" i="58"/>
  <c r="F720" i="58"/>
  <c r="F745" i="58"/>
  <c r="F770" i="58"/>
  <c r="F795" i="58"/>
  <c r="F820" i="58"/>
  <c r="F564" i="58"/>
  <c r="F584" i="58"/>
  <c r="F605" i="58"/>
  <c r="F626" i="58"/>
  <c r="F647" i="58"/>
  <c r="F668" i="58"/>
  <c r="F502" i="58"/>
  <c r="F477" i="58"/>
  <c r="F452" i="58"/>
  <c r="F427" i="58"/>
  <c r="F402" i="58"/>
  <c r="F376" i="58"/>
  <c r="F350" i="58"/>
  <c r="F324" i="58"/>
  <c r="F298" i="58"/>
  <c r="F272" i="58"/>
  <c r="F247" i="58"/>
  <c r="F221" i="58"/>
  <c r="F117" i="58"/>
  <c r="F39" i="58"/>
  <c r="F91" i="58"/>
  <c r="F195" i="58"/>
  <c r="F169" i="58"/>
  <c r="F143" i="58"/>
  <c r="F65" i="58"/>
  <c r="C1256" i="11"/>
  <c r="D1256" i="11" s="1"/>
  <c r="B1256" i="11" s="1"/>
  <c r="E872" i="58"/>
  <c r="E900" i="58"/>
  <c r="E875" i="58"/>
  <c r="E850" i="58"/>
  <c r="E975" i="58"/>
  <c r="E950" i="58"/>
  <c r="E925" i="58"/>
  <c r="E832" i="58"/>
  <c r="E831" i="58"/>
  <c r="E834" i="58"/>
  <c r="E833" i="58"/>
  <c r="E809" i="58"/>
  <c r="E782" i="58"/>
  <c r="E759" i="58"/>
  <c r="E732" i="58"/>
  <c r="E709" i="58"/>
  <c r="E808" i="58"/>
  <c r="E781" i="58"/>
  <c r="E758" i="58"/>
  <c r="E731" i="58"/>
  <c r="E708" i="58"/>
  <c r="E807" i="58"/>
  <c r="E784" i="58"/>
  <c r="E757" i="58"/>
  <c r="E734" i="58"/>
  <c r="E707" i="58"/>
  <c r="E806" i="58"/>
  <c r="E783" i="58"/>
  <c r="E756" i="58"/>
  <c r="E733" i="58"/>
  <c r="E706" i="58"/>
  <c r="E682" i="58"/>
  <c r="E661" i="58"/>
  <c r="E640" i="58"/>
  <c r="E619" i="58"/>
  <c r="E598" i="58"/>
  <c r="E681" i="58"/>
  <c r="E660" i="58"/>
  <c r="E639" i="58"/>
  <c r="E618" i="58"/>
  <c r="E597" i="58"/>
  <c r="E684" i="58"/>
  <c r="E663" i="58"/>
  <c r="E642" i="58"/>
  <c r="E621" i="58"/>
  <c r="E600" i="58"/>
  <c r="E683" i="58"/>
  <c r="E662" i="58"/>
  <c r="E641" i="58"/>
  <c r="E620" i="58"/>
  <c r="E599" i="58"/>
  <c r="E576" i="58"/>
  <c r="E578" i="58"/>
  <c r="E577" i="58"/>
  <c r="E579" i="58"/>
  <c r="C1021" i="11"/>
  <c r="C1178" i="11"/>
  <c r="C1139" i="11"/>
  <c r="C995" i="11"/>
  <c r="C1152" i="11"/>
  <c r="C982" i="11"/>
  <c r="B2019" i="11"/>
  <c r="B2015" i="11"/>
  <c r="AB157" i="57"/>
  <c r="AE157" i="57"/>
  <c r="AE95" i="57"/>
  <c r="AD157" i="57"/>
  <c r="AC157" i="57"/>
  <c r="AC33" i="57"/>
  <c r="AD33" i="57"/>
  <c r="AB34" i="57"/>
  <c r="AF34" i="57" s="1"/>
  <c r="Q248" i="12" s="1"/>
  <c r="AD95" i="57"/>
  <c r="AC96" i="57"/>
  <c r="AG96" i="57" s="1"/>
  <c r="R300" i="12" s="1"/>
  <c r="AE33" i="57"/>
  <c r="AC95" i="57"/>
  <c r="AB33" i="57"/>
  <c r="AD97" i="57"/>
  <c r="AB95" i="57"/>
  <c r="AD159" i="57"/>
  <c r="AD96" i="57"/>
  <c r="AH96" i="57" s="1"/>
  <c r="S300" i="12" s="1"/>
  <c r="AB159" i="57"/>
  <c r="AC34" i="57"/>
  <c r="AG34" i="57" s="1"/>
  <c r="R248" i="12" s="1"/>
  <c r="AC97" i="57"/>
  <c r="AC98" i="57"/>
  <c r="AE158" i="57"/>
  <c r="AI158" i="57" s="1"/>
  <c r="T352" i="12" s="1"/>
  <c r="AD34" i="57"/>
  <c r="AH34" i="57" s="1"/>
  <c r="S248" i="12" s="1"/>
  <c r="AD35" i="57"/>
  <c r="AD98" i="57"/>
  <c r="AH98" i="57" s="1"/>
  <c r="S302" i="12" s="1"/>
  <c r="AE35" i="57"/>
  <c r="AB99" i="57"/>
  <c r="AE159" i="57"/>
  <c r="AI159" i="57" s="1"/>
  <c r="T353" i="12" s="1"/>
  <c r="AB158" i="57"/>
  <c r="AF158" i="57" s="1"/>
  <c r="Q352" i="12" s="1"/>
  <c r="AC158" i="57"/>
  <c r="AG158" i="57" s="1"/>
  <c r="R352" i="12" s="1"/>
  <c r="AD158" i="57"/>
  <c r="AH158" i="57" s="1"/>
  <c r="S352" i="12" s="1"/>
  <c r="AE97" i="57"/>
  <c r="AB97" i="57"/>
  <c r="AE34" i="57"/>
  <c r="AI34" i="57" s="1"/>
  <c r="T248" i="12" s="1"/>
  <c r="AE160" i="57"/>
  <c r="AB98" i="57"/>
  <c r="AF98" i="57" s="1"/>
  <c r="Q302" i="12" s="1"/>
  <c r="AB35" i="57"/>
  <c r="AC160" i="57"/>
  <c r="AG160" i="57" s="1"/>
  <c r="R354" i="12" s="1"/>
  <c r="AE96" i="57"/>
  <c r="AI96" i="57" s="1"/>
  <c r="T300" i="12" s="1"/>
  <c r="AC35" i="57"/>
  <c r="AG35" i="57" s="1"/>
  <c r="R249" i="12" s="1"/>
  <c r="AB96" i="57"/>
  <c r="AF96" i="57" s="1"/>
  <c r="Q300" i="12" s="1"/>
  <c r="AC159" i="57"/>
  <c r="AG159" i="57" s="1"/>
  <c r="R353" i="12" s="1"/>
  <c r="AE98" i="57"/>
  <c r="AI98" i="57" s="1"/>
  <c r="T302" i="12" s="1"/>
  <c r="AE99" i="57"/>
  <c r="AD160" i="57"/>
  <c r="AH160" i="57" s="1"/>
  <c r="S354" i="12" s="1"/>
  <c r="AB36" i="57"/>
  <c r="AF36" i="57" s="1"/>
  <c r="Q250" i="12" s="1"/>
  <c r="AB160" i="57"/>
  <c r="AF160" i="57" s="1"/>
  <c r="Q354" i="12" s="1"/>
  <c r="AD99" i="57"/>
  <c r="AH99" i="57" s="1"/>
  <c r="S303" i="12" s="1"/>
  <c r="AC36" i="57"/>
  <c r="AG36" i="57" s="1"/>
  <c r="R250" i="12" s="1"/>
  <c r="AE36" i="57"/>
  <c r="AI36" i="57" s="1"/>
  <c r="T250" i="12" s="1"/>
  <c r="AD36" i="57"/>
  <c r="AH36" i="57" s="1"/>
  <c r="S250" i="12" s="1"/>
  <c r="AC99" i="57"/>
  <c r="AG99" i="57" s="1"/>
  <c r="R303" i="12" s="1"/>
  <c r="AE161" i="57"/>
  <c r="AI161" i="57" s="1"/>
  <c r="T355" i="12" s="1"/>
  <c r="AD161" i="57"/>
  <c r="AH161" i="57" s="1"/>
  <c r="S355" i="12" s="1"/>
  <c r="AC161" i="57"/>
  <c r="AB37" i="57"/>
  <c r="AF37" i="57" s="1"/>
  <c r="Q251" i="12" s="1"/>
  <c r="AE37" i="57"/>
  <c r="AB161" i="57"/>
  <c r="AF161" i="57" s="1"/>
  <c r="Q355" i="12" s="1"/>
  <c r="AC37" i="57"/>
  <c r="AD37" i="57"/>
  <c r="AH37" i="57" s="1"/>
  <c r="S251" i="12" s="1"/>
  <c r="AE167" i="57"/>
  <c r="AB167" i="57"/>
  <c r="AC167" i="57"/>
  <c r="AD45" i="57"/>
  <c r="AC105" i="57"/>
  <c r="AE105" i="57"/>
  <c r="AC43" i="57"/>
  <c r="AB105" i="57"/>
  <c r="AE168" i="57"/>
  <c r="AI168" i="57" s="1"/>
  <c r="T222" i="12" s="1"/>
  <c r="AB44" i="57"/>
  <c r="AF44" i="57" s="1"/>
  <c r="Q199" i="12" s="1"/>
  <c r="AE43" i="57"/>
  <c r="AD43" i="57"/>
  <c r="AH43" i="57" s="1"/>
  <c r="S198" i="12" s="1"/>
  <c r="AB43" i="57"/>
  <c r="AD105" i="57"/>
  <c r="AD167" i="57"/>
  <c r="AB45" i="57"/>
  <c r="AF45" i="57" s="1"/>
  <c r="Q200" i="12" s="1"/>
  <c r="AC168" i="57"/>
  <c r="AG168" i="57" s="1"/>
  <c r="R222" i="12" s="1"/>
  <c r="AB106" i="57"/>
  <c r="AF106" i="57" s="1"/>
  <c r="AC106" i="57"/>
  <c r="AG106" i="57" s="1"/>
  <c r="AE44" i="57"/>
  <c r="AI44" i="57" s="1"/>
  <c r="T199" i="12" s="1"/>
  <c r="AC44" i="57"/>
  <c r="AG44" i="57" s="1"/>
  <c r="R199" i="12" s="1"/>
  <c r="AE106" i="57"/>
  <c r="AI106" i="57" s="1"/>
  <c r="AD168" i="57"/>
  <c r="AH168" i="57" s="1"/>
  <c r="S222" i="12" s="1"/>
  <c r="AD44" i="57"/>
  <c r="AH44" i="57" s="1"/>
  <c r="S199" i="12" s="1"/>
  <c r="AB168" i="57"/>
  <c r="AF168" i="57" s="1"/>
  <c r="Q222" i="12" s="1"/>
  <c r="AD106" i="57"/>
  <c r="AH106" i="57" s="1"/>
  <c r="AE45" i="57"/>
  <c r="AC45" i="57"/>
  <c r="AB107" i="57"/>
  <c r="AF107" i="57" s="1"/>
  <c r="AC46" i="57"/>
  <c r="AG46" i="57" s="1"/>
  <c r="R201" i="12" s="1"/>
  <c r="AD169" i="57"/>
  <c r="AH169" i="57" s="1"/>
  <c r="S223" i="12" s="1"/>
  <c r="AC107" i="57"/>
  <c r="AG107" i="57" s="1"/>
  <c r="AB169" i="57"/>
  <c r="AF169" i="57" s="1"/>
  <c r="Q223" i="12" s="1"/>
  <c r="AD46" i="57"/>
  <c r="AC169" i="57"/>
  <c r="AE107" i="57"/>
  <c r="AB46" i="57"/>
  <c r="AF46" i="57" s="1"/>
  <c r="Q201" i="12" s="1"/>
  <c r="AE169" i="57"/>
  <c r="AI169" i="57" s="1"/>
  <c r="T223" i="12" s="1"/>
  <c r="AE46" i="57"/>
  <c r="AI46" i="57" s="1"/>
  <c r="T201" i="12" s="1"/>
  <c r="AD107" i="57"/>
  <c r="AH107" i="57" s="1"/>
  <c r="AD108" i="57"/>
  <c r="AE170" i="57"/>
  <c r="AI170" i="57" s="1"/>
  <c r="T224" i="12" s="1"/>
  <c r="AB47" i="57"/>
  <c r="AE47" i="57"/>
  <c r="AI47" i="57" s="1"/>
  <c r="T202" i="12" s="1"/>
  <c r="AE108" i="57"/>
  <c r="AB108" i="57"/>
  <c r="AD47" i="57"/>
  <c r="AC108" i="57"/>
  <c r="AG108" i="57" s="1"/>
  <c r="AD170" i="57"/>
  <c r="AH170" i="57" s="1"/>
  <c r="S224" i="12" s="1"/>
  <c r="AB170" i="57"/>
  <c r="AF170" i="57" s="1"/>
  <c r="Q224" i="12" s="1"/>
  <c r="AC47" i="57"/>
  <c r="AC170" i="57"/>
  <c r="AG170" i="57" s="1"/>
  <c r="R224" i="12" s="1"/>
  <c r="AD171" i="57"/>
  <c r="AH171" i="57" s="1"/>
  <c r="S225" i="12" s="1"/>
  <c r="AB171" i="57"/>
  <c r="AF171" i="57" s="1"/>
  <c r="Q225" i="12" s="1"/>
  <c r="AD109" i="57"/>
  <c r="AB109" i="57"/>
  <c r="AE171" i="57"/>
  <c r="AI171" i="57" s="1"/>
  <c r="T225" i="12" s="1"/>
  <c r="AC171" i="57"/>
  <c r="AC109" i="57"/>
  <c r="AE109" i="57"/>
  <c r="AI109" i="57" s="1"/>
  <c r="AD90" i="57"/>
  <c r="AC90" i="57"/>
  <c r="AB152" i="57"/>
  <c r="AE90" i="57"/>
  <c r="AE28" i="57"/>
  <c r="AD28" i="57"/>
  <c r="AB28" i="57"/>
  <c r="AC152" i="57"/>
  <c r="AE152" i="57"/>
  <c r="AD152" i="57"/>
  <c r="AC28" i="57"/>
  <c r="AB90" i="57"/>
  <c r="AD29" i="57"/>
  <c r="AH29" i="57" s="1"/>
  <c r="S243" i="12" s="1"/>
  <c r="AE91" i="57"/>
  <c r="AI91" i="57" s="1"/>
  <c r="T295" i="12" s="1"/>
  <c r="AC91" i="57"/>
  <c r="AG91" i="57" s="1"/>
  <c r="R295" i="12" s="1"/>
  <c r="AB91" i="57"/>
  <c r="AF91" i="57" s="1"/>
  <c r="Q295" i="12" s="1"/>
  <c r="AB153" i="57"/>
  <c r="AF153" i="57" s="1"/>
  <c r="Q347" i="12" s="1"/>
  <c r="AE153" i="57"/>
  <c r="AI153" i="57" s="1"/>
  <c r="T347" i="12" s="1"/>
  <c r="AD153" i="57"/>
  <c r="AH153" i="57" s="1"/>
  <c r="S347" i="12" s="1"/>
  <c r="AE29" i="57"/>
  <c r="AI29" i="57" s="1"/>
  <c r="T243" i="12" s="1"/>
  <c r="AD91" i="57"/>
  <c r="AH91" i="57" s="1"/>
  <c r="S295" i="12" s="1"/>
  <c r="AC153" i="57"/>
  <c r="AG153" i="57" s="1"/>
  <c r="R347" i="12" s="1"/>
  <c r="AB29" i="57"/>
  <c r="AF29" i="57" s="1"/>
  <c r="Q243" i="12" s="1"/>
  <c r="AC29" i="57"/>
  <c r="AG29" i="57" s="1"/>
  <c r="R243" i="12" s="1"/>
  <c r="AB154" i="57"/>
  <c r="AF154" i="57" s="1"/>
  <c r="Q348" i="12" s="1"/>
  <c r="AE92" i="57"/>
  <c r="AC92" i="57"/>
  <c r="AG92" i="57" s="1"/>
  <c r="R296" i="12" s="1"/>
  <c r="AD30" i="57"/>
  <c r="AH30" i="57" s="1"/>
  <c r="S244" i="12" s="1"/>
  <c r="AC30" i="57"/>
  <c r="AE30" i="57"/>
  <c r="AB30" i="57"/>
  <c r="AF30" i="57" s="1"/>
  <c r="Q244" i="12" s="1"/>
  <c r="AD92" i="57"/>
  <c r="AE154" i="57"/>
  <c r="AC154" i="57"/>
  <c r="AG154" i="57" s="1"/>
  <c r="R348" i="12" s="1"/>
  <c r="AD154" i="57"/>
  <c r="AH154" i="57" s="1"/>
  <c r="S348" i="12" s="1"/>
  <c r="AB92" i="57"/>
  <c r="AF92" i="57" s="1"/>
  <c r="Q296" i="12" s="1"/>
  <c r="AC93" i="57"/>
  <c r="AE31" i="57"/>
  <c r="AI31" i="57" s="1"/>
  <c r="T245" i="12" s="1"/>
  <c r="AB155" i="57"/>
  <c r="AF155" i="57" s="1"/>
  <c r="Q349" i="12" s="1"/>
  <c r="AB93" i="57"/>
  <c r="AF93" i="57" s="1"/>
  <c r="Q297" i="12" s="1"/>
  <c r="AC31" i="57"/>
  <c r="AG31" i="57" s="1"/>
  <c r="R245" i="12" s="1"/>
  <c r="AC155" i="57"/>
  <c r="AD155" i="57"/>
  <c r="AD93" i="57"/>
  <c r="AH93" i="57" s="1"/>
  <c r="S297" i="12" s="1"/>
  <c r="AE93" i="57"/>
  <c r="AB31" i="57"/>
  <c r="AF31" i="57" s="1"/>
  <c r="Q245" i="12" s="1"/>
  <c r="AE155" i="57"/>
  <c r="AD31" i="57"/>
  <c r="AH31" i="57" s="1"/>
  <c r="S245" i="12" s="1"/>
  <c r="AE156" i="57"/>
  <c r="AI156" i="57" s="1"/>
  <c r="T350" i="12" s="1"/>
  <c r="AD94" i="57"/>
  <c r="AC94" i="57"/>
  <c r="AD32" i="57"/>
  <c r="AH32" i="57" s="1"/>
  <c r="S246" i="12" s="1"/>
  <c r="AE94" i="57"/>
  <c r="AI94" i="57" s="1"/>
  <c r="T298" i="12" s="1"/>
  <c r="AD156" i="57"/>
  <c r="AH156" i="57" s="1"/>
  <c r="S350" i="12" s="1"/>
  <c r="AC156" i="57"/>
  <c r="AC32" i="57"/>
  <c r="AG32" i="57" s="1"/>
  <c r="R246" i="12" s="1"/>
  <c r="AB32" i="57"/>
  <c r="AF32" i="57" s="1"/>
  <c r="Q246" i="12" s="1"/>
  <c r="AB156" i="57"/>
  <c r="AF156" i="57" s="1"/>
  <c r="Q350" i="12" s="1"/>
  <c r="AB94" i="57"/>
  <c r="AE32" i="57"/>
  <c r="AI32" i="57" s="1"/>
  <c r="T246" i="12" s="1"/>
  <c r="H948" i="58"/>
  <c r="H792" i="58"/>
  <c r="H644" i="58"/>
  <c r="H896" i="58"/>
  <c r="H740" i="58"/>
  <c r="H600" i="58"/>
  <c r="H855" i="58"/>
  <c r="H699" i="58"/>
  <c r="H536" i="58"/>
  <c r="H953" i="58"/>
  <c r="H797" i="58"/>
  <c r="H550" i="58"/>
  <c r="H920" i="58"/>
  <c r="H764" i="58"/>
  <c r="H620" i="58"/>
  <c r="H914" i="58"/>
  <c r="H758" i="58"/>
  <c r="H614" i="58"/>
  <c r="H852" i="58"/>
  <c r="H696" i="58"/>
  <c r="H533" i="58"/>
  <c r="F524" i="58"/>
  <c r="F499" i="58"/>
  <c r="F474" i="58"/>
  <c r="F449" i="58"/>
  <c r="F424" i="58"/>
  <c r="F399" i="58"/>
  <c r="F373" i="58"/>
  <c r="F347" i="58"/>
  <c r="F321" i="58"/>
  <c r="F295" i="58"/>
  <c r="F269" i="58"/>
  <c r="F244" i="58"/>
  <c r="F218" i="58"/>
  <c r="F166" i="58"/>
  <c r="F140" i="58"/>
  <c r="F62" i="58"/>
  <c r="F114" i="58"/>
  <c r="F192" i="58"/>
  <c r="F88" i="58"/>
  <c r="F861" i="58"/>
  <c r="F886" i="58"/>
  <c r="F911" i="58"/>
  <c r="F936" i="58"/>
  <c r="F961" i="58"/>
  <c r="F986" i="58"/>
  <c r="F705" i="58"/>
  <c r="F730" i="58"/>
  <c r="F755" i="58"/>
  <c r="F780" i="58"/>
  <c r="F805" i="58"/>
  <c r="F830" i="58"/>
  <c r="F569" i="58"/>
  <c r="F590" i="58"/>
  <c r="F611" i="58"/>
  <c r="F632" i="58"/>
  <c r="F653" i="58"/>
  <c r="F674" i="58"/>
  <c r="F512" i="58"/>
  <c r="F487" i="58"/>
  <c r="F462" i="58"/>
  <c r="F437" i="58"/>
  <c r="F412" i="58"/>
  <c r="F386" i="58"/>
  <c r="F360" i="58"/>
  <c r="F334" i="58"/>
  <c r="F308" i="58"/>
  <c r="F282" i="58"/>
  <c r="F256" i="58"/>
  <c r="F231" i="58"/>
  <c r="F205" i="58"/>
  <c r="F153" i="58"/>
  <c r="F75" i="58"/>
  <c r="F127" i="58"/>
  <c r="F49" i="58"/>
  <c r="F179" i="58"/>
  <c r="F101" i="58"/>
  <c r="E994" i="58"/>
  <c r="E969" i="58"/>
  <c r="E944" i="58"/>
  <c r="E919" i="58"/>
  <c r="E993" i="58"/>
  <c r="E968" i="58"/>
  <c r="E943" i="58"/>
  <c r="E918" i="58"/>
  <c r="E996" i="58"/>
  <c r="E971" i="58"/>
  <c r="E946" i="58"/>
  <c r="E921" i="58"/>
  <c r="E893" i="58"/>
  <c r="E868" i="58"/>
  <c r="E995" i="58"/>
  <c r="E970" i="58"/>
  <c r="E945" i="58"/>
  <c r="E920" i="58"/>
  <c r="E896" i="58"/>
  <c r="E871" i="58"/>
  <c r="E895" i="58"/>
  <c r="E870" i="58"/>
  <c r="E894" i="58"/>
  <c r="E869" i="58"/>
  <c r="E908" i="58"/>
  <c r="E883" i="58"/>
  <c r="E858" i="58"/>
  <c r="E983" i="58"/>
  <c r="E958" i="58"/>
  <c r="E933" i="58"/>
  <c r="C1204" i="11"/>
  <c r="D1204" i="11" s="1"/>
  <c r="B1204" i="11" s="1"/>
  <c r="E840" i="58"/>
  <c r="E839" i="58"/>
  <c r="E838" i="58"/>
  <c r="E837" i="58"/>
  <c r="E813" i="58"/>
  <c r="E790" i="58"/>
  <c r="E763" i="58"/>
  <c r="E740" i="58"/>
  <c r="E713" i="58"/>
  <c r="E812" i="58"/>
  <c r="E789" i="58"/>
  <c r="E762" i="58"/>
  <c r="E739" i="58"/>
  <c r="E712" i="58"/>
  <c r="E815" i="58"/>
  <c r="E788" i="58"/>
  <c r="E765" i="58"/>
  <c r="E738" i="58"/>
  <c r="E715" i="58"/>
  <c r="E814" i="58"/>
  <c r="E787" i="58"/>
  <c r="E764" i="58"/>
  <c r="E737" i="58"/>
  <c r="E714" i="58"/>
  <c r="E827" i="58"/>
  <c r="E802" i="58"/>
  <c r="E752" i="58"/>
  <c r="E702" i="58"/>
  <c r="E777" i="58"/>
  <c r="E727" i="58"/>
  <c r="E678" i="58"/>
  <c r="E657" i="58"/>
  <c r="E636" i="58"/>
  <c r="E615" i="58"/>
  <c r="E594" i="58"/>
  <c r="E677" i="58"/>
  <c r="E656" i="58"/>
  <c r="E635" i="58"/>
  <c r="E614" i="58"/>
  <c r="E593" i="58"/>
  <c r="E676" i="58"/>
  <c r="E655" i="58"/>
  <c r="E634" i="58"/>
  <c r="E613" i="58"/>
  <c r="E592" i="58"/>
  <c r="E675" i="58"/>
  <c r="E654" i="58"/>
  <c r="E633" i="58"/>
  <c r="E612" i="58"/>
  <c r="E591" i="58"/>
  <c r="E573" i="58"/>
  <c r="E572" i="58"/>
  <c r="E571" i="58"/>
  <c r="E570" i="58"/>
  <c r="C1148" i="11"/>
  <c r="C1174" i="11"/>
  <c r="C1135" i="11"/>
  <c r="C1017" i="11"/>
  <c r="C991" i="11"/>
  <c r="C978" i="11"/>
  <c r="D600" i="58"/>
  <c r="D621" i="58"/>
  <c r="D663" i="58"/>
  <c r="B2026" i="11"/>
  <c r="B2018" i="11"/>
  <c r="AC115" i="57"/>
  <c r="AD115" i="57"/>
  <c r="AD177" i="57"/>
  <c r="AE53" i="57"/>
  <c r="AC177" i="57"/>
  <c r="AE115" i="57"/>
  <c r="AE177" i="57"/>
  <c r="AC116" i="57"/>
  <c r="AG116" i="57" s="1"/>
  <c r="R315" i="12" s="1"/>
  <c r="AD53" i="57"/>
  <c r="AC53" i="57"/>
  <c r="AB53" i="57"/>
  <c r="AB115" i="57"/>
  <c r="AB177" i="57"/>
  <c r="AB116" i="57"/>
  <c r="AF116" i="57" s="1"/>
  <c r="Q315" i="12" s="1"/>
  <c r="AB179" i="57"/>
  <c r="AB54" i="57"/>
  <c r="AF54" i="57" s="1"/>
  <c r="Q263" i="12" s="1"/>
  <c r="AE179" i="57"/>
  <c r="AC178" i="57"/>
  <c r="AG178" i="57" s="1"/>
  <c r="R367" i="12" s="1"/>
  <c r="AD117" i="57"/>
  <c r="AD54" i="57"/>
  <c r="AH54" i="57" s="1"/>
  <c r="S263" i="12" s="1"/>
  <c r="AC54" i="57"/>
  <c r="AG54" i="57" s="1"/>
  <c r="R263" i="12" s="1"/>
  <c r="AD178" i="57"/>
  <c r="AH178" i="57" s="1"/>
  <c r="S367" i="12" s="1"/>
  <c r="AE178" i="57"/>
  <c r="AI178" i="57" s="1"/>
  <c r="T367" i="12" s="1"/>
  <c r="AC180" i="57"/>
  <c r="AG180" i="57" s="1"/>
  <c r="R369" i="12" s="1"/>
  <c r="AD116" i="57"/>
  <c r="AH116" i="57" s="1"/>
  <c r="S315" i="12" s="1"/>
  <c r="AB178" i="57"/>
  <c r="AF178" i="57" s="1"/>
  <c r="Q367" i="12" s="1"/>
  <c r="AD179" i="57"/>
  <c r="AE116" i="57"/>
  <c r="AI116" i="57" s="1"/>
  <c r="T315" i="12" s="1"/>
  <c r="AB180" i="57"/>
  <c r="AF180" i="57" s="1"/>
  <c r="Q369" i="12" s="1"/>
  <c r="AE54" i="57"/>
  <c r="AI54" i="57" s="1"/>
  <c r="T263" i="12" s="1"/>
  <c r="AC179" i="57"/>
  <c r="AD55" i="57"/>
  <c r="AC55" i="57"/>
  <c r="AG55" i="57" s="1"/>
  <c r="R264" i="12" s="1"/>
  <c r="AE180" i="57"/>
  <c r="AI180" i="57" s="1"/>
  <c r="T369" i="12" s="1"/>
  <c r="AE117" i="57"/>
  <c r="AB117" i="57"/>
  <c r="AF117" i="57" s="1"/>
  <c r="Q316" i="12" s="1"/>
  <c r="AE55" i="57"/>
  <c r="AD180" i="57"/>
  <c r="AH180" i="57" s="1"/>
  <c r="S369" i="12" s="1"/>
  <c r="AB55" i="57"/>
  <c r="AC117" i="57"/>
  <c r="AG117" i="57" s="1"/>
  <c r="R316" i="12" s="1"/>
  <c r="AE118" i="57"/>
  <c r="AI118" i="57" s="1"/>
  <c r="T317" i="12" s="1"/>
  <c r="AB56" i="57"/>
  <c r="AF56" i="57" s="1"/>
  <c r="Q265" i="12" s="1"/>
  <c r="AE181" i="57"/>
  <c r="AD181" i="57"/>
  <c r="AH181" i="57" s="1"/>
  <c r="S370" i="12" s="1"/>
  <c r="AD118" i="57"/>
  <c r="AH118" i="57" s="1"/>
  <c r="S317" i="12" s="1"/>
  <c r="AB118" i="57"/>
  <c r="AD56" i="57"/>
  <c r="AB181" i="57"/>
  <c r="AF181" i="57" s="1"/>
  <c r="Q370" i="12" s="1"/>
  <c r="AC118" i="57"/>
  <c r="AG118" i="57" s="1"/>
  <c r="R317" i="12" s="1"/>
  <c r="AC56" i="57"/>
  <c r="AG56" i="57" s="1"/>
  <c r="R265" i="12" s="1"/>
  <c r="AE56" i="57"/>
  <c r="AC181" i="57"/>
  <c r="AG181" i="57" s="1"/>
  <c r="R370" i="12" s="1"/>
  <c r="AB119" i="57"/>
  <c r="AE57" i="57"/>
  <c r="AI57" i="57" s="1"/>
  <c r="T266" i="12" s="1"/>
  <c r="AC119" i="57"/>
  <c r="AC57" i="57"/>
  <c r="AG57" i="57" s="1"/>
  <c r="R266" i="12" s="1"/>
  <c r="AE119" i="57"/>
  <c r="AI119" i="57" s="1"/>
  <c r="T318" i="12" s="1"/>
  <c r="AD119" i="57"/>
  <c r="AH119" i="57" s="1"/>
  <c r="S318" i="12" s="1"/>
  <c r="AB57" i="57"/>
  <c r="AD57" i="57"/>
  <c r="AH57" i="57" s="1"/>
  <c r="S266" i="12" s="1"/>
  <c r="AB38" i="57"/>
  <c r="AD162" i="57"/>
  <c r="AB100" i="57"/>
  <c r="AC100" i="57"/>
  <c r="AC38" i="57"/>
  <c r="AE100" i="57"/>
  <c r="AD100" i="57"/>
  <c r="AB162" i="57"/>
  <c r="AD101" i="57"/>
  <c r="AH101" i="57" s="1"/>
  <c r="S305" i="12" s="1"/>
  <c r="AE162" i="57"/>
  <c r="AC162" i="57"/>
  <c r="AE38" i="57"/>
  <c r="AD38" i="57"/>
  <c r="AB101" i="57"/>
  <c r="AF101" i="57" s="1"/>
  <c r="Q305" i="12" s="1"/>
  <c r="AC163" i="57"/>
  <c r="AG163" i="57" s="1"/>
  <c r="R357" i="12" s="1"/>
  <c r="AE163" i="57"/>
  <c r="AI163" i="57" s="1"/>
  <c r="T357" i="12" s="1"/>
  <c r="AE164" i="57"/>
  <c r="AB40" i="57"/>
  <c r="AE101" i="57"/>
  <c r="AI101" i="57" s="1"/>
  <c r="T305" i="12" s="1"/>
  <c r="AC101" i="57"/>
  <c r="AG101" i="57" s="1"/>
  <c r="R305" i="12" s="1"/>
  <c r="AC39" i="57"/>
  <c r="AG39" i="57" s="1"/>
  <c r="R253" i="12" s="1"/>
  <c r="AD39" i="57"/>
  <c r="AH39" i="57" s="1"/>
  <c r="S253" i="12" s="1"/>
  <c r="AD163" i="57"/>
  <c r="AH163" i="57" s="1"/>
  <c r="S357" i="12" s="1"/>
  <c r="AB39" i="57"/>
  <c r="AF39" i="57" s="1"/>
  <c r="Q253" i="12" s="1"/>
  <c r="AE39" i="57"/>
  <c r="AI39" i="57" s="1"/>
  <c r="T253" i="12" s="1"/>
  <c r="AB163" i="57"/>
  <c r="AF163" i="57" s="1"/>
  <c r="Q357" i="12" s="1"/>
  <c r="AC164" i="57"/>
  <c r="AG164" i="57" s="1"/>
  <c r="R358" i="12" s="1"/>
  <c r="AC40" i="57"/>
  <c r="AG40" i="57" s="1"/>
  <c r="R254" i="12" s="1"/>
  <c r="AE102" i="57"/>
  <c r="AI102" i="57" s="1"/>
  <c r="T306" i="12" s="1"/>
  <c r="AE40" i="57"/>
  <c r="AI40" i="57" s="1"/>
  <c r="T254" i="12" s="1"/>
  <c r="AB102" i="57"/>
  <c r="AC102" i="57"/>
  <c r="AG102" i="57" s="1"/>
  <c r="R306" i="12" s="1"/>
  <c r="AD40" i="57"/>
  <c r="AD102" i="57"/>
  <c r="AH102" i="57" s="1"/>
  <c r="S306" i="12" s="1"/>
  <c r="AD164" i="57"/>
  <c r="AH164" i="57" s="1"/>
  <c r="S358" i="12" s="1"/>
  <c r="AB164" i="57"/>
  <c r="AF164" i="57" s="1"/>
  <c r="Q358" i="12" s="1"/>
  <c r="AD41" i="57"/>
  <c r="AH41" i="57" s="1"/>
  <c r="S255" i="12" s="1"/>
  <c r="AB103" i="57"/>
  <c r="AF103" i="57" s="1"/>
  <c r="Q307" i="12" s="1"/>
  <c r="AD165" i="57"/>
  <c r="AC41" i="57"/>
  <c r="AG41" i="57" s="1"/>
  <c r="R255" i="12" s="1"/>
  <c r="AC103" i="57"/>
  <c r="AC165" i="57"/>
  <c r="AG165" i="57" s="1"/>
  <c r="R359" i="12" s="1"/>
  <c r="AE41" i="57"/>
  <c r="AB41" i="57"/>
  <c r="AF41" i="57" s="1"/>
  <c r="Q255" i="12" s="1"/>
  <c r="AE103" i="57"/>
  <c r="AI103" i="57" s="1"/>
  <c r="T307" i="12" s="1"/>
  <c r="AE165" i="57"/>
  <c r="AI165" i="57" s="1"/>
  <c r="T359" i="12" s="1"/>
  <c r="AB165" i="57"/>
  <c r="AD103" i="57"/>
  <c r="AH103" i="57" s="1"/>
  <c r="S307" i="12" s="1"/>
  <c r="AD166" i="57"/>
  <c r="AH166" i="57" s="1"/>
  <c r="S360" i="12" s="1"/>
  <c r="AD42" i="57"/>
  <c r="AH42" i="57" s="1"/>
  <c r="S256" i="12" s="1"/>
  <c r="AB104" i="57"/>
  <c r="AE166" i="57"/>
  <c r="AI166" i="57" s="1"/>
  <c r="T360" i="12" s="1"/>
  <c r="AB42" i="57"/>
  <c r="AD104" i="57"/>
  <c r="AE104" i="57"/>
  <c r="AE42" i="57"/>
  <c r="AI42" i="57" s="1"/>
  <c r="T256" i="12" s="1"/>
  <c r="AC104" i="57"/>
  <c r="AG104" i="57" s="1"/>
  <c r="R308" i="12" s="1"/>
  <c r="AB166" i="57"/>
  <c r="AF166" i="57" s="1"/>
  <c r="Q360" i="12" s="1"/>
  <c r="AC166" i="57"/>
  <c r="AC42" i="57"/>
  <c r="AC75" i="57"/>
  <c r="AD137" i="57"/>
  <c r="AB75" i="57"/>
  <c r="AE75" i="57"/>
  <c r="AE13" i="57"/>
  <c r="AC13" i="57"/>
  <c r="AC137" i="57"/>
  <c r="AC138" i="57"/>
  <c r="AG138" i="57" s="1"/>
  <c r="AD75" i="57"/>
  <c r="AB13" i="57"/>
  <c r="AB14" i="57"/>
  <c r="AF14" i="57" s="1"/>
  <c r="Q234" i="12" s="1"/>
  <c r="AD13" i="57"/>
  <c r="AE137" i="57"/>
  <c r="AB137" i="57"/>
  <c r="AB15" i="57"/>
  <c r="AD138" i="57"/>
  <c r="AH138" i="57" s="1"/>
  <c r="AB138" i="57"/>
  <c r="AF138" i="57" s="1"/>
  <c r="AD139" i="57"/>
  <c r="AC76" i="57"/>
  <c r="AG76" i="57" s="1"/>
  <c r="R285" i="12" s="1"/>
  <c r="AE16" i="57"/>
  <c r="AI16" i="57" s="1"/>
  <c r="AD15" i="57"/>
  <c r="AD14" i="57"/>
  <c r="AH14" i="57" s="1"/>
  <c r="AC14" i="57"/>
  <c r="AG14" i="57" s="1"/>
  <c r="AD76" i="57"/>
  <c r="AH76" i="57" s="1"/>
  <c r="S285" i="12" s="1"/>
  <c r="AE139" i="57"/>
  <c r="AB76" i="57"/>
  <c r="AF76" i="57" s="1"/>
  <c r="Q285" i="12" s="1"/>
  <c r="AD140" i="57"/>
  <c r="AE76" i="57"/>
  <c r="AI76" i="57" s="1"/>
  <c r="T285" i="12" s="1"/>
  <c r="AC15" i="57"/>
  <c r="AG15" i="57" s="1"/>
  <c r="AE15" i="57"/>
  <c r="AC139" i="57"/>
  <c r="AE138" i="57"/>
  <c r="AI138" i="57" s="1"/>
  <c r="AE14" i="57"/>
  <c r="AI14" i="57" s="1"/>
  <c r="AB139" i="57"/>
  <c r="AF139" i="57" s="1"/>
  <c r="AC16" i="57"/>
  <c r="AE77" i="57"/>
  <c r="AI77" i="57" s="1"/>
  <c r="T286" i="12" s="1"/>
  <c r="AD16" i="57"/>
  <c r="AD77" i="57"/>
  <c r="AB140" i="57"/>
  <c r="AE140" i="57"/>
  <c r="AI140" i="57" s="1"/>
  <c r="AB77" i="57"/>
  <c r="AF77" i="57" s="1"/>
  <c r="Q286" i="12" s="1"/>
  <c r="AC77" i="57"/>
  <c r="AG77" i="57" s="1"/>
  <c r="R286" i="12" s="1"/>
  <c r="AB16" i="57"/>
  <c r="AC140" i="57"/>
  <c r="AG140" i="57" s="1"/>
  <c r="AD78" i="57"/>
  <c r="AH78" i="57" s="1"/>
  <c r="S287" i="12" s="1"/>
  <c r="AC141" i="57"/>
  <c r="AB141" i="57"/>
  <c r="AF141" i="57" s="1"/>
  <c r="AC78" i="57"/>
  <c r="AG78" i="57" s="1"/>
  <c r="R287" i="12" s="1"/>
  <c r="AD141" i="57"/>
  <c r="AH141" i="57" s="1"/>
  <c r="AE17" i="57"/>
  <c r="AC17" i="57"/>
  <c r="AG17" i="57" s="1"/>
  <c r="AE78" i="57"/>
  <c r="AI78" i="57" s="1"/>
  <c r="T287" i="12" s="1"/>
  <c r="AB78" i="57"/>
  <c r="AF78" i="57" s="1"/>
  <c r="Q287" i="12" s="1"/>
  <c r="AE141" i="57"/>
  <c r="AB17" i="57"/>
  <c r="AD17" i="57"/>
  <c r="AH17" i="57" s="1"/>
  <c r="AE79" i="57"/>
  <c r="AB79" i="57"/>
  <c r="AF79" i="57" s="1"/>
  <c r="Q288" i="12" s="1"/>
  <c r="AC79" i="57"/>
  <c r="AD79" i="57"/>
  <c r="AH79" i="57" s="1"/>
  <c r="S288" i="12" s="1"/>
  <c r="AB147" i="57"/>
  <c r="AE147" i="57"/>
  <c r="AB23" i="57"/>
  <c r="AB148" i="57"/>
  <c r="AF148" i="57" s="1"/>
  <c r="Q227" i="12" s="1"/>
  <c r="AC147" i="57"/>
  <c r="AC23" i="57"/>
  <c r="AE85" i="57"/>
  <c r="AD147" i="57"/>
  <c r="AB85" i="57"/>
  <c r="AB24" i="57"/>
  <c r="AF24" i="57" s="1"/>
  <c r="Q205" i="12" s="1"/>
  <c r="AE23" i="57"/>
  <c r="AD85" i="57"/>
  <c r="AC85" i="57"/>
  <c r="AD23" i="57"/>
  <c r="AB149" i="57"/>
  <c r="AB86" i="57"/>
  <c r="AF86" i="57" s="1"/>
  <c r="Q216" i="12" s="1"/>
  <c r="AC86" i="57"/>
  <c r="AG86" i="57" s="1"/>
  <c r="R216" i="12" s="1"/>
  <c r="AE149" i="57"/>
  <c r="AC24" i="57"/>
  <c r="AG24" i="57" s="1"/>
  <c r="R205" i="12" s="1"/>
  <c r="AD86" i="57"/>
  <c r="AH86" i="57" s="1"/>
  <c r="S216" i="12" s="1"/>
  <c r="AD24" i="57"/>
  <c r="AH24" i="57" s="1"/>
  <c r="S205" i="12" s="1"/>
  <c r="AD149" i="57"/>
  <c r="AD148" i="57"/>
  <c r="AH148" i="57" s="1"/>
  <c r="S227" i="12" s="1"/>
  <c r="AC26" i="57"/>
  <c r="AG26" i="57" s="1"/>
  <c r="R207" i="12" s="1"/>
  <c r="AC25" i="57"/>
  <c r="AG25" i="57" s="1"/>
  <c r="R206" i="12" s="1"/>
  <c r="AC87" i="57"/>
  <c r="AG87" i="57" s="1"/>
  <c r="R217" i="12" s="1"/>
  <c r="AE26" i="57"/>
  <c r="AI26" i="57" s="1"/>
  <c r="T207" i="12" s="1"/>
  <c r="AE25" i="57"/>
  <c r="AI25" i="57" s="1"/>
  <c r="T206" i="12" s="1"/>
  <c r="AC148" i="57"/>
  <c r="AG148" i="57" s="1"/>
  <c r="R227" i="12" s="1"/>
  <c r="AD25" i="57"/>
  <c r="AH25" i="57" s="1"/>
  <c r="S206" i="12" s="1"/>
  <c r="AB25" i="57"/>
  <c r="AE148" i="57"/>
  <c r="AI148" i="57" s="1"/>
  <c r="T227" i="12" s="1"/>
  <c r="AE24" i="57"/>
  <c r="AI24" i="57" s="1"/>
  <c r="T205" i="12" s="1"/>
  <c r="AE86" i="57"/>
  <c r="AI86" i="57" s="1"/>
  <c r="T216" i="12" s="1"/>
  <c r="AC149" i="57"/>
  <c r="AE87" i="57"/>
  <c r="AB26" i="57"/>
  <c r="AF26" i="57" s="1"/>
  <c r="Q207" i="12" s="1"/>
  <c r="AB87" i="57"/>
  <c r="AB150" i="57"/>
  <c r="AD87" i="57"/>
  <c r="AH87" i="57" s="1"/>
  <c r="S217" i="12" s="1"/>
  <c r="AE150" i="57"/>
  <c r="AD26" i="57"/>
  <c r="AH26" i="57" s="1"/>
  <c r="S207" i="12" s="1"/>
  <c r="AD150" i="57"/>
  <c r="AC150" i="57"/>
  <c r="AG150" i="57" s="1"/>
  <c r="R229" i="12" s="1"/>
  <c r="AE88" i="57"/>
  <c r="AI88" i="57" s="1"/>
  <c r="T218" i="12" s="1"/>
  <c r="AC88" i="57"/>
  <c r="AG88" i="57" s="1"/>
  <c r="R218" i="12" s="1"/>
  <c r="AE151" i="57"/>
  <c r="AC27" i="57"/>
  <c r="AG27" i="57" s="1"/>
  <c r="R208" i="12" s="1"/>
  <c r="AB88" i="57"/>
  <c r="AF88" i="57" s="1"/>
  <c r="Q218" i="12" s="1"/>
  <c r="AD88" i="57"/>
  <c r="AB151" i="57"/>
  <c r="AC151" i="57"/>
  <c r="AG151" i="57" s="1"/>
  <c r="R230" i="12" s="1"/>
  <c r="AB27" i="57"/>
  <c r="AF27" i="57" s="1"/>
  <c r="Q208" i="12" s="1"/>
  <c r="AE27" i="57"/>
  <c r="AI27" i="57" s="1"/>
  <c r="T208" i="12" s="1"/>
  <c r="AD151" i="57"/>
  <c r="AH151" i="57" s="1"/>
  <c r="S230" i="12" s="1"/>
  <c r="AD27" i="57"/>
  <c r="AH27" i="57" s="1"/>
  <c r="S208" i="12" s="1"/>
  <c r="AC89" i="57"/>
  <c r="AG89" i="57" s="1"/>
  <c r="R219" i="12" s="1"/>
  <c r="AE89" i="57"/>
  <c r="AI89" i="57" s="1"/>
  <c r="T219" i="12" s="1"/>
  <c r="AB89" i="57"/>
  <c r="AD89" i="57"/>
  <c r="AH89" i="57" s="1"/>
  <c r="S219" i="12" s="1"/>
  <c r="X118" i="44"/>
  <c r="T118" i="44"/>
  <c r="P118" i="44"/>
  <c r="L118" i="44"/>
  <c r="H118" i="44"/>
  <c r="D118" i="44"/>
  <c r="X117" i="44"/>
  <c r="T117" i="44"/>
  <c r="P117" i="44"/>
  <c r="L117" i="44"/>
  <c r="H117" i="44"/>
  <c r="D117" i="44"/>
  <c r="X116" i="44"/>
  <c r="T116" i="44"/>
  <c r="P116" i="44"/>
  <c r="L116" i="44"/>
  <c r="H116" i="44"/>
  <c r="D116" i="44"/>
  <c r="X115" i="44"/>
  <c r="T115" i="44"/>
  <c r="P115" i="44"/>
  <c r="H923" i="58"/>
  <c r="H767" i="58"/>
  <c r="H623" i="58"/>
  <c r="H996" i="58"/>
  <c r="H840" i="58"/>
  <c r="H684" i="58"/>
  <c r="H871" i="58"/>
  <c r="H715" i="58"/>
  <c r="H579" i="58"/>
  <c r="H968" i="58"/>
  <c r="H969" i="58"/>
  <c r="H812" i="58"/>
  <c r="H813" i="58"/>
  <c r="H660" i="58"/>
  <c r="H661" i="58"/>
  <c r="H958" i="58"/>
  <c r="H802" i="58"/>
  <c r="H650" i="58"/>
  <c r="H853" i="58"/>
  <c r="H697" i="58"/>
  <c r="H534" i="58"/>
  <c r="F91" i="44"/>
  <c r="D88" i="44"/>
  <c r="B78" i="44"/>
  <c r="F870" i="58"/>
  <c r="F895" i="58"/>
  <c r="F920" i="58"/>
  <c r="F945" i="58"/>
  <c r="F970" i="58"/>
  <c r="F995" i="58"/>
  <c r="F714" i="58"/>
  <c r="F739" i="58"/>
  <c r="F764" i="58"/>
  <c r="F789" i="58"/>
  <c r="F814" i="58"/>
  <c r="F839" i="58"/>
  <c r="F578" i="58"/>
  <c r="F599" i="58"/>
  <c r="F620" i="58"/>
  <c r="F641" i="58"/>
  <c r="F662" i="58"/>
  <c r="F683" i="58"/>
  <c r="F520" i="58"/>
  <c r="F495" i="58"/>
  <c r="F470" i="58"/>
  <c r="F445" i="58"/>
  <c r="F420" i="58"/>
  <c r="F395" i="58"/>
  <c r="F369" i="58"/>
  <c r="F343" i="58"/>
  <c r="F317" i="58"/>
  <c r="F291" i="58"/>
  <c r="F265" i="58"/>
  <c r="F240" i="58"/>
  <c r="F214" i="58"/>
  <c r="F162" i="58"/>
  <c r="F136" i="58"/>
  <c r="F58" i="58"/>
  <c r="F110" i="58"/>
  <c r="F188" i="58"/>
  <c r="F84" i="58"/>
  <c r="F863" i="58"/>
  <c r="F888" i="58"/>
  <c r="F913" i="58"/>
  <c r="F938" i="58"/>
  <c r="F963" i="58"/>
  <c r="F988" i="58"/>
  <c r="F732" i="58"/>
  <c r="F757" i="58"/>
  <c r="F707" i="58"/>
  <c r="F782" i="58"/>
  <c r="F807" i="58"/>
  <c r="F832" i="58"/>
  <c r="F571" i="58"/>
  <c r="F592" i="58"/>
  <c r="F613" i="58"/>
  <c r="F634" i="58"/>
  <c r="F655" i="58"/>
  <c r="F676" i="58"/>
  <c r="F514" i="58"/>
  <c r="F489" i="58"/>
  <c r="F464" i="58"/>
  <c r="F439" i="58"/>
  <c r="F414" i="58"/>
  <c r="F388" i="58"/>
  <c r="F362" i="58"/>
  <c r="F336" i="58"/>
  <c r="F310" i="58"/>
  <c r="F284" i="58"/>
  <c r="F258" i="58"/>
  <c r="F233" i="58"/>
  <c r="F207" i="58"/>
  <c r="F129" i="58"/>
  <c r="F51" i="58"/>
  <c r="F103" i="58"/>
  <c r="F181" i="58"/>
  <c r="F155" i="58"/>
  <c r="F77" i="58"/>
  <c r="F855" i="58"/>
  <c r="F880" i="58"/>
  <c r="F905" i="58"/>
  <c r="F930" i="58"/>
  <c r="F955" i="58"/>
  <c r="F980" i="58"/>
  <c r="F699" i="58"/>
  <c r="F724" i="58"/>
  <c r="F749" i="58"/>
  <c r="F774" i="58"/>
  <c r="F799" i="58"/>
  <c r="F824" i="58"/>
  <c r="F536" i="58"/>
  <c r="F540" i="58"/>
  <c r="F544" i="58"/>
  <c r="F548" i="58"/>
  <c r="F552" i="58"/>
  <c r="F556" i="58"/>
  <c r="F506" i="58"/>
  <c r="F481" i="58"/>
  <c r="F456" i="58"/>
  <c r="F431" i="58"/>
  <c r="F406" i="58"/>
  <c r="F380" i="58"/>
  <c r="F354" i="58"/>
  <c r="F328" i="58"/>
  <c r="F302" i="58"/>
  <c r="F276" i="58"/>
  <c r="F250" i="58"/>
  <c r="F225" i="58"/>
  <c r="F121" i="58"/>
  <c r="F43" i="58"/>
  <c r="F95" i="58"/>
  <c r="F199" i="58"/>
  <c r="F173" i="58"/>
  <c r="F147" i="58"/>
  <c r="F69" i="58"/>
  <c r="E947" i="58"/>
  <c r="E892" i="58"/>
  <c r="E867" i="58"/>
  <c r="E992" i="58"/>
  <c r="E967" i="58"/>
  <c r="E942" i="58"/>
  <c r="E917" i="58"/>
  <c r="E990" i="58"/>
  <c r="E965" i="58"/>
  <c r="E940" i="58"/>
  <c r="E989" i="58"/>
  <c r="E964" i="58"/>
  <c r="E939" i="58"/>
  <c r="E914" i="58"/>
  <c r="E988" i="58"/>
  <c r="E963" i="58"/>
  <c r="E938" i="58"/>
  <c r="E915" i="58"/>
  <c r="E889" i="58"/>
  <c r="E864" i="58"/>
  <c r="E987" i="58"/>
  <c r="E962" i="58"/>
  <c r="E937" i="58"/>
  <c r="E913" i="58"/>
  <c r="E888" i="58"/>
  <c r="E863" i="58"/>
  <c r="E912" i="58"/>
  <c r="E887" i="58"/>
  <c r="E862" i="58"/>
  <c r="E890" i="58"/>
  <c r="E865" i="58"/>
  <c r="E981" i="58"/>
  <c r="E956" i="58"/>
  <c r="E931" i="58"/>
  <c r="E906" i="58"/>
  <c r="E881" i="58"/>
  <c r="E856" i="58"/>
  <c r="E836" i="58"/>
  <c r="E786" i="58"/>
  <c r="E736" i="58"/>
  <c r="E811" i="58"/>
  <c r="E761" i="58"/>
  <c r="E711" i="58"/>
  <c r="E819" i="58"/>
  <c r="E794" i="58"/>
  <c r="E744" i="58"/>
  <c r="E694" i="58"/>
  <c r="E769" i="58"/>
  <c r="E719" i="58"/>
  <c r="E825" i="58"/>
  <c r="E775" i="58"/>
  <c r="E725" i="58"/>
  <c r="E800" i="58"/>
  <c r="E750" i="58"/>
  <c r="E700" i="58"/>
  <c r="C1006" i="11"/>
  <c r="E680" i="58"/>
  <c r="E659" i="58"/>
  <c r="E638" i="58"/>
  <c r="E617" i="58"/>
  <c r="E596" i="58"/>
  <c r="E575" i="58"/>
  <c r="C1019" i="11"/>
  <c r="C1150" i="11"/>
  <c r="C980" i="11"/>
  <c r="C1176" i="11"/>
  <c r="C1137" i="11"/>
  <c r="C993" i="11"/>
  <c r="C950" i="11"/>
  <c r="D950" i="11" s="1"/>
  <c r="E671" i="58"/>
  <c r="E650" i="58"/>
  <c r="E629" i="58"/>
  <c r="E608" i="58"/>
  <c r="E587" i="58"/>
  <c r="E532" i="58"/>
  <c r="C1172" i="11"/>
  <c r="C989" i="11"/>
  <c r="C1015" i="11"/>
  <c r="C1146" i="11"/>
  <c r="C976" i="11"/>
  <c r="C1133" i="11"/>
  <c r="E667" i="58"/>
  <c r="E646" i="58"/>
  <c r="E625" i="58"/>
  <c r="E604" i="58"/>
  <c r="E583" i="58"/>
  <c r="E563" i="58"/>
  <c r="C1170" i="11"/>
  <c r="C1131" i="11"/>
  <c r="C987" i="11"/>
  <c r="C1013" i="11"/>
  <c r="C1144" i="11"/>
  <c r="C974" i="11"/>
  <c r="E669" i="58"/>
  <c r="E648" i="58"/>
  <c r="E627" i="58"/>
  <c r="E606" i="58"/>
  <c r="E585" i="58"/>
  <c r="E565" i="58"/>
  <c r="C985" i="11"/>
  <c r="C1011" i="11"/>
  <c r="C1142" i="11"/>
  <c r="C972" i="11"/>
  <c r="C1168" i="11"/>
  <c r="C1129" i="11"/>
  <c r="C948" i="11"/>
  <c r="D948" i="11" s="1"/>
  <c r="C1099" i="11"/>
  <c r="D1099" i="11" s="1"/>
  <c r="D1268" i="11"/>
  <c r="D1281" i="11"/>
  <c r="C1194" i="11"/>
  <c r="D1194" i="11" s="1"/>
  <c r="B1194" i="11" s="1"/>
  <c r="D919" i="58"/>
  <c r="D944" i="58"/>
  <c r="D969" i="58"/>
  <c r="D763" i="58"/>
  <c r="D788" i="58"/>
  <c r="D813" i="58"/>
  <c r="D838" i="58"/>
  <c r="D577" i="58"/>
  <c r="D798" i="58"/>
  <c r="C216" i="10"/>
  <c r="C1105" i="11"/>
  <c r="D1105" i="11" s="1"/>
  <c r="C967" i="11"/>
  <c r="C1060" i="11"/>
  <c r="D1060" i="11" s="1"/>
  <c r="C1086" i="11"/>
  <c r="D1086" i="11" s="1"/>
  <c r="D1263" i="11"/>
  <c r="F873" i="58"/>
  <c r="F898" i="58"/>
  <c r="F923" i="58"/>
  <c r="F948" i="58"/>
  <c r="F973" i="58"/>
  <c r="F998" i="58"/>
  <c r="F717" i="58"/>
  <c r="F742" i="58"/>
  <c r="F767" i="58"/>
  <c r="F792" i="58"/>
  <c r="F817" i="58"/>
  <c r="F842" i="58"/>
  <c r="F581" i="58"/>
  <c r="F602" i="58"/>
  <c r="F623" i="58"/>
  <c r="F644" i="58"/>
  <c r="F665" i="58"/>
  <c r="F686" i="58"/>
  <c r="F523" i="58"/>
  <c r="F498" i="58"/>
  <c r="F473" i="58"/>
  <c r="F448" i="58"/>
  <c r="F423" i="58"/>
  <c r="F398" i="58"/>
  <c r="F372" i="58"/>
  <c r="F346" i="58"/>
  <c r="F320" i="58"/>
  <c r="F294" i="58"/>
  <c r="F268" i="58"/>
  <c r="F243" i="58"/>
  <c r="F217" i="58"/>
  <c r="F87" i="58"/>
  <c r="F165" i="58"/>
  <c r="F139" i="58"/>
  <c r="F61" i="58"/>
  <c r="F191" i="58"/>
  <c r="F113" i="58"/>
  <c r="F871" i="58"/>
  <c r="F896" i="58"/>
  <c r="F921" i="58"/>
  <c r="F946" i="58"/>
  <c r="F971" i="58"/>
  <c r="F996" i="58"/>
  <c r="F715" i="58"/>
  <c r="F740" i="58"/>
  <c r="F765" i="58"/>
  <c r="F790" i="58"/>
  <c r="F815" i="58"/>
  <c r="F840" i="58"/>
  <c r="F579" i="58"/>
  <c r="F600" i="58"/>
  <c r="F621" i="58"/>
  <c r="F642" i="58"/>
  <c r="F663" i="58"/>
  <c r="F684" i="58"/>
  <c r="F521" i="58"/>
  <c r="F496" i="58"/>
  <c r="F471" i="58"/>
  <c r="F446" i="58"/>
  <c r="F421" i="58"/>
  <c r="F396" i="58"/>
  <c r="F370" i="58"/>
  <c r="F344" i="58"/>
  <c r="F318" i="58"/>
  <c r="F292" i="58"/>
  <c r="F266" i="58"/>
  <c r="F241" i="58"/>
  <c r="F215" i="58"/>
  <c r="F137" i="58"/>
  <c r="F59" i="58"/>
  <c r="F111" i="58"/>
  <c r="F85" i="58"/>
  <c r="F189" i="58"/>
  <c r="F163" i="58"/>
  <c r="F869" i="58"/>
  <c r="F894" i="58"/>
  <c r="F919" i="58"/>
  <c r="F944" i="58"/>
  <c r="F969" i="58"/>
  <c r="F994" i="58"/>
  <c r="F713" i="58"/>
  <c r="F738" i="58"/>
  <c r="F763" i="58"/>
  <c r="F788" i="58"/>
  <c r="F813" i="58"/>
  <c r="F838" i="58"/>
  <c r="F577" i="58"/>
  <c r="F598" i="58"/>
  <c r="F619" i="58"/>
  <c r="F640" i="58"/>
  <c r="F661" i="58"/>
  <c r="F682" i="58"/>
  <c r="F519" i="58"/>
  <c r="F494" i="58"/>
  <c r="F469" i="58"/>
  <c r="F444" i="58"/>
  <c r="F419" i="58"/>
  <c r="F394" i="58"/>
  <c r="F368" i="58"/>
  <c r="F342" i="58"/>
  <c r="F316" i="58"/>
  <c r="F290" i="58"/>
  <c r="F264" i="58"/>
  <c r="F239" i="58"/>
  <c r="F213" i="58"/>
  <c r="F83" i="58"/>
  <c r="F161" i="58"/>
  <c r="F135" i="58"/>
  <c r="F57" i="58"/>
  <c r="F187" i="58"/>
  <c r="F109" i="58"/>
  <c r="F891" i="58"/>
  <c r="F916" i="58"/>
  <c r="F941" i="58"/>
  <c r="F966" i="58"/>
  <c r="F991" i="58"/>
  <c r="F735" i="58"/>
  <c r="F760" i="58"/>
  <c r="F785" i="58"/>
  <c r="F810" i="58"/>
  <c r="F835" i="58"/>
  <c r="F595" i="58"/>
  <c r="F616" i="58"/>
  <c r="F637" i="58"/>
  <c r="F658" i="58"/>
  <c r="F679" i="58"/>
  <c r="F517" i="58"/>
  <c r="F492" i="58"/>
  <c r="F467" i="58"/>
  <c r="F442" i="58"/>
  <c r="F417" i="58"/>
  <c r="F391" i="58"/>
  <c r="F365" i="58"/>
  <c r="F339" i="58"/>
  <c r="F313" i="58"/>
  <c r="F287" i="58"/>
  <c r="F261" i="58"/>
  <c r="F236" i="58"/>
  <c r="F210" i="58"/>
  <c r="F158" i="58"/>
  <c r="F132" i="58"/>
  <c r="F54" i="58"/>
  <c r="F106" i="58"/>
  <c r="F184" i="58"/>
  <c r="F80" i="58"/>
  <c r="F864" i="58"/>
  <c r="F889" i="58"/>
  <c r="F914" i="58"/>
  <c r="F939" i="58"/>
  <c r="F964" i="58"/>
  <c r="F989" i="58"/>
  <c r="F708" i="58"/>
  <c r="F733" i="58"/>
  <c r="F758" i="58"/>
  <c r="F783" i="58"/>
  <c r="F808" i="58"/>
  <c r="F833" i="58"/>
  <c r="F593" i="58"/>
  <c r="F614" i="58"/>
  <c r="F635" i="58"/>
  <c r="F572" i="58"/>
  <c r="F656" i="58"/>
  <c r="F677" i="58"/>
  <c r="F515" i="58"/>
  <c r="F490" i="58"/>
  <c r="F465" i="58"/>
  <c r="F440" i="58"/>
  <c r="F415" i="58"/>
  <c r="F389" i="58"/>
  <c r="F363" i="58"/>
  <c r="F337" i="58"/>
  <c r="F311" i="58"/>
  <c r="F285" i="58"/>
  <c r="F259" i="58"/>
  <c r="F234" i="58"/>
  <c r="F208" i="58"/>
  <c r="F104" i="58"/>
  <c r="F78" i="58"/>
  <c r="F156" i="58"/>
  <c r="F182" i="58"/>
  <c r="F130" i="58"/>
  <c r="F52" i="58"/>
  <c r="F862" i="58"/>
  <c r="F887" i="58"/>
  <c r="F912" i="58"/>
  <c r="F937" i="58"/>
  <c r="F962" i="58"/>
  <c r="F987" i="58"/>
  <c r="F731" i="58"/>
  <c r="F706" i="58"/>
  <c r="F756" i="58"/>
  <c r="F781" i="58"/>
  <c r="F806" i="58"/>
  <c r="F831" i="58"/>
  <c r="F591" i="58"/>
  <c r="F612" i="58"/>
  <c r="F633" i="58"/>
  <c r="F570" i="58"/>
  <c r="F675" i="58"/>
  <c r="F654" i="58"/>
  <c r="F513" i="58"/>
  <c r="F488" i="58"/>
  <c r="F463" i="58"/>
  <c r="F438" i="58"/>
  <c r="F413" i="58"/>
  <c r="F387" i="58"/>
  <c r="F361" i="58"/>
  <c r="F335" i="58"/>
  <c r="F309" i="58"/>
  <c r="F283" i="58"/>
  <c r="F257" i="58"/>
  <c r="F232" i="58"/>
  <c r="F154" i="58"/>
  <c r="F76" i="58"/>
  <c r="F128" i="58"/>
  <c r="F50" i="58"/>
  <c r="F102" i="58"/>
  <c r="F206" i="58"/>
  <c r="F180" i="58"/>
  <c r="F860" i="58"/>
  <c r="F885" i="58"/>
  <c r="F910" i="58"/>
  <c r="F935" i="58"/>
  <c r="F960" i="58"/>
  <c r="F704" i="58"/>
  <c r="F985" i="58"/>
  <c r="F729" i="58"/>
  <c r="F779" i="58"/>
  <c r="F804" i="58"/>
  <c r="F829" i="58"/>
  <c r="F754" i="58"/>
  <c r="F568" i="58"/>
  <c r="F589" i="58"/>
  <c r="F610" i="58"/>
  <c r="F631" i="58"/>
  <c r="F652" i="58"/>
  <c r="F673" i="58"/>
  <c r="F511" i="58"/>
  <c r="F486" i="58"/>
  <c r="F461" i="58"/>
  <c r="F436" i="58"/>
  <c r="F411" i="58"/>
  <c r="F385" i="58"/>
  <c r="F359" i="58"/>
  <c r="F333" i="58"/>
  <c r="F307" i="58"/>
  <c r="F281" i="58"/>
  <c r="F255" i="58"/>
  <c r="F230" i="58"/>
  <c r="F100" i="58"/>
  <c r="F152" i="58"/>
  <c r="F74" i="58"/>
  <c r="F204" i="58"/>
  <c r="F178" i="58"/>
  <c r="F126" i="58"/>
  <c r="F48" i="58"/>
  <c r="F858" i="58"/>
  <c r="F883" i="58"/>
  <c r="F908" i="58"/>
  <c r="F933" i="58"/>
  <c r="F958" i="58"/>
  <c r="F702" i="58"/>
  <c r="F983" i="58"/>
  <c r="F727" i="58"/>
  <c r="F752" i="58"/>
  <c r="F777" i="58"/>
  <c r="F802" i="58"/>
  <c r="F827" i="58"/>
  <c r="F532" i="58"/>
  <c r="F587" i="58"/>
  <c r="F608" i="58"/>
  <c r="F629" i="58"/>
  <c r="F650" i="58"/>
  <c r="F671" i="58"/>
  <c r="F509" i="58"/>
  <c r="F484" i="58"/>
  <c r="F459" i="58"/>
  <c r="F434" i="58"/>
  <c r="F409" i="58"/>
  <c r="F383" i="58"/>
  <c r="F357" i="58"/>
  <c r="F331" i="58"/>
  <c r="F305" i="58"/>
  <c r="F279" i="58"/>
  <c r="F253" i="58"/>
  <c r="F228" i="58"/>
  <c r="F150" i="58"/>
  <c r="F72" i="58"/>
  <c r="F124" i="58"/>
  <c r="F46" i="58"/>
  <c r="F98" i="58"/>
  <c r="F202" i="58"/>
  <c r="F176" i="58"/>
  <c r="F856" i="58"/>
  <c r="F881" i="58"/>
  <c r="F906" i="58"/>
  <c r="F956" i="58"/>
  <c r="F931" i="58"/>
  <c r="F700" i="58"/>
  <c r="F981" i="58"/>
  <c r="F725" i="58"/>
  <c r="F750" i="58"/>
  <c r="F775" i="58"/>
  <c r="F800" i="58"/>
  <c r="F825" i="58"/>
  <c r="F565" i="58"/>
  <c r="F585" i="58"/>
  <c r="F606" i="58"/>
  <c r="F627" i="58"/>
  <c r="F648" i="58"/>
  <c r="F669" i="58"/>
  <c r="F507" i="58"/>
  <c r="F482" i="58"/>
  <c r="F457" i="58"/>
  <c r="F432" i="58"/>
  <c r="F407" i="58"/>
  <c r="F381" i="58"/>
  <c r="F355" i="58"/>
  <c r="F329" i="58"/>
  <c r="F303" i="58"/>
  <c r="F277" i="58"/>
  <c r="F251" i="58"/>
  <c r="F226" i="58"/>
  <c r="F96" i="58"/>
  <c r="F148" i="58"/>
  <c r="F70" i="58"/>
  <c r="F200" i="58"/>
  <c r="F174" i="58"/>
  <c r="F122" i="58"/>
  <c r="F44" i="58"/>
  <c r="F854" i="58"/>
  <c r="F879" i="58"/>
  <c r="F904" i="58"/>
  <c r="F929" i="58"/>
  <c r="F954" i="58"/>
  <c r="F698" i="58"/>
  <c r="F979" i="58"/>
  <c r="F723" i="58"/>
  <c r="F748" i="58"/>
  <c r="F773" i="58"/>
  <c r="F798" i="58"/>
  <c r="F823" i="58"/>
  <c r="F535" i="58"/>
  <c r="F539" i="58"/>
  <c r="F543" i="58"/>
  <c r="F547" i="58"/>
  <c r="F551" i="58"/>
  <c r="F555" i="58"/>
  <c r="F505" i="58"/>
  <c r="F480" i="58"/>
  <c r="F455" i="58"/>
  <c r="F430" i="58"/>
  <c r="F405" i="58"/>
  <c r="F379" i="58"/>
  <c r="F353" i="58"/>
  <c r="F327" i="58"/>
  <c r="F301" i="58"/>
  <c r="F275" i="58"/>
  <c r="F249" i="58"/>
  <c r="F224" i="58"/>
  <c r="F146" i="58"/>
  <c r="F68" i="58"/>
  <c r="F120" i="58"/>
  <c r="F42" i="58"/>
  <c r="F94" i="58"/>
  <c r="F198" i="58"/>
  <c r="F172" i="58"/>
  <c r="F852" i="58"/>
  <c r="F877" i="58"/>
  <c r="F902" i="58"/>
  <c r="F927" i="58"/>
  <c r="F952" i="58"/>
  <c r="F696" i="58"/>
  <c r="F977" i="58"/>
  <c r="F721" i="58"/>
  <c r="F746" i="58"/>
  <c r="F771" i="58"/>
  <c r="F796" i="58"/>
  <c r="F821" i="58"/>
  <c r="F533" i="58"/>
  <c r="F537" i="58"/>
  <c r="F541" i="58"/>
  <c r="F545" i="58"/>
  <c r="F549" i="58"/>
  <c r="F553" i="58"/>
  <c r="F503" i="58"/>
  <c r="F478" i="58"/>
  <c r="F453" i="58"/>
  <c r="F428" i="58"/>
  <c r="F403" i="58"/>
  <c r="F377" i="58"/>
  <c r="F351" i="58"/>
  <c r="F325" i="58"/>
  <c r="F299" i="58"/>
  <c r="F273" i="58"/>
  <c r="F222" i="58"/>
  <c r="F92" i="58"/>
  <c r="F144" i="58"/>
  <c r="F66" i="58"/>
  <c r="F196" i="58"/>
  <c r="F170" i="58"/>
  <c r="F118" i="58"/>
  <c r="F40" i="58"/>
  <c r="F850" i="58"/>
  <c r="F875" i="58"/>
  <c r="F900" i="58"/>
  <c r="F925" i="58"/>
  <c r="F950" i="58"/>
  <c r="F975" i="58"/>
  <c r="F694" i="58"/>
  <c r="F719" i="58"/>
  <c r="F744" i="58"/>
  <c r="F769" i="58"/>
  <c r="F794" i="58"/>
  <c r="F819" i="58"/>
  <c r="F563" i="58"/>
  <c r="F583" i="58"/>
  <c r="F604" i="58"/>
  <c r="F625" i="58"/>
  <c r="F646" i="58"/>
  <c r="F667" i="58"/>
  <c r="F501" i="58"/>
  <c r="F476" i="58"/>
  <c r="F451" i="58"/>
  <c r="F426" i="58"/>
  <c r="F401" i="58"/>
  <c r="F375" i="58"/>
  <c r="F349" i="58"/>
  <c r="F323" i="58"/>
  <c r="F297" i="58"/>
  <c r="F271" i="58"/>
  <c r="F246" i="58"/>
  <c r="F220" i="58"/>
  <c r="F142" i="58"/>
  <c r="F64" i="58"/>
  <c r="F116" i="58"/>
  <c r="F38" i="58"/>
  <c r="F90" i="58"/>
  <c r="F194" i="58"/>
  <c r="F168" i="58"/>
  <c r="E973" i="58"/>
  <c r="E891" i="58"/>
  <c r="E866" i="58"/>
  <c r="E991" i="58"/>
  <c r="E966" i="58"/>
  <c r="E941" i="58"/>
  <c r="E916" i="58"/>
  <c r="E986" i="58"/>
  <c r="E961" i="58"/>
  <c r="E936" i="58"/>
  <c r="E985" i="58"/>
  <c r="E960" i="58"/>
  <c r="E935" i="58"/>
  <c r="E910" i="58"/>
  <c r="E885" i="58"/>
  <c r="E860" i="58"/>
  <c r="E909" i="58"/>
  <c r="E884" i="58"/>
  <c r="E859" i="58"/>
  <c r="E984" i="58"/>
  <c r="E959" i="58"/>
  <c r="E934" i="58"/>
  <c r="E911" i="58"/>
  <c r="E886" i="58"/>
  <c r="E861" i="58"/>
  <c r="E901" i="58"/>
  <c r="E876" i="58"/>
  <c r="E851" i="58"/>
  <c r="E976" i="58"/>
  <c r="E951" i="58"/>
  <c r="E926" i="58"/>
  <c r="E982" i="58"/>
  <c r="E957" i="58"/>
  <c r="E932" i="58"/>
  <c r="E907" i="58"/>
  <c r="E882" i="58"/>
  <c r="E857" i="58"/>
  <c r="E978" i="58"/>
  <c r="E953" i="58"/>
  <c r="E928" i="58"/>
  <c r="E977" i="58"/>
  <c r="E952" i="58"/>
  <c r="E927" i="58"/>
  <c r="E980" i="58"/>
  <c r="E955" i="58"/>
  <c r="E930" i="58"/>
  <c r="E902" i="58"/>
  <c r="E877" i="58"/>
  <c r="E852" i="58"/>
  <c r="E979" i="58"/>
  <c r="E954" i="58"/>
  <c r="E929" i="58"/>
  <c r="E905" i="58"/>
  <c r="E880" i="58"/>
  <c r="E855" i="58"/>
  <c r="E904" i="58"/>
  <c r="E879" i="58"/>
  <c r="E854" i="58"/>
  <c r="E903" i="58"/>
  <c r="E878" i="58"/>
  <c r="E853" i="58"/>
  <c r="E842" i="58"/>
  <c r="E841" i="58"/>
  <c r="E817" i="58"/>
  <c r="E767" i="58"/>
  <c r="E717" i="58"/>
  <c r="E816" i="58"/>
  <c r="E766" i="58"/>
  <c r="E716" i="58"/>
  <c r="E792" i="58"/>
  <c r="E742" i="58"/>
  <c r="E791" i="58"/>
  <c r="E741" i="58"/>
  <c r="E835" i="58"/>
  <c r="E785" i="58"/>
  <c r="E735" i="58"/>
  <c r="E810" i="58"/>
  <c r="E760" i="58"/>
  <c r="E710" i="58"/>
  <c r="E828" i="58"/>
  <c r="E829" i="58" s="1"/>
  <c r="E830" i="58" s="1"/>
  <c r="E803" i="58"/>
  <c r="E804" i="58" s="1"/>
  <c r="E805" i="58" s="1"/>
  <c r="E753" i="58"/>
  <c r="E754" i="58" s="1"/>
  <c r="E755" i="58" s="1"/>
  <c r="E703" i="58"/>
  <c r="E704" i="58" s="1"/>
  <c r="E705" i="58" s="1"/>
  <c r="E778" i="58"/>
  <c r="E779" i="58" s="1"/>
  <c r="E780" i="58" s="1"/>
  <c r="E728" i="58"/>
  <c r="E729" i="58" s="1"/>
  <c r="E730" i="58" s="1"/>
  <c r="E820" i="58"/>
  <c r="E795" i="58"/>
  <c r="E745" i="58"/>
  <c r="E695" i="58"/>
  <c r="E770" i="58"/>
  <c r="E720" i="58"/>
  <c r="E826" i="58"/>
  <c r="E776" i="58"/>
  <c r="E726" i="58"/>
  <c r="E801" i="58"/>
  <c r="E751" i="58"/>
  <c r="E701" i="58"/>
  <c r="E822" i="58"/>
  <c r="E821" i="58"/>
  <c r="E824" i="58"/>
  <c r="E823" i="58"/>
  <c r="E799" i="58"/>
  <c r="E772" i="58"/>
  <c r="E749" i="58"/>
  <c r="E722" i="58"/>
  <c r="E699" i="58"/>
  <c r="E798" i="58"/>
  <c r="E771" i="58"/>
  <c r="E748" i="58"/>
  <c r="E721" i="58"/>
  <c r="E698" i="58"/>
  <c r="E797" i="58"/>
  <c r="E774" i="58"/>
  <c r="E747" i="58"/>
  <c r="E724" i="58"/>
  <c r="E697" i="58"/>
  <c r="E796" i="58"/>
  <c r="E773" i="58"/>
  <c r="E746" i="58"/>
  <c r="E723" i="58"/>
  <c r="E696" i="58"/>
  <c r="C1112" i="11"/>
  <c r="D1112" i="11" s="1"/>
  <c r="E686" i="58"/>
  <c r="E665" i="58"/>
  <c r="E644" i="58"/>
  <c r="E623" i="58"/>
  <c r="E602" i="58"/>
  <c r="E685" i="58"/>
  <c r="E664" i="58"/>
  <c r="E643" i="58"/>
  <c r="E622" i="58"/>
  <c r="E601" i="58"/>
  <c r="E581" i="58"/>
  <c r="E580" i="58"/>
  <c r="C1151" i="11"/>
  <c r="C981" i="11"/>
  <c r="C994" i="11"/>
  <c r="C1177" i="11"/>
  <c r="C1138" i="11"/>
  <c r="C1020" i="11"/>
  <c r="E679" i="58"/>
  <c r="E658" i="58"/>
  <c r="E637" i="58"/>
  <c r="E616" i="58"/>
  <c r="E595" i="58"/>
  <c r="E574" i="58"/>
  <c r="C979" i="11"/>
  <c r="C1136" i="11"/>
  <c r="C992" i="11"/>
  <c r="C1018" i="11"/>
  <c r="C1149" i="11"/>
  <c r="C1175" i="11"/>
  <c r="C1108" i="11"/>
  <c r="E674" i="58"/>
  <c r="E653" i="58"/>
  <c r="E632" i="58"/>
  <c r="E611" i="58"/>
  <c r="E590" i="58"/>
  <c r="E673" i="58"/>
  <c r="E652" i="58"/>
  <c r="E631" i="58"/>
  <c r="E610" i="58"/>
  <c r="E589" i="58"/>
  <c r="E672" i="58"/>
  <c r="E651" i="58"/>
  <c r="E630" i="58"/>
  <c r="E609" i="58"/>
  <c r="E588" i="58"/>
  <c r="E569" i="58"/>
  <c r="E568" i="58"/>
  <c r="E567" i="58"/>
  <c r="C1147" i="11"/>
  <c r="C977" i="11"/>
  <c r="C1173" i="11"/>
  <c r="C1134" i="11"/>
  <c r="C990" i="11"/>
  <c r="C1016" i="11"/>
  <c r="E668" i="58"/>
  <c r="E647" i="58"/>
  <c r="E626" i="58"/>
  <c r="E605" i="58"/>
  <c r="E584" i="58"/>
  <c r="E564" i="58"/>
  <c r="C1132" i="11"/>
  <c r="C988" i="11"/>
  <c r="C1014" i="11"/>
  <c r="C1145" i="11"/>
  <c r="C975" i="11"/>
  <c r="C1171" i="11"/>
  <c r="E670" i="58"/>
  <c r="E649" i="58"/>
  <c r="E628" i="58"/>
  <c r="E607" i="58"/>
  <c r="E586" i="58"/>
  <c r="E566" i="58"/>
  <c r="C1143" i="11"/>
  <c r="C973" i="11"/>
  <c r="C986" i="11"/>
  <c r="C1169" i="11"/>
  <c r="C1130" i="11"/>
  <c r="C1012" i="11"/>
  <c r="E554" i="58"/>
  <c r="E550" i="58"/>
  <c r="E546" i="58"/>
  <c r="E542" i="58"/>
  <c r="E538" i="58"/>
  <c r="E553" i="58"/>
  <c r="E549" i="58"/>
  <c r="E545" i="58"/>
  <c r="E541" i="58"/>
  <c r="E537" i="58"/>
  <c r="E556" i="58"/>
  <c r="E552" i="58"/>
  <c r="E548" i="58"/>
  <c r="E544" i="58"/>
  <c r="E540" i="58"/>
  <c r="E555" i="58"/>
  <c r="E551" i="58"/>
  <c r="E547" i="58"/>
  <c r="E543" i="58"/>
  <c r="E539" i="58"/>
  <c r="E534" i="58"/>
  <c r="E533" i="58"/>
  <c r="E536" i="58"/>
  <c r="E535" i="58"/>
  <c r="C1141" i="11"/>
  <c r="C945" i="11"/>
  <c r="C984" i="11"/>
  <c r="C1167" i="11"/>
  <c r="C1010" i="11"/>
  <c r="C971" i="11"/>
  <c r="C1128" i="11"/>
  <c r="B2017" i="11"/>
  <c r="AE187" i="57"/>
  <c r="AC187" i="57"/>
  <c r="AD64" i="57"/>
  <c r="AH64" i="57" s="1"/>
  <c r="S273" i="12" s="1"/>
  <c r="AC63" i="57"/>
  <c r="AB187" i="57"/>
  <c r="AD63" i="57"/>
  <c r="AE63" i="57"/>
  <c r="AE125" i="57"/>
  <c r="AD125" i="57"/>
  <c r="AD187" i="57"/>
  <c r="AB63" i="57"/>
  <c r="AC125" i="57"/>
  <c r="AB125" i="57"/>
  <c r="AD127" i="57"/>
  <c r="AE127" i="57"/>
  <c r="AB188" i="57"/>
  <c r="AF188" i="57" s="1"/>
  <c r="Q377" i="12" s="1"/>
  <c r="AD188" i="57"/>
  <c r="AH188" i="57" s="1"/>
  <c r="S377" i="12" s="1"/>
  <c r="AD126" i="57"/>
  <c r="AH126" i="57" s="1"/>
  <c r="S325" i="12" s="1"/>
  <c r="AE126" i="57"/>
  <c r="AI126" i="57" s="1"/>
  <c r="T325" i="12" s="1"/>
  <c r="AC188" i="57"/>
  <c r="AG188" i="57" s="1"/>
  <c r="R377" i="12" s="1"/>
  <c r="AC126" i="57"/>
  <c r="AG126" i="57" s="1"/>
  <c r="R325" i="12" s="1"/>
  <c r="AE64" i="57"/>
  <c r="AI64" i="57" s="1"/>
  <c r="T273" i="12" s="1"/>
  <c r="AC189" i="57"/>
  <c r="AE189" i="57"/>
  <c r="AB189" i="57"/>
  <c r="AB126" i="57"/>
  <c r="AF126" i="57" s="1"/>
  <c r="Q325" i="12" s="1"/>
  <c r="AB64" i="57"/>
  <c r="AF64" i="57" s="1"/>
  <c r="Q273" i="12" s="1"/>
  <c r="AC64" i="57"/>
  <c r="AG64" i="57" s="1"/>
  <c r="R273" i="12" s="1"/>
  <c r="AD189" i="57"/>
  <c r="AH189" i="57" s="1"/>
  <c r="S378" i="12" s="1"/>
  <c r="AB127" i="57"/>
  <c r="AF127" i="57" s="1"/>
  <c r="Q326" i="12" s="1"/>
  <c r="AB65" i="57"/>
  <c r="AF65" i="57" s="1"/>
  <c r="Q274" i="12" s="1"/>
  <c r="AC127" i="57"/>
  <c r="AE188" i="57"/>
  <c r="AI188" i="57" s="1"/>
  <c r="T377" i="12" s="1"/>
  <c r="AC190" i="57"/>
  <c r="AG190" i="57" s="1"/>
  <c r="R379" i="12" s="1"/>
  <c r="AB190" i="57"/>
  <c r="AD65" i="57"/>
  <c r="AE128" i="57"/>
  <c r="AD190" i="57"/>
  <c r="AH190" i="57" s="1"/>
  <c r="S379" i="12" s="1"/>
  <c r="AB128" i="57"/>
  <c r="AF128" i="57" s="1"/>
  <c r="Q327" i="12" s="1"/>
  <c r="AD128" i="57"/>
  <c r="AH128" i="57" s="1"/>
  <c r="S327" i="12" s="1"/>
  <c r="AE190" i="57"/>
  <c r="AI190" i="57" s="1"/>
  <c r="T379" i="12" s="1"/>
  <c r="AC128" i="57"/>
  <c r="AC65" i="57"/>
  <c r="AE65" i="57"/>
  <c r="AD191" i="57"/>
  <c r="AE66" i="57"/>
  <c r="AB191" i="57"/>
  <c r="AF191" i="57" s="1"/>
  <c r="Q380" i="12" s="1"/>
  <c r="AD129" i="57"/>
  <c r="AH129" i="57" s="1"/>
  <c r="S328" i="12" s="1"/>
  <c r="AE129" i="57"/>
  <c r="AI129" i="57" s="1"/>
  <c r="T328" i="12" s="1"/>
  <c r="AD66" i="57"/>
  <c r="AB66" i="57"/>
  <c r="AF66" i="57" s="1"/>
  <c r="Q275" i="12" s="1"/>
  <c r="AE191" i="57"/>
  <c r="AB129" i="57"/>
  <c r="AC66" i="57"/>
  <c r="AC191" i="57"/>
  <c r="AG191" i="57" s="1"/>
  <c r="R380" i="12" s="1"/>
  <c r="AC129" i="57"/>
  <c r="AG129" i="57" s="1"/>
  <c r="R328" i="12" s="1"/>
  <c r="AB67" i="57"/>
  <c r="AE67" i="57"/>
  <c r="AC67" i="57"/>
  <c r="AD67" i="57"/>
  <c r="AB110" i="57"/>
  <c r="AB172" i="57"/>
  <c r="AE110" i="57"/>
  <c r="AE172" i="57"/>
  <c r="AB111" i="57"/>
  <c r="AF111" i="57" s="1"/>
  <c r="Q310" i="12" s="1"/>
  <c r="AC110" i="57"/>
  <c r="AE48" i="57"/>
  <c r="AB174" i="57"/>
  <c r="AE173" i="57"/>
  <c r="AI173" i="57" s="1"/>
  <c r="T362" i="12" s="1"/>
  <c r="AB173" i="57"/>
  <c r="AF173" i="57" s="1"/>
  <c r="Q362" i="12" s="1"/>
  <c r="AB48" i="57"/>
  <c r="AF48" i="57" s="1"/>
  <c r="Q257" i="12" s="1"/>
  <c r="AC173" i="57"/>
  <c r="AG173" i="57" s="1"/>
  <c r="R362" i="12" s="1"/>
  <c r="AC111" i="57"/>
  <c r="AG111" i="57" s="1"/>
  <c r="R310" i="12" s="1"/>
  <c r="AC172" i="57"/>
  <c r="AD48" i="57"/>
  <c r="AE111" i="57"/>
  <c r="AI111" i="57" s="1"/>
  <c r="T310" i="12" s="1"/>
  <c r="AD172" i="57"/>
  <c r="AD110" i="57"/>
  <c r="AC48" i="57"/>
  <c r="AC174" i="57"/>
  <c r="AG174" i="57" s="1"/>
  <c r="R363" i="12" s="1"/>
  <c r="AB50" i="57"/>
  <c r="AD111" i="57"/>
  <c r="AH111" i="57" s="1"/>
  <c r="S310" i="12" s="1"/>
  <c r="AE49" i="57"/>
  <c r="AI49" i="57" s="1"/>
  <c r="T258" i="12" s="1"/>
  <c r="AC49" i="57"/>
  <c r="AG49" i="57" s="1"/>
  <c r="R258" i="12" s="1"/>
  <c r="AD112" i="57"/>
  <c r="AH112" i="57" s="1"/>
  <c r="S311" i="12" s="1"/>
  <c r="AB49" i="57"/>
  <c r="AF49" i="57" s="1"/>
  <c r="Q258" i="12" s="1"/>
  <c r="AC50" i="57"/>
  <c r="AE50" i="57"/>
  <c r="AD173" i="57"/>
  <c r="AH173" i="57" s="1"/>
  <c r="S362" i="12" s="1"/>
  <c r="AE174" i="57"/>
  <c r="AD174" i="57"/>
  <c r="AD50" i="57"/>
  <c r="AD49" i="57"/>
  <c r="AH49" i="57" s="1"/>
  <c r="S258" i="12" s="1"/>
  <c r="AB175" i="57"/>
  <c r="AF175" i="57" s="1"/>
  <c r="Q364" i="12" s="1"/>
  <c r="AE112" i="57"/>
  <c r="AC175" i="57"/>
  <c r="AG175" i="57" s="1"/>
  <c r="R364" i="12" s="1"/>
  <c r="AD175" i="57"/>
  <c r="AH175" i="57" s="1"/>
  <c r="S364" i="12" s="1"/>
  <c r="AC112" i="57"/>
  <c r="AB112" i="57"/>
  <c r="AF112" i="57" s="1"/>
  <c r="Q311" i="12" s="1"/>
  <c r="AE175" i="57"/>
  <c r="AI175" i="57" s="1"/>
  <c r="T364" i="12" s="1"/>
  <c r="AC113" i="57"/>
  <c r="AG113" i="57" s="1"/>
  <c r="R312" i="12" s="1"/>
  <c r="AE176" i="57"/>
  <c r="AD51" i="57"/>
  <c r="AH51" i="57" s="1"/>
  <c r="S260" i="12" s="1"/>
  <c r="AD113" i="57"/>
  <c r="AC176" i="57"/>
  <c r="AD176" i="57"/>
  <c r="AC51" i="57"/>
  <c r="AE113" i="57"/>
  <c r="AB176" i="57"/>
  <c r="AB51" i="57"/>
  <c r="AB113" i="57"/>
  <c r="AF113" i="57" s="1"/>
  <c r="Q312" i="12" s="1"/>
  <c r="AE51" i="57"/>
  <c r="AB114" i="57"/>
  <c r="AC52" i="57"/>
  <c r="AE114" i="57"/>
  <c r="AC114" i="57"/>
  <c r="AE52" i="57"/>
  <c r="AD114" i="57"/>
  <c r="AB52" i="57"/>
  <c r="AD52" i="57"/>
  <c r="AD80" i="57"/>
  <c r="AD18" i="57"/>
  <c r="AB142" i="57"/>
  <c r="AB18" i="57"/>
  <c r="AC142" i="57"/>
  <c r="AB80" i="57"/>
  <c r="AE80" i="57"/>
  <c r="AI80" i="57" s="1"/>
  <c r="T289" i="12" s="1"/>
  <c r="AC81" i="57"/>
  <c r="AG81" i="57" s="1"/>
  <c r="R290" i="12" s="1"/>
  <c r="AE18" i="57"/>
  <c r="AC80" i="57"/>
  <c r="AC18" i="57"/>
  <c r="AD142" i="57"/>
  <c r="AE142" i="57"/>
  <c r="AC19" i="57"/>
  <c r="AG19" i="57" s="1"/>
  <c r="R239" i="12" s="1"/>
  <c r="AE19" i="57"/>
  <c r="AI19" i="57" s="1"/>
  <c r="T239" i="12" s="1"/>
  <c r="AE81" i="57"/>
  <c r="AI81" i="57" s="1"/>
  <c r="T290" i="12" s="1"/>
  <c r="AE143" i="57"/>
  <c r="AI143" i="57" s="1"/>
  <c r="T342" i="12" s="1"/>
  <c r="AE82" i="57"/>
  <c r="AB19" i="57"/>
  <c r="AF19" i="57" s="1"/>
  <c r="Q239" i="12" s="1"/>
  <c r="AB82" i="57"/>
  <c r="AD19" i="57"/>
  <c r="AH19" i="57" s="1"/>
  <c r="S239" i="12" s="1"/>
  <c r="AD143" i="57"/>
  <c r="AH143" i="57" s="1"/>
  <c r="S342" i="12" s="1"/>
  <c r="AB81" i="57"/>
  <c r="AF81" i="57" s="1"/>
  <c r="Q290" i="12" s="1"/>
  <c r="AD81" i="57"/>
  <c r="AH81" i="57" s="1"/>
  <c r="S290" i="12" s="1"/>
  <c r="AD82" i="57"/>
  <c r="AC82" i="57"/>
  <c r="AC143" i="57"/>
  <c r="AG143" i="57" s="1"/>
  <c r="R342" i="12" s="1"/>
  <c r="AB143" i="57"/>
  <c r="AF143" i="57" s="1"/>
  <c r="Q342" i="12" s="1"/>
  <c r="AE83" i="57"/>
  <c r="AB83" i="57"/>
  <c r="AF83" i="57" s="1"/>
  <c r="Q292" i="12" s="1"/>
  <c r="AE20" i="57"/>
  <c r="AI20" i="57" s="1"/>
  <c r="T240" i="12" s="1"/>
  <c r="AB144" i="57"/>
  <c r="AF144" i="57" s="1"/>
  <c r="Q343" i="12" s="1"/>
  <c r="AC144" i="57"/>
  <c r="AD20" i="57"/>
  <c r="AD144" i="57"/>
  <c r="AD83" i="57"/>
  <c r="AC20" i="57"/>
  <c r="AE144" i="57"/>
  <c r="AC83" i="57"/>
  <c r="AG83" i="57" s="1"/>
  <c r="R292" i="12" s="1"/>
  <c r="AB20" i="57"/>
  <c r="AB84" i="57"/>
  <c r="AB21" i="57"/>
  <c r="AC145" i="57"/>
  <c r="AC84" i="57"/>
  <c r="AD145" i="57"/>
  <c r="AE145" i="57"/>
  <c r="AD21" i="57"/>
  <c r="AH21" i="57" s="1"/>
  <c r="S241" i="12" s="1"/>
  <c r="AC21" i="57"/>
  <c r="AB145" i="57"/>
  <c r="AD84" i="57"/>
  <c r="AE84" i="57"/>
  <c r="AE21" i="57"/>
  <c r="AI21" i="57" s="1"/>
  <c r="T241" i="12" s="1"/>
  <c r="AB146" i="57"/>
  <c r="AF146" i="57" s="1"/>
  <c r="Q345" i="12" s="1"/>
  <c r="AE146" i="57"/>
  <c r="AI146" i="57" s="1"/>
  <c r="T345" i="12" s="1"/>
  <c r="AB22" i="57"/>
  <c r="AF22" i="57" s="1"/>
  <c r="Q203" i="12" s="1"/>
  <c r="AC146" i="57"/>
  <c r="AD146" i="57"/>
  <c r="AE22" i="57"/>
  <c r="AD22" i="57"/>
  <c r="AC22" i="57"/>
  <c r="W118" i="44"/>
  <c r="S118" i="44"/>
  <c r="O118" i="44"/>
  <c r="K118" i="44"/>
  <c r="G118" i="44"/>
  <c r="C118" i="44"/>
  <c r="W117" i="44"/>
  <c r="S117" i="44"/>
  <c r="O117" i="44"/>
  <c r="K117" i="44"/>
  <c r="L12" i="44" s="1"/>
  <c r="S84" i="44" s="1"/>
  <c r="G117" i="44"/>
  <c r="C117" i="44"/>
  <c r="W116" i="44"/>
  <c r="S116" i="44"/>
  <c r="O116" i="44"/>
  <c r="K116" i="44"/>
  <c r="G116" i="44"/>
  <c r="C116" i="44"/>
  <c r="J11" i="44" s="1"/>
  <c r="Q83" i="44" s="1"/>
  <c r="W115" i="44"/>
  <c r="S115" i="44"/>
  <c r="H998" i="58"/>
  <c r="H842" i="58"/>
  <c r="H686" i="58"/>
  <c r="F98" i="44"/>
  <c r="H917" i="58"/>
  <c r="H761" i="58"/>
  <c r="H617" i="58"/>
  <c r="H912" i="58"/>
  <c r="H756" i="58"/>
  <c r="H612" i="58"/>
  <c r="F87" i="44"/>
  <c r="D51" i="44"/>
  <c r="D86" i="44" s="1"/>
  <c r="J48" i="44"/>
  <c r="J83" i="44" s="1"/>
  <c r="F43" i="44"/>
  <c r="F79" i="44" s="1"/>
  <c r="F94" i="44" s="1"/>
  <c r="F41" i="44"/>
  <c r="J39" i="44"/>
  <c r="J77" i="44" s="1"/>
  <c r="F872" i="58"/>
  <c r="F897" i="58"/>
  <c r="F922" i="58"/>
  <c r="F947" i="58"/>
  <c r="F972" i="58"/>
  <c r="F997" i="58"/>
  <c r="F716" i="58"/>
  <c r="F741" i="58"/>
  <c r="F766" i="58"/>
  <c r="F791" i="58"/>
  <c r="F816" i="58"/>
  <c r="F841" i="58"/>
  <c r="F580" i="58"/>
  <c r="F601" i="58"/>
  <c r="F622" i="58"/>
  <c r="F643" i="58"/>
  <c r="F664" i="58"/>
  <c r="F685" i="58"/>
  <c r="F522" i="58"/>
  <c r="F497" i="58"/>
  <c r="F472" i="58"/>
  <c r="F447" i="58"/>
  <c r="F422" i="58"/>
  <c r="F397" i="58"/>
  <c r="F371" i="58"/>
  <c r="F345" i="58"/>
  <c r="F319" i="58"/>
  <c r="F293" i="58"/>
  <c r="F267" i="58"/>
  <c r="F242" i="58"/>
  <c r="F216" i="58"/>
  <c r="F112" i="58"/>
  <c r="F86" i="58"/>
  <c r="F164" i="58"/>
  <c r="F190" i="58"/>
  <c r="F138" i="58"/>
  <c r="F60" i="58"/>
  <c r="F867" i="58"/>
  <c r="F892" i="58"/>
  <c r="F917" i="58"/>
  <c r="F942" i="58"/>
  <c r="F967" i="58"/>
  <c r="F992" i="58"/>
  <c r="F736" i="58"/>
  <c r="F711" i="58"/>
  <c r="F761" i="58"/>
  <c r="F786" i="58"/>
  <c r="F811" i="58"/>
  <c r="F836" i="58"/>
  <c r="F575" i="58"/>
  <c r="F596" i="58"/>
  <c r="F617" i="58"/>
  <c r="F638" i="58"/>
  <c r="F659" i="58"/>
  <c r="F680" i="58"/>
  <c r="F518" i="58"/>
  <c r="F493" i="58"/>
  <c r="F468" i="58"/>
  <c r="F443" i="58"/>
  <c r="F418" i="58"/>
  <c r="F392" i="58"/>
  <c r="F366" i="58"/>
  <c r="F340" i="58"/>
  <c r="F314" i="58"/>
  <c r="F288" i="58"/>
  <c r="F262" i="58"/>
  <c r="F237" i="58"/>
  <c r="F211" i="58"/>
  <c r="F133" i="58"/>
  <c r="F55" i="58"/>
  <c r="F107" i="58"/>
  <c r="F81" i="58"/>
  <c r="F185" i="58"/>
  <c r="F159" i="58"/>
  <c r="F857" i="58"/>
  <c r="F882" i="58"/>
  <c r="F907" i="58"/>
  <c r="F932" i="58"/>
  <c r="F957" i="58"/>
  <c r="F982" i="58"/>
  <c r="F701" i="58"/>
  <c r="F726" i="58"/>
  <c r="F751" i="58"/>
  <c r="F776" i="58"/>
  <c r="F801" i="58"/>
  <c r="F826" i="58"/>
  <c r="F566" i="58"/>
  <c r="F586" i="58"/>
  <c r="F607" i="58"/>
  <c r="F628" i="58"/>
  <c r="F649" i="58"/>
  <c r="F670" i="58"/>
  <c r="F508" i="58"/>
  <c r="F483" i="58"/>
  <c r="F458" i="58"/>
  <c r="F433" i="58"/>
  <c r="F408" i="58"/>
  <c r="F382" i="58"/>
  <c r="F356" i="58"/>
  <c r="F330" i="58"/>
  <c r="F304" i="58"/>
  <c r="F278" i="58"/>
  <c r="F252" i="58"/>
  <c r="F227" i="58"/>
  <c r="F149" i="58"/>
  <c r="F71" i="58"/>
  <c r="F123" i="58"/>
  <c r="F45" i="58"/>
  <c r="F201" i="58"/>
  <c r="F175" i="58"/>
  <c r="F97" i="58"/>
  <c r="F853" i="58"/>
  <c r="F878" i="58"/>
  <c r="F903" i="58"/>
  <c r="F928" i="58"/>
  <c r="F953" i="58"/>
  <c r="F978" i="58"/>
  <c r="F697" i="58"/>
  <c r="F722" i="58"/>
  <c r="F747" i="58"/>
  <c r="F772" i="58"/>
  <c r="F797" i="58"/>
  <c r="F822" i="58"/>
  <c r="F534" i="58"/>
  <c r="F538" i="58"/>
  <c r="F542" i="58"/>
  <c r="F546" i="58"/>
  <c r="F550" i="58"/>
  <c r="F554" i="58"/>
  <c r="F504" i="58"/>
  <c r="F479" i="58"/>
  <c r="F454" i="58"/>
  <c r="F429" i="58"/>
  <c r="F404" i="58"/>
  <c r="F378" i="58"/>
  <c r="F352" i="58"/>
  <c r="F326" i="58"/>
  <c r="F300" i="58"/>
  <c r="F274" i="58"/>
  <c r="F248" i="58"/>
  <c r="F223" i="58"/>
  <c r="F145" i="58"/>
  <c r="F67" i="58"/>
  <c r="F119" i="58"/>
  <c r="F41" i="58"/>
  <c r="F197" i="58"/>
  <c r="F171" i="58"/>
  <c r="F93" i="58"/>
  <c r="E972" i="58"/>
  <c r="C1076" i="11"/>
  <c r="D1076" i="11" s="1"/>
  <c r="C189" i="11"/>
  <c r="C18" i="58" s="1"/>
  <c r="D859" i="58"/>
  <c r="D703" i="58"/>
  <c r="D984" i="58"/>
  <c r="D753" i="58"/>
  <c r="D778" i="58"/>
  <c r="B2016" i="11"/>
  <c r="AC120" i="57"/>
  <c r="AE182" i="57"/>
  <c r="AB120" i="57"/>
  <c r="AB182" i="57"/>
  <c r="AB184" i="57"/>
  <c r="AD121" i="57"/>
  <c r="AH121" i="57" s="1"/>
  <c r="S320" i="12" s="1"/>
  <c r="AB121" i="57"/>
  <c r="AF121" i="57" s="1"/>
  <c r="Q320" i="12" s="1"/>
  <c r="AC121" i="57"/>
  <c r="AG121" i="57" s="1"/>
  <c r="R320" i="12" s="1"/>
  <c r="AC58" i="57"/>
  <c r="AD182" i="57"/>
  <c r="AC182" i="57"/>
  <c r="AB183" i="57"/>
  <c r="AF183" i="57" s="1"/>
  <c r="Q372" i="12" s="1"/>
  <c r="AB185" i="57"/>
  <c r="AF185" i="57" s="1"/>
  <c r="Q374" i="12" s="1"/>
  <c r="AB122" i="57"/>
  <c r="AF122" i="57" s="1"/>
  <c r="Q321" i="12" s="1"/>
  <c r="AE120" i="57"/>
  <c r="AE183" i="57"/>
  <c r="AI183" i="57" s="1"/>
  <c r="T372" i="12" s="1"/>
  <c r="AB58" i="57"/>
  <c r="AD120" i="57"/>
  <c r="AE58" i="57"/>
  <c r="AE184" i="57"/>
  <c r="AI184" i="57" s="1"/>
  <c r="T373" i="12" s="1"/>
  <c r="AD58" i="57"/>
  <c r="AC183" i="57"/>
  <c r="AG183" i="57" s="1"/>
  <c r="R372" i="12" s="1"/>
  <c r="AD183" i="57"/>
  <c r="AH183" i="57" s="1"/>
  <c r="S372" i="12" s="1"/>
  <c r="AE122" i="57"/>
  <c r="AE59" i="57"/>
  <c r="AI59" i="57" s="1"/>
  <c r="T268" i="12" s="1"/>
  <c r="AD184" i="57"/>
  <c r="AD60" i="57"/>
  <c r="AD59" i="57"/>
  <c r="AH59" i="57" s="1"/>
  <c r="S268" i="12" s="1"/>
  <c r="AC122" i="57"/>
  <c r="AG122" i="57" s="1"/>
  <c r="R321" i="12" s="1"/>
  <c r="AD185" i="57"/>
  <c r="AH185" i="57" s="1"/>
  <c r="S374" i="12" s="1"/>
  <c r="AE60" i="57"/>
  <c r="AD122" i="57"/>
  <c r="AC59" i="57"/>
  <c r="AG59" i="57" s="1"/>
  <c r="R268" i="12" s="1"/>
  <c r="AC184" i="57"/>
  <c r="AE185" i="57"/>
  <c r="AC185" i="57"/>
  <c r="AB59" i="57"/>
  <c r="AF59" i="57" s="1"/>
  <c r="Q268" i="12" s="1"/>
  <c r="AE121" i="57"/>
  <c r="AI121" i="57" s="1"/>
  <c r="T320" i="12" s="1"/>
  <c r="AC186" i="57"/>
  <c r="AB60" i="57"/>
  <c r="AC60" i="57"/>
  <c r="AG60" i="57" s="1"/>
  <c r="R269" i="12" s="1"/>
  <c r="AB186" i="57"/>
  <c r="AC123" i="57"/>
  <c r="AD123" i="57"/>
  <c r="AD186" i="57"/>
  <c r="AB123" i="57"/>
  <c r="AF123" i="57" s="1"/>
  <c r="Q322" i="12" s="1"/>
  <c r="AE123" i="57"/>
  <c r="AI123" i="57" s="1"/>
  <c r="T322" i="12" s="1"/>
  <c r="AE186" i="57"/>
  <c r="AD124" i="57"/>
  <c r="AE124" i="57"/>
  <c r="AE61" i="57"/>
  <c r="AI61" i="57" s="1"/>
  <c r="T270" i="12" s="1"/>
  <c r="AC61" i="57"/>
  <c r="AB124" i="57"/>
  <c r="AC124" i="57"/>
  <c r="AG124" i="57" s="1"/>
  <c r="R323" i="12" s="1"/>
  <c r="AB61" i="57"/>
  <c r="AD61" i="57"/>
  <c r="AD62" i="57"/>
  <c r="AH62" i="57" s="1"/>
  <c r="S271" i="12" s="1"/>
  <c r="AB62" i="57"/>
  <c r="AE62" i="57"/>
  <c r="AI62" i="57" s="1"/>
  <c r="T271" i="12" s="1"/>
  <c r="AC62" i="57"/>
  <c r="AG62" i="57" s="1"/>
  <c r="R271" i="12" s="1"/>
  <c r="AC69" i="57"/>
  <c r="AG69" i="57" s="1"/>
  <c r="R278" i="12" s="1"/>
  <c r="AE68" i="57"/>
  <c r="AB68" i="57"/>
  <c r="AC68" i="57"/>
  <c r="AC130" i="57"/>
  <c r="AC192" i="57"/>
  <c r="AE192" i="57"/>
  <c r="AE130" i="57"/>
  <c r="AD132" i="57"/>
  <c r="AD192" i="57"/>
  <c r="AB130" i="57"/>
  <c r="AD130" i="57"/>
  <c r="AB192" i="57"/>
  <c r="AD68" i="57"/>
  <c r="AD131" i="57"/>
  <c r="AH131" i="57" s="1"/>
  <c r="S330" i="12" s="1"/>
  <c r="AD69" i="57"/>
  <c r="AH69" i="57" s="1"/>
  <c r="S278" i="12" s="1"/>
  <c r="AE132" i="57"/>
  <c r="AC132" i="57"/>
  <c r="AB131" i="57"/>
  <c r="AF131" i="57" s="1"/>
  <c r="Q330" i="12" s="1"/>
  <c r="AD193" i="57"/>
  <c r="AH193" i="57" s="1"/>
  <c r="S382" i="12" s="1"/>
  <c r="AE70" i="57"/>
  <c r="AB132" i="57"/>
  <c r="AB133" i="57"/>
  <c r="AC194" i="57"/>
  <c r="AE69" i="57"/>
  <c r="AI69" i="57" s="1"/>
  <c r="T278" i="12" s="1"/>
  <c r="AC131" i="57"/>
  <c r="AG131" i="57" s="1"/>
  <c r="R330" i="12" s="1"/>
  <c r="AB69" i="57"/>
  <c r="AF69" i="57" s="1"/>
  <c r="Q278" i="12" s="1"/>
  <c r="AE131" i="57"/>
  <c r="AI131" i="57" s="1"/>
  <c r="T330" i="12" s="1"/>
  <c r="AE193" i="57"/>
  <c r="AI193" i="57" s="1"/>
  <c r="T382" i="12" s="1"/>
  <c r="AB193" i="57"/>
  <c r="AF193" i="57" s="1"/>
  <c r="Q382" i="12" s="1"/>
  <c r="AC193" i="57"/>
  <c r="AG193" i="57" s="1"/>
  <c r="R382" i="12" s="1"/>
  <c r="AB70" i="57"/>
  <c r="AD70" i="57"/>
  <c r="AH70" i="57" s="1"/>
  <c r="S279" i="12" s="1"/>
  <c r="AD133" i="57"/>
  <c r="AH133" i="57" s="1"/>
  <c r="S332" i="12" s="1"/>
  <c r="AB194" i="57"/>
  <c r="AC133" i="57"/>
  <c r="AC70" i="57"/>
  <c r="AD194" i="57"/>
  <c r="AH194" i="57" s="1"/>
  <c r="S383" i="12" s="1"/>
  <c r="AE133" i="57"/>
  <c r="AE194" i="57"/>
  <c r="AC71" i="57"/>
  <c r="AG71" i="57" s="1"/>
  <c r="R280" i="12" s="1"/>
  <c r="AD71" i="57"/>
  <c r="AH71" i="57" s="1"/>
  <c r="S280" i="12" s="1"/>
  <c r="AB134" i="57"/>
  <c r="AF134" i="57" s="1"/>
  <c r="Q333" i="12" s="1"/>
  <c r="AD195" i="57"/>
  <c r="AB71" i="57"/>
  <c r="AD134" i="57"/>
  <c r="AE195" i="57"/>
  <c r="AI195" i="57" s="1"/>
  <c r="T384" i="12" s="1"/>
  <c r="AC134" i="57"/>
  <c r="AG134" i="57" s="1"/>
  <c r="R333" i="12" s="1"/>
  <c r="AB195" i="57"/>
  <c r="AF195" i="57" s="1"/>
  <c r="Q384" i="12" s="1"/>
  <c r="AE71" i="57"/>
  <c r="AI71" i="57" s="1"/>
  <c r="T280" i="12" s="1"/>
  <c r="AE134" i="57"/>
  <c r="AI134" i="57" s="1"/>
  <c r="T333" i="12" s="1"/>
  <c r="AC195" i="57"/>
  <c r="AB196" i="57"/>
  <c r="AC72" i="57"/>
  <c r="AC196" i="57"/>
  <c r="AB72" i="57"/>
  <c r="AD196" i="57"/>
  <c r="AH196" i="57" s="1"/>
  <c r="S385" i="12" s="1"/>
  <c r="AE196" i="57"/>
  <c r="AI196" i="57" s="1"/>
  <c r="T385" i="12" s="1"/>
  <c r="AE72" i="57"/>
  <c r="AD72" i="57"/>
  <c r="F100" i="44"/>
  <c r="H997" i="58"/>
  <c r="H841" i="58"/>
  <c r="H685" i="58"/>
  <c r="H946" i="58"/>
  <c r="H790" i="58"/>
  <c r="H642" i="58"/>
  <c r="H858" i="58"/>
  <c r="H702" i="58"/>
  <c r="H532" i="58"/>
  <c r="F93" i="44"/>
  <c r="F89" i="44"/>
  <c r="B82" i="44"/>
  <c r="J44" i="44"/>
  <c r="J80" i="44" s="1"/>
  <c r="F39" i="44"/>
  <c r="F77" i="44" s="1"/>
  <c r="E293" i="58"/>
  <c r="E294" i="58" s="1"/>
  <c r="E267" i="58"/>
  <c r="E268" i="58" s="1"/>
  <c r="E522" i="58"/>
  <c r="E523" i="58" s="1"/>
  <c r="E319" i="58"/>
  <c r="E320" i="58" s="1"/>
  <c r="E510" i="58"/>
  <c r="E511" i="58" s="1"/>
  <c r="E512" i="58" s="1"/>
  <c r="E306" i="58"/>
  <c r="E307" i="58" s="1"/>
  <c r="E308" i="58" s="1"/>
  <c r="E254" i="58"/>
  <c r="E255" i="58" s="1"/>
  <c r="E256" i="58" s="1"/>
  <c r="E280" i="58"/>
  <c r="E281" i="58" s="1"/>
  <c r="E282" i="58" s="1"/>
  <c r="E503" i="58"/>
  <c r="E504" i="58" s="1"/>
  <c r="E505" i="58" s="1"/>
  <c r="E506" i="58" s="1"/>
  <c r="E299" i="58"/>
  <c r="E300" i="58" s="1"/>
  <c r="E301" i="58" s="1"/>
  <c r="E302" i="58" s="1"/>
  <c r="E248" i="58"/>
  <c r="E249" i="58" s="1"/>
  <c r="E250" i="58" s="1"/>
  <c r="E273" i="58"/>
  <c r="E274" i="58" s="1"/>
  <c r="E275" i="58" s="1"/>
  <c r="E276" i="58" s="1"/>
  <c r="E394" i="58"/>
  <c r="E395" i="58" s="1"/>
  <c r="E396" i="58" s="1"/>
  <c r="E238" i="58"/>
  <c r="E393" i="58"/>
  <c r="E239" i="58"/>
  <c r="E240" i="58" s="1"/>
  <c r="E241" i="58" s="1"/>
  <c r="E232" i="58"/>
  <c r="E233" i="58" s="1"/>
  <c r="E234" i="58" s="1"/>
  <c r="E235" i="58" s="1"/>
  <c r="E387" i="58"/>
  <c r="E388" i="58" s="1"/>
  <c r="E389" i="58" s="1"/>
  <c r="E390" i="58" s="1"/>
  <c r="E376" i="58"/>
  <c r="E221" i="58"/>
  <c r="E497" i="58"/>
  <c r="E498" i="58" s="1"/>
  <c r="E447" i="58"/>
  <c r="E448" i="58" s="1"/>
  <c r="E216" i="58"/>
  <c r="E217" i="58" s="1"/>
  <c r="E371" i="58"/>
  <c r="E372" i="58" s="1"/>
  <c r="E358" i="58"/>
  <c r="E359" i="58" s="1"/>
  <c r="E360" i="58" s="1"/>
  <c r="E203" i="58"/>
  <c r="E204" i="58" s="1"/>
  <c r="E205" i="58" s="1"/>
  <c r="E485" i="58"/>
  <c r="E486" i="58" s="1"/>
  <c r="E487" i="58" s="1"/>
  <c r="E435" i="58"/>
  <c r="E436" i="58" s="1"/>
  <c r="E437" i="58" s="1"/>
  <c r="E419" i="58"/>
  <c r="E420" i="58" s="1"/>
  <c r="E421" i="58" s="1"/>
  <c r="E187" i="58"/>
  <c r="E188" i="58" s="1"/>
  <c r="E189" i="58" s="1"/>
  <c r="E342" i="58"/>
  <c r="E343" i="58" s="1"/>
  <c r="E344" i="58" s="1"/>
  <c r="E186" i="58"/>
  <c r="E341" i="58"/>
  <c r="E469" i="58"/>
  <c r="E470" i="58" s="1"/>
  <c r="E471" i="58" s="1"/>
  <c r="C19" i="10"/>
  <c r="F168" i="12"/>
  <c r="F173" i="12" s="1"/>
  <c r="F178" i="12" s="1"/>
  <c r="F183" i="12" s="1"/>
  <c r="F188" i="12" s="1"/>
  <c r="E18" i="58"/>
  <c r="C929" i="11"/>
  <c r="C938" i="11"/>
  <c r="C939" i="11"/>
  <c r="D275" i="10"/>
  <c r="D236" i="10"/>
  <c r="E295" i="58"/>
  <c r="E524" i="58"/>
  <c r="E269" i="58"/>
  <c r="E321" i="58"/>
  <c r="E287" i="58"/>
  <c r="E517" i="58"/>
  <c r="E313" i="58"/>
  <c r="E261" i="58"/>
  <c r="E278" i="58"/>
  <c r="E508" i="58"/>
  <c r="E304" i="58"/>
  <c r="E252" i="58"/>
  <c r="E271" i="58"/>
  <c r="E297" i="58"/>
  <c r="E246" i="58"/>
  <c r="E501" i="58"/>
  <c r="E237" i="58"/>
  <c r="E392" i="58"/>
  <c r="E228" i="58"/>
  <c r="E383" i="58"/>
  <c r="E226" i="58"/>
  <c r="E381" i="58"/>
  <c r="E499" i="58"/>
  <c r="E218" i="58"/>
  <c r="E373" i="58"/>
  <c r="E449" i="58"/>
  <c r="E210" i="58"/>
  <c r="E365" i="58"/>
  <c r="E492" i="58"/>
  <c r="E442" i="58"/>
  <c r="E356" i="58"/>
  <c r="E433" i="58"/>
  <c r="E483" i="58"/>
  <c r="E201" i="58"/>
  <c r="E351" i="58"/>
  <c r="E352" i="58" s="1"/>
  <c r="E353" i="58" s="1"/>
  <c r="E354" i="58" s="1"/>
  <c r="E196" i="58"/>
  <c r="E197" i="58" s="1"/>
  <c r="E198" i="58" s="1"/>
  <c r="E199" i="58" s="1"/>
  <c r="E428" i="58"/>
  <c r="E429" i="58" s="1"/>
  <c r="E430" i="58" s="1"/>
  <c r="E431" i="58" s="1"/>
  <c r="E478" i="58"/>
  <c r="E479" i="58" s="1"/>
  <c r="E480" i="58" s="1"/>
  <c r="E481" i="58" s="1"/>
  <c r="E426" i="58"/>
  <c r="E476" i="58"/>
  <c r="E194" i="58"/>
  <c r="E349" i="58"/>
  <c r="E468" i="58"/>
  <c r="E185" i="58"/>
  <c r="E418" i="58"/>
  <c r="E340" i="58"/>
  <c r="E335" i="58"/>
  <c r="E336" i="58" s="1"/>
  <c r="E337" i="58" s="1"/>
  <c r="E338" i="58" s="1"/>
  <c r="E463" i="58"/>
  <c r="E464" i="58" s="1"/>
  <c r="E465" i="58" s="1"/>
  <c r="E466" i="58" s="1"/>
  <c r="E413" i="58"/>
  <c r="E414" i="58" s="1"/>
  <c r="E415" i="58" s="1"/>
  <c r="E416" i="58" s="1"/>
  <c r="E180" i="58"/>
  <c r="E181" i="58" s="1"/>
  <c r="E182" i="58" s="1"/>
  <c r="E183" i="58" s="1"/>
  <c r="E176" i="58"/>
  <c r="E459" i="58"/>
  <c r="E409" i="58"/>
  <c r="E331" i="58"/>
  <c r="E457" i="58"/>
  <c r="E407" i="58"/>
  <c r="E174" i="58"/>
  <c r="E329" i="58"/>
  <c r="E169" i="58"/>
  <c r="E402" i="58"/>
  <c r="E324" i="58"/>
  <c r="E452" i="58"/>
  <c r="C930" i="11"/>
  <c r="D266" i="10"/>
  <c r="D223" i="10"/>
  <c r="D212" i="10"/>
  <c r="E519" i="58"/>
  <c r="E520" i="58" s="1"/>
  <c r="E521" i="58" s="1"/>
  <c r="E315" i="58"/>
  <c r="E263" i="58"/>
  <c r="E316" i="58"/>
  <c r="E317" i="58" s="1"/>
  <c r="E318" i="58" s="1"/>
  <c r="E264" i="58"/>
  <c r="E265" i="58" s="1"/>
  <c r="E266" i="58" s="1"/>
  <c r="E290" i="58"/>
  <c r="E291" i="58" s="1"/>
  <c r="E292" i="58" s="1"/>
  <c r="E289" i="58"/>
  <c r="E518" i="58"/>
  <c r="E288" i="58"/>
  <c r="E314" i="58"/>
  <c r="E262" i="58"/>
  <c r="E257" i="58"/>
  <c r="E258" i="58" s="1"/>
  <c r="E259" i="58" s="1"/>
  <c r="E260" i="58" s="1"/>
  <c r="E283" i="58"/>
  <c r="E284" i="58" s="1"/>
  <c r="E285" i="58" s="1"/>
  <c r="E286" i="58" s="1"/>
  <c r="E513" i="58"/>
  <c r="E514" i="58" s="1"/>
  <c r="E515" i="58" s="1"/>
  <c r="E516" i="58" s="1"/>
  <c r="E309" i="58"/>
  <c r="E310" i="58" s="1"/>
  <c r="E311" i="58" s="1"/>
  <c r="E312" i="58" s="1"/>
  <c r="E305" i="58"/>
  <c r="E253" i="58"/>
  <c r="E509" i="58"/>
  <c r="E279" i="58"/>
  <c r="E277" i="58"/>
  <c r="E507" i="58"/>
  <c r="E251" i="58"/>
  <c r="E303" i="58"/>
  <c r="E247" i="58"/>
  <c r="E502" i="58"/>
  <c r="E272" i="58"/>
  <c r="E298" i="58"/>
  <c r="E244" i="58"/>
  <c r="E399" i="58"/>
  <c r="E397" i="58"/>
  <c r="E398" i="58" s="1"/>
  <c r="E242" i="58"/>
  <c r="E243" i="58" s="1"/>
  <c r="E391" i="58"/>
  <c r="E236" i="58"/>
  <c r="E384" i="58"/>
  <c r="E385" i="58" s="1"/>
  <c r="E386" i="58" s="1"/>
  <c r="E229" i="58"/>
  <c r="E230" i="58" s="1"/>
  <c r="E231" i="58" s="1"/>
  <c r="E382" i="58"/>
  <c r="E227" i="58"/>
  <c r="E222" i="58"/>
  <c r="E223" i="58" s="1"/>
  <c r="E224" i="58" s="1"/>
  <c r="E225" i="58" s="1"/>
  <c r="E377" i="58"/>
  <c r="E378" i="58" s="1"/>
  <c r="E379" i="58" s="1"/>
  <c r="E380" i="58" s="1"/>
  <c r="E375" i="58"/>
  <c r="E220" i="58"/>
  <c r="E367" i="58"/>
  <c r="E212" i="58"/>
  <c r="E494" i="58"/>
  <c r="E495" i="58" s="1"/>
  <c r="E496" i="58" s="1"/>
  <c r="E444" i="58"/>
  <c r="E445" i="58" s="1"/>
  <c r="E446" i="58" s="1"/>
  <c r="E213" i="58"/>
  <c r="E214" i="58" s="1"/>
  <c r="E215" i="58" s="1"/>
  <c r="E368" i="58"/>
  <c r="E369" i="58" s="1"/>
  <c r="E370" i="58" s="1"/>
  <c r="E443" i="58"/>
  <c r="E366" i="58"/>
  <c r="E493" i="58"/>
  <c r="E211" i="58"/>
  <c r="E488" i="58"/>
  <c r="E489" i="58" s="1"/>
  <c r="E490" i="58" s="1"/>
  <c r="E491" i="58" s="1"/>
  <c r="E206" i="58"/>
  <c r="E207" i="58" s="1"/>
  <c r="E208" i="58" s="1"/>
  <c r="E209" i="58" s="1"/>
  <c r="E361" i="58"/>
  <c r="E362" i="58" s="1"/>
  <c r="E363" i="58" s="1"/>
  <c r="E364" i="58" s="1"/>
  <c r="E438" i="58"/>
  <c r="E439" i="58" s="1"/>
  <c r="E440" i="58" s="1"/>
  <c r="E441" i="58" s="1"/>
  <c r="E434" i="58"/>
  <c r="E484" i="58"/>
  <c r="E202" i="58"/>
  <c r="E357" i="58"/>
  <c r="E482" i="58"/>
  <c r="E200" i="58"/>
  <c r="E355" i="58"/>
  <c r="E432" i="58"/>
  <c r="E427" i="58"/>
  <c r="E477" i="58"/>
  <c r="E195" i="58"/>
  <c r="E350" i="58"/>
  <c r="E474" i="58"/>
  <c r="E347" i="58"/>
  <c r="E424" i="58"/>
  <c r="E192" i="58"/>
  <c r="E345" i="58"/>
  <c r="E346" i="58" s="1"/>
  <c r="E190" i="58"/>
  <c r="E191" i="58" s="1"/>
  <c r="E472" i="58"/>
  <c r="E473" i="58" s="1"/>
  <c r="E422" i="58"/>
  <c r="E423" i="58" s="1"/>
  <c r="E467" i="58"/>
  <c r="E339" i="58"/>
  <c r="E184" i="58"/>
  <c r="E417" i="58"/>
  <c r="E410" i="58"/>
  <c r="E411" i="58" s="1"/>
  <c r="E412" i="58" s="1"/>
  <c r="E177" i="58"/>
  <c r="E178" i="58" s="1"/>
  <c r="E179" i="58" s="1"/>
  <c r="E332" i="58"/>
  <c r="E333" i="58" s="1"/>
  <c r="E334" i="58" s="1"/>
  <c r="E460" i="58"/>
  <c r="E461" i="58" s="1"/>
  <c r="E462" i="58" s="1"/>
  <c r="E458" i="58"/>
  <c r="E330" i="58"/>
  <c r="E175" i="58"/>
  <c r="E408" i="58"/>
  <c r="E403" i="58"/>
  <c r="E404" i="58" s="1"/>
  <c r="E405" i="58" s="1"/>
  <c r="E406" i="58" s="1"/>
  <c r="E325" i="58"/>
  <c r="E326" i="58" s="1"/>
  <c r="E327" i="58" s="1"/>
  <c r="E328" i="58" s="1"/>
  <c r="E453" i="58"/>
  <c r="E454" i="58" s="1"/>
  <c r="E455" i="58" s="1"/>
  <c r="E456" i="58" s="1"/>
  <c r="E170" i="58"/>
  <c r="E171" i="58" s="1"/>
  <c r="E172" i="58" s="1"/>
  <c r="E173" i="58" s="1"/>
  <c r="E451" i="58"/>
  <c r="E323" i="58"/>
  <c r="E168" i="58"/>
  <c r="E401" i="58"/>
  <c r="C17" i="58"/>
  <c r="D792" i="11"/>
  <c r="D1004" i="11"/>
  <c r="C255" i="10"/>
  <c r="C212" i="10"/>
  <c r="C1095" i="11"/>
  <c r="D1095" i="11" s="1"/>
  <c r="C1252" i="11"/>
  <c r="D1252" i="11" s="1"/>
  <c r="B1252" i="11" s="1"/>
  <c r="C1248" i="11"/>
  <c r="D1248" i="11" s="1"/>
  <c r="B1248" i="11" s="1"/>
  <c r="C1091" i="11"/>
  <c r="D1091" i="11" s="1"/>
  <c r="C1241" i="11"/>
  <c r="D1241" i="11" s="1"/>
  <c r="B1241" i="11" s="1"/>
  <c r="C1215" i="11"/>
  <c r="D1215" i="11" s="1"/>
  <c r="B1215" i="11" s="1"/>
  <c r="C1008" i="11"/>
  <c r="D1008" i="11" s="1"/>
  <c r="C961" i="11"/>
  <c r="D1699" i="11"/>
  <c r="C1082" i="11"/>
  <c r="D1082" i="11" s="1"/>
  <c r="D1326" i="11"/>
  <c r="C220" i="10"/>
  <c r="C257" i="10"/>
  <c r="C231" i="10"/>
  <c r="C214" i="10"/>
  <c r="C223" i="10"/>
  <c r="C1080" i="11"/>
  <c r="D1080" i="11" s="1"/>
  <c r="C1054" i="11"/>
  <c r="D1054" i="11" s="1"/>
  <c r="C1211" i="11"/>
  <c r="D1211" i="11" s="1"/>
  <c r="B1211" i="11" s="1"/>
  <c r="C1043" i="11"/>
  <c r="C1163" i="11"/>
  <c r="C1122" i="11"/>
  <c r="D1122" i="11" s="1"/>
  <c r="C963" i="11"/>
  <c r="C1120" i="11"/>
  <c r="C1118" i="11"/>
  <c r="C952" i="11"/>
  <c r="D952" i="11" s="1"/>
  <c r="C1113" i="11"/>
  <c r="C1037" i="11"/>
  <c r="D1037" i="11" s="1"/>
  <c r="C1200" i="11"/>
  <c r="D1200" i="11" s="1"/>
  <c r="B1200" i="11" s="1"/>
  <c r="C1217" i="11"/>
  <c r="D1217" i="11" s="1"/>
  <c r="C1089" i="11"/>
  <c r="D1089" i="11" s="1"/>
  <c r="C1202" i="11"/>
  <c r="D1202" i="11" s="1"/>
  <c r="B1202" i="11" s="1"/>
  <c r="D1743" i="11"/>
  <c r="C285" i="10"/>
  <c r="C266" i="10"/>
  <c r="C225" i="10"/>
  <c r="C946" i="11"/>
  <c r="D946" i="11" s="1"/>
  <c r="C1157" i="11"/>
  <c r="D1157" i="11" s="1"/>
  <c r="C1002" i="11"/>
  <c r="C965" i="11"/>
  <c r="D965" i="11" s="1"/>
  <c r="C1126" i="11"/>
  <c r="C1041" i="11"/>
  <c r="D1041" i="11" s="1"/>
  <c r="C1052" i="11"/>
  <c r="D1052" i="11" s="1"/>
  <c r="C1058" i="11"/>
  <c r="D1058" i="11" s="1"/>
  <c r="C1239" i="11"/>
  <c r="D1239" i="11" s="1"/>
  <c r="B1239" i="11" s="1"/>
  <c r="D1264" i="11"/>
  <c r="D1270" i="11"/>
  <c r="D1755" i="11"/>
  <c r="D1322" i="11"/>
  <c r="C1111" i="11"/>
  <c r="C1233" i="11"/>
  <c r="D1233" i="11" s="1"/>
  <c r="B1233" i="11" s="1"/>
  <c r="D1747" i="11"/>
  <c r="C2664" i="11"/>
  <c r="C303" i="11"/>
  <c r="C283" i="10"/>
  <c r="C2588" i="11"/>
  <c r="D295" i="11"/>
  <c r="D388" i="11"/>
  <c r="C277" i="10"/>
  <c r="C229" i="10"/>
  <c r="C218" i="10"/>
  <c r="C1229" i="11"/>
  <c r="C1072" i="11"/>
  <c r="C1227" i="11"/>
  <c r="C1070" i="11"/>
  <c r="C1212" i="11"/>
  <c r="D1212" i="11" s="1"/>
  <c r="B1212" i="11" s="1"/>
  <c r="C1225" i="11"/>
  <c r="C1068" i="11"/>
  <c r="C1066" i="11"/>
  <c r="C1223" i="11"/>
  <c r="C1221" i="11"/>
  <c r="C1064" i="11"/>
  <c r="C1219" i="11"/>
  <c r="C1062" i="11"/>
  <c r="C1033" i="11"/>
  <c r="D1033" i="11" s="1"/>
  <c r="C1190" i="11"/>
  <c r="C1188" i="11"/>
  <c r="C1031" i="11"/>
  <c r="D1031" i="11" s="1"/>
  <c r="C1029" i="11"/>
  <c r="D1029" i="11" s="1"/>
  <c r="C1186" i="11"/>
  <c r="C1184" i="11"/>
  <c r="C1027" i="11"/>
  <c r="C1025" i="11"/>
  <c r="D1025" i="11" s="1"/>
  <c r="C1182" i="11"/>
  <c r="C1180" i="11"/>
  <c r="C1023" i="11"/>
  <c r="C227" i="10"/>
  <c r="D2672" i="11"/>
  <c r="C1230" i="11"/>
  <c r="C1073" i="11"/>
  <c r="C1071" i="11"/>
  <c r="C1228" i="11"/>
  <c r="C1226" i="11"/>
  <c r="C1069" i="11"/>
  <c r="C1067" i="11"/>
  <c r="C1224" i="11"/>
  <c r="C1222" i="11"/>
  <c r="C1065" i="11"/>
  <c r="C1207" i="11"/>
  <c r="D1207" i="11" s="1"/>
  <c r="B1207" i="11" s="1"/>
  <c r="C1063" i="11"/>
  <c r="C1220" i="11"/>
  <c r="C1191" i="11"/>
  <c r="C1034" i="11"/>
  <c r="C1189" i="11"/>
  <c r="C1032" i="11"/>
  <c r="D1032" i="11" s="1"/>
  <c r="C1187" i="11"/>
  <c r="C1030" i="11"/>
  <c r="C1028" i="11"/>
  <c r="C1185" i="11"/>
  <c r="C1183" i="11"/>
  <c r="C1026" i="11"/>
  <c r="D1026" i="11" s="1"/>
  <c r="C1024" i="11"/>
  <c r="C1181" i="11"/>
  <c r="D2069" i="11"/>
  <c r="C2034" i="11"/>
  <c r="D2056" i="11"/>
  <c r="D1607" i="11"/>
  <c r="D1314" i="11"/>
  <c r="D1334" i="11"/>
  <c r="D1643" i="11"/>
  <c r="D1751" i="11"/>
  <c r="C2028" i="11"/>
  <c r="D2000" i="11"/>
  <c r="C1988" i="11"/>
  <c r="C1948" i="11"/>
  <c r="C1944" i="11"/>
  <c r="C1940" i="11"/>
  <c r="D2065" i="11"/>
  <c r="C2038" i="11"/>
  <c r="C2030" i="11"/>
  <c r="D1978" i="11"/>
  <c r="C1946" i="11"/>
  <c r="C1942" i="11"/>
  <c r="D1551" i="11"/>
  <c r="D1318" i="11"/>
  <c r="D1647" i="11"/>
  <c r="D2078" i="11"/>
  <c r="D2039" i="11"/>
  <c r="D1991" i="11"/>
  <c r="D1987" i="11"/>
  <c r="C1938" i="11"/>
  <c r="B828" i="11"/>
  <c r="D1764" i="11"/>
  <c r="D1639" i="11"/>
  <c r="D1695" i="11"/>
  <c r="D1790" i="11"/>
  <c r="D1672" i="11"/>
  <c r="D1700" i="11"/>
  <c r="D1652" i="11"/>
  <c r="D1728" i="11"/>
  <c r="D1440" i="11"/>
  <c r="D1436" i="11"/>
  <c r="D1432" i="11"/>
  <c r="D1428" i="11"/>
  <c r="D1424" i="11"/>
  <c r="D1420" i="11"/>
  <c r="D1416" i="11"/>
  <c r="D1401" i="11"/>
  <c r="D1397" i="11"/>
  <c r="D1393" i="11"/>
  <c r="D1349" i="11"/>
  <c r="D1345" i="11"/>
  <c r="D1341" i="11"/>
  <c r="D1337" i="11"/>
  <c r="D1317" i="11"/>
  <c r="D1439" i="11"/>
  <c r="D1435" i="11"/>
  <c r="D1431" i="11"/>
  <c r="D1427" i="11"/>
  <c r="D1423" i="11"/>
  <c r="D1419" i="11"/>
  <c r="D1400" i="11"/>
  <c r="D1396" i="11"/>
  <c r="D1392" i="11"/>
  <c r="D1348" i="11"/>
  <c r="D1344" i="11"/>
  <c r="D1340" i="11"/>
  <c r="D1438" i="11"/>
  <c r="D1434" i="11"/>
  <c r="D1430" i="11"/>
  <c r="D1426" i="11"/>
  <c r="D1422" i="11"/>
  <c r="D1418" i="11"/>
  <c r="D1395" i="11"/>
  <c r="D1347" i="11"/>
  <c r="D1343" i="11"/>
  <c r="D1339" i="11"/>
  <c r="D1437" i="11"/>
  <c r="D1433" i="11"/>
  <c r="D1429" i="11"/>
  <c r="D1425" i="11"/>
  <c r="D1421" i="11"/>
  <c r="D1417" i="11"/>
  <c r="D1398" i="11"/>
  <c r="D1390" i="11"/>
  <c r="D1346" i="11"/>
  <c r="D1342" i="11"/>
  <c r="D1338" i="11"/>
  <c r="D1361" i="11"/>
  <c r="D1357" i="11"/>
  <c r="D1353" i="11"/>
  <c r="D1356" i="11"/>
  <c r="D1352" i="11"/>
  <c r="D1359" i="11"/>
  <c r="D1355" i="11"/>
  <c r="D1351" i="11"/>
  <c r="D1362" i="11"/>
  <c r="D1358" i="11"/>
  <c r="D1354" i="11"/>
  <c r="D1336" i="11"/>
  <c r="D1332" i="11"/>
  <c r="D1328" i="11"/>
  <c r="D1324" i="11"/>
  <c r="D1330" i="11"/>
  <c r="D1321" i="11"/>
  <c r="D1313" i="11"/>
  <c r="D1320" i="11"/>
  <c r="D1316" i="11"/>
  <c r="D1312" i="11"/>
  <c r="D1323" i="11"/>
  <c r="D1319" i="11"/>
  <c r="D1315" i="11"/>
  <c r="D1311" i="11"/>
  <c r="D262" i="11"/>
  <c r="D287" i="11"/>
  <c r="C287" i="11"/>
  <c r="C262" i="11"/>
  <c r="D280" i="11"/>
  <c r="C255" i="11"/>
  <c r="D255" i="11"/>
  <c r="C280" i="11"/>
  <c r="C2642" i="11"/>
  <c r="D276" i="11"/>
  <c r="C276" i="11"/>
  <c r="C251" i="11"/>
  <c r="D251" i="11"/>
  <c r="D2606" i="11"/>
  <c r="D268" i="11"/>
  <c r="C268" i="11"/>
  <c r="D243" i="11"/>
  <c r="C243" i="11"/>
  <c r="D2720" i="11"/>
  <c r="C351" i="11"/>
  <c r="C1254" i="11"/>
  <c r="D1254" i="11" s="1"/>
  <c r="B1254" i="11" s="1"/>
  <c r="C1124" i="11"/>
  <c r="D1124" i="11" s="1"/>
  <c r="C1107" i="11"/>
  <c r="D1107" i="11" s="1"/>
  <c r="C310" i="11"/>
  <c r="C260" i="11"/>
  <c r="C285" i="11"/>
  <c r="D260" i="11"/>
  <c r="D285" i="11"/>
  <c r="C2694" i="11"/>
  <c r="C349" i="11"/>
  <c r="C274" i="11"/>
  <c r="D249" i="11"/>
  <c r="D274" i="11"/>
  <c r="C249" i="11"/>
  <c r="C324" i="11"/>
  <c r="C270" i="11"/>
  <c r="D245" i="11"/>
  <c r="D270" i="11"/>
  <c r="C245" i="11"/>
  <c r="D264" i="11"/>
  <c r="D239" i="11"/>
  <c r="C264" i="11"/>
  <c r="C239" i="11"/>
  <c r="D339" i="11"/>
  <c r="D1556" i="11"/>
  <c r="D258" i="11"/>
  <c r="D283" i="11"/>
  <c r="C258" i="11"/>
  <c r="C283" i="11"/>
  <c r="C2712" i="11"/>
  <c r="C278" i="11"/>
  <c r="D253" i="11"/>
  <c r="C253" i="11"/>
  <c r="D278" i="11"/>
  <c r="D378" i="11"/>
  <c r="D272" i="11"/>
  <c r="C247" i="11"/>
  <c r="D247" i="11"/>
  <c r="C272" i="11"/>
  <c r="C266" i="11"/>
  <c r="D241" i="11"/>
  <c r="D266" i="11"/>
  <c r="C241" i="11"/>
  <c r="D2632" i="11"/>
  <c r="C2606" i="11"/>
  <c r="C380" i="11"/>
  <c r="C2696" i="11"/>
  <c r="D2698" i="11"/>
  <c r="D1792" i="11"/>
  <c r="C998" i="11"/>
  <c r="C1000" i="11"/>
  <c r="C1109" i="11"/>
  <c r="C954" i="11"/>
  <c r="C969" i="11"/>
  <c r="D969" i="11" s="1"/>
  <c r="C1165" i="11"/>
  <c r="D1165" i="11" s="1"/>
  <c r="C1047" i="11"/>
  <c r="C1209" i="11"/>
  <c r="D1209" i="11" s="1"/>
  <c r="B1209" i="11" s="1"/>
  <c r="C1213" i="11"/>
  <c r="D1213" i="11" s="1"/>
  <c r="B1213" i="11" s="1"/>
  <c r="C1235" i="11"/>
  <c r="D1235" i="11" s="1"/>
  <c r="B1235" i="11" s="1"/>
  <c r="C1243" i="11"/>
  <c r="D1243" i="11" s="1"/>
  <c r="B1243" i="11" s="1"/>
  <c r="D1260" i="11"/>
  <c r="D337" i="11"/>
  <c r="C400" i="11"/>
  <c r="C1159" i="11"/>
  <c r="C1198" i="11"/>
  <c r="D1198" i="11" s="1"/>
  <c r="B1198" i="11" s="1"/>
  <c r="C402" i="11"/>
  <c r="D289" i="11"/>
  <c r="C286" i="11"/>
  <c r="D261" i="11"/>
  <c r="D286" i="11"/>
  <c r="C261" i="11"/>
  <c r="D284" i="11"/>
  <c r="C259" i="11"/>
  <c r="C284" i="11"/>
  <c r="D259" i="11"/>
  <c r="C282" i="11"/>
  <c r="D257" i="11"/>
  <c r="D282" i="11"/>
  <c r="C257" i="11"/>
  <c r="C329" i="11"/>
  <c r="D254" i="11"/>
  <c r="D279" i="11"/>
  <c r="C279" i="11"/>
  <c r="C254" i="11"/>
  <c r="C252" i="11"/>
  <c r="D252" i="11"/>
  <c r="D277" i="11"/>
  <c r="C277" i="11"/>
  <c r="D325" i="11"/>
  <c r="D250" i="11"/>
  <c r="D275" i="11"/>
  <c r="C275" i="11"/>
  <c r="C250" i="11"/>
  <c r="C248" i="11"/>
  <c r="D248" i="11"/>
  <c r="D273" i="11"/>
  <c r="C273" i="11"/>
  <c r="D246" i="11"/>
  <c r="D271" i="11"/>
  <c r="C271" i="11"/>
  <c r="C246" i="11"/>
  <c r="C244" i="11"/>
  <c r="C269" i="11"/>
  <c r="D244" i="11"/>
  <c r="D269" i="11"/>
  <c r="D242" i="11"/>
  <c r="D267" i="11"/>
  <c r="C242" i="11"/>
  <c r="C267" i="11"/>
  <c r="D315" i="11"/>
  <c r="C240" i="11"/>
  <c r="D240" i="11"/>
  <c r="C265" i="11"/>
  <c r="D265" i="11"/>
  <c r="D2649" i="11"/>
  <c r="D238" i="11"/>
  <c r="D263" i="11"/>
  <c r="C263" i="11"/>
  <c r="C238" i="11"/>
  <c r="C38" i="58" s="1"/>
  <c r="D1608" i="11"/>
  <c r="D1656" i="11"/>
  <c r="D1760" i="11"/>
  <c r="D1736" i="11"/>
  <c r="D1780" i="11"/>
  <c r="D1740" i="11"/>
  <c r="D1408" i="11"/>
  <c r="D1404" i="11"/>
  <c r="D1399" i="11"/>
  <c r="D1391" i="11"/>
  <c r="D1612" i="11"/>
  <c r="D1692" i="11"/>
  <c r="D257" i="10"/>
  <c r="D1414" i="11"/>
  <c r="D1410" i="11"/>
  <c r="D1406" i="11"/>
  <c r="D1394" i="11"/>
  <c r="D1412" i="11"/>
  <c r="D346" i="11"/>
  <c r="D1788" i="11"/>
  <c r="C367" i="11"/>
  <c r="D1756" i="11"/>
  <c r="D1280" i="11"/>
  <c r="D1616" i="11"/>
  <c r="D1668" i="11"/>
  <c r="D1748" i="11"/>
  <c r="D283" i="10"/>
  <c r="D270" i="10"/>
  <c r="D231" i="10"/>
  <c r="D218" i="10"/>
  <c r="D1405" i="11"/>
  <c r="D1694" i="11"/>
  <c r="D1784" i="11"/>
  <c r="D937" i="11"/>
  <c r="D1732" i="11"/>
  <c r="D1620" i="11"/>
  <c r="D1664" i="11"/>
  <c r="D1691" i="11"/>
  <c r="D1696" i="11"/>
  <c r="D1744" i="11"/>
  <c r="D1752" i="11"/>
  <c r="C256" i="10"/>
  <c r="C230" i="10"/>
  <c r="C1083" i="11"/>
  <c r="D1083" i="11" s="1"/>
  <c r="C1240" i="11"/>
  <c r="D1240" i="11" s="1"/>
  <c r="B1240" i="11" s="1"/>
  <c r="C1077" i="11"/>
  <c r="D1077" i="11" s="1"/>
  <c r="C1234" i="11"/>
  <c r="D1234" i="11" s="1"/>
  <c r="B1234" i="11" s="1"/>
  <c r="C1055" i="11"/>
  <c r="D1055" i="11" s="1"/>
  <c r="C1046" i="11"/>
  <c r="D1046" i="11" s="1"/>
  <c r="C1203" i="11"/>
  <c r="D1203" i="11" s="1"/>
  <c r="B1203" i="11" s="1"/>
  <c r="C1038" i="11"/>
  <c r="D1038" i="11" s="1"/>
  <c r="C1195" i="11"/>
  <c r="C1005" i="11"/>
  <c r="C953" i="11"/>
  <c r="D953" i="11" s="1"/>
  <c r="C966" i="11"/>
  <c r="D966" i="11" s="1"/>
  <c r="D1733" i="11"/>
  <c r="C232" i="10"/>
  <c r="C215" i="10"/>
  <c r="C228" i="10"/>
  <c r="C267" i="10"/>
  <c r="C237" i="10"/>
  <c r="C224" i="10"/>
  <c r="C1096" i="11"/>
  <c r="D1096" i="11" s="1"/>
  <c r="C1242" i="11"/>
  <c r="D1242" i="11" s="1"/>
  <c r="B1242" i="11" s="1"/>
  <c r="C1079" i="11"/>
  <c r="D1079" i="11" s="1"/>
  <c r="C1059" i="11"/>
  <c r="C1216" i="11"/>
  <c r="C1051" i="11"/>
  <c r="D1051" i="11" s="1"/>
  <c r="C1208" i="11"/>
  <c r="C1049" i="11"/>
  <c r="C1206" i="11"/>
  <c r="C1199" i="11"/>
  <c r="C1042" i="11"/>
  <c r="D1042" i="11" s="1"/>
  <c r="C968" i="11"/>
  <c r="C955" i="11"/>
  <c r="D955" i="11" s="1"/>
  <c r="C1164" i="11"/>
  <c r="C1007" i="11"/>
  <c r="C1125" i="11"/>
  <c r="C951" i="11"/>
  <c r="D951" i="11" s="1"/>
  <c r="C1121" i="11"/>
  <c r="C964" i="11"/>
  <c r="D964" i="11" s="1"/>
  <c r="C1003" i="11"/>
  <c r="C1160" i="11"/>
  <c r="C1106" i="11"/>
  <c r="D1106" i="11" s="1"/>
  <c r="C949" i="11"/>
  <c r="C1001" i="11"/>
  <c r="C962" i="11"/>
  <c r="D962" i="11" s="1"/>
  <c r="D1789" i="11"/>
  <c r="D1657" i="11"/>
  <c r="D1649" i="11"/>
  <c r="C221" i="10"/>
  <c r="C213" i="10"/>
  <c r="C226" i="10"/>
  <c r="C265" i="10"/>
  <c r="C1098" i="11"/>
  <c r="D1098" i="11" s="1"/>
  <c r="C1255" i="11"/>
  <c r="D1255" i="11" s="1"/>
  <c r="B1255" i="11" s="1"/>
  <c r="C1094" i="11"/>
  <c r="D1094" i="11" s="1"/>
  <c r="C1247" i="11"/>
  <c r="D1247" i="11" s="1"/>
  <c r="B1247" i="11" s="1"/>
  <c r="C1081" i="11"/>
  <c r="D1081" i="11" s="1"/>
  <c r="C1238" i="11"/>
  <c r="D1238" i="11" s="1"/>
  <c r="B1238" i="11" s="1"/>
  <c r="C1232" i="11"/>
  <c r="D1232" i="11" s="1"/>
  <c r="B1232" i="11" s="1"/>
  <c r="C1075" i="11"/>
  <c r="D1075" i="11" s="1"/>
  <c r="C1053" i="11"/>
  <c r="D1053" i="11" s="1"/>
  <c r="C1044" i="11"/>
  <c r="C1036" i="11"/>
  <c r="D1036" i="11" s="1"/>
  <c r="C960" i="11"/>
  <c r="C999" i="11"/>
  <c r="C947" i="11"/>
  <c r="D947" i="11" s="1"/>
  <c r="C1156" i="11"/>
  <c r="C1117" i="11"/>
  <c r="D1117" i="11" s="1"/>
  <c r="C1104" i="11"/>
  <c r="C1214" i="11"/>
  <c r="D2592" i="11"/>
  <c r="C2646" i="11"/>
  <c r="C1270" i="11"/>
  <c r="C2616" i="11"/>
  <c r="D1039" i="11"/>
  <c r="C2672" i="11"/>
  <c r="C410" i="11"/>
  <c r="C312" i="11"/>
  <c r="C2720" i="11"/>
  <c r="C2600" i="11"/>
  <c r="D386" i="11"/>
  <c r="D2648" i="11"/>
  <c r="D2600" i="11"/>
  <c r="C2624" i="11"/>
  <c r="C362" i="11"/>
  <c r="C1283" i="11"/>
  <c r="D312" i="11"/>
  <c r="D362" i="11"/>
  <c r="D2696" i="11"/>
  <c r="D410" i="11"/>
  <c r="C2648" i="11"/>
  <c r="C386" i="11"/>
  <c r="C337" i="11"/>
  <c r="D2624" i="11"/>
  <c r="D2622" i="11"/>
  <c r="D310" i="11"/>
  <c r="C1281" i="11"/>
  <c r="C360" i="11"/>
  <c r="C2622" i="11"/>
  <c r="C2718" i="11"/>
  <c r="C408" i="11"/>
  <c r="D2670" i="11"/>
  <c r="D408" i="11"/>
  <c r="D360" i="11"/>
  <c r="C335" i="11"/>
  <c r="C2670" i="11"/>
  <c r="C384" i="11"/>
  <c r="C2598" i="11"/>
  <c r="D382" i="11"/>
  <c r="C406" i="11"/>
  <c r="C1279" i="11"/>
  <c r="D2644" i="11"/>
  <c r="C308" i="11"/>
  <c r="C2716" i="11"/>
  <c r="C2668" i="11"/>
  <c r="C2620" i="11"/>
  <c r="C358" i="11"/>
  <c r="D2714" i="11"/>
  <c r="D404" i="11"/>
  <c r="C2714" i="11"/>
  <c r="C2690" i="11"/>
  <c r="C2618" i="11"/>
  <c r="C2594" i="11"/>
  <c r="C355" i="11"/>
  <c r="C330" i="11"/>
  <c r="C1276" i="11"/>
  <c r="D2666" i="11"/>
  <c r="D355" i="11"/>
  <c r="C2666" i="11"/>
  <c r="D2618" i="11"/>
  <c r="D305" i="11"/>
  <c r="C404" i="11"/>
  <c r="C305" i="11"/>
  <c r="C353" i="11"/>
  <c r="D353" i="11"/>
  <c r="D2616" i="11"/>
  <c r="D2712" i="11"/>
  <c r="D303" i="11"/>
  <c r="D2640" i="11"/>
  <c r="D2688" i="11"/>
  <c r="D402" i="11"/>
  <c r="D2664" i="11"/>
  <c r="C1274" i="11"/>
  <c r="D328" i="11"/>
  <c r="D2590" i="11"/>
  <c r="C326" i="11"/>
  <c r="C2590" i="11"/>
  <c r="C2686" i="11"/>
  <c r="D2686" i="11"/>
  <c r="D326" i="11"/>
  <c r="C2614" i="11"/>
  <c r="C2662" i="11"/>
  <c r="C376" i="11"/>
  <c r="C2710" i="11"/>
  <c r="C1272" i="11"/>
  <c r="C301" i="11"/>
  <c r="C2638" i="11"/>
  <c r="D349" i="11"/>
  <c r="C2660" i="11"/>
  <c r="C398" i="11"/>
  <c r="C299" i="11"/>
  <c r="C2684" i="11"/>
  <c r="C2612" i="11"/>
  <c r="C374" i="11"/>
  <c r="C2708" i="11"/>
  <c r="C2636" i="11"/>
  <c r="D2660" i="11"/>
  <c r="D2612" i="11"/>
  <c r="D398" i="11"/>
  <c r="D299" i="11"/>
  <c r="D2634" i="11"/>
  <c r="C2706" i="11"/>
  <c r="C297" i="11"/>
  <c r="D372" i="11"/>
  <c r="C2658" i="11"/>
  <c r="C2610" i="11"/>
  <c r="C396" i="11"/>
  <c r="C347" i="11"/>
  <c r="C1268" i="11"/>
  <c r="C2704" i="11"/>
  <c r="C2632" i="11"/>
  <c r="C2608" i="11"/>
  <c r="C370" i="11"/>
  <c r="C345" i="11"/>
  <c r="C1266" i="11"/>
  <c r="C394" i="11"/>
  <c r="D320" i="11"/>
  <c r="D2584" i="11"/>
  <c r="D2680" i="11"/>
  <c r="C2680" i="11"/>
  <c r="C2584" i="11"/>
  <c r="C320" i="11"/>
  <c r="C295" i="11"/>
  <c r="D345" i="11"/>
  <c r="D394" i="11"/>
  <c r="C2656" i="11"/>
  <c r="D2608" i="11"/>
  <c r="D2656" i="11"/>
  <c r="D2704" i="11"/>
  <c r="D370" i="11"/>
  <c r="D2654" i="11"/>
  <c r="D293" i="11"/>
  <c r="D2702" i="11"/>
  <c r="D392" i="11"/>
  <c r="C293" i="11"/>
  <c r="C392" i="11"/>
  <c r="C2654" i="11"/>
  <c r="C318" i="11"/>
  <c r="C368" i="11"/>
  <c r="C2702" i="11"/>
  <c r="C1264" i="11"/>
  <c r="C2582" i="11"/>
  <c r="C2630" i="11"/>
  <c r="C343" i="11"/>
  <c r="C2678" i="11"/>
  <c r="D343" i="11"/>
  <c r="D2676" i="11"/>
  <c r="D316" i="11"/>
  <c r="C2652" i="11"/>
  <c r="C1262" i="11"/>
  <c r="D2580" i="11"/>
  <c r="C2700" i="11"/>
  <c r="C2604" i="11"/>
  <c r="C390" i="11"/>
  <c r="C341" i="11"/>
  <c r="C291" i="11"/>
  <c r="D2602" i="11"/>
  <c r="C2650" i="11"/>
  <c r="C388" i="11"/>
  <c r="C289" i="11"/>
  <c r="C2626" i="11"/>
  <c r="C339" i="11"/>
  <c r="C314" i="11"/>
  <c r="C364" i="11"/>
  <c r="C2674" i="11"/>
  <c r="C2578" i="11"/>
  <c r="C1260" i="11"/>
  <c r="C2698" i="11"/>
  <c r="C2602" i="11"/>
  <c r="D1271" i="11"/>
  <c r="D1269" i="11"/>
  <c r="D1265" i="11"/>
  <c r="D246" i="10"/>
  <c r="D220" i="10"/>
  <c r="D285" i="10"/>
  <c r="D272" i="10"/>
  <c r="D242" i="10"/>
  <c r="D281" i="10"/>
  <c r="D255" i="10"/>
  <c r="D214" i="10"/>
  <c r="D240" i="10"/>
  <c r="D253" i="10"/>
  <c r="D279" i="10"/>
  <c r="D238" i="10"/>
  <c r="D225" i="10"/>
  <c r="D264" i="10"/>
  <c r="D277" i="10"/>
  <c r="D268" i="10"/>
  <c r="D259" i="10"/>
  <c r="D1753" i="11"/>
  <c r="D1741" i="11"/>
  <c r="D1729" i="11"/>
  <c r="D1709" i="11"/>
  <c r="D1637" i="11"/>
  <c r="D1601" i="11"/>
  <c r="D1593" i="11"/>
  <c r="D1781" i="11"/>
  <c r="D1749" i="11"/>
  <c r="D1745" i="11"/>
  <c r="D1737" i="11"/>
  <c r="D1713" i="11"/>
  <c r="D1661" i="11"/>
  <c r="D1645" i="11"/>
  <c r="D1641" i="11"/>
  <c r="D1609" i="11"/>
  <c r="D1605" i="11"/>
  <c r="D1589" i="11"/>
  <c r="D1585" i="11"/>
  <c r="D1360" i="11"/>
  <c r="D1785" i="11"/>
  <c r="D1706" i="11"/>
  <c r="D1734" i="11"/>
  <c r="D1597" i="11"/>
  <c r="D1786" i="11"/>
  <c r="D1782" i="11"/>
  <c r="D1778" i="11"/>
  <c r="D1774" i="11"/>
  <c r="D1770" i="11"/>
  <c r="D1738" i="11"/>
  <c r="D1730" i="11"/>
  <c r="D1710" i="11"/>
  <c r="D1698" i="11"/>
  <c r="D1658" i="11"/>
  <c r="D1654" i="11"/>
  <c r="D1622" i="11"/>
  <c r="D1618" i="11"/>
  <c r="D1614" i="11"/>
  <c r="D1570" i="11"/>
  <c r="D1566" i="11"/>
  <c r="D1562" i="11"/>
  <c r="D1558" i="11"/>
  <c r="D1554" i="11"/>
  <c r="D1550" i="11"/>
  <c r="D1546" i="11"/>
  <c r="D1389" i="11"/>
  <c r="D1305" i="11"/>
  <c r="D1301" i="11"/>
  <c r="D1293" i="11"/>
  <c r="D1285" i="11"/>
  <c r="D928" i="11"/>
  <c r="D1776" i="11"/>
  <c r="D1761" i="11"/>
  <c r="D1746" i="11"/>
  <c r="D1704" i="11"/>
  <c r="D1674" i="11"/>
  <c r="D1655" i="11"/>
  <c r="D1598" i="11"/>
  <c r="D1587" i="11"/>
  <c r="D1553" i="11"/>
  <c r="D1303" i="11"/>
  <c r="D1288" i="11"/>
  <c r="C387" i="11"/>
  <c r="D2693" i="11"/>
  <c r="D817" i="11"/>
  <c r="D797" i="11"/>
  <c r="D2719" i="11"/>
  <c r="D2623" i="11"/>
  <c r="D361" i="11"/>
  <c r="C2719" i="11"/>
  <c r="C2623" i="11"/>
  <c r="C361" i="11"/>
  <c r="C1282" i="11"/>
  <c r="D2671" i="11"/>
  <c r="D409" i="11"/>
  <c r="D311" i="11"/>
  <c r="C2671" i="11"/>
  <c r="C409" i="11"/>
  <c r="C311" i="11"/>
  <c r="D2647" i="11"/>
  <c r="D385" i="11"/>
  <c r="C2647" i="11"/>
  <c r="C385" i="11"/>
  <c r="D336" i="11"/>
  <c r="D2599" i="11"/>
  <c r="C336" i="11"/>
  <c r="C2695" i="11"/>
  <c r="C2599" i="11"/>
  <c r="D2715" i="11"/>
  <c r="D2619" i="11"/>
  <c r="D357" i="11"/>
  <c r="C2715" i="11"/>
  <c r="C2619" i="11"/>
  <c r="C357" i="11"/>
  <c r="C1278" i="11"/>
  <c r="D2667" i="11"/>
  <c r="D405" i="11"/>
  <c r="D307" i="11"/>
  <c r="C2667" i="11"/>
  <c r="C405" i="11"/>
  <c r="C307" i="11"/>
  <c r="D2643" i="11"/>
  <c r="D332" i="11"/>
  <c r="C2595" i="11"/>
  <c r="D381" i="11"/>
  <c r="C2643" i="11"/>
  <c r="C2691" i="11"/>
  <c r="D2595" i="11"/>
  <c r="C332" i="11"/>
  <c r="D2691" i="11"/>
  <c r="D2709" i="11"/>
  <c r="D2613" i="11"/>
  <c r="D350" i="11"/>
  <c r="C2709" i="11"/>
  <c r="C2613" i="11"/>
  <c r="C350" i="11"/>
  <c r="C1271" i="11"/>
  <c r="D2661" i="11"/>
  <c r="D399" i="11"/>
  <c r="D300" i="11"/>
  <c r="C2661" i="11"/>
  <c r="C399" i="11"/>
  <c r="C300" i="11"/>
  <c r="D2637" i="11"/>
  <c r="D375" i="11"/>
  <c r="C2637" i="11"/>
  <c r="C375" i="11"/>
  <c r="D2589" i="11"/>
  <c r="C325" i="11"/>
  <c r="C2685" i="11"/>
  <c r="D2685" i="11"/>
  <c r="C2589" i="11"/>
  <c r="D2633" i="11"/>
  <c r="D371" i="11"/>
  <c r="C2633" i="11"/>
  <c r="C371" i="11"/>
  <c r="D2681" i="11"/>
  <c r="D2585" i="11"/>
  <c r="D321" i="11"/>
  <c r="C2681" i="11"/>
  <c r="C2585" i="11"/>
  <c r="C321" i="11"/>
  <c r="D2657" i="11"/>
  <c r="D395" i="11"/>
  <c r="D296" i="11"/>
  <c r="C2657" i="11"/>
  <c r="C395" i="11"/>
  <c r="C296" i="11"/>
  <c r="D2609" i="11"/>
  <c r="C346" i="11"/>
  <c r="C2705" i="11"/>
  <c r="D2705" i="11"/>
  <c r="C2609" i="11"/>
  <c r="D2627" i="11"/>
  <c r="D365" i="11"/>
  <c r="C2627" i="11"/>
  <c r="C365" i="11"/>
  <c r="D2651" i="11"/>
  <c r="D340" i="11"/>
  <c r="C2675" i="11"/>
  <c r="C389" i="11"/>
  <c r="C1261" i="11"/>
  <c r="D2699" i="11"/>
  <c r="D2579" i="11"/>
  <c r="D290" i="11"/>
  <c r="C2603" i="11"/>
  <c r="C315" i="11"/>
  <c r="D2675" i="11"/>
  <c r="D389" i="11"/>
  <c r="C2699" i="11"/>
  <c r="C2579" i="11"/>
  <c r="C290" i="11"/>
  <c r="D2603" i="11"/>
  <c r="C2651" i="11"/>
  <c r="C340" i="11"/>
  <c r="D1787" i="11"/>
  <c r="D1765" i="11"/>
  <c r="D1742" i="11"/>
  <c r="D1708" i="11"/>
  <c r="D1693" i="11"/>
  <c r="D1659" i="11"/>
  <c r="D1610" i="11"/>
  <c r="D1595" i="11"/>
  <c r="D1568" i="11"/>
  <c r="D1557" i="11"/>
  <c r="D1292" i="11"/>
  <c r="C1267" i="11"/>
  <c r="D2695" i="11"/>
  <c r="B801" i="11"/>
  <c r="D307" i="10"/>
  <c r="B821" i="11"/>
  <c r="D2717" i="11"/>
  <c r="D2621" i="11"/>
  <c r="D359" i="11"/>
  <c r="C2717" i="11"/>
  <c r="C2621" i="11"/>
  <c r="C359" i="11"/>
  <c r="C1280" i="11"/>
  <c r="D2669" i="11"/>
  <c r="D407" i="11"/>
  <c r="D309" i="11"/>
  <c r="C2669" i="11"/>
  <c r="C407" i="11"/>
  <c r="C309" i="11"/>
  <c r="D2645" i="11"/>
  <c r="D383" i="11"/>
  <c r="C2645" i="11"/>
  <c r="C383" i="11"/>
  <c r="C2693" i="11"/>
  <c r="D2597" i="11"/>
  <c r="C334" i="11"/>
  <c r="D334" i="11"/>
  <c r="D2713" i="11"/>
  <c r="D2617" i="11"/>
  <c r="D354" i="11"/>
  <c r="C2713" i="11"/>
  <c r="C2617" i="11"/>
  <c r="C354" i="11"/>
  <c r="C1275" i="11"/>
  <c r="D2665" i="11"/>
  <c r="D403" i="11"/>
  <c r="D304" i="11"/>
  <c r="C2665" i="11"/>
  <c r="C403" i="11"/>
  <c r="C304" i="11"/>
  <c r="D2641" i="11"/>
  <c r="D379" i="11"/>
  <c r="C2641" i="11"/>
  <c r="C379" i="11"/>
  <c r="D2689" i="11"/>
  <c r="C2593" i="11"/>
  <c r="D329" i="11"/>
  <c r="C2689" i="11"/>
  <c r="D2663" i="11"/>
  <c r="D401" i="11"/>
  <c r="D302" i="11"/>
  <c r="C2663" i="11"/>
  <c r="C401" i="11"/>
  <c r="C302" i="11"/>
  <c r="D2687" i="11"/>
  <c r="D377" i="11"/>
  <c r="C2711" i="11"/>
  <c r="C2591" i="11"/>
  <c r="D2711" i="11"/>
  <c r="D2591" i="11"/>
  <c r="C2615" i="11"/>
  <c r="C327" i="11"/>
  <c r="D352" i="11"/>
  <c r="C377" i="11"/>
  <c r="D2639" i="11"/>
  <c r="C2687" i="11"/>
  <c r="C1273" i="11"/>
  <c r="D2615" i="11"/>
  <c r="C2639" i="11"/>
  <c r="C352" i="11"/>
  <c r="D327" i="11"/>
  <c r="D2683" i="11"/>
  <c r="D2587" i="11"/>
  <c r="D323" i="11"/>
  <c r="C2683" i="11"/>
  <c r="C2587" i="11"/>
  <c r="C323" i="11"/>
  <c r="D2659" i="11"/>
  <c r="D373" i="11"/>
  <c r="C2707" i="11"/>
  <c r="C397" i="11"/>
  <c r="D2707" i="11"/>
  <c r="D397" i="11"/>
  <c r="C2611" i="11"/>
  <c r="C298" i="11"/>
  <c r="D348" i="11"/>
  <c r="C373" i="11"/>
  <c r="D2635" i="11"/>
  <c r="C2659" i="11"/>
  <c r="C1269" i="11"/>
  <c r="D2611" i="11"/>
  <c r="C2635" i="11"/>
  <c r="C348" i="11"/>
  <c r="D298" i="11"/>
  <c r="D2631" i="11"/>
  <c r="D369" i="11"/>
  <c r="C2631" i="11"/>
  <c r="C369" i="11"/>
  <c r="D2703" i="11"/>
  <c r="D2583" i="11"/>
  <c r="D294" i="11"/>
  <c r="C2607" i="11"/>
  <c r="C319" i="11"/>
  <c r="D2655" i="11"/>
  <c r="D344" i="11"/>
  <c r="C2679" i="11"/>
  <c r="C393" i="11"/>
  <c r="C1265" i="11"/>
  <c r="D2607" i="11"/>
  <c r="D319" i="11"/>
  <c r="C2655" i="11"/>
  <c r="C344" i="11"/>
  <c r="D393" i="11"/>
  <c r="C2583" i="11"/>
  <c r="D2679" i="11"/>
  <c r="C294" i="11"/>
  <c r="D2653" i="11"/>
  <c r="D391" i="11"/>
  <c r="D292" i="11"/>
  <c r="C2653" i="11"/>
  <c r="C391" i="11"/>
  <c r="C292" i="11"/>
  <c r="D2701" i="11"/>
  <c r="D2605" i="11"/>
  <c r="D342" i="11"/>
  <c r="C2701" i="11"/>
  <c r="C2605" i="11"/>
  <c r="C342" i="11"/>
  <c r="C1263" i="11"/>
  <c r="D2677" i="11"/>
  <c r="D2581" i="11"/>
  <c r="D317" i="11"/>
  <c r="C2677" i="11"/>
  <c r="C2581" i="11"/>
  <c r="C317" i="11"/>
  <c r="C2629" i="11"/>
  <c r="D367" i="11"/>
  <c r="D2673" i="11"/>
  <c r="D2577" i="11"/>
  <c r="D313" i="11"/>
  <c r="C2673" i="11"/>
  <c r="C2577" i="11"/>
  <c r="C313" i="11"/>
  <c r="D2625" i="11"/>
  <c r="D363" i="11"/>
  <c r="C2625" i="11"/>
  <c r="C363" i="11"/>
  <c r="D2697" i="11"/>
  <c r="D2601" i="11"/>
  <c r="D338" i="11"/>
  <c r="C2697" i="11"/>
  <c r="C2601" i="11"/>
  <c r="C338" i="11"/>
  <c r="C1259" i="11"/>
  <c r="C2649" i="11"/>
  <c r="D387" i="11"/>
  <c r="C288" i="11"/>
  <c r="D288" i="11"/>
  <c r="D1791" i="11"/>
  <c r="D1783" i="11"/>
  <c r="D1772" i="11"/>
  <c r="D1768" i="11"/>
  <c r="D1757" i="11"/>
  <c r="D1750" i="11"/>
  <c r="D1739" i="11"/>
  <c r="D1735" i="11"/>
  <c r="D1731" i="11"/>
  <c r="D1712" i="11"/>
  <c r="D1701" i="11"/>
  <c r="D1697" i="11"/>
  <c r="D1689" i="11"/>
  <c r="D1670" i="11"/>
  <c r="D1666" i="11"/>
  <c r="D1651" i="11"/>
  <c r="D1606" i="11"/>
  <c r="D1602" i="11"/>
  <c r="D1591" i="11"/>
  <c r="D1564" i="11"/>
  <c r="D1560" i="11"/>
  <c r="D1549" i="11"/>
  <c r="D1441" i="11"/>
  <c r="D1415" i="11"/>
  <c r="D1307" i="11"/>
  <c r="D1296" i="11"/>
  <c r="D936" i="11"/>
  <c r="D2629" i="11"/>
  <c r="C2597" i="11"/>
  <c r="C1102" i="11"/>
  <c r="D829" i="11"/>
  <c r="D234" i="10"/>
  <c r="D247" i="10"/>
  <c r="D286" i="10"/>
  <c r="D260" i="10"/>
  <c r="D273" i="10"/>
  <c r="D221" i="10"/>
  <c r="D258" i="10"/>
  <c r="D271" i="10"/>
  <c r="D219" i="10"/>
  <c r="D232" i="10"/>
  <c r="D284" i="10"/>
  <c r="D245" i="10"/>
  <c r="D217" i="10"/>
  <c r="D243" i="10"/>
  <c r="D256" i="10"/>
  <c r="D269" i="10"/>
  <c r="D282" i="10"/>
  <c r="D230" i="10"/>
  <c r="D254" i="10"/>
  <c r="D267" i="10"/>
  <c r="D280" i="10"/>
  <c r="D215" i="10"/>
  <c r="D228" i="10"/>
  <c r="D265" i="10"/>
  <c r="D239" i="10"/>
  <c r="D252" i="10"/>
  <c r="D278" i="10"/>
  <c r="D226" i="10"/>
  <c r="D250" i="10"/>
  <c r="D211" i="10"/>
  <c r="D263" i="10"/>
  <c r="D276" i="10"/>
  <c r="D224" i="10"/>
  <c r="D237" i="10"/>
  <c r="D222" i="10"/>
  <c r="D209" i="10"/>
  <c r="D235" i="10"/>
  <c r="D248" i="10"/>
  <c r="D261" i="10"/>
  <c r="D274" i="10"/>
  <c r="D311" i="10"/>
  <c r="D805" i="11" s="1"/>
  <c r="B825" i="11"/>
  <c r="B785" i="11"/>
  <c r="B794" i="11"/>
  <c r="B782" i="11"/>
  <c r="B791" i="11"/>
  <c r="D241" i="10"/>
  <c r="D2523" i="11"/>
  <c r="D2525" i="11"/>
  <c r="D2527" i="11"/>
  <c r="D2529" i="11"/>
  <c r="D2531" i="11"/>
  <c r="D2533" i="11"/>
  <c r="D2535" i="11"/>
  <c r="D1088" i="11"/>
  <c r="D2532" i="11"/>
  <c r="D2524" i="11"/>
  <c r="D292" i="10"/>
  <c r="D1282" i="11"/>
  <c r="D1275" i="11"/>
  <c r="D2534" i="11"/>
  <c r="D2526" i="11"/>
  <c r="D2510" i="11"/>
  <c r="D2512" i="11"/>
  <c r="D2514" i="11"/>
  <c r="D2516" i="11"/>
  <c r="D2518" i="11"/>
  <c r="D2520" i="11"/>
  <c r="D2497" i="11"/>
  <c r="D2499" i="11"/>
  <c r="D2501" i="11"/>
  <c r="D2503" i="11"/>
  <c r="D2505" i="11"/>
  <c r="D2507" i="11"/>
  <c r="D2509" i="11"/>
  <c r="D2406" i="11"/>
  <c r="D2408" i="11"/>
  <c r="D2410" i="11"/>
  <c r="D2412" i="11"/>
  <c r="D2414" i="11"/>
  <c r="D2416" i="11"/>
  <c r="D2418" i="11"/>
  <c r="D2302" i="11"/>
  <c r="D2304" i="11"/>
  <c r="D2306" i="11"/>
  <c r="D2308" i="11"/>
  <c r="D2310" i="11"/>
  <c r="D2312" i="11"/>
  <c r="D2314" i="11"/>
  <c r="D2198" i="11"/>
  <c r="D2200" i="11"/>
  <c r="D2202" i="11"/>
  <c r="D2204" i="11"/>
  <c r="D2206" i="11"/>
  <c r="D2208" i="11"/>
  <c r="D2210" i="11"/>
  <c r="C1123" i="11"/>
  <c r="C1210" i="11"/>
  <c r="D2552" i="11"/>
  <c r="C284" i="10"/>
  <c r="C278" i="10"/>
  <c r="C276" i="10"/>
  <c r="D2519" i="11"/>
  <c r="D2511" i="11"/>
  <c r="D2506" i="11"/>
  <c r="D2498" i="11"/>
  <c r="D2415" i="11"/>
  <c r="D2407" i="11"/>
  <c r="D2311" i="11"/>
  <c r="D2303" i="11"/>
  <c r="D2207" i="11"/>
  <c r="D2199" i="11"/>
  <c r="C1158" i="11"/>
  <c r="C1245" i="11"/>
  <c r="C219" i="10"/>
  <c r="C217" i="10"/>
  <c r="C211" i="10"/>
  <c r="C209" i="10"/>
  <c r="D2548" i="11"/>
  <c r="D2546" i="11"/>
  <c r="D2544" i="11"/>
  <c r="D2542" i="11"/>
  <c r="D2540" i="11"/>
  <c r="D2538" i="11"/>
  <c r="D2536" i="11"/>
  <c r="D2521" i="11"/>
  <c r="D2513" i="11"/>
  <c r="D2508" i="11"/>
  <c r="D2500" i="11"/>
  <c r="D2458" i="11"/>
  <c r="D2460" i="11"/>
  <c r="D2462" i="11"/>
  <c r="D2464" i="11"/>
  <c r="D2466" i="11"/>
  <c r="D2468" i="11"/>
  <c r="D2470" i="11"/>
  <c r="D2445" i="11"/>
  <c r="D2447" i="11"/>
  <c r="D2449" i="11"/>
  <c r="D2451" i="11"/>
  <c r="D2453" i="11"/>
  <c r="D2455" i="11"/>
  <c r="D2457" i="11"/>
  <c r="D2417" i="11"/>
  <c r="D2409" i="11"/>
  <c r="D2354" i="11"/>
  <c r="D2356" i="11"/>
  <c r="D2358" i="11"/>
  <c r="D2360" i="11"/>
  <c r="D2362" i="11"/>
  <c r="D2364" i="11"/>
  <c r="D2366" i="11"/>
  <c r="D2313" i="11"/>
  <c r="D2305" i="11"/>
  <c r="D2250" i="11"/>
  <c r="D2252" i="11"/>
  <c r="D2254" i="11"/>
  <c r="D2256" i="11"/>
  <c r="D2258" i="11"/>
  <c r="D2260" i="11"/>
  <c r="D2262" i="11"/>
  <c r="D2209" i="11"/>
  <c r="D2201" i="11"/>
  <c r="D2405" i="11"/>
  <c r="D2403" i="11"/>
  <c r="D2401" i="11"/>
  <c r="D2399" i="11"/>
  <c r="D2397" i="11"/>
  <c r="D2395" i="11"/>
  <c r="D2393" i="11"/>
  <c r="D2353" i="11"/>
  <c r="D2351" i="11"/>
  <c r="D2349" i="11"/>
  <c r="D2347" i="11"/>
  <c r="D2345" i="11"/>
  <c r="D2343" i="11"/>
  <c r="D2341" i="11"/>
  <c r="D2301" i="11"/>
  <c r="D2299" i="11"/>
  <c r="D2297" i="11"/>
  <c r="D2295" i="11"/>
  <c r="D2293" i="11"/>
  <c r="D2291" i="11"/>
  <c r="D2289" i="11"/>
  <c r="D2249" i="11"/>
  <c r="D2247" i="11"/>
  <c r="D2245" i="11"/>
  <c r="D2243" i="11"/>
  <c r="D2241" i="11"/>
  <c r="D2239" i="11"/>
  <c r="D2237" i="11"/>
  <c r="D2197" i="11"/>
  <c r="D2195" i="11"/>
  <c r="D2193" i="11"/>
  <c r="D2191" i="11"/>
  <c r="D2189" i="11"/>
  <c r="D2187" i="11"/>
  <c r="D2185" i="11"/>
  <c r="T37" i="50"/>
  <c r="T33" i="50"/>
  <c r="T38" i="50"/>
  <c r="T36" i="50"/>
  <c r="T34" i="50"/>
  <c r="T32" i="50"/>
  <c r="T30" i="50"/>
  <c r="J55" i="44"/>
  <c r="J90" i="44" s="1"/>
  <c r="J54" i="44"/>
  <c r="J89" i="44" s="1"/>
  <c r="H45" i="44"/>
  <c r="H81" i="44" s="1"/>
  <c r="D45" i="44"/>
  <c r="D81" i="44" s="1"/>
  <c r="H41" i="44"/>
  <c r="D41" i="44"/>
  <c r="F38" i="44"/>
  <c r="D321" i="10"/>
  <c r="D314" i="10"/>
  <c r="D313" i="10"/>
  <c r="D310" i="10"/>
  <c r="D309" i="10"/>
  <c r="D306" i="10"/>
  <c r="D305" i="10"/>
  <c r="D299" i="10"/>
  <c r="D296" i="10"/>
  <c r="D295" i="10"/>
  <c r="D289" i="10"/>
  <c r="D288" i="10"/>
  <c r="C261" i="10"/>
  <c r="C252" i="10"/>
  <c r="C251" i="10"/>
  <c r="C250" i="10"/>
  <c r="C249" i="10"/>
  <c r="C244" i="10"/>
  <c r="C243" i="10"/>
  <c r="C242" i="10"/>
  <c r="C241" i="10"/>
  <c r="K33" i="45"/>
  <c r="F33" i="45"/>
  <c r="K32" i="45"/>
  <c r="E32" i="45"/>
  <c r="F31" i="45"/>
  <c r="E30" i="45"/>
  <c r="E29" i="45"/>
  <c r="G21" i="45"/>
  <c r="F20" i="45"/>
  <c r="F19" i="45"/>
  <c r="J17" i="45"/>
  <c r="J16" i="45"/>
  <c r="L33" i="45"/>
  <c r="G33" i="45"/>
  <c r="L32" i="45"/>
  <c r="F32" i="45"/>
  <c r="I31" i="45"/>
  <c r="H30" i="45"/>
  <c r="H29" i="45"/>
  <c r="L21" i="45"/>
  <c r="G20" i="45"/>
  <c r="G19" i="45"/>
  <c r="K17" i="45"/>
  <c r="H498" i="58" s="1"/>
  <c r="K16" i="45"/>
  <c r="F28" i="45"/>
  <c r="H33" i="45"/>
  <c r="D33" i="45"/>
  <c r="G32" i="45"/>
  <c r="J31" i="45"/>
  <c r="I30" i="45"/>
  <c r="I29" i="45"/>
  <c r="I28" i="45"/>
  <c r="I20" i="45"/>
  <c r="H19" i="45"/>
  <c r="E18" i="45"/>
  <c r="E17" i="45"/>
  <c r="E16" i="45"/>
  <c r="I33" i="45"/>
  <c r="E33" i="45"/>
  <c r="H32" i="45"/>
  <c r="D32" i="45"/>
  <c r="J30" i="45"/>
  <c r="J29" i="45"/>
  <c r="J28" i="45"/>
  <c r="K20" i="45"/>
  <c r="K19" i="45"/>
  <c r="I18" i="45"/>
  <c r="I17" i="45"/>
  <c r="I16" i="45"/>
  <c r="J10" i="52"/>
  <c r="J9" i="52"/>
  <c r="J13" i="52"/>
  <c r="J12" i="52"/>
  <c r="J7" i="52"/>
  <c r="J19" i="52" s="1"/>
  <c r="J27" i="52" s="1"/>
  <c r="J11" i="52"/>
  <c r="J8" i="52"/>
  <c r="J14" i="52"/>
  <c r="H47" i="44"/>
  <c r="D47" i="44"/>
  <c r="J46" i="44"/>
  <c r="J82" i="44" s="1"/>
  <c r="H43" i="44"/>
  <c r="H79" i="44" s="1"/>
  <c r="H94" i="44" s="1"/>
  <c r="D43" i="44"/>
  <c r="D79" i="44" s="1"/>
  <c r="D94" i="44" s="1"/>
  <c r="J42" i="44"/>
  <c r="H39" i="44"/>
  <c r="H77" i="44" s="1"/>
  <c r="D39" i="44"/>
  <c r="D77" i="44" s="1"/>
  <c r="H936" i="25"/>
  <c r="H953" i="25"/>
  <c r="H10" i="25"/>
  <c r="H27" i="25"/>
  <c r="H269" i="25"/>
  <c r="H286" i="25"/>
  <c r="H307" i="25"/>
  <c r="H324" i="25"/>
  <c r="H417" i="25"/>
  <c r="H434" i="25"/>
  <c r="H455" i="25"/>
  <c r="H472" i="25"/>
  <c r="H565" i="25"/>
  <c r="H582" i="25"/>
  <c r="H640" i="25"/>
  <c r="H657" i="25"/>
  <c r="H713" i="25"/>
  <c r="H730" i="25"/>
  <c r="H788" i="25"/>
  <c r="H805" i="25"/>
  <c r="H861" i="25"/>
  <c r="H878" i="25"/>
  <c r="H972" i="25"/>
  <c r="H989" i="25"/>
  <c r="H1010" i="25"/>
  <c r="H1027" i="25"/>
  <c r="H1120" i="25"/>
  <c r="H1137" i="25"/>
  <c r="H343" i="25"/>
  <c r="H360" i="25"/>
  <c r="H380" i="25"/>
  <c r="H397" i="25"/>
  <c r="H602" i="25"/>
  <c r="H619" i="25"/>
  <c r="H676" i="25"/>
  <c r="H693" i="25"/>
  <c r="H750" i="25"/>
  <c r="H767" i="25"/>
  <c r="H824" i="25"/>
  <c r="H841" i="25"/>
  <c r="H898" i="25"/>
  <c r="H915" i="25"/>
  <c r="H1046" i="25"/>
  <c r="H1063" i="25"/>
  <c r="H1083" i="25"/>
  <c r="H1100" i="25"/>
  <c r="H197" i="25"/>
  <c r="H214" i="25"/>
  <c r="H232" i="25"/>
  <c r="H249" i="25"/>
  <c r="H491" i="25"/>
  <c r="H508" i="25"/>
  <c r="H528" i="25"/>
  <c r="H545" i="25"/>
  <c r="D320" i="10"/>
  <c r="D312" i="10"/>
  <c r="D308" i="10"/>
  <c r="D304" i="10"/>
  <c r="D298" i="10"/>
  <c r="D294" i="10"/>
  <c r="C260" i="10"/>
  <c r="C259" i="10"/>
  <c r="C258" i="10"/>
  <c r="C235" i="10"/>
  <c r="C234" i="10"/>
  <c r="C233" i="10"/>
  <c r="D959" i="11"/>
  <c r="J62" i="44"/>
  <c r="J61" i="44"/>
  <c r="J97" i="44" s="1"/>
  <c r="J60" i="44"/>
  <c r="J59" i="44"/>
  <c r="J95" i="44" s="1"/>
  <c r="J58" i="44"/>
  <c r="J93" i="44" s="1"/>
  <c r="J57" i="44"/>
  <c r="J92" i="44" s="1"/>
  <c r="J56" i="44"/>
  <c r="J91" i="44" s="1"/>
  <c r="F53" i="44"/>
  <c r="F88" i="44" s="1"/>
  <c r="J52" i="44"/>
  <c r="J87" i="44" s="1"/>
  <c r="F48" i="44"/>
  <c r="F83" i="44" s="1"/>
  <c r="F46" i="44"/>
  <c r="F82" i="44" s="1"/>
  <c r="F44" i="44"/>
  <c r="F80" i="44" s="1"/>
  <c r="F42" i="44"/>
  <c r="F40" i="44"/>
  <c r="F78" i="44" s="1"/>
  <c r="H38" i="44"/>
  <c r="D38" i="44"/>
  <c r="J64" i="44"/>
  <c r="J72" i="44" s="1"/>
  <c r="J63" i="44"/>
  <c r="D2708" i="11"/>
  <c r="D2718" i="11"/>
  <c r="N13" i="44"/>
  <c r="O13" i="44" s="1"/>
  <c r="P13" i="44" s="1"/>
  <c r="Q13" i="44" s="1"/>
  <c r="R13" i="44" s="1"/>
  <c r="Y85" i="44" s="1"/>
  <c r="L13" i="44"/>
  <c r="S85" i="44" s="1"/>
  <c r="J13" i="44"/>
  <c r="Q85" i="44" s="1"/>
  <c r="N12" i="44"/>
  <c r="J12" i="44"/>
  <c r="Q84" i="44" s="1"/>
  <c r="I523" i="58" s="1"/>
  <c r="N11" i="44"/>
  <c r="L11" i="44"/>
  <c r="S83" i="44" s="1"/>
  <c r="N7" i="44"/>
  <c r="L7" i="44"/>
  <c r="L10" i="44" s="1"/>
  <c r="S82" i="44" s="1"/>
  <c r="K684" i="58" s="1"/>
  <c r="J7" i="44"/>
  <c r="J8" i="44" s="1"/>
  <c r="Q80" i="44" s="1"/>
  <c r="I792" i="58" s="1"/>
  <c r="N6" i="44"/>
  <c r="N9" i="44" s="1"/>
  <c r="U81" i="44" s="1"/>
  <c r="L6" i="44"/>
  <c r="J6" i="44"/>
  <c r="H48" i="44"/>
  <c r="H83" i="44" s="1"/>
  <c r="D48" i="44"/>
  <c r="D83" i="44" s="1"/>
  <c r="H46" i="44"/>
  <c r="H82" i="44" s="1"/>
  <c r="D46" i="44"/>
  <c r="D82" i="44" s="1"/>
  <c r="H44" i="44"/>
  <c r="H80" i="44" s="1"/>
  <c r="D44" i="44"/>
  <c r="D80" i="44" s="1"/>
  <c r="H42" i="44"/>
  <c r="D42" i="44"/>
  <c r="H40" i="44"/>
  <c r="H78" i="44" s="1"/>
  <c r="D40" i="44"/>
  <c r="D78" i="44" s="1"/>
  <c r="I38" i="44"/>
  <c r="G38" i="44"/>
  <c r="E38" i="44"/>
  <c r="C38" i="44"/>
  <c r="F63" i="44"/>
  <c r="F61" i="44"/>
  <c r="F97" i="44" s="1"/>
  <c r="F59" i="44"/>
  <c r="F95" i="44" s="1"/>
  <c r="F57" i="44"/>
  <c r="F92" i="44" s="1"/>
  <c r="F55" i="44"/>
  <c r="F90" i="44" s="1"/>
  <c r="J65" i="44"/>
  <c r="F65" i="44"/>
  <c r="AD127" i="26"/>
  <c r="Z131" i="26"/>
  <c r="AD131" i="26" s="1"/>
  <c r="Z130" i="26"/>
  <c r="AD130" i="26" s="1"/>
  <c r="Z129" i="26"/>
  <c r="AD129" i="26" s="1"/>
  <c r="Z128" i="26"/>
  <c r="AD128" i="26" s="1"/>
  <c r="AH128" i="26" s="1"/>
  <c r="AD117" i="26"/>
  <c r="Z121" i="26"/>
  <c r="AD121" i="26" s="1"/>
  <c r="Z120" i="26"/>
  <c r="AD120" i="26" s="1"/>
  <c r="AH120" i="26" s="1"/>
  <c r="Z119" i="26"/>
  <c r="AD119" i="26" s="1"/>
  <c r="Z118" i="26"/>
  <c r="AD118" i="26" s="1"/>
  <c r="AH118" i="26" s="1"/>
  <c r="AB127" i="26"/>
  <c r="X131" i="26"/>
  <c r="AB131" i="26" s="1"/>
  <c r="X130" i="26"/>
  <c r="AB130" i="26" s="1"/>
  <c r="AF130" i="26" s="1"/>
  <c r="T149" i="12" s="1"/>
  <c r="X129" i="26"/>
  <c r="AB129" i="26" s="1"/>
  <c r="X128" i="26"/>
  <c r="AB128" i="26" s="1"/>
  <c r="AF128" i="26" s="1"/>
  <c r="T147" i="12" s="1"/>
  <c r="G141" i="26"/>
  <c r="G140" i="26"/>
  <c r="G139" i="26"/>
  <c r="K139" i="26" s="1"/>
  <c r="G138" i="26"/>
  <c r="G131" i="26"/>
  <c r="G130" i="26"/>
  <c r="G129" i="26"/>
  <c r="G128" i="26"/>
  <c r="G121" i="26"/>
  <c r="G120" i="26"/>
  <c r="G119" i="26"/>
  <c r="K119" i="26" s="1"/>
  <c r="G118" i="26"/>
  <c r="J110" i="26"/>
  <c r="J109" i="26"/>
  <c r="J108" i="26"/>
  <c r="J107" i="26"/>
  <c r="AC106" i="26"/>
  <c r="Y110" i="26"/>
  <c r="AC110" i="26" s="1"/>
  <c r="Y109" i="26"/>
  <c r="AC109" i="26" s="1"/>
  <c r="Y108" i="26"/>
  <c r="AC108" i="26" s="1"/>
  <c r="Y107" i="26"/>
  <c r="AC107" i="26" s="1"/>
  <c r="AG107" i="26" s="1"/>
  <c r="I95" i="26"/>
  <c r="I94" i="26"/>
  <c r="I93" i="26"/>
  <c r="I92" i="26"/>
  <c r="AB106" i="26"/>
  <c r="X110" i="26"/>
  <c r="AB110" i="26" s="1"/>
  <c r="X109" i="26"/>
  <c r="AB109" i="26" s="1"/>
  <c r="X108" i="26"/>
  <c r="AB108" i="26" s="1"/>
  <c r="X107" i="26"/>
  <c r="AB107" i="26" s="1"/>
  <c r="AF107" i="26" s="1"/>
  <c r="T126" i="12" s="1"/>
  <c r="AB96" i="26"/>
  <c r="X100" i="26"/>
  <c r="AB100" i="26" s="1"/>
  <c r="X99" i="26"/>
  <c r="AB99" i="26" s="1"/>
  <c r="AF99" i="26" s="1"/>
  <c r="T118" i="12" s="1"/>
  <c r="X98" i="26"/>
  <c r="AB98" i="26" s="1"/>
  <c r="X97" i="26"/>
  <c r="AB97" i="26" s="1"/>
  <c r="AF97" i="26" s="1"/>
  <c r="T116" i="12" s="1"/>
  <c r="AA106" i="26"/>
  <c r="W110" i="26"/>
  <c r="AA110" i="26" s="1"/>
  <c r="W109" i="26"/>
  <c r="AA109" i="26" s="1"/>
  <c r="AE109" i="26" s="1"/>
  <c r="S128" i="12" s="1"/>
  <c r="W108" i="26"/>
  <c r="AA108" i="26" s="1"/>
  <c r="W107" i="26"/>
  <c r="AA107" i="26" s="1"/>
  <c r="AE107" i="26" s="1"/>
  <c r="S126" i="12" s="1"/>
  <c r="AD85" i="26"/>
  <c r="Z89" i="26"/>
  <c r="AD89" i="26" s="1"/>
  <c r="Z88" i="26"/>
  <c r="AD88" i="26" s="1"/>
  <c r="Z87" i="26"/>
  <c r="AD87" i="26" s="1"/>
  <c r="Z86" i="26"/>
  <c r="AD86" i="26" s="1"/>
  <c r="AH86" i="26" s="1"/>
  <c r="J74" i="26"/>
  <c r="J73" i="26"/>
  <c r="J72" i="26"/>
  <c r="J71" i="26"/>
  <c r="I89" i="26"/>
  <c r="I88" i="26"/>
  <c r="I87" i="26"/>
  <c r="I86" i="26"/>
  <c r="I79" i="26"/>
  <c r="I78" i="26"/>
  <c r="I77" i="26"/>
  <c r="I76" i="26"/>
  <c r="I69" i="26"/>
  <c r="I68" i="26"/>
  <c r="I67" i="26"/>
  <c r="I66" i="26"/>
  <c r="G79" i="26"/>
  <c r="G78" i="26"/>
  <c r="G77" i="26"/>
  <c r="K77" i="26" s="1"/>
  <c r="G76" i="26"/>
  <c r="AD44" i="26"/>
  <c r="Z48" i="26"/>
  <c r="AD48" i="26" s="1"/>
  <c r="Z47" i="26"/>
  <c r="AD47" i="26" s="1"/>
  <c r="Z46" i="26"/>
  <c r="AD46" i="26" s="1"/>
  <c r="Z45" i="26"/>
  <c r="AD45" i="26" s="1"/>
  <c r="AH45" i="26" s="1"/>
  <c r="AB49" i="26"/>
  <c r="X53" i="26"/>
  <c r="AB53" i="26" s="1"/>
  <c r="X52" i="26"/>
  <c r="AB52" i="26" s="1"/>
  <c r="AF52" i="26" s="1"/>
  <c r="T71" i="12" s="1"/>
  <c r="X51" i="26"/>
  <c r="AB51" i="26" s="1"/>
  <c r="X50" i="26"/>
  <c r="AB50" i="26" s="1"/>
  <c r="AF50" i="26" s="1"/>
  <c r="T69" i="12" s="1"/>
  <c r="AA39" i="26"/>
  <c r="W43" i="26"/>
  <c r="AA43" i="26" s="1"/>
  <c r="W42" i="26"/>
  <c r="AA42" i="26" s="1"/>
  <c r="AE42" i="26" s="1"/>
  <c r="S61" i="12" s="1"/>
  <c r="W41" i="26"/>
  <c r="AA41" i="26" s="1"/>
  <c r="W40" i="26"/>
  <c r="AA40" i="26" s="1"/>
  <c r="AE40" i="26" s="1"/>
  <c r="S59" i="12" s="1"/>
  <c r="J27" i="26"/>
  <c r="J26" i="26"/>
  <c r="J25" i="26"/>
  <c r="J24" i="26"/>
  <c r="I37" i="26"/>
  <c r="I36" i="26"/>
  <c r="I35" i="26"/>
  <c r="I34" i="26"/>
  <c r="H37" i="26"/>
  <c r="H36" i="26"/>
  <c r="H35" i="26"/>
  <c r="H34" i="26"/>
  <c r="H22" i="26"/>
  <c r="H21" i="26"/>
  <c r="H20" i="26"/>
  <c r="H19" i="26"/>
  <c r="AB137" i="26"/>
  <c r="X141" i="26"/>
  <c r="AB141" i="26" s="1"/>
  <c r="X140" i="26"/>
  <c r="AB140" i="26" s="1"/>
  <c r="X139" i="26"/>
  <c r="AB139" i="26" s="1"/>
  <c r="X138" i="26"/>
  <c r="AB138" i="26" s="1"/>
  <c r="AF138" i="26" s="1"/>
  <c r="T157" i="12" s="1"/>
  <c r="AD132" i="26"/>
  <c r="Z136" i="26"/>
  <c r="AD136" i="26" s="1"/>
  <c r="Z135" i="26"/>
  <c r="AD135" i="26" s="1"/>
  <c r="Z134" i="26"/>
  <c r="AD134" i="26" s="1"/>
  <c r="Z133" i="26"/>
  <c r="AD133" i="26" s="1"/>
  <c r="AH133" i="26" s="1"/>
  <c r="AD122" i="26"/>
  <c r="Z126" i="26"/>
  <c r="AD126" i="26" s="1"/>
  <c r="Z125" i="26"/>
  <c r="AD125" i="26" s="1"/>
  <c r="Z124" i="26"/>
  <c r="AD124" i="26" s="1"/>
  <c r="Z123" i="26"/>
  <c r="AD123" i="26" s="1"/>
  <c r="AH123" i="26" s="1"/>
  <c r="AC132" i="26"/>
  <c r="Y136" i="26"/>
  <c r="AC136" i="26" s="1"/>
  <c r="Y135" i="26"/>
  <c r="AC135" i="26" s="1"/>
  <c r="Y134" i="26"/>
  <c r="AC134" i="26" s="1"/>
  <c r="Y133" i="26"/>
  <c r="AC133" i="26" s="1"/>
  <c r="AG133" i="26" s="1"/>
  <c r="AB117" i="26"/>
  <c r="X121" i="26"/>
  <c r="AB121" i="26" s="1"/>
  <c r="X120" i="26"/>
  <c r="AB120" i="26" s="1"/>
  <c r="X119" i="26"/>
  <c r="AB119" i="26" s="1"/>
  <c r="X118" i="26"/>
  <c r="AB118" i="26" s="1"/>
  <c r="AF118" i="26" s="1"/>
  <c r="T137" i="12" s="1"/>
  <c r="G136" i="26"/>
  <c r="G135" i="26"/>
  <c r="G134" i="26"/>
  <c r="K134" i="26" s="1"/>
  <c r="G133" i="26"/>
  <c r="G126" i="26"/>
  <c r="G125" i="26"/>
  <c r="G124" i="26"/>
  <c r="K124" i="26" s="1"/>
  <c r="G123" i="26"/>
  <c r="I115" i="26"/>
  <c r="I114" i="26"/>
  <c r="I113" i="26"/>
  <c r="I112" i="26"/>
  <c r="I105" i="26"/>
  <c r="I104" i="26"/>
  <c r="I103" i="26"/>
  <c r="I102" i="26"/>
  <c r="AB111" i="26"/>
  <c r="X115" i="26"/>
  <c r="AB115" i="26" s="1"/>
  <c r="X114" i="26"/>
  <c r="AB114" i="26" s="1"/>
  <c r="X113" i="26"/>
  <c r="AB113" i="26" s="1"/>
  <c r="X112" i="26"/>
  <c r="AB112" i="26" s="1"/>
  <c r="AF112" i="26" s="1"/>
  <c r="T131" i="12" s="1"/>
  <c r="AB101" i="26"/>
  <c r="X105" i="26"/>
  <c r="AB105" i="26" s="1"/>
  <c r="X104" i="26"/>
  <c r="AB104" i="26" s="1"/>
  <c r="AF104" i="26" s="1"/>
  <c r="T123" i="12" s="1"/>
  <c r="X103" i="26"/>
  <c r="AB103" i="26" s="1"/>
  <c r="X102" i="26"/>
  <c r="AB102" i="26" s="1"/>
  <c r="AF102" i="26" s="1"/>
  <c r="T121" i="12" s="1"/>
  <c r="AB91" i="26"/>
  <c r="X95" i="26"/>
  <c r="AB95" i="26" s="1"/>
  <c r="X94" i="26"/>
  <c r="AB94" i="26" s="1"/>
  <c r="AF94" i="26" s="1"/>
  <c r="T113" i="12" s="1"/>
  <c r="X93" i="26"/>
  <c r="AB93" i="26" s="1"/>
  <c r="X92" i="26"/>
  <c r="AB92" i="26" s="1"/>
  <c r="AF92" i="26" s="1"/>
  <c r="T111" i="12" s="1"/>
  <c r="AA96" i="26"/>
  <c r="W100" i="26"/>
  <c r="AA100" i="26" s="1"/>
  <c r="W99" i="26"/>
  <c r="AA99" i="26" s="1"/>
  <c r="W98" i="26"/>
  <c r="AA98" i="26" s="1"/>
  <c r="W97" i="26"/>
  <c r="AA97" i="26" s="1"/>
  <c r="AE97" i="26" s="1"/>
  <c r="S116" i="12" s="1"/>
  <c r="AD75" i="26"/>
  <c r="Z79" i="26"/>
  <c r="AD79" i="26" s="1"/>
  <c r="Z78" i="26"/>
  <c r="AD78" i="26" s="1"/>
  <c r="Z77" i="26"/>
  <c r="AD77" i="26" s="1"/>
  <c r="Z76" i="26"/>
  <c r="AD76" i="26" s="1"/>
  <c r="AH76" i="26" s="1"/>
  <c r="AD65" i="26"/>
  <c r="Z69" i="26"/>
  <c r="AD69" i="26" s="1"/>
  <c r="Z68" i="26"/>
  <c r="AD68" i="26" s="1"/>
  <c r="Z67" i="26"/>
  <c r="AD67" i="26" s="1"/>
  <c r="Z66" i="26"/>
  <c r="AD66" i="26" s="1"/>
  <c r="AH66" i="26" s="1"/>
  <c r="I84" i="26"/>
  <c r="I83" i="26"/>
  <c r="I82" i="26"/>
  <c r="I81" i="26"/>
  <c r="I74" i="26"/>
  <c r="I73" i="26"/>
  <c r="I72" i="26"/>
  <c r="I71" i="26"/>
  <c r="G89" i="26"/>
  <c r="G88" i="26"/>
  <c r="G87" i="26"/>
  <c r="K87" i="26" s="1"/>
  <c r="G86" i="26"/>
  <c r="AD59" i="26"/>
  <c r="Z63" i="26"/>
  <c r="AD63" i="26" s="1"/>
  <c r="Z62" i="26"/>
  <c r="AD62" i="26" s="1"/>
  <c r="AH62" i="26" s="1"/>
  <c r="Z61" i="26"/>
  <c r="AD61" i="26" s="1"/>
  <c r="Z60" i="26"/>
  <c r="AD60" i="26" s="1"/>
  <c r="AH60" i="26" s="1"/>
  <c r="AB54" i="26"/>
  <c r="X58" i="26"/>
  <c r="AB58" i="26" s="1"/>
  <c r="X57" i="26"/>
  <c r="AB57" i="26" s="1"/>
  <c r="X56" i="26"/>
  <c r="AB56" i="26" s="1"/>
  <c r="X55" i="26"/>
  <c r="AB55" i="26" s="1"/>
  <c r="AF55" i="26" s="1"/>
  <c r="T74" i="12" s="1"/>
  <c r="L44" i="26"/>
  <c r="M44" i="26" s="1"/>
  <c r="N44" i="26" s="1"/>
  <c r="O44" i="26" s="1"/>
  <c r="P44" i="26" s="1"/>
  <c r="Q44" i="26" s="1"/>
  <c r="R44" i="26" s="1"/>
  <c r="S44" i="26" s="1"/>
  <c r="T44" i="26" s="1"/>
  <c r="U44" i="26" s="1"/>
  <c r="H48" i="26"/>
  <c r="H47" i="26"/>
  <c r="H46" i="26"/>
  <c r="L46" i="26" s="1"/>
  <c r="M46" i="26" s="1"/>
  <c r="N46" i="26" s="1"/>
  <c r="O46" i="26" s="1"/>
  <c r="P46" i="26" s="1"/>
  <c r="Q46" i="26" s="1"/>
  <c r="R46" i="26" s="1"/>
  <c r="S46" i="26" s="1"/>
  <c r="T46" i="26" s="1"/>
  <c r="U46" i="26" s="1"/>
  <c r="H45" i="26"/>
  <c r="AD23" i="26"/>
  <c r="Z27" i="26"/>
  <c r="AD27" i="26" s="1"/>
  <c r="Z26" i="26"/>
  <c r="AD26" i="26" s="1"/>
  <c r="Z25" i="26"/>
  <c r="AD25" i="26" s="1"/>
  <c r="Z24" i="26"/>
  <c r="AD24" i="26" s="1"/>
  <c r="AH24" i="26" s="1"/>
  <c r="AD18" i="26"/>
  <c r="Z22" i="26"/>
  <c r="AD22" i="26" s="1"/>
  <c r="Z21" i="26"/>
  <c r="AD21" i="26" s="1"/>
  <c r="Z20" i="26"/>
  <c r="AD20" i="26" s="1"/>
  <c r="Z19" i="26"/>
  <c r="AD19" i="26" s="1"/>
  <c r="AH19" i="26" s="1"/>
  <c r="AC13" i="26"/>
  <c r="Y14" i="26"/>
  <c r="AC14" i="26" s="1"/>
  <c r="AG14" i="26" s="1"/>
  <c r="Y16" i="26"/>
  <c r="AC16" i="26" s="1"/>
  <c r="Y15" i="26"/>
  <c r="AC15" i="26" s="1"/>
  <c r="Y17" i="26"/>
  <c r="AC17" i="26" s="1"/>
  <c r="AG17" i="26" s="1"/>
  <c r="AB23" i="26"/>
  <c r="X27" i="26"/>
  <c r="AB27" i="26" s="1"/>
  <c r="X26" i="26"/>
  <c r="AB26" i="26" s="1"/>
  <c r="X25" i="26"/>
  <c r="AB25" i="26" s="1"/>
  <c r="X24" i="26"/>
  <c r="AB24" i="26" s="1"/>
  <c r="AF24" i="26" s="1"/>
  <c r="T43" i="12" s="1"/>
  <c r="AA33" i="26"/>
  <c r="W37" i="26"/>
  <c r="AA37" i="26" s="1"/>
  <c r="W36" i="26"/>
  <c r="AA36" i="26" s="1"/>
  <c r="AE36" i="26" s="1"/>
  <c r="S55" i="12" s="1"/>
  <c r="W35" i="26"/>
  <c r="AA35" i="26" s="1"/>
  <c r="W34" i="26"/>
  <c r="AA34" i="26" s="1"/>
  <c r="AE34" i="26" s="1"/>
  <c r="S53" i="12" s="1"/>
  <c r="G32" i="26"/>
  <c r="G31" i="26"/>
  <c r="G30" i="26"/>
  <c r="G29" i="26"/>
  <c r="AA23" i="26"/>
  <c r="W27" i="26"/>
  <c r="AA27" i="26" s="1"/>
  <c r="W26" i="26"/>
  <c r="AA26" i="26" s="1"/>
  <c r="W25" i="26"/>
  <c r="AA25" i="26" s="1"/>
  <c r="W24" i="26"/>
  <c r="AA24" i="26" s="1"/>
  <c r="AE24" i="26" s="1"/>
  <c r="S43" i="12" s="1"/>
  <c r="AD137" i="26"/>
  <c r="Z141" i="26"/>
  <c r="AD141" i="26" s="1"/>
  <c r="Z140" i="26"/>
  <c r="AD140" i="26" s="1"/>
  <c r="Z139" i="26"/>
  <c r="AD139" i="26" s="1"/>
  <c r="Z138" i="26"/>
  <c r="AD138" i="26" s="1"/>
  <c r="AH138" i="26" s="1"/>
  <c r="D2559" i="11"/>
  <c r="D2555" i="11"/>
  <c r="D2551" i="11"/>
  <c r="D2560" i="11"/>
  <c r="K137" i="26"/>
  <c r="K132" i="26"/>
  <c r="K129" i="26"/>
  <c r="K127" i="26"/>
  <c r="K122" i="26"/>
  <c r="K117" i="26"/>
  <c r="K75" i="26"/>
  <c r="L33" i="26"/>
  <c r="L18" i="26"/>
  <c r="M18" i="26" s="1"/>
  <c r="N18" i="26" s="1"/>
  <c r="O18" i="26" s="1"/>
  <c r="P18" i="26" s="1"/>
  <c r="Q18" i="26" s="1"/>
  <c r="R18" i="26" s="1"/>
  <c r="S18" i="26" s="1"/>
  <c r="T18" i="26" s="1"/>
  <c r="U18" i="26" s="1"/>
  <c r="K28" i="26"/>
  <c r="K85" i="26"/>
  <c r="A103" i="26"/>
  <c r="C102" i="26"/>
  <c r="D121" i="12" s="1"/>
  <c r="D121" i="11" s="1"/>
  <c r="A98" i="26"/>
  <c r="C97" i="26"/>
  <c r="D116" i="12" s="1"/>
  <c r="D80" i="26"/>
  <c r="F81" i="26"/>
  <c r="F82" i="26" s="1"/>
  <c r="F83" i="26" s="1"/>
  <c r="F84" i="26" s="1"/>
  <c r="A82" i="26"/>
  <c r="A77" i="26"/>
  <c r="C76" i="26"/>
  <c r="D95" i="12" s="1"/>
  <c r="D95" i="11" s="1"/>
  <c r="A67" i="26"/>
  <c r="C66" i="26"/>
  <c r="D85" i="12" s="1"/>
  <c r="D85" i="11" s="1"/>
  <c r="A61" i="26"/>
  <c r="C60" i="26"/>
  <c r="D79" i="12" s="1"/>
  <c r="A51" i="26"/>
  <c r="C50" i="26"/>
  <c r="D69" i="12" s="1"/>
  <c r="D69" i="11" s="1"/>
  <c r="A139" i="26"/>
  <c r="C138" i="26"/>
  <c r="D157" i="12" s="1"/>
  <c r="D157" i="11" s="1"/>
  <c r="A134" i="26"/>
  <c r="C133" i="26"/>
  <c r="D152" i="12" s="1"/>
  <c r="D152" i="11" s="1"/>
  <c r="A129" i="26"/>
  <c r="C128" i="26"/>
  <c r="D147" i="12" s="1"/>
  <c r="D147" i="11" s="1"/>
  <c r="A124" i="26"/>
  <c r="C123" i="26"/>
  <c r="D142" i="12" s="1"/>
  <c r="D142" i="11" s="1"/>
  <c r="A113" i="26"/>
  <c r="C112" i="26"/>
  <c r="D131" i="12" s="1"/>
  <c r="D131" i="11" s="1"/>
  <c r="A108" i="26"/>
  <c r="C107" i="26"/>
  <c r="D126" i="12" s="1"/>
  <c r="D126" i="11" s="1"/>
  <c r="A93" i="26"/>
  <c r="C92" i="26"/>
  <c r="D111" i="12" s="1"/>
  <c r="D111" i="11" s="1"/>
  <c r="A87" i="26"/>
  <c r="C86" i="26"/>
  <c r="D105" i="12" s="1"/>
  <c r="D105" i="11" s="1"/>
  <c r="A72" i="26"/>
  <c r="C71" i="26"/>
  <c r="D90" i="12" s="1"/>
  <c r="D90" i="11" s="1"/>
  <c r="A56" i="26"/>
  <c r="C55" i="26"/>
  <c r="D74" i="12" s="1"/>
  <c r="A46" i="26"/>
  <c r="C45" i="26"/>
  <c r="D64" i="12" s="1"/>
  <c r="D64" i="11" s="1"/>
  <c r="D39" i="26"/>
  <c r="E58" i="12" s="1"/>
  <c r="F40" i="26"/>
  <c r="F41" i="26" s="1"/>
  <c r="F42" i="26" s="1"/>
  <c r="F43" i="26" s="1"/>
  <c r="A41" i="26"/>
  <c r="D128" i="26"/>
  <c r="E147" i="12" s="1"/>
  <c r="D132" i="26"/>
  <c r="E151" i="12" s="1"/>
  <c r="D49" i="26"/>
  <c r="E68" i="12" s="1"/>
  <c r="D101" i="26"/>
  <c r="E120" i="12" s="1"/>
  <c r="D65" i="26"/>
  <c r="B65" i="26" s="1"/>
  <c r="C137" i="26"/>
  <c r="C122" i="26"/>
  <c r="D54" i="26"/>
  <c r="E73" i="12" s="1"/>
  <c r="C44" i="26"/>
  <c r="C127" i="26"/>
  <c r="C101" i="26"/>
  <c r="C59" i="26"/>
  <c r="D111" i="26"/>
  <c r="E130" i="12" s="1"/>
  <c r="D106" i="26"/>
  <c r="E125" i="12" s="1"/>
  <c r="D85" i="26"/>
  <c r="E104" i="12" s="1"/>
  <c r="C70" i="26"/>
  <c r="D44" i="26"/>
  <c r="E63" i="12" s="1"/>
  <c r="D70" i="26"/>
  <c r="E89" i="12" s="1"/>
  <c r="C34" i="26"/>
  <c r="D53" i="12" s="1"/>
  <c r="A35" i="26"/>
  <c r="C29" i="26"/>
  <c r="D48" i="12" s="1"/>
  <c r="D48" i="11" s="1"/>
  <c r="A30" i="26"/>
  <c r="C19" i="26"/>
  <c r="D38" i="12" s="1"/>
  <c r="A20" i="26"/>
  <c r="C24" i="26"/>
  <c r="D43" i="12" s="1"/>
  <c r="A25" i="26"/>
  <c r="C85" i="26"/>
  <c r="C80" i="26"/>
  <c r="C54" i="26"/>
  <c r="D137" i="26"/>
  <c r="E156" i="12" s="1"/>
  <c r="D91" i="26"/>
  <c r="E110" i="12" s="1"/>
  <c r="C75" i="26"/>
  <c r="C39" i="26"/>
  <c r="B127" i="26"/>
  <c r="D122" i="26"/>
  <c r="E141" i="12" s="1"/>
  <c r="D96" i="26"/>
  <c r="E115" i="12" s="1"/>
  <c r="D75" i="26"/>
  <c r="E94" i="12" s="1"/>
  <c r="C49" i="26"/>
  <c r="B54" i="26"/>
  <c r="D28" i="26"/>
  <c r="E47" i="12" s="1"/>
  <c r="C28" i="26"/>
  <c r="D18" i="26"/>
  <c r="E37" i="12" s="1"/>
  <c r="C18" i="26"/>
  <c r="A13" i="26"/>
  <c r="A14" i="26" s="1"/>
  <c r="E4" i="27" a="1"/>
  <c r="E4" i="27" s="1"/>
  <c r="H4" i="27" s="1"/>
  <c r="G13" i="26" s="1"/>
  <c r="F4" i="27" a="1"/>
  <c r="F4" i="27" s="1"/>
  <c r="W13" i="26" s="1"/>
  <c r="X33" i="26"/>
  <c r="X28" i="26"/>
  <c r="X18" i="26"/>
  <c r="X13" i="26"/>
  <c r="Y137" i="26"/>
  <c r="Y127" i="26"/>
  <c r="Y117" i="26"/>
  <c r="Y96" i="26"/>
  <c r="W111" i="26"/>
  <c r="W101" i="26"/>
  <c r="W91" i="26"/>
  <c r="B49" i="26"/>
  <c r="Y122" i="26"/>
  <c r="A117" i="26"/>
  <c r="D117" i="26" s="1"/>
  <c r="X132" i="26"/>
  <c r="X122" i="26"/>
  <c r="W137" i="26"/>
  <c r="W132" i="26"/>
  <c r="W127" i="26"/>
  <c r="W122" i="26"/>
  <c r="W117" i="26"/>
  <c r="Z111" i="26"/>
  <c r="Z106" i="26"/>
  <c r="Z101" i="26"/>
  <c r="Z96" i="26"/>
  <c r="Z91" i="26"/>
  <c r="Y111" i="26"/>
  <c r="Y101" i="26"/>
  <c r="Y91" i="26"/>
  <c r="Z80" i="26"/>
  <c r="Z70" i="26"/>
  <c r="Y85" i="26"/>
  <c r="Y80" i="26"/>
  <c r="Y75" i="26"/>
  <c r="Y70" i="26"/>
  <c r="Y65" i="26"/>
  <c r="X85" i="26"/>
  <c r="X80" i="26"/>
  <c r="X75" i="26"/>
  <c r="X70" i="26"/>
  <c r="X65" i="26"/>
  <c r="W85" i="26"/>
  <c r="W80" i="26"/>
  <c r="W75" i="26"/>
  <c r="W70" i="26"/>
  <c r="W65" i="26"/>
  <c r="Z33" i="26"/>
  <c r="Z28" i="26"/>
  <c r="Z13" i="26"/>
  <c r="Y33" i="26"/>
  <c r="Y28" i="26"/>
  <c r="Y23" i="26"/>
  <c r="Y18" i="26"/>
  <c r="D33" i="26"/>
  <c r="E52" i="12" s="1"/>
  <c r="C23" i="26"/>
  <c r="Z54" i="26"/>
  <c r="Z49" i="26"/>
  <c r="Z39" i="26"/>
  <c r="Y59" i="26"/>
  <c r="Y54" i="26"/>
  <c r="Y49" i="26"/>
  <c r="Y44" i="26"/>
  <c r="Y39" i="26"/>
  <c r="X59" i="26"/>
  <c r="X44" i="26"/>
  <c r="X39" i="26"/>
  <c r="W59" i="26"/>
  <c r="W54" i="26"/>
  <c r="W49" i="26"/>
  <c r="W44" i="26"/>
  <c r="W28" i="26"/>
  <c r="W18" i="26"/>
  <c r="C33" i="26"/>
  <c r="E52" i="19"/>
  <c r="D48" i="19"/>
  <c r="D26" i="19"/>
  <c r="D2556" i="11"/>
  <c r="D1921" i="11"/>
  <c r="D1919" i="11"/>
  <c r="D1917" i="11"/>
  <c r="D1915" i="11"/>
  <c r="D1913" i="11"/>
  <c r="D1911" i="11"/>
  <c r="D1635" i="11"/>
  <c r="D1633" i="11"/>
  <c r="D1631" i="11"/>
  <c r="D1629" i="11"/>
  <c r="D1627" i="11"/>
  <c r="D1625" i="11"/>
  <c r="D1922" i="11"/>
  <c r="D1920" i="11"/>
  <c r="D1918" i="11"/>
  <c r="D1916" i="11"/>
  <c r="D1914" i="11"/>
  <c r="D1912" i="11"/>
  <c r="D1910" i="11"/>
  <c r="D1636" i="11"/>
  <c r="D1634" i="11"/>
  <c r="D1632" i="11"/>
  <c r="D1630" i="11"/>
  <c r="D1628" i="11"/>
  <c r="D1626" i="11"/>
  <c r="D1624" i="11"/>
  <c r="C958" i="11"/>
  <c r="C997" i="11"/>
  <c r="C1040" i="11"/>
  <c r="C1057" i="11"/>
  <c r="C1092" i="11"/>
  <c r="C1103" i="11"/>
  <c r="C1155" i="11"/>
  <c r="C1250" i="11"/>
  <c r="C1115" i="11"/>
  <c r="C1154" i="11"/>
  <c r="C1197" i="11"/>
  <c r="D1259" i="11"/>
  <c r="D1267" i="11"/>
  <c r="B80" i="26"/>
  <c r="C1085" i="11"/>
  <c r="C1090" i="11"/>
  <c r="C316" i="11"/>
  <c r="C322" i="11"/>
  <c r="C328" i="11"/>
  <c r="C333" i="11"/>
  <c r="C366" i="11"/>
  <c r="C372" i="11"/>
  <c r="C378" i="11"/>
  <c r="C382" i="11"/>
  <c r="C2580" i="11"/>
  <c r="C2586" i="11"/>
  <c r="C2592" i="11"/>
  <c r="C2596" i="11"/>
  <c r="C2628" i="11"/>
  <c r="C2634" i="11"/>
  <c r="C2640" i="11"/>
  <c r="C2644" i="11"/>
  <c r="C2676" i="11"/>
  <c r="C2682" i="11"/>
  <c r="C2688" i="11"/>
  <c r="C2692" i="11"/>
  <c r="F170" i="12"/>
  <c r="F176" i="12"/>
  <c r="F180" i="12"/>
  <c r="F186" i="12"/>
  <c r="F190" i="12"/>
  <c r="C1110" i="11"/>
  <c r="C1119" i="11"/>
  <c r="C1162" i="11"/>
  <c r="C1193" i="11"/>
  <c r="C1201" i="11"/>
  <c r="C1236" i="11"/>
  <c r="C1253" i="11"/>
  <c r="D1261" i="11"/>
  <c r="D1273" i="11"/>
  <c r="D1278" i="11"/>
  <c r="D1298" i="11"/>
  <c r="D1302" i="11"/>
  <c r="D1304" i="11"/>
  <c r="D1306" i="11"/>
  <c r="D1308" i="11"/>
  <c r="D1310" i="11"/>
  <c r="D1325" i="11"/>
  <c r="D1327" i="11"/>
  <c r="D1329" i="11"/>
  <c r="D1331" i="11"/>
  <c r="D1333" i="11"/>
  <c r="D1335" i="11"/>
  <c r="D1350" i="11"/>
  <c r="D1402" i="11"/>
  <c r="D1559" i="11"/>
  <c r="D1561" i="11"/>
  <c r="D1563" i="11"/>
  <c r="D1565" i="11"/>
  <c r="D1567" i="11"/>
  <c r="D1569" i="11"/>
  <c r="D1571" i="11"/>
  <c r="D1586" i="11"/>
  <c r="D1588" i="11"/>
  <c r="D1590" i="11"/>
  <c r="D1592" i="11"/>
  <c r="D1594" i="11"/>
  <c r="D1596" i="11"/>
  <c r="D1611" i="11"/>
  <c r="D1613" i="11"/>
  <c r="D1615" i="11"/>
  <c r="D1617" i="11"/>
  <c r="D1619" i="11"/>
  <c r="D1621" i="11"/>
  <c r="D1623" i="11"/>
  <c r="D1638" i="11"/>
  <c r="D1640" i="11"/>
  <c r="D1642" i="11"/>
  <c r="D1644" i="11"/>
  <c r="D1646" i="11"/>
  <c r="D1648" i="11"/>
  <c r="D1663" i="11"/>
  <c r="D1665" i="11"/>
  <c r="D1667" i="11"/>
  <c r="D1669" i="11"/>
  <c r="D1671" i="11"/>
  <c r="D1673" i="11"/>
  <c r="D1675" i="11"/>
  <c r="D1767" i="11"/>
  <c r="D1769" i="11"/>
  <c r="D1771" i="11"/>
  <c r="D1773" i="11"/>
  <c r="D1775" i="11"/>
  <c r="D1777" i="11"/>
  <c r="D1779" i="11"/>
  <c r="D1794" i="11"/>
  <c r="D1796" i="11"/>
  <c r="D1798" i="11"/>
  <c r="D1800" i="11"/>
  <c r="D1802" i="11"/>
  <c r="D1804" i="11"/>
  <c r="D1819" i="11"/>
  <c r="D1821" i="11"/>
  <c r="D1823" i="11"/>
  <c r="D1825" i="11"/>
  <c r="D1827" i="11"/>
  <c r="D1829" i="11"/>
  <c r="D1831" i="11"/>
  <c r="D1846" i="11"/>
  <c r="D1848" i="11"/>
  <c r="D1850" i="11"/>
  <c r="D1852" i="11"/>
  <c r="D1854" i="11"/>
  <c r="D1856" i="11"/>
  <c r="D1871" i="11"/>
  <c r="D1873" i="11"/>
  <c r="D1875" i="11"/>
  <c r="D1877" i="11"/>
  <c r="D1879" i="11"/>
  <c r="D1881" i="11"/>
  <c r="D1883" i="11"/>
  <c r="D1898" i="11"/>
  <c r="D1900" i="11"/>
  <c r="D1902" i="11"/>
  <c r="D1904" i="11"/>
  <c r="D1906" i="11"/>
  <c r="D1908" i="11"/>
  <c r="D2550" i="11"/>
  <c r="D2554" i="11"/>
  <c r="D2558" i="11"/>
  <c r="D322" i="11"/>
  <c r="D333" i="11"/>
  <c r="D366" i="11"/>
  <c r="D376" i="11"/>
  <c r="D2586" i="11"/>
  <c r="D2596" i="11"/>
  <c r="D2628" i="11"/>
  <c r="D2638" i="11"/>
  <c r="D2682" i="11"/>
  <c r="D2692" i="11"/>
  <c r="C286" i="10"/>
  <c r="C282" i="10"/>
  <c r="C281" i="10"/>
  <c r="C280" i="10"/>
  <c r="C279" i="10"/>
  <c r="C275" i="10"/>
  <c r="C274" i="10"/>
  <c r="C273" i="10"/>
  <c r="C272" i="10"/>
  <c r="C271" i="10"/>
  <c r="C270" i="10"/>
  <c r="C269" i="10"/>
  <c r="C268" i="10"/>
  <c r="C264" i="10"/>
  <c r="C263" i="10"/>
  <c r="C262" i="10"/>
  <c r="C254" i="10"/>
  <c r="C253" i="10"/>
  <c r="C248" i="10"/>
  <c r="C247" i="10"/>
  <c r="C246" i="10"/>
  <c r="C245" i="10"/>
  <c r="C240" i="10"/>
  <c r="C239" i="10"/>
  <c r="C238" i="10"/>
  <c r="C236" i="10"/>
  <c r="C132" i="26"/>
  <c r="C65" i="26"/>
  <c r="G37" i="12"/>
  <c r="D101" i="44"/>
  <c r="D73" i="44"/>
  <c r="D99" i="44"/>
  <c r="D71" i="44"/>
  <c r="D59" i="26"/>
  <c r="D23" i="26"/>
  <c r="I37" i="12"/>
  <c r="D11" i="44"/>
  <c r="M8" i="44"/>
  <c r="T80" i="44" s="1"/>
  <c r="L946" i="58" s="1"/>
  <c r="M10" i="44"/>
  <c r="T82" i="44" s="1"/>
  <c r="L840" i="58" s="1"/>
  <c r="C7" i="44"/>
  <c r="C8" i="44"/>
  <c r="M9" i="44"/>
  <c r="T81" i="44" s="1"/>
  <c r="T78" i="44"/>
  <c r="L189" i="58" s="1"/>
  <c r="L59" i="58" s="1"/>
  <c r="L85" i="58" s="1"/>
  <c r="L111" i="58" s="1"/>
  <c r="L137" i="58" s="1"/>
  <c r="L163" i="58" s="1"/>
  <c r="B6" i="44"/>
  <c r="B9" i="44"/>
  <c r="B64" i="44"/>
  <c r="C64" i="44"/>
  <c r="E64" i="44"/>
  <c r="E72" i="44" s="1"/>
  <c r="G64" i="44"/>
  <c r="G72" i="44" s="1"/>
  <c r="I64" i="44"/>
  <c r="I72" i="44" s="1"/>
  <c r="B62" i="44"/>
  <c r="B70" i="44" s="1"/>
  <c r="C62" i="44"/>
  <c r="C70" i="44" s="1"/>
  <c r="E62" i="44"/>
  <c r="E70" i="44" s="1"/>
  <c r="G62" i="44"/>
  <c r="G70" i="44" s="1"/>
  <c r="I62" i="44"/>
  <c r="B60" i="44"/>
  <c r="C60" i="44"/>
  <c r="E60" i="44"/>
  <c r="G60" i="44"/>
  <c r="I60" i="44"/>
  <c r="B58" i="44"/>
  <c r="B93" i="44" s="1"/>
  <c r="C58" i="44"/>
  <c r="C93" i="44" s="1"/>
  <c r="E58" i="44"/>
  <c r="E93" i="44" s="1"/>
  <c r="G58" i="44"/>
  <c r="G93" i="44" s="1"/>
  <c r="I58" i="44"/>
  <c r="I93" i="44" s="1"/>
  <c r="B56" i="44"/>
  <c r="B91" i="44" s="1"/>
  <c r="C56" i="44"/>
  <c r="C91" i="44" s="1"/>
  <c r="E56" i="44"/>
  <c r="E91" i="44" s="1"/>
  <c r="G56" i="44"/>
  <c r="G91" i="44" s="1"/>
  <c r="I56" i="44"/>
  <c r="I91" i="44" s="1"/>
  <c r="B54" i="44"/>
  <c r="B89" i="44" s="1"/>
  <c r="C54" i="44"/>
  <c r="C89" i="44" s="1"/>
  <c r="E54" i="44"/>
  <c r="E89" i="44" s="1"/>
  <c r="G54" i="44"/>
  <c r="G89" i="44" s="1"/>
  <c r="I54" i="44"/>
  <c r="I89" i="44" s="1"/>
  <c r="B52" i="44"/>
  <c r="B87" i="44" s="1"/>
  <c r="C52" i="44"/>
  <c r="C87" i="44" s="1"/>
  <c r="E52" i="44"/>
  <c r="E87" i="44" s="1"/>
  <c r="G52" i="44"/>
  <c r="G87" i="44" s="1"/>
  <c r="I52" i="44"/>
  <c r="I87" i="44" s="1"/>
  <c r="K13" i="44"/>
  <c r="R85" i="44" s="1"/>
  <c r="F13" i="44"/>
  <c r="E12" i="44"/>
  <c r="K11" i="44"/>
  <c r="R83" i="44" s="1"/>
  <c r="J444" i="58" s="1"/>
  <c r="K7" i="44"/>
  <c r="K6" i="44"/>
  <c r="U85" i="44"/>
  <c r="H65" i="44"/>
  <c r="H63" i="44"/>
  <c r="H61" i="44"/>
  <c r="H97" i="44" s="1"/>
  <c r="H59" i="44"/>
  <c r="H95" i="44" s="1"/>
  <c r="H57" i="44"/>
  <c r="H92" i="44" s="1"/>
  <c r="H55" i="44"/>
  <c r="H90" i="44" s="1"/>
  <c r="H53" i="44"/>
  <c r="H88" i="44" s="1"/>
  <c r="O11" i="44"/>
  <c r="U83" i="44"/>
  <c r="U79" i="44"/>
  <c r="M758" i="58" s="1"/>
  <c r="N10" i="44"/>
  <c r="U82" i="44" s="1"/>
  <c r="M996" i="58" s="1"/>
  <c r="L8" i="44"/>
  <c r="S80" i="44" s="1"/>
  <c r="K948" i="58" s="1"/>
  <c r="J10" i="44"/>
  <c r="Q82" i="44" s="1"/>
  <c r="I370" i="58" s="1"/>
  <c r="O6" i="44"/>
  <c r="U77" i="44"/>
  <c r="M694" i="58" s="1"/>
  <c r="S77" i="44"/>
  <c r="K866" i="58" s="1"/>
  <c r="Q77" i="44"/>
  <c r="I850" i="58" s="1"/>
  <c r="J9" i="44"/>
  <c r="Q81" i="44" s="1"/>
  <c r="I953" i="58" s="1"/>
  <c r="B65" i="44"/>
  <c r="C65" i="44"/>
  <c r="E65" i="44"/>
  <c r="G65" i="44"/>
  <c r="I65" i="44"/>
  <c r="B63" i="44"/>
  <c r="C63" i="44"/>
  <c r="E63" i="44"/>
  <c r="G63" i="44"/>
  <c r="G71" i="44" s="1"/>
  <c r="I63" i="44"/>
  <c r="B61" i="44"/>
  <c r="B97" i="44" s="1"/>
  <c r="C61" i="44"/>
  <c r="C97" i="44" s="1"/>
  <c r="E61" i="44"/>
  <c r="E97" i="44" s="1"/>
  <c r="G61" i="44"/>
  <c r="G97" i="44" s="1"/>
  <c r="I61" i="44"/>
  <c r="I97" i="44" s="1"/>
  <c r="B59" i="44"/>
  <c r="B95" i="44" s="1"/>
  <c r="C59" i="44"/>
  <c r="C95" i="44" s="1"/>
  <c r="E59" i="44"/>
  <c r="E95" i="44" s="1"/>
  <c r="G59" i="44"/>
  <c r="G95" i="44" s="1"/>
  <c r="I59" i="44"/>
  <c r="I95" i="44" s="1"/>
  <c r="B57" i="44"/>
  <c r="B92" i="44" s="1"/>
  <c r="C57" i="44"/>
  <c r="C92" i="44" s="1"/>
  <c r="E57" i="44"/>
  <c r="E92" i="44" s="1"/>
  <c r="G57" i="44"/>
  <c r="G92" i="44" s="1"/>
  <c r="I57" i="44"/>
  <c r="I92" i="44" s="1"/>
  <c r="B55" i="44"/>
  <c r="B90" i="44" s="1"/>
  <c r="C55" i="44"/>
  <c r="C90" i="44" s="1"/>
  <c r="E55" i="44"/>
  <c r="E90" i="44" s="1"/>
  <c r="G55" i="44"/>
  <c r="G90" i="44" s="1"/>
  <c r="I55" i="44"/>
  <c r="I90" i="44" s="1"/>
  <c r="B53" i="44"/>
  <c r="B88" i="44" s="1"/>
  <c r="C53" i="44"/>
  <c r="C88" i="44" s="1"/>
  <c r="E53" i="44"/>
  <c r="E88" i="44" s="1"/>
  <c r="G53" i="44"/>
  <c r="G88" i="44" s="1"/>
  <c r="I53" i="44"/>
  <c r="I88" i="44" s="1"/>
  <c r="B49" i="44"/>
  <c r="B84" i="44" s="1"/>
  <c r="B50" i="44"/>
  <c r="B85" i="44" s="1"/>
  <c r="C96" i="26"/>
  <c r="H37" i="12"/>
  <c r="V85" i="44"/>
  <c r="T79" i="44"/>
  <c r="L764" i="58" s="1"/>
  <c r="U78" i="44"/>
  <c r="M896" i="58" s="1"/>
  <c r="Q78" i="44"/>
  <c r="I740" i="58" s="1"/>
  <c r="T77" i="44"/>
  <c r="L858" i="58" s="1"/>
  <c r="H64" i="44"/>
  <c r="H72" i="44" s="1"/>
  <c r="D64" i="44"/>
  <c r="D72" i="44" s="1"/>
  <c r="H62" i="44"/>
  <c r="D62" i="44"/>
  <c r="H60" i="44"/>
  <c r="H69" i="44" s="1"/>
  <c r="D60" i="44"/>
  <c r="H58" i="44"/>
  <c r="H93" i="44" s="1"/>
  <c r="D58" i="44"/>
  <c r="D93" i="44" s="1"/>
  <c r="H56" i="44"/>
  <c r="H91" i="44" s="1"/>
  <c r="D56" i="44"/>
  <c r="D91" i="44" s="1"/>
  <c r="H54" i="44"/>
  <c r="H89" i="44" s="1"/>
  <c r="D54" i="44"/>
  <c r="D89" i="44" s="1"/>
  <c r="H52" i="44"/>
  <c r="H87" i="44" s="1"/>
  <c r="D52" i="44"/>
  <c r="D87" i="44" s="1"/>
  <c r="I51" i="44"/>
  <c r="I86" i="44" s="1"/>
  <c r="G51" i="44"/>
  <c r="G86" i="44" s="1"/>
  <c r="E51" i="44"/>
  <c r="E86" i="44" s="1"/>
  <c r="C51" i="44"/>
  <c r="C86" i="44" s="1"/>
  <c r="I48" i="44"/>
  <c r="I83" i="44" s="1"/>
  <c r="G48" i="44"/>
  <c r="G83" i="44" s="1"/>
  <c r="E48" i="44"/>
  <c r="E83" i="44" s="1"/>
  <c r="C48" i="44"/>
  <c r="C83" i="44" s="1"/>
  <c r="I47" i="44"/>
  <c r="G47" i="44"/>
  <c r="E47" i="44"/>
  <c r="C47" i="44"/>
  <c r="I46" i="44"/>
  <c r="I82" i="44" s="1"/>
  <c r="G46" i="44"/>
  <c r="G82" i="44" s="1"/>
  <c r="E46" i="44"/>
  <c r="E82" i="44" s="1"/>
  <c r="C46" i="44"/>
  <c r="C82" i="44" s="1"/>
  <c r="I45" i="44"/>
  <c r="I81" i="44" s="1"/>
  <c r="G45" i="44"/>
  <c r="G81" i="44" s="1"/>
  <c r="E45" i="44"/>
  <c r="E81" i="44" s="1"/>
  <c r="C45" i="44"/>
  <c r="C81" i="44" s="1"/>
  <c r="I44" i="44"/>
  <c r="I80" i="44" s="1"/>
  <c r="G44" i="44"/>
  <c r="G80" i="44" s="1"/>
  <c r="E44" i="44"/>
  <c r="E80" i="44" s="1"/>
  <c r="C44" i="44"/>
  <c r="C80" i="44" s="1"/>
  <c r="I43" i="44"/>
  <c r="I79" i="44" s="1"/>
  <c r="I94" i="44" s="1"/>
  <c r="G43" i="44"/>
  <c r="G79" i="44" s="1"/>
  <c r="G94" i="44" s="1"/>
  <c r="E43" i="44"/>
  <c r="E79" i="44" s="1"/>
  <c r="E94" i="44" s="1"/>
  <c r="C43" i="44"/>
  <c r="C79" i="44" s="1"/>
  <c r="C94" i="44" s="1"/>
  <c r="I42" i="44"/>
  <c r="G42" i="44"/>
  <c r="E42" i="44"/>
  <c r="C42" i="44"/>
  <c r="I41" i="44"/>
  <c r="G41" i="44"/>
  <c r="E41" i="44"/>
  <c r="C41" i="44"/>
  <c r="I40" i="44"/>
  <c r="I78" i="44" s="1"/>
  <c r="G40" i="44"/>
  <c r="G78" i="44" s="1"/>
  <c r="E40" i="44"/>
  <c r="E78" i="44" s="1"/>
  <c r="C40" i="44"/>
  <c r="C78" i="44" s="1"/>
  <c r="I39" i="44"/>
  <c r="I77" i="44" s="1"/>
  <c r="G39" i="44"/>
  <c r="G77" i="44" s="1"/>
  <c r="E39" i="44"/>
  <c r="E77" i="44" s="1"/>
  <c r="C39" i="44"/>
  <c r="C77" i="44" s="1"/>
  <c r="B96" i="26"/>
  <c r="D291" i="11"/>
  <c r="D297" i="11"/>
  <c r="D301" i="11"/>
  <c r="D308" i="11"/>
  <c r="D314" i="11"/>
  <c r="D318" i="11"/>
  <c r="D324" i="11"/>
  <c r="D330" i="11"/>
  <c r="D335" i="11"/>
  <c r="D341" i="11"/>
  <c r="D347" i="11"/>
  <c r="D351" i="11"/>
  <c r="D358" i="11"/>
  <c r="D364" i="11"/>
  <c r="D368" i="11"/>
  <c r="D374" i="11"/>
  <c r="D380" i="11"/>
  <c r="D384" i="11"/>
  <c r="D390" i="11"/>
  <c r="D396" i="11"/>
  <c r="D400" i="11"/>
  <c r="D406" i="11"/>
  <c r="D2578" i="11"/>
  <c r="D2582" i="11"/>
  <c r="D2588" i="11"/>
  <c r="D2594" i="11"/>
  <c r="D2598" i="11"/>
  <c r="D2604" i="11"/>
  <c r="D2610" i="11"/>
  <c r="D2614" i="11"/>
  <c r="D2620" i="11"/>
  <c r="D2626" i="11"/>
  <c r="D2630" i="11"/>
  <c r="D2636" i="11"/>
  <c r="D2642" i="11"/>
  <c r="D2646" i="11"/>
  <c r="D2652" i="11"/>
  <c r="D2658" i="11"/>
  <c r="D2662" i="11"/>
  <c r="D2668" i="11"/>
  <c r="D2674" i="11"/>
  <c r="D2678" i="11"/>
  <c r="D2684" i="11"/>
  <c r="D2690" i="11"/>
  <c r="D2694" i="11"/>
  <c r="D2700" i="11"/>
  <c r="D2706" i="11"/>
  <c r="D2710" i="11"/>
  <c r="D2716" i="11"/>
  <c r="C111" i="26"/>
  <c r="C106" i="26"/>
  <c r="C91" i="26"/>
  <c r="D543" i="58" l="1"/>
  <c r="D539" i="58"/>
  <c r="D547" i="58"/>
  <c r="D535" i="58"/>
  <c r="D823" i="58"/>
  <c r="D748" i="58"/>
  <c r="D723" i="58"/>
  <c r="D588" i="58"/>
  <c r="D929" i="58"/>
  <c r="D567" i="58"/>
  <c r="D828" i="58"/>
  <c r="D803" i="58"/>
  <c r="D728" i="58"/>
  <c r="D773" i="58"/>
  <c r="D959" i="58"/>
  <c r="D698" i="58"/>
  <c r="D934" i="58"/>
  <c r="D979" i="58"/>
  <c r="D909" i="58"/>
  <c r="D954" i="58"/>
  <c r="D884" i="58"/>
  <c r="D879" i="58"/>
  <c r="D904" i="58"/>
  <c r="D854" i="58"/>
  <c r="D672" i="58"/>
  <c r="D651" i="58"/>
  <c r="D630" i="58"/>
  <c r="D555" i="58"/>
  <c r="D548" i="58"/>
  <c r="D824" i="58"/>
  <c r="D544" i="58"/>
  <c r="D540" i="58"/>
  <c r="D724" i="58"/>
  <c r="D699" i="58"/>
  <c r="D799" i="58"/>
  <c r="D545" i="58"/>
  <c r="D541" i="58"/>
  <c r="D537" i="58"/>
  <c r="D1116" i="11"/>
  <c r="D533" i="58"/>
  <c r="D821" i="58"/>
  <c r="D774" i="58"/>
  <c r="D796" i="58"/>
  <c r="D738" i="58"/>
  <c r="D536" i="58"/>
  <c r="D771" i="58"/>
  <c r="D713" i="58"/>
  <c r="D950" i="58"/>
  <c r="D749" i="58"/>
  <c r="D746" i="58"/>
  <c r="D994" i="58"/>
  <c r="D684" i="58"/>
  <c r="D980" i="58"/>
  <c r="D955" i="58"/>
  <c r="D952" i="58"/>
  <c r="D894" i="58"/>
  <c r="D579" i="58"/>
  <c r="D977" i="58"/>
  <c r="D930" i="58"/>
  <c r="D877" i="58"/>
  <c r="D869" i="58"/>
  <c r="D790" i="58"/>
  <c r="D696" i="58"/>
  <c r="D905" i="58"/>
  <c r="D927" i="58"/>
  <c r="D765" i="58"/>
  <c r="D880" i="58"/>
  <c r="D902" i="58"/>
  <c r="D740" i="58"/>
  <c r="D852" i="58"/>
  <c r="D682" i="58"/>
  <c r="D715" i="58"/>
  <c r="D661" i="58"/>
  <c r="D996" i="58"/>
  <c r="D640" i="58"/>
  <c r="D946" i="58"/>
  <c r="D556" i="58"/>
  <c r="D553" i="58"/>
  <c r="D619" i="58"/>
  <c r="D921" i="58"/>
  <c r="D2020" i="11"/>
  <c r="D721" i="58"/>
  <c r="D552" i="58"/>
  <c r="D896" i="58"/>
  <c r="D975" i="58"/>
  <c r="D668" i="58"/>
  <c r="D592" i="58"/>
  <c r="D571" i="58"/>
  <c r="D988" i="58"/>
  <c r="D832" i="58"/>
  <c r="D757" i="58"/>
  <c r="D807" i="58"/>
  <c r="D732" i="58"/>
  <c r="D782" i="58"/>
  <c r="D707" i="58"/>
  <c r="D963" i="58"/>
  <c r="D913" i="58"/>
  <c r="D938" i="58"/>
  <c r="D888" i="58"/>
  <c r="D863" i="58"/>
  <c r="D676" i="58"/>
  <c r="D655" i="58"/>
  <c r="D634" i="58"/>
  <c r="D871" i="58"/>
  <c r="D642" i="58"/>
  <c r="D840" i="58"/>
  <c r="D815" i="58"/>
  <c r="D925" i="58"/>
  <c r="D667" i="58"/>
  <c r="D626" i="58"/>
  <c r="D605" i="58"/>
  <c r="D741" i="58"/>
  <c r="D584" i="58"/>
  <c r="D901" i="58"/>
  <c r="D554" i="58"/>
  <c r="D542" i="58"/>
  <c r="D538" i="58"/>
  <c r="D878" i="58"/>
  <c r="D853" i="58"/>
  <c r="D629" i="58"/>
  <c r="D650" i="58"/>
  <c r="D635" i="58"/>
  <c r="D876" i="58"/>
  <c r="D674" i="58"/>
  <c r="D851" i="58"/>
  <c r="D653" i="58"/>
  <c r="D664" i="58"/>
  <c r="D643" i="58"/>
  <c r="D622" i="58"/>
  <c r="D601" i="58"/>
  <c r="D580" i="58"/>
  <c r="D841" i="58"/>
  <c r="D791" i="58"/>
  <c r="D766" i="58"/>
  <c r="D900" i="58"/>
  <c r="D875" i="58"/>
  <c r="D608" i="58"/>
  <c r="D593" i="58"/>
  <c r="D632" i="58"/>
  <c r="D587" i="58"/>
  <c r="D833" i="58"/>
  <c r="C892" i="58"/>
  <c r="C992" i="58"/>
  <c r="C867" i="58"/>
  <c r="C942" i="58"/>
  <c r="C967" i="58"/>
  <c r="C917" i="58"/>
  <c r="D611" i="58"/>
  <c r="D532" i="58"/>
  <c r="D808" i="58"/>
  <c r="C695" i="58"/>
  <c r="C720" i="58"/>
  <c r="C820" i="58"/>
  <c r="C770" i="58"/>
  <c r="C795" i="58"/>
  <c r="C745" i="58"/>
  <c r="C913" i="58"/>
  <c r="C888" i="58"/>
  <c r="C988" i="58"/>
  <c r="C963" i="58"/>
  <c r="C863" i="58"/>
  <c r="C938" i="58"/>
  <c r="C955" i="58"/>
  <c r="C930" i="58"/>
  <c r="C905" i="58"/>
  <c r="C880" i="58"/>
  <c r="C980" i="58"/>
  <c r="C855" i="58"/>
  <c r="C761" i="58"/>
  <c r="C736" i="58"/>
  <c r="C836" i="58"/>
  <c r="C811" i="58"/>
  <c r="C711" i="58"/>
  <c r="C786" i="58"/>
  <c r="D590" i="58"/>
  <c r="D550" i="58"/>
  <c r="D827" i="58"/>
  <c r="D783" i="58"/>
  <c r="D850" i="58"/>
  <c r="C719" i="58"/>
  <c r="C819" i="58"/>
  <c r="C694" i="58"/>
  <c r="C794" i="58"/>
  <c r="C744" i="58"/>
  <c r="C769" i="58"/>
  <c r="D647" i="58"/>
  <c r="D569" i="58"/>
  <c r="D816" i="58"/>
  <c r="D546" i="58"/>
  <c r="D802" i="58"/>
  <c r="D708" i="58"/>
  <c r="C972" i="58"/>
  <c r="C997" i="58"/>
  <c r="C872" i="58"/>
  <c r="C947" i="58"/>
  <c r="C922" i="58"/>
  <c r="C897" i="58"/>
  <c r="C784" i="58"/>
  <c r="C759" i="58"/>
  <c r="C734" i="58"/>
  <c r="C834" i="58"/>
  <c r="C709" i="58"/>
  <c r="C809" i="58"/>
  <c r="C976" i="58"/>
  <c r="C851" i="58"/>
  <c r="C951" i="58"/>
  <c r="C926" i="58"/>
  <c r="C901" i="58"/>
  <c r="C876" i="58"/>
  <c r="C781" i="58"/>
  <c r="C756" i="58"/>
  <c r="C731" i="58"/>
  <c r="C806" i="58"/>
  <c r="C706" i="58"/>
  <c r="C831" i="58"/>
  <c r="D820" i="58"/>
  <c r="D755" i="58"/>
  <c r="D716" i="58"/>
  <c r="D797" i="58"/>
  <c r="D702" i="58"/>
  <c r="D964" i="58"/>
  <c r="D625" i="58"/>
  <c r="C804" i="58"/>
  <c r="C779" i="58"/>
  <c r="C729" i="58"/>
  <c r="C754" i="58"/>
  <c r="C704" i="58"/>
  <c r="C829" i="58"/>
  <c r="C722" i="58"/>
  <c r="C822" i="58"/>
  <c r="C697" i="58"/>
  <c r="C797" i="58"/>
  <c r="C772" i="58"/>
  <c r="C747" i="58"/>
  <c r="D795" i="58"/>
  <c r="D730" i="58"/>
  <c r="D997" i="58"/>
  <c r="D772" i="58"/>
  <c r="D983" i="58"/>
  <c r="D939" i="58"/>
  <c r="D604" i="58"/>
  <c r="C891" i="58"/>
  <c r="C991" i="58"/>
  <c r="C866" i="58"/>
  <c r="C966" i="58"/>
  <c r="C941" i="58"/>
  <c r="C916" i="58"/>
  <c r="C978" i="58"/>
  <c r="C853" i="58"/>
  <c r="C953" i="58"/>
  <c r="C928" i="58"/>
  <c r="C903" i="58"/>
  <c r="C878" i="58"/>
  <c r="C757" i="58"/>
  <c r="C782" i="58"/>
  <c r="C732" i="58"/>
  <c r="C832" i="58"/>
  <c r="C707" i="58"/>
  <c r="C807" i="58"/>
  <c r="C190" i="11"/>
  <c r="D770" i="58"/>
  <c r="D986" i="58"/>
  <c r="D972" i="58"/>
  <c r="D534" i="58"/>
  <c r="D958" i="58"/>
  <c r="D914" i="58"/>
  <c r="D583" i="58"/>
  <c r="C998" i="58"/>
  <c r="C873" i="58"/>
  <c r="C973" i="58"/>
  <c r="C948" i="58"/>
  <c r="C923" i="58"/>
  <c r="C898" i="58"/>
  <c r="C935" i="58"/>
  <c r="C910" i="58"/>
  <c r="C885" i="58"/>
  <c r="C985" i="58"/>
  <c r="C860" i="58"/>
  <c r="C960" i="58"/>
  <c r="D564" i="58"/>
  <c r="D705" i="58"/>
  <c r="D947" i="58"/>
  <c r="D747" i="58"/>
  <c r="D933" i="58"/>
  <c r="D889" i="58"/>
  <c r="D563" i="58"/>
  <c r="C742" i="58"/>
  <c r="C842" i="58"/>
  <c r="C717" i="58"/>
  <c r="C817" i="58"/>
  <c r="C792" i="58"/>
  <c r="C767" i="58"/>
  <c r="C894" i="58"/>
  <c r="C869" i="58"/>
  <c r="C994" i="58"/>
  <c r="C969" i="58"/>
  <c r="C944" i="58"/>
  <c r="C919" i="58"/>
  <c r="C802" i="58"/>
  <c r="C777" i="58"/>
  <c r="C752" i="58"/>
  <c r="C827" i="58"/>
  <c r="C727" i="58"/>
  <c r="C702" i="58"/>
  <c r="C740" i="58"/>
  <c r="C840" i="58"/>
  <c r="C715" i="58"/>
  <c r="C790" i="58"/>
  <c r="C815" i="58"/>
  <c r="C765" i="58"/>
  <c r="C741" i="58"/>
  <c r="C841" i="58"/>
  <c r="C716" i="58"/>
  <c r="C816" i="58"/>
  <c r="C791" i="58"/>
  <c r="C766" i="58"/>
  <c r="D745" i="58"/>
  <c r="D961" i="58"/>
  <c r="D922" i="58"/>
  <c r="D722" i="58"/>
  <c r="D908" i="58"/>
  <c r="D864" i="58"/>
  <c r="D819" i="58"/>
  <c r="C825" i="58"/>
  <c r="C700" i="58"/>
  <c r="C800" i="58"/>
  <c r="C775" i="58"/>
  <c r="C750" i="58"/>
  <c r="C725" i="58"/>
  <c r="C977" i="58"/>
  <c r="C852" i="58"/>
  <c r="C952" i="58"/>
  <c r="C927" i="58"/>
  <c r="C902" i="58"/>
  <c r="C877" i="58"/>
  <c r="C783" i="58"/>
  <c r="C758" i="58"/>
  <c r="C733" i="58"/>
  <c r="C833" i="58"/>
  <c r="C708" i="58"/>
  <c r="C808" i="58"/>
  <c r="D720" i="58"/>
  <c r="D936" i="58"/>
  <c r="D897" i="58"/>
  <c r="D697" i="58"/>
  <c r="D883" i="58"/>
  <c r="D794" i="58"/>
  <c r="C956" i="58"/>
  <c r="C931" i="58"/>
  <c r="C906" i="58"/>
  <c r="C881" i="58"/>
  <c r="C981" i="58"/>
  <c r="C856" i="58"/>
  <c r="C821" i="58"/>
  <c r="C721" i="58"/>
  <c r="C696" i="58"/>
  <c r="C796" i="58"/>
  <c r="C771" i="58"/>
  <c r="C746" i="58"/>
  <c r="C763" i="58"/>
  <c r="C738" i="58"/>
  <c r="C838" i="58"/>
  <c r="C713" i="58"/>
  <c r="C813" i="58"/>
  <c r="C788" i="58"/>
  <c r="C933" i="58"/>
  <c r="C908" i="58"/>
  <c r="C883" i="58"/>
  <c r="C983" i="58"/>
  <c r="C958" i="58"/>
  <c r="C858" i="58"/>
  <c r="C995" i="58"/>
  <c r="C870" i="58"/>
  <c r="C970" i="58"/>
  <c r="C945" i="58"/>
  <c r="C920" i="58"/>
  <c r="C895" i="58"/>
  <c r="C739" i="58"/>
  <c r="C839" i="58"/>
  <c r="C714" i="58"/>
  <c r="C814" i="58"/>
  <c r="C789" i="58"/>
  <c r="C764" i="58"/>
  <c r="D1161" i="11"/>
  <c r="D695" i="58"/>
  <c r="D911" i="58"/>
  <c r="D872" i="58"/>
  <c r="D978" i="58"/>
  <c r="D858" i="58"/>
  <c r="D769" i="58"/>
  <c r="C914" i="58"/>
  <c r="C889" i="58"/>
  <c r="C989" i="58"/>
  <c r="C864" i="58"/>
  <c r="C964" i="58"/>
  <c r="C939" i="58"/>
  <c r="C912" i="58"/>
  <c r="C887" i="58"/>
  <c r="C987" i="58"/>
  <c r="C862" i="58"/>
  <c r="C962" i="58"/>
  <c r="C937" i="58"/>
  <c r="D976" i="58"/>
  <c r="D886" i="58"/>
  <c r="D953" i="58"/>
  <c r="D677" i="58"/>
  <c r="D744" i="58"/>
  <c r="C954" i="58"/>
  <c r="C929" i="58"/>
  <c r="C904" i="58"/>
  <c r="C979" i="58"/>
  <c r="C879" i="58"/>
  <c r="C854" i="58"/>
  <c r="C803" i="58"/>
  <c r="C778" i="58"/>
  <c r="C728" i="58"/>
  <c r="C753" i="58"/>
  <c r="C703" i="58"/>
  <c r="C828" i="58"/>
  <c r="C957" i="58"/>
  <c r="C932" i="58"/>
  <c r="C907" i="58"/>
  <c r="C882" i="58"/>
  <c r="C982" i="58"/>
  <c r="C857" i="58"/>
  <c r="C850" i="58"/>
  <c r="C975" i="58"/>
  <c r="C950" i="58"/>
  <c r="C925" i="58"/>
  <c r="C900" i="58"/>
  <c r="C875" i="58"/>
  <c r="D758" i="58"/>
  <c r="D805" i="58"/>
  <c r="D752" i="58"/>
  <c r="C915" i="58"/>
  <c r="C890" i="58"/>
  <c r="C990" i="58"/>
  <c r="C865" i="58"/>
  <c r="C965" i="58"/>
  <c r="C940" i="58"/>
  <c r="D780" i="58"/>
  <c r="D822" i="58"/>
  <c r="D646" i="58"/>
  <c r="C760" i="58"/>
  <c r="C735" i="58"/>
  <c r="C835" i="58"/>
  <c r="C710" i="58"/>
  <c r="C785" i="58"/>
  <c r="C810" i="58"/>
  <c r="D951" i="58"/>
  <c r="D861" i="58"/>
  <c r="D928" i="58"/>
  <c r="D656" i="58"/>
  <c r="D719" i="58"/>
  <c r="C805" i="58"/>
  <c r="C780" i="58"/>
  <c r="C755" i="58"/>
  <c r="C730" i="58"/>
  <c r="C705" i="58"/>
  <c r="C830" i="58"/>
  <c r="C823" i="58"/>
  <c r="C698" i="58"/>
  <c r="C798" i="58"/>
  <c r="C773" i="58"/>
  <c r="C723" i="58"/>
  <c r="C748" i="58"/>
  <c r="D614" i="58"/>
  <c r="C799" i="58"/>
  <c r="C824" i="58"/>
  <c r="C699" i="58"/>
  <c r="C774" i="58"/>
  <c r="C749" i="58"/>
  <c r="C724" i="58"/>
  <c r="D830" i="58"/>
  <c r="D777" i="58"/>
  <c r="D733" i="58"/>
  <c r="D727" i="58"/>
  <c r="D989" i="58"/>
  <c r="C936" i="58"/>
  <c r="C911" i="58"/>
  <c r="C886" i="58"/>
  <c r="C986" i="58"/>
  <c r="C861" i="58"/>
  <c r="C961" i="58"/>
  <c r="C996" i="58"/>
  <c r="C871" i="58"/>
  <c r="C971" i="58"/>
  <c r="C921" i="58"/>
  <c r="C946" i="58"/>
  <c r="C896" i="58"/>
  <c r="C934" i="58"/>
  <c r="C909" i="58"/>
  <c r="C984" i="58"/>
  <c r="C859" i="58"/>
  <c r="C884" i="58"/>
  <c r="C959" i="58"/>
  <c r="C826" i="58"/>
  <c r="C701" i="58"/>
  <c r="C801" i="58"/>
  <c r="C776" i="58"/>
  <c r="C751" i="58"/>
  <c r="C726" i="58"/>
  <c r="D1006" i="11"/>
  <c r="D1108" i="11"/>
  <c r="D1111" i="11"/>
  <c r="D970" i="58"/>
  <c r="D1045" i="11"/>
  <c r="S79" i="44"/>
  <c r="K764" i="58" s="1"/>
  <c r="D10" i="44"/>
  <c r="D1043" i="11"/>
  <c r="AG20" i="57"/>
  <c r="R240" i="12" s="1"/>
  <c r="AF176" i="57"/>
  <c r="Q365" i="12" s="1"/>
  <c r="AH191" i="57"/>
  <c r="S380" i="12" s="1"/>
  <c r="AI154" i="57"/>
  <c r="T348" i="12" s="1"/>
  <c r="AI108" i="57"/>
  <c r="AI37" i="57"/>
  <c r="T251" i="12" s="1"/>
  <c r="K12" i="44"/>
  <c r="R84" i="44" s="1"/>
  <c r="J523" i="58" s="1"/>
  <c r="AG196" i="57"/>
  <c r="R385" i="12" s="1"/>
  <c r="AI133" i="57"/>
  <c r="T332" i="12" s="1"/>
  <c r="AF133" i="57"/>
  <c r="Q332" i="12" s="1"/>
  <c r="AG22" i="57"/>
  <c r="R203" i="12" s="1"/>
  <c r="AH83" i="57"/>
  <c r="S292" i="12" s="1"/>
  <c r="AG114" i="57"/>
  <c r="R313" i="12" s="1"/>
  <c r="AF174" i="57"/>
  <c r="Q363" i="12" s="1"/>
  <c r="AH67" i="57"/>
  <c r="S276" i="12" s="1"/>
  <c r="AI191" i="57"/>
  <c r="T380" i="12" s="1"/>
  <c r="AI65" i="57"/>
  <c r="T274" i="12" s="1"/>
  <c r="AH92" i="57"/>
  <c r="S296" i="12" s="1"/>
  <c r="AI107" i="57"/>
  <c r="AG45" i="57"/>
  <c r="R200" i="12" s="1"/>
  <c r="AH26" i="26"/>
  <c r="AH68" i="26"/>
  <c r="AH125" i="26"/>
  <c r="K409" i="58"/>
  <c r="AH134" i="57"/>
  <c r="S333" i="12" s="1"/>
  <c r="AF132" i="57"/>
  <c r="Q331" i="12" s="1"/>
  <c r="AG192" i="57"/>
  <c r="R381" i="12" s="1"/>
  <c r="AF62" i="57"/>
  <c r="Q271" i="12" s="1"/>
  <c r="AI124" i="57"/>
  <c r="T323" i="12" s="1"/>
  <c r="AG184" i="57"/>
  <c r="R373" i="12" s="1"/>
  <c r="AH184" i="57"/>
  <c r="S373" i="12" s="1"/>
  <c r="AH120" i="57"/>
  <c r="S319" i="12" s="1"/>
  <c r="AI182" i="57"/>
  <c r="T371" i="12" s="1"/>
  <c r="AH22" i="57"/>
  <c r="S203" i="12" s="1"/>
  <c r="AI84" i="57"/>
  <c r="T293" i="12" s="1"/>
  <c r="AG145" i="57"/>
  <c r="R344" i="12" s="1"/>
  <c r="AH144" i="57"/>
  <c r="S343" i="12" s="1"/>
  <c r="AG51" i="57"/>
  <c r="R260" i="12" s="1"/>
  <c r="AH174" i="57"/>
  <c r="S363" i="12" s="1"/>
  <c r="AG67" i="57"/>
  <c r="R276" i="12" s="1"/>
  <c r="AF190" i="57"/>
  <c r="Q379" i="12" s="1"/>
  <c r="AF196" i="57"/>
  <c r="Q385" i="12" s="1"/>
  <c r="AF71" i="57"/>
  <c r="Q280" i="12" s="1"/>
  <c r="AG70" i="57"/>
  <c r="R279" i="12" s="1"/>
  <c r="AH124" i="57"/>
  <c r="S323" i="12" s="1"/>
  <c r="AI67" i="57"/>
  <c r="T276" i="12" s="1"/>
  <c r="AH66" i="57"/>
  <c r="S275" i="12" s="1"/>
  <c r="AI87" i="57"/>
  <c r="T217" i="12" s="1"/>
  <c r="AG42" i="57"/>
  <c r="R256" i="12" s="1"/>
  <c r="AH55" i="57"/>
  <c r="S264" i="12" s="1"/>
  <c r="L523" i="58"/>
  <c r="AH146" i="57"/>
  <c r="S345" i="12" s="1"/>
  <c r="AF84" i="57"/>
  <c r="Q293" i="12" s="1"/>
  <c r="AF151" i="57"/>
  <c r="Q230" i="12" s="1"/>
  <c r="AF17" i="57"/>
  <c r="Q237" i="12" s="1"/>
  <c r="AF15" i="57"/>
  <c r="Q235" i="12" s="1"/>
  <c r="AG93" i="57"/>
  <c r="R297" i="12" s="1"/>
  <c r="AH108" i="57"/>
  <c r="M12" i="44"/>
  <c r="T84" i="44" s="1"/>
  <c r="AE26" i="26"/>
  <c r="S45" i="12" s="1"/>
  <c r="AH21" i="26"/>
  <c r="AG135" i="26"/>
  <c r="AH113" i="57"/>
  <c r="S312" i="12" s="1"/>
  <c r="AI172" i="57"/>
  <c r="T361" i="12" s="1"/>
  <c r="AG127" i="57"/>
  <c r="R326" i="12" s="1"/>
  <c r="AF109" i="57"/>
  <c r="AG97" i="57"/>
  <c r="R301" i="12" s="1"/>
  <c r="M444" i="58"/>
  <c r="B132" i="26"/>
  <c r="AF52" i="57"/>
  <c r="Q261" i="12" s="1"/>
  <c r="AI150" i="57"/>
  <c r="T229" i="12" s="1"/>
  <c r="AF147" i="57"/>
  <c r="Q226" i="12" s="1"/>
  <c r="AH40" i="57"/>
  <c r="S254" i="12" s="1"/>
  <c r="AF119" i="57"/>
  <c r="Q318" i="12" s="1"/>
  <c r="AI55" i="57"/>
  <c r="T264" i="12" s="1"/>
  <c r="AF177" i="57"/>
  <c r="Q366" i="12" s="1"/>
  <c r="AI160" i="57"/>
  <c r="T354" i="12" s="1"/>
  <c r="M11" i="44"/>
  <c r="T83" i="44" s="1"/>
  <c r="B75" i="26"/>
  <c r="C40" i="26"/>
  <c r="D59" i="12" s="1"/>
  <c r="D59" i="11" s="1"/>
  <c r="AI132" i="57"/>
  <c r="T331" i="12" s="1"/>
  <c r="AF192" i="57"/>
  <c r="Q381" i="12" s="1"/>
  <c r="AH132" i="57"/>
  <c r="S331" i="12" s="1"/>
  <c r="AG130" i="57"/>
  <c r="R329" i="12" s="1"/>
  <c r="AF124" i="57"/>
  <c r="Q323" i="12" s="1"/>
  <c r="AH186" i="57"/>
  <c r="S375" i="12" s="1"/>
  <c r="AH58" i="57"/>
  <c r="S267" i="12" s="1"/>
  <c r="AF58" i="57"/>
  <c r="Q267" i="12" s="1"/>
  <c r="AF184" i="57"/>
  <c r="Q373" i="12" s="1"/>
  <c r="AG18" i="57"/>
  <c r="R238" i="12" s="1"/>
  <c r="AF142" i="57"/>
  <c r="Q341" i="12" s="1"/>
  <c r="AI114" i="57"/>
  <c r="T313" i="12" s="1"/>
  <c r="AI112" i="57"/>
  <c r="T311" i="12" s="1"/>
  <c r="AG50" i="57"/>
  <c r="R259" i="12" s="1"/>
  <c r="AI48" i="57"/>
  <c r="T257" i="12" s="1"/>
  <c r="AG65" i="57"/>
  <c r="R274" i="12" s="1"/>
  <c r="AG189" i="57"/>
  <c r="R378" i="12" s="1"/>
  <c r="AI63" i="57"/>
  <c r="T272" i="12" s="1"/>
  <c r="AG152" i="57"/>
  <c r="R346" i="12" s="1"/>
  <c r="AF105" i="57"/>
  <c r="AI99" i="57"/>
  <c r="T303" i="12" s="1"/>
  <c r="AI97" i="57"/>
  <c r="T301" i="12" s="1"/>
  <c r="AH35" i="57"/>
  <c r="S249" i="12" s="1"/>
  <c r="AH159" i="57"/>
  <c r="S353" i="12" s="1"/>
  <c r="AH162" i="57"/>
  <c r="S356" i="12" s="1"/>
  <c r="AI115" i="57"/>
  <c r="T314" i="12" s="1"/>
  <c r="AH115" i="57"/>
  <c r="S314" i="12" s="1"/>
  <c r="F49" i="44"/>
  <c r="F84" i="44" s="1"/>
  <c r="F50" i="44"/>
  <c r="F85" i="44" s="1"/>
  <c r="J49" i="44"/>
  <c r="J84" i="44" s="1"/>
  <c r="J50" i="44"/>
  <c r="J85" i="44" s="1"/>
  <c r="K498" i="58"/>
  <c r="AI72" i="57"/>
  <c r="T281" i="12" s="1"/>
  <c r="AF194" i="57"/>
  <c r="Q383" i="12" s="1"/>
  <c r="AI192" i="57"/>
  <c r="T381" i="12" s="1"/>
  <c r="AF68" i="57"/>
  <c r="Q277" i="12" s="1"/>
  <c r="AG186" i="57"/>
  <c r="R375" i="12" s="1"/>
  <c r="AI185" i="57"/>
  <c r="T374" i="12" s="1"/>
  <c r="AH60" i="57"/>
  <c r="S269" i="12" s="1"/>
  <c r="AI120" i="57"/>
  <c r="T319" i="12" s="1"/>
  <c r="AH145" i="57"/>
  <c r="S344" i="12" s="1"/>
  <c r="AH82" i="57"/>
  <c r="S291" i="12" s="1"/>
  <c r="AI142" i="57"/>
  <c r="T341" i="12" s="1"/>
  <c r="AI52" i="57"/>
  <c r="T261" i="12" s="1"/>
  <c r="AG176" i="57"/>
  <c r="R365" i="12" s="1"/>
  <c r="AF50" i="57"/>
  <c r="Q259" i="12" s="1"/>
  <c r="AI128" i="57"/>
  <c r="T327" i="12" s="1"/>
  <c r="AF189" i="57"/>
  <c r="Q378" i="12" s="1"/>
  <c r="AF125" i="57"/>
  <c r="Q324" i="12" s="1"/>
  <c r="AH125" i="57"/>
  <c r="S324" i="12" s="1"/>
  <c r="AG147" i="57"/>
  <c r="R226" i="12" s="1"/>
  <c r="AI179" i="57"/>
  <c r="T368" i="12" s="1"/>
  <c r="AG177" i="57"/>
  <c r="R366" i="12" s="1"/>
  <c r="AH152" i="57"/>
  <c r="S346" i="12" s="1"/>
  <c r="AG90" i="57"/>
  <c r="R294" i="12" s="1"/>
  <c r="AI38" i="57"/>
  <c r="T252" i="12" s="1"/>
  <c r="AI53" i="57"/>
  <c r="T262" i="12" s="1"/>
  <c r="D662" i="58"/>
  <c r="D870" i="58"/>
  <c r="D578" i="58"/>
  <c r="D764" i="58"/>
  <c r="D641" i="58"/>
  <c r="D839" i="58"/>
  <c r="D739" i="58"/>
  <c r="D945" i="58"/>
  <c r="C20" i="10"/>
  <c r="E20" i="58" s="1"/>
  <c r="D620" i="58"/>
  <c r="D814" i="58"/>
  <c r="D714" i="58"/>
  <c r="D920" i="58"/>
  <c r="D683" i="58"/>
  <c r="D599" i="58"/>
  <c r="D789" i="58"/>
  <c r="D995" i="58"/>
  <c r="D1024" i="11"/>
  <c r="C941" i="11"/>
  <c r="D941" i="11" s="1"/>
  <c r="D963" i="11"/>
  <c r="D1118" i="11"/>
  <c r="D1034" i="11"/>
  <c r="D967" i="11"/>
  <c r="M957" i="58"/>
  <c r="M649" i="58"/>
  <c r="M797" i="58"/>
  <c r="M968" i="58"/>
  <c r="M813" i="58"/>
  <c r="M660" i="58"/>
  <c r="M953" i="58"/>
  <c r="M550" i="58"/>
  <c r="M304" i="58"/>
  <c r="M969" i="58"/>
  <c r="M812" i="58"/>
  <c r="M661" i="58"/>
  <c r="M315" i="58"/>
  <c r="M802" i="58"/>
  <c r="M650" i="58"/>
  <c r="M305" i="58"/>
  <c r="M801" i="58"/>
  <c r="M300" i="58"/>
  <c r="M316" i="58"/>
  <c r="M958" i="58"/>
  <c r="AF26" i="26"/>
  <c r="T45" i="12" s="1"/>
  <c r="AH78" i="26"/>
  <c r="AF114" i="26"/>
  <c r="T133" i="12" s="1"/>
  <c r="AH135" i="26"/>
  <c r="AH47" i="26"/>
  <c r="AF109" i="26"/>
  <c r="T128" i="12" s="1"/>
  <c r="AH130" i="26"/>
  <c r="H970" i="58"/>
  <c r="L970" i="58"/>
  <c r="I970" i="58"/>
  <c r="M970" i="58"/>
  <c r="H814" i="58"/>
  <c r="L814" i="58"/>
  <c r="I814" i="58"/>
  <c r="M814" i="58"/>
  <c r="H662" i="58"/>
  <c r="L662" i="58"/>
  <c r="I662" i="58"/>
  <c r="M662" i="58"/>
  <c r="M317" i="58"/>
  <c r="I317" i="58"/>
  <c r="L317" i="58"/>
  <c r="H317" i="58"/>
  <c r="M904" i="58"/>
  <c r="K904" i="58"/>
  <c r="H904" i="58"/>
  <c r="L904" i="58"/>
  <c r="H748" i="58"/>
  <c r="L748" i="58"/>
  <c r="M748" i="58"/>
  <c r="K748" i="58"/>
  <c r="M543" i="58"/>
  <c r="K543" i="58"/>
  <c r="H543" i="58"/>
  <c r="L543" i="58"/>
  <c r="K249" i="58"/>
  <c r="M249" i="58"/>
  <c r="L249" i="58"/>
  <c r="H249" i="58"/>
  <c r="H951" i="58"/>
  <c r="L951" i="58"/>
  <c r="I951" i="58"/>
  <c r="M951" i="58"/>
  <c r="H795" i="58"/>
  <c r="L795" i="58"/>
  <c r="I795" i="58"/>
  <c r="M795" i="58"/>
  <c r="H647" i="58"/>
  <c r="L647" i="58"/>
  <c r="I647" i="58"/>
  <c r="M647" i="58"/>
  <c r="M298" i="58"/>
  <c r="I298" i="58"/>
  <c r="L298" i="58"/>
  <c r="H298" i="58"/>
  <c r="H955" i="58"/>
  <c r="L955" i="58"/>
  <c r="I955" i="58"/>
  <c r="M955" i="58"/>
  <c r="H799" i="58"/>
  <c r="L799" i="58"/>
  <c r="I799" i="58"/>
  <c r="M799" i="58"/>
  <c r="H552" i="58"/>
  <c r="L552" i="58"/>
  <c r="I552" i="58"/>
  <c r="M552" i="58"/>
  <c r="M302" i="58"/>
  <c r="I302" i="58"/>
  <c r="L302" i="58"/>
  <c r="H302" i="58"/>
  <c r="C581" i="58"/>
  <c r="C602" i="58"/>
  <c r="C623" i="58"/>
  <c r="C644" i="58"/>
  <c r="C665" i="58"/>
  <c r="C686" i="58"/>
  <c r="D866" i="58"/>
  <c r="D891" i="58"/>
  <c r="D916" i="58"/>
  <c r="D941" i="58"/>
  <c r="D966" i="58"/>
  <c r="D991" i="58"/>
  <c r="D735" i="58"/>
  <c r="D710" i="58"/>
  <c r="D760" i="58"/>
  <c r="D785" i="58"/>
  <c r="D810" i="58"/>
  <c r="D835" i="58"/>
  <c r="D595" i="58"/>
  <c r="D616" i="58"/>
  <c r="D637" i="58"/>
  <c r="D574" i="58"/>
  <c r="D658" i="58"/>
  <c r="D679" i="58"/>
  <c r="C574" i="58"/>
  <c r="C595" i="58"/>
  <c r="C616" i="58"/>
  <c r="C637" i="58"/>
  <c r="C658" i="58"/>
  <c r="C679" i="58"/>
  <c r="C577" i="58"/>
  <c r="C598" i="58"/>
  <c r="C619" i="58"/>
  <c r="C640" i="58"/>
  <c r="C661" i="58"/>
  <c r="C682" i="58"/>
  <c r="D860" i="58"/>
  <c r="D885" i="58"/>
  <c r="D910" i="58"/>
  <c r="D935" i="58"/>
  <c r="D960" i="58"/>
  <c r="D985" i="58"/>
  <c r="D704" i="58"/>
  <c r="D729" i="58"/>
  <c r="D754" i="58"/>
  <c r="D779" i="58"/>
  <c r="D804" i="58"/>
  <c r="D829" i="58"/>
  <c r="D568" i="58"/>
  <c r="D589" i="58"/>
  <c r="D610" i="58"/>
  <c r="D631" i="58"/>
  <c r="D652" i="58"/>
  <c r="D673" i="58"/>
  <c r="C566" i="58"/>
  <c r="C586" i="58"/>
  <c r="C607" i="58"/>
  <c r="C628" i="58"/>
  <c r="C649" i="58"/>
  <c r="C670" i="58"/>
  <c r="C592" i="58"/>
  <c r="C613" i="58"/>
  <c r="C634" i="58"/>
  <c r="C571" i="58"/>
  <c r="C655" i="58"/>
  <c r="C676" i="58"/>
  <c r="H950" i="58"/>
  <c r="L950" i="58"/>
  <c r="I950" i="58"/>
  <c r="M950" i="58"/>
  <c r="H794" i="58"/>
  <c r="L794" i="58"/>
  <c r="I794" i="58"/>
  <c r="M794" i="58"/>
  <c r="I646" i="58"/>
  <c r="M646" i="58"/>
  <c r="H646" i="58"/>
  <c r="L646" i="58"/>
  <c r="M297" i="58"/>
  <c r="I297" i="58"/>
  <c r="L297" i="58"/>
  <c r="H297" i="58"/>
  <c r="H965" i="58"/>
  <c r="L965" i="58"/>
  <c r="I965" i="58"/>
  <c r="M965" i="58"/>
  <c r="H809" i="58"/>
  <c r="L809" i="58"/>
  <c r="I809" i="58"/>
  <c r="M809" i="58"/>
  <c r="H657" i="58"/>
  <c r="L657" i="58"/>
  <c r="I657" i="58"/>
  <c r="M657" i="58"/>
  <c r="M312" i="58"/>
  <c r="I312" i="58"/>
  <c r="L312" i="58"/>
  <c r="H312" i="58"/>
  <c r="I532" i="58"/>
  <c r="L702" i="58"/>
  <c r="M858" i="58"/>
  <c r="L790" i="58"/>
  <c r="H397" i="58"/>
  <c r="M345" i="58"/>
  <c r="K685" i="58"/>
  <c r="L685" i="58"/>
  <c r="M841" i="58"/>
  <c r="I997" i="58"/>
  <c r="I973" i="58"/>
  <c r="M973" i="58"/>
  <c r="H973" i="58"/>
  <c r="L973" i="58"/>
  <c r="H817" i="58"/>
  <c r="L817" i="58"/>
  <c r="I817" i="58"/>
  <c r="M817" i="58"/>
  <c r="H665" i="58"/>
  <c r="L665" i="58"/>
  <c r="I665" i="58"/>
  <c r="M665" i="58"/>
  <c r="M320" i="58"/>
  <c r="I320" i="58"/>
  <c r="L320" i="58"/>
  <c r="H320" i="58"/>
  <c r="AI70" i="57"/>
  <c r="T279" i="12" s="1"/>
  <c r="AG58" i="57"/>
  <c r="R267" i="12" s="1"/>
  <c r="AG120" i="57"/>
  <c r="R319" i="12" s="1"/>
  <c r="H966" i="58"/>
  <c r="L966" i="58"/>
  <c r="I966" i="58"/>
  <c r="M966" i="58"/>
  <c r="H810" i="58"/>
  <c r="L810" i="58"/>
  <c r="I810" i="58"/>
  <c r="M810" i="58"/>
  <c r="H658" i="58"/>
  <c r="L658" i="58"/>
  <c r="I658" i="58"/>
  <c r="M658" i="58"/>
  <c r="M313" i="58"/>
  <c r="I313" i="58"/>
  <c r="L313" i="58"/>
  <c r="H313" i="58"/>
  <c r="H257" i="58"/>
  <c r="M257" i="58"/>
  <c r="L612" i="58"/>
  <c r="M612" i="58"/>
  <c r="M756" i="58"/>
  <c r="H262" i="58"/>
  <c r="M262" i="58"/>
  <c r="K617" i="58"/>
  <c r="M917" i="58"/>
  <c r="H971" i="58"/>
  <c r="L971" i="58"/>
  <c r="I971" i="58"/>
  <c r="M971" i="58"/>
  <c r="H815" i="58"/>
  <c r="L815" i="58"/>
  <c r="I815" i="58"/>
  <c r="M815" i="58"/>
  <c r="H663" i="58"/>
  <c r="L663" i="58"/>
  <c r="I663" i="58"/>
  <c r="M663" i="58"/>
  <c r="M318" i="58"/>
  <c r="I318" i="58"/>
  <c r="L318" i="58"/>
  <c r="H318" i="58"/>
  <c r="H372" i="58"/>
  <c r="L398" i="58"/>
  <c r="I398" i="58"/>
  <c r="K398" i="58"/>
  <c r="I686" i="58"/>
  <c r="K842" i="58"/>
  <c r="L998" i="58"/>
  <c r="AG48" i="57"/>
  <c r="R257" i="12" s="1"/>
  <c r="AI110" i="57"/>
  <c r="T309" i="12" s="1"/>
  <c r="AI127" i="57"/>
  <c r="T326" i="12" s="1"/>
  <c r="AF63" i="57"/>
  <c r="Q272" i="12" s="1"/>
  <c r="D984" i="11"/>
  <c r="D1169" i="11"/>
  <c r="D973" i="11"/>
  <c r="D1171" i="11"/>
  <c r="D1173" i="11"/>
  <c r="D1020" i="11"/>
  <c r="D1151" i="11"/>
  <c r="D865" i="58"/>
  <c r="D890" i="58"/>
  <c r="D915" i="58"/>
  <c r="D940" i="58"/>
  <c r="D965" i="58"/>
  <c r="D990" i="58"/>
  <c r="D709" i="58"/>
  <c r="D734" i="58"/>
  <c r="D759" i="58"/>
  <c r="D784" i="58"/>
  <c r="D809" i="58"/>
  <c r="D834" i="58"/>
  <c r="D573" i="58"/>
  <c r="D594" i="58"/>
  <c r="D615" i="58"/>
  <c r="D636" i="58"/>
  <c r="D657" i="58"/>
  <c r="D678" i="58"/>
  <c r="D1011" i="11"/>
  <c r="D987" i="11"/>
  <c r="D1133" i="11"/>
  <c r="D1146" i="11"/>
  <c r="D1176" i="11"/>
  <c r="D1019" i="11"/>
  <c r="K851" i="58"/>
  <c r="H851" i="58"/>
  <c r="L851" i="58"/>
  <c r="I851" i="58"/>
  <c r="M851" i="58"/>
  <c r="H695" i="58"/>
  <c r="L695" i="58"/>
  <c r="I695" i="58"/>
  <c r="M695" i="58"/>
  <c r="K695" i="58"/>
  <c r="I564" i="58"/>
  <c r="M564" i="58"/>
  <c r="K564" i="58"/>
  <c r="H564" i="58"/>
  <c r="L564" i="58"/>
  <c r="K534" i="58"/>
  <c r="K697" i="58"/>
  <c r="L697" i="58"/>
  <c r="L853" i="58"/>
  <c r="I305" i="58"/>
  <c r="L802" i="58"/>
  <c r="I315" i="58"/>
  <c r="I660" i="58"/>
  <c r="L660" i="58"/>
  <c r="I813" i="58"/>
  <c r="I968" i="58"/>
  <c r="L968" i="58"/>
  <c r="L579" i="58"/>
  <c r="K715" i="58"/>
  <c r="K871" i="58"/>
  <c r="L344" i="58"/>
  <c r="I344" i="58"/>
  <c r="M370" i="58"/>
  <c r="K344" i="58"/>
  <c r="L684" i="58"/>
  <c r="M840" i="58"/>
  <c r="I996" i="58"/>
  <c r="M767" i="58"/>
  <c r="L923" i="58"/>
  <c r="L423" i="58"/>
  <c r="I448" i="58"/>
  <c r="AH85" i="57"/>
  <c r="S215" i="12" s="1"/>
  <c r="S237" i="12"/>
  <c r="W237" i="12"/>
  <c r="V339" i="12"/>
  <c r="R339" i="12"/>
  <c r="X339" i="12"/>
  <c r="T339" i="12"/>
  <c r="X337" i="12"/>
  <c r="T337" i="12"/>
  <c r="X236" i="12"/>
  <c r="T236" i="12"/>
  <c r="W337" i="12"/>
  <c r="S337" i="12"/>
  <c r="AH13" i="57"/>
  <c r="R337" i="12"/>
  <c r="V337" i="12"/>
  <c r="AI75" i="57"/>
  <c r="T284" i="12" s="1"/>
  <c r="AF162" i="57"/>
  <c r="Q356" i="12" s="1"/>
  <c r="AG100" i="57"/>
  <c r="R304" i="12" s="1"/>
  <c r="AF115" i="57"/>
  <c r="Q314" i="12" s="1"/>
  <c r="D978" i="11"/>
  <c r="D1135" i="11"/>
  <c r="K533" i="58"/>
  <c r="I696" i="58"/>
  <c r="H259" i="58"/>
  <c r="M259" i="58"/>
  <c r="L614" i="58"/>
  <c r="M614" i="58"/>
  <c r="H265" i="58"/>
  <c r="M265" i="58"/>
  <c r="L620" i="58"/>
  <c r="M620" i="58"/>
  <c r="M764" i="58"/>
  <c r="H300" i="58"/>
  <c r="I797" i="58"/>
  <c r="K536" i="58"/>
  <c r="K699" i="58"/>
  <c r="L699" i="58"/>
  <c r="L855" i="58"/>
  <c r="I304" i="58"/>
  <c r="I649" i="58"/>
  <c r="I957" i="58"/>
  <c r="H409" i="58"/>
  <c r="L409" i="58"/>
  <c r="I434" i="58"/>
  <c r="K419" i="58"/>
  <c r="H444" i="58"/>
  <c r="M419" i="58"/>
  <c r="H215" i="58"/>
  <c r="L241" i="58"/>
  <c r="L600" i="58"/>
  <c r="I896" i="58"/>
  <c r="L294" i="58"/>
  <c r="K294" i="58"/>
  <c r="L644" i="58"/>
  <c r="K792" i="58"/>
  <c r="L948" i="58"/>
  <c r="K523" i="58"/>
  <c r="H473" i="58"/>
  <c r="L498" i="58"/>
  <c r="I498" i="58"/>
  <c r="J498" i="58"/>
  <c r="AF90" i="57"/>
  <c r="Q294" i="12" s="1"/>
  <c r="X214" i="12"/>
  <c r="T214" i="12"/>
  <c r="Q214" i="12"/>
  <c r="U214" i="12"/>
  <c r="V213" i="12"/>
  <c r="R213" i="12"/>
  <c r="W212" i="12"/>
  <c r="S212" i="12"/>
  <c r="X212" i="12"/>
  <c r="T212" i="12"/>
  <c r="V212" i="12"/>
  <c r="R212" i="12"/>
  <c r="Q210" i="12"/>
  <c r="U210" i="12"/>
  <c r="AH45" i="57"/>
  <c r="S200" i="12" s="1"/>
  <c r="AG95" i="57"/>
  <c r="R299" i="12" s="1"/>
  <c r="AH157" i="57"/>
  <c r="S351" i="12" s="1"/>
  <c r="D1139" i="11"/>
  <c r="K710" i="58"/>
  <c r="L866" i="58"/>
  <c r="K563" i="58"/>
  <c r="I694" i="58"/>
  <c r="H975" i="58"/>
  <c r="L975" i="58"/>
  <c r="I975" i="58"/>
  <c r="M975" i="58"/>
  <c r="K975" i="58"/>
  <c r="H819" i="58"/>
  <c r="L819" i="58"/>
  <c r="I819" i="58"/>
  <c r="M819" i="58"/>
  <c r="K819" i="58"/>
  <c r="H667" i="58"/>
  <c r="L667" i="58"/>
  <c r="I667" i="58"/>
  <c r="M667" i="58"/>
  <c r="K667" i="58"/>
  <c r="K375" i="58"/>
  <c r="K349" i="58"/>
  <c r="K323" i="58"/>
  <c r="M375" i="58"/>
  <c r="I375" i="58"/>
  <c r="M349" i="58"/>
  <c r="I349" i="58"/>
  <c r="M323" i="58"/>
  <c r="I323" i="58"/>
  <c r="L375" i="58"/>
  <c r="H375" i="58"/>
  <c r="L349" i="58"/>
  <c r="H349" i="58"/>
  <c r="L323" i="58"/>
  <c r="H323" i="58"/>
  <c r="K976" i="58"/>
  <c r="I976" i="58"/>
  <c r="M976" i="58"/>
  <c r="H976" i="58"/>
  <c r="L976" i="58"/>
  <c r="K820" i="58"/>
  <c r="H820" i="58"/>
  <c r="L820" i="58"/>
  <c r="I820" i="58"/>
  <c r="M820" i="58"/>
  <c r="K668" i="58"/>
  <c r="H668" i="58"/>
  <c r="L668" i="58"/>
  <c r="I668" i="58"/>
  <c r="M668" i="58"/>
  <c r="K376" i="58"/>
  <c r="K350" i="58"/>
  <c r="K324" i="58"/>
  <c r="M376" i="58"/>
  <c r="I376" i="58"/>
  <c r="M350" i="58"/>
  <c r="I350" i="58"/>
  <c r="M324" i="58"/>
  <c r="I324" i="58"/>
  <c r="L376" i="58"/>
  <c r="H376" i="58"/>
  <c r="L350" i="58"/>
  <c r="H350" i="58"/>
  <c r="L324" i="58"/>
  <c r="H324" i="58"/>
  <c r="H991" i="58"/>
  <c r="L991" i="58"/>
  <c r="I991" i="58"/>
  <c r="M991" i="58"/>
  <c r="K991" i="58"/>
  <c r="H835" i="58"/>
  <c r="L835" i="58"/>
  <c r="I835" i="58"/>
  <c r="M835" i="58"/>
  <c r="K835" i="58"/>
  <c r="H679" i="58"/>
  <c r="L679" i="58"/>
  <c r="I679" i="58"/>
  <c r="M679" i="58"/>
  <c r="K679" i="58"/>
  <c r="K391" i="58"/>
  <c r="K365" i="58"/>
  <c r="K339" i="58"/>
  <c r="M391" i="58"/>
  <c r="I391" i="58"/>
  <c r="M365" i="58"/>
  <c r="I365" i="58"/>
  <c r="M339" i="58"/>
  <c r="I339" i="58"/>
  <c r="L391" i="58"/>
  <c r="H391" i="58"/>
  <c r="L365" i="58"/>
  <c r="H365" i="58"/>
  <c r="L339" i="58"/>
  <c r="H339" i="58"/>
  <c r="H977" i="58"/>
  <c r="L977" i="58"/>
  <c r="I977" i="58"/>
  <c r="M977" i="58"/>
  <c r="K977" i="58"/>
  <c r="H821" i="58"/>
  <c r="L821" i="58"/>
  <c r="I821" i="58"/>
  <c r="M821" i="58"/>
  <c r="K821" i="58"/>
  <c r="H553" i="58"/>
  <c r="L553" i="58"/>
  <c r="I553" i="58"/>
  <c r="M553" i="58"/>
  <c r="K553" i="58"/>
  <c r="K377" i="58"/>
  <c r="K351" i="58"/>
  <c r="K325" i="58"/>
  <c r="M377" i="58"/>
  <c r="I377" i="58"/>
  <c r="M351" i="58"/>
  <c r="I351" i="58"/>
  <c r="M325" i="58"/>
  <c r="I325" i="58"/>
  <c r="L377" i="58"/>
  <c r="H377" i="58"/>
  <c r="L351" i="58"/>
  <c r="H351" i="58"/>
  <c r="L325" i="58"/>
  <c r="H325" i="58"/>
  <c r="K978" i="58"/>
  <c r="I978" i="58"/>
  <c r="M978" i="58"/>
  <c r="L978" i="58"/>
  <c r="H978" i="58"/>
  <c r="K822" i="58"/>
  <c r="H822" i="58"/>
  <c r="L822" i="58"/>
  <c r="I822" i="58"/>
  <c r="M822" i="58"/>
  <c r="K554" i="58"/>
  <c r="H554" i="58"/>
  <c r="L554" i="58"/>
  <c r="I554" i="58"/>
  <c r="M554" i="58"/>
  <c r="K378" i="58"/>
  <c r="K352" i="58"/>
  <c r="K326" i="58"/>
  <c r="M378" i="58"/>
  <c r="I378" i="58"/>
  <c r="M352" i="58"/>
  <c r="I352" i="58"/>
  <c r="M326" i="58"/>
  <c r="I326" i="58"/>
  <c r="L378" i="58"/>
  <c r="H378" i="58"/>
  <c r="L352" i="58"/>
  <c r="H352" i="58"/>
  <c r="L326" i="58"/>
  <c r="H326" i="58"/>
  <c r="H979" i="58"/>
  <c r="I979" i="58"/>
  <c r="M979" i="58"/>
  <c r="K979" i="58"/>
  <c r="L979" i="58"/>
  <c r="H823" i="58"/>
  <c r="L823" i="58"/>
  <c r="I823" i="58"/>
  <c r="M823" i="58"/>
  <c r="K823" i="58"/>
  <c r="H555" i="58"/>
  <c r="L555" i="58"/>
  <c r="I555" i="58"/>
  <c r="M555" i="58"/>
  <c r="K555" i="58"/>
  <c r="K379" i="58"/>
  <c r="K353" i="58"/>
  <c r="K327" i="58"/>
  <c r="M379" i="58"/>
  <c r="I379" i="58"/>
  <c r="M353" i="58"/>
  <c r="I353" i="58"/>
  <c r="M327" i="58"/>
  <c r="I327" i="58"/>
  <c r="L379" i="58"/>
  <c r="H379" i="58"/>
  <c r="L353" i="58"/>
  <c r="H353" i="58"/>
  <c r="L327" i="58"/>
  <c r="H327" i="58"/>
  <c r="K980" i="58"/>
  <c r="I980" i="58"/>
  <c r="M980" i="58"/>
  <c r="H980" i="58"/>
  <c r="L980" i="58"/>
  <c r="K824" i="58"/>
  <c r="H824" i="58"/>
  <c r="L824" i="58"/>
  <c r="I824" i="58"/>
  <c r="M824" i="58"/>
  <c r="K556" i="58"/>
  <c r="H556" i="58"/>
  <c r="L556" i="58"/>
  <c r="I556" i="58"/>
  <c r="M556" i="58"/>
  <c r="K380" i="58"/>
  <c r="K354" i="58"/>
  <c r="K328" i="58"/>
  <c r="M380" i="58"/>
  <c r="I380" i="58"/>
  <c r="M354" i="58"/>
  <c r="I354" i="58"/>
  <c r="M328" i="58"/>
  <c r="I328" i="58"/>
  <c r="L380" i="58"/>
  <c r="H380" i="58"/>
  <c r="L354" i="58"/>
  <c r="H354" i="58"/>
  <c r="L328" i="58"/>
  <c r="H328" i="58"/>
  <c r="H983" i="58"/>
  <c r="L983" i="58"/>
  <c r="I983" i="58"/>
  <c r="M983" i="58"/>
  <c r="K983" i="58"/>
  <c r="H827" i="58"/>
  <c r="L827" i="58"/>
  <c r="I827" i="58"/>
  <c r="M827" i="58"/>
  <c r="K827" i="58"/>
  <c r="H671" i="58"/>
  <c r="L671" i="58"/>
  <c r="I671" i="58"/>
  <c r="M671" i="58"/>
  <c r="K671" i="58"/>
  <c r="K383" i="58"/>
  <c r="K357" i="58"/>
  <c r="K331" i="58"/>
  <c r="M383" i="58"/>
  <c r="I383" i="58"/>
  <c r="M357" i="58"/>
  <c r="I357" i="58"/>
  <c r="M331" i="58"/>
  <c r="I331" i="58"/>
  <c r="L383" i="58"/>
  <c r="H383" i="58"/>
  <c r="L357" i="58"/>
  <c r="H357" i="58"/>
  <c r="L331" i="58"/>
  <c r="H331" i="58"/>
  <c r="K911" i="58"/>
  <c r="H911" i="58"/>
  <c r="L911" i="58"/>
  <c r="M911" i="58"/>
  <c r="K755" i="58"/>
  <c r="M755" i="58"/>
  <c r="L755" i="58"/>
  <c r="H755" i="58"/>
  <c r="K611" i="58"/>
  <c r="H611" i="58"/>
  <c r="L611" i="58"/>
  <c r="M611" i="58"/>
  <c r="K256" i="58"/>
  <c r="M256" i="58"/>
  <c r="L256" i="58"/>
  <c r="H256" i="58"/>
  <c r="K915" i="58"/>
  <c r="H915" i="58"/>
  <c r="L915" i="58"/>
  <c r="M915" i="58"/>
  <c r="K759" i="58"/>
  <c r="H759" i="58"/>
  <c r="L759" i="58"/>
  <c r="M759" i="58"/>
  <c r="K615" i="58"/>
  <c r="H615" i="58"/>
  <c r="L615" i="58"/>
  <c r="M615" i="58"/>
  <c r="K260" i="58"/>
  <c r="M260" i="58"/>
  <c r="L260" i="58"/>
  <c r="H260" i="58"/>
  <c r="H985" i="58"/>
  <c r="L985" i="58"/>
  <c r="I985" i="58"/>
  <c r="M985" i="58"/>
  <c r="K985" i="58"/>
  <c r="H829" i="58"/>
  <c r="L829" i="58"/>
  <c r="I829" i="58"/>
  <c r="M829" i="58"/>
  <c r="K829" i="58"/>
  <c r="H673" i="58"/>
  <c r="L673" i="58"/>
  <c r="I673" i="58"/>
  <c r="M673" i="58"/>
  <c r="K673" i="58"/>
  <c r="K385" i="58"/>
  <c r="K359" i="58"/>
  <c r="K333" i="58"/>
  <c r="M385" i="58"/>
  <c r="I385" i="58"/>
  <c r="M359" i="58"/>
  <c r="I359" i="58"/>
  <c r="M333" i="58"/>
  <c r="I333" i="58"/>
  <c r="L385" i="58"/>
  <c r="H385" i="58"/>
  <c r="L359" i="58"/>
  <c r="H359" i="58"/>
  <c r="L333" i="58"/>
  <c r="H333" i="58"/>
  <c r="J513" i="58"/>
  <c r="J488" i="58"/>
  <c r="J463" i="58"/>
  <c r="I513" i="58"/>
  <c r="I488" i="58"/>
  <c r="I463" i="58"/>
  <c r="L513" i="58"/>
  <c r="H513" i="58"/>
  <c r="L488" i="58"/>
  <c r="H488" i="58"/>
  <c r="L463" i="58"/>
  <c r="H463" i="58"/>
  <c r="K513" i="58"/>
  <c r="K488" i="58"/>
  <c r="K463" i="58"/>
  <c r="K862" i="58"/>
  <c r="H862" i="58"/>
  <c r="L862" i="58"/>
  <c r="I862" i="58"/>
  <c r="M862" i="58"/>
  <c r="H706" i="58"/>
  <c r="L706" i="58"/>
  <c r="I706" i="58"/>
  <c r="K706" i="58"/>
  <c r="M706" i="58"/>
  <c r="K570" i="58"/>
  <c r="H570" i="58"/>
  <c r="L570" i="58"/>
  <c r="I570" i="58"/>
  <c r="M570" i="58"/>
  <c r="I889" i="58"/>
  <c r="M889" i="58"/>
  <c r="H889" i="58"/>
  <c r="L889" i="58"/>
  <c r="H733" i="58"/>
  <c r="L733" i="58"/>
  <c r="I733" i="58"/>
  <c r="M733" i="58"/>
  <c r="I593" i="58"/>
  <c r="M593" i="58"/>
  <c r="H593" i="58"/>
  <c r="L593" i="58"/>
  <c r="M234" i="58"/>
  <c r="I234" i="58"/>
  <c r="M208" i="58"/>
  <c r="I208" i="58"/>
  <c r="L234" i="58"/>
  <c r="H234" i="58"/>
  <c r="L208" i="58"/>
  <c r="H208" i="58"/>
  <c r="M182" i="58"/>
  <c r="M52" i="58" s="1"/>
  <c r="M78" i="58" s="1"/>
  <c r="M104" i="58" s="1"/>
  <c r="M130" i="58" s="1"/>
  <c r="M156" i="58" s="1"/>
  <c r="I182" i="58"/>
  <c r="I52" i="58" s="1"/>
  <c r="I78" i="58" s="1"/>
  <c r="I104" i="58" s="1"/>
  <c r="I130" i="58" s="1"/>
  <c r="I156" i="58" s="1"/>
  <c r="L182" i="58"/>
  <c r="L52" i="58" s="1"/>
  <c r="L78" i="58" s="1"/>
  <c r="L104" i="58" s="1"/>
  <c r="L130" i="58" s="1"/>
  <c r="L156" i="58" s="1"/>
  <c r="H182" i="58"/>
  <c r="H52" i="58" s="1"/>
  <c r="H78" i="58" s="1"/>
  <c r="H104" i="58" s="1"/>
  <c r="H130" i="58" s="1"/>
  <c r="H156" i="58" s="1"/>
  <c r="K942" i="58"/>
  <c r="H942" i="58"/>
  <c r="L942" i="58"/>
  <c r="I942" i="58"/>
  <c r="K786" i="58"/>
  <c r="H786" i="58"/>
  <c r="L786" i="58"/>
  <c r="I786" i="58"/>
  <c r="K638" i="58"/>
  <c r="H638" i="58"/>
  <c r="L638" i="58"/>
  <c r="I638" i="58"/>
  <c r="K288" i="58"/>
  <c r="I288" i="58"/>
  <c r="L288" i="58"/>
  <c r="H288" i="58"/>
  <c r="H995" i="58"/>
  <c r="L995" i="58"/>
  <c r="I995" i="58"/>
  <c r="M995" i="58"/>
  <c r="K995" i="58"/>
  <c r="H839" i="58"/>
  <c r="L839" i="58"/>
  <c r="I839" i="58"/>
  <c r="M839" i="58"/>
  <c r="K839" i="58"/>
  <c r="H683" i="58"/>
  <c r="L683" i="58"/>
  <c r="I683" i="58"/>
  <c r="M683" i="58"/>
  <c r="K683" i="58"/>
  <c r="K395" i="58"/>
  <c r="K369" i="58"/>
  <c r="K343" i="58"/>
  <c r="M395" i="58"/>
  <c r="I395" i="58"/>
  <c r="M369" i="58"/>
  <c r="I369" i="58"/>
  <c r="M343" i="58"/>
  <c r="I343" i="58"/>
  <c r="L395" i="58"/>
  <c r="H395" i="58"/>
  <c r="L369" i="58"/>
  <c r="H369" i="58"/>
  <c r="L343" i="58"/>
  <c r="H343" i="58"/>
  <c r="J443" i="58"/>
  <c r="J418" i="58"/>
  <c r="M443" i="58"/>
  <c r="I443" i="58"/>
  <c r="M418" i="58"/>
  <c r="I418" i="58"/>
  <c r="L443" i="58"/>
  <c r="H443" i="58"/>
  <c r="K443" i="58"/>
  <c r="H418" i="58"/>
  <c r="L418" i="58"/>
  <c r="K418" i="58"/>
  <c r="H884" i="58"/>
  <c r="L884" i="58"/>
  <c r="M884" i="58"/>
  <c r="I884" i="58"/>
  <c r="H728" i="58"/>
  <c r="L728" i="58"/>
  <c r="I728" i="58"/>
  <c r="M728" i="58"/>
  <c r="H588" i="58"/>
  <c r="L588" i="58"/>
  <c r="I588" i="58"/>
  <c r="M588" i="58"/>
  <c r="M229" i="58"/>
  <c r="I229" i="58"/>
  <c r="L229" i="58"/>
  <c r="H229" i="58"/>
  <c r="M203" i="58"/>
  <c r="I203" i="58"/>
  <c r="M177" i="58"/>
  <c r="M47" i="58" s="1"/>
  <c r="M73" i="58" s="1"/>
  <c r="M99" i="58" s="1"/>
  <c r="M125" i="58" s="1"/>
  <c r="M151" i="58" s="1"/>
  <c r="I177" i="58"/>
  <c r="I47" i="58" s="1"/>
  <c r="I73" i="58" s="1"/>
  <c r="I99" i="58" s="1"/>
  <c r="I125" i="58" s="1"/>
  <c r="I151" i="58" s="1"/>
  <c r="L203" i="58"/>
  <c r="H203" i="58"/>
  <c r="L177" i="58"/>
  <c r="L47" i="58" s="1"/>
  <c r="L73" i="58" s="1"/>
  <c r="L99" i="58" s="1"/>
  <c r="L125" i="58" s="1"/>
  <c r="L151" i="58" s="1"/>
  <c r="H177" i="58"/>
  <c r="H47" i="58" s="1"/>
  <c r="H73" i="58" s="1"/>
  <c r="H99" i="58" s="1"/>
  <c r="H125" i="58" s="1"/>
  <c r="H151" i="58" s="1"/>
  <c r="K936" i="58"/>
  <c r="H936" i="58"/>
  <c r="L936" i="58"/>
  <c r="I936" i="58"/>
  <c r="K780" i="58"/>
  <c r="H780" i="58"/>
  <c r="L780" i="58"/>
  <c r="I780" i="58"/>
  <c r="K632" i="58"/>
  <c r="H632" i="58"/>
  <c r="L632" i="58"/>
  <c r="I632" i="58"/>
  <c r="K282" i="58"/>
  <c r="I282" i="58"/>
  <c r="L282" i="58"/>
  <c r="H282" i="58"/>
  <c r="K988" i="58"/>
  <c r="H988" i="58"/>
  <c r="L988" i="58"/>
  <c r="I988" i="58"/>
  <c r="M988" i="58"/>
  <c r="K832" i="58"/>
  <c r="H832" i="58"/>
  <c r="L832" i="58"/>
  <c r="I832" i="58"/>
  <c r="M832" i="58"/>
  <c r="K676" i="58"/>
  <c r="H676" i="58"/>
  <c r="L676" i="58"/>
  <c r="I676" i="58"/>
  <c r="M676" i="58"/>
  <c r="K388" i="58"/>
  <c r="K362" i="58"/>
  <c r="K336" i="58"/>
  <c r="M388" i="58"/>
  <c r="I388" i="58"/>
  <c r="M362" i="58"/>
  <c r="I362" i="58"/>
  <c r="M336" i="58"/>
  <c r="I336" i="58"/>
  <c r="L388" i="58"/>
  <c r="H388" i="58"/>
  <c r="L362" i="58"/>
  <c r="H362" i="58"/>
  <c r="L336" i="58"/>
  <c r="H336" i="58"/>
  <c r="J516" i="58"/>
  <c r="J491" i="58"/>
  <c r="J466" i="58"/>
  <c r="I516" i="58"/>
  <c r="I491" i="58"/>
  <c r="I466" i="58"/>
  <c r="L516" i="58"/>
  <c r="H516" i="58"/>
  <c r="L491" i="58"/>
  <c r="H491" i="58"/>
  <c r="L466" i="58"/>
  <c r="H466" i="58"/>
  <c r="K516" i="58"/>
  <c r="K491" i="58"/>
  <c r="K466" i="58"/>
  <c r="H865" i="58"/>
  <c r="L865" i="58"/>
  <c r="I865" i="58"/>
  <c r="M865" i="58"/>
  <c r="K865" i="58"/>
  <c r="H709" i="58"/>
  <c r="L709" i="58"/>
  <c r="I709" i="58"/>
  <c r="M709" i="58"/>
  <c r="K709" i="58"/>
  <c r="I573" i="58"/>
  <c r="M573" i="58"/>
  <c r="K573" i="58"/>
  <c r="H573" i="58"/>
  <c r="L573" i="58"/>
  <c r="C579" i="58"/>
  <c r="C600" i="58"/>
  <c r="C621" i="58"/>
  <c r="C642" i="58"/>
  <c r="C663" i="58"/>
  <c r="C684" i="58"/>
  <c r="B18" i="26"/>
  <c r="J501" i="58"/>
  <c r="J476" i="58"/>
  <c r="J451" i="58"/>
  <c r="I501" i="58"/>
  <c r="I476" i="58"/>
  <c r="I451" i="58"/>
  <c r="L501" i="58"/>
  <c r="H501" i="58"/>
  <c r="L476" i="58"/>
  <c r="H476" i="58"/>
  <c r="L451" i="58"/>
  <c r="H451" i="58"/>
  <c r="K501" i="58"/>
  <c r="K476" i="58"/>
  <c r="K451" i="58"/>
  <c r="J502" i="58"/>
  <c r="J477" i="58"/>
  <c r="J452" i="58"/>
  <c r="I502" i="58"/>
  <c r="I477" i="58"/>
  <c r="I452" i="58"/>
  <c r="L502" i="58"/>
  <c r="H502" i="58"/>
  <c r="L477" i="58"/>
  <c r="H477" i="58"/>
  <c r="L452" i="58"/>
  <c r="H452" i="58"/>
  <c r="K502" i="58"/>
  <c r="K477" i="58"/>
  <c r="K452" i="58"/>
  <c r="J517" i="58"/>
  <c r="J492" i="58"/>
  <c r="J467" i="58"/>
  <c r="I517" i="58"/>
  <c r="I492" i="58"/>
  <c r="I467" i="58"/>
  <c r="L517" i="58"/>
  <c r="H517" i="58"/>
  <c r="L492" i="58"/>
  <c r="H492" i="58"/>
  <c r="L467" i="58"/>
  <c r="H467" i="58"/>
  <c r="K517" i="58"/>
  <c r="K492" i="58"/>
  <c r="K467" i="58"/>
  <c r="J503" i="58"/>
  <c r="J478" i="58"/>
  <c r="J453" i="58"/>
  <c r="I503" i="58"/>
  <c r="I478" i="58"/>
  <c r="I453" i="58"/>
  <c r="L503" i="58"/>
  <c r="H503" i="58"/>
  <c r="L478" i="58"/>
  <c r="H478" i="58"/>
  <c r="L453" i="58"/>
  <c r="H453" i="58"/>
  <c r="K503" i="58"/>
  <c r="K478" i="58"/>
  <c r="K453" i="58"/>
  <c r="J504" i="58"/>
  <c r="J479" i="58"/>
  <c r="J454" i="58"/>
  <c r="I504" i="58"/>
  <c r="I479" i="58"/>
  <c r="I454" i="58"/>
  <c r="L504" i="58"/>
  <c r="H504" i="58"/>
  <c r="L479" i="58"/>
  <c r="H479" i="58"/>
  <c r="L454" i="58"/>
  <c r="H454" i="58"/>
  <c r="K504" i="58"/>
  <c r="K479" i="58"/>
  <c r="K454" i="58"/>
  <c r="J505" i="58"/>
  <c r="J480" i="58"/>
  <c r="J455" i="58"/>
  <c r="I505" i="58"/>
  <c r="I480" i="58"/>
  <c r="I455" i="58"/>
  <c r="L505" i="58"/>
  <c r="H505" i="58"/>
  <c r="L480" i="58"/>
  <c r="H480" i="58"/>
  <c r="L455" i="58"/>
  <c r="H455" i="58"/>
  <c r="K505" i="58"/>
  <c r="K480" i="58"/>
  <c r="K455" i="58"/>
  <c r="J506" i="58"/>
  <c r="J481" i="58"/>
  <c r="J456" i="58"/>
  <c r="I506" i="58"/>
  <c r="I481" i="58"/>
  <c r="I456" i="58"/>
  <c r="L506" i="58"/>
  <c r="H506" i="58"/>
  <c r="L481" i="58"/>
  <c r="H481" i="58"/>
  <c r="L456" i="58"/>
  <c r="H456" i="58"/>
  <c r="K506" i="58"/>
  <c r="K481" i="58"/>
  <c r="K456" i="58"/>
  <c r="J509" i="58"/>
  <c r="J484" i="58"/>
  <c r="J459" i="58"/>
  <c r="I509" i="58"/>
  <c r="I484" i="58"/>
  <c r="I459" i="58"/>
  <c r="L509" i="58"/>
  <c r="H509" i="58"/>
  <c r="L484" i="58"/>
  <c r="H484" i="58"/>
  <c r="L459" i="58"/>
  <c r="H459" i="58"/>
  <c r="K509" i="58"/>
  <c r="K484" i="58"/>
  <c r="K459" i="58"/>
  <c r="J437" i="58"/>
  <c r="J412" i="58"/>
  <c r="M437" i="58"/>
  <c r="I437" i="58"/>
  <c r="M412" i="58"/>
  <c r="I412" i="58"/>
  <c r="L437" i="58"/>
  <c r="H437" i="58"/>
  <c r="H412" i="58"/>
  <c r="K437" i="58"/>
  <c r="L412" i="58"/>
  <c r="K412" i="58"/>
  <c r="J441" i="58"/>
  <c r="J416" i="58"/>
  <c r="M441" i="58"/>
  <c r="I441" i="58"/>
  <c r="M416" i="58"/>
  <c r="I416" i="58"/>
  <c r="L441" i="58"/>
  <c r="H441" i="58"/>
  <c r="H416" i="58"/>
  <c r="K441" i="58"/>
  <c r="L416" i="58"/>
  <c r="K416" i="58"/>
  <c r="X85" i="44"/>
  <c r="K857" i="58"/>
  <c r="I857" i="58"/>
  <c r="M857" i="58"/>
  <c r="L857" i="58"/>
  <c r="H857" i="58"/>
  <c r="H701" i="58"/>
  <c r="L701" i="58"/>
  <c r="I701" i="58"/>
  <c r="M701" i="58"/>
  <c r="K701" i="58"/>
  <c r="K566" i="58"/>
  <c r="H566" i="58"/>
  <c r="L566" i="58"/>
  <c r="I566" i="58"/>
  <c r="M566" i="58"/>
  <c r="H935" i="58"/>
  <c r="L935" i="58"/>
  <c r="I935" i="58"/>
  <c r="K935" i="58"/>
  <c r="H779" i="58"/>
  <c r="L779" i="58"/>
  <c r="I779" i="58"/>
  <c r="K779" i="58"/>
  <c r="I631" i="58"/>
  <c r="K631" i="58"/>
  <c r="H631" i="58"/>
  <c r="L631" i="58"/>
  <c r="K281" i="58"/>
  <c r="I281" i="58"/>
  <c r="L281" i="58"/>
  <c r="H281" i="58"/>
  <c r="H987" i="58"/>
  <c r="L987" i="58"/>
  <c r="I987" i="58"/>
  <c r="M987" i="58"/>
  <c r="K987" i="58"/>
  <c r="H831" i="58"/>
  <c r="L831" i="58"/>
  <c r="I831" i="58"/>
  <c r="M831" i="58"/>
  <c r="K831" i="58"/>
  <c r="H675" i="58"/>
  <c r="L675" i="58"/>
  <c r="I675" i="58"/>
  <c r="M675" i="58"/>
  <c r="K675" i="58"/>
  <c r="K387" i="58"/>
  <c r="K361" i="58"/>
  <c r="K335" i="58"/>
  <c r="M387" i="58"/>
  <c r="I387" i="58"/>
  <c r="M361" i="58"/>
  <c r="I361" i="58"/>
  <c r="M335" i="58"/>
  <c r="I335" i="58"/>
  <c r="L387" i="58"/>
  <c r="H387" i="58"/>
  <c r="L361" i="58"/>
  <c r="H361" i="58"/>
  <c r="L335" i="58"/>
  <c r="H335" i="58"/>
  <c r="J515" i="58"/>
  <c r="J490" i="58"/>
  <c r="J465" i="58"/>
  <c r="I515" i="58"/>
  <c r="I490" i="58"/>
  <c r="I465" i="58"/>
  <c r="L515" i="58"/>
  <c r="H515" i="58"/>
  <c r="L490" i="58"/>
  <c r="H490" i="58"/>
  <c r="L465" i="58"/>
  <c r="H465" i="58"/>
  <c r="K515" i="58"/>
  <c r="K490" i="58"/>
  <c r="K465" i="58"/>
  <c r="K864" i="58"/>
  <c r="H864" i="58"/>
  <c r="L864" i="58"/>
  <c r="I864" i="58"/>
  <c r="M864" i="58"/>
  <c r="K708" i="58"/>
  <c r="H708" i="58"/>
  <c r="L708" i="58"/>
  <c r="I708" i="58"/>
  <c r="M708" i="58"/>
  <c r="K572" i="58"/>
  <c r="H572" i="58"/>
  <c r="L572" i="58"/>
  <c r="I572" i="58"/>
  <c r="M572" i="58"/>
  <c r="H892" i="58"/>
  <c r="L892" i="58"/>
  <c r="I892" i="58"/>
  <c r="M892" i="58"/>
  <c r="H736" i="58"/>
  <c r="L736" i="58"/>
  <c r="I736" i="58"/>
  <c r="M736" i="58"/>
  <c r="H596" i="58"/>
  <c r="L596" i="58"/>
  <c r="I596" i="58"/>
  <c r="M596" i="58"/>
  <c r="M238" i="58"/>
  <c r="I238" i="58"/>
  <c r="M237" i="58"/>
  <c r="I237" i="58"/>
  <c r="M211" i="58"/>
  <c r="I211" i="58"/>
  <c r="L238" i="58"/>
  <c r="H238" i="58"/>
  <c r="L237" i="58"/>
  <c r="H237" i="58"/>
  <c r="L211" i="58"/>
  <c r="H211" i="58"/>
  <c r="M185" i="58"/>
  <c r="M55" i="58" s="1"/>
  <c r="M81" i="58" s="1"/>
  <c r="M107" i="58" s="1"/>
  <c r="M133" i="58" s="1"/>
  <c r="M159" i="58" s="1"/>
  <c r="I185" i="58"/>
  <c r="I55" i="58" s="1"/>
  <c r="I81" i="58" s="1"/>
  <c r="I107" i="58" s="1"/>
  <c r="I133" i="58" s="1"/>
  <c r="I159" i="58" s="1"/>
  <c r="L185" i="58"/>
  <c r="L55" i="58" s="1"/>
  <c r="L81" i="58" s="1"/>
  <c r="L107" i="58" s="1"/>
  <c r="L133" i="58" s="1"/>
  <c r="L159" i="58" s="1"/>
  <c r="H185" i="58"/>
  <c r="H55" i="58" s="1"/>
  <c r="H81" i="58" s="1"/>
  <c r="H107" i="58" s="1"/>
  <c r="H133" i="58" s="1"/>
  <c r="H159" i="58" s="1"/>
  <c r="H945" i="58"/>
  <c r="L945" i="58"/>
  <c r="I945" i="58"/>
  <c r="K945" i="58"/>
  <c r="H789" i="58"/>
  <c r="L789" i="58"/>
  <c r="I789" i="58"/>
  <c r="K789" i="58"/>
  <c r="I641" i="58"/>
  <c r="K641" i="58"/>
  <c r="H641" i="58"/>
  <c r="L641" i="58"/>
  <c r="K291" i="58"/>
  <c r="I291" i="58"/>
  <c r="L291" i="58"/>
  <c r="H291" i="58"/>
  <c r="Q79" i="44"/>
  <c r="I755" i="58" s="1"/>
  <c r="J436" i="58"/>
  <c r="J411" i="58"/>
  <c r="M436" i="58"/>
  <c r="I436" i="58"/>
  <c r="M411" i="58"/>
  <c r="I411" i="58"/>
  <c r="L436" i="58"/>
  <c r="H436" i="58"/>
  <c r="L411" i="58"/>
  <c r="K436" i="58"/>
  <c r="K411" i="58"/>
  <c r="H411" i="58"/>
  <c r="J445" i="58"/>
  <c r="J420" i="58"/>
  <c r="M445" i="58"/>
  <c r="I445" i="58"/>
  <c r="M420" i="58"/>
  <c r="I420" i="58"/>
  <c r="L445" i="58"/>
  <c r="H445" i="58"/>
  <c r="H420" i="58"/>
  <c r="K445" i="58"/>
  <c r="L420" i="58"/>
  <c r="K420" i="58"/>
  <c r="W85" i="44"/>
  <c r="J510" i="58"/>
  <c r="J485" i="58"/>
  <c r="J460" i="58"/>
  <c r="I510" i="58"/>
  <c r="I485" i="58"/>
  <c r="I460" i="58"/>
  <c r="L510" i="58"/>
  <c r="H510" i="58"/>
  <c r="L485" i="58"/>
  <c r="H485" i="58"/>
  <c r="L460" i="58"/>
  <c r="H460" i="58"/>
  <c r="K510" i="58"/>
  <c r="K485" i="58"/>
  <c r="K460" i="58"/>
  <c r="K859" i="58"/>
  <c r="I859" i="58"/>
  <c r="M859" i="58"/>
  <c r="H859" i="58"/>
  <c r="L859" i="58"/>
  <c r="H703" i="58"/>
  <c r="L703" i="58"/>
  <c r="I703" i="58"/>
  <c r="M703" i="58"/>
  <c r="K703" i="58"/>
  <c r="K567" i="58"/>
  <c r="I567" i="58"/>
  <c r="L567" i="58"/>
  <c r="M567" i="58"/>
  <c r="H567" i="58"/>
  <c r="H886" i="58"/>
  <c r="L886" i="58"/>
  <c r="I886" i="58"/>
  <c r="M886" i="58"/>
  <c r="H730" i="58"/>
  <c r="L730" i="58"/>
  <c r="I730" i="58"/>
  <c r="M730" i="58"/>
  <c r="H590" i="58"/>
  <c r="L590" i="58"/>
  <c r="I590" i="58"/>
  <c r="M590" i="58"/>
  <c r="M231" i="58"/>
  <c r="I231" i="58"/>
  <c r="M205" i="58"/>
  <c r="I205" i="58"/>
  <c r="L231" i="58"/>
  <c r="H231" i="58"/>
  <c r="L205" i="58"/>
  <c r="H205" i="58"/>
  <c r="M179" i="58"/>
  <c r="M49" i="58" s="1"/>
  <c r="M75" i="58" s="1"/>
  <c r="M101" i="58" s="1"/>
  <c r="M127" i="58" s="1"/>
  <c r="M153" i="58" s="1"/>
  <c r="I179" i="58"/>
  <c r="I49" i="58" s="1"/>
  <c r="I75" i="58" s="1"/>
  <c r="I101" i="58" s="1"/>
  <c r="I127" i="58" s="1"/>
  <c r="I153" i="58" s="1"/>
  <c r="L179" i="58"/>
  <c r="L49" i="58" s="1"/>
  <c r="L75" i="58" s="1"/>
  <c r="L101" i="58" s="1"/>
  <c r="L127" i="58" s="1"/>
  <c r="L153" i="58" s="1"/>
  <c r="H179" i="58"/>
  <c r="H49" i="58" s="1"/>
  <c r="H75" i="58" s="1"/>
  <c r="H101" i="58" s="1"/>
  <c r="H127" i="58" s="1"/>
  <c r="H153" i="58" s="1"/>
  <c r="K938" i="58"/>
  <c r="H938" i="58"/>
  <c r="L938" i="58"/>
  <c r="I938" i="58"/>
  <c r="K782" i="58"/>
  <c r="H782" i="58"/>
  <c r="L782" i="58"/>
  <c r="I782" i="58"/>
  <c r="K634" i="58"/>
  <c r="H634" i="58"/>
  <c r="L634" i="58"/>
  <c r="I634" i="58"/>
  <c r="K284" i="58"/>
  <c r="I284" i="58"/>
  <c r="L284" i="58"/>
  <c r="H284" i="58"/>
  <c r="K990" i="58"/>
  <c r="H990" i="58"/>
  <c r="L990" i="58"/>
  <c r="I990" i="58"/>
  <c r="M990" i="58"/>
  <c r="K834" i="58"/>
  <c r="H834" i="58"/>
  <c r="L834" i="58"/>
  <c r="I834" i="58"/>
  <c r="M834" i="58"/>
  <c r="K678" i="58"/>
  <c r="H678" i="58"/>
  <c r="L678" i="58"/>
  <c r="I678" i="58"/>
  <c r="M678" i="58"/>
  <c r="K390" i="58"/>
  <c r="K364" i="58"/>
  <c r="K338" i="58"/>
  <c r="M390" i="58"/>
  <c r="I390" i="58"/>
  <c r="M364" i="58"/>
  <c r="I364" i="58"/>
  <c r="M338" i="58"/>
  <c r="I338" i="58"/>
  <c r="L390" i="58"/>
  <c r="H390" i="58"/>
  <c r="L364" i="58"/>
  <c r="H364" i="58"/>
  <c r="L338" i="58"/>
  <c r="H338" i="58"/>
  <c r="H7" i="58"/>
  <c r="K7" i="58"/>
  <c r="N7" i="58"/>
  <c r="J7" i="58"/>
  <c r="M7" i="58"/>
  <c r="I7" i="58"/>
  <c r="L7" i="58"/>
  <c r="L8" i="58"/>
  <c r="H8" i="58"/>
  <c r="K8" i="58"/>
  <c r="J8" i="58"/>
  <c r="M8" i="58"/>
  <c r="I8" i="58"/>
  <c r="M11" i="58"/>
  <c r="I11" i="58"/>
  <c r="L11" i="58"/>
  <c r="H11" i="58"/>
  <c r="K11" i="58"/>
  <c r="K269" i="58"/>
  <c r="M269" i="58"/>
  <c r="I269" i="58"/>
  <c r="L269" i="58"/>
  <c r="H269" i="58"/>
  <c r="C568" i="58"/>
  <c r="C589" i="58"/>
  <c r="C610" i="58"/>
  <c r="C631" i="58"/>
  <c r="C652" i="58"/>
  <c r="C673" i="58"/>
  <c r="C81" i="26"/>
  <c r="D100" i="12" s="1"/>
  <c r="D100" i="11" s="1"/>
  <c r="AH140" i="26"/>
  <c r="AG16" i="26"/>
  <c r="AF57" i="26"/>
  <c r="T76" i="12" s="1"/>
  <c r="AE99" i="26"/>
  <c r="S118" i="12" s="1"/>
  <c r="AF120" i="26"/>
  <c r="T139" i="12" s="1"/>
  <c r="AF140" i="26"/>
  <c r="T159" i="12" s="1"/>
  <c r="AH88" i="26"/>
  <c r="AG109" i="26"/>
  <c r="H962" i="58"/>
  <c r="L962" i="58"/>
  <c r="I962" i="58"/>
  <c r="M962" i="58"/>
  <c r="H806" i="58"/>
  <c r="L806" i="58"/>
  <c r="I806" i="58"/>
  <c r="M806" i="58"/>
  <c r="H654" i="58"/>
  <c r="L654" i="58"/>
  <c r="I654" i="58"/>
  <c r="M654" i="58"/>
  <c r="M309" i="58"/>
  <c r="I309" i="58"/>
  <c r="L309" i="58"/>
  <c r="H309" i="58"/>
  <c r="J430" i="58"/>
  <c r="M430" i="58"/>
  <c r="I430" i="58"/>
  <c r="L430" i="58"/>
  <c r="H430" i="58"/>
  <c r="K405" i="58"/>
  <c r="J405" i="58"/>
  <c r="M405" i="58"/>
  <c r="I405" i="58"/>
  <c r="K430" i="58"/>
  <c r="L405" i="58"/>
  <c r="H405" i="58"/>
  <c r="M916" i="58"/>
  <c r="K916" i="58"/>
  <c r="H916" i="58"/>
  <c r="L916" i="58"/>
  <c r="H760" i="58"/>
  <c r="L760" i="58"/>
  <c r="M760" i="58"/>
  <c r="K760" i="58"/>
  <c r="I616" i="58"/>
  <c r="M616" i="58"/>
  <c r="K616" i="58"/>
  <c r="H616" i="58"/>
  <c r="L616" i="58"/>
  <c r="K261" i="58"/>
  <c r="M261" i="58"/>
  <c r="I261" i="58"/>
  <c r="L261" i="58"/>
  <c r="H261" i="58"/>
  <c r="K903" i="58"/>
  <c r="H903" i="58"/>
  <c r="L903" i="58"/>
  <c r="M903" i="58"/>
  <c r="K747" i="58"/>
  <c r="H747" i="58"/>
  <c r="L747" i="58"/>
  <c r="M747" i="58"/>
  <c r="K542" i="58"/>
  <c r="H542" i="58"/>
  <c r="L542" i="58"/>
  <c r="I542" i="58"/>
  <c r="M542" i="58"/>
  <c r="K248" i="58"/>
  <c r="M248" i="58"/>
  <c r="L248" i="58"/>
  <c r="H248" i="58"/>
  <c r="C533" i="58"/>
  <c r="C537" i="58"/>
  <c r="C541" i="58"/>
  <c r="C545" i="58"/>
  <c r="C549" i="58"/>
  <c r="C553" i="58"/>
  <c r="C565" i="58"/>
  <c r="C585" i="58"/>
  <c r="C606" i="58"/>
  <c r="C627" i="58"/>
  <c r="C648" i="58"/>
  <c r="C669" i="58"/>
  <c r="C572" i="58"/>
  <c r="C593" i="58"/>
  <c r="C614" i="58"/>
  <c r="C635" i="58"/>
  <c r="C656" i="58"/>
  <c r="C677" i="58"/>
  <c r="C564" i="58"/>
  <c r="C584" i="58"/>
  <c r="C605" i="58"/>
  <c r="C626" i="58"/>
  <c r="C647" i="58"/>
  <c r="C668" i="58"/>
  <c r="C534" i="58"/>
  <c r="C538" i="58"/>
  <c r="C542" i="58"/>
  <c r="C546" i="58"/>
  <c r="C550" i="58"/>
  <c r="C554" i="58"/>
  <c r="C536" i="58"/>
  <c r="C540" i="58"/>
  <c r="C544" i="58"/>
  <c r="C548" i="58"/>
  <c r="C552" i="58"/>
  <c r="C556" i="58"/>
  <c r="C594" i="58"/>
  <c r="C615" i="58"/>
  <c r="C636" i="58"/>
  <c r="C573" i="58"/>
  <c r="C657" i="58"/>
  <c r="C678" i="58"/>
  <c r="C596" i="58"/>
  <c r="C617" i="58"/>
  <c r="C638" i="58"/>
  <c r="C575" i="58"/>
  <c r="C659" i="58"/>
  <c r="C680" i="58"/>
  <c r="C578" i="58"/>
  <c r="C599" i="58"/>
  <c r="C620" i="58"/>
  <c r="C641" i="58"/>
  <c r="C662" i="58"/>
  <c r="C683" i="58"/>
  <c r="C590" i="58"/>
  <c r="C611" i="58"/>
  <c r="C632" i="58"/>
  <c r="C569" i="58"/>
  <c r="C674" i="58"/>
  <c r="C653" i="58"/>
  <c r="E998" i="58"/>
  <c r="D867" i="58"/>
  <c r="D892" i="58"/>
  <c r="D917" i="58"/>
  <c r="D942" i="58"/>
  <c r="D967" i="58"/>
  <c r="D992" i="58"/>
  <c r="D711" i="58"/>
  <c r="D736" i="58"/>
  <c r="D761" i="58"/>
  <c r="D786" i="58"/>
  <c r="D811" i="58"/>
  <c r="D836" i="58"/>
  <c r="D596" i="58"/>
  <c r="D617" i="58"/>
  <c r="D638" i="58"/>
  <c r="D575" i="58"/>
  <c r="D659" i="58"/>
  <c r="D680" i="58"/>
  <c r="M702" i="58"/>
  <c r="K858" i="58"/>
  <c r="I858" i="58"/>
  <c r="I292" i="58"/>
  <c r="I642" i="58"/>
  <c r="I946" i="58"/>
  <c r="H371" i="58"/>
  <c r="L397" i="58"/>
  <c r="I397" i="58"/>
  <c r="K397" i="58"/>
  <c r="M685" i="58"/>
  <c r="I841" i="58"/>
  <c r="AH72" i="57"/>
  <c r="S281" i="12" s="1"/>
  <c r="AF72" i="57"/>
  <c r="Q281" i="12" s="1"/>
  <c r="AG195" i="57"/>
  <c r="R384" i="12" s="1"/>
  <c r="AH195" i="57"/>
  <c r="S384" i="12" s="1"/>
  <c r="AI194" i="57"/>
  <c r="T383" i="12" s="1"/>
  <c r="AG133" i="57"/>
  <c r="R332" i="12" s="1"/>
  <c r="AF70" i="57"/>
  <c r="Q279" i="12" s="1"/>
  <c r="AG194" i="57"/>
  <c r="R383" i="12" s="1"/>
  <c r="AH130" i="57"/>
  <c r="S329" i="12" s="1"/>
  <c r="AI130" i="57"/>
  <c r="T329" i="12" s="1"/>
  <c r="AG68" i="57"/>
  <c r="R277" i="12" s="1"/>
  <c r="AH61" i="57"/>
  <c r="S270" i="12" s="1"/>
  <c r="AG61" i="57"/>
  <c r="R270" i="12" s="1"/>
  <c r="AI186" i="57"/>
  <c r="T375" i="12" s="1"/>
  <c r="AH123" i="57"/>
  <c r="S322" i="12" s="1"/>
  <c r="AF60" i="57"/>
  <c r="Q269" i="12" s="1"/>
  <c r="AG185" i="57"/>
  <c r="R374" i="12" s="1"/>
  <c r="AH122" i="57"/>
  <c r="S321" i="12" s="1"/>
  <c r="AI122" i="57"/>
  <c r="T321" i="12" s="1"/>
  <c r="AF182" i="57"/>
  <c r="Q371" i="12" s="1"/>
  <c r="L257" i="58"/>
  <c r="K257" i="58"/>
  <c r="K756" i="58"/>
  <c r="K912" i="58"/>
  <c r="L262" i="58"/>
  <c r="K262" i="58"/>
  <c r="L617" i="58"/>
  <c r="K761" i="58"/>
  <c r="H346" i="58"/>
  <c r="L372" i="58"/>
  <c r="I372" i="58"/>
  <c r="M398" i="58"/>
  <c r="K372" i="58"/>
  <c r="K686" i="58"/>
  <c r="L842" i="58"/>
  <c r="M998" i="58"/>
  <c r="AI22" i="57"/>
  <c r="T203" i="12" s="1"/>
  <c r="AH84" i="57"/>
  <c r="S293" i="12" s="1"/>
  <c r="AI145" i="57"/>
  <c r="T344" i="12" s="1"/>
  <c r="AF21" i="57"/>
  <c r="Q241" i="12" s="1"/>
  <c r="AI144" i="57"/>
  <c r="T343" i="12" s="1"/>
  <c r="AH20" i="57"/>
  <c r="S240" i="12" s="1"/>
  <c r="AG82" i="57"/>
  <c r="R291" i="12" s="1"/>
  <c r="AI82" i="57"/>
  <c r="T291" i="12" s="1"/>
  <c r="AG80" i="57"/>
  <c r="R289" i="12" s="1"/>
  <c r="AF80" i="57"/>
  <c r="Q289" i="12" s="1"/>
  <c r="AH18" i="57"/>
  <c r="S238" i="12" s="1"/>
  <c r="AH114" i="57"/>
  <c r="S313" i="12" s="1"/>
  <c r="AG52" i="57"/>
  <c r="R261" i="12" s="1"/>
  <c r="AF51" i="57"/>
  <c r="Q260" i="12" s="1"/>
  <c r="AH176" i="57"/>
  <c r="S365" i="12" s="1"/>
  <c r="AI176" i="57"/>
  <c r="T365" i="12" s="1"/>
  <c r="AG112" i="57"/>
  <c r="R311" i="12" s="1"/>
  <c r="AI174" i="57"/>
  <c r="T363" i="12" s="1"/>
  <c r="AH110" i="57"/>
  <c r="S309" i="12" s="1"/>
  <c r="AG172" i="57"/>
  <c r="R361" i="12" s="1"/>
  <c r="AG110" i="57"/>
  <c r="R309" i="12" s="1"/>
  <c r="AF172" i="57"/>
  <c r="Q361" i="12" s="1"/>
  <c r="AG66" i="57"/>
  <c r="R275" i="12" s="1"/>
  <c r="AI66" i="57"/>
  <c r="T275" i="12" s="1"/>
  <c r="AG128" i="57"/>
  <c r="R327" i="12" s="1"/>
  <c r="AH127" i="57"/>
  <c r="S326" i="12" s="1"/>
  <c r="AH187" i="57"/>
  <c r="S376" i="12" s="1"/>
  <c r="AH63" i="57"/>
  <c r="S272" i="12" s="1"/>
  <c r="AG187" i="57"/>
  <c r="R376" i="12" s="1"/>
  <c r="D1010" i="11"/>
  <c r="D1141" i="11"/>
  <c r="D975" i="11"/>
  <c r="D1132" i="11"/>
  <c r="D1016" i="11"/>
  <c r="D1147" i="11"/>
  <c r="D992" i="11"/>
  <c r="D979" i="11"/>
  <c r="D1138" i="11"/>
  <c r="D994" i="11"/>
  <c r="D1129" i="11"/>
  <c r="D972" i="11"/>
  <c r="D985" i="11"/>
  <c r="D1144" i="11"/>
  <c r="D1131" i="11"/>
  <c r="D1015" i="11"/>
  <c r="D980" i="11"/>
  <c r="H956" i="58"/>
  <c r="L956" i="58"/>
  <c r="I956" i="58"/>
  <c r="M956" i="58"/>
  <c r="H800" i="58"/>
  <c r="L800" i="58"/>
  <c r="I800" i="58"/>
  <c r="M800" i="58"/>
  <c r="I648" i="58"/>
  <c r="M648" i="58"/>
  <c r="H648" i="58"/>
  <c r="L648" i="58"/>
  <c r="M303" i="58"/>
  <c r="I303" i="58"/>
  <c r="L303" i="58"/>
  <c r="H303" i="58"/>
  <c r="L534" i="58"/>
  <c r="M534" i="58"/>
  <c r="M697" i="58"/>
  <c r="M853" i="58"/>
  <c r="H305" i="58"/>
  <c r="I958" i="58"/>
  <c r="H316" i="58"/>
  <c r="L813" i="58"/>
  <c r="M579" i="58"/>
  <c r="L715" i="58"/>
  <c r="L871" i="58"/>
  <c r="M871" i="58"/>
  <c r="H396" i="58"/>
  <c r="M344" i="58"/>
  <c r="M684" i="58"/>
  <c r="I840" i="58"/>
  <c r="K996" i="58"/>
  <c r="H268" i="58"/>
  <c r="M268" i="58"/>
  <c r="K623" i="58"/>
  <c r="M923" i="58"/>
  <c r="I423" i="58"/>
  <c r="M448" i="58"/>
  <c r="J448" i="58"/>
  <c r="AF89" i="57"/>
  <c r="Q219" i="12" s="1"/>
  <c r="AI151" i="57"/>
  <c r="T230" i="12" s="1"/>
  <c r="AH150" i="57"/>
  <c r="S229" i="12" s="1"/>
  <c r="AF150" i="57"/>
  <c r="Q229" i="12" s="1"/>
  <c r="AG149" i="57"/>
  <c r="R228" i="12" s="1"/>
  <c r="AF25" i="57"/>
  <c r="Q206" i="12" s="1"/>
  <c r="AF149" i="57"/>
  <c r="Q228" i="12" s="1"/>
  <c r="AI23" i="57"/>
  <c r="T204" i="12" s="1"/>
  <c r="AI85" i="57"/>
  <c r="T215" i="12" s="1"/>
  <c r="AF23" i="57"/>
  <c r="Q204" i="12" s="1"/>
  <c r="AG79" i="57"/>
  <c r="R288" i="12" s="1"/>
  <c r="V237" i="12"/>
  <c r="R237" i="12"/>
  <c r="Q340" i="12"/>
  <c r="U340" i="12"/>
  <c r="AF16" i="57"/>
  <c r="Q236" i="12" s="1"/>
  <c r="AF140" i="57"/>
  <c r="AG16" i="57"/>
  <c r="AG139" i="57"/>
  <c r="AH140" i="57"/>
  <c r="V234" i="12"/>
  <c r="R234" i="12"/>
  <c r="AG137" i="57"/>
  <c r="AF75" i="57"/>
  <c r="Q284" i="12" s="1"/>
  <c r="AG166" i="57"/>
  <c r="R360" i="12" s="1"/>
  <c r="AI104" i="57"/>
  <c r="T308" i="12" s="1"/>
  <c r="AF104" i="57"/>
  <c r="Q308" i="12" s="1"/>
  <c r="AF165" i="57"/>
  <c r="Q359" i="12" s="1"/>
  <c r="AI41" i="57"/>
  <c r="T255" i="12" s="1"/>
  <c r="AH165" i="57"/>
  <c r="S359" i="12" s="1"/>
  <c r="AF102" i="57"/>
  <c r="Q306" i="12" s="1"/>
  <c r="AG162" i="57"/>
  <c r="R356" i="12" s="1"/>
  <c r="AH100" i="57"/>
  <c r="S304" i="12" s="1"/>
  <c r="AF100" i="57"/>
  <c r="Q304" i="12" s="1"/>
  <c r="AF57" i="57"/>
  <c r="Q266" i="12" s="1"/>
  <c r="AG119" i="57"/>
  <c r="R318" i="12" s="1"/>
  <c r="AI56" i="57"/>
  <c r="T265" i="12" s="1"/>
  <c r="AH56" i="57"/>
  <c r="S265" i="12" s="1"/>
  <c r="AI181" i="57"/>
  <c r="T370" i="12" s="1"/>
  <c r="AF55" i="57"/>
  <c r="Q264" i="12" s="1"/>
  <c r="AI117" i="57"/>
  <c r="T316" i="12" s="1"/>
  <c r="AG179" i="57"/>
  <c r="R368" i="12" s="1"/>
  <c r="AH179" i="57"/>
  <c r="S368" i="12" s="1"/>
  <c r="AH117" i="57"/>
  <c r="S316" i="12" s="1"/>
  <c r="AF179" i="57"/>
  <c r="Q368" i="12" s="1"/>
  <c r="AF53" i="57"/>
  <c r="Q262" i="12" s="1"/>
  <c r="AI177" i="57"/>
  <c r="T366" i="12" s="1"/>
  <c r="AH177" i="57"/>
  <c r="S366" i="12" s="1"/>
  <c r="D991" i="11"/>
  <c r="D1174" i="11"/>
  <c r="D1148" i="11"/>
  <c r="L533" i="58"/>
  <c r="K696" i="58"/>
  <c r="K852" i="58"/>
  <c r="L259" i="58"/>
  <c r="K259" i="58"/>
  <c r="K758" i="58"/>
  <c r="K914" i="58"/>
  <c r="L265" i="58"/>
  <c r="K265" i="58"/>
  <c r="K920" i="58"/>
  <c r="L300" i="58"/>
  <c r="L550" i="58"/>
  <c r="L953" i="58"/>
  <c r="L536" i="58"/>
  <c r="M536" i="58"/>
  <c r="M699" i="58"/>
  <c r="M855" i="58"/>
  <c r="H304" i="58"/>
  <c r="I801" i="58"/>
  <c r="I409" i="58"/>
  <c r="M434" i="58"/>
  <c r="J434" i="58"/>
  <c r="H419" i="58"/>
  <c r="K444" i="58"/>
  <c r="L444" i="58"/>
  <c r="J419" i="58"/>
  <c r="I189" i="58"/>
  <c r="I59" i="58" s="1"/>
  <c r="I85" i="58" s="1"/>
  <c r="I111" i="58" s="1"/>
  <c r="I137" i="58" s="1"/>
  <c r="I163" i="58" s="1"/>
  <c r="L215" i="58"/>
  <c r="I241" i="58"/>
  <c r="M600" i="58"/>
  <c r="L740" i="58"/>
  <c r="L792" i="58"/>
  <c r="L473" i="58"/>
  <c r="I473" i="58"/>
  <c r="AF94" i="57"/>
  <c r="Q298" i="12" s="1"/>
  <c r="AG156" i="57"/>
  <c r="R350" i="12" s="1"/>
  <c r="AG94" i="57"/>
  <c r="R298" i="12" s="1"/>
  <c r="AI155" i="57"/>
  <c r="T349" i="12" s="1"/>
  <c r="AH155" i="57"/>
  <c r="S349" i="12" s="1"/>
  <c r="AG28" i="57"/>
  <c r="R242" i="12" s="1"/>
  <c r="AF28" i="57"/>
  <c r="Q242" i="12" s="1"/>
  <c r="AF152" i="57"/>
  <c r="Q346" i="12" s="1"/>
  <c r="AG109" i="57"/>
  <c r="AH109" i="57"/>
  <c r="AG47" i="57"/>
  <c r="R202" i="12" s="1"/>
  <c r="AH47" i="57"/>
  <c r="S202" i="12" s="1"/>
  <c r="AF47" i="57"/>
  <c r="Q202" i="12" s="1"/>
  <c r="AG169" i="57"/>
  <c r="R223" i="12" s="1"/>
  <c r="AI45" i="57"/>
  <c r="T200" i="12" s="1"/>
  <c r="V211" i="12"/>
  <c r="R211" i="12"/>
  <c r="AH167" i="57"/>
  <c r="S221" i="12" s="1"/>
  <c r="AI43" i="57"/>
  <c r="T198" i="12" s="1"/>
  <c r="AG43" i="57"/>
  <c r="R198" i="12" s="1"/>
  <c r="AG167" i="57"/>
  <c r="R221" i="12" s="1"/>
  <c r="AG37" i="57"/>
  <c r="R251" i="12" s="1"/>
  <c r="AG161" i="57"/>
  <c r="R355" i="12" s="1"/>
  <c r="AF99" i="57"/>
  <c r="Q303" i="12" s="1"/>
  <c r="AF95" i="57"/>
  <c r="Q299" i="12" s="1"/>
  <c r="AI33" i="57"/>
  <c r="T247" i="12" s="1"/>
  <c r="AH33" i="57"/>
  <c r="S247" i="12" s="1"/>
  <c r="AI95" i="57"/>
  <c r="T299" i="12" s="1"/>
  <c r="D2015" i="11"/>
  <c r="D982" i="11"/>
  <c r="D1178" i="11"/>
  <c r="K574" i="58"/>
  <c r="L574" i="58"/>
  <c r="L710" i="58"/>
  <c r="M866" i="58"/>
  <c r="L563" i="58"/>
  <c r="K694" i="58"/>
  <c r="K850" i="58"/>
  <c r="H875" i="58"/>
  <c r="L875" i="58"/>
  <c r="I875" i="58"/>
  <c r="M875" i="58"/>
  <c r="H719" i="58"/>
  <c r="L719" i="58"/>
  <c r="I719" i="58"/>
  <c r="M719" i="58"/>
  <c r="I583" i="58"/>
  <c r="M583" i="58"/>
  <c r="H583" i="58"/>
  <c r="L583" i="58"/>
  <c r="M220" i="58"/>
  <c r="I220" i="58"/>
  <c r="L220" i="58"/>
  <c r="H220" i="58"/>
  <c r="M194" i="58"/>
  <c r="I194" i="58"/>
  <c r="M168" i="58"/>
  <c r="M38" i="58" s="1"/>
  <c r="M64" i="58" s="1"/>
  <c r="M90" i="58" s="1"/>
  <c r="M116" i="58" s="1"/>
  <c r="M142" i="58" s="1"/>
  <c r="I168" i="58"/>
  <c r="I38" i="58" s="1"/>
  <c r="I64" i="58" s="1"/>
  <c r="I90" i="58" s="1"/>
  <c r="I116" i="58" s="1"/>
  <c r="I142" i="58" s="1"/>
  <c r="L194" i="58"/>
  <c r="H194" i="58"/>
  <c r="L168" i="58"/>
  <c r="L38" i="58" s="1"/>
  <c r="L64" i="58" s="1"/>
  <c r="L90" i="58" s="1"/>
  <c r="L116" i="58" s="1"/>
  <c r="L142" i="58" s="1"/>
  <c r="H64" i="58"/>
  <c r="H90" i="58" s="1"/>
  <c r="H116" i="58" s="1"/>
  <c r="H142" i="58" s="1"/>
  <c r="I876" i="58"/>
  <c r="M876" i="58"/>
  <c r="H876" i="58"/>
  <c r="L876" i="58"/>
  <c r="H720" i="58"/>
  <c r="L720" i="58"/>
  <c r="I720" i="58"/>
  <c r="M720" i="58"/>
  <c r="H584" i="58"/>
  <c r="L584" i="58"/>
  <c r="I584" i="58"/>
  <c r="M584" i="58"/>
  <c r="M221" i="58"/>
  <c r="I221" i="58"/>
  <c r="L221" i="58"/>
  <c r="H221" i="58"/>
  <c r="M195" i="58"/>
  <c r="I195" i="58"/>
  <c r="M169" i="58"/>
  <c r="M39" i="58" s="1"/>
  <c r="M65" i="58" s="1"/>
  <c r="M91" i="58" s="1"/>
  <c r="M117" i="58" s="1"/>
  <c r="M143" i="58" s="1"/>
  <c r="I169" i="58"/>
  <c r="I39" i="58" s="1"/>
  <c r="I65" i="58" s="1"/>
  <c r="I91" i="58" s="1"/>
  <c r="I117" i="58" s="1"/>
  <c r="I143" i="58" s="1"/>
  <c r="L195" i="58"/>
  <c r="H195" i="58"/>
  <c r="L169" i="58"/>
  <c r="L39" i="58" s="1"/>
  <c r="L65" i="58" s="1"/>
  <c r="L91" i="58" s="1"/>
  <c r="L117" i="58" s="1"/>
  <c r="L143" i="58" s="1"/>
  <c r="H169" i="58"/>
  <c r="H39" i="58" s="1"/>
  <c r="H65" i="58" s="1"/>
  <c r="H91" i="58" s="1"/>
  <c r="H117" i="58" s="1"/>
  <c r="H143" i="58" s="1"/>
  <c r="I891" i="58"/>
  <c r="M891" i="58"/>
  <c r="H891" i="58"/>
  <c r="L891" i="58"/>
  <c r="H735" i="58"/>
  <c r="L735" i="58"/>
  <c r="I735" i="58"/>
  <c r="M735" i="58"/>
  <c r="I595" i="58"/>
  <c r="M595" i="58"/>
  <c r="H595" i="58"/>
  <c r="L595" i="58"/>
  <c r="M236" i="58"/>
  <c r="I236" i="58"/>
  <c r="M210" i="58"/>
  <c r="I210" i="58"/>
  <c r="L236" i="58"/>
  <c r="H236" i="58"/>
  <c r="L210" i="58"/>
  <c r="H210" i="58"/>
  <c r="M184" i="58"/>
  <c r="M54" i="58" s="1"/>
  <c r="M80" i="58" s="1"/>
  <c r="M106" i="58" s="1"/>
  <c r="M132" i="58" s="1"/>
  <c r="M158" i="58" s="1"/>
  <c r="I184" i="58"/>
  <c r="I54" i="58" s="1"/>
  <c r="I80" i="58" s="1"/>
  <c r="I106" i="58" s="1"/>
  <c r="I132" i="58" s="1"/>
  <c r="I158" i="58" s="1"/>
  <c r="L184" i="58"/>
  <c r="L54" i="58" s="1"/>
  <c r="L80" i="58" s="1"/>
  <c r="L106" i="58" s="1"/>
  <c r="L132" i="58" s="1"/>
  <c r="L158" i="58" s="1"/>
  <c r="H184" i="58"/>
  <c r="H54" i="58" s="1"/>
  <c r="H80" i="58" s="1"/>
  <c r="H106" i="58" s="1"/>
  <c r="H132" i="58" s="1"/>
  <c r="H158" i="58" s="1"/>
  <c r="H877" i="58"/>
  <c r="L877" i="58"/>
  <c r="I877" i="58"/>
  <c r="M877" i="58"/>
  <c r="H721" i="58"/>
  <c r="L721" i="58"/>
  <c r="I721" i="58"/>
  <c r="M721" i="58"/>
  <c r="I537" i="58"/>
  <c r="M537" i="58"/>
  <c r="H537" i="58"/>
  <c r="L537" i="58"/>
  <c r="M222" i="58"/>
  <c r="I222" i="58"/>
  <c r="L222" i="58"/>
  <c r="H222" i="58"/>
  <c r="M196" i="58"/>
  <c r="I196" i="58"/>
  <c r="M170" i="58"/>
  <c r="M40" i="58" s="1"/>
  <c r="M66" i="58" s="1"/>
  <c r="M92" i="58" s="1"/>
  <c r="M118" i="58" s="1"/>
  <c r="M144" i="58" s="1"/>
  <c r="I170" i="58"/>
  <c r="I40" i="58" s="1"/>
  <c r="I66" i="58" s="1"/>
  <c r="I92" i="58" s="1"/>
  <c r="I118" i="58" s="1"/>
  <c r="I144" i="58" s="1"/>
  <c r="L196" i="58"/>
  <c r="H196" i="58"/>
  <c r="L170" i="58"/>
  <c r="L40" i="58" s="1"/>
  <c r="L66" i="58" s="1"/>
  <c r="L92" i="58" s="1"/>
  <c r="L118" i="58" s="1"/>
  <c r="L144" i="58" s="1"/>
  <c r="H170" i="58"/>
  <c r="H40" i="58" s="1"/>
  <c r="H66" i="58" s="1"/>
  <c r="H92" i="58" s="1"/>
  <c r="H118" i="58" s="1"/>
  <c r="H144" i="58" s="1"/>
  <c r="I878" i="58"/>
  <c r="M878" i="58"/>
  <c r="H878" i="58"/>
  <c r="L878" i="58"/>
  <c r="H722" i="58"/>
  <c r="L722" i="58"/>
  <c r="I722" i="58"/>
  <c r="M722" i="58"/>
  <c r="H538" i="58"/>
  <c r="L538" i="58"/>
  <c r="I538" i="58"/>
  <c r="M538" i="58"/>
  <c r="M223" i="58"/>
  <c r="I223" i="58"/>
  <c r="L223" i="58"/>
  <c r="H223" i="58"/>
  <c r="M197" i="58"/>
  <c r="I197" i="58"/>
  <c r="M171" i="58"/>
  <c r="M41" i="58" s="1"/>
  <c r="M67" i="58" s="1"/>
  <c r="M93" i="58" s="1"/>
  <c r="M119" i="58" s="1"/>
  <c r="M145" i="58" s="1"/>
  <c r="I171" i="58"/>
  <c r="I41" i="58" s="1"/>
  <c r="I67" i="58" s="1"/>
  <c r="I93" i="58" s="1"/>
  <c r="I119" i="58" s="1"/>
  <c r="I145" i="58" s="1"/>
  <c r="L197" i="58"/>
  <c r="H197" i="58"/>
  <c r="L171" i="58"/>
  <c r="L41" i="58" s="1"/>
  <c r="L67" i="58" s="1"/>
  <c r="L93" i="58" s="1"/>
  <c r="L119" i="58" s="1"/>
  <c r="L145" i="58" s="1"/>
  <c r="H171" i="58"/>
  <c r="H41" i="58" s="1"/>
  <c r="H67" i="58" s="1"/>
  <c r="H93" i="58" s="1"/>
  <c r="H119" i="58" s="1"/>
  <c r="H145" i="58" s="1"/>
  <c r="H879" i="58"/>
  <c r="L879" i="58"/>
  <c r="M879" i="58"/>
  <c r="I879" i="58"/>
  <c r="H723" i="58"/>
  <c r="L723" i="58"/>
  <c r="I723" i="58"/>
  <c r="M723" i="58"/>
  <c r="I539" i="58"/>
  <c r="M539" i="58"/>
  <c r="H539" i="58"/>
  <c r="L539" i="58"/>
  <c r="M224" i="58"/>
  <c r="I224" i="58"/>
  <c r="L224" i="58"/>
  <c r="H224" i="58"/>
  <c r="M198" i="58"/>
  <c r="I198" i="58"/>
  <c r="M172" i="58"/>
  <c r="M42" i="58" s="1"/>
  <c r="M68" i="58" s="1"/>
  <c r="M94" i="58" s="1"/>
  <c r="M120" i="58" s="1"/>
  <c r="M146" i="58" s="1"/>
  <c r="I172" i="58"/>
  <c r="I42" i="58" s="1"/>
  <c r="I68" i="58" s="1"/>
  <c r="I94" i="58" s="1"/>
  <c r="I120" i="58" s="1"/>
  <c r="I146" i="58" s="1"/>
  <c r="L198" i="58"/>
  <c r="H198" i="58"/>
  <c r="L172" i="58"/>
  <c r="L42" i="58" s="1"/>
  <c r="L68" i="58" s="1"/>
  <c r="L94" i="58" s="1"/>
  <c r="L120" i="58" s="1"/>
  <c r="L146" i="58" s="1"/>
  <c r="H172" i="58"/>
  <c r="H42" i="58" s="1"/>
  <c r="H68" i="58" s="1"/>
  <c r="H94" i="58" s="1"/>
  <c r="H120" i="58" s="1"/>
  <c r="H146" i="58" s="1"/>
  <c r="I880" i="58"/>
  <c r="M880" i="58"/>
  <c r="H880" i="58"/>
  <c r="L880" i="58"/>
  <c r="H724" i="58"/>
  <c r="L724" i="58"/>
  <c r="I724" i="58"/>
  <c r="M724" i="58"/>
  <c r="H540" i="58"/>
  <c r="L540" i="58"/>
  <c r="I540" i="58"/>
  <c r="M540" i="58"/>
  <c r="M225" i="58"/>
  <c r="I225" i="58"/>
  <c r="L225" i="58"/>
  <c r="H225" i="58"/>
  <c r="M199" i="58"/>
  <c r="I199" i="58"/>
  <c r="M173" i="58"/>
  <c r="M43" i="58" s="1"/>
  <c r="M69" i="58" s="1"/>
  <c r="M95" i="58" s="1"/>
  <c r="M121" i="58" s="1"/>
  <c r="M147" i="58" s="1"/>
  <c r="I173" i="58"/>
  <c r="I43" i="58" s="1"/>
  <c r="I69" i="58" s="1"/>
  <c r="I95" i="58" s="1"/>
  <c r="I121" i="58" s="1"/>
  <c r="I147" i="58" s="1"/>
  <c r="L199" i="58"/>
  <c r="H199" i="58"/>
  <c r="L173" i="58"/>
  <c r="L43" i="58" s="1"/>
  <c r="L69" i="58" s="1"/>
  <c r="L95" i="58" s="1"/>
  <c r="L121" i="58" s="1"/>
  <c r="L147" i="58" s="1"/>
  <c r="H173" i="58"/>
  <c r="H43" i="58" s="1"/>
  <c r="H69" i="58" s="1"/>
  <c r="H95" i="58" s="1"/>
  <c r="H121" i="58" s="1"/>
  <c r="H147" i="58" s="1"/>
  <c r="H883" i="58"/>
  <c r="L883" i="58"/>
  <c r="I883" i="58"/>
  <c r="M883" i="58"/>
  <c r="H727" i="58"/>
  <c r="L727" i="58"/>
  <c r="I727" i="58"/>
  <c r="M727" i="58"/>
  <c r="I587" i="58"/>
  <c r="M587" i="58"/>
  <c r="H587" i="58"/>
  <c r="L587" i="58"/>
  <c r="M228" i="58"/>
  <c r="I228" i="58"/>
  <c r="L228" i="58"/>
  <c r="H228" i="58"/>
  <c r="M202" i="58"/>
  <c r="I202" i="58"/>
  <c r="M176" i="58"/>
  <c r="M46" i="58" s="1"/>
  <c r="M72" i="58" s="1"/>
  <c r="M98" i="58" s="1"/>
  <c r="M124" i="58" s="1"/>
  <c r="M150" i="58" s="1"/>
  <c r="I176" i="58"/>
  <c r="I46" i="58" s="1"/>
  <c r="I72" i="58" s="1"/>
  <c r="I98" i="58" s="1"/>
  <c r="I124" i="58" s="1"/>
  <c r="I150" i="58" s="1"/>
  <c r="L202" i="58"/>
  <c r="H202" i="58"/>
  <c r="L176" i="58"/>
  <c r="L46" i="58" s="1"/>
  <c r="L72" i="58" s="1"/>
  <c r="L98" i="58" s="1"/>
  <c r="L124" i="58" s="1"/>
  <c r="L150" i="58" s="1"/>
  <c r="H176" i="58"/>
  <c r="H46" i="58" s="1"/>
  <c r="H72" i="58" s="1"/>
  <c r="H98" i="58" s="1"/>
  <c r="H124" i="58" s="1"/>
  <c r="H150" i="58" s="1"/>
  <c r="K909" i="58"/>
  <c r="H909" i="58"/>
  <c r="L909" i="58"/>
  <c r="I909" i="58"/>
  <c r="M909" i="58"/>
  <c r="K753" i="58"/>
  <c r="I753" i="58"/>
  <c r="M753" i="58"/>
  <c r="H753" i="58"/>
  <c r="L753" i="58"/>
  <c r="K609" i="58"/>
  <c r="H609" i="58"/>
  <c r="L609" i="58"/>
  <c r="I609" i="58"/>
  <c r="M609" i="58"/>
  <c r="K254" i="58"/>
  <c r="M254" i="58"/>
  <c r="I254" i="58"/>
  <c r="L254" i="58"/>
  <c r="H254" i="58"/>
  <c r="K913" i="58"/>
  <c r="H913" i="58"/>
  <c r="L913" i="58"/>
  <c r="I913" i="58"/>
  <c r="M913" i="58"/>
  <c r="K757" i="58"/>
  <c r="I757" i="58"/>
  <c r="M757" i="58"/>
  <c r="H757" i="58"/>
  <c r="L757" i="58"/>
  <c r="K613" i="58"/>
  <c r="H613" i="58"/>
  <c r="L613" i="58"/>
  <c r="I613" i="58"/>
  <c r="M613" i="58"/>
  <c r="K258" i="58"/>
  <c r="M258" i="58"/>
  <c r="I258" i="58"/>
  <c r="L258" i="58"/>
  <c r="H258" i="58"/>
  <c r="I856" i="58"/>
  <c r="M856" i="58"/>
  <c r="K856" i="58"/>
  <c r="H856" i="58"/>
  <c r="L856" i="58"/>
  <c r="K700" i="58"/>
  <c r="H700" i="58"/>
  <c r="L700" i="58"/>
  <c r="I700" i="58"/>
  <c r="M700" i="58"/>
  <c r="K565" i="58"/>
  <c r="H565" i="58"/>
  <c r="L565" i="58"/>
  <c r="I565" i="58"/>
  <c r="M565" i="58"/>
  <c r="I885" i="58"/>
  <c r="M885" i="58"/>
  <c r="H885" i="58"/>
  <c r="L885" i="58"/>
  <c r="H729" i="58"/>
  <c r="L729" i="58"/>
  <c r="I729" i="58"/>
  <c r="M729" i="58"/>
  <c r="I589" i="58"/>
  <c r="M589" i="58"/>
  <c r="H589" i="58"/>
  <c r="L589" i="58"/>
  <c r="M230" i="58"/>
  <c r="I230" i="58"/>
  <c r="L230" i="58"/>
  <c r="H230" i="58"/>
  <c r="M204" i="58"/>
  <c r="I204" i="58"/>
  <c r="M178" i="58"/>
  <c r="M48" i="58" s="1"/>
  <c r="M74" i="58" s="1"/>
  <c r="M100" i="58" s="1"/>
  <c r="M126" i="58" s="1"/>
  <c r="M152" i="58" s="1"/>
  <c r="I178" i="58"/>
  <c r="I48" i="58" s="1"/>
  <c r="I74" i="58" s="1"/>
  <c r="I100" i="58" s="1"/>
  <c r="I126" i="58" s="1"/>
  <c r="I152" i="58" s="1"/>
  <c r="L204" i="58"/>
  <c r="H204" i="58"/>
  <c r="L178" i="58"/>
  <c r="L48" i="58" s="1"/>
  <c r="L74" i="58" s="1"/>
  <c r="L100" i="58" s="1"/>
  <c r="L126" i="58" s="1"/>
  <c r="L152" i="58" s="1"/>
  <c r="H178" i="58"/>
  <c r="H48" i="58" s="1"/>
  <c r="H74" i="58" s="1"/>
  <c r="H100" i="58" s="1"/>
  <c r="H126" i="58" s="1"/>
  <c r="H152" i="58" s="1"/>
  <c r="H937" i="58"/>
  <c r="L937" i="58"/>
  <c r="I937" i="58"/>
  <c r="K937" i="58"/>
  <c r="H781" i="58"/>
  <c r="L781" i="58"/>
  <c r="I781" i="58"/>
  <c r="K781" i="58"/>
  <c r="I633" i="58"/>
  <c r="K633" i="58"/>
  <c r="H633" i="58"/>
  <c r="L633" i="58"/>
  <c r="K283" i="58"/>
  <c r="I283" i="58"/>
  <c r="L283" i="58"/>
  <c r="H283" i="58"/>
  <c r="H989" i="58"/>
  <c r="L989" i="58"/>
  <c r="I989" i="58"/>
  <c r="M989" i="58"/>
  <c r="K989" i="58"/>
  <c r="H833" i="58"/>
  <c r="L833" i="58"/>
  <c r="I833" i="58"/>
  <c r="M833" i="58"/>
  <c r="K833" i="58"/>
  <c r="H677" i="58"/>
  <c r="L677" i="58"/>
  <c r="I677" i="58"/>
  <c r="M677" i="58"/>
  <c r="K677" i="58"/>
  <c r="K389" i="58"/>
  <c r="K363" i="58"/>
  <c r="K337" i="58"/>
  <c r="M389" i="58"/>
  <c r="I389" i="58"/>
  <c r="M363" i="58"/>
  <c r="I363" i="58"/>
  <c r="M337" i="58"/>
  <c r="I337" i="58"/>
  <c r="L389" i="58"/>
  <c r="H389" i="58"/>
  <c r="L363" i="58"/>
  <c r="H363" i="58"/>
  <c r="L337" i="58"/>
  <c r="H337" i="58"/>
  <c r="J518" i="58"/>
  <c r="J493" i="58"/>
  <c r="J468" i="58"/>
  <c r="I518" i="58"/>
  <c r="I493" i="58"/>
  <c r="I468" i="58"/>
  <c r="L518" i="58"/>
  <c r="H518" i="58"/>
  <c r="L493" i="58"/>
  <c r="H493" i="58"/>
  <c r="L468" i="58"/>
  <c r="H468" i="58"/>
  <c r="K518" i="58"/>
  <c r="K493" i="58"/>
  <c r="K468" i="58"/>
  <c r="I867" i="58"/>
  <c r="M867" i="58"/>
  <c r="K867" i="58"/>
  <c r="H867" i="58"/>
  <c r="L867" i="58"/>
  <c r="I711" i="58"/>
  <c r="M711" i="58"/>
  <c r="K711" i="58"/>
  <c r="H711" i="58"/>
  <c r="L711" i="58"/>
  <c r="K575" i="58"/>
  <c r="H575" i="58"/>
  <c r="L575" i="58"/>
  <c r="I575" i="58"/>
  <c r="M575" i="58"/>
  <c r="I895" i="58"/>
  <c r="M895" i="58"/>
  <c r="H895" i="58"/>
  <c r="L895" i="58"/>
  <c r="H739" i="58"/>
  <c r="L739" i="58"/>
  <c r="I739" i="58"/>
  <c r="M739" i="58"/>
  <c r="I599" i="58"/>
  <c r="M599" i="58"/>
  <c r="H599" i="58"/>
  <c r="L599" i="58"/>
  <c r="M240" i="58"/>
  <c r="I240" i="58"/>
  <c r="M239" i="58"/>
  <c r="I239" i="58"/>
  <c r="M214" i="58"/>
  <c r="I214" i="58"/>
  <c r="L240" i="58"/>
  <c r="H240" i="58"/>
  <c r="L239" i="58"/>
  <c r="H239" i="58"/>
  <c r="L214" i="58"/>
  <c r="H214" i="58"/>
  <c r="M188" i="58"/>
  <c r="M58" i="58" s="1"/>
  <c r="M84" i="58" s="1"/>
  <c r="M110" i="58" s="1"/>
  <c r="M136" i="58" s="1"/>
  <c r="M162" i="58" s="1"/>
  <c r="I188" i="58"/>
  <c r="I58" i="58" s="1"/>
  <c r="I84" i="58" s="1"/>
  <c r="I110" i="58" s="1"/>
  <c r="I136" i="58" s="1"/>
  <c r="I162" i="58" s="1"/>
  <c r="L188" i="58"/>
  <c r="L58" i="58" s="1"/>
  <c r="L84" i="58" s="1"/>
  <c r="L110" i="58" s="1"/>
  <c r="L136" i="58" s="1"/>
  <c r="L162" i="58" s="1"/>
  <c r="H188" i="58"/>
  <c r="H58" i="58" s="1"/>
  <c r="H84" i="58" s="1"/>
  <c r="H110" i="58" s="1"/>
  <c r="H136" i="58" s="1"/>
  <c r="H162" i="58" s="1"/>
  <c r="J438" i="58"/>
  <c r="J413" i="58"/>
  <c r="M438" i="58"/>
  <c r="I438" i="58"/>
  <c r="M413" i="58"/>
  <c r="I413" i="58"/>
  <c r="L438" i="58"/>
  <c r="H438" i="58"/>
  <c r="L413" i="58"/>
  <c r="K413" i="58"/>
  <c r="H413" i="58"/>
  <c r="K438" i="58"/>
  <c r="K984" i="58"/>
  <c r="H984" i="58"/>
  <c r="L984" i="58"/>
  <c r="I984" i="58"/>
  <c r="M984" i="58"/>
  <c r="K828" i="58"/>
  <c r="H828" i="58"/>
  <c r="L828" i="58"/>
  <c r="I828" i="58"/>
  <c r="M828" i="58"/>
  <c r="K672" i="58"/>
  <c r="H672" i="58"/>
  <c r="L672" i="58"/>
  <c r="I672" i="58"/>
  <c r="M672" i="58"/>
  <c r="K384" i="58"/>
  <c r="K358" i="58"/>
  <c r="K332" i="58"/>
  <c r="M384" i="58"/>
  <c r="I384" i="58"/>
  <c r="M358" i="58"/>
  <c r="I358" i="58"/>
  <c r="M332" i="58"/>
  <c r="I332" i="58"/>
  <c r="L384" i="58"/>
  <c r="H384" i="58"/>
  <c r="L358" i="58"/>
  <c r="H358" i="58"/>
  <c r="L332" i="58"/>
  <c r="H332" i="58"/>
  <c r="J512" i="58"/>
  <c r="J487" i="58"/>
  <c r="J462" i="58"/>
  <c r="I512" i="58"/>
  <c r="I487" i="58"/>
  <c r="I462" i="58"/>
  <c r="L512" i="58"/>
  <c r="H512" i="58"/>
  <c r="L487" i="58"/>
  <c r="H487" i="58"/>
  <c r="L462" i="58"/>
  <c r="H462" i="58"/>
  <c r="K512" i="58"/>
  <c r="K487" i="58"/>
  <c r="K462" i="58"/>
  <c r="H861" i="58"/>
  <c r="L861" i="58"/>
  <c r="I861" i="58"/>
  <c r="M861" i="58"/>
  <c r="K861" i="58"/>
  <c r="H705" i="58"/>
  <c r="I705" i="58"/>
  <c r="M705" i="58"/>
  <c r="K705" i="58"/>
  <c r="L705" i="58"/>
  <c r="K569" i="58"/>
  <c r="L569" i="58"/>
  <c r="H569" i="58"/>
  <c r="M569" i="58"/>
  <c r="I569" i="58"/>
  <c r="H888" i="58"/>
  <c r="L888" i="58"/>
  <c r="I888" i="58"/>
  <c r="M888" i="58"/>
  <c r="H732" i="58"/>
  <c r="L732" i="58"/>
  <c r="I732" i="58"/>
  <c r="M732" i="58"/>
  <c r="H592" i="58"/>
  <c r="L592" i="58"/>
  <c r="I592" i="58"/>
  <c r="M592" i="58"/>
  <c r="M233" i="58"/>
  <c r="I233" i="58"/>
  <c r="M207" i="58"/>
  <c r="I207" i="58"/>
  <c r="L233" i="58"/>
  <c r="H233" i="58"/>
  <c r="L207" i="58"/>
  <c r="H207" i="58"/>
  <c r="M181" i="58"/>
  <c r="M51" i="58" s="1"/>
  <c r="M77" i="58" s="1"/>
  <c r="M103" i="58" s="1"/>
  <c r="M129" i="58" s="1"/>
  <c r="M155" i="58" s="1"/>
  <c r="I181" i="58"/>
  <c r="I51" i="58" s="1"/>
  <c r="I77" i="58" s="1"/>
  <c r="I103" i="58" s="1"/>
  <c r="I129" i="58" s="1"/>
  <c r="I155" i="58" s="1"/>
  <c r="L181" i="58"/>
  <c r="L51" i="58" s="1"/>
  <c r="L77" i="58" s="1"/>
  <c r="L103" i="58" s="1"/>
  <c r="L129" i="58" s="1"/>
  <c r="L155" i="58" s="1"/>
  <c r="H181" i="58"/>
  <c r="H51" i="58" s="1"/>
  <c r="H77" i="58" s="1"/>
  <c r="H103" i="58" s="1"/>
  <c r="H129" i="58" s="1"/>
  <c r="H155" i="58" s="1"/>
  <c r="K940" i="58"/>
  <c r="H940" i="58"/>
  <c r="L940" i="58"/>
  <c r="I940" i="58"/>
  <c r="K784" i="58"/>
  <c r="H784" i="58"/>
  <c r="L784" i="58"/>
  <c r="I784" i="58"/>
  <c r="K636" i="58"/>
  <c r="H636" i="58"/>
  <c r="L636" i="58"/>
  <c r="I636" i="58"/>
  <c r="K286" i="58"/>
  <c r="I286" i="58"/>
  <c r="L286" i="58"/>
  <c r="H286" i="58"/>
  <c r="C532" i="58"/>
  <c r="C587" i="58"/>
  <c r="C608" i="58"/>
  <c r="C629" i="58"/>
  <c r="C650" i="58"/>
  <c r="C671" i="58"/>
  <c r="H964" i="58"/>
  <c r="L964" i="58"/>
  <c r="I964" i="58"/>
  <c r="M964" i="58"/>
  <c r="H808" i="58"/>
  <c r="L808" i="58"/>
  <c r="I808" i="58"/>
  <c r="M808" i="58"/>
  <c r="H656" i="58"/>
  <c r="L656" i="58"/>
  <c r="I656" i="58"/>
  <c r="M656" i="58"/>
  <c r="M311" i="58"/>
  <c r="I311" i="58"/>
  <c r="L311" i="58"/>
  <c r="H311" i="58"/>
  <c r="K901" i="58"/>
  <c r="H901" i="58"/>
  <c r="L901" i="58"/>
  <c r="I901" i="58"/>
  <c r="M901" i="58"/>
  <c r="K745" i="58"/>
  <c r="H745" i="58"/>
  <c r="L745" i="58"/>
  <c r="I745" i="58"/>
  <c r="M745" i="58"/>
  <c r="K605" i="58"/>
  <c r="H605" i="58"/>
  <c r="L605" i="58"/>
  <c r="I605" i="58"/>
  <c r="M605" i="58"/>
  <c r="K247" i="58"/>
  <c r="M247" i="58"/>
  <c r="I247" i="58"/>
  <c r="L247" i="58"/>
  <c r="H247" i="58"/>
  <c r="I902" i="58"/>
  <c r="M902" i="58"/>
  <c r="K902" i="58"/>
  <c r="H902" i="58"/>
  <c r="L902" i="58"/>
  <c r="H746" i="58"/>
  <c r="L746" i="58"/>
  <c r="I746" i="58"/>
  <c r="M746" i="58"/>
  <c r="K746" i="58"/>
  <c r="I541" i="58"/>
  <c r="M541" i="58"/>
  <c r="K541" i="58"/>
  <c r="H541" i="58"/>
  <c r="L541" i="58"/>
  <c r="K905" i="58"/>
  <c r="H905" i="58"/>
  <c r="L905" i="58"/>
  <c r="I905" i="58"/>
  <c r="M905" i="58"/>
  <c r="K749" i="58"/>
  <c r="H749" i="58"/>
  <c r="L749" i="58"/>
  <c r="I749" i="58"/>
  <c r="M749" i="58"/>
  <c r="K544" i="58"/>
  <c r="H544" i="58"/>
  <c r="L544" i="58"/>
  <c r="I544" i="58"/>
  <c r="M544" i="58"/>
  <c r="K250" i="58"/>
  <c r="M250" i="58"/>
  <c r="I250" i="58"/>
  <c r="L250" i="58"/>
  <c r="H250" i="58"/>
  <c r="H952" i="58"/>
  <c r="L952" i="58"/>
  <c r="I952" i="58"/>
  <c r="M952" i="58"/>
  <c r="H796" i="58"/>
  <c r="L796" i="58"/>
  <c r="I796" i="58"/>
  <c r="M796" i="58"/>
  <c r="I549" i="58"/>
  <c r="M549" i="58"/>
  <c r="H549" i="58"/>
  <c r="L549" i="58"/>
  <c r="M299" i="58"/>
  <c r="I299" i="58"/>
  <c r="L299" i="58"/>
  <c r="H299" i="58"/>
  <c r="H960" i="58"/>
  <c r="L960" i="58"/>
  <c r="I960" i="58"/>
  <c r="M960" i="58"/>
  <c r="H804" i="58"/>
  <c r="L804" i="58"/>
  <c r="I804" i="58"/>
  <c r="M804" i="58"/>
  <c r="H652" i="58"/>
  <c r="L652" i="58"/>
  <c r="M652" i="58"/>
  <c r="I652" i="58"/>
  <c r="M307" i="58"/>
  <c r="I307" i="58"/>
  <c r="L307" i="58"/>
  <c r="H307" i="58"/>
  <c r="I900" i="58"/>
  <c r="M900" i="58"/>
  <c r="K900" i="58"/>
  <c r="H900" i="58"/>
  <c r="L900" i="58"/>
  <c r="H744" i="58"/>
  <c r="L744" i="58"/>
  <c r="I744" i="58"/>
  <c r="M744" i="58"/>
  <c r="K744" i="58"/>
  <c r="I604" i="58"/>
  <c r="M604" i="58"/>
  <c r="K604" i="58"/>
  <c r="H604" i="58"/>
  <c r="L604" i="58"/>
  <c r="K246" i="58"/>
  <c r="M246" i="58"/>
  <c r="I246" i="58"/>
  <c r="L246" i="58"/>
  <c r="H246" i="58"/>
  <c r="J442" i="58"/>
  <c r="J417" i="58"/>
  <c r="M442" i="58"/>
  <c r="I442" i="58"/>
  <c r="M417" i="58"/>
  <c r="I417" i="58"/>
  <c r="L442" i="58"/>
  <c r="H442" i="58"/>
  <c r="L417" i="58"/>
  <c r="K417" i="58"/>
  <c r="H417" i="58"/>
  <c r="K442" i="58"/>
  <c r="J429" i="58"/>
  <c r="M429" i="58"/>
  <c r="I429" i="58"/>
  <c r="L429" i="58"/>
  <c r="H429" i="58"/>
  <c r="K404" i="58"/>
  <c r="J404" i="58"/>
  <c r="K429" i="58"/>
  <c r="M404" i="58"/>
  <c r="I404" i="58"/>
  <c r="L404" i="58"/>
  <c r="H404" i="58"/>
  <c r="D873" i="58"/>
  <c r="D898" i="58"/>
  <c r="D923" i="58"/>
  <c r="D948" i="58"/>
  <c r="D973" i="58"/>
  <c r="D998" i="58"/>
  <c r="D717" i="58"/>
  <c r="D742" i="58"/>
  <c r="D767" i="58"/>
  <c r="D792" i="58"/>
  <c r="D817" i="58"/>
  <c r="D842" i="58"/>
  <c r="D581" i="58"/>
  <c r="D602" i="58"/>
  <c r="D623" i="58"/>
  <c r="D644" i="58"/>
  <c r="D665" i="58"/>
  <c r="D686" i="58"/>
  <c r="C563" i="58"/>
  <c r="C583" i="58"/>
  <c r="C604" i="58"/>
  <c r="C625" i="58"/>
  <c r="C646" i="58"/>
  <c r="C667" i="58"/>
  <c r="D856" i="58"/>
  <c r="D906" i="58"/>
  <c r="D931" i="58"/>
  <c r="D881" i="58"/>
  <c r="D956" i="58"/>
  <c r="D981" i="58"/>
  <c r="D700" i="58"/>
  <c r="D725" i="58"/>
  <c r="D750" i="58"/>
  <c r="D775" i="58"/>
  <c r="D800" i="58"/>
  <c r="D825" i="58"/>
  <c r="D565" i="58"/>
  <c r="D585" i="58"/>
  <c r="D606" i="58"/>
  <c r="D627" i="58"/>
  <c r="D648" i="58"/>
  <c r="D669" i="58"/>
  <c r="D862" i="58"/>
  <c r="D887" i="58"/>
  <c r="D912" i="58"/>
  <c r="D937" i="58"/>
  <c r="D962" i="58"/>
  <c r="D987" i="58"/>
  <c r="D706" i="58"/>
  <c r="D731" i="58"/>
  <c r="D756" i="58"/>
  <c r="D781" i="58"/>
  <c r="D806" i="58"/>
  <c r="D831" i="58"/>
  <c r="D570" i="58"/>
  <c r="D591" i="58"/>
  <c r="D612" i="58"/>
  <c r="D633" i="58"/>
  <c r="D675" i="58"/>
  <c r="D654" i="58"/>
  <c r="C580" i="58"/>
  <c r="C601" i="58"/>
  <c r="C622" i="58"/>
  <c r="C643" i="58"/>
  <c r="C664" i="58"/>
  <c r="C685" i="58"/>
  <c r="I854" i="58"/>
  <c r="M854" i="58"/>
  <c r="K854" i="58"/>
  <c r="H854" i="58"/>
  <c r="L854" i="58"/>
  <c r="K698" i="58"/>
  <c r="H698" i="58"/>
  <c r="L698" i="58"/>
  <c r="I698" i="58"/>
  <c r="M698" i="58"/>
  <c r="K535" i="58"/>
  <c r="H535" i="58"/>
  <c r="L535" i="58"/>
  <c r="I535" i="58"/>
  <c r="M535" i="58"/>
  <c r="K532" i="58"/>
  <c r="L532" i="58"/>
  <c r="I702" i="58"/>
  <c r="H292" i="58"/>
  <c r="K642" i="58"/>
  <c r="I790" i="58"/>
  <c r="K946" i="58"/>
  <c r="H345" i="58"/>
  <c r="L371" i="58"/>
  <c r="I371" i="58"/>
  <c r="M397" i="58"/>
  <c r="K371" i="58"/>
  <c r="I685" i="58"/>
  <c r="K997" i="58"/>
  <c r="L997" i="58"/>
  <c r="AF130" i="57"/>
  <c r="Q329" i="12" s="1"/>
  <c r="AF61" i="57"/>
  <c r="Q270" i="12" s="1"/>
  <c r="AG123" i="57"/>
  <c r="R322" i="12" s="1"/>
  <c r="AI60" i="57"/>
  <c r="T269" i="12" s="1"/>
  <c r="AI58" i="57"/>
  <c r="T267" i="12" s="1"/>
  <c r="AG182" i="57"/>
  <c r="R371" i="12" s="1"/>
  <c r="AF120" i="57"/>
  <c r="Q319" i="12" s="1"/>
  <c r="I908" i="58"/>
  <c r="M908" i="58"/>
  <c r="K908" i="58"/>
  <c r="H908" i="58"/>
  <c r="L908" i="58"/>
  <c r="H752" i="58"/>
  <c r="L752" i="58"/>
  <c r="I752" i="58"/>
  <c r="M752" i="58"/>
  <c r="K752" i="58"/>
  <c r="I608" i="58"/>
  <c r="M608" i="58"/>
  <c r="K608" i="58"/>
  <c r="H608" i="58"/>
  <c r="L608" i="58"/>
  <c r="K253" i="58"/>
  <c r="M253" i="58"/>
  <c r="I253" i="58"/>
  <c r="L253" i="58"/>
  <c r="H253" i="58"/>
  <c r="L912" i="58"/>
  <c r="M912" i="58"/>
  <c r="M617" i="58"/>
  <c r="L761" i="58"/>
  <c r="K917" i="58"/>
  <c r="L346" i="58"/>
  <c r="I346" i="58"/>
  <c r="M372" i="58"/>
  <c r="K346" i="58"/>
  <c r="L686" i="58"/>
  <c r="M842" i="58"/>
  <c r="I998" i="58"/>
  <c r="AF145" i="57"/>
  <c r="Q344" i="12" s="1"/>
  <c r="AG144" i="57"/>
  <c r="R343" i="12" s="1"/>
  <c r="AI83" i="57"/>
  <c r="T292" i="12" s="1"/>
  <c r="AI18" i="57"/>
  <c r="T238" i="12" s="1"/>
  <c r="AG142" i="57"/>
  <c r="R341" i="12" s="1"/>
  <c r="AH80" i="57"/>
  <c r="S289" i="12" s="1"/>
  <c r="AF114" i="57"/>
  <c r="Q313" i="12" s="1"/>
  <c r="AH172" i="57"/>
  <c r="S361" i="12" s="1"/>
  <c r="AF110" i="57"/>
  <c r="Q309" i="12" s="1"/>
  <c r="AF67" i="57"/>
  <c r="Q276" i="12" s="1"/>
  <c r="AF129" i="57"/>
  <c r="Q328" i="12" s="1"/>
  <c r="AF187" i="57"/>
  <c r="Q376" i="12" s="1"/>
  <c r="AI187" i="57"/>
  <c r="T376" i="12" s="1"/>
  <c r="D1128" i="11"/>
  <c r="D1012" i="11"/>
  <c r="D1143" i="11"/>
  <c r="D1145" i="11"/>
  <c r="D990" i="11"/>
  <c r="D1149" i="11"/>
  <c r="D1136" i="11"/>
  <c r="D1177" i="11"/>
  <c r="D981" i="11"/>
  <c r="D1168" i="11"/>
  <c r="D1013" i="11"/>
  <c r="D1170" i="11"/>
  <c r="D976" i="11"/>
  <c r="D989" i="11"/>
  <c r="D993" i="11"/>
  <c r="I910" i="58"/>
  <c r="M910" i="58"/>
  <c r="K910" i="58"/>
  <c r="H910" i="58"/>
  <c r="L910" i="58"/>
  <c r="H754" i="58"/>
  <c r="L754" i="58"/>
  <c r="I754" i="58"/>
  <c r="M754" i="58"/>
  <c r="K754" i="58"/>
  <c r="I610" i="58"/>
  <c r="M610" i="58"/>
  <c r="K610" i="58"/>
  <c r="H610" i="58"/>
  <c r="L610" i="58"/>
  <c r="K255" i="58"/>
  <c r="M255" i="58"/>
  <c r="I255" i="58"/>
  <c r="L255" i="58"/>
  <c r="H255" i="58"/>
  <c r="I534" i="58"/>
  <c r="I697" i="58"/>
  <c r="I853" i="58"/>
  <c r="L305" i="58"/>
  <c r="I650" i="58"/>
  <c r="I802" i="58"/>
  <c r="H315" i="58"/>
  <c r="L316" i="58"/>
  <c r="I661" i="58"/>
  <c r="I812" i="58"/>
  <c r="L812" i="58"/>
  <c r="I969" i="58"/>
  <c r="I579" i="58"/>
  <c r="M715" i="58"/>
  <c r="I871" i="58"/>
  <c r="H370" i="58"/>
  <c r="L396" i="58"/>
  <c r="I396" i="58"/>
  <c r="K396" i="58"/>
  <c r="I684" i="58"/>
  <c r="K840" i="58"/>
  <c r="L996" i="58"/>
  <c r="L268" i="58"/>
  <c r="K268" i="58"/>
  <c r="L623" i="58"/>
  <c r="K767" i="58"/>
  <c r="K423" i="58"/>
  <c r="H448" i="58"/>
  <c r="M423" i="58"/>
  <c r="AH88" i="57"/>
  <c r="S218" i="12" s="1"/>
  <c r="AF87" i="57"/>
  <c r="Q217" i="12" s="1"/>
  <c r="AH147" i="57"/>
  <c r="S226" i="12" s="1"/>
  <c r="AH149" i="57"/>
  <c r="S228" i="12" s="1"/>
  <c r="AI149" i="57"/>
  <c r="T228" i="12" s="1"/>
  <c r="AH23" i="57"/>
  <c r="S204" i="12" s="1"/>
  <c r="AG23" i="57"/>
  <c r="R204" i="12" s="1"/>
  <c r="AI147" i="57"/>
  <c r="T226" i="12" s="1"/>
  <c r="AI141" i="57"/>
  <c r="AI17" i="57"/>
  <c r="AG141" i="57"/>
  <c r="AH77" i="57"/>
  <c r="S286" i="12" s="1"/>
  <c r="U338" i="12"/>
  <c r="Q338" i="12"/>
  <c r="AI15" i="57"/>
  <c r="W234" i="12"/>
  <c r="S234" i="12"/>
  <c r="AH139" i="57"/>
  <c r="AF137" i="57"/>
  <c r="AG13" i="57"/>
  <c r="AH137" i="57"/>
  <c r="AH104" i="57"/>
  <c r="S308" i="12" s="1"/>
  <c r="AF40" i="57"/>
  <c r="Q254" i="12" s="1"/>
  <c r="AI162" i="57"/>
  <c r="T356" i="12" s="1"/>
  <c r="AI100" i="57"/>
  <c r="T304" i="12" s="1"/>
  <c r="AF118" i="57"/>
  <c r="Q317" i="12" s="1"/>
  <c r="AG53" i="57"/>
  <c r="R262" i="12" s="1"/>
  <c r="D2018" i="11"/>
  <c r="M533" i="58"/>
  <c r="L696" i="58"/>
  <c r="L852" i="58"/>
  <c r="M852" i="58"/>
  <c r="L758" i="58"/>
  <c r="L914" i="58"/>
  <c r="M914" i="58"/>
  <c r="L920" i="58"/>
  <c r="M920" i="58"/>
  <c r="L797" i="58"/>
  <c r="I536" i="58"/>
  <c r="I699" i="58"/>
  <c r="I855" i="58"/>
  <c r="L304" i="58"/>
  <c r="L649" i="58"/>
  <c r="L957" i="58"/>
  <c r="H434" i="58"/>
  <c r="M409" i="58"/>
  <c r="L419" i="58"/>
  <c r="I444" i="58"/>
  <c r="H189" i="58"/>
  <c r="H59" i="58" s="1"/>
  <c r="H85" i="58" s="1"/>
  <c r="H111" i="58" s="1"/>
  <c r="H137" i="58" s="1"/>
  <c r="H163" i="58" s="1"/>
  <c r="M189" i="58"/>
  <c r="M59" i="58" s="1"/>
  <c r="M85" i="58" s="1"/>
  <c r="M111" i="58" s="1"/>
  <c r="M137" i="58" s="1"/>
  <c r="M163" i="58" s="1"/>
  <c r="I215" i="58"/>
  <c r="M241" i="58"/>
  <c r="I600" i="58"/>
  <c r="M740" i="58"/>
  <c r="L896" i="58"/>
  <c r="I294" i="58"/>
  <c r="I644" i="58"/>
  <c r="I948" i="58"/>
  <c r="K473" i="58"/>
  <c r="H523" i="58"/>
  <c r="J473" i="58"/>
  <c r="AH94" i="57"/>
  <c r="S298" i="12" s="1"/>
  <c r="AG155" i="57"/>
  <c r="R349" i="12" s="1"/>
  <c r="AI30" i="57"/>
  <c r="T244" i="12" s="1"/>
  <c r="AI90" i="57"/>
  <c r="T294" i="12" s="1"/>
  <c r="AI92" i="57"/>
  <c r="T296" i="12" s="1"/>
  <c r="AH28" i="57"/>
  <c r="S242" i="12" s="1"/>
  <c r="AG171" i="57"/>
  <c r="R225" i="12" s="1"/>
  <c r="AF108" i="57"/>
  <c r="AH46" i="57"/>
  <c r="S201" i="12" s="1"/>
  <c r="W211" i="12"/>
  <c r="S211" i="12"/>
  <c r="X211" i="12"/>
  <c r="T211" i="12"/>
  <c r="Q211" i="12"/>
  <c r="U211" i="12"/>
  <c r="AH105" i="57"/>
  <c r="AI105" i="57"/>
  <c r="AF167" i="57"/>
  <c r="Q221" i="12" s="1"/>
  <c r="AI35" i="57"/>
  <c r="T249" i="12" s="1"/>
  <c r="AF159" i="57"/>
  <c r="Q353" i="12" s="1"/>
  <c r="AH95" i="57"/>
  <c r="S299" i="12" s="1"/>
  <c r="AH97" i="57"/>
  <c r="S301" i="12" s="1"/>
  <c r="AG33" i="57"/>
  <c r="R247" i="12" s="1"/>
  <c r="AI157" i="57"/>
  <c r="T351" i="12" s="1"/>
  <c r="D1152" i="11"/>
  <c r="D1021" i="11"/>
  <c r="M574" i="58"/>
  <c r="M710" i="58"/>
  <c r="I866" i="58"/>
  <c r="M563" i="58"/>
  <c r="L694" i="58"/>
  <c r="L850" i="58"/>
  <c r="M850" i="58"/>
  <c r="I925" i="58"/>
  <c r="K925" i="58"/>
  <c r="H925" i="58"/>
  <c r="L925" i="58"/>
  <c r="H769" i="58"/>
  <c r="L769" i="58"/>
  <c r="I769" i="58"/>
  <c r="K769" i="58"/>
  <c r="I625" i="58"/>
  <c r="K625" i="58"/>
  <c r="H625" i="58"/>
  <c r="L625" i="58"/>
  <c r="K271" i="58"/>
  <c r="I271" i="58"/>
  <c r="L271" i="58"/>
  <c r="H271" i="58"/>
  <c r="K926" i="58"/>
  <c r="H926" i="58"/>
  <c r="L926" i="58"/>
  <c r="I926" i="58"/>
  <c r="K770" i="58"/>
  <c r="H770" i="58"/>
  <c r="L770" i="58"/>
  <c r="I770" i="58"/>
  <c r="K626" i="58"/>
  <c r="H626" i="58"/>
  <c r="L626" i="58"/>
  <c r="I626" i="58"/>
  <c r="K272" i="58"/>
  <c r="I272" i="58"/>
  <c r="L272" i="58"/>
  <c r="H272" i="58"/>
  <c r="H941" i="58"/>
  <c r="L941" i="58"/>
  <c r="I941" i="58"/>
  <c r="K941" i="58"/>
  <c r="H785" i="58"/>
  <c r="L785" i="58"/>
  <c r="I785" i="58"/>
  <c r="K785" i="58"/>
  <c r="I637" i="58"/>
  <c r="K637" i="58"/>
  <c r="H637" i="58"/>
  <c r="L637" i="58"/>
  <c r="K287" i="58"/>
  <c r="I287" i="58"/>
  <c r="L287" i="58"/>
  <c r="H287" i="58"/>
  <c r="I927" i="58"/>
  <c r="K927" i="58"/>
  <c r="H927" i="58"/>
  <c r="L927" i="58"/>
  <c r="H771" i="58"/>
  <c r="L771" i="58"/>
  <c r="I771" i="58"/>
  <c r="K771" i="58"/>
  <c r="I545" i="58"/>
  <c r="K545" i="58"/>
  <c r="H545" i="58"/>
  <c r="L545" i="58"/>
  <c r="K273" i="58"/>
  <c r="I273" i="58"/>
  <c r="L273" i="58"/>
  <c r="H273" i="58"/>
  <c r="K928" i="58"/>
  <c r="H928" i="58"/>
  <c r="L928" i="58"/>
  <c r="I928" i="58"/>
  <c r="K772" i="58"/>
  <c r="H772" i="58"/>
  <c r="L772" i="58"/>
  <c r="I772" i="58"/>
  <c r="K546" i="58"/>
  <c r="H546" i="58"/>
  <c r="L546" i="58"/>
  <c r="I546" i="58"/>
  <c r="K274" i="58"/>
  <c r="I274" i="58"/>
  <c r="L274" i="58"/>
  <c r="H274" i="58"/>
  <c r="I929" i="58"/>
  <c r="K929" i="58"/>
  <c r="H929" i="58"/>
  <c r="L929" i="58"/>
  <c r="H773" i="58"/>
  <c r="L773" i="58"/>
  <c r="I773" i="58"/>
  <c r="K773" i="58"/>
  <c r="I547" i="58"/>
  <c r="K547" i="58"/>
  <c r="H547" i="58"/>
  <c r="L547" i="58"/>
  <c r="K275" i="58"/>
  <c r="I275" i="58"/>
  <c r="L275" i="58"/>
  <c r="H275" i="58"/>
  <c r="K930" i="58"/>
  <c r="I930" i="58"/>
  <c r="H930" i="58"/>
  <c r="L930" i="58"/>
  <c r="K774" i="58"/>
  <c r="H774" i="58"/>
  <c r="L774" i="58"/>
  <c r="I774" i="58"/>
  <c r="K548" i="58"/>
  <c r="H548" i="58"/>
  <c r="L548" i="58"/>
  <c r="I548" i="58"/>
  <c r="K276" i="58"/>
  <c r="I276" i="58"/>
  <c r="L276" i="58"/>
  <c r="H276" i="58"/>
  <c r="H933" i="58"/>
  <c r="L933" i="58"/>
  <c r="I933" i="58"/>
  <c r="K933" i="58"/>
  <c r="H777" i="58"/>
  <c r="L777" i="58"/>
  <c r="I777" i="58"/>
  <c r="K777" i="58"/>
  <c r="I629" i="58"/>
  <c r="K629" i="58"/>
  <c r="H629" i="58"/>
  <c r="L629" i="58"/>
  <c r="K279" i="58"/>
  <c r="I279" i="58"/>
  <c r="L279" i="58"/>
  <c r="H279" i="58"/>
  <c r="J435" i="58"/>
  <c r="J410" i="58"/>
  <c r="M435" i="58"/>
  <c r="I435" i="58"/>
  <c r="M410" i="58"/>
  <c r="I410" i="58"/>
  <c r="L435" i="58"/>
  <c r="H435" i="58"/>
  <c r="K435" i="58"/>
  <c r="H410" i="58"/>
  <c r="L410" i="58"/>
  <c r="K410" i="58"/>
  <c r="J439" i="58"/>
  <c r="J414" i="58"/>
  <c r="M439" i="58"/>
  <c r="I439" i="58"/>
  <c r="M414" i="58"/>
  <c r="I414" i="58"/>
  <c r="L439" i="58"/>
  <c r="H439" i="58"/>
  <c r="K439" i="58"/>
  <c r="H414" i="58"/>
  <c r="L414" i="58"/>
  <c r="K414" i="58"/>
  <c r="J511" i="58"/>
  <c r="J486" i="58"/>
  <c r="J461" i="58"/>
  <c r="I511" i="58"/>
  <c r="I486" i="58"/>
  <c r="I461" i="58"/>
  <c r="L511" i="58"/>
  <c r="H511" i="58"/>
  <c r="L486" i="58"/>
  <c r="H486" i="58"/>
  <c r="L461" i="58"/>
  <c r="H461" i="58"/>
  <c r="K511" i="58"/>
  <c r="K486" i="58"/>
  <c r="K461" i="58"/>
  <c r="I860" i="58"/>
  <c r="K860" i="58"/>
  <c r="H860" i="58"/>
  <c r="L860" i="58"/>
  <c r="M860" i="58"/>
  <c r="K704" i="58"/>
  <c r="H704" i="58"/>
  <c r="L704" i="58"/>
  <c r="I704" i="58"/>
  <c r="M704" i="58"/>
  <c r="H568" i="58"/>
  <c r="L568" i="58"/>
  <c r="I568" i="58"/>
  <c r="M568" i="58"/>
  <c r="K568" i="58"/>
  <c r="I887" i="58"/>
  <c r="M887" i="58"/>
  <c r="H887" i="58"/>
  <c r="L887" i="58"/>
  <c r="H731" i="58"/>
  <c r="L731" i="58"/>
  <c r="I731" i="58"/>
  <c r="M731" i="58"/>
  <c r="I591" i="58"/>
  <c r="M591" i="58"/>
  <c r="H591" i="58"/>
  <c r="L591" i="58"/>
  <c r="M232" i="58"/>
  <c r="I232" i="58"/>
  <c r="M206" i="58"/>
  <c r="I206" i="58"/>
  <c r="L232" i="58"/>
  <c r="H232" i="58"/>
  <c r="L206" i="58"/>
  <c r="H206" i="58"/>
  <c r="M180" i="58"/>
  <c r="M50" i="58" s="1"/>
  <c r="M76" i="58" s="1"/>
  <c r="M102" i="58" s="1"/>
  <c r="M128" i="58" s="1"/>
  <c r="M154" i="58" s="1"/>
  <c r="I180" i="58"/>
  <c r="I50" i="58" s="1"/>
  <c r="I76" i="58" s="1"/>
  <c r="I102" i="58" s="1"/>
  <c r="I128" i="58" s="1"/>
  <c r="I154" i="58" s="1"/>
  <c r="L180" i="58"/>
  <c r="L50" i="58" s="1"/>
  <c r="L76" i="58" s="1"/>
  <c r="L102" i="58" s="1"/>
  <c r="L128" i="58" s="1"/>
  <c r="L154" i="58" s="1"/>
  <c r="H180" i="58"/>
  <c r="H50" i="58" s="1"/>
  <c r="H76" i="58" s="1"/>
  <c r="H102" i="58" s="1"/>
  <c r="H128" i="58" s="1"/>
  <c r="H154" i="58" s="1"/>
  <c r="H939" i="58"/>
  <c r="L939" i="58"/>
  <c r="I939" i="58"/>
  <c r="K939" i="58"/>
  <c r="H783" i="58"/>
  <c r="L783" i="58"/>
  <c r="I783" i="58"/>
  <c r="K783" i="58"/>
  <c r="I635" i="58"/>
  <c r="K635" i="58"/>
  <c r="H635" i="58"/>
  <c r="L635" i="58"/>
  <c r="K285" i="58"/>
  <c r="I285" i="58"/>
  <c r="L285" i="58"/>
  <c r="H285" i="58"/>
  <c r="K992" i="58"/>
  <c r="H992" i="58"/>
  <c r="L992" i="58"/>
  <c r="I992" i="58"/>
  <c r="M992" i="58"/>
  <c r="K836" i="58"/>
  <c r="H836" i="58"/>
  <c r="L836" i="58"/>
  <c r="I836" i="58"/>
  <c r="M836" i="58"/>
  <c r="K680" i="58"/>
  <c r="H680" i="58"/>
  <c r="L680" i="58"/>
  <c r="I680" i="58"/>
  <c r="M680" i="58"/>
  <c r="K392" i="58"/>
  <c r="K366" i="58"/>
  <c r="K340" i="58"/>
  <c r="M392" i="58"/>
  <c r="I392" i="58"/>
  <c r="M366" i="58"/>
  <c r="I366" i="58"/>
  <c r="M340" i="58"/>
  <c r="I340" i="58"/>
  <c r="L392" i="58"/>
  <c r="H392" i="58"/>
  <c r="L366" i="58"/>
  <c r="H366" i="58"/>
  <c r="L340" i="58"/>
  <c r="H340" i="58"/>
  <c r="J520" i="58"/>
  <c r="J495" i="58"/>
  <c r="J470" i="58"/>
  <c r="I520" i="58"/>
  <c r="I495" i="58"/>
  <c r="I470" i="58"/>
  <c r="L520" i="58"/>
  <c r="H520" i="58"/>
  <c r="L495" i="58"/>
  <c r="H495" i="58"/>
  <c r="L470" i="58"/>
  <c r="H470" i="58"/>
  <c r="K520" i="58"/>
  <c r="K495" i="58"/>
  <c r="K470" i="58"/>
  <c r="K870" i="58"/>
  <c r="H870" i="58"/>
  <c r="L870" i="58"/>
  <c r="I870" i="58"/>
  <c r="M870" i="58"/>
  <c r="H714" i="58"/>
  <c r="L714" i="58"/>
  <c r="I714" i="58"/>
  <c r="M714" i="58"/>
  <c r="K714" i="58"/>
  <c r="I578" i="58"/>
  <c r="M578" i="58"/>
  <c r="K578" i="58"/>
  <c r="H578" i="58"/>
  <c r="L578" i="58"/>
  <c r="J440" i="58"/>
  <c r="J415" i="58"/>
  <c r="M440" i="58"/>
  <c r="I440" i="58"/>
  <c r="M415" i="58"/>
  <c r="I415" i="58"/>
  <c r="L440" i="58"/>
  <c r="H440" i="58"/>
  <c r="L415" i="58"/>
  <c r="K440" i="58"/>
  <c r="K415" i="58"/>
  <c r="H415" i="58"/>
  <c r="K934" i="58"/>
  <c r="H934" i="58"/>
  <c r="L934" i="58"/>
  <c r="I934" i="58"/>
  <c r="K778" i="58"/>
  <c r="H778" i="58"/>
  <c r="L778" i="58"/>
  <c r="I778" i="58"/>
  <c r="K630" i="58"/>
  <c r="H630" i="58"/>
  <c r="L630" i="58"/>
  <c r="I630" i="58"/>
  <c r="K280" i="58"/>
  <c r="I280" i="58"/>
  <c r="L280" i="58"/>
  <c r="H280" i="58"/>
  <c r="K986" i="58"/>
  <c r="H986" i="58"/>
  <c r="L986" i="58"/>
  <c r="I986" i="58"/>
  <c r="M986" i="58"/>
  <c r="K830" i="58"/>
  <c r="H830" i="58"/>
  <c r="L830" i="58"/>
  <c r="I830" i="58"/>
  <c r="M830" i="58"/>
  <c r="K674" i="58"/>
  <c r="H674" i="58"/>
  <c r="L674" i="58"/>
  <c r="I674" i="58"/>
  <c r="M674" i="58"/>
  <c r="K386" i="58"/>
  <c r="K360" i="58"/>
  <c r="K334" i="58"/>
  <c r="M386" i="58"/>
  <c r="I386" i="58"/>
  <c r="M360" i="58"/>
  <c r="I360" i="58"/>
  <c r="M334" i="58"/>
  <c r="I334" i="58"/>
  <c r="L386" i="58"/>
  <c r="H386" i="58"/>
  <c r="L360" i="58"/>
  <c r="H360" i="58"/>
  <c r="L334" i="58"/>
  <c r="H334" i="58"/>
  <c r="J514" i="58"/>
  <c r="J489" i="58"/>
  <c r="J464" i="58"/>
  <c r="I514" i="58"/>
  <c r="I489" i="58"/>
  <c r="I464" i="58"/>
  <c r="L514" i="58"/>
  <c r="H514" i="58"/>
  <c r="L489" i="58"/>
  <c r="H489" i="58"/>
  <c r="L464" i="58"/>
  <c r="H464" i="58"/>
  <c r="K514" i="58"/>
  <c r="K489" i="58"/>
  <c r="K464" i="58"/>
  <c r="H863" i="58"/>
  <c r="L863" i="58"/>
  <c r="I863" i="58"/>
  <c r="M863" i="58"/>
  <c r="K863" i="58"/>
  <c r="H707" i="58"/>
  <c r="L707" i="58"/>
  <c r="I707" i="58"/>
  <c r="M707" i="58"/>
  <c r="K707" i="58"/>
  <c r="I571" i="58"/>
  <c r="M571" i="58"/>
  <c r="K571" i="58"/>
  <c r="H571" i="58"/>
  <c r="L571" i="58"/>
  <c r="H890" i="58"/>
  <c r="L890" i="58"/>
  <c r="I890" i="58"/>
  <c r="M890" i="58"/>
  <c r="H734" i="58"/>
  <c r="L734" i="58"/>
  <c r="I734" i="58"/>
  <c r="M734" i="58"/>
  <c r="H594" i="58"/>
  <c r="L594" i="58"/>
  <c r="I594" i="58"/>
  <c r="M594" i="58"/>
  <c r="M235" i="58"/>
  <c r="I235" i="58"/>
  <c r="M209" i="58"/>
  <c r="I209" i="58"/>
  <c r="L235" i="58"/>
  <c r="H235" i="58"/>
  <c r="L209" i="58"/>
  <c r="H209" i="58"/>
  <c r="M183" i="58"/>
  <c r="M53" i="58" s="1"/>
  <c r="M79" i="58" s="1"/>
  <c r="M105" i="58" s="1"/>
  <c r="M131" i="58" s="1"/>
  <c r="M157" i="58" s="1"/>
  <c r="I183" i="58"/>
  <c r="I53" i="58" s="1"/>
  <c r="I79" i="58" s="1"/>
  <c r="I105" i="58" s="1"/>
  <c r="I131" i="58" s="1"/>
  <c r="I157" i="58" s="1"/>
  <c r="L183" i="58"/>
  <c r="L53" i="58" s="1"/>
  <c r="L79" i="58" s="1"/>
  <c r="L105" i="58" s="1"/>
  <c r="L131" i="58" s="1"/>
  <c r="L157" i="58" s="1"/>
  <c r="H183" i="58"/>
  <c r="H53" i="58" s="1"/>
  <c r="H79" i="58" s="1"/>
  <c r="H105" i="58" s="1"/>
  <c r="H131" i="58" s="1"/>
  <c r="H157" i="58" s="1"/>
  <c r="I922" i="58"/>
  <c r="M922" i="58"/>
  <c r="K922" i="58"/>
  <c r="H922" i="58"/>
  <c r="L922" i="58"/>
  <c r="H766" i="58"/>
  <c r="L766" i="58"/>
  <c r="I766" i="58"/>
  <c r="M766" i="58"/>
  <c r="K766" i="58"/>
  <c r="I622" i="58"/>
  <c r="M622" i="58"/>
  <c r="K622" i="58"/>
  <c r="H622" i="58"/>
  <c r="L622" i="58"/>
  <c r="K267" i="58"/>
  <c r="M267" i="58"/>
  <c r="I267" i="58"/>
  <c r="L267" i="58"/>
  <c r="H267" i="58"/>
  <c r="C535" i="58"/>
  <c r="C539" i="58"/>
  <c r="C543" i="58"/>
  <c r="C547" i="58"/>
  <c r="C551" i="58"/>
  <c r="C555" i="58"/>
  <c r="H967" i="58"/>
  <c r="L967" i="58"/>
  <c r="I967" i="58"/>
  <c r="M967" i="58"/>
  <c r="H811" i="58"/>
  <c r="L811" i="58"/>
  <c r="I811" i="58"/>
  <c r="M811" i="58"/>
  <c r="H659" i="58"/>
  <c r="L659" i="58"/>
  <c r="I659" i="58"/>
  <c r="M659" i="58"/>
  <c r="M314" i="58"/>
  <c r="I314" i="58"/>
  <c r="L314" i="58"/>
  <c r="H314" i="58"/>
  <c r="J427" i="58"/>
  <c r="M427" i="58"/>
  <c r="I427" i="58"/>
  <c r="L427" i="58"/>
  <c r="H427" i="58"/>
  <c r="K427" i="58"/>
  <c r="K402" i="58"/>
  <c r="J402" i="58"/>
  <c r="M402" i="58"/>
  <c r="I402" i="58"/>
  <c r="L402" i="58"/>
  <c r="H402" i="58"/>
  <c r="J428" i="58"/>
  <c r="M428" i="58"/>
  <c r="I428" i="58"/>
  <c r="L428" i="58"/>
  <c r="H428" i="58"/>
  <c r="K403" i="58"/>
  <c r="K428" i="58"/>
  <c r="J403" i="58"/>
  <c r="M403" i="58"/>
  <c r="I403" i="58"/>
  <c r="L403" i="58"/>
  <c r="H403" i="58"/>
  <c r="J431" i="58"/>
  <c r="M431" i="58"/>
  <c r="I431" i="58"/>
  <c r="L431" i="58"/>
  <c r="H431" i="58"/>
  <c r="K431" i="58"/>
  <c r="K406" i="58"/>
  <c r="J406" i="58"/>
  <c r="M406" i="58"/>
  <c r="I406" i="58"/>
  <c r="L406" i="58"/>
  <c r="H406" i="58"/>
  <c r="H954" i="58"/>
  <c r="L954" i="58"/>
  <c r="I954" i="58"/>
  <c r="M954" i="58"/>
  <c r="H798" i="58"/>
  <c r="L798" i="58"/>
  <c r="I798" i="58"/>
  <c r="M798" i="58"/>
  <c r="I551" i="58"/>
  <c r="M551" i="58"/>
  <c r="H551" i="58"/>
  <c r="L551" i="58"/>
  <c r="M301" i="58"/>
  <c r="I301" i="58"/>
  <c r="L301" i="58"/>
  <c r="H301" i="58"/>
  <c r="J426" i="58"/>
  <c r="M426" i="58"/>
  <c r="I426" i="58"/>
  <c r="L426" i="58"/>
  <c r="H426" i="58"/>
  <c r="K401" i="58"/>
  <c r="J401" i="58"/>
  <c r="M401" i="58"/>
  <c r="I401" i="58"/>
  <c r="K426" i="58"/>
  <c r="L401" i="58"/>
  <c r="H401" i="58"/>
  <c r="C570" i="58"/>
  <c r="C591" i="58"/>
  <c r="C612" i="58"/>
  <c r="C633" i="58"/>
  <c r="C654" i="58"/>
  <c r="C675" i="58"/>
  <c r="C567" i="58"/>
  <c r="C588" i="58"/>
  <c r="C609" i="58"/>
  <c r="C630" i="58"/>
  <c r="C651" i="58"/>
  <c r="C672" i="58"/>
  <c r="E997" i="58"/>
  <c r="H961" i="58"/>
  <c r="L961" i="58"/>
  <c r="I961" i="58"/>
  <c r="M961" i="58"/>
  <c r="H805" i="58"/>
  <c r="L805" i="58"/>
  <c r="I805" i="58"/>
  <c r="M805" i="58"/>
  <c r="I653" i="58"/>
  <c r="M653" i="58"/>
  <c r="H653" i="58"/>
  <c r="L653" i="58"/>
  <c r="M308" i="58"/>
  <c r="I308" i="58"/>
  <c r="L308" i="58"/>
  <c r="H308" i="58"/>
  <c r="M532" i="58"/>
  <c r="K702" i="58"/>
  <c r="L292" i="58"/>
  <c r="K292" i="58"/>
  <c r="L642" i="58"/>
  <c r="K790" i="58"/>
  <c r="L345" i="58"/>
  <c r="I345" i="58"/>
  <c r="M371" i="58"/>
  <c r="K345" i="58"/>
  <c r="K841" i="58"/>
  <c r="L841" i="58"/>
  <c r="M997" i="58"/>
  <c r="AG72" i="57"/>
  <c r="R281" i="12" s="1"/>
  <c r="AG132" i="57"/>
  <c r="R331" i="12" s="1"/>
  <c r="AH68" i="57"/>
  <c r="S277" i="12" s="1"/>
  <c r="AH192" i="57"/>
  <c r="S381" i="12" s="1"/>
  <c r="AI68" i="57"/>
  <c r="T277" i="12" s="1"/>
  <c r="AF186" i="57"/>
  <c r="Q375" i="12" s="1"/>
  <c r="AH182" i="57"/>
  <c r="S371" i="12" s="1"/>
  <c r="D2016" i="11"/>
  <c r="H959" i="58"/>
  <c r="L959" i="58"/>
  <c r="I959" i="58"/>
  <c r="M959" i="58"/>
  <c r="H803" i="58"/>
  <c r="L803" i="58"/>
  <c r="I803" i="58"/>
  <c r="M803" i="58"/>
  <c r="H651" i="58"/>
  <c r="L651" i="58"/>
  <c r="I651" i="58"/>
  <c r="M651" i="58"/>
  <c r="M306" i="58"/>
  <c r="I306" i="58"/>
  <c r="L306" i="58"/>
  <c r="H306" i="58"/>
  <c r="K612" i="58"/>
  <c r="L756" i="58"/>
  <c r="M761" i="58"/>
  <c r="L917" i="58"/>
  <c r="H398" i="58"/>
  <c r="M346" i="58"/>
  <c r="M686" i="58"/>
  <c r="I842" i="58"/>
  <c r="K998" i="58"/>
  <c r="AG146" i="57"/>
  <c r="R345" i="12" s="1"/>
  <c r="AG21" i="57"/>
  <c r="R241" i="12" s="1"/>
  <c r="AG84" i="57"/>
  <c r="R293" i="12" s="1"/>
  <c r="AF20" i="57"/>
  <c r="Q240" i="12" s="1"/>
  <c r="AF82" i="57"/>
  <c r="Q291" i="12" s="1"/>
  <c r="AH142" i="57"/>
  <c r="S341" i="12" s="1"/>
  <c r="AF18" i="57"/>
  <c r="Q238" i="12" s="1"/>
  <c r="AH52" i="57"/>
  <c r="S261" i="12" s="1"/>
  <c r="AI51" i="57"/>
  <c r="T260" i="12" s="1"/>
  <c r="AI113" i="57"/>
  <c r="T312" i="12" s="1"/>
  <c r="AH48" i="57"/>
  <c r="S257" i="12" s="1"/>
  <c r="AH50" i="57"/>
  <c r="S259" i="12" s="1"/>
  <c r="AI50" i="57"/>
  <c r="T259" i="12" s="1"/>
  <c r="AH65" i="57"/>
  <c r="S274" i="12" s="1"/>
  <c r="AI189" i="57"/>
  <c r="T378" i="12" s="1"/>
  <c r="AG125" i="57"/>
  <c r="R324" i="12" s="1"/>
  <c r="AI125" i="57"/>
  <c r="T324" i="12" s="1"/>
  <c r="AG63" i="57"/>
  <c r="R272" i="12" s="1"/>
  <c r="D971" i="11"/>
  <c r="D1167" i="11"/>
  <c r="D1130" i="11"/>
  <c r="D986" i="11"/>
  <c r="D1014" i="11"/>
  <c r="D988" i="11"/>
  <c r="D1134" i="11"/>
  <c r="D977" i="11"/>
  <c r="D1175" i="11"/>
  <c r="D1018" i="11"/>
  <c r="D857" i="58"/>
  <c r="D882" i="58"/>
  <c r="D907" i="58"/>
  <c r="D932" i="58"/>
  <c r="D957" i="58"/>
  <c r="D982" i="58"/>
  <c r="D701" i="58"/>
  <c r="D726" i="58"/>
  <c r="D751" i="58"/>
  <c r="D776" i="58"/>
  <c r="D801" i="58"/>
  <c r="D826" i="58"/>
  <c r="D566" i="58"/>
  <c r="D586" i="58"/>
  <c r="D607" i="58"/>
  <c r="D628" i="58"/>
  <c r="D649" i="58"/>
  <c r="D670" i="58"/>
  <c r="D1142" i="11"/>
  <c r="D974" i="11"/>
  <c r="D1172" i="11"/>
  <c r="D1137" i="11"/>
  <c r="D1150" i="11"/>
  <c r="H963" i="58"/>
  <c r="L963" i="58"/>
  <c r="I963" i="58"/>
  <c r="M963" i="58"/>
  <c r="H807" i="58"/>
  <c r="L807" i="58"/>
  <c r="I807" i="58"/>
  <c r="M807" i="58"/>
  <c r="H655" i="58"/>
  <c r="L655" i="58"/>
  <c r="I655" i="58"/>
  <c r="M655" i="58"/>
  <c r="M310" i="58"/>
  <c r="I310" i="58"/>
  <c r="L310" i="58"/>
  <c r="H310" i="58"/>
  <c r="K853" i="58"/>
  <c r="L650" i="58"/>
  <c r="L958" i="58"/>
  <c r="L315" i="58"/>
  <c r="I316" i="58"/>
  <c r="L661" i="58"/>
  <c r="L969" i="58"/>
  <c r="K579" i="58"/>
  <c r="I715" i="58"/>
  <c r="H344" i="58"/>
  <c r="L370" i="58"/>
  <c r="M396" i="58"/>
  <c r="K370" i="58"/>
  <c r="M623" i="58"/>
  <c r="L767" i="58"/>
  <c r="K923" i="58"/>
  <c r="H423" i="58"/>
  <c r="K448" i="58"/>
  <c r="L448" i="58"/>
  <c r="J423" i="58"/>
  <c r="AG85" i="57"/>
  <c r="R215" i="12" s="1"/>
  <c r="AF85" i="57"/>
  <c r="Q215" i="12" s="1"/>
  <c r="AI79" i="57"/>
  <c r="T288" i="12" s="1"/>
  <c r="W340" i="12"/>
  <c r="S340" i="12"/>
  <c r="AH16" i="57"/>
  <c r="X234" i="12"/>
  <c r="T234" i="12"/>
  <c r="R235" i="12"/>
  <c r="V235" i="12"/>
  <c r="AI139" i="57"/>
  <c r="AH15" i="57"/>
  <c r="Q337" i="12"/>
  <c r="U337" i="12"/>
  <c r="AI137" i="57"/>
  <c r="AH75" i="57"/>
  <c r="S284" i="12" s="1"/>
  <c r="AI13" i="57"/>
  <c r="AG75" i="57"/>
  <c r="R284" i="12" s="1"/>
  <c r="AF42" i="57"/>
  <c r="Q256" i="12" s="1"/>
  <c r="AG103" i="57"/>
  <c r="R307" i="12" s="1"/>
  <c r="AI164" i="57"/>
  <c r="T358" i="12" s="1"/>
  <c r="AH38" i="57"/>
  <c r="S252" i="12" s="1"/>
  <c r="AG38" i="57"/>
  <c r="R252" i="12" s="1"/>
  <c r="AF38" i="57"/>
  <c r="Q252" i="12" s="1"/>
  <c r="AH53" i="57"/>
  <c r="S262" i="12" s="1"/>
  <c r="AG115" i="57"/>
  <c r="R314" i="12" s="1"/>
  <c r="D1017" i="11"/>
  <c r="I533" i="58"/>
  <c r="M696" i="58"/>
  <c r="I852" i="58"/>
  <c r="K614" i="58"/>
  <c r="K620" i="58"/>
  <c r="I300" i="58"/>
  <c r="I550" i="58"/>
  <c r="K855" i="58"/>
  <c r="K434" i="58"/>
  <c r="L434" i="58"/>
  <c r="J409" i="58"/>
  <c r="I419" i="58"/>
  <c r="H241" i="58"/>
  <c r="M215" i="58"/>
  <c r="H294" i="58"/>
  <c r="K644" i="58"/>
  <c r="AI93" i="57"/>
  <c r="T297" i="12" s="1"/>
  <c r="AG30" i="57"/>
  <c r="R244" i="12" s="1"/>
  <c r="AI152" i="57"/>
  <c r="T346" i="12" s="1"/>
  <c r="AI28" i="57"/>
  <c r="T242" i="12" s="1"/>
  <c r="AH90" i="57"/>
  <c r="S294" i="12" s="1"/>
  <c r="X213" i="12"/>
  <c r="T213" i="12"/>
  <c r="W213" i="12"/>
  <c r="S213" i="12"/>
  <c r="U212" i="12"/>
  <c r="Q212" i="12"/>
  <c r="AF43" i="57"/>
  <c r="Q198" i="12" s="1"/>
  <c r="AG105" i="57"/>
  <c r="AI167" i="57"/>
  <c r="T221" i="12" s="1"/>
  <c r="AF35" i="57"/>
  <c r="Q249" i="12" s="1"/>
  <c r="AF97" i="57"/>
  <c r="Q301" i="12" s="1"/>
  <c r="AG98" i="57"/>
  <c r="R302" i="12" s="1"/>
  <c r="AF33" i="57"/>
  <c r="Q247" i="12" s="1"/>
  <c r="AG157" i="57"/>
  <c r="R351" i="12" s="1"/>
  <c r="AF157" i="57"/>
  <c r="Q351" i="12" s="1"/>
  <c r="D2019" i="11"/>
  <c r="D995" i="11"/>
  <c r="I574" i="58"/>
  <c r="I710" i="58"/>
  <c r="I563" i="58"/>
  <c r="D929" i="11"/>
  <c r="D930" i="11"/>
  <c r="D939" i="11"/>
  <c r="D938" i="11"/>
  <c r="F169" i="12"/>
  <c r="F174" i="12" s="1"/>
  <c r="F179" i="12" s="1"/>
  <c r="F184" i="12" s="1"/>
  <c r="F189" i="12" s="1"/>
  <c r="E19" i="58"/>
  <c r="C940" i="11"/>
  <c r="C931" i="11"/>
  <c r="C932" i="11"/>
  <c r="D932" i="11" s="1"/>
  <c r="D1109" i="11"/>
  <c r="D375" i="58"/>
  <c r="D220" i="58"/>
  <c r="D480" i="58"/>
  <c r="D430" i="58"/>
  <c r="D353" i="58"/>
  <c r="D198" i="58"/>
  <c r="D511" i="58"/>
  <c r="D307" i="58"/>
  <c r="D281" i="58"/>
  <c r="D255" i="58"/>
  <c r="D398" i="58"/>
  <c r="D243" i="58"/>
  <c r="C498" i="58"/>
  <c r="C448" i="58"/>
  <c r="C372" i="58"/>
  <c r="C217" i="58"/>
  <c r="C487" i="58"/>
  <c r="C360" i="58"/>
  <c r="C437" i="58"/>
  <c r="C205" i="58"/>
  <c r="D377" i="58"/>
  <c r="D222" i="58"/>
  <c r="D461" i="58"/>
  <c r="D411" i="58"/>
  <c r="D333" i="58"/>
  <c r="D178" i="58"/>
  <c r="C163" i="58"/>
  <c r="C85" i="58"/>
  <c r="C137" i="58"/>
  <c r="C59" i="58"/>
  <c r="C111" i="58"/>
  <c r="D105" i="58"/>
  <c r="D157" i="58"/>
  <c r="D79" i="58"/>
  <c r="D131" i="58"/>
  <c r="D53" i="58"/>
  <c r="C75" i="58"/>
  <c r="C101" i="58"/>
  <c r="C49" i="58"/>
  <c r="C127" i="58"/>
  <c r="C153" i="58"/>
  <c r="D340" i="58"/>
  <c r="D468" i="58"/>
  <c r="D185" i="58"/>
  <c r="D418" i="58"/>
  <c r="D380" i="58"/>
  <c r="D225" i="58"/>
  <c r="C378" i="58"/>
  <c r="C223" i="58"/>
  <c r="D520" i="58"/>
  <c r="D291" i="58"/>
  <c r="D265" i="58"/>
  <c r="D317" i="58"/>
  <c r="D397" i="58"/>
  <c r="D242" i="58"/>
  <c r="D376" i="58"/>
  <c r="D221" i="58"/>
  <c r="D429" i="58"/>
  <c r="D479" i="58"/>
  <c r="D352" i="58"/>
  <c r="D197" i="58"/>
  <c r="C395" i="58"/>
  <c r="C240" i="58"/>
  <c r="D476" i="58"/>
  <c r="D426" i="58"/>
  <c r="D349" i="58"/>
  <c r="D194" i="58"/>
  <c r="C476" i="58"/>
  <c r="C426" i="58"/>
  <c r="C349" i="58"/>
  <c r="C194" i="58"/>
  <c r="D501" i="58"/>
  <c r="D246" i="58"/>
  <c r="D271" i="58"/>
  <c r="D297" i="58"/>
  <c r="C224" i="58"/>
  <c r="C379" i="58"/>
  <c r="D505" i="58"/>
  <c r="D301" i="58"/>
  <c r="D275" i="58"/>
  <c r="D249" i="58"/>
  <c r="C507" i="58"/>
  <c r="C303" i="58"/>
  <c r="C277" i="58"/>
  <c r="C251" i="58"/>
  <c r="C490" i="58"/>
  <c r="C440" i="58"/>
  <c r="C363" i="58"/>
  <c r="C208" i="58"/>
  <c r="D503" i="58"/>
  <c r="D273" i="58"/>
  <c r="D299" i="58"/>
  <c r="C232" i="58"/>
  <c r="C387" i="58"/>
  <c r="C438" i="58"/>
  <c r="C488" i="58"/>
  <c r="C206" i="58"/>
  <c r="C361" i="58"/>
  <c r="D513" i="58"/>
  <c r="D309" i="58"/>
  <c r="D283" i="58"/>
  <c r="D257" i="58"/>
  <c r="C394" i="58"/>
  <c r="C239" i="58"/>
  <c r="D519" i="58"/>
  <c r="D316" i="58"/>
  <c r="D290" i="58"/>
  <c r="D264" i="58"/>
  <c r="D498" i="58"/>
  <c r="D372" i="58"/>
  <c r="D448" i="58"/>
  <c r="D217" i="58"/>
  <c r="C376" i="58"/>
  <c r="C221" i="58"/>
  <c r="C479" i="58"/>
  <c r="C352" i="58"/>
  <c r="C429" i="58"/>
  <c r="C197" i="58"/>
  <c r="D506" i="58"/>
  <c r="D302" i="58"/>
  <c r="D250" i="58"/>
  <c r="D276" i="58"/>
  <c r="C481" i="58"/>
  <c r="C354" i="58"/>
  <c r="C431" i="58"/>
  <c r="C199" i="58"/>
  <c r="D431" i="58"/>
  <c r="D481" i="58"/>
  <c r="D354" i="58"/>
  <c r="D199" i="58"/>
  <c r="D508" i="58"/>
  <c r="D278" i="58"/>
  <c r="D304" i="58"/>
  <c r="D252" i="58"/>
  <c r="D227" i="58"/>
  <c r="D382" i="58"/>
  <c r="C508" i="58"/>
  <c r="C304" i="58"/>
  <c r="C252" i="58"/>
  <c r="C278" i="58"/>
  <c r="D437" i="58"/>
  <c r="D487" i="58"/>
  <c r="D360" i="58"/>
  <c r="D205" i="58"/>
  <c r="D308" i="58"/>
  <c r="D512" i="58"/>
  <c r="D256" i="58"/>
  <c r="D282" i="58"/>
  <c r="C388" i="58"/>
  <c r="C233" i="58"/>
  <c r="D441" i="58"/>
  <c r="D491" i="58"/>
  <c r="D209" i="58"/>
  <c r="D364" i="58"/>
  <c r="C443" i="58"/>
  <c r="C366" i="58"/>
  <c r="C493" i="58"/>
  <c r="C211" i="58"/>
  <c r="C392" i="58"/>
  <c r="C237" i="58"/>
  <c r="C524" i="58"/>
  <c r="C295" i="58"/>
  <c r="C321" i="58"/>
  <c r="C269" i="58"/>
  <c r="C90" i="58"/>
  <c r="C64" i="58"/>
  <c r="C142" i="58"/>
  <c r="C116" i="58"/>
  <c r="C118" i="58"/>
  <c r="C40" i="58"/>
  <c r="C144" i="58"/>
  <c r="C92" i="58"/>
  <c r="C66" i="58"/>
  <c r="D455" i="58"/>
  <c r="D405" i="58"/>
  <c r="D327" i="58"/>
  <c r="D172" i="58"/>
  <c r="D70" i="58"/>
  <c r="D96" i="58"/>
  <c r="D44" i="58"/>
  <c r="D122" i="58"/>
  <c r="D148" i="58"/>
  <c r="C459" i="58"/>
  <c r="C409" i="58"/>
  <c r="C331" i="58"/>
  <c r="C176" i="58"/>
  <c r="C461" i="58"/>
  <c r="C411" i="58"/>
  <c r="C178" i="58"/>
  <c r="C333" i="58"/>
  <c r="C102" i="58"/>
  <c r="C154" i="58"/>
  <c r="C50" i="58"/>
  <c r="C128" i="58"/>
  <c r="C76" i="58"/>
  <c r="D387" i="58"/>
  <c r="D232" i="58"/>
  <c r="C130" i="58"/>
  <c r="C156" i="58"/>
  <c r="C78" i="58"/>
  <c r="C104" i="58"/>
  <c r="C52" i="58"/>
  <c r="D467" i="58"/>
  <c r="D417" i="58"/>
  <c r="D339" i="58"/>
  <c r="D184" i="58"/>
  <c r="D469" i="58"/>
  <c r="D419" i="58"/>
  <c r="D342" i="58"/>
  <c r="D187" i="58"/>
  <c r="C471" i="58"/>
  <c r="C421" i="58"/>
  <c r="C344" i="58"/>
  <c r="C189" i="58"/>
  <c r="C113" i="58"/>
  <c r="C139" i="58"/>
  <c r="C61" i="58"/>
  <c r="C165" i="58"/>
  <c r="C87" i="58"/>
  <c r="C93" i="58"/>
  <c r="C67" i="58"/>
  <c r="C119" i="58"/>
  <c r="C145" i="58"/>
  <c r="C41" i="58"/>
  <c r="C410" i="58"/>
  <c r="C332" i="58"/>
  <c r="C460" i="58"/>
  <c r="C177" i="58"/>
  <c r="C105" i="58"/>
  <c r="C157" i="58"/>
  <c r="C131" i="58"/>
  <c r="C53" i="58"/>
  <c r="C79" i="58"/>
  <c r="D162" i="58"/>
  <c r="D84" i="58"/>
  <c r="D136" i="58"/>
  <c r="D110" i="58"/>
  <c r="D58" i="58"/>
  <c r="D402" i="58"/>
  <c r="D324" i="58"/>
  <c r="D452" i="58"/>
  <c r="D169" i="58"/>
  <c r="D97" i="58"/>
  <c r="D149" i="58"/>
  <c r="D71" i="58"/>
  <c r="D45" i="58"/>
  <c r="D123" i="58"/>
  <c r="C386" i="58"/>
  <c r="C231" i="58"/>
  <c r="C462" i="58"/>
  <c r="C412" i="58"/>
  <c r="C334" i="58"/>
  <c r="C179" i="58"/>
  <c r="C472" i="58"/>
  <c r="C422" i="58"/>
  <c r="C345" i="58"/>
  <c r="C190" i="58"/>
  <c r="D456" i="58"/>
  <c r="D406" i="58"/>
  <c r="D328" i="58"/>
  <c r="D173" i="58"/>
  <c r="D129" i="58"/>
  <c r="D77" i="58"/>
  <c r="D155" i="58"/>
  <c r="D51" i="58"/>
  <c r="D103" i="58"/>
  <c r="C159" i="58"/>
  <c r="C81" i="58"/>
  <c r="C55" i="58"/>
  <c r="C133" i="58"/>
  <c r="C107" i="58"/>
  <c r="C474" i="58"/>
  <c r="C347" i="58"/>
  <c r="C424" i="58"/>
  <c r="C192" i="58"/>
  <c r="D445" i="58"/>
  <c r="D495" i="58"/>
  <c r="D369" i="58"/>
  <c r="D214" i="58"/>
  <c r="C381" i="58"/>
  <c r="C226" i="58"/>
  <c r="C486" i="58"/>
  <c r="C436" i="58"/>
  <c r="C359" i="58"/>
  <c r="C204" i="58"/>
  <c r="C503" i="58"/>
  <c r="C299" i="58"/>
  <c r="C273" i="58"/>
  <c r="D478" i="58"/>
  <c r="D428" i="58"/>
  <c r="D351" i="58"/>
  <c r="D196" i="58"/>
  <c r="C513" i="58"/>
  <c r="C283" i="58"/>
  <c r="C257" i="58"/>
  <c r="C309" i="58"/>
  <c r="D444" i="58"/>
  <c r="D494" i="58"/>
  <c r="D368" i="58"/>
  <c r="D213" i="58"/>
  <c r="C243" i="58"/>
  <c r="C398" i="58"/>
  <c r="C502" i="58"/>
  <c r="C298" i="58"/>
  <c r="C272" i="58"/>
  <c r="C247" i="58"/>
  <c r="C506" i="58"/>
  <c r="C276" i="58"/>
  <c r="C302" i="58"/>
  <c r="C250" i="58"/>
  <c r="C485" i="58"/>
  <c r="C435" i="58"/>
  <c r="C358" i="58"/>
  <c r="C203" i="58"/>
  <c r="D235" i="58"/>
  <c r="D390" i="58"/>
  <c r="D453" i="58"/>
  <c r="D403" i="58"/>
  <c r="D325" i="58"/>
  <c r="D170" i="58"/>
  <c r="D459" i="58"/>
  <c r="D409" i="58"/>
  <c r="D331" i="58"/>
  <c r="D176" i="58"/>
  <c r="D158" i="58"/>
  <c r="D80" i="58"/>
  <c r="D132" i="58"/>
  <c r="D106" i="58"/>
  <c r="D54" i="58"/>
  <c r="D473" i="58"/>
  <c r="D423" i="58"/>
  <c r="D346" i="58"/>
  <c r="D191" i="58"/>
  <c r="D125" i="58"/>
  <c r="D73" i="58"/>
  <c r="D151" i="58"/>
  <c r="D47" i="58"/>
  <c r="D99" i="58"/>
  <c r="C143" i="58"/>
  <c r="C117" i="58"/>
  <c r="C39" i="58"/>
  <c r="C91" i="58"/>
  <c r="C65" i="58"/>
  <c r="C458" i="58"/>
  <c r="C408" i="58"/>
  <c r="C330" i="58"/>
  <c r="C175" i="58"/>
  <c r="C512" i="58"/>
  <c r="C308" i="58"/>
  <c r="C256" i="58"/>
  <c r="C282" i="58"/>
  <c r="C147" i="58"/>
  <c r="C43" i="58"/>
  <c r="C121" i="58"/>
  <c r="C95" i="58"/>
  <c r="C69" i="58"/>
  <c r="D483" i="58"/>
  <c r="D433" i="58"/>
  <c r="D201" i="58"/>
  <c r="D356" i="58"/>
  <c r="D514" i="58"/>
  <c r="D258" i="58"/>
  <c r="D310" i="58"/>
  <c r="D284" i="58"/>
  <c r="D395" i="58"/>
  <c r="D240" i="58"/>
  <c r="C390" i="58"/>
  <c r="C235" i="58"/>
  <c r="D391" i="58"/>
  <c r="D236" i="58"/>
  <c r="C519" i="58"/>
  <c r="C316" i="58"/>
  <c r="C264" i="58"/>
  <c r="C290" i="58"/>
  <c r="C504" i="58"/>
  <c r="C300" i="58"/>
  <c r="C248" i="58"/>
  <c r="C274" i="58"/>
  <c r="C380" i="58"/>
  <c r="C225" i="58"/>
  <c r="C433" i="58"/>
  <c r="C483" i="58"/>
  <c r="C356" i="58"/>
  <c r="C201" i="58"/>
  <c r="D388" i="58"/>
  <c r="D233" i="58"/>
  <c r="D516" i="58"/>
  <c r="D312" i="58"/>
  <c r="D260" i="58"/>
  <c r="D286" i="58"/>
  <c r="C451" i="58"/>
  <c r="C401" i="58"/>
  <c r="C323" i="58"/>
  <c r="C168" i="58"/>
  <c r="C457" i="58"/>
  <c r="C329" i="58"/>
  <c r="C407" i="58"/>
  <c r="C174" i="58"/>
  <c r="C415" i="58"/>
  <c r="C337" i="58"/>
  <c r="C465" i="58"/>
  <c r="C182" i="58"/>
  <c r="D474" i="58"/>
  <c r="D347" i="58"/>
  <c r="D424" i="58"/>
  <c r="D192" i="58"/>
  <c r="D510" i="58"/>
  <c r="D306" i="58"/>
  <c r="D280" i="58"/>
  <c r="D254" i="58"/>
  <c r="D386" i="58"/>
  <c r="D231" i="58"/>
  <c r="D439" i="58"/>
  <c r="D489" i="58"/>
  <c r="D362" i="58"/>
  <c r="D207" i="58"/>
  <c r="D384" i="58"/>
  <c r="D229" i="58"/>
  <c r="C384" i="58"/>
  <c r="C229" i="58"/>
  <c r="C375" i="58"/>
  <c r="C220" i="58"/>
  <c r="C430" i="58"/>
  <c r="C480" i="58"/>
  <c r="C198" i="58"/>
  <c r="C353" i="58"/>
  <c r="C355" i="58"/>
  <c r="C432" i="58"/>
  <c r="C200" i="58"/>
  <c r="C482" i="58"/>
  <c r="D381" i="58"/>
  <c r="D226" i="58"/>
  <c r="D385" i="58"/>
  <c r="D230" i="58"/>
  <c r="D389" i="58"/>
  <c r="D234" i="58"/>
  <c r="C515" i="58"/>
  <c r="C311" i="58"/>
  <c r="C285" i="58"/>
  <c r="C259" i="58"/>
  <c r="D515" i="58"/>
  <c r="D311" i="58"/>
  <c r="D259" i="58"/>
  <c r="D285" i="58"/>
  <c r="C389" i="58"/>
  <c r="C234" i="58"/>
  <c r="D492" i="58"/>
  <c r="D365" i="58"/>
  <c r="D442" i="58"/>
  <c r="D210" i="58"/>
  <c r="D517" i="58"/>
  <c r="D287" i="58"/>
  <c r="D261" i="58"/>
  <c r="D313" i="58"/>
  <c r="D496" i="58"/>
  <c r="D446" i="58"/>
  <c r="D370" i="58"/>
  <c r="D215" i="58"/>
  <c r="D521" i="58"/>
  <c r="D292" i="58"/>
  <c r="D266" i="58"/>
  <c r="D318" i="58"/>
  <c r="C509" i="58"/>
  <c r="C305" i="58"/>
  <c r="C279" i="58"/>
  <c r="C253" i="58"/>
  <c r="D434" i="58"/>
  <c r="D484" i="58"/>
  <c r="D357" i="58"/>
  <c r="D202" i="58"/>
  <c r="C383" i="58"/>
  <c r="C228" i="58"/>
  <c r="D394" i="58"/>
  <c r="D239" i="58"/>
  <c r="C444" i="58"/>
  <c r="C494" i="58"/>
  <c r="C368" i="58"/>
  <c r="C213" i="58"/>
  <c r="D523" i="58"/>
  <c r="D320" i="58"/>
  <c r="D294" i="58"/>
  <c r="D268" i="58"/>
  <c r="D378" i="58"/>
  <c r="D223" i="58"/>
  <c r="C382" i="58"/>
  <c r="C227" i="58"/>
  <c r="C510" i="58"/>
  <c r="C306" i="58"/>
  <c r="C280" i="58"/>
  <c r="C254" i="58"/>
  <c r="C495" i="58"/>
  <c r="C369" i="58"/>
  <c r="C445" i="58"/>
  <c r="C214" i="58"/>
  <c r="C397" i="58"/>
  <c r="C242" i="58"/>
  <c r="C399" i="58"/>
  <c r="C244" i="58"/>
  <c r="D449" i="58"/>
  <c r="D499" i="58"/>
  <c r="D373" i="58"/>
  <c r="D218" i="58"/>
  <c r="C449" i="58"/>
  <c r="C499" i="58"/>
  <c r="C373" i="58"/>
  <c r="C218" i="58"/>
  <c r="D509" i="58"/>
  <c r="D305" i="58"/>
  <c r="D279" i="58"/>
  <c r="D253" i="58"/>
  <c r="D451" i="58"/>
  <c r="D401" i="58"/>
  <c r="D323" i="58"/>
  <c r="D168" i="58"/>
  <c r="C453" i="58"/>
  <c r="C403" i="58"/>
  <c r="C325" i="58"/>
  <c r="C170" i="58"/>
  <c r="C455" i="58"/>
  <c r="C327" i="58"/>
  <c r="C405" i="58"/>
  <c r="C172" i="58"/>
  <c r="C122" i="58"/>
  <c r="C70" i="58"/>
  <c r="C148" i="58"/>
  <c r="C96" i="58"/>
  <c r="C44" i="58"/>
  <c r="D150" i="58"/>
  <c r="D124" i="58"/>
  <c r="D98" i="58"/>
  <c r="D46" i="58"/>
  <c r="D72" i="58"/>
  <c r="D74" i="58"/>
  <c r="D100" i="58"/>
  <c r="D126" i="58"/>
  <c r="D48" i="58"/>
  <c r="D152" i="58"/>
  <c r="D463" i="58"/>
  <c r="D413" i="58"/>
  <c r="D335" i="58"/>
  <c r="D180" i="58"/>
  <c r="D465" i="58"/>
  <c r="D415" i="58"/>
  <c r="D337" i="58"/>
  <c r="D182" i="58"/>
  <c r="C106" i="58"/>
  <c r="C158" i="58"/>
  <c r="C80" i="58"/>
  <c r="C54" i="58"/>
  <c r="C132" i="58"/>
  <c r="C391" i="58"/>
  <c r="C236" i="58"/>
  <c r="C469" i="58"/>
  <c r="C419" i="58"/>
  <c r="C342" i="58"/>
  <c r="C187" i="58"/>
  <c r="D471" i="58"/>
  <c r="D421" i="58"/>
  <c r="D344" i="58"/>
  <c r="D189" i="58"/>
  <c r="D165" i="58"/>
  <c r="D87" i="58"/>
  <c r="D113" i="58"/>
  <c r="D139" i="58"/>
  <c r="D61" i="58"/>
  <c r="D93" i="58"/>
  <c r="D67" i="58"/>
  <c r="D145" i="58"/>
  <c r="D41" i="58"/>
  <c r="D119" i="58"/>
  <c r="C151" i="58"/>
  <c r="C125" i="58"/>
  <c r="C99" i="58"/>
  <c r="C47" i="58"/>
  <c r="C73" i="58"/>
  <c r="C466" i="58"/>
  <c r="C416" i="58"/>
  <c r="C338" i="58"/>
  <c r="C183" i="58"/>
  <c r="C110" i="58"/>
  <c r="C162" i="58"/>
  <c r="C84" i="58"/>
  <c r="C58" i="58"/>
  <c r="C136" i="58"/>
  <c r="C452" i="58"/>
  <c r="C324" i="58"/>
  <c r="C402" i="58"/>
  <c r="C169" i="58"/>
  <c r="C71" i="58"/>
  <c r="C97" i="58"/>
  <c r="C123" i="58"/>
  <c r="C45" i="58"/>
  <c r="C149" i="58"/>
  <c r="D462" i="58"/>
  <c r="D412" i="58"/>
  <c r="D334" i="58"/>
  <c r="D179" i="58"/>
  <c r="D472" i="58"/>
  <c r="D345" i="58"/>
  <c r="D190" i="58"/>
  <c r="D422" i="58"/>
  <c r="C497" i="58"/>
  <c r="C447" i="58"/>
  <c r="C371" i="58"/>
  <c r="C216" i="58"/>
  <c r="C514" i="58"/>
  <c r="C310" i="58"/>
  <c r="C258" i="58"/>
  <c r="C284" i="58"/>
  <c r="D121" i="58"/>
  <c r="D69" i="58"/>
  <c r="D147" i="58"/>
  <c r="D43" i="58"/>
  <c r="D95" i="58"/>
  <c r="C464" i="58"/>
  <c r="C414" i="58"/>
  <c r="C336" i="58"/>
  <c r="C181" i="58"/>
  <c r="C468" i="58"/>
  <c r="C418" i="58"/>
  <c r="C340" i="58"/>
  <c r="C185" i="58"/>
  <c r="D166" i="58"/>
  <c r="D88" i="58"/>
  <c r="D140" i="58"/>
  <c r="D62" i="58"/>
  <c r="D114" i="58"/>
  <c r="C441" i="58"/>
  <c r="C491" i="58"/>
  <c r="C364" i="58"/>
  <c r="C209" i="58"/>
  <c r="D392" i="58"/>
  <c r="D237" i="58"/>
  <c r="C501" i="58"/>
  <c r="C297" i="58"/>
  <c r="C271" i="58"/>
  <c r="C246" i="58"/>
  <c r="C505" i="58"/>
  <c r="C275" i="58"/>
  <c r="C249" i="58"/>
  <c r="C301" i="58"/>
  <c r="D486" i="58"/>
  <c r="D436" i="58"/>
  <c r="D359" i="58"/>
  <c r="D204" i="58"/>
  <c r="C478" i="58"/>
  <c r="C428" i="58"/>
  <c r="C351" i="58"/>
  <c r="C196" i="58"/>
  <c r="D383" i="58"/>
  <c r="D228" i="58"/>
  <c r="C439" i="58"/>
  <c r="C489" i="58"/>
  <c r="C362" i="58"/>
  <c r="C207" i="58"/>
  <c r="C518" i="58"/>
  <c r="C314" i="58"/>
  <c r="C262" i="58"/>
  <c r="C288" i="58"/>
  <c r="C522" i="58"/>
  <c r="C319" i="58"/>
  <c r="C293" i="58"/>
  <c r="C267" i="58"/>
  <c r="D524" i="58"/>
  <c r="D321" i="58"/>
  <c r="D295" i="58"/>
  <c r="D269" i="58"/>
  <c r="D146" i="58"/>
  <c r="D120" i="58"/>
  <c r="D94" i="58"/>
  <c r="D68" i="58"/>
  <c r="D42" i="58"/>
  <c r="C463" i="58"/>
  <c r="C335" i="58"/>
  <c r="C180" i="58"/>
  <c r="C413" i="58"/>
  <c r="D109" i="58"/>
  <c r="D161" i="58"/>
  <c r="D83" i="58"/>
  <c r="D57" i="58"/>
  <c r="D135" i="58"/>
  <c r="D477" i="58"/>
  <c r="D427" i="58"/>
  <c r="D350" i="58"/>
  <c r="D195" i="58"/>
  <c r="D454" i="58"/>
  <c r="D404" i="58"/>
  <c r="D326" i="58"/>
  <c r="D171" i="58"/>
  <c r="C470" i="58"/>
  <c r="C420" i="58"/>
  <c r="C343" i="58"/>
  <c r="C188" i="58"/>
  <c r="C138" i="58"/>
  <c r="C60" i="58"/>
  <c r="C164" i="58"/>
  <c r="C86" i="58"/>
  <c r="C112" i="58"/>
  <c r="C155" i="58"/>
  <c r="C129" i="58"/>
  <c r="C77" i="58"/>
  <c r="C103" i="58"/>
  <c r="C51" i="58"/>
  <c r="D300" i="58"/>
  <c r="D248" i="58"/>
  <c r="D504" i="58"/>
  <c r="D274" i="58"/>
  <c r="D485" i="58"/>
  <c r="D435" i="58"/>
  <c r="D358" i="58"/>
  <c r="D203" i="58"/>
  <c r="D379" i="58"/>
  <c r="D224" i="58"/>
  <c r="D507" i="58"/>
  <c r="D303" i="58"/>
  <c r="D277" i="58"/>
  <c r="D251" i="58"/>
  <c r="D482" i="58"/>
  <c r="D432" i="58"/>
  <c r="D355" i="58"/>
  <c r="D200" i="58"/>
  <c r="C511" i="58"/>
  <c r="C307" i="58"/>
  <c r="C281" i="58"/>
  <c r="C255" i="58"/>
  <c r="C230" i="58"/>
  <c r="C385" i="58"/>
  <c r="D490" i="58"/>
  <c r="D363" i="58"/>
  <c r="D440" i="58"/>
  <c r="D208" i="58"/>
  <c r="C492" i="58"/>
  <c r="C442" i="58"/>
  <c r="C365" i="58"/>
  <c r="C210" i="58"/>
  <c r="C517" i="58"/>
  <c r="C313" i="58"/>
  <c r="C287" i="58"/>
  <c r="C261" i="58"/>
  <c r="D396" i="58"/>
  <c r="D241" i="58"/>
  <c r="C396" i="58"/>
  <c r="C241" i="58"/>
  <c r="C446" i="58"/>
  <c r="C370" i="58"/>
  <c r="C496" i="58"/>
  <c r="C215" i="58"/>
  <c r="C521" i="58"/>
  <c r="C318" i="58"/>
  <c r="C292" i="58"/>
  <c r="C266" i="58"/>
  <c r="C377" i="58"/>
  <c r="C222" i="58"/>
  <c r="C484" i="58"/>
  <c r="C357" i="58"/>
  <c r="C434" i="58"/>
  <c r="C202" i="58"/>
  <c r="D488" i="58"/>
  <c r="D438" i="58"/>
  <c r="D361" i="58"/>
  <c r="D206" i="58"/>
  <c r="C523" i="58"/>
  <c r="C294" i="58"/>
  <c r="C320" i="58"/>
  <c r="C268" i="58"/>
  <c r="C477" i="58"/>
  <c r="C350" i="58"/>
  <c r="C195" i="58"/>
  <c r="C427" i="58"/>
  <c r="C516" i="58"/>
  <c r="C312" i="58"/>
  <c r="C286" i="58"/>
  <c r="C260" i="58"/>
  <c r="D493" i="58"/>
  <c r="D443" i="58"/>
  <c r="D366" i="58"/>
  <c r="D211" i="58"/>
  <c r="D518" i="58"/>
  <c r="D314" i="58"/>
  <c r="D288" i="58"/>
  <c r="D262" i="58"/>
  <c r="C520" i="58"/>
  <c r="C317" i="58"/>
  <c r="C291" i="58"/>
  <c r="C265" i="58"/>
  <c r="D522" i="58"/>
  <c r="D319" i="58"/>
  <c r="D267" i="58"/>
  <c r="D293" i="58"/>
  <c r="D447" i="58"/>
  <c r="D497" i="58"/>
  <c r="D371" i="58"/>
  <c r="D216" i="58"/>
  <c r="D1191" i="11"/>
  <c r="D142" i="58"/>
  <c r="D116" i="58"/>
  <c r="D90" i="58"/>
  <c r="D64" i="58"/>
  <c r="D38" i="58"/>
  <c r="D92" i="58"/>
  <c r="D66" i="58"/>
  <c r="D118" i="58"/>
  <c r="D40" i="58"/>
  <c r="D144" i="58"/>
  <c r="C94" i="58"/>
  <c r="C68" i="58"/>
  <c r="C146" i="58"/>
  <c r="C42" i="58"/>
  <c r="C120" i="58"/>
  <c r="D407" i="58"/>
  <c r="D329" i="58"/>
  <c r="D457" i="58"/>
  <c r="D174" i="58"/>
  <c r="C98" i="58"/>
  <c r="C150" i="58"/>
  <c r="C72" i="58"/>
  <c r="C124" i="58"/>
  <c r="C46" i="58"/>
  <c r="C126" i="58"/>
  <c r="C74" i="58"/>
  <c r="C152" i="58"/>
  <c r="C48" i="58"/>
  <c r="C100" i="58"/>
  <c r="D154" i="58"/>
  <c r="D128" i="58"/>
  <c r="D76" i="58"/>
  <c r="D102" i="58"/>
  <c r="D50" i="58"/>
  <c r="D104" i="58"/>
  <c r="D52" i="58"/>
  <c r="D130" i="58"/>
  <c r="D156" i="58"/>
  <c r="D78" i="58"/>
  <c r="C467" i="58"/>
  <c r="C417" i="58"/>
  <c r="C339" i="58"/>
  <c r="C184" i="58"/>
  <c r="C57" i="58"/>
  <c r="C161" i="58"/>
  <c r="C109" i="58"/>
  <c r="C135" i="58"/>
  <c r="C83" i="58"/>
  <c r="D137" i="58"/>
  <c r="D59" i="58"/>
  <c r="D163" i="58"/>
  <c r="D85" i="58"/>
  <c r="D111" i="58"/>
  <c r="C423" i="58"/>
  <c r="C346" i="58"/>
  <c r="C473" i="58"/>
  <c r="C191" i="58"/>
  <c r="D399" i="58"/>
  <c r="D244" i="58"/>
  <c r="C454" i="58"/>
  <c r="C404" i="58"/>
  <c r="C326" i="58"/>
  <c r="C171" i="58"/>
  <c r="D460" i="58"/>
  <c r="D410" i="58"/>
  <c r="D332" i="58"/>
  <c r="D177" i="58"/>
  <c r="D466" i="58"/>
  <c r="D416" i="58"/>
  <c r="D338" i="58"/>
  <c r="D183" i="58"/>
  <c r="D470" i="58"/>
  <c r="D343" i="58"/>
  <c r="D420" i="58"/>
  <c r="D188" i="58"/>
  <c r="D502" i="58"/>
  <c r="D298" i="58"/>
  <c r="D272" i="58"/>
  <c r="D247" i="58"/>
  <c r="D117" i="58"/>
  <c r="D39" i="58"/>
  <c r="D143" i="58"/>
  <c r="D91" i="58"/>
  <c r="D65" i="58"/>
  <c r="D458" i="58"/>
  <c r="D408" i="58"/>
  <c r="D330" i="58"/>
  <c r="D175" i="58"/>
  <c r="D101" i="58"/>
  <c r="D153" i="58"/>
  <c r="D75" i="58"/>
  <c r="D49" i="58"/>
  <c r="D127" i="58"/>
  <c r="D112" i="58"/>
  <c r="D138" i="58"/>
  <c r="D60" i="58"/>
  <c r="D164" i="58"/>
  <c r="D86" i="58"/>
  <c r="C456" i="58"/>
  <c r="C406" i="58"/>
  <c r="C328" i="58"/>
  <c r="C173" i="58"/>
  <c r="D464" i="58"/>
  <c r="D414" i="58"/>
  <c r="D336" i="58"/>
  <c r="D181" i="58"/>
  <c r="D133" i="58"/>
  <c r="D159" i="58"/>
  <c r="D81" i="58"/>
  <c r="D55" i="58"/>
  <c r="D107" i="58"/>
  <c r="C166" i="58"/>
  <c r="C88" i="58"/>
  <c r="C114" i="58"/>
  <c r="C62" i="58"/>
  <c r="C140" i="58"/>
  <c r="D1126" i="11"/>
  <c r="D1188" i="11"/>
  <c r="D1189" i="11"/>
  <c r="D1182" i="11"/>
  <c r="D1183" i="11"/>
  <c r="D1180" i="11"/>
  <c r="D1187" i="11"/>
  <c r="D1028" i="11"/>
  <c r="D1223" i="11"/>
  <c r="D1073" i="11"/>
  <c r="D1224" i="11"/>
  <c r="D1113" i="11"/>
  <c r="D1062" i="11"/>
  <c r="D1229" i="11"/>
  <c r="D1181" i="11"/>
  <c r="D1030" i="11"/>
  <c r="D1159" i="11"/>
  <c r="D999" i="11"/>
  <c r="D1001" i="11"/>
  <c r="D1007" i="11"/>
  <c r="D1221" i="11"/>
  <c r="D1225" i="11"/>
  <c r="D998" i="11"/>
  <c r="D1002" i="11"/>
  <c r="D1072" i="11"/>
  <c r="D1005" i="11"/>
  <c r="D1000" i="11"/>
  <c r="D1220" i="11"/>
  <c r="D1163" i="11"/>
  <c r="D961" i="11"/>
  <c r="D1047" i="11"/>
  <c r="D1066" i="11"/>
  <c r="D1064" i="11"/>
  <c r="D1068" i="11"/>
  <c r="D1120" i="11"/>
  <c r="D1222" i="11"/>
  <c r="D1069" i="11"/>
  <c r="D1071" i="11"/>
  <c r="D2017" i="11"/>
  <c r="D1063" i="11"/>
  <c r="D1226" i="11"/>
  <c r="D2026" i="11"/>
  <c r="D1065" i="11"/>
  <c r="D1067" i="11"/>
  <c r="D1230" i="11"/>
  <c r="D2030" i="11"/>
  <c r="D1948" i="11"/>
  <c r="D954" i="11"/>
  <c r="D1125" i="11"/>
  <c r="D1104" i="11"/>
  <c r="D1156" i="11"/>
  <c r="D1023" i="11"/>
  <c r="D949" i="11"/>
  <c r="D1003" i="11"/>
  <c r="D968" i="11"/>
  <c r="D1049" i="11"/>
  <c r="D1059" i="11"/>
  <c r="D1195" i="11"/>
  <c r="D1190" i="11"/>
  <c r="D1214" i="11"/>
  <c r="D1160" i="11"/>
  <c r="D1199" i="11"/>
  <c r="D1216" i="11"/>
  <c r="D1044" i="11"/>
  <c r="D1164" i="11"/>
  <c r="D1206" i="11"/>
  <c r="D960" i="11"/>
  <c r="D1186" i="11"/>
  <c r="D1121" i="11"/>
  <c r="D1208" i="11"/>
  <c r="B1217" i="11"/>
  <c r="D821" i="11"/>
  <c r="D801" i="11"/>
  <c r="D1158" i="11"/>
  <c r="C21" i="10"/>
  <c r="D1210" i="11"/>
  <c r="B1210" i="11" s="1"/>
  <c r="D778" i="11"/>
  <c r="D788" i="11"/>
  <c r="D825" i="11"/>
  <c r="D1245" i="11"/>
  <c r="B1245" i="11" s="1"/>
  <c r="D1123" i="11"/>
  <c r="G63" i="12"/>
  <c r="T31" i="50"/>
  <c r="T35" i="50"/>
  <c r="S78" i="44"/>
  <c r="K889" i="58" s="1"/>
  <c r="L9" i="44"/>
  <c r="S81" i="44" s="1"/>
  <c r="K814" i="58" s="1"/>
  <c r="O7" i="44"/>
  <c r="N8" i="58" s="1"/>
  <c r="N8" i="44"/>
  <c r="U80" i="44" s="1"/>
  <c r="O12" i="44"/>
  <c r="U84" i="44"/>
  <c r="M451" i="58" s="1"/>
  <c r="M33" i="26"/>
  <c r="N33" i="26" s="1"/>
  <c r="O33" i="26" s="1"/>
  <c r="P33" i="26" s="1"/>
  <c r="Q33" i="26" s="1"/>
  <c r="R33" i="26" s="1"/>
  <c r="S33" i="26" s="1"/>
  <c r="T33" i="26" s="1"/>
  <c r="U33" i="26" s="1"/>
  <c r="G52" i="12"/>
  <c r="H529" i="25"/>
  <c r="H546" i="25"/>
  <c r="H492" i="25"/>
  <c r="H509" i="25"/>
  <c r="H233" i="25"/>
  <c r="H250" i="25"/>
  <c r="H198" i="25"/>
  <c r="H215" i="25"/>
  <c r="H1084" i="25"/>
  <c r="H1101" i="25"/>
  <c r="H1047" i="25"/>
  <c r="H1064" i="25"/>
  <c r="H899" i="25"/>
  <c r="H916" i="25"/>
  <c r="H825" i="25"/>
  <c r="H842" i="25"/>
  <c r="H751" i="25"/>
  <c r="H768" i="25"/>
  <c r="H677" i="25"/>
  <c r="H694" i="25"/>
  <c r="H603" i="25"/>
  <c r="H620" i="25"/>
  <c r="H381" i="25"/>
  <c r="H398" i="25"/>
  <c r="H344" i="25"/>
  <c r="H361" i="25"/>
  <c r="H1121" i="25"/>
  <c r="H1138" i="25"/>
  <c r="H1011" i="25"/>
  <c r="H1028" i="25"/>
  <c r="H973" i="25"/>
  <c r="H990" i="25"/>
  <c r="H862" i="25"/>
  <c r="H879" i="25"/>
  <c r="H789" i="25"/>
  <c r="H806" i="25"/>
  <c r="H714" i="25"/>
  <c r="H731" i="25"/>
  <c r="H641" i="25"/>
  <c r="H658" i="25"/>
  <c r="H566" i="25"/>
  <c r="H583" i="25"/>
  <c r="H456" i="25"/>
  <c r="H473" i="25"/>
  <c r="H418" i="25"/>
  <c r="H435" i="25"/>
  <c r="H308" i="25"/>
  <c r="H325" i="25"/>
  <c r="H270" i="25"/>
  <c r="H287" i="25"/>
  <c r="H11" i="25"/>
  <c r="H28" i="25"/>
  <c r="H937" i="25"/>
  <c r="H954" i="25"/>
  <c r="H49" i="44"/>
  <c r="H84" i="44" s="1"/>
  <c r="H50" i="44"/>
  <c r="H85" i="44" s="1"/>
  <c r="J15" i="52"/>
  <c r="S9" i="12"/>
  <c r="S12" i="12"/>
  <c r="S11" i="12"/>
  <c r="H12" i="12"/>
  <c r="H13" i="12" s="1"/>
  <c r="H10" i="12"/>
  <c r="H9" i="12"/>
  <c r="G12" i="12"/>
  <c r="G13" i="12" s="1"/>
  <c r="G10" i="12"/>
  <c r="G9" i="12"/>
  <c r="K12" i="12"/>
  <c r="K13" i="12" s="1"/>
  <c r="K10" i="12"/>
  <c r="K9" i="12"/>
  <c r="D787" i="11"/>
  <c r="D775" i="11"/>
  <c r="D791" i="11"/>
  <c r="D782" i="11"/>
  <c r="D820" i="11"/>
  <c r="D800" i="11"/>
  <c r="D824" i="11"/>
  <c r="D804" i="11"/>
  <c r="D828" i="11"/>
  <c r="D808" i="11"/>
  <c r="D832" i="11"/>
  <c r="D812" i="11"/>
  <c r="D49" i="44"/>
  <c r="D84" i="44" s="1"/>
  <c r="D50" i="44"/>
  <c r="D85" i="44" s="1"/>
  <c r="T11" i="12"/>
  <c r="AC11" i="12" s="1"/>
  <c r="T9" i="12"/>
  <c r="AC9" i="12" s="1"/>
  <c r="T12" i="12"/>
  <c r="AC12" i="12" s="1"/>
  <c r="T13" i="12"/>
  <c r="AC13" i="12" s="1"/>
  <c r="J12" i="12"/>
  <c r="J13" i="12" s="1"/>
  <c r="J10" i="12"/>
  <c r="J9" i="12"/>
  <c r="I12" i="12"/>
  <c r="I13" i="12" s="1"/>
  <c r="I10" i="12"/>
  <c r="I9" i="12"/>
  <c r="D786" i="11"/>
  <c r="D774" i="11"/>
  <c r="D790" i="11"/>
  <c r="D781" i="11"/>
  <c r="D794" i="11"/>
  <c r="D785" i="11"/>
  <c r="D819" i="11"/>
  <c r="D799" i="11"/>
  <c r="D823" i="11"/>
  <c r="D803" i="11"/>
  <c r="D827" i="11"/>
  <c r="D807" i="11"/>
  <c r="D831" i="11"/>
  <c r="D811" i="11"/>
  <c r="D835" i="11"/>
  <c r="D815" i="11"/>
  <c r="AH139" i="26"/>
  <c r="AH141" i="26"/>
  <c r="AE35" i="26"/>
  <c r="S54" i="12" s="1"/>
  <c r="AE37" i="26"/>
  <c r="S56" i="12" s="1"/>
  <c r="AH25" i="26"/>
  <c r="AH27" i="26"/>
  <c r="AF100" i="26"/>
  <c r="T119" i="12" s="1"/>
  <c r="AG108" i="26"/>
  <c r="AH121" i="26"/>
  <c r="AE23" i="26"/>
  <c r="S42" i="12" s="1"/>
  <c r="AF23" i="26"/>
  <c r="T42" i="12" s="1"/>
  <c r="AG110" i="26"/>
  <c r="E99" i="12"/>
  <c r="D81" i="26"/>
  <c r="E100" i="12" s="1"/>
  <c r="B39" i="26"/>
  <c r="AH77" i="26"/>
  <c r="AH79" i="26"/>
  <c r="AF93" i="26"/>
  <c r="T112" i="12" s="1"/>
  <c r="AF95" i="26"/>
  <c r="T114" i="12" s="1"/>
  <c r="AF113" i="26"/>
  <c r="T132" i="12" s="1"/>
  <c r="AF115" i="26"/>
  <c r="T134" i="12" s="1"/>
  <c r="AG136" i="26"/>
  <c r="AH136" i="26"/>
  <c r="D780" i="11"/>
  <c r="D789" i="11"/>
  <c r="D798" i="11"/>
  <c r="D818" i="11"/>
  <c r="D806" i="11"/>
  <c r="D826" i="11"/>
  <c r="D814" i="11"/>
  <c r="D834" i="11"/>
  <c r="D784" i="11"/>
  <c r="D793" i="11"/>
  <c r="D802" i="11"/>
  <c r="D822" i="11"/>
  <c r="D810" i="11"/>
  <c r="D830" i="11"/>
  <c r="AH18" i="26"/>
  <c r="AH134" i="26"/>
  <c r="AE43" i="26"/>
  <c r="S62" i="12" s="1"/>
  <c r="J69" i="44"/>
  <c r="J96" i="44"/>
  <c r="J70" i="44"/>
  <c r="J98" i="44"/>
  <c r="J71" i="44"/>
  <c r="J99" i="44"/>
  <c r="F71" i="44"/>
  <c r="F99" i="44"/>
  <c r="J73" i="44"/>
  <c r="J101" i="44"/>
  <c r="F101" i="44"/>
  <c r="F73" i="44"/>
  <c r="G27" i="26"/>
  <c r="G26" i="26"/>
  <c r="G25" i="26"/>
  <c r="G24" i="26"/>
  <c r="G37" i="26"/>
  <c r="G36" i="26"/>
  <c r="G35" i="26"/>
  <c r="G34" i="26"/>
  <c r="H27" i="26"/>
  <c r="H26" i="26"/>
  <c r="H25" i="26"/>
  <c r="H24" i="26"/>
  <c r="I14" i="26"/>
  <c r="I16" i="26"/>
  <c r="I15" i="26"/>
  <c r="I17" i="26"/>
  <c r="I27" i="26"/>
  <c r="I26" i="26"/>
  <c r="I25" i="26"/>
  <c r="I24" i="26"/>
  <c r="J15" i="26"/>
  <c r="J17" i="26"/>
  <c r="J14" i="26"/>
  <c r="J16" i="26"/>
  <c r="J32" i="26"/>
  <c r="J31" i="26"/>
  <c r="J30" i="26"/>
  <c r="J29" i="26"/>
  <c r="AA44" i="26"/>
  <c r="W48" i="26"/>
  <c r="AA48" i="26" s="1"/>
  <c r="W47" i="26"/>
  <c r="AA47" i="26" s="1"/>
  <c r="W46" i="26"/>
  <c r="AA46" i="26" s="1"/>
  <c r="W45" i="26"/>
  <c r="AA45" i="26" s="1"/>
  <c r="AE45" i="26" s="1"/>
  <c r="S64" i="12" s="1"/>
  <c r="AA54" i="26"/>
  <c r="W58" i="26"/>
  <c r="AA58" i="26" s="1"/>
  <c r="W57" i="26"/>
  <c r="AA57" i="26" s="1"/>
  <c r="W56" i="26"/>
  <c r="AA56" i="26" s="1"/>
  <c r="W55" i="26"/>
  <c r="AA55" i="26" s="1"/>
  <c r="AE55" i="26" s="1"/>
  <c r="S74" i="12" s="1"/>
  <c r="AB39" i="26"/>
  <c r="X43" i="26"/>
  <c r="AB43" i="26" s="1"/>
  <c r="X42" i="26"/>
  <c r="AB42" i="26" s="1"/>
  <c r="X41" i="26"/>
  <c r="AB41" i="26" s="1"/>
  <c r="X40" i="26"/>
  <c r="AB40" i="26" s="1"/>
  <c r="AF40" i="26" s="1"/>
  <c r="T59" i="12" s="1"/>
  <c r="AB59" i="26"/>
  <c r="X63" i="26"/>
  <c r="AB63" i="26" s="1"/>
  <c r="X62" i="26"/>
  <c r="AB62" i="26" s="1"/>
  <c r="X61" i="26"/>
  <c r="AB61" i="26" s="1"/>
  <c r="X60" i="26"/>
  <c r="AB60" i="26" s="1"/>
  <c r="AF60" i="26" s="1"/>
  <c r="T79" i="12" s="1"/>
  <c r="AC44" i="26"/>
  <c r="Y48" i="26"/>
  <c r="AC48" i="26" s="1"/>
  <c r="Y47" i="26"/>
  <c r="AC47" i="26" s="1"/>
  <c r="Y46" i="26"/>
  <c r="AC46" i="26" s="1"/>
  <c r="Y45" i="26"/>
  <c r="AC45" i="26" s="1"/>
  <c r="AG45" i="26" s="1"/>
  <c r="AC54" i="26"/>
  <c r="Y58" i="26"/>
  <c r="AC58" i="26" s="1"/>
  <c r="Y57" i="26"/>
  <c r="AC57" i="26" s="1"/>
  <c r="Y56" i="26"/>
  <c r="AC56" i="26" s="1"/>
  <c r="Y55" i="26"/>
  <c r="AC55" i="26" s="1"/>
  <c r="AG55" i="26" s="1"/>
  <c r="AD39" i="26"/>
  <c r="Z43" i="26"/>
  <c r="AD43" i="26" s="1"/>
  <c r="Z42" i="26"/>
  <c r="AD42" i="26" s="1"/>
  <c r="Z41" i="26"/>
  <c r="AD41" i="26" s="1"/>
  <c r="Z40" i="26"/>
  <c r="AD40" i="26" s="1"/>
  <c r="AH40" i="26" s="1"/>
  <c r="AD54" i="26"/>
  <c r="Z58" i="26"/>
  <c r="AD58" i="26" s="1"/>
  <c r="Z57" i="26"/>
  <c r="AD57" i="26" s="1"/>
  <c r="Z56" i="26"/>
  <c r="AD56" i="26" s="1"/>
  <c r="Z55" i="26"/>
  <c r="AD55" i="26" s="1"/>
  <c r="AH55" i="26" s="1"/>
  <c r="G74" i="26"/>
  <c r="G73" i="26"/>
  <c r="G72" i="26"/>
  <c r="K72" i="26" s="1"/>
  <c r="G71" i="26"/>
  <c r="L65" i="26"/>
  <c r="M65" i="26" s="1"/>
  <c r="N65" i="26" s="1"/>
  <c r="O65" i="26" s="1"/>
  <c r="P65" i="26" s="1"/>
  <c r="Q65" i="26" s="1"/>
  <c r="R65" i="26" s="1"/>
  <c r="S65" i="26" s="1"/>
  <c r="T65" i="26" s="1"/>
  <c r="U65" i="26" s="1"/>
  <c r="H69" i="26"/>
  <c r="H68" i="26"/>
  <c r="H67" i="26"/>
  <c r="H66" i="26"/>
  <c r="L75" i="26"/>
  <c r="M75" i="26" s="1"/>
  <c r="N75" i="26" s="1"/>
  <c r="O75" i="26" s="1"/>
  <c r="P75" i="26" s="1"/>
  <c r="Q75" i="26" s="1"/>
  <c r="R75" i="26" s="1"/>
  <c r="S75" i="26" s="1"/>
  <c r="T75" i="26" s="1"/>
  <c r="U75" i="26" s="1"/>
  <c r="H79" i="26"/>
  <c r="H78" i="26"/>
  <c r="H77" i="26"/>
  <c r="L77" i="26" s="1"/>
  <c r="M77" i="26" s="1"/>
  <c r="H76" i="26"/>
  <c r="L85" i="26"/>
  <c r="M85" i="26" s="1"/>
  <c r="N85" i="26" s="1"/>
  <c r="O85" i="26" s="1"/>
  <c r="P85" i="26" s="1"/>
  <c r="Q85" i="26" s="1"/>
  <c r="R85" i="26" s="1"/>
  <c r="S85" i="26" s="1"/>
  <c r="T85" i="26" s="1"/>
  <c r="U85" i="26" s="1"/>
  <c r="H89" i="26"/>
  <c r="H88" i="26"/>
  <c r="H87" i="26"/>
  <c r="H86" i="26"/>
  <c r="AC18" i="26"/>
  <c r="Y22" i="26"/>
  <c r="AC22" i="26" s="1"/>
  <c r="Y21" i="26"/>
  <c r="AC21" i="26" s="1"/>
  <c r="Y20" i="26"/>
  <c r="AC20" i="26" s="1"/>
  <c r="Y19" i="26"/>
  <c r="AC19" i="26" s="1"/>
  <c r="AG19" i="26" s="1"/>
  <c r="AC28" i="26"/>
  <c r="Y32" i="26"/>
  <c r="AC32" i="26" s="1"/>
  <c r="Y31" i="26"/>
  <c r="AC31" i="26" s="1"/>
  <c r="Y30" i="26"/>
  <c r="AC30" i="26" s="1"/>
  <c r="Y29" i="26"/>
  <c r="AC29" i="26" s="1"/>
  <c r="AG29" i="26" s="1"/>
  <c r="AD13" i="26"/>
  <c r="Z15" i="26"/>
  <c r="AD15" i="26" s="1"/>
  <c r="Z17" i="26"/>
  <c r="AD17" i="26" s="1"/>
  <c r="Z14" i="26"/>
  <c r="AD14" i="26" s="1"/>
  <c r="AH14" i="26" s="1"/>
  <c r="Z16" i="26"/>
  <c r="AD16" i="26" s="1"/>
  <c r="AH16" i="26" s="1"/>
  <c r="AD33" i="26"/>
  <c r="Z37" i="26"/>
  <c r="AD37" i="26" s="1"/>
  <c r="Z36" i="26"/>
  <c r="AD36" i="26" s="1"/>
  <c r="Z35" i="26"/>
  <c r="AD35" i="26" s="1"/>
  <c r="Z34" i="26"/>
  <c r="AD34" i="26" s="1"/>
  <c r="AH34" i="26" s="1"/>
  <c r="G48" i="26"/>
  <c r="G47" i="26"/>
  <c r="G46" i="26"/>
  <c r="K46" i="26" s="1"/>
  <c r="G45" i="26"/>
  <c r="G58" i="26"/>
  <c r="G57" i="26"/>
  <c r="G56" i="26"/>
  <c r="K56" i="26" s="1"/>
  <c r="G55" i="26"/>
  <c r="L39" i="26"/>
  <c r="M39" i="26" s="1"/>
  <c r="N39" i="26" s="1"/>
  <c r="O39" i="26" s="1"/>
  <c r="P39" i="26" s="1"/>
  <c r="Q39" i="26" s="1"/>
  <c r="R39" i="26" s="1"/>
  <c r="S39" i="26" s="1"/>
  <c r="T39" i="26" s="1"/>
  <c r="U39" i="26" s="1"/>
  <c r="H43" i="26"/>
  <c r="H42" i="26"/>
  <c r="H41" i="26"/>
  <c r="L41" i="26" s="1"/>
  <c r="M41" i="26" s="1"/>
  <c r="N41" i="26" s="1"/>
  <c r="O41" i="26" s="1"/>
  <c r="P41" i="26" s="1"/>
  <c r="Q41" i="26" s="1"/>
  <c r="R41" i="26" s="1"/>
  <c r="S41" i="26" s="1"/>
  <c r="T41" i="26" s="1"/>
  <c r="U41" i="26" s="1"/>
  <c r="H40" i="26"/>
  <c r="L54" i="26"/>
  <c r="M54" i="26" s="1"/>
  <c r="N54" i="26" s="1"/>
  <c r="O54" i="26" s="1"/>
  <c r="P54" i="26" s="1"/>
  <c r="Q54" i="26" s="1"/>
  <c r="R54" i="26" s="1"/>
  <c r="S54" i="26" s="1"/>
  <c r="T54" i="26" s="1"/>
  <c r="U54" i="26" s="1"/>
  <c r="H58" i="26"/>
  <c r="H57" i="26"/>
  <c r="H56" i="26"/>
  <c r="L56" i="26" s="1"/>
  <c r="M56" i="26" s="1"/>
  <c r="N56" i="26" s="1"/>
  <c r="O56" i="26" s="1"/>
  <c r="P56" i="26" s="1"/>
  <c r="Q56" i="26" s="1"/>
  <c r="R56" i="26" s="1"/>
  <c r="S56" i="26" s="1"/>
  <c r="T56" i="26" s="1"/>
  <c r="U56" i="26" s="1"/>
  <c r="H55" i="26"/>
  <c r="I43" i="26"/>
  <c r="I42" i="26"/>
  <c r="I41" i="26"/>
  <c r="I40" i="26"/>
  <c r="I53" i="26"/>
  <c r="I52" i="26"/>
  <c r="I51" i="26"/>
  <c r="I50" i="26"/>
  <c r="I63" i="26"/>
  <c r="I62" i="26"/>
  <c r="I61" i="26"/>
  <c r="I60" i="26"/>
  <c r="J48" i="26"/>
  <c r="J47" i="26"/>
  <c r="J46" i="26"/>
  <c r="J45" i="26"/>
  <c r="J58" i="26"/>
  <c r="J57" i="26"/>
  <c r="J56" i="26"/>
  <c r="J55" i="26"/>
  <c r="AA65" i="26"/>
  <c r="W69" i="26"/>
  <c r="AA69" i="26" s="1"/>
  <c r="W68" i="26"/>
  <c r="AA68" i="26" s="1"/>
  <c r="W67" i="26"/>
  <c r="AA67" i="26" s="1"/>
  <c r="W66" i="26"/>
  <c r="AA66" i="26" s="1"/>
  <c r="AE66" i="26" s="1"/>
  <c r="S85" i="12" s="1"/>
  <c r="AA75" i="26"/>
  <c r="W79" i="26"/>
  <c r="AA79" i="26" s="1"/>
  <c r="W78" i="26"/>
  <c r="AA78" i="26" s="1"/>
  <c r="W77" i="26"/>
  <c r="AA77" i="26" s="1"/>
  <c r="W76" i="26"/>
  <c r="AA76" i="26" s="1"/>
  <c r="AE76" i="26" s="1"/>
  <c r="S95" i="12" s="1"/>
  <c r="AA85" i="26"/>
  <c r="W89" i="26"/>
  <c r="AA89" i="26" s="1"/>
  <c r="W88" i="26"/>
  <c r="AA88" i="26" s="1"/>
  <c r="W87" i="26"/>
  <c r="AA87" i="26" s="1"/>
  <c r="W86" i="26"/>
  <c r="AA86" i="26" s="1"/>
  <c r="AE86" i="26" s="1"/>
  <c r="S105" i="12" s="1"/>
  <c r="AB70" i="26"/>
  <c r="X74" i="26"/>
  <c r="AB74" i="26" s="1"/>
  <c r="X73" i="26"/>
  <c r="AB73" i="26" s="1"/>
  <c r="X72" i="26"/>
  <c r="AB72" i="26" s="1"/>
  <c r="X71" i="26"/>
  <c r="AB71" i="26" s="1"/>
  <c r="AF71" i="26" s="1"/>
  <c r="T90" i="12" s="1"/>
  <c r="AB80" i="26"/>
  <c r="X84" i="26"/>
  <c r="AB84" i="26" s="1"/>
  <c r="X83" i="26"/>
  <c r="AB83" i="26" s="1"/>
  <c r="X82" i="26"/>
  <c r="AB82" i="26" s="1"/>
  <c r="X81" i="26"/>
  <c r="AB81" i="26" s="1"/>
  <c r="AF81" i="26" s="1"/>
  <c r="T100" i="12" s="1"/>
  <c r="AC65" i="26"/>
  <c r="Y69" i="26"/>
  <c r="AC69" i="26" s="1"/>
  <c r="Y68" i="26"/>
  <c r="AC68" i="26" s="1"/>
  <c r="Y67" i="26"/>
  <c r="AC67" i="26" s="1"/>
  <c r="Y66" i="26"/>
  <c r="AC66" i="26" s="1"/>
  <c r="AG66" i="26" s="1"/>
  <c r="AC75" i="26"/>
  <c r="Y79" i="26"/>
  <c r="AC79" i="26" s="1"/>
  <c r="Y78" i="26"/>
  <c r="AC78" i="26" s="1"/>
  <c r="Y77" i="26"/>
  <c r="AC77" i="26" s="1"/>
  <c r="Y76" i="26"/>
  <c r="AC76" i="26" s="1"/>
  <c r="AG76" i="26" s="1"/>
  <c r="AC85" i="26"/>
  <c r="Y89" i="26"/>
  <c r="AC89" i="26" s="1"/>
  <c r="Y88" i="26"/>
  <c r="AC88" i="26" s="1"/>
  <c r="Y87" i="26"/>
  <c r="AC87" i="26" s="1"/>
  <c r="Y86" i="26"/>
  <c r="AC86" i="26" s="1"/>
  <c r="AG86" i="26" s="1"/>
  <c r="AD70" i="26"/>
  <c r="Z74" i="26"/>
  <c r="AD74" i="26" s="1"/>
  <c r="Z73" i="26"/>
  <c r="AD73" i="26" s="1"/>
  <c r="Z72" i="26"/>
  <c r="AD72" i="26" s="1"/>
  <c r="Z71" i="26"/>
  <c r="AD71" i="26" s="1"/>
  <c r="AH71" i="26" s="1"/>
  <c r="AD80" i="26"/>
  <c r="Z84" i="26"/>
  <c r="AD84" i="26" s="1"/>
  <c r="Z83" i="26"/>
  <c r="AD83" i="26" s="1"/>
  <c r="Z82" i="26"/>
  <c r="AD82" i="26" s="1"/>
  <c r="Z81" i="26"/>
  <c r="AD81" i="26" s="1"/>
  <c r="AH81" i="26" s="1"/>
  <c r="G95" i="26"/>
  <c r="G94" i="26"/>
  <c r="G93" i="26"/>
  <c r="K93" i="26" s="1"/>
  <c r="G92" i="26"/>
  <c r="G105" i="26"/>
  <c r="G104" i="26"/>
  <c r="G103" i="26"/>
  <c r="G102" i="26"/>
  <c r="G115" i="26"/>
  <c r="G114" i="26"/>
  <c r="G113" i="26"/>
  <c r="K113" i="26" s="1"/>
  <c r="G112" i="26"/>
  <c r="L96" i="26"/>
  <c r="M96" i="26" s="1"/>
  <c r="N96" i="26" s="1"/>
  <c r="O96" i="26" s="1"/>
  <c r="P96" i="26" s="1"/>
  <c r="Q96" i="26" s="1"/>
  <c r="R96" i="26" s="1"/>
  <c r="S96" i="26" s="1"/>
  <c r="T96" i="26" s="1"/>
  <c r="U96" i="26" s="1"/>
  <c r="H100" i="26"/>
  <c r="H99" i="26"/>
  <c r="H98" i="26"/>
  <c r="L98" i="26" s="1"/>
  <c r="M98" i="26" s="1"/>
  <c r="N98" i="26" s="1"/>
  <c r="O98" i="26" s="1"/>
  <c r="P98" i="26" s="1"/>
  <c r="Q98" i="26" s="1"/>
  <c r="R98" i="26" s="1"/>
  <c r="S98" i="26" s="1"/>
  <c r="T98" i="26" s="1"/>
  <c r="U98" i="26" s="1"/>
  <c r="H97" i="26"/>
  <c r="L106" i="26"/>
  <c r="M106" i="26" s="1"/>
  <c r="N106" i="26" s="1"/>
  <c r="O106" i="26" s="1"/>
  <c r="P106" i="26" s="1"/>
  <c r="Q106" i="26" s="1"/>
  <c r="R106" i="26" s="1"/>
  <c r="S106" i="26" s="1"/>
  <c r="T106" i="26" s="1"/>
  <c r="U106" i="26" s="1"/>
  <c r="H110" i="26"/>
  <c r="H109" i="26"/>
  <c r="H108" i="26"/>
  <c r="L108" i="26" s="1"/>
  <c r="M108" i="26" s="1"/>
  <c r="N108" i="26" s="1"/>
  <c r="O108" i="26" s="1"/>
  <c r="P108" i="26" s="1"/>
  <c r="Q108" i="26" s="1"/>
  <c r="R108" i="26" s="1"/>
  <c r="S108" i="26" s="1"/>
  <c r="T108" i="26" s="1"/>
  <c r="U108" i="26" s="1"/>
  <c r="H107" i="26"/>
  <c r="AC91" i="26"/>
  <c r="Y95" i="26"/>
  <c r="AC95" i="26" s="1"/>
  <c r="Y94" i="26"/>
  <c r="AC94" i="26" s="1"/>
  <c r="Y93" i="26"/>
  <c r="AC93" i="26" s="1"/>
  <c r="Y92" i="26"/>
  <c r="AC92" i="26" s="1"/>
  <c r="AG92" i="26" s="1"/>
  <c r="AC101" i="26"/>
  <c r="Y105" i="26"/>
  <c r="AC105" i="26" s="1"/>
  <c r="Y104" i="26"/>
  <c r="AC104" i="26" s="1"/>
  <c r="Y103" i="26"/>
  <c r="AC103" i="26" s="1"/>
  <c r="Y102" i="26"/>
  <c r="AC102" i="26" s="1"/>
  <c r="AG102" i="26" s="1"/>
  <c r="AC111" i="26"/>
  <c r="Y115" i="26"/>
  <c r="AC115" i="26" s="1"/>
  <c r="Y114" i="26"/>
  <c r="AC114" i="26" s="1"/>
  <c r="Y113" i="26"/>
  <c r="AC113" i="26" s="1"/>
  <c r="Y112" i="26"/>
  <c r="AC112" i="26" s="1"/>
  <c r="AG112" i="26" s="1"/>
  <c r="AD96" i="26"/>
  <c r="Z100" i="26"/>
  <c r="AD100" i="26" s="1"/>
  <c r="Z99" i="26"/>
  <c r="AD99" i="26" s="1"/>
  <c r="AH99" i="26" s="1"/>
  <c r="Z98" i="26"/>
  <c r="AD98" i="26" s="1"/>
  <c r="Z97" i="26"/>
  <c r="AD97" i="26" s="1"/>
  <c r="AH97" i="26" s="1"/>
  <c r="AD106" i="26"/>
  <c r="Z110" i="26"/>
  <c r="AD110" i="26" s="1"/>
  <c r="Z109" i="26"/>
  <c r="AD109" i="26" s="1"/>
  <c r="Z108" i="26"/>
  <c r="AD108" i="26" s="1"/>
  <c r="Z107" i="26"/>
  <c r="AD107" i="26" s="1"/>
  <c r="AH107" i="26" s="1"/>
  <c r="AA117" i="26"/>
  <c r="W121" i="26"/>
  <c r="AA121" i="26" s="1"/>
  <c r="W120" i="26"/>
  <c r="AA120" i="26" s="1"/>
  <c r="W119" i="26"/>
  <c r="AA119" i="26" s="1"/>
  <c r="W118" i="26"/>
  <c r="AA118" i="26" s="1"/>
  <c r="AE118" i="26" s="1"/>
  <c r="S137" i="12" s="1"/>
  <c r="AA127" i="26"/>
  <c r="W131" i="26"/>
  <c r="AA131" i="26" s="1"/>
  <c r="W130" i="26"/>
  <c r="AA130" i="26" s="1"/>
  <c r="W129" i="26"/>
  <c r="AA129" i="26" s="1"/>
  <c r="W128" i="26"/>
  <c r="AA128" i="26" s="1"/>
  <c r="AE128" i="26" s="1"/>
  <c r="S147" i="12" s="1"/>
  <c r="AA137" i="26"/>
  <c r="W141" i="26"/>
  <c r="AA141" i="26" s="1"/>
  <c r="W140" i="26"/>
  <c r="AA140" i="26" s="1"/>
  <c r="W139" i="26"/>
  <c r="AA139" i="26" s="1"/>
  <c r="W138" i="26"/>
  <c r="AA138" i="26" s="1"/>
  <c r="AE138" i="26" s="1"/>
  <c r="S157" i="12" s="1"/>
  <c r="AB122" i="26"/>
  <c r="X126" i="26"/>
  <c r="AB126" i="26" s="1"/>
  <c r="X125" i="26"/>
  <c r="AB125" i="26" s="1"/>
  <c r="X124" i="26"/>
  <c r="AB124" i="26" s="1"/>
  <c r="X123" i="26"/>
  <c r="AB123" i="26" s="1"/>
  <c r="AF123" i="26" s="1"/>
  <c r="T142" i="12" s="1"/>
  <c r="AB132" i="26"/>
  <c r="X136" i="26"/>
  <c r="AB136" i="26" s="1"/>
  <c r="X135" i="26"/>
  <c r="AB135" i="26" s="1"/>
  <c r="X134" i="26"/>
  <c r="AB134" i="26" s="1"/>
  <c r="X133" i="26"/>
  <c r="AB133" i="26" s="1"/>
  <c r="AF133" i="26" s="1"/>
  <c r="T152" i="12" s="1"/>
  <c r="I121" i="26"/>
  <c r="I120" i="26"/>
  <c r="I119" i="26"/>
  <c r="I118" i="26"/>
  <c r="I131" i="26"/>
  <c r="I130" i="26"/>
  <c r="I129" i="26"/>
  <c r="I128" i="26"/>
  <c r="I141" i="26"/>
  <c r="I140" i="26"/>
  <c r="I139" i="26"/>
  <c r="I138" i="26"/>
  <c r="J126" i="26"/>
  <c r="J125" i="26"/>
  <c r="J124" i="26"/>
  <c r="J123" i="26"/>
  <c r="J136" i="26"/>
  <c r="J135" i="26"/>
  <c r="J134" i="26"/>
  <c r="J133" i="26"/>
  <c r="J100" i="26"/>
  <c r="J99" i="26"/>
  <c r="J98" i="26"/>
  <c r="J97" i="26"/>
  <c r="L122" i="26"/>
  <c r="M122" i="26" s="1"/>
  <c r="N122" i="26" s="1"/>
  <c r="O122" i="26" s="1"/>
  <c r="P122" i="26" s="1"/>
  <c r="Q122" i="26" s="1"/>
  <c r="R122" i="26" s="1"/>
  <c r="S122" i="26" s="1"/>
  <c r="T122" i="26" s="1"/>
  <c r="U122" i="26" s="1"/>
  <c r="H126" i="26"/>
  <c r="H125" i="26"/>
  <c r="H124" i="26"/>
  <c r="H123" i="26"/>
  <c r="AA91" i="26"/>
  <c r="W95" i="26"/>
  <c r="AA95" i="26" s="1"/>
  <c r="W94" i="26"/>
  <c r="AA94" i="26" s="1"/>
  <c r="AE94" i="26" s="1"/>
  <c r="S113" i="12" s="1"/>
  <c r="W93" i="26"/>
  <c r="AA93" i="26" s="1"/>
  <c r="W92" i="26"/>
  <c r="AA92" i="26" s="1"/>
  <c r="AE92" i="26" s="1"/>
  <c r="S111" i="12" s="1"/>
  <c r="AA111" i="26"/>
  <c r="W115" i="26"/>
  <c r="AA115" i="26" s="1"/>
  <c r="W114" i="26"/>
  <c r="AA114" i="26" s="1"/>
  <c r="W113" i="26"/>
  <c r="AA113" i="26" s="1"/>
  <c r="W112" i="26"/>
  <c r="AA112" i="26" s="1"/>
  <c r="AE112" i="26" s="1"/>
  <c r="S131" i="12" s="1"/>
  <c r="J95" i="26"/>
  <c r="J94" i="26"/>
  <c r="J93" i="26"/>
  <c r="J92" i="26"/>
  <c r="J115" i="26"/>
  <c r="J114" i="26"/>
  <c r="J113" i="26"/>
  <c r="J112" i="26"/>
  <c r="AC117" i="26"/>
  <c r="Y121" i="26"/>
  <c r="AC121" i="26" s="1"/>
  <c r="Y120" i="26"/>
  <c r="AC120" i="26" s="1"/>
  <c r="Y119" i="26"/>
  <c r="AC119" i="26" s="1"/>
  <c r="Y118" i="26"/>
  <c r="AC118" i="26" s="1"/>
  <c r="AG118" i="26" s="1"/>
  <c r="AC137" i="26"/>
  <c r="Y141" i="26"/>
  <c r="AC141" i="26" s="1"/>
  <c r="Y140" i="26"/>
  <c r="AC140" i="26" s="1"/>
  <c r="Y139" i="26"/>
  <c r="AC139" i="26" s="1"/>
  <c r="Y138" i="26"/>
  <c r="AC138" i="26" s="1"/>
  <c r="AG138" i="26" s="1"/>
  <c r="G22" i="26"/>
  <c r="G21" i="26"/>
  <c r="G20" i="26"/>
  <c r="G19" i="26"/>
  <c r="AB28" i="26"/>
  <c r="X32" i="26"/>
  <c r="AB32" i="26" s="1"/>
  <c r="X31" i="26"/>
  <c r="AB31" i="26" s="1"/>
  <c r="AF31" i="26" s="1"/>
  <c r="T50" i="12" s="1"/>
  <c r="X30" i="26"/>
  <c r="AB30" i="26" s="1"/>
  <c r="X29" i="26"/>
  <c r="AB29" i="26" s="1"/>
  <c r="AF29" i="26" s="1"/>
  <c r="T48" i="12" s="1"/>
  <c r="AA13" i="26"/>
  <c r="W16" i="26"/>
  <c r="AA16" i="26" s="1"/>
  <c r="W14" i="26"/>
  <c r="AA14" i="26" s="1"/>
  <c r="AE14" i="26" s="1"/>
  <c r="W17" i="26"/>
  <c r="AA17" i="26" s="1"/>
  <c r="W15" i="26"/>
  <c r="AA15" i="26" s="1"/>
  <c r="AG15" i="26"/>
  <c r="AF56" i="26"/>
  <c r="T75" i="12" s="1"/>
  <c r="AF58" i="26"/>
  <c r="T77" i="12" s="1"/>
  <c r="AH59" i="26"/>
  <c r="AH67" i="26"/>
  <c r="AH69" i="26"/>
  <c r="AH75" i="26"/>
  <c r="AE98" i="26"/>
  <c r="S117" i="12" s="1"/>
  <c r="AE100" i="26"/>
  <c r="S119" i="12" s="1"/>
  <c r="AF91" i="26"/>
  <c r="T110" i="12" s="1"/>
  <c r="AF103" i="26"/>
  <c r="T122" i="12" s="1"/>
  <c r="AF105" i="26"/>
  <c r="T124" i="12" s="1"/>
  <c r="AF111" i="26"/>
  <c r="T130" i="12" s="1"/>
  <c r="AF119" i="26"/>
  <c r="T138" i="12" s="1"/>
  <c r="AF121" i="26"/>
  <c r="T140" i="12" s="1"/>
  <c r="AG132" i="26"/>
  <c r="AH124" i="26"/>
  <c r="AH126" i="26"/>
  <c r="AH132" i="26"/>
  <c r="AF139" i="26"/>
  <c r="T158" i="12" s="1"/>
  <c r="AF141" i="26"/>
  <c r="T160" i="12" s="1"/>
  <c r="AE39" i="26"/>
  <c r="S58" i="12" s="1"/>
  <c r="AF51" i="26"/>
  <c r="T70" i="12" s="1"/>
  <c r="AF53" i="26"/>
  <c r="T72" i="12" s="1"/>
  <c r="AH44" i="26"/>
  <c r="AH87" i="26"/>
  <c r="AH89" i="26"/>
  <c r="AE106" i="26"/>
  <c r="S125" i="12" s="1"/>
  <c r="AF98" i="26"/>
  <c r="T117" i="12" s="1"/>
  <c r="AF106" i="26"/>
  <c r="T125" i="12" s="1"/>
  <c r="AF127" i="26"/>
  <c r="T146" i="12" s="1"/>
  <c r="AH119" i="26"/>
  <c r="AH127" i="26"/>
  <c r="AA18" i="26"/>
  <c r="W22" i="26"/>
  <c r="AA22" i="26" s="1"/>
  <c r="W21" i="26"/>
  <c r="AA21" i="26" s="1"/>
  <c r="W20" i="26"/>
  <c r="AA20" i="26" s="1"/>
  <c r="W19" i="26"/>
  <c r="AA19" i="26" s="1"/>
  <c r="AE19" i="26" s="1"/>
  <c r="S38" i="12" s="1"/>
  <c r="AA28" i="26"/>
  <c r="W32" i="26"/>
  <c r="AA32" i="26" s="1"/>
  <c r="W31" i="26"/>
  <c r="AA31" i="26" s="1"/>
  <c r="AE31" i="26" s="1"/>
  <c r="S50" i="12" s="1"/>
  <c r="W30" i="26"/>
  <c r="AA30" i="26" s="1"/>
  <c r="W29" i="26"/>
  <c r="AA29" i="26" s="1"/>
  <c r="AE29" i="26" s="1"/>
  <c r="S48" i="12" s="1"/>
  <c r="L13" i="26"/>
  <c r="M13" i="26" s="1"/>
  <c r="H15" i="26"/>
  <c r="H17" i="26"/>
  <c r="H14" i="26"/>
  <c r="H16" i="26"/>
  <c r="H32" i="26"/>
  <c r="H31" i="26"/>
  <c r="H30" i="26"/>
  <c r="H29" i="26"/>
  <c r="I22" i="26"/>
  <c r="I21" i="26"/>
  <c r="I20" i="26"/>
  <c r="I19" i="26"/>
  <c r="I32" i="26"/>
  <c r="I31" i="26"/>
  <c r="I30" i="26"/>
  <c r="I29" i="26"/>
  <c r="J22" i="26"/>
  <c r="J21" i="26"/>
  <c r="J20" i="26"/>
  <c r="J19" i="26"/>
  <c r="J37" i="26"/>
  <c r="J36" i="26"/>
  <c r="J35" i="26"/>
  <c r="J34" i="26"/>
  <c r="AA49" i="26"/>
  <c r="W53" i="26"/>
  <c r="AA53" i="26" s="1"/>
  <c r="W52" i="26"/>
  <c r="AA52" i="26" s="1"/>
  <c r="W51" i="26"/>
  <c r="AA51" i="26" s="1"/>
  <c r="W50" i="26"/>
  <c r="AA50" i="26" s="1"/>
  <c r="AE50" i="26" s="1"/>
  <c r="S69" i="12" s="1"/>
  <c r="AA59" i="26"/>
  <c r="W63" i="26"/>
  <c r="AA63" i="26" s="1"/>
  <c r="W62" i="26"/>
  <c r="AA62" i="26" s="1"/>
  <c r="W61" i="26"/>
  <c r="AA61" i="26" s="1"/>
  <c r="W60" i="26"/>
  <c r="AA60" i="26" s="1"/>
  <c r="AE60" i="26" s="1"/>
  <c r="S79" i="12" s="1"/>
  <c r="AB44" i="26"/>
  <c r="X48" i="26"/>
  <c r="AB48" i="26" s="1"/>
  <c r="X47" i="26"/>
  <c r="AB47" i="26" s="1"/>
  <c r="AF47" i="26" s="1"/>
  <c r="T66" i="12" s="1"/>
  <c r="X46" i="26"/>
  <c r="AB46" i="26" s="1"/>
  <c r="X45" i="26"/>
  <c r="AB45" i="26" s="1"/>
  <c r="AF45" i="26" s="1"/>
  <c r="T64" i="12" s="1"/>
  <c r="AC39" i="26"/>
  <c r="Y43" i="26"/>
  <c r="AC43" i="26" s="1"/>
  <c r="Y42" i="26"/>
  <c r="AC42" i="26" s="1"/>
  <c r="Y41" i="26"/>
  <c r="AC41" i="26" s="1"/>
  <c r="Y40" i="26"/>
  <c r="AC40" i="26" s="1"/>
  <c r="AG40" i="26" s="1"/>
  <c r="AC49" i="26"/>
  <c r="Y53" i="26"/>
  <c r="AC53" i="26" s="1"/>
  <c r="Y52" i="26"/>
  <c r="AC52" i="26" s="1"/>
  <c r="Y51" i="26"/>
  <c r="AC51" i="26" s="1"/>
  <c r="Y50" i="26"/>
  <c r="AC50" i="26" s="1"/>
  <c r="AG50" i="26" s="1"/>
  <c r="AC59" i="26"/>
  <c r="Y63" i="26"/>
  <c r="AC63" i="26" s="1"/>
  <c r="Y62" i="26"/>
  <c r="AC62" i="26" s="1"/>
  <c r="Y61" i="26"/>
  <c r="AC61" i="26" s="1"/>
  <c r="Y60" i="26"/>
  <c r="AC60" i="26" s="1"/>
  <c r="AG60" i="26" s="1"/>
  <c r="AD49" i="26"/>
  <c r="Z53" i="26"/>
  <c r="AD53" i="26" s="1"/>
  <c r="Z52" i="26"/>
  <c r="AD52" i="26" s="1"/>
  <c r="Z51" i="26"/>
  <c r="AD51" i="26" s="1"/>
  <c r="Z50" i="26"/>
  <c r="AD50" i="26" s="1"/>
  <c r="AH50" i="26" s="1"/>
  <c r="G69" i="26"/>
  <c r="G68" i="26"/>
  <c r="G67" i="26"/>
  <c r="K67" i="26" s="1"/>
  <c r="G66" i="26"/>
  <c r="G84" i="26"/>
  <c r="G83" i="26"/>
  <c r="G82" i="26"/>
  <c r="K82" i="26" s="1"/>
  <c r="G81" i="26"/>
  <c r="L70" i="26"/>
  <c r="M70" i="26" s="1"/>
  <c r="N70" i="26" s="1"/>
  <c r="O70" i="26" s="1"/>
  <c r="P70" i="26" s="1"/>
  <c r="Q70" i="26" s="1"/>
  <c r="R70" i="26" s="1"/>
  <c r="S70" i="26" s="1"/>
  <c r="T70" i="26" s="1"/>
  <c r="U70" i="26" s="1"/>
  <c r="H74" i="26"/>
  <c r="H73" i="26"/>
  <c r="H72" i="26"/>
  <c r="L72" i="26" s="1"/>
  <c r="M72" i="26" s="1"/>
  <c r="N72" i="26" s="1"/>
  <c r="O72" i="26" s="1"/>
  <c r="P72" i="26" s="1"/>
  <c r="Q72" i="26" s="1"/>
  <c r="R72" i="26" s="1"/>
  <c r="S72" i="26" s="1"/>
  <c r="T72" i="26" s="1"/>
  <c r="U72" i="26" s="1"/>
  <c r="H71" i="26"/>
  <c r="L80" i="26"/>
  <c r="M80" i="26" s="1"/>
  <c r="N80" i="26" s="1"/>
  <c r="O80" i="26" s="1"/>
  <c r="P80" i="26" s="1"/>
  <c r="Q80" i="26" s="1"/>
  <c r="R80" i="26" s="1"/>
  <c r="S80" i="26" s="1"/>
  <c r="T80" i="26" s="1"/>
  <c r="U80" i="26" s="1"/>
  <c r="H84" i="26"/>
  <c r="H83" i="26"/>
  <c r="H82" i="26"/>
  <c r="L82" i="26" s="1"/>
  <c r="M82" i="26" s="1"/>
  <c r="N82" i="26" s="1"/>
  <c r="O82" i="26" s="1"/>
  <c r="P82" i="26" s="1"/>
  <c r="Q82" i="26" s="1"/>
  <c r="R82" i="26" s="1"/>
  <c r="S82" i="26" s="1"/>
  <c r="T82" i="26" s="1"/>
  <c r="U82" i="26" s="1"/>
  <c r="H81" i="26"/>
  <c r="J84" i="26"/>
  <c r="J83" i="26"/>
  <c r="J82" i="26"/>
  <c r="J81" i="26"/>
  <c r="AC23" i="26"/>
  <c r="Y27" i="26"/>
  <c r="AC27" i="26" s="1"/>
  <c r="Y26" i="26"/>
  <c r="AC26" i="26" s="1"/>
  <c r="Y25" i="26"/>
  <c r="AC25" i="26" s="1"/>
  <c r="Y24" i="26"/>
  <c r="AC24" i="26" s="1"/>
  <c r="AG24" i="26" s="1"/>
  <c r="AC33" i="26"/>
  <c r="Y37" i="26"/>
  <c r="AC37" i="26" s="1"/>
  <c r="Y36" i="26"/>
  <c r="AC36" i="26" s="1"/>
  <c r="Y35" i="26"/>
  <c r="AC35" i="26" s="1"/>
  <c r="Y34" i="26"/>
  <c r="AC34" i="26" s="1"/>
  <c r="AG34" i="26" s="1"/>
  <c r="AD28" i="26"/>
  <c r="Z32" i="26"/>
  <c r="AD32" i="26" s="1"/>
  <c r="Z31" i="26"/>
  <c r="AD31" i="26" s="1"/>
  <c r="Z30" i="26"/>
  <c r="AD30" i="26" s="1"/>
  <c r="Z29" i="26"/>
  <c r="AD29" i="26" s="1"/>
  <c r="AH29" i="26" s="1"/>
  <c r="G43" i="26"/>
  <c r="G42" i="26"/>
  <c r="G41" i="26"/>
  <c r="K41" i="26" s="1"/>
  <c r="G40" i="26"/>
  <c r="K49" i="26"/>
  <c r="G53" i="26"/>
  <c r="G52" i="26"/>
  <c r="G51" i="26"/>
  <c r="K51" i="26" s="1"/>
  <c r="G50" i="26"/>
  <c r="K59" i="26"/>
  <c r="G63" i="26"/>
  <c r="G62" i="26"/>
  <c r="G61" i="26"/>
  <c r="K61" i="26" s="1"/>
  <c r="G60" i="26"/>
  <c r="L49" i="26"/>
  <c r="M49" i="26" s="1"/>
  <c r="N49" i="26" s="1"/>
  <c r="O49" i="26" s="1"/>
  <c r="P49" i="26" s="1"/>
  <c r="Q49" i="26" s="1"/>
  <c r="R49" i="26" s="1"/>
  <c r="S49" i="26" s="1"/>
  <c r="T49" i="26" s="1"/>
  <c r="U49" i="26" s="1"/>
  <c r="H53" i="26"/>
  <c r="H52" i="26"/>
  <c r="H51" i="26"/>
  <c r="H50" i="26"/>
  <c r="L59" i="26"/>
  <c r="M59" i="26" s="1"/>
  <c r="N59" i="26" s="1"/>
  <c r="O59" i="26" s="1"/>
  <c r="P59" i="26" s="1"/>
  <c r="Q59" i="26" s="1"/>
  <c r="R59" i="26" s="1"/>
  <c r="S59" i="26" s="1"/>
  <c r="T59" i="26" s="1"/>
  <c r="U59" i="26" s="1"/>
  <c r="H63" i="26"/>
  <c r="H62" i="26"/>
  <c r="H61" i="26"/>
  <c r="L61" i="26" s="1"/>
  <c r="M61" i="26" s="1"/>
  <c r="N61" i="26" s="1"/>
  <c r="O61" i="26" s="1"/>
  <c r="P61" i="26" s="1"/>
  <c r="Q61" i="26" s="1"/>
  <c r="R61" i="26" s="1"/>
  <c r="S61" i="26" s="1"/>
  <c r="T61" i="26" s="1"/>
  <c r="U61" i="26" s="1"/>
  <c r="H60" i="26"/>
  <c r="I48" i="26"/>
  <c r="I47" i="26"/>
  <c r="I46" i="26"/>
  <c r="I45" i="26"/>
  <c r="I58" i="26"/>
  <c r="I57" i="26"/>
  <c r="I56" i="26"/>
  <c r="I55" i="26"/>
  <c r="J43" i="26"/>
  <c r="J42" i="26"/>
  <c r="J41" i="26"/>
  <c r="J40" i="26"/>
  <c r="J53" i="26"/>
  <c r="J52" i="26"/>
  <c r="J51" i="26"/>
  <c r="J50" i="26"/>
  <c r="J63" i="26"/>
  <c r="J62" i="26"/>
  <c r="J61" i="26"/>
  <c r="J60" i="26"/>
  <c r="AA70" i="26"/>
  <c r="W74" i="26"/>
  <c r="AA74" i="26" s="1"/>
  <c r="W73" i="26"/>
  <c r="AA73" i="26" s="1"/>
  <c r="W72" i="26"/>
  <c r="AA72" i="26" s="1"/>
  <c r="W71" i="26"/>
  <c r="AA71" i="26" s="1"/>
  <c r="AE71" i="26" s="1"/>
  <c r="S90" i="12" s="1"/>
  <c r="AA80" i="26"/>
  <c r="W84" i="26"/>
  <c r="AA84" i="26" s="1"/>
  <c r="W83" i="26"/>
  <c r="AA83" i="26" s="1"/>
  <c r="W82" i="26"/>
  <c r="AA82" i="26" s="1"/>
  <c r="W81" i="26"/>
  <c r="AA81" i="26" s="1"/>
  <c r="AE81" i="26" s="1"/>
  <c r="S100" i="12" s="1"/>
  <c r="AB65" i="26"/>
  <c r="X69" i="26"/>
  <c r="AB69" i="26" s="1"/>
  <c r="X68" i="26"/>
  <c r="AB68" i="26" s="1"/>
  <c r="X67" i="26"/>
  <c r="AB67" i="26" s="1"/>
  <c r="X66" i="26"/>
  <c r="AB66" i="26" s="1"/>
  <c r="AF66" i="26" s="1"/>
  <c r="T85" i="12" s="1"/>
  <c r="AB75" i="26"/>
  <c r="X79" i="26"/>
  <c r="AB79" i="26" s="1"/>
  <c r="X78" i="26"/>
  <c r="AB78" i="26" s="1"/>
  <c r="X77" i="26"/>
  <c r="AB77" i="26" s="1"/>
  <c r="X76" i="26"/>
  <c r="AB76" i="26" s="1"/>
  <c r="AF76" i="26" s="1"/>
  <c r="T95" i="12" s="1"/>
  <c r="AB85" i="26"/>
  <c r="X89" i="26"/>
  <c r="AB89" i="26" s="1"/>
  <c r="X88" i="26"/>
  <c r="AB88" i="26" s="1"/>
  <c r="X87" i="26"/>
  <c r="AB87" i="26" s="1"/>
  <c r="X86" i="26"/>
  <c r="AB86" i="26" s="1"/>
  <c r="AF86" i="26" s="1"/>
  <c r="T105" i="12" s="1"/>
  <c r="AC70" i="26"/>
  <c r="Y74" i="26"/>
  <c r="AC74" i="26" s="1"/>
  <c r="Y73" i="26"/>
  <c r="AC73" i="26" s="1"/>
  <c r="Y72" i="26"/>
  <c r="AC72" i="26" s="1"/>
  <c r="Y71" i="26"/>
  <c r="AC71" i="26" s="1"/>
  <c r="AG71" i="26" s="1"/>
  <c r="AC80" i="26"/>
  <c r="Y84" i="26"/>
  <c r="AC84" i="26" s="1"/>
  <c r="Y83" i="26"/>
  <c r="AC83" i="26" s="1"/>
  <c r="AG83" i="26" s="1"/>
  <c r="Y82" i="26"/>
  <c r="AC82" i="26" s="1"/>
  <c r="Y81" i="26"/>
  <c r="AC81" i="26" s="1"/>
  <c r="AG81" i="26" s="1"/>
  <c r="J69" i="26"/>
  <c r="J68" i="26"/>
  <c r="J67" i="26"/>
  <c r="J66" i="26"/>
  <c r="J79" i="26"/>
  <c r="J78" i="26"/>
  <c r="J77" i="26"/>
  <c r="J76" i="26"/>
  <c r="J89" i="26"/>
  <c r="J88" i="26"/>
  <c r="J87" i="26"/>
  <c r="J86" i="26"/>
  <c r="G100" i="26"/>
  <c r="G99" i="26"/>
  <c r="G98" i="26"/>
  <c r="K98" i="26" s="1"/>
  <c r="G97" i="26"/>
  <c r="G110" i="26"/>
  <c r="G109" i="26"/>
  <c r="G108" i="26"/>
  <c r="G107" i="26"/>
  <c r="L91" i="26"/>
  <c r="M91" i="26" s="1"/>
  <c r="N91" i="26" s="1"/>
  <c r="O91" i="26" s="1"/>
  <c r="P91" i="26" s="1"/>
  <c r="Q91" i="26" s="1"/>
  <c r="R91" i="26" s="1"/>
  <c r="S91" i="26" s="1"/>
  <c r="T91" i="26" s="1"/>
  <c r="U91" i="26" s="1"/>
  <c r="H95" i="26"/>
  <c r="H94" i="26"/>
  <c r="H93" i="26"/>
  <c r="H92" i="26"/>
  <c r="L101" i="26"/>
  <c r="M101" i="26" s="1"/>
  <c r="N101" i="26" s="1"/>
  <c r="O101" i="26" s="1"/>
  <c r="P101" i="26" s="1"/>
  <c r="Q101" i="26" s="1"/>
  <c r="R101" i="26" s="1"/>
  <c r="S101" i="26" s="1"/>
  <c r="T101" i="26" s="1"/>
  <c r="U101" i="26" s="1"/>
  <c r="H105" i="26"/>
  <c r="H104" i="26"/>
  <c r="H103" i="26"/>
  <c r="L103" i="26" s="1"/>
  <c r="M103" i="26" s="1"/>
  <c r="N103" i="26" s="1"/>
  <c r="O103" i="26" s="1"/>
  <c r="P103" i="26" s="1"/>
  <c r="Q103" i="26" s="1"/>
  <c r="R103" i="26" s="1"/>
  <c r="S103" i="26" s="1"/>
  <c r="T103" i="26" s="1"/>
  <c r="U103" i="26" s="1"/>
  <c r="H102" i="26"/>
  <c r="L111" i="26"/>
  <c r="M111" i="26" s="1"/>
  <c r="N111" i="26" s="1"/>
  <c r="O111" i="26" s="1"/>
  <c r="P111" i="26" s="1"/>
  <c r="Q111" i="26" s="1"/>
  <c r="R111" i="26" s="1"/>
  <c r="S111" i="26" s="1"/>
  <c r="T111" i="26" s="1"/>
  <c r="U111" i="26" s="1"/>
  <c r="H115" i="26"/>
  <c r="H114" i="26"/>
  <c r="H113" i="26"/>
  <c r="L113" i="26" s="1"/>
  <c r="M113" i="26" s="1"/>
  <c r="N113" i="26" s="1"/>
  <c r="O113" i="26" s="1"/>
  <c r="P113" i="26" s="1"/>
  <c r="Q113" i="26" s="1"/>
  <c r="R113" i="26" s="1"/>
  <c r="S113" i="26" s="1"/>
  <c r="T113" i="26" s="1"/>
  <c r="U113" i="26" s="1"/>
  <c r="H112" i="26"/>
  <c r="I100" i="26"/>
  <c r="I99" i="26"/>
  <c r="I98" i="26"/>
  <c r="I97" i="26"/>
  <c r="I110" i="26"/>
  <c r="I109" i="26"/>
  <c r="I108" i="26"/>
  <c r="I107" i="26"/>
  <c r="AD91" i="26"/>
  <c r="Z95" i="26"/>
  <c r="AD95" i="26" s="1"/>
  <c r="Z94" i="26"/>
  <c r="AD94" i="26" s="1"/>
  <c r="AH94" i="26" s="1"/>
  <c r="Z93" i="26"/>
  <c r="AD93" i="26" s="1"/>
  <c r="Z92" i="26"/>
  <c r="AD92" i="26" s="1"/>
  <c r="AH92" i="26" s="1"/>
  <c r="AD101" i="26"/>
  <c r="Z105" i="26"/>
  <c r="AD105" i="26" s="1"/>
  <c r="Z104" i="26"/>
  <c r="AD104" i="26" s="1"/>
  <c r="Z103" i="26"/>
  <c r="AD103" i="26" s="1"/>
  <c r="Z102" i="26"/>
  <c r="AD102" i="26" s="1"/>
  <c r="AH102" i="26" s="1"/>
  <c r="AD111" i="26"/>
  <c r="Z115" i="26"/>
  <c r="AD115" i="26" s="1"/>
  <c r="Z114" i="26"/>
  <c r="AD114" i="26" s="1"/>
  <c r="Z113" i="26"/>
  <c r="AD113" i="26" s="1"/>
  <c r="Z112" i="26"/>
  <c r="AD112" i="26" s="1"/>
  <c r="AH112" i="26" s="1"/>
  <c r="AA122" i="26"/>
  <c r="W126" i="26"/>
  <c r="AA126" i="26" s="1"/>
  <c r="W125" i="26"/>
  <c r="AA125" i="26" s="1"/>
  <c r="W124" i="26"/>
  <c r="AA124" i="26" s="1"/>
  <c r="W123" i="26"/>
  <c r="AA123" i="26" s="1"/>
  <c r="AE123" i="26" s="1"/>
  <c r="S142" i="12" s="1"/>
  <c r="AA132" i="26"/>
  <c r="W136" i="26"/>
  <c r="AA136" i="26" s="1"/>
  <c r="W135" i="26"/>
  <c r="AA135" i="26" s="1"/>
  <c r="W134" i="26"/>
  <c r="AA134" i="26" s="1"/>
  <c r="W133" i="26"/>
  <c r="AA133" i="26" s="1"/>
  <c r="AE133" i="26" s="1"/>
  <c r="S152" i="12" s="1"/>
  <c r="L117" i="26"/>
  <c r="M117" i="26" s="1"/>
  <c r="N117" i="26" s="1"/>
  <c r="O117" i="26" s="1"/>
  <c r="P117" i="26" s="1"/>
  <c r="Q117" i="26" s="1"/>
  <c r="R117" i="26" s="1"/>
  <c r="S117" i="26" s="1"/>
  <c r="T117" i="26" s="1"/>
  <c r="U117" i="26" s="1"/>
  <c r="H121" i="26"/>
  <c r="H120" i="26"/>
  <c r="H119" i="26"/>
  <c r="L119" i="26" s="1"/>
  <c r="M119" i="26" s="1"/>
  <c r="N119" i="26" s="1"/>
  <c r="O119" i="26" s="1"/>
  <c r="P119" i="26" s="1"/>
  <c r="Q119" i="26" s="1"/>
  <c r="R119" i="26" s="1"/>
  <c r="S119" i="26" s="1"/>
  <c r="T119" i="26" s="1"/>
  <c r="U119" i="26" s="1"/>
  <c r="H118" i="26"/>
  <c r="L127" i="26"/>
  <c r="M127" i="26" s="1"/>
  <c r="N127" i="26" s="1"/>
  <c r="O127" i="26" s="1"/>
  <c r="P127" i="26" s="1"/>
  <c r="Q127" i="26" s="1"/>
  <c r="R127" i="26" s="1"/>
  <c r="S127" i="26" s="1"/>
  <c r="T127" i="26" s="1"/>
  <c r="U127" i="26" s="1"/>
  <c r="H131" i="26"/>
  <c r="H130" i="26"/>
  <c r="H129" i="26"/>
  <c r="L129" i="26" s="1"/>
  <c r="M129" i="26" s="1"/>
  <c r="N129" i="26" s="1"/>
  <c r="O129" i="26" s="1"/>
  <c r="P129" i="26" s="1"/>
  <c r="Q129" i="26" s="1"/>
  <c r="R129" i="26" s="1"/>
  <c r="S129" i="26" s="1"/>
  <c r="T129" i="26" s="1"/>
  <c r="U129" i="26" s="1"/>
  <c r="H128" i="26"/>
  <c r="L137" i="26"/>
  <c r="M137" i="26" s="1"/>
  <c r="N137" i="26" s="1"/>
  <c r="O137" i="26" s="1"/>
  <c r="P137" i="26" s="1"/>
  <c r="Q137" i="26" s="1"/>
  <c r="R137" i="26" s="1"/>
  <c r="S137" i="26" s="1"/>
  <c r="T137" i="26" s="1"/>
  <c r="U137" i="26" s="1"/>
  <c r="H141" i="26"/>
  <c r="H140" i="26"/>
  <c r="H139" i="26"/>
  <c r="L139" i="26" s="1"/>
  <c r="M139" i="26" s="1"/>
  <c r="N139" i="26" s="1"/>
  <c r="O139" i="26" s="1"/>
  <c r="P139" i="26" s="1"/>
  <c r="Q139" i="26" s="1"/>
  <c r="R139" i="26" s="1"/>
  <c r="S139" i="26" s="1"/>
  <c r="T139" i="26" s="1"/>
  <c r="U139" i="26" s="1"/>
  <c r="H138" i="26"/>
  <c r="I126" i="26"/>
  <c r="I125" i="26"/>
  <c r="I124" i="26"/>
  <c r="I123" i="26"/>
  <c r="I136" i="26"/>
  <c r="I135" i="26"/>
  <c r="I134" i="26"/>
  <c r="I133" i="26"/>
  <c r="J121" i="26"/>
  <c r="J120" i="26"/>
  <c r="J119" i="26"/>
  <c r="J118" i="26"/>
  <c r="J131" i="26"/>
  <c r="J130" i="26"/>
  <c r="J129" i="26"/>
  <c r="J128" i="26"/>
  <c r="J141" i="26"/>
  <c r="J140" i="26"/>
  <c r="J139" i="26"/>
  <c r="J138" i="26"/>
  <c r="AC122" i="26"/>
  <c r="Y126" i="26"/>
  <c r="AC126" i="26" s="1"/>
  <c r="Y125" i="26"/>
  <c r="AC125" i="26" s="1"/>
  <c r="Y124" i="26"/>
  <c r="AC124" i="26" s="1"/>
  <c r="Y123" i="26"/>
  <c r="AC123" i="26" s="1"/>
  <c r="AG123" i="26" s="1"/>
  <c r="AA101" i="26"/>
  <c r="W105" i="26"/>
  <c r="AA105" i="26" s="1"/>
  <c r="W104" i="26"/>
  <c r="AA104" i="26" s="1"/>
  <c r="W103" i="26"/>
  <c r="AA103" i="26" s="1"/>
  <c r="W102" i="26"/>
  <c r="AA102" i="26" s="1"/>
  <c r="AE102" i="26" s="1"/>
  <c r="S121" i="12" s="1"/>
  <c r="AC96" i="26"/>
  <c r="Y100" i="26"/>
  <c r="AC100" i="26" s="1"/>
  <c r="Y99" i="26"/>
  <c r="AC99" i="26" s="1"/>
  <c r="Y98" i="26"/>
  <c r="AC98" i="26" s="1"/>
  <c r="Y97" i="26"/>
  <c r="AC97" i="26" s="1"/>
  <c r="AG97" i="26" s="1"/>
  <c r="J105" i="26"/>
  <c r="J104" i="26"/>
  <c r="J103" i="26"/>
  <c r="J102" i="26"/>
  <c r="L132" i="26"/>
  <c r="M132" i="26" s="1"/>
  <c r="N132" i="26" s="1"/>
  <c r="O132" i="26" s="1"/>
  <c r="P132" i="26" s="1"/>
  <c r="Q132" i="26" s="1"/>
  <c r="R132" i="26" s="1"/>
  <c r="S132" i="26" s="1"/>
  <c r="T132" i="26" s="1"/>
  <c r="U132" i="26" s="1"/>
  <c r="H136" i="26"/>
  <c r="H135" i="26"/>
  <c r="H134" i="26"/>
  <c r="H133" i="26"/>
  <c r="AC127" i="26"/>
  <c r="Y131" i="26"/>
  <c r="AC131" i="26" s="1"/>
  <c r="Y130" i="26"/>
  <c r="AC130" i="26" s="1"/>
  <c r="Y129" i="26"/>
  <c r="AC129" i="26" s="1"/>
  <c r="Y128" i="26"/>
  <c r="AC128" i="26" s="1"/>
  <c r="AG128" i="26" s="1"/>
  <c r="AB13" i="26"/>
  <c r="X15" i="26"/>
  <c r="AB15" i="26" s="1"/>
  <c r="X17" i="26"/>
  <c r="AB17" i="26" s="1"/>
  <c r="X14" i="26"/>
  <c r="AB14" i="26" s="1"/>
  <c r="AF14" i="26" s="1"/>
  <c r="X16" i="26"/>
  <c r="AB16" i="26" s="1"/>
  <c r="AB18" i="26"/>
  <c r="X22" i="26"/>
  <c r="AB22" i="26" s="1"/>
  <c r="X21" i="26"/>
  <c r="AB21" i="26" s="1"/>
  <c r="X20" i="26"/>
  <c r="AB20" i="26" s="1"/>
  <c r="X19" i="26"/>
  <c r="AB19" i="26" s="1"/>
  <c r="AF19" i="26" s="1"/>
  <c r="T38" i="12" s="1"/>
  <c r="AB33" i="26"/>
  <c r="X37" i="26"/>
  <c r="AB37" i="26" s="1"/>
  <c r="X36" i="26"/>
  <c r="AB36" i="26" s="1"/>
  <c r="X35" i="26"/>
  <c r="AB35" i="26" s="1"/>
  <c r="X34" i="26"/>
  <c r="AB34" i="26" s="1"/>
  <c r="AF34" i="26" s="1"/>
  <c r="T53" i="12" s="1"/>
  <c r="G16" i="26"/>
  <c r="G14" i="26"/>
  <c r="G15" i="26"/>
  <c r="G17" i="26"/>
  <c r="D40" i="26"/>
  <c r="E59" i="12" s="1"/>
  <c r="AH137" i="26"/>
  <c r="AE25" i="26"/>
  <c r="S44" i="12" s="1"/>
  <c r="AE27" i="26"/>
  <c r="S46" i="12" s="1"/>
  <c r="AE33" i="26"/>
  <c r="S52" i="12" s="1"/>
  <c r="AF25" i="26"/>
  <c r="T44" i="12" s="1"/>
  <c r="AF27" i="26"/>
  <c r="T46" i="12" s="1"/>
  <c r="AG13" i="26"/>
  <c r="AH20" i="26"/>
  <c r="AH22" i="26"/>
  <c r="AH23" i="26"/>
  <c r="AF54" i="26"/>
  <c r="T73" i="12" s="1"/>
  <c r="AH61" i="26"/>
  <c r="AH63" i="26"/>
  <c r="AH65" i="26"/>
  <c r="AE96" i="26"/>
  <c r="S115" i="12" s="1"/>
  <c r="AF101" i="26"/>
  <c r="T120" i="12" s="1"/>
  <c r="AF117" i="26"/>
  <c r="T136" i="12" s="1"/>
  <c r="AG134" i="26"/>
  <c r="AH122" i="26"/>
  <c r="AF137" i="26"/>
  <c r="T156" i="12" s="1"/>
  <c r="AE41" i="26"/>
  <c r="S60" i="12" s="1"/>
  <c r="AF49" i="26"/>
  <c r="T68" i="12" s="1"/>
  <c r="AH46" i="26"/>
  <c r="AH48" i="26"/>
  <c r="AH85" i="26"/>
  <c r="AE108" i="26"/>
  <c r="S127" i="12" s="1"/>
  <c r="AE110" i="26"/>
  <c r="S129" i="12" s="1"/>
  <c r="AF96" i="26"/>
  <c r="T115" i="12" s="1"/>
  <c r="AF108" i="26"/>
  <c r="T127" i="12" s="1"/>
  <c r="AF110" i="26"/>
  <c r="T129" i="12" s="1"/>
  <c r="AG106" i="26"/>
  <c r="AF129" i="26"/>
  <c r="T148" i="12" s="1"/>
  <c r="AF131" i="26"/>
  <c r="T150" i="12" s="1"/>
  <c r="AH117" i="26"/>
  <c r="AH129" i="26"/>
  <c r="AH131" i="26"/>
  <c r="K23" i="26"/>
  <c r="K33" i="26"/>
  <c r="L23" i="26"/>
  <c r="K70" i="26"/>
  <c r="K44" i="26"/>
  <c r="K54" i="26"/>
  <c r="K91" i="26"/>
  <c r="K103" i="26"/>
  <c r="K101" i="26"/>
  <c r="K111" i="26"/>
  <c r="K18" i="26"/>
  <c r="L22" i="26"/>
  <c r="M22" i="26" s="1"/>
  <c r="N22" i="26" s="1"/>
  <c r="O22" i="26" s="1"/>
  <c r="P22" i="26" s="1"/>
  <c r="Q22" i="26" s="1"/>
  <c r="R22" i="26" s="1"/>
  <c r="S22" i="26" s="1"/>
  <c r="T22" i="26" s="1"/>
  <c r="U22" i="26" s="1"/>
  <c r="L21" i="26"/>
  <c r="M21" i="26" s="1"/>
  <c r="N21" i="26" s="1"/>
  <c r="O21" i="26" s="1"/>
  <c r="P21" i="26" s="1"/>
  <c r="Q21" i="26" s="1"/>
  <c r="R21" i="26" s="1"/>
  <c r="S21" i="26" s="1"/>
  <c r="T21" i="26" s="1"/>
  <c r="U21" i="26" s="1"/>
  <c r="K31" i="26"/>
  <c r="L36" i="26"/>
  <c r="M36" i="26" s="1"/>
  <c r="N36" i="26" s="1"/>
  <c r="O36" i="26" s="1"/>
  <c r="P36" i="26" s="1"/>
  <c r="Q36" i="26" s="1"/>
  <c r="R36" i="26" s="1"/>
  <c r="S36" i="26" s="1"/>
  <c r="T36" i="26" s="1"/>
  <c r="U36" i="26" s="1"/>
  <c r="K78" i="26"/>
  <c r="K76" i="26"/>
  <c r="K89" i="26"/>
  <c r="K121" i="26"/>
  <c r="K126" i="26"/>
  <c r="K131" i="26"/>
  <c r="K136" i="26"/>
  <c r="K141" i="26"/>
  <c r="K30" i="26"/>
  <c r="L20" i="26"/>
  <c r="M20" i="26" s="1"/>
  <c r="N20" i="26" s="1"/>
  <c r="O20" i="26" s="1"/>
  <c r="P20" i="26" s="1"/>
  <c r="Q20" i="26" s="1"/>
  <c r="R20" i="26" s="1"/>
  <c r="S20" i="26" s="1"/>
  <c r="T20" i="26" s="1"/>
  <c r="U20" i="26" s="1"/>
  <c r="L35" i="26"/>
  <c r="M35" i="26" s="1"/>
  <c r="H55" i="12"/>
  <c r="L28" i="26"/>
  <c r="K65" i="26"/>
  <c r="K80" i="26"/>
  <c r="K39" i="26"/>
  <c r="K96" i="26"/>
  <c r="K108" i="26"/>
  <c r="K106" i="26"/>
  <c r="L19" i="26"/>
  <c r="M19" i="26" s="1"/>
  <c r="N19" i="26" s="1"/>
  <c r="O19" i="26" s="1"/>
  <c r="P19" i="26" s="1"/>
  <c r="Q19" i="26" s="1"/>
  <c r="R19" i="26" s="1"/>
  <c r="S19" i="26" s="1"/>
  <c r="T19" i="26" s="1"/>
  <c r="U19" i="26" s="1"/>
  <c r="K29" i="26"/>
  <c r="K32" i="26"/>
  <c r="L34" i="26"/>
  <c r="M34" i="26" s="1"/>
  <c r="N34" i="26" s="1"/>
  <c r="O34" i="26" s="1"/>
  <c r="P34" i="26" s="1"/>
  <c r="Q34" i="26" s="1"/>
  <c r="R34" i="26" s="1"/>
  <c r="S34" i="26" s="1"/>
  <c r="T34" i="26" s="1"/>
  <c r="U34" i="26" s="1"/>
  <c r="L37" i="26"/>
  <c r="M37" i="26" s="1"/>
  <c r="N37" i="26" s="1"/>
  <c r="O37" i="26" s="1"/>
  <c r="P37" i="26" s="1"/>
  <c r="Q37" i="26" s="1"/>
  <c r="R37" i="26" s="1"/>
  <c r="S37" i="26" s="1"/>
  <c r="T37" i="26" s="1"/>
  <c r="U37" i="26" s="1"/>
  <c r="K79" i="26"/>
  <c r="K88" i="26"/>
  <c r="K86" i="26"/>
  <c r="K120" i="26"/>
  <c r="K118" i="26"/>
  <c r="K125" i="26"/>
  <c r="K123" i="26"/>
  <c r="K130" i="26"/>
  <c r="K128" i="26"/>
  <c r="K135" i="26"/>
  <c r="K133" i="26"/>
  <c r="K140" i="26"/>
  <c r="K138" i="26"/>
  <c r="H84" i="12"/>
  <c r="D125" i="12"/>
  <c r="D125" i="11" s="1"/>
  <c r="D118" i="26"/>
  <c r="E137" i="12" s="1"/>
  <c r="E136" i="12"/>
  <c r="D60" i="26"/>
  <c r="E79" i="12" s="1"/>
  <c r="E78" i="12"/>
  <c r="D84" i="12"/>
  <c r="D151" i="12"/>
  <c r="C151" i="12"/>
  <c r="C58" i="12"/>
  <c r="C58" i="11" s="1"/>
  <c r="C99" i="12"/>
  <c r="C99" i="11" s="1"/>
  <c r="G84" i="12"/>
  <c r="L67" i="26"/>
  <c r="M67" i="26" s="1"/>
  <c r="N67" i="26" s="1"/>
  <c r="O67" i="26" s="1"/>
  <c r="P67" i="26" s="1"/>
  <c r="Q67" i="26" s="1"/>
  <c r="R67" i="26" s="1"/>
  <c r="S67" i="26" s="1"/>
  <c r="T67" i="26" s="1"/>
  <c r="U67" i="26" s="1"/>
  <c r="L87" i="26"/>
  <c r="M87" i="26" s="1"/>
  <c r="N87" i="26" s="1"/>
  <c r="O87" i="26" s="1"/>
  <c r="P87" i="26" s="1"/>
  <c r="Q87" i="26" s="1"/>
  <c r="R87" i="26" s="1"/>
  <c r="S87" i="26" s="1"/>
  <c r="T87" i="26" s="1"/>
  <c r="U87" i="26" s="1"/>
  <c r="L51" i="26"/>
  <c r="M51" i="26" s="1"/>
  <c r="N51" i="26" s="1"/>
  <c r="O51" i="26" s="1"/>
  <c r="P51" i="26" s="1"/>
  <c r="Q51" i="26" s="1"/>
  <c r="R51" i="26" s="1"/>
  <c r="S51" i="26" s="1"/>
  <c r="T51" i="26" s="1"/>
  <c r="U51" i="26" s="1"/>
  <c r="H63" i="12"/>
  <c r="H73" i="12"/>
  <c r="G110" i="12"/>
  <c r="L93" i="26"/>
  <c r="M93" i="26" s="1"/>
  <c r="N93" i="26" s="1"/>
  <c r="O93" i="26" s="1"/>
  <c r="P93" i="26" s="1"/>
  <c r="Q93" i="26" s="1"/>
  <c r="R93" i="26" s="1"/>
  <c r="S93" i="26" s="1"/>
  <c r="T93" i="26" s="1"/>
  <c r="U93" i="26" s="1"/>
  <c r="L124" i="26"/>
  <c r="M124" i="26" s="1"/>
  <c r="N124" i="26" s="1"/>
  <c r="O124" i="26" s="1"/>
  <c r="P124" i="26" s="1"/>
  <c r="Q124" i="26" s="1"/>
  <c r="R124" i="26" s="1"/>
  <c r="S124" i="26" s="1"/>
  <c r="T124" i="26" s="1"/>
  <c r="U124" i="26" s="1"/>
  <c r="C94" i="12"/>
  <c r="C94" i="11" s="1"/>
  <c r="C68" i="12"/>
  <c r="L134" i="26"/>
  <c r="M134" i="26" s="1"/>
  <c r="N134" i="26" s="1"/>
  <c r="O134" i="26" s="1"/>
  <c r="P134" i="26" s="1"/>
  <c r="Q134" i="26" s="1"/>
  <c r="R134" i="26" s="1"/>
  <c r="S134" i="26" s="1"/>
  <c r="T134" i="26" s="1"/>
  <c r="U134" i="26" s="1"/>
  <c r="D37" i="12"/>
  <c r="D47" i="12"/>
  <c r="C73" i="12"/>
  <c r="C146" i="12"/>
  <c r="C146" i="11" s="1"/>
  <c r="D58" i="12"/>
  <c r="D94" i="12"/>
  <c r="D94" i="11" s="1"/>
  <c r="D73" i="12"/>
  <c r="D99" i="12"/>
  <c r="D43" i="11"/>
  <c r="C84" i="12"/>
  <c r="D89" i="12"/>
  <c r="D120" i="12"/>
  <c r="D63" i="12"/>
  <c r="D63" i="11" s="1"/>
  <c r="D141" i="12"/>
  <c r="D66" i="26"/>
  <c r="E85" i="12" s="1"/>
  <c r="E84" i="12"/>
  <c r="A42" i="26"/>
  <c r="C41" i="26"/>
  <c r="D60" i="12" s="1"/>
  <c r="C46" i="26"/>
  <c r="D65" i="12" s="1"/>
  <c r="D65" i="11" s="1"/>
  <c r="A47" i="26"/>
  <c r="C56" i="26"/>
  <c r="D75" i="12" s="1"/>
  <c r="A57" i="26"/>
  <c r="A73" i="26"/>
  <c r="C72" i="26"/>
  <c r="D91" i="12" s="1"/>
  <c r="C87" i="26"/>
  <c r="D106" i="12" s="1"/>
  <c r="A88" i="26"/>
  <c r="I89" i="12"/>
  <c r="A94" i="26"/>
  <c r="C93" i="26"/>
  <c r="D112" i="12" s="1"/>
  <c r="C108" i="26"/>
  <c r="D127" i="12" s="1"/>
  <c r="A109" i="26"/>
  <c r="A114" i="26"/>
  <c r="C113" i="26"/>
  <c r="D132" i="12" s="1"/>
  <c r="I125" i="12"/>
  <c r="A125" i="26"/>
  <c r="C124" i="26"/>
  <c r="D143" i="12" s="1"/>
  <c r="C129" i="26"/>
  <c r="D148" i="12" s="1"/>
  <c r="A130" i="26"/>
  <c r="A135" i="26"/>
  <c r="C134" i="26"/>
  <c r="D153" i="12" s="1"/>
  <c r="D153" i="11" s="1"/>
  <c r="C139" i="26"/>
  <c r="D158" i="12" s="1"/>
  <c r="D158" i="11" s="1"/>
  <c r="A140" i="26"/>
  <c r="A52" i="26"/>
  <c r="C51" i="26"/>
  <c r="D70" i="12" s="1"/>
  <c r="A62" i="26"/>
  <c r="C61" i="26"/>
  <c r="D80" i="12" s="1"/>
  <c r="C67" i="26"/>
  <c r="D86" i="12" s="1"/>
  <c r="A68" i="26"/>
  <c r="C77" i="26"/>
  <c r="D96" i="12" s="1"/>
  <c r="D96" i="11" s="1"/>
  <c r="A78" i="26"/>
  <c r="A83" i="26"/>
  <c r="C82" i="26"/>
  <c r="D101" i="12" s="1"/>
  <c r="C98" i="26"/>
  <c r="D117" i="12" s="1"/>
  <c r="A99" i="26"/>
  <c r="A104" i="26"/>
  <c r="C103" i="26"/>
  <c r="D122" i="12" s="1"/>
  <c r="D122" i="11" s="1"/>
  <c r="B44" i="26"/>
  <c r="B101" i="26"/>
  <c r="D110" i="12"/>
  <c r="D130" i="12"/>
  <c r="C115" i="12"/>
  <c r="C115" i="11" s="1"/>
  <c r="D115" i="12"/>
  <c r="D24" i="26"/>
  <c r="E43" i="12" s="1"/>
  <c r="E42" i="12"/>
  <c r="C37" i="12"/>
  <c r="D52" i="12"/>
  <c r="D42" i="12"/>
  <c r="H68" i="12"/>
  <c r="G115" i="12"/>
  <c r="C117" i="26"/>
  <c r="A118" i="26"/>
  <c r="D68" i="12"/>
  <c r="D104" i="12"/>
  <c r="D38" i="11"/>
  <c r="D53" i="11"/>
  <c r="D78" i="12"/>
  <c r="D146" i="12"/>
  <c r="D156" i="12"/>
  <c r="D156" i="11" s="1"/>
  <c r="D74" i="11"/>
  <c r="G65" i="12"/>
  <c r="D79" i="11"/>
  <c r="D116" i="11"/>
  <c r="D76" i="26"/>
  <c r="E95" i="12" s="1"/>
  <c r="D97" i="26"/>
  <c r="E116" i="12" s="1"/>
  <c r="D138" i="26"/>
  <c r="E157" i="12" s="1"/>
  <c r="B70" i="26"/>
  <c r="D71" i="26"/>
  <c r="E90" i="12" s="1"/>
  <c r="D45" i="26"/>
  <c r="E64" i="12" s="1"/>
  <c r="B85" i="26"/>
  <c r="D86" i="26"/>
  <c r="E105" i="12" s="1"/>
  <c r="B111" i="26"/>
  <c r="D112" i="26"/>
  <c r="E131" i="12" s="1"/>
  <c r="D55" i="26"/>
  <c r="E74" i="12" s="1"/>
  <c r="D102" i="26"/>
  <c r="E121" i="12" s="1"/>
  <c r="D133" i="26"/>
  <c r="E152" i="12" s="1"/>
  <c r="B122" i="26"/>
  <c r="D123" i="26"/>
  <c r="E142" i="12" s="1"/>
  <c r="B91" i="26"/>
  <c r="D92" i="26"/>
  <c r="E111" i="12" s="1"/>
  <c r="D107" i="26"/>
  <c r="E126" i="12" s="1"/>
  <c r="D50" i="26"/>
  <c r="E69" i="12" s="1"/>
  <c r="B81" i="26"/>
  <c r="C100" i="12" s="1"/>
  <c r="D129" i="26"/>
  <c r="E148" i="12" s="1"/>
  <c r="B128" i="26"/>
  <c r="C147" i="12" s="1"/>
  <c r="B106" i="26"/>
  <c r="B137" i="26"/>
  <c r="B33" i="26"/>
  <c r="D34" i="26"/>
  <c r="E53" i="12" s="1"/>
  <c r="C35" i="26"/>
  <c r="D54" i="12" s="1"/>
  <c r="A36" i="26"/>
  <c r="D19" i="26"/>
  <c r="E38" i="12" s="1"/>
  <c r="B28" i="26"/>
  <c r="D29" i="26"/>
  <c r="E48" i="12" s="1"/>
  <c r="A26" i="26"/>
  <c r="C25" i="26"/>
  <c r="D44" i="12" s="1"/>
  <c r="H41" i="12"/>
  <c r="K13" i="26"/>
  <c r="C20" i="26"/>
  <c r="D39" i="12" s="1"/>
  <c r="A21" i="26"/>
  <c r="A31" i="26"/>
  <c r="C30" i="26"/>
  <c r="D49" i="12" s="1"/>
  <c r="A15" i="26"/>
  <c r="C14" i="26"/>
  <c r="D33" i="12" s="1"/>
  <c r="D33" i="11" s="1"/>
  <c r="D13" i="26"/>
  <c r="D1197" i="11"/>
  <c r="B1197" i="11" s="1"/>
  <c r="D1115" i="11"/>
  <c r="D1250" i="11"/>
  <c r="B1250" i="11" s="1"/>
  <c r="D1185" i="11"/>
  <c r="D1103" i="11"/>
  <c r="D1070" i="11"/>
  <c r="D1040" i="11"/>
  <c r="D997" i="11"/>
  <c r="D945" i="11"/>
  <c r="D1227" i="11"/>
  <c r="D1154" i="11"/>
  <c r="D1102" i="11"/>
  <c r="D1228" i="11"/>
  <c r="D1155" i="11"/>
  <c r="D1092" i="11"/>
  <c r="D1057" i="11"/>
  <c r="D1027" i="11"/>
  <c r="D958" i="11"/>
  <c r="E50" i="44"/>
  <c r="E85" i="44" s="1"/>
  <c r="E49" i="44"/>
  <c r="E84" i="44" s="1"/>
  <c r="I50" i="44"/>
  <c r="I85" i="44" s="1"/>
  <c r="I49" i="44"/>
  <c r="I84" i="44" s="1"/>
  <c r="H98" i="44"/>
  <c r="H70" i="44"/>
  <c r="I71" i="44"/>
  <c r="I99" i="44"/>
  <c r="E71" i="44"/>
  <c r="E99" i="44"/>
  <c r="B71" i="44"/>
  <c r="B99" i="44"/>
  <c r="G73" i="44"/>
  <c r="G101" i="44"/>
  <c r="C73" i="44"/>
  <c r="C101" i="44"/>
  <c r="O9" i="44"/>
  <c r="V81" i="44" s="1"/>
  <c r="V78" i="44"/>
  <c r="N234" i="58" s="1"/>
  <c r="P6" i="44"/>
  <c r="O7" i="58" s="1"/>
  <c r="V77" i="44"/>
  <c r="N862" i="58" s="1"/>
  <c r="O8" i="44"/>
  <c r="V80" i="44" s="1"/>
  <c r="N780" i="58" s="1"/>
  <c r="V79" i="44"/>
  <c r="N755" i="58" s="1"/>
  <c r="P11" i="44"/>
  <c r="V83" i="44"/>
  <c r="N443" i="58" s="1"/>
  <c r="H99" i="44"/>
  <c r="H71" i="44"/>
  <c r="K9" i="44"/>
  <c r="R81" i="44" s="1"/>
  <c r="J814" i="58" s="1"/>
  <c r="R78" i="44"/>
  <c r="R77" i="44"/>
  <c r="J862" i="58" s="1"/>
  <c r="G69" i="44"/>
  <c r="G96" i="44"/>
  <c r="C69" i="44"/>
  <c r="C96" i="44"/>
  <c r="I70" i="44"/>
  <c r="I98" i="44"/>
  <c r="C72" i="44"/>
  <c r="C100" i="44"/>
  <c r="D1236" i="11"/>
  <c r="B1236" i="11" s="1"/>
  <c r="D1201" i="11"/>
  <c r="B1201" i="11" s="1"/>
  <c r="D1184" i="11"/>
  <c r="D1119" i="11"/>
  <c r="D1090" i="11"/>
  <c r="C50" i="44"/>
  <c r="C85" i="44" s="1"/>
  <c r="C49" i="44"/>
  <c r="C84" i="44" s="1"/>
  <c r="G50" i="44"/>
  <c r="G85" i="44" s="1"/>
  <c r="G49" i="44"/>
  <c r="G84" i="44" s="1"/>
  <c r="D96" i="44"/>
  <c r="D69" i="44"/>
  <c r="D98" i="44"/>
  <c r="D70" i="44"/>
  <c r="C71" i="44"/>
  <c r="C99" i="44"/>
  <c r="I73" i="44"/>
  <c r="I101" i="44"/>
  <c r="E73" i="44"/>
  <c r="E101" i="44"/>
  <c r="B73" i="44"/>
  <c r="B101" i="44"/>
  <c r="H101" i="44"/>
  <c r="H73" i="44"/>
  <c r="K8" i="44"/>
  <c r="R80" i="44" s="1"/>
  <c r="J288" i="58" s="1"/>
  <c r="K10" i="44"/>
  <c r="R82" i="44" s="1"/>
  <c r="J667" i="58" s="1"/>
  <c r="R79" i="44"/>
  <c r="J748" i="58" s="1"/>
  <c r="I69" i="44"/>
  <c r="I96" i="44"/>
  <c r="E69" i="44"/>
  <c r="E96" i="44"/>
  <c r="B69" i="44"/>
  <c r="B96" i="44"/>
  <c r="B72" i="44"/>
  <c r="B100" i="44"/>
  <c r="B23" i="26"/>
  <c r="B59" i="26"/>
  <c r="D1253" i="11"/>
  <c r="B1253" i="11" s="1"/>
  <c r="D1219" i="11"/>
  <c r="D1193" i="11"/>
  <c r="B1193" i="11" s="1"/>
  <c r="D1162" i="11"/>
  <c r="D1110" i="11"/>
  <c r="D1085" i="11"/>
  <c r="B117" i="26"/>
  <c r="C19" i="58" l="1"/>
  <c r="C942" i="11"/>
  <c r="D942" i="11" s="1"/>
  <c r="C933" i="11"/>
  <c r="C191" i="11"/>
  <c r="D931" i="11"/>
  <c r="I903" i="58"/>
  <c r="I760" i="58"/>
  <c r="I248" i="58"/>
  <c r="B40" i="26"/>
  <c r="C59" i="12" s="1"/>
  <c r="C59" i="11" s="1"/>
  <c r="AG130" i="26"/>
  <c r="AG125" i="26"/>
  <c r="AE135" i="26"/>
  <c r="S154" i="12" s="1"/>
  <c r="AF68" i="26"/>
  <c r="T87" i="12" s="1"/>
  <c r="AG36" i="26"/>
  <c r="AH52" i="26"/>
  <c r="AE140" i="26"/>
  <c r="S159" i="12" s="1"/>
  <c r="AG88" i="26"/>
  <c r="AG31" i="26"/>
  <c r="AE47" i="26"/>
  <c r="S66" i="12" s="1"/>
  <c r="I747" i="58"/>
  <c r="AF16" i="26"/>
  <c r="T35" i="12" s="1"/>
  <c r="AF73" i="26"/>
  <c r="T92" i="12" s="1"/>
  <c r="AG47" i="26"/>
  <c r="I916" i="58"/>
  <c r="P7" i="44"/>
  <c r="G146" i="12"/>
  <c r="G151" i="12"/>
  <c r="G141" i="12"/>
  <c r="AF36" i="26"/>
  <c r="T55" i="12" s="1"/>
  <c r="AE125" i="26"/>
  <c r="S144" i="12" s="1"/>
  <c r="AG73" i="26"/>
  <c r="AE83" i="26"/>
  <c r="S102" i="12" s="1"/>
  <c r="AG26" i="26"/>
  <c r="AG62" i="26"/>
  <c r="AE62" i="26"/>
  <c r="S81" i="12" s="1"/>
  <c r="AE21" i="26"/>
  <c r="S40" i="12" s="1"/>
  <c r="AG140" i="26"/>
  <c r="AE130" i="26"/>
  <c r="S149" i="12" s="1"/>
  <c r="AG114" i="26"/>
  <c r="AG78" i="26"/>
  <c r="AE88" i="26"/>
  <c r="S107" i="12" s="1"/>
  <c r="AG21" i="26"/>
  <c r="AH57" i="26"/>
  <c r="AF62" i="26"/>
  <c r="T81" i="12" s="1"/>
  <c r="H957" i="58"/>
  <c r="H649" i="58"/>
  <c r="H801" i="58"/>
  <c r="O10" i="44"/>
  <c r="V82" i="44" s="1"/>
  <c r="B60" i="26"/>
  <c r="C79" i="12" s="1"/>
  <c r="C79" i="11" s="1"/>
  <c r="G104" i="12"/>
  <c r="H120" i="12"/>
  <c r="L801" i="58"/>
  <c r="O17" i="58"/>
  <c r="O10" i="58"/>
  <c r="O20" i="58" s="1"/>
  <c r="N9" i="58"/>
  <c r="N19" i="58" s="1"/>
  <c r="N18" i="58"/>
  <c r="K295" i="58"/>
  <c r="N295" i="58"/>
  <c r="J295" i="58"/>
  <c r="M295" i="58"/>
  <c r="I295" i="58"/>
  <c r="L295" i="58"/>
  <c r="H295" i="58"/>
  <c r="I918" i="58"/>
  <c r="M918" i="58"/>
  <c r="K919" i="58"/>
  <c r="J918" i="58"/>
  <c r="N918" i="58"/>
  <c r="H919" i="58"/>
  <c r="L919" i="58"/>
  <c r="K918" i="58"/>
  <c r="I919" i="58"/>
  <c r="M919" i="58"/>
  <c r="H918" i="58"/>
  <c r="L918" i="58"/>
  <c r="J919" i="58"/>
  <c r="N919" i="58"/>
  <c r="H762" i="58"/>
  <c r="L762" i="58"/>
  <c r="J763" i="58"/>
  <c r="N763" i="58"/>
  <c r="I762" i="58"/>
  <c r="M762" i="58"/>
  <c r="K763" i="58"/>
  <c r="J762" i="58"/>
  <c r="N762" i="58"/>
  <c r="H763" i="58"/>
  <c r="L763" i="58"/>
  <c r="K762" i="58"/>
  <c r="I763" i="58"/>
  <c r="M763" i="58"/>
  <c r="I618" i="58"/>
  <c r="M618" i="58"/>
  <c r="K619" i="58"/>
  <c r="J618" i="58"/>
  <c r="N618" i="58"/>
  <c r="H619" i="58"/>
  <c r="L619" i="58"/>
  <c r="K618" i="58"/>
  <c r="I619" i="58"/>
  <c r="M619" i="58"/>
  <c r="H618" i="58"/>
  <c r="L618" i="58"/>
  <c r="J619" i="58"/>
  <c r="N619" i="58"/>
  <c r="K264" i="58"/>
  <c r="K263" i="58"/>
  <c r="N264" i="58"/>
  <c r="J264" i="58"/>
  <c r="N263" i="58"/>
  <c r="J263" i="58"/>
  <c r="M264" i="58"/>
  <c r="I264" i="58"/>
  <c r="M263" i="58"/>
  <c r="I263" i="58"/>
  <c r="L264" i="58"/>
  <c r="H264" i="58"/>
  <c r="L263" i="58"/>
  <c r="H263" i="58"/>
  <c r="N957" i="58"/>
  <c r="N797" i="58"/>
  <c r="N550" i="58"/>
  <c r="N300" i="58"/>
  <c r="N813" i="58"/>
  <c r="N812" i="58"/>
  <c r="N315" i="58"/>
  <c r="N953" i="58"/>
  <c r="N802" i="58"/>
  <c r="N969" i="58"/>
  <c r="N968" i="58"/>
  <c r="N661" i="58"/>
  <c r="N660" i="58"/>
  <c r="N316" i="58"/>
  <c r="N958" i="58"/>
  <c r="N801" i="58"/>
  <c r="N649" i="58"/>
  <c r="N304" i="58"/>
  <c r="N650" i="58"/>
  <c r="N305" i="58"/>
  <c r="H947" i="58"/>
  <c r="L947" i="58"/>
  <c r="I947" i="58"/>
  <c r="M947" i="58"/>
  <c r="J947" i="58"/>
  <c r="N947" i="58"/>
  <c r="K947" i="58"/>
  <c r="H791" i="58"/>
  <c r="L791" i="58"/>
  <c r="I791" i="58"/>
  <c r="M791" i="58"/>
  <c r="J791" i="58"/>
  <c r="N791" i="58"/>
  <c r="K791" i="58"/>
  <c r="I643" i="58"/>
  <c r="M643" i="58"/>
  <c r="J643" i="58"/>
  <c r="N643" i="58"/>
  <c r="K643" i="58"/>
  <c r="H643" i="58"/>
  <c r="L643" i="58"/>
  <c r="K293" i="58"/>
  <c r="N293" i="58"/>
  <c r="J293" i="58"/>
  <c r="M293" i="58"/>
  <c r="I293" i="58"/>
  <c r="L293" i="58"/>
  <c r="H293" i="58"/>
  <c r="K898" i="58"/>
  <c r="H898" i="58"/>
  <c r="L898" i="58"/>
  <c r="I898" i="58"/>
  <c r="M898" i="58"/>
  <c r="J898" i="58"/>
  <c r="N898" i="58"/>
  <c r="J742" i="58"/>
  <c r="N742" i="58"/>
  <c r="K742" i="58"/>
  <c r="H742" i="58"/>
  <c r="L742" i="58"/>
  <c r="I742" i="58"/>
  <c r="M742" i="58"/>
  <c r="K602" i="58"/>
  <c r="H602" i="58"/>
  <c r="L602" i="58"/>
  <c r="I602" i="58"/>
  <c r="M602" i="58"/>
  <c r="J602" i="58"/>
  <c r="N602" i="58"/>
  <c r="K243" i="58"/>
  <c r="K217" i="58"/>
  <c r="N243" i="58"/>
  <c r="J243" i="58"/>
  <c r="N217" i="58"/>
  <c r="J217" i="58"/>
  <c r="M243" i="58"/>
  <c r="I243" i="58"/>
  <c r="M217" i="58"/>
  <c r="I217" i="58"/>
  <c r="L243" i="58"/>
  <c r="H243" i="58"/>
  <c r="L217" i="58"/>
  <c r="H217" i="58"/>
  <c r="M191" i="58"/>
  <c r="M61" i="58" s="1"/>
  <c r="M87" i="58" s="1"/>
  <c r="M113" i="58" s="1"/>
  <c r="M139" i="58" s="1"/>
  <c r="M165" i="58" s="1"/>
  <c r="I191" i="58"/>
  <c r="I61" i="58" s="1"/>
  <c r="I87" i="58" s="1"/>
  <c r="I113" i="58" s="1"/>
  <c r="I139" i="58" s="1"/>
  <c r="I165" i="58" s="1"/>
  <c r="L191" i="58"/>
  <c r="L61" i="58" s="1"/>
  <c r="L87" i="58" s="1"/>
  <c r="L113" i="58" s="1"/>
  <c r="L139" i="58" s="1"/>
  <c r="L165" i="58" s="1"/>
  <c r="H191" i="58"/>
  <c r="H61" i="58" s="1"/>
  <c r="H87" i="58" s="1"/>
  <c r="H113" i="58" s="1"/>
  <c r="H139" i="58" s="1"/>
  <c r="H165" i="58" s="1"/>
  <c r="K191" i="58"/>
  <c r="K61" i="58" s="1"/>
  <c r="K87" i="58" s="1"/>
  <c r="K113" i="58" s="1"/>
  <c r="K139" i="58" s="1"/>
  <c r="K165" i="58" s="1"/>
  <c r="N191" i="58"/>
  <c r="N61" i="58" s="1"/>
  <c r="N87" i="58" s="1"/>
  <c r="N113" i="58" s="1"/>
  <c r="N139" i="58" s="1"/>
  <c r="N165" i="58" s="1"/>
  <c r="J191" i="58"/>
  <c r="J61" i="58" s="1"/>
  <c r="J87" i="58" s="1"/>
  <c r="J113" i="58" s="1"/>
  <c r="J139" i="58" s="1"/>
  <c r="J165" i="58" s="1"/>
  <c r="J740" i="58"/>
  <c r="J600" i="58"/>
  <c r="J241" i="58"/>
  <c r="J896" i="58"/>
  <c r="J189" i="58"/>
  <c r="J59" i="58" s="1"/>
  <c r="J85" i="58" s="1"/>
  <c r="J111" i="58" s="1"/>
  <c r="J137" i="58" s="1"/>
  <c r="J163" i="58" s="1"/>
  <c r="J215" i="58"/>
  <c r="D14" i="26"/>
  <c r="E33" i="12" s="1"/>
  <c r="E32" i="12"/>
  <c r="N432" i="58"/>
  <c r="J432" i="58"/>
  <c r="N407" i="58"/>
  <c r="J407" i="58"/>
  <c r="M432" i="58"/>
  <c r="I432" i="58"/>
  <c r="M407" i="58"/>
  <c r="L432" i="58"/>
  <c r="H432" i="58"/>
  <c r="L407" i="58"/>
  <c r="K432" i="58"/>
  <c r="K407" i="58"/>
  <c r="I407" i="58"/>
  <c r="H407" i="58"/>
  <c r="M294" i="58"/>
  <c r="M792" i="58"/>
  <c r="M292" i="58"/>
  <c r="M948" i="58"/>
  <c r="M644" i="58"/>
  <c r="M790" i="58"/>
  <c r="M946" i="58"/>
  <c r="M642" i="58"/>
  <c r="R210" i="12"/>
  <c r="V210" i="12"/>
  <c r="S236" i="12"/>
  <c r="W236" i="12"/>
  <c r="J310" i="58"/>
  <c r="K655" i="58"/>
  <c r="N963" i="58"/>
  <c r="J306" i="58"/>
  <c r="N651" i="58"/>
  <c r="N959" i="58"/>
  <c r="J308" i="58"/>
  <c r="J653" i="58"/>
  <c r="N961" i="58"/>
  <c r="J301" i="58"/>
  <c r="J551" i="58"/>
  <c r="J798" i="58"/>
  <c r="K954" i="58"/>
  <c r="N403" i="58"/>
  <c r="N659" i="58"/>
  <c r="J811" i="58"/>
  <c r="K967" i="58"/>
  <c r="J267" i="58"/>
  <c r="J622" i="58"/>
  <c r="J766" i="58"/>
  <c r="N235" i="58"/>
  <c r="J594" i="58"/>
  <c r="K594" i="58"/>
  <c r="J734" i="58"/>
  <c r="M464" i="58"/>
  <c r="J334" i="58"/>
  <c r="J386" i="58"/>
  <c r="N674" i="58"/>
  <c r="J830" i="58"/>
  <c r="M280" i="58"/>
  <c r="J630" i="58"/>
  <c r="J778" i="58"/>
  <c r="N578" i="58"/>
  <c r="N714" i="58"/>
  <c r="N870" i="58"/>
  <c r="M520" i="58"/>
  <c r="J366" i="58"/>
  <c r="N992" i="58"/>
  <c r="J285" i="58"/>
  <c r="J635" i="58"/>
  <c r="J783" i="58"/>
  <c r="N206" i="58"/>
  <c r="J887" i="58"/>
  <c r="J568" i="58"/>
  <c r="N704" i="58"/>
  <c r="N860" i="58"/>
  <c r="M461" i="58"/>
  <c r="J279" i="58"/>
  <c r="J629" i="58"/>
  <c r="J777" i="58"/>
  <c r="J276" i="58"/>
  <c r="M548" i="58"/>
  <c r="J275" i="58"/>
  <c r="J547" i="58"/>
  <c r="J773" i="58"/>
  <c r="M929" i="58"/>
  <c r="J274" i="58"/>
  <c r="M546" i="58"/>
  <c r="J928" i="58"/>
  <c r="J273" i="58"/>
  <c r="J545" i="58"/>
  <c r="J771" i="58"/>
  <c r="M927" i="58"/>
  <c r="J287" i="58"/>
  <c r="J637" i="58"/>
  <c r="J785" i="58"/>
  <c r="J272" i="58"/>
  <c r="M626" i="58"/>
  <c r="J926" i="58"/>
  <c r="J271" i="58"/>
  <c r="J625" i="58"/>
  <c r="J769" i="58"/>
  <c r="M925" i="58"/>
  <c r="X210" i="12"/>
  <c r="T210" i="12"/>
  <c r="Q336" i="12"/>
  <c r="U336" i="12"/>
  <c r="T235" i="12"/>
  <c r="X235" i="12"/>
  <c r="V340" i="12"/>
  <c r="R340" i="12"/>
  <c r="N610" i="58"/>
  <c r="N608" i="58"/>
  <c r="J246" i="58"/>
  <c r="J604" i="58"/>
  <c r="J744" i="58"/>
  <c r="J307" i="58"/>
  <c r="N652" i="58"/>
  <c r="J804" i="58"/>
  <c r="K960" i="58"/>
  <c r="K299" i="58"/>
  <c r="N549" i="58"/>
  <c r="N796" i="58"/>
  <c r="J952" i="58"/>
  <c r="J544" i="58"/>
  <c r="J749" i="58"/>
  <c r="N902" i="58"/>
  <c r="N247" i="58"/>
  <c r="N605" i="58"/>
  <c r="N745" i="58"/>
  <c r="N311" i="58"/>
  <c r="J656" i="58"/>
  <c r="K808" i="58"/>
  <c r="N181" i="58"/>
  <c r="N51" i="58" s="1"/>
  <c r="N77" i="58" s="1"/>
  <c r="N103" i="58" s="1"/>
  <c r="N129" i="58" s="1"/>
  <c r="N155" i="58" s="1"/>
  <c r="J233" i="58"/>
  <c r="N592" i="58"/>
  <c r="N732" i="58"/>
  <c r="J569" i="58"/>
  <c r="M487" i="58"/>
  <c r="N358" i="58"/>
  <c r="N828" i="58"/>
  <c r="J984" i="58"/>
  <c r="N413" i="58"/>
  <c r="N214" i="58"/>
  <c r="N240" i="58"/>
  <c r="K240" i="58"/>
  <c r="N599" i="58"/>
  <c r="N739" i="58"/>
  <c r="K895" i="58"/>
  <c r="N575" i="58"/>
  <c r="N711" i="58"/>
  <c r="J867" i="58"/>
  <c r="N337" i="58"/>
  <c r="N389" i="58"/>
  <c r="N833" i="58"/>
  <c r="J989" i="58"/>
  <c r="N633" i="58"/>
  <c r="N781" i="58"/>
  <c r="J937" i="58"/>
  <c r="N178" i="58"/>
  <c r="N48" i="58" s="1"/>
  <c r="N74" i="58" s="1"/>
  <c r="N100" i="58" s="1"/>
  <c r="N126" i="58" s="1"/>
  <c r="N152" i="58" s="1"/>
  <c r="K178" i="58"/>
  <c r="K48" i="58" s="1"/>
  <c r="K74" i="58" s="1"/>
  <c r="K100" i="58" s="1"/>
  <c r="K126" i="58" s="1"/>
  <c r="K152" i="58" s="1"/>
  <c r="N230" i="58"/>
  <c r="K589" i="58"/>
  <c r="K729" i="58"/>
  <c r="N885" i="58"/>
  <c r="J856" i="58"/>
  <c r="J258" i="58"/>
  <c r="J913" i="58"/>
  <c r="J254" i="58"/>
  <c r="J909" i="58"/>
  <c r="J202" i="58"/>
  <c r="N883" i="58"/>
  <c r="J173" i="58"/>
  <c r="J43" i="58" s="1"/>
  <c r="J69" i="58" s="1"/>
  <c r="J95" i="58" s="1"/>
  <c r="J121" i="58" s="1"/>
  <c r="J147" i="58" s="1"/>
  <c r="K199" i="58"/>
  <c r="J225" i="58"/>
  <c r="J198" i="58"/>
  <c r="N879" i="58"/>
  <c r="J171" i="58"/>
  <c r="J41" i="58" s="1"/>
  <c r="J67" i="58" s="1"/>
  <c r="J93" i="58" s="1"/>
  <c r="J119" i="58" s="1"/>
  <c r="J145" i="58" s="1"/>
  <c r="K197" i="58"/>
  <c r="J223" i="58"/>
  <c r="J196" i="58"/>
  <c r="N877" i="58"/>
  <c r="J184" i="58"/>
  <c r="J54" i="58" s="1"/>
  <c r="J80" i="58" s="1"/>
  <c r="J106" i="58" s="1"/>
  <c r="J132" i="58" s="1"/>
  <c r="J158" i="58" s="1"/>
  <c r="N210" i="58"/>
  <c r="K210" i="58"/>
  <c r="J595" i="58"/>
  <c r="J735" i="58"/>
  <c r="J195" i="58"/>
  <c r="J584" i="58"/>
  <c r="K584" i="58"/>
  <c r="J720" i="58"/>
  <c r="J876" i="58"/>
  <c r="J168" i="58"/>
  <c r="J38" i="58" s="1"/>
  <c r="J64" i="58" s="1"/>
  <c r="J90" i="58" s="1"/>
  <c r="J116" i="58" s="1"/>
  <c r="J142" i="58" s="1"/>
  <c r="K194" i="58"/>
  <c r="J220" i="58"/>
  <c r="J583" i="58"/>
  <c r="J719" i="58"/>
  <c r="J875" i="58"/>
  <c r="K875" i="58"/>
  <c r="W339" i="12"/>
  <c r="S339" i="12"/>
  <c r="N956" i="58"/>
  <c r="N903" i="58"/>
  <c r="N616" i="58"/>
  <c r="N760" i="58"/>
  <c r="K309" i="58"/>
  <c r="N654" i="58"/>
  <c r="N806" i="58"/>
  <c r="J962" i="58"/>
  <c r="N269" i="58"/>
  <c r="M18" i="58"/>
  <c r="M9" i="58"/>
  <c r="M19" i="58" s="1"/>
  <c r="L18" i="58"/>
  <c r="L9" i="58"/>
  <c r="L19" i="58" s="1"/>
  <c r="M17" i="58"/>
  <c r="M10" i="58"/>
  <c r="M20" i="58" s="1"/>
  <c r="J338" i="58"/>
  <c r="J390" i="58"/>
  <c r="N678" i="58"/>
  <c r="J834" i="58"/>
  <c r="M284" i="58"/>
  <c r="J634" i="58"/>
  <c r="J782" i="58"/>
  <c r="J179" i="58"/>
  <c r="J49" i="58" s="1"/>
  <c r="J75" i="58" s="1"/>
  <c r="J101" i="58" s="1"/>
  <c r="J127" i="58" s="1"/>
  <c r="J153" i="58" s="1"/>
  <c r="K179" i="58"/>
  <c r="K49" i="58" s="1"/>
  <c r="K75" i="58" s="1"/>
  <c r="K101" i="58" s="1"/>
  <c r="K127" i="58" s="1"/>
  <c r="K153" i="58" s="1"/>
  <c r="J231" i="58"/>
  <c r="J886" i="58"/>
  <c r="K886" i="58"/>
  <c r="J567" i="58"/>
  <c r="N703" i="58"/>
  <c r="N859" i="58"/>
  <c r="M510" i="58"/>
  <c r="N420" i="58"/>
  <c r="N436" i="58"/>
  <c r="J291" i="58"/>
  <c r="J641" i="58"/>
  <c r="J789" i="58"/>
  <c r="K185" i="58"/>
  <c r="K55" i="58" s="1"/>
  <c r="K81" i="58" s="1"/>
  <c r="K107" i="58" s="1"/>
  <c r="K133" i="58" s="1"/>
  <c r="K159" i="58" s="1"/>
  <c r="J237" i="58"/>
  <c r="K237" i="58"/>
  <c r="J892" i="58"/>
  <c r="K892" i="58"/>
  <c r="M515" i="58"/>
  <c r="J361" i="58"/>
  <c r="N675" i="58"/>
  <c r="J831" i="58"/>
  <c r="J281" i="58"/>
  <c r="J631" i="58"/>
  <c r="J779" i="58"/>
  <c r="J566" i="58"/>
  <c r="N701" i="58"/>
  <c r="J857" i="58"/>
  <c r="M456" i="58"/>
  <c r="M480" i="58"/>
  <c r="M504" i="58"/>
  <c r="M467" i="58"/>
  <c r="M477" i="58"/>
  <c r="M501" i="58"/>
  <c r="J573" i="58"/>
  <c r="J709" i="58"/>
  <c r="M491" i="58"/>
  <c r="N362" i="58"/>
  <c r="N832" i="58"/>
  <c r="J988" i="58"/>
  <c r="N282" i="58"/>
  <c r="N632" i="58"/>
  <c r="M780" i="58"/>
  <c r="J936" i="58"/>
  <c r="N203" i="58"/>
  <c r="K229" i="58"/>
  <c r="K728" i="58"/>
  <c r="N343" i="58"/>
  <c r="N395" i="58"/>
  <c r="N839" i="58"/>
  <c r="J995" i="58"/>
  <c r="N182" i="58"/>
  <c r="N52" i="58" s="1"/>
  <c r="N78" i="58" s="1"/>
  <c r="N104" i="58" s="1"/>
  <c r="N130" i="58" s="1"/>
  <c r="N156" i="58" s="1"/>
  <c r="J234" i="58"/>
  <c r="K593" i="58"/>
  <c r="K733" i="58"/>
  <c r="N889" i="58"/>
  <c r="M488" i="58"/>
  <c r="N359" i="58"/>
  <c r="J673" i="58"/>
  <c r="I260" i="58"/>
  <c r="N260" i="58"/>
  <c r="N615" i="58"/>
  <c r="I615" i="58"/>
  <c r="N759" i="58"/>
  <c r="I256" i="58"/>
  <c r="N256" i="58"/>
  <c r="N611" i="58"/>
  <c r="I611" i="58"/>
  <c r="N331" i="58"/>
  <c r="N383" i="58"/>
  <c r="N827" i="58"/>
  <c r="J983" i="58"/>
  <c r="N354" i="58"/>
  <c r="N824" i="58"/>
  <c r="N327" i="58"/>
  <c r="N379" i="58"/>
  <c r="N823" i="58"/>
  <c r="J979" i="58"/>
  <c r="N352" i="58"/>
  <c r="N822" i="58"/>
  <c r="J978" i="58"/>
  <c r="N325" i="58"/>
  <c r="N377" i="58"/>
  <c r="N821" i="58"/>
  <c r="N977" i="58"/>
  <c r="N365" i="58"/>
  <c r="J679" i="58"/>
  <c r="N324" i="58"/>
  <c r="N376" i="58"/>
  <c r="J668" i="58"/>
  <c r="N349" i="58"/>
  <c r="S233" i="12"/>
  <c r="W233" i="12"/>
  <c r="K318" i="58"/>
  <c r="J663" i="58"/>
  <c r="K815" i="58"/>
  <c r="K313" i="58"/>
  <c r="N810" i="58"/>
  <c r="J966" i="58"/>
  <c r="N665" i="58"/>
  <c r="J817" i="58"/>
  <c r="K973" i="58"/>
  <c r="K312" i="58"/>
  <c r="J657" i="58"/>
  <c r="K809" i="58"/>
  <c r="N297" i="58"/>
  <c r="K646" i="58"/>
  <c r="K794" i="58"/>
  <c r="J552" i="58"/>
  <c r="K552" i="58"/>
  <c r="J799" i="58"/>
  <c r="K955" i="58"/>
  <c r="J647" i="58"/>
  <c r="K647" i="58"/>
  <c r="J795" i="58"/>
  <c r="K951" i="58"/>
  <c r="J249" i="58"/>
  <c r="J543" i="58"/>
  <c r="J317" i="58"/>
  <c r="N662" i="58"/>
  <c r="K970" i="58"/>
  <c r="I869" i="58"/>
  <c r="M869" i="58"/>
  <c r="J869" i="58"/>
  <c r="N869" i="58"/>
  <c r="K869" i="58"/>
  <c r="H869" i="58"/>
  <c r="L869" i="58"/>
  <c r="J713" i="58"/>
  <c r="N713" i="58"/>
  <c r="K713" i="58"/>
  <c r="H713" i="58"/>
  <c r="L713" i="58"/>
  <c r="I713" i="58"/>
  <c r="M713" i="58"/>
  <c r="K577" i="58"/>
  <c r="H577" i="58"/>
  <c r="L577" i="58"/>
  <c r="I577" i="58"/>
  <c r="M577" i="58"/>
  <c r="J577" i="58"/>
  <c r="N577" i="58"/>
  <c r="N449" i="58"/>
  <c r="J449" i="58"/>
  <c r="N424" i="58"/>
  <c r="J424" i="58"/>
  <c r="M449" i="58"/>
  <c r="I449" i="58"/>
  <c r="M424" i="58"/>
  <c r="I424" i="58"/>
  <c r="L449" i="58"/>
  <c r="H449" i="58"/>
  <c r="H424" i="58"/>
  <c r="K449" i="58"/>
  <c r="L424" i="58"/>
  <c r="K424" i="58"/>
  <c r="I897" i="58"/>
  <c r="M897" i="58"/>
  <c r="J897" i="58"/>
  <c r="N897" i="58"/>
  <c r="K897" i="58"/>
  <c r="H897" i="58"/>
  <c r="L897" i="58"/>
  <c r="H741" i="58"/>
  <c r="L741" i="58"/>
  <c r="I741" i="58"/>
  <c r="M741" i="58"/>
  <c r="J741" i="58"/>
  <c r="N741" i="58"/>
  <c r="K741" i="58"/>
  <c r="I601" i="58"/>
  <c r="M601" i="58"/>
  <c r="J601" i="58"/>
  <c r="N601" i="58"/>
  <c r="K601" i="58"/>
  <c r="H601" i="58"/>
  <c r="L601" i="58"/>
  <c r="K242" i="58"/>
  <c r="K216" i="58"/>
  <c r="N242" i="58"/>
  <c r="J242" i="58"/>
  <c r="N216" i="58"/>
  <c r="J216" i="58"/>
  <c r="M242" i="58"/>
  <c r="I242" i="58"/>
  <c r="M216" i="58"/>
  <c r="I216" i="58"/>
  <c r="L242" i="58"/>
  <c r="H242" i="58"/>
  <c r="L216" i="58"/>
  <c r="H216" i="58"/>
  <c r="M190" i="58"/>
  <c r="M60" i="58" s="1"/>
  <c r="M86" i="58" s="1"/>
  <c r="M112" i="58" s="1"/>
  <c r="M138" i="58" s="1"/>
  <c r="M164" i="58" s="1"/>
  <c r="I190" i="58"/>
  <c r="I60" i="58" s="1"/>
  <c r="I86" i="58" s="1"/>
  <c r="I112" i="58" s="1"/>
  <c r="I138" i="58" s="1"/>
  <c r="I164" i="58" s="1"/>
  <c r="L190" i="58"/>
  <c r="L60" i="58" s="1"/>
  <c r="L86" i="58" s="1"/>
  <c r="L112" i="58" s="1"/>
  <c r="L138" i="58" s="1"/>
  <c r="L164" i="58" s="1"/>
  <c r="H190" i="58"/>
  <c r="H60" i="58" s="1"/>
  <c r="H86" i="58" s="1"/>
  <c r="H112" i="58" s="1"/>
  <c r="H138" i="58" s="1"/>
  <c r="H164" i="58" s="1"/>
  <c r="K190" i="58"/>
  <c r="K60" i="58" s="1"/>
  <c r="K86" i="58" s="1"/>
  <c r="K112" i="58" s="1"/>
  <c r="K138" i="58" s="1"/>
  <c r="K164" i="58" s="1"/>
  <c r="N190" i="58"/>
  <c r="N60" i="58" s="1"/>
  <c r="N86" i="58" s="1"/>
  <c r="N112" i="58" s="1"/>
  <c r="N138" i="58" s="1"/>
  <c r="N164" i="58" s="1"/>
  <c r="J190" i="58"/>
  <c r="J60" i="58" s="1"/>
  <c r="J86" i="58" s="1"/>
  <c r="J112" i="58" s="1"/>
  <c r="J138" i="58" s="1"/>
  <c r="J164" i="58" s="1"/>
  <c r="N419" i="58"/>
  <c r="N434" i="58"/>
  <c r="N448" i="58"/>
  <c r="N444" i="58"/>
  <c r="N409" i="58"/>
  <c r="N423" i="58"/>
  <c r="K399" i="58"/>
  <c r="K373" i="58"/>
  <c r="K347" i="58"/>
  <c r="N399" i="58"/>
  <c r="J399" i="58"/>
  <c r="N373" i="58"/>
  <c r="J373" i="58"/>
  <c r="N347" i="58"/>
  <c r="J347" i="58"/>
  <c r="M399" i="58"/>
  <c r="I399" i="58"/>
  <c r="M373" i="58"/>
  <c r="I373" i="58"/>
  <c r="M347" i="58"/>
  <c r="I347" i="58"/>
  <c r="L399" i="58"/>
  <c r="H399" i="58"/>
  <c r="L373" i="58"/>
  <c r="H373" i="58"/>
  <c r="L347" i="58"/>
  <c r="H347" i="58"/>
  <c r="J923" i="58"/>
  <c r="J268" i="58"/>
  <c r="J764" i="58"/>
  <c r="J620" i="58"/>
  <c r="J265" i="58"/>
  <c r="J614" i="58"/>
  <c r="J259" i="58"/>
  <c r="J917" i="58"/>
  <c r="J262" i="58"/>
  <c r="J756" i="58"/>
  <c r="J612" i="58"/>
  <c r="J257" i="58"/>
  <c r="J767" i="58"/>
  <c r="J623" i="58"/>
  <c r="J920" i="58"/>
  <c r="J914" i="58"/>
  <c r="J758" i="58"/>
  <c r="J761" i="58"/>
  <c r="J617" i="58"/>
  <c r="J912" i="58"/>
  <c r="J982" i="58"/>
  <c r="N982" i="58"/>
  <c r="K982" i="58"/>
  <c r="H982" i="58"/>
  <c r="L982" i="58"/>
  <c r="I982" i="58"/>
  <c r="M982" i="58"/>
  <c r="J826" i="58"/>
  <c r="N826" i="58"/>
  <c r="K826" i="58"/>
  <c r="H826" i="58"/>
  <c r="L826" i="58"/>
  <c r="I826" i="58"/>
  <c r="M826" i="58"/>
  <c r="J670" i="58"/>
  <c r="N670" i="58"/>
  <c r="K670" i="58"/>
  <c r="H670" i="58"/>
  <c r="L670" i="58"/>
  <c r="I670" i="58"/>
  <c r="M670" i="58"/>
  <c r="K382" i="58"/>
  <c r="K356" i="58"/>
  <c r="K330" i="58"/>
  <c r="N382" i="58"/>
  <c r="J382" i="58"/>
  <c r="N356" i="58"/>
  <c r="J356" i="58"/>
  <c r="N330" i="58"/>
  <c r="J330" i="58"/>
  <c r="M382" i="58"/>
  <c r="I382" i="58"/>
  <c r="M356" i="58"/>
  <c r="I356" i="58"/>
  <c r="M330" i="58"/>
  <c r="I330" i="58"/>
  <c r="L382" i="58"/>
  <c r="H382" i="58"/>
  <c r="L356" i="58"/>
  <c r="H356" i="58"/>
  <c r="L330" i="58"/>
  <c r="H330" i="58"/>
  <c r="I893" i="58"/>
  <c r="M893" i="58"/>
  <c r="K894" i="58"/>
  <c r="J893" i="58"/>
  <c r="N893" i="58"/>
  <c r="H894" i="58"/>
  <c r="L894" i="58"/>
  <c r="K893" i="58"/>
  <c r="I894" i="58"/>
  <c r="M894" i="58"/>
  <c r="H893" i="58"/>
  <c r="L893" i="58"/>
  <c r="J894" i="58"/>
  <c r="N894" i="58"/>
  <c r="H737" i="58"/>
  <c r="L737" i="58"/>
  <c r="J738" i="58"/>
  <c r="N738" i="58"/>
  <c r="I737" i="58"/>
  <c r="M737" i="58"/>
  <c r="K738" i="58"/>
  <c r="J737" i="58"/>
  <c r="N737" i="58"/>
  <c r="H738" i="58"/>
  <c r="L738" i="58"/>
  <c r="K737" i="58"/>
  <c r="I738" i="58"/>
  <c r="M738" i="58"/>
  <c r="I597" i="58"/>
  <c r="M597" i="58"/>
  <c r="K598" i="58"/>
  <c r="J597" i="58"/>
  <c r="N597" i="58"/>
  <c r="H598" i="58"/>
  <c r="L598" i="58"/>
  <c r="K597" i="58"/>
  <c r="I598" i="58"/>
  <c r="M598" i="58"/>
  <c r="H597" i="58"/>
  <c r="L597" i="58"/>
  <c r="J598" i="58"/>
  <c r="N598" i="58"/>
  <c r="K213" i="58"/>
  <c r="K212" i="58"/>
  <c r="N213" i="58"/>
  <c r="J213" i="58"/>
  <c r="N212" i="58"/>
  <c r="J212" i="58"/>
  <c r="M213" i="58"/>
  <c r="I213" i="58"/>
  <c r="M212" i="58"/>
  <c r="I212" i="58"/>
  <c r="L213" i="58"/>
  <c r="H213" i="58"/>
  <c r="L212" i="58"/>
  <c r="H212" i="58"/>
  <c r="M187" i="58"/>
  <c r="M57" i="58" s="1"/>
  <c r="M83" i="58" s="1"/>
  <c r="M109" i="58" s="1"/>
  <c r="M135" i="58" s="1"/>
  <c r="M161" i="58" s="1"/>
  <c r="I187" i="58"/>
  <c r="I57" i="58" s="1"/>
  <c r="I83" i="58" s="1"/>
  <c r="I109" i="58" s="1"/>
  <c r="I135" i="58" s="1"/>
  <c r="I161" i="58" s="1"/>
  <c r="M186" i="58"/>
  <c r="M56" i="58" s="1"/>
  <c r="M82" i="58" s="1"/>
  <c r="M108" i="58" s="1"/>
  <c r="M134" i="58" s="1"/>
  <c r="M160" i="58" s="1"/>
  <c r="I186" i="58"/>
  <c r="I56" i="58" s="1"/>
  <c r="I82" i="58" s="1"/>
  <c r="I108" i="58" s="1"/>
  <c r="I134" i="58" s="1"/>
  <c r="I160" i="58" s="1"/>
  <c r="L187" i="58"/>
  <c r="L57" i="58" s="1"/>
  <c r="L83" i="58" s="1"/>
  <c r="L109" i="58" s="1"/>
  <c r="L135" i="58" s="1"/>
  <c r="L161" i="58" s="1"/>
  <c r="H187" i="58"/>
  <c r="H57" i="58" s="1"/>
  <c r="H83" i="58" s="1"/>
  <c r="H109" i="58" s="1"/>
  <c r="H135" i="58" s="1"/>
  <c r="H161" i="58" s="1"/>
  <c r="L186" i="58"/>
  <c r="L56" i="58" s="1"/>
  <c r="L82" i="58" s="1"/>
  <c r="L108" i="58" s="1"/>
  <c r="L134" i="58" s="1"/>
  <c r="L160" i="58" s="1"/>
  <c r="H186" i="58"/>
  <c r="H56" i="58" s="1"/>
  <c r="H82" i="58" s="1"/>
  <c r="H108" i="58" s="1"/>
  <c r="H134" i="58" s="1"/>
  <c r="H160" i="58" s="1"/>
  <c r="K187" i="58"/>
  <c r="K57" i="58" s="1"/>
  <c r="K83" i="58" s="1"/>
  <c r="K109" i="58" s="1"/>
  <c r="K135" i="58" s="1"/>
  <c r="K161" i="58" s="1"/>
  <c r="K186" i="58"/>
  <c r="K56" i="58" s="1"/>
  <c r="K82" i="58" s="1"/>
  <c r="K108" i="58" s="1"/>
  <c r="K134" i="58" s="1"/>
  <c r="K160" i="58" s="1"/>
  <c r="N187" i="58"/>
  <c r="N57" i="58" s="1"/>
  <c r="N83" i="58" s="1"/>
  <c r="N109" i="58" s="1"/>
  <c r="N135" i="58" s="1"/>
  <c r="N161" i="58" s="1"/>
  <c r="J187" i="58"/>
  <c r="J57" i="58" s="1"/>
  <c r="J83" i="58" s="1"/>
  <c r="J109" i="58" s="1"/>
  <c r="J135" i="58" s="1"/>
  <c r="J161" i="58" s="1"/>
  <c r="N186" i="58"/>
  <c r="N56" i="58" s="1"/>
  <c r="N82" i="58" s="1"/>
  <c r="N108" i="58" s="1"/>
  <c r="N134" i="58" s="1"/>
  <c r="N160" i="58" s="1"/>
  <c r="J186" i="58"/>
  <c r="J56" i="58" s="1"/>
  <c r="J82" i="58" s="1"/>
  <c r="J108" i="58" s="1"/>
  <c r="J134" i="58" s="1"/>
  <c r="J160" i="58" s="1"/>
  <c r="N792" i="58"/>
  <c r="N644" i="58"/>
  <c r="N294" i="58"/>
  <c r="N948" i="58"/>
  <c r="N790" i="58"/>
  <c r="N642" i="58"/>
  <c r="N292" i="58"/>
  <c r="N946" i="58"/>
  <c r="N850" i="58"/>
  <c r="N694" i="58"/>
  <c r="N563" i="58"/>
  <c r="N710" i="58"/>
  <c r="N574" i="58"/>
  <c r="N852" i="58"/>
  <c r="N696" i="58"/>
  <c r="N533" i="58"/>
  <c r="N866" i="58"/>
  <c r="N855" i="58"/>
  <c r="N699" i="58"/>
  <c r="N536" i="58"/>
  <c r="N871" i="58"/>
  <c r="N715" i="58"/>
  <c r="N579" i="58"/>
  <c r="N853" i="58"/>
  <c r="N697" i="58"/>
  <c r="N534" i="58"/>
  <c r="N858" i="58"/>
  <c r="N702" i="58"/>
  <c r="N532" i="58"/>
  <c r="N446" i="58"/>
  <c r="J446" i="58"/>
  <c r="N421" i="58"/>
  <c r="J421" i="58"/>
  <c r="M446" i="58"/>
  <c r="I446" i="58"/>
  <c r="M421" i="58"/>
  <c r="I421" i="58"/>
  <c r="L446" i="58"/>
  <c r="H446" i="58"/>
  <c r="L421" i="58"/>
  <c r="K421" i="58"/>
  <c r="H421" i="58"/>
  <c r="K446" i="58"/>
  <c r="I932" i="58"/>
  <c r="M932" i="58"/>
  <c r="J932" i="58"/>
  <c r="L932" i="58"/>
  <c r="N932" i="58"/>
  <c r="H932" i="58"/>
  <c r="K932" i="58"/>
  <c r="J776" i="58"/>
  <c r="N776" i="58"/>
  <c r="K776" i="58"/>
  <c r="H776" i="58"/>
  <c r="L776" i="58"/>
  <c r="I776" i="58"/>
  <c r="M776" i="58"/>
  <c r="K628" i="58"/>
  <c r="H628" i="58"/>
  <c r="L628" i="58"/>
  <c r="I628" i="58"/>
  <c r="M628" i="58"/>
  <c r="J628" i="58"/>
  <c r="N628" i="58"/>
  <c r="K278" i="58"/>
  <c r="N278" i="58"/>
  <c r="J278" i="58"/>
  <c r="M278" i="58"/>
  <c r="I278" i="58"/>
  <c r="L278" i="58"/>
  <c r="H278" i="58"/>
  <c r="I873" i="58"/>
  <c r="M873" i="58"/>
  <c r="J873" i="58"/>
  <c r="N873" i="58"/>
  <c r="K873" i="58"/>
  <c r="H873" i="58"/>
  <c r="L873" i="58"/>
  <c r="J717" i="58"/>
  <c r="N717" i="58"/>
  <c r="K717" i="58"/>
  <c r="H717" i="58"/>
  <c r="L717" i="58"/>
  <c r="I717" i="58"/>
  <c r="M717" i="58"/>
  <c r="K581" i="58"/>
  <c r="H581" i="58"/>
  <c r="L581" i="58"/>
  <c r="I581" i="58"/>
  <c r="M581" i="58"/>
  <c r="J581" i="58"/>
  <c r="N581" i="58"/>
  <c r="H943" i="58"/>
  <c r="L943" i="58"/>
  <c r="J944" i="58"/>
  <c r="N944" i="58"/>
  <c r="I943" i="58"/>
  <c r="M943" i="58"/>
  <c r="K944" i="58"/>
  <c r="J943" i="58"/>
  <c r="N943" i="58"/>
  <c r="H944" i="58"/>
  <c r="L944" i="58"/>
  <c r="K943" i="58"/>
  <c r="I944" i="58"/>
  <c r="M944" i="58"/>
  <c r="H787" i="58"/>
  <c r="L787" i="58"/>
  <c r="J788" i="58"/>
  <c r="N788" i="58"/>
  <c r="I787" i="58"/>
  <c r="M787" i="58"/>
  <c r="K788" i="58"/>
  <c r="J787" i="58"/>
  <c r="N787" i="58"/>
  <c r="H788" i="58"/>
  <c r="L788" i="58"/>
  <c r="K787" i="58"/>
  <c r="I788" i="58"/>
  <c r="M788" i="58"/>
  <c r="I639" i="58"/>
  <c r="M639" i="58"/>
  <c r="K640" i="58"/>
  <c r="J639" i="58"/>
  <c r="N639" i="58"/>
  <c r="H640" i="58"/>
  <c r="L640" i="58"/>
  <c r="K639" i="58"/>
  <c r="I640" i="58"/>
  <c r="M640" i="58"/>
  <c r="H639" i="58"/>
  <c r="L639" i="58"/>
  <c r="J640" i="58"/>
  <c r="N640" i="58"/>
  <c r="K290" i="58"/>
  <c r="K289" i="58"/>
  <c r="N290" i="58"/>
  <c r="J290" i="58"/>
  <c r="N289" i="58"/>
  <c r="J289" i="58"/>
  <c r="M290" i="58"/>
  <c r="I290" i="58"/>
  <c r="M289" i="58"/>
  <c r="I289" i="58"/>
  <c r="L290" i="58"/>
  <c r="H290" i="58"/>
  <c r="L289" i="58"/>
  <c r="H289" i="58"/>
  <c r="J370" i="58"/>
  <c r="J842" i="58"/>
  <c r="J398" i="58"/>
  <c r="J346" i="58"/>
  <c r="J685" i="58"/>
  <c r="J684" i="58"/>
  <c r="J998" i="58"/>
  <c r="J841" i="58"/>
  <c r="J371" i="58"/>
  <c r="J840" i="58"/>
  <c r="J396" i="58"/>
  <c r="J344" i="58"/>
  <c r="J372" i="58"/>
  <c r="J997" i="58"/>
  <c r="J996" i="58"/>
  <c r="J686" i="58"/>
  <c r="J397" i="58"/>
  <c r="J345" i="58"/>
  <c r="J524" i="58"/>
  <c r="J499" i="58"/>
  <c r="J474" i="58"/>
  <c r="M524" i="58"/>
  <c r="I524" i="58"/>
  <c r="M499" i="58"/>
  <c r="I499" i="58"/>
  <c r="M474" i="58"/>
  <c r="I474" i="58"/>
  <c r="L524" i="58"/>
  <c r="H524" i="58"/>
  <c r="L499" i="58"/>
  <c r="H499" i="58"/>
  <c r="L474" i="58"/>
  <c r="H474" i="58"/>
  <c r="K524" i="58"/>
  <c r="K499" i="58"/>
  <c r="K474" i="58"/>
  <c r="K921" i="58"/>
  <c r="H921" i="58"/>
  <c r="L921" i="58"/>
  <c r="I921" i="58"/>
  <c r="M921" i="58"/>
  <c r="J921" i="58"/>
  <c r="N921" i="58"/>
  <c r="J765" i="58"/>
  <c r="N765" i="58"/>
  <c r="K765" i="58"/>
  <c r="H765" i="58"/>
  <c r="L765" i="58"/>
  <c r="I765" i="58"/>
  <c r="M765" i="58"/>
  <c r="K621" i="58"/>
  <c r="H621" i="58"/>
  <c r="L621" i="58"/>
  <c r="I621" i="58"/>
  <c r="M621" i="58"/>
  <c r="J621" i="58"/>
  <c r="N621" i="58"/>
  <c r="K266" i="58"/>
  <c r="N266" i="58"/>
  <c r="J266" i="58"/>
  <c r="M266" i="58"/>
  <c r="I266" i="58"/>
  <c r="L266" i="58"/>
  <c r="H266" i="58"/>
  <c r="K881" i="58"/>
  <c r="H881" i="58"/>
  <c r="L881" i="58"/>
  <c r="J881" i="58"/>
  <c r="N881" i="58"/>
  <c r="I881" i="58"/>
  <c r="M881" i="58"/>
  <c r="H725" i="58"/>
  <c r="L725" i="58"/>
  <c r="I725" i="58"/>
  <c r="M725" i="58"/>
  <c r="J725" i="58"/>
  <c r="N725" i="58"/>
  <c r="K725" i="58"/>
  <c r="I585" i="58"/>
  <c r="M585" i="58"/>
  <c r="J585" i="58"/>
  <c r="N585" i="58"/>
  <c r="K585" i="58"/>
  <c r="H585" i="58"/>
  <c r="L585" i="58"/>
  <c r="K226" i="58"/>
  <c r="N226" i="58"/>
  <c r="J226" i="58"/>
  <c r="M226" i="58"/>
  <c r="I226" i="58"/>
  <c r="L226" i="58"/>
  <c r="H226" i="58"/>
  <c r="M200" i="58"/>
  <c r="I200" i="58"/>
  <c r="M174" i="58"/>
  <c r="M44" i="58" s="1"/>
  <c r="M70" i="58" s="1"/>
  <c r="M96" i="58" s="1"/>
  <c r="M122" i="58" s="1"/>
  <c r="M148" i="58" s="1"/>
  <c r="I174" i="58"/>
  <c r="I44" i="58" s="1"/>
  <c r="I70" i="58" s="1"/>
  <c r="I96" i="58" s="1"/>
  <c r="I122" i="58" s="1"/>
  <c r="I148" i="58" s="1"/>
  <c r="L200" i="58"/>
  <c r="H200" i="58"/>
  <c r="L174" i="58"/>
  <c r="L44" i="58" s="1"/>
  <c r="L70" i="58" s="1"/>
  <c r="L96" i="58" s="1"/>
  <c r="L122" i="58" s="1"/>
  <c r="L148" i="58" s="1"/>
  <c r="H174" i="58"/>
  <c r="H44" i="58" s="1"/>
  <c r="H70" i="58" s="1"/>
  <c r="H96" i="58" s="1"/>
  <c r="H122" i="58" s="1"/>
  <c r="H148" i="58" s="1"/>
  <c r="K200" i="58"/>
  <c r="K174" i="58"/>
  <c r="K44" i="58" s="1"/>
  <c r="K70" i="58" s="1"/>
  <c r="K96" i="58" s="1"/>
  <c r="K122" i="58" s="1"/>
  <c r="K148" i="58" s="1"/>
  <c r="N200" i="58"/>
  <c r="J200" i="58"/>
  <c r="N174" i="58"/>
  <c r="N44" i="58" s="1"/>
  <c r="N70" i="58" s="1"/>
  <c r="N96" i="58" s="1"/>
  <c r="N122" i="58" s="1"/>
  <c r="N148" i="58" s="1"/>
  <c r="J174" i="58"/>
  <c r="J44" i="58" s="1"/>
  <c r="J70" i="58" s="1"/>
  <c r="J96" i="58" s="1"/>
  <c r="J122" i="58" s="1"/>
  <c r="J148" i="58" s="1"/>
  <c r="J304" i="58"/>
  <c r="J953" i="58"/>
  <c r="J802" i="58"/>
  <c r="J305" i="58"/>
  <c r="J300" i="58"/>
  <c r="J969" i="58"/>
  <c r="J968" i="58"/>
  <c r="J661" i="58"/>
  <c r="J660" i="58"/>
  <c r="J315" i="58"/>
  <c r="J958" i="58"/>
  <c r="J801" i="58"/>
  <c r="J649" i="58"/>
  <c r="J650" i="58"/>
  <c r="J957" i="58"/>
  <c r="J797" i="58"/>
  <c r="J550" i="58"/>
  <c r="J813" i="58"/>
  <c r="J812" i="58"/>
  <c r="J316" i="58"/>
  <c r="N920" i="58"/>
  <c r="N265" i="58"/>
  <c r="N914" i="58"/>
  <c r="N259" i="58"/>
  <c r="N761" i="58"/>
  <c r="N617" i="58"/>
  <c r="N262" i="58"/>
  <c r="N912" i="58"/>
  <c r="N756" i="58"/>
  <c r="N257" i="58"/>
  <c r="N923" i="58"/>
  <c r="N764" i="58"/>
  <c r="N620" i="58"/>
  <c r="N614" i="58"/>
  <c r="N917" i="58"/>
  <c r="N612" i="58"/>
  <c r="N758" i="58"/>
  <c r="N767" i="58"/>
  <c r="N623" i="58"/>
  <c r="N268" i="58"/>
  <c r="K244" i="58"/>
  <c r="K218" i="58"/>
  <c r="N244" i="58"/>
  <c r="J244" i="58"/>
  <c r="N218" i="58"/>
  <c r="J218" i="58"/>
  <c r="M244" i="58"/>
  <c r="I244" i="58"/>
  <c r="M218" i="58"/>
  <c r="I218" i="58"/>
  <c r="L244" i="58"/>
  <c r="H244" i="58"/>
  <c r="L218" i="58"/>
  <c r="H218" i="58"/>
  <c r="M192" i="58"/>
  <c r="M62" i="58" s="1"/>
  <c r="M88" i="58" s="1"/>
  <c r="M114" i="58" s="1"/>
  <c r="M140" i="58" s="1"/>
  <c r="M166" i="58" s="1"/>
  <c r="I192" i="58"/>
  <c r="I62" i="58" s="1"/>
  <c r="I88" i="58" s="1"/>
  <c r="I114" i="58" s="1"/>
  <c r="I140" i="58" s="1"/>
  <c r="I166" i="58" s="1"/>
  <c r="L192" i="58"/>
  <c r="L62" i="58" s="1"/>
  <c r="L88" i="58" s="1"/>
  <c r="L114" i="58" s="1"/>
  <c r="L140" i="58" s="1"/>
  <c r="L166" i="58" s="1"/>
  <c r="H192" i="58"/>
  <c r="H62" i="58" s="1"/>
  <c r="H88" i="58" s="1"/>
  <c r="H114" i="58" s="1"/>
  <c r="H140" i="58" s="1"/>
  <c r="H166" i="58" s="1"/>
  <c r="K192" i="58"/>
  <c r="K62" i="58" s="1"/>
  <c r="K88" i="58" s="1"/>
  <c r="K114" i="58" s="1"/>
  <c r="K140" i="58" s="1"/>
  <c r="K166" i="58" s="1"/>
  <c r="N192" i="58"/>
  <c r="N62" i="58" s="1"/>
  <c r="N88" i="58" s="1"/>
  <c r="N114" i="58" s="1"/>
  <c r="N140" i="58" s="1"/>
  <c r="N166" i="58" s="1"/>
  <c r="J192" i="58"/>
  <c r="J62" i="58" s="1"/>
  <c r="J88" i="58" s="1"/>
  <c r="J114" i="58" s="1"/>
  <c r="J140" i="58" s="1"/>
  <c r="J166" i="58" s="1"/>
  <c r="K872" i="58"/>
  <c r="H872" i="58"/>
  <c r="L872" i="58"/>
  <c r="I872" i="58"/>
  <c r="M872" i="58"/>
  <c r="J872" i="58"/>
  <c r="N872" i="58"/>
  <c r="H716" i="58"/>
  <c r="L716" i="58"/>
  <c r="I716" i="58"/>
  <c r="M716" i="58"/>
  <c r="J716" i="58"/>
  <c r="N716" i="58"/>
  <c r="K716" i="58"/>
  <c r="I580" i="58"/>
  <c r="M580" i="58"/>
  <c r="J580" i="58"/>
  <c r="N580" i="58"/>
  <c r="K580" i="58"/>
  <c r="H580" i="58"/>
  <c r="L580" i="58"/>
  <c r="J522" i="58"/>
  <c r="J497" i="58"/>
  <c r="J472" i="58"/>
  <c r="M522" i="58"/>
  <c r="I522" i="58"/>
  <c r="M497" i="58"/>
  <c r="I497" i="58"/>
  <c r="M472" i="58"/>
  <c r="I472" i="58"/>
  <c r="L522" i="58"/>
  <c r="H522" i="58"/>
  <c r="L497" i="58"/>
  <c r="H497" i="58"/>
  <c r="L472" i="58"/>
  <c r="H472" i="58"/>
  <c r="K522" i="58"/>
  <c r="K497" i="58"/>
  <c r="K472" i="58"/>
  <c r="J507" i="58"/>
  <c r="J482" i="58"/>
  <c r="J457" i="58"/>
  <c r="M507" i="58"/>
  <c r="I507" i="58"/>
  <c r="M482" i="58"/>
  <c r="I482" i="58"/>
  <c r="M457" i="58"/>
  <c r="I457" i="58"/>
  <c r="L507" i="58"/>
  <c r="H507" i="58"/>
  <c r="L482" i="58"/>
  <c r="H482" i="58"/>
  <c r="L457" i="58"/>
  <c r="H457" i="58"/>
  <c r="K507" i="58"/>
  <c r="K482" i="58"/>
  <c r="K457" i="58"/>
  <c r="B66" i="26"/>
  <c r="C85" i="12" s="1"/>
  <c r="C85" i="11" s="1"/>
  <c r="H106" i="12"/>
  <c r="G156" i="12"/>
  <c r="H58" i="12"/>
  <c r="G78" i="12"/>
  <c r="AF21" i="26"/>
  <c r="T40" i="12" s="1"/>
  <c r="AG99" i="26"/>
  <c r="AH114" i="26"/>
  <c r="AF88" i="26"/>
  <c r="T107" i="12" s="1"/>
  <c r="AE73" i="26"/>
  <c r="S92" i="12" s="1"/>
  <c r="AG52" i="26"/>
  <c r="AE52" i="26"/>
  <c r="S71" i="12" s="1"/>
  <c r="AE17" i="26"/>
  <c r="S36" i="12" s="1"/>
  <c r="AG120" i="26"/>
  <c r="AF135" i="26"/>
  <c r="T154" i="12" s="1"/>
  <c r="AE120" i="26"/>
  <c r="S139" i="12" s="1"/>
  <c r="AG104" i="26"/>
  <c r="AH83" i="26"/>
  <c r="AG68" i="26"/>
  <c r="AE78" i="26"/>
  <c r="S97" i="12" s="1"/>
  <c r="AH36" i="26"/>
  <c r="AH15" i="26"/>
  <c r="AH42" i="26"/>
  <c r="AF42" i="26"/>
  <c r="T61" i="12" s="1"/>
  <c r="K907" i="58"/>
  <c r="H907" i="58"/>
  <c r="L907" i="58"/>
  <c r="I907" i="58"/>
  <c r="M907" i="58"/>
  <c r="J907" i="58"/>
  <c r="N907" i="58"/>
  <c r="J751" i="58"/>
  <c r="N751" i="58"/>
  <c r="K751" i="58"/>
  <c r="I751" i="58"/>
  <c r="M751" i="58"/>
  <c r="H751" i="58"/>
  <c r="L751" i="58"/>
  <c r="K607" i="58"/>
  <c r="H607" i="58"/>
  <c r="L607" i="58"/>
  <c r="I607" i="58"/>
  <c r="M607" i="58"/>
  <c r="J607" i="58"/>
  <c r="N607" i="58"/>
  <c r="K252" i="58"/>
  <c r="N252" i="58"/>
  <c r="J252" i="58"/>
  <c r="M252" i="58"/>
  <c r="I252" i="58"/>
  <c r="L252" i="58"/>
  <c r="H252" i="58"/>
  <c r="T233" i="12"/>
  <c r="X233" i="12"/>
  <c r="N310" i="58"/>
  <c r="N807" i="58"/>
  <c r="J963" i="58"/>
  <c r="N306" i="58"/>
  <c r="K651" i="58"/>
  <c r="J651" i="58"/>
  <c r="N803" i="58"/>
  <c r="J959" i="58"/>
  <c r="N308" i="58"/>
  <c r="N805" i="58"/>
  <c r="J961" i="58"/>
  <c r="N401" i="58"/>
  <c r="N426" i="58"/>
  <c r="N301" i="58"/>
  <c r="K551" i="58"/>
  <c r="K798" i="58"/>
  <c r="N428" i="58"/>
  <c r="K314" i="58"/>
  <c r="J659" i="58"/>
  <c r="K811" i="58"/>
  <c r="N267" i="58"/>
  <c r="N922" i="58"/>
  <c r="K183" i="58"/>
  <c r="K53" i="58" s="1"/>
  <c r="K79" i="58" s="1"/>
  <c r="K105" i="58" s="1"/>
  <c r="K131" i="58" s="1"/>
  <c r="K157" i="58" s="1"/>
  <c r="J209" i="58"/>
  <c r="K235" i="58"/>
  <c r="K734" i="58"/>
  <c r="N890" i="58"/>
  <c r="N863" i="58"/>
  <c r="N334" i="58"/>
  <c r="N386" i="58"/>
  <c r="J674" i="58"/>
  <c r="N440" i="58"/>
  <c r="J578" i="58"/>
  <c r="J714" i="58"/>
  <c r="J870" i="58"/>
  <c r="M495" i="58"/>
  <c r="N366" i="58"/>
  <c r="N836" i="58"/>
  <c r="J992" i="58"/>
  <c r="N285" i="58"/>
  <c r="M939" i="58"/>
  <c r="K180" i="58"/>
  <c r="K50" i="58" s="1"/>
  <c r="K76" i="58" s="1"/>
  <c r="K102" i="58" s="1"/>
  <c r="K128" i="58" s="1"/>
  <c r="K154" i="58" s="1"/>
  <c r="J232" i="58"/>
  <c r="K232" i="58"/>
  <c r="N591" i="58"/>
  <c r="N731" i="58"/>
  <c r="K887" i="58"/>
  <c r="J704" i="58"/>
  <c r="N414" i="58"/>
  <c r="N435" i="58"/>
  <c r="N279" i="58"/>
  <c r="M933" i="58"/>
  <c r="N276" i="58"/>
  <c r="N548" i="58"/>
  <c r="M774" i="58"/>
  <c r="N774" i="58"/>
  <c r="M930" i="58"/>
  <c r="N275" i="58"/>
  <c r="N274" i="58"/>
  <c r="N546" i="58"/>
  <c r="M772" i="58"/>
  <c r="N772" i="58"/>
  <c r="N273" i="58"/>
  <c r="N927" i="58"/>
  <c r="N287" i="58"/>
  <c r="M941" i="58"/>
  <c r="N272" i="58"/>
  <c r="N626" i="58"/>
  <c r="M770" i="58"/>
  <c r="N770" i="58"/>
  <c r="N271" i="58"/>
  <c r="N925" i="58"/>
  <c r="W210" i="12"/>
  <c r="S210" i="12"/>
  <c r="Q213" i="12"/>
  <c r="U213" i="12"/>
  <c r="R233" i="12"/>
  <c r="V233" i="12"/>
  <c r="W338" i="12"/>
  <c r="S338" i="12"/>
  <c r="T237" i="12"/>
  <c r="X237" i="12"/>
  <c r="J255" i="58"/>
  <c r="J610" i="58"/>
  <c r="N754" i="58"/>
  <c r="J253" i="58"/>
  <c r="J608" i="58"/>
  <c r="N752" i="58"/>
  <c r="N442" i="58"/>
  <c r="N246" i="58"/>
  <c r="N900" i="58"/>
  <c r="N307" i="58"/>
  <c r="J652" i="58"/>
  <c r="K804" i="58"/>
  <c r="J299" i="58"/>
  <c r="J549" i="58"/>
  <c r="J796" i="58"/>
  <c r="K952" i="58"/>
  <c r="N905" i="58"/>
  <c r="J902" i="58"/>
  <c r="J605" i="58"/>
  <c r="J745" i="58"/>
  <c r="K656" i="58"/>
  <c r="N964" i="58"/>
  <c r="J286" i="58"/>
  <c r="M636" i="58"/>
  <c r="M940" i="58"/>
  <c r="N940" i="58"/>
  <c r="N233" i="58"/>
  <c r="J592" i="58"/>
  <c r="K592" i="58"/>
  <c r="J732" i="58"/>
  <c r="N569" i="58"/>
  <c r="N705" i="58"/>
  <c r="M462" i="58"/>
  <c r="J332" i="58"/>
  <c r="J384" i="58"/>
  <c r="N672" i="58"/>
  <c r="J828" i="58"/>
  <c r="K188" i="58"/>
  <c r="K58" i="58" s="1"/>
  <c r="K84" i="58" s="1"/>
  <c r="K110" i="58" s="1"/>
  <c r="K136" i="58" s="1"/>
  <c r="K162" i="58" s="1"/>
  <c r="J239" i="58"/>
  <c r="K239" i="58"/>
  <c r="J599" i="58"/>
  <c r="J739" i="58"/>
  <c r="J575" i="58"/>
  <c r="J711" i="58"/>
  <c r="M518" i="58"/>
  <c r="J363" i="58"/>
  <c r="N677" i="58"/>
  <c r="J833" i="58"/>
  <c r="J283" i="58"/>
  <c r="J633" i="58"/>
  <c r="J781" i="58"/>
  <c r="J204" i="58"/>
  <c r="J885" i="58"/>
  <c r="N565" i="58"/>
  <c r="N700" i="58"/>
  <c r="N258" i="58"/>
  <c r="N613" i="58"/>
  <c r="N757" i="58"/>
  <c r="N254" i="58"/>
  <c r="N609" i="58"/>
  <c r="N753" i="58"/>
  <c r="N202" i="58"/>
  <c r="K228" i="58"/>
  <c r="N587" i="58"/>
  <c r="N727" i="58"/>
  <c r="J883" i="58"/>
  <c r="N173" i="58"/>
  <c r="N43" i="58" s="1"/>
  <c r="N69" i="58" s="1"/>
  <c r="N95" i="58" s="1"/>
  <c r="N121" i="58" s="1"/>
  <c r="N147" i="58" s="1"/>
  <c r="K173" i="58"/>
  <c r="K43" i="58" s="1"/>
  <c r="K69" i="58" s="1"/>
  <c r="K95" i="58" s="1"/>
  <c r="K121" i="58" s="1"/>
  <c r="K147" i="58" s="1"/>
  <c r="N225" i="58"/>
  <c r="N540" i="58"/>
  <c r="N724" i="58"/>
  <c r="N880" i="58"/>
  <c r="N198" i="58"/>
  <c r="K224" i="58"/>
  <c r="N539" i="58"/>
  <c r="N723" i="58"/>
  <c r="J879" i="58"/>
  <c r="N171" i="58"/>
  <c r="N41" i="58" s="1"/>
  <c r="N67" i="58" s="1"/>
  <c r="N93" i="58" s="1"/>
  <c r="N119" i="58" s="1"/>
  <c r="N145" i="58" s="1"/>
  <c r="K171" i="58"/>
  <c r="K41" i="58" s="1"/>
  <c r="K67" i="58" s="1"/>
  <c r="K93" i="58" s="1"/>
  <c r="K119" i="58" s="1"/>
  <c r="K145" i="58" s="1"/>
  <c r="N223" i="58"/>
  <c r="N538" i="58"/>
  <c r="N722" i="58"/>
  <c r="K878" i="58"/>
  <c r="N878" i="58"/>
  <c r="N196" i="58"/>
  <c r="K222" i="58"/>
  <c r="N537" i="58"/>
  <c r="N721" i="58"/>
  <c r="J877" i="58"/>
  <c r="N184" i="58"/>
  <c r="N54" i="58" s="1"/>
  <c r="N80" i="58" s="1"/>
  <c r="N106" i="58" s="1"/>
  <c r="N132" i="58" s="1"/>
  <c r="N158" i="58" s="1"/>
  <c r="J236" i="58"/>
  <c r="K595" i="58"/>
  <c r="K735" i="58"/>
  <c r="N891" i="58"/>
  <c r="N195" i="58"/>
  <c r="K221" i="58"/>
  <c r="K720" i="58"/>
  <c r="N168" i="58"/>
  <c r="N38" i="58" s="1"/>
  <c r="N64" i="58" s="1"/>
  <c r="N90" i="58" s="1"/>
  <c r="N116" i="58" s="1"/>
  <c r="N142" i="58" s="1"/>
  <c r="K168" i="58"/>
  <c r="K38" i="58" s="1"/>
  <c r="K64" i="58" s="1"/>
  <c r="K90" i="58" s="1"/>
  <c r="K116" i="58" s="1"/>
  <c r="K142" i="58" s="1"/>
  <c r="N220" i="58"/>
  <c r="K583" i="58"/>
  <c r="K719" i="58"/>
  <c r="R336" i="12"/>
  <c r="V336" i="12"/>
  <c r="V338" i="12"/>
  <c r="R338" i="12"/>
  <c r="K303" i="58"/>
  <c r="N648" i="58"/>
  <c r="N800" i="58"/>
  <c r="J956" i="58"/>
  <c r="J248" i="58"/>
  <c r="J903" i="58"/>
  <c r="J261" i="58"/>
  <c r="J616" i="58"/>
  <c r="J760" i="58"/>
  <c r="J309" i="58"/>
  <c r="J654" i="58"/>
  <c r="J806" i="58"/>
  <c r="K962" i="58"/>
  <c r="J11" i="58"/>
  <c r="K9" i="58"/>
  <c r="K19" i="58" s="1"/>
  <c r="K18" i="58"/>
  <c r="K17" i="58"/>
  <c r="K10" i="58"/>
  <c r="K20" i="58" s="1"/>
  <c r="N338" i="58"/>
  <c r="N390" i="58"/>
  <c r="J678" i="58"/>
  <c r="N179" i="58"/>
  <c r="N49" i="58" s="1"/>
  <c r="N75" i="58" s="1"/>
  <c r="N101" i="58" s="1"/>
  <c r="N127" i="58" s="1"/>
  <c r="N153" i="58" s="1"/>
  <c r="N231" i="58"/>
  <c r="N590" i="58"/>
  <c r="N730" i="58"/>
  <c r="J703" i="58"/>
  <c r="J859" i="58"/>
  <c r="M485" i="58"/>
  <c r="I920" i="58"/>
  <c r="I265" i="58"/>
  <c r="I914" i="58"/>
  <c r="I259" i="58"/>
  <c r="I617" i="58"/>
  <c r="I262" i="58"/>
  <c r="I912" i="58"/>
  <c r="I257" i="58"/>
  <c r="I923" i="58"/>
  <c r="I764" i="58"/>
  <c r="I620" i="58"/>
  <c r="I614" i="58"/>
  <c r="I767" i="58"/>
  <c r="I917" i="58"/>
  <c r="I756" i="58"/>
  <c r="I612" i="58"/>
  <c r="I758" i="58"/>
  <c r="I623" i="58"/>
  <c r="I268" i="58"/>
  <c r="I761" i="58"/>
  <c r="N291" i="58"/>
  <c r="M945" i="58"/>
  <c r="J185" i="58"/>
  <c r="J55" i="58" s="1"/>
  <c r="J81" i="58" s="1"/>
  <c r="J107" i="58" s="1"/>
  <c r="J133" i="58" s="1"/>
  <c r="J159" i="58" s="1"/>
  <c r="N237" i="58"/>
  <c r="K211" i="58"/>
  <c r="N596" i="58"/>
  <c r="N736" i="58"/>
  <c r="N864" i="58"/>
  <c r="M490" i="58"/>
  <c r="N361" i="58"/>
  <c r="J675" i="58"/>
  <c r="N281" i="58"/>
  <c r="M935" i="58"/>
  <c r="J701" i="58"/>
  <c r="N441" i="58"/>
  <c r="N412" i="58"/>
  <c r="M509" i="58"/>
  <c r="M455" i="58"/>
  <c r="M479" i="58"/>
  <c r="M503" i="58"/>
  <c r="M452" i="58"/>
  <c r="M476" i="58"/>
  <c r="M466" i="58"/>
  <c r="J336" i="58"/>
  <c r="J388" i="58"/>
  <c r="N676" i="58"/>
  <c r="J832" i="58"/>
  <c r="M282" i="58"/>
  <c r="J632" i="58"/>
  <c r="J780" i="58"/>
  <c r="J177" i="58"/>
  <c r="J47" i="58" s="1"/>
  <c r="J73" i="58" s="1"/>
  <c r="J99" i="58" s="1"/>
  <c r="J125" i="58" s="1"/>
  <c r="J151" i="58" s="1"/>
  <c r="K203" i="58"/>
  <c r="J229" i="58"/>
  <c r="K884" i="58"/>
  <c r="N884" i="58"/>
  <c r="J369" i="58"/>
  <c r="N683" i="58"/>
  <c r="J839" i="58"/>
  <c r="M638" i="58"/>
  <c r="M942" i="58"/>
  <c r="N942" i="58"/>
  <c r="J889" i="58"/>
  <c r="N570" i="58"/>
  <c r="J706" i="58"/>
  <c r="M463" i="58"/>
  <c r="J333" i="58"/>
  <c r="J385" i="58"/>
  <c r="N985" i="58"/>
  <c r="J615" i="58"/>
  <c r="I759" i="58"/>
  <c r="J759" i="58"/>
  <c r="J611" i="58"/>
  <c r="J755" i="58"/>
  <c r="J357" i="58"/>
  <c r="N671" i="58"/>
  <c r="J827" i="58"/>
  <c r="J328" i="58"/>
  <c r="J380" i="58"/>
  <c r="N556" i="58"/>
  <c r="J824" i="58"/>
  <c r="J353" i="58"/>
  <c r="N555" i="58"/>
  <c r="J823" i="58"/>
  <c r="J326" i="58"/>
  <c r="J378" i="58"/>
  <c r="N554" i="58"/>
  <c r="J822" i="58"/>
  <c r="J351" i="58"/>
  <c r="N553" i="58"/>
  <c r="J821" i="58"/>
  <c r="J977" i="58"/>
  <c r="J339" i="58"/>
  <c r="J391" i="58"/>
  <c r="N991" i="58"/>
  <c r="J350" i="58"/>
  <c r="J323" i="58"/>
  <c r="J375" i="58"/>
  <c r="J318" i="58"/>
  <c r="K663" i="58"/>
  <c r="N971" i="58"/>
  <c r="J313" i="58"/>
  <c r="N658" i="58"/>
  <c r="J810" i="58"/>
  <c r="K966" i="58"/>
  <c r="K320" i="58"/>
  <c r="J665" i="58"/>
  <c r="K817" i="58"/>
  <c r="J312" i="58"/>
  <c r="K657" i="58"/>
  <c r="N965" i="58"/>
  <c r="N950" i="58"/>
  <c r="K302" i="58"/>
  <c r="K799" i="58"/>
  <c r="K298" i="58"/>
  <c r="K795" i="58"/>
  <c r="I249" i="58"/>
  <c r="N249" i="58"/>
  <c r="N904" i="58"/>
  <c r="I904" i="58"/>
  <c r="N317" i="58"/>
  <c r="J662" i="58"/>
  <c r="J519" i="58"/>
  <c r="J494" i="58"/>
  <c r="J469" i="58"/>
  <c r="M519" i="58"/>
  <c r="I519" i="58"/>
  <c r="M494" i="58"/>
  <c r="I494" i="58"/>
  <c r="M469" i="58"/>
  <c r="I469" i="58"/>
  <c r="L519" i="58"/>
  <c r="H519" i="58"/>
  <c r="L494" i="58"/>
  <c r="H494" i="58"/>
  <c r="L469" i="58"/>
  <c r="H469" i="58"/>
  <c r="K519" i="58"/>
  <c r="K494" i="58"/>
  <c r="K469" i="58"/>
  <c r="I981" i="58"/>
  <c r="K981" i="58"/>
  <c r="H981" i="58"/>
  <c r="N981" i="58"/>
  <c r="J981" i="58"/>
  <c r="L981" i="58"/>
  <c r="M981" i="58"/>
  <c r="H825" i="58"/>
  <c r="L825" i="58"/>
  <c r="I825" i="58"/>
  <c r="M825" i="58"/>
  <c r="J825" i="58"/>
  <c r="N825" i="58"/>
  <c r="K825" i="58"/>
  <c r="H669" i="58"/>
  <c r="L669" i="58"/>
  <c r="I669" i="58"/>
  <c r="M669" i="58"/>
  <c r="J669" i="58"/>
  <c r="N669" i="58"/>
  <c r="K669" i="58"/>
  <c r="K381" i="58"/>
  <c r="K355" i="58"/>
  <c r="K329" i="58"/>
  <c r="N381" i="58"/>
  <c r="J381" i="58"/>
  <c r="N355" i="58"/>
  <c r="J355" i="58"/>
  <c r="N329" i="58"/>
  <c r="J329" i="58"/>
  <c r="M381" i="58"/>
  <c r="I381" i="58"/>
  <c r="M355" i="58"/>
  <c r="I355" i="58"/>
  <c r="M329" i="58"/>
  <c r="I329" i="58"/>
  <c r="L381" i="58"/>
  <c r="H381" i="58"/>
  <c r="L355" i="58"/>
  <c r="H355" i="58"/>
  <c r="L329" i="58"/>
  <c r="H329" i="58"/>
  <c r="J866" i="58"/>
  <c r="J855" i="58"/>
  <c r="J699" i="58"/>
  <c r="J536" i="58"/>
  <c r="J871" i="58"/>
  <c r="J715" i="58"/>
  <c r="J579" i="58"/>
  <c r="J853" i="58"/>
  <c r="J697" i="58"/>
  <c r="J534" i="58"/>
  <c r="J858" i="58"/>
  <c r="J532" i="58"/>
  <c r="J702" i="58"/>
  <c r="J850" i="58"/>
  <c r="J694" i="58"/>
  <c r="J563" i="58"/>
  <c r="J710" i="58"/>
  <c r="J574" i="58"/>
  <c r="J852" i="58"/>
  <c r="J696" i="58"/>
  <c r="J533" i="58"/>
  <c r="N996" i="58"/>
  <c r="N686" i="58"/>
  <c r="N371" i="58"/>
  <c r="N396" i="58"/>
  <c r="N344" i="58"/>
  <c r="N842" i="58"/>
  <c r="N372" i="58"/>
  <c r="N685" i="58"/>
  <c r="N684" i="58"/>
  <c r="N998" i="58"/>
  <c r="N841" i="58"/>
  <c r="N397" i="58"/>
  <c r="N345" i="58"/>
  <c r="N840" i="58"/>
  <c r="N370" i="58"/>
  <c r="N398" i="58"/>
  <c r="N346" i="58"/>
  <c r="N997" i="58"/>
  <c r="J792" i="58"/>
  <c r="J644" i="58"/>
  <c r="J948" i="58"/>
  <c r="J790" i="58"/>
  <c r="J642" i="58"/>
  <c r="J294" i="58"/>
  <c r="J946" i="58"/>
  <c r="J292" i="58"/>
  <c r="I882" i="58"/>
  <c r="M882" i="58"/>
  <c r="J882" i="58"/>
  <c r="N882" i="58"/>
  <c r="H882" i="58"/>
  <c r="L882" i="58"/>
  <c r="K882" i="58"/>
  <c r="J726" i="58"/>
  <c r="N726" i="58"/>
  <c r="K726" i="58"/>
  <c r="H726" i="58"/>
  <c r="L726" i="58"/>
  <c r="I726" i="58"/>
  <c r="M726" i="58"/>
  <c r="K586" i="58"/>
  <c r="H586" i="58"/>
  <c r="L586" i="58"/>
  <c r="I586" i="58"/>
  <c r="M586" i="58"/>
  <c r="J586" i="58"/>
  <c r="N586" i="58"/>
  <c r="K227" i="58"/>
  <c r="N227" i="58"/>
  <c r="J227" i="58"/>
  <c r="M227" i="58"/>
  <c r="I227" i="58"/>
  <c r="L227" i="58"/>
  <c r="H227" i="58"/>
  <c r="M201" i="58"/>
  <c r="I201" i="58"/>
  <c r="M175" i="58"/>
  <c r="M45" i="58" s="1"/>
  <c r="M71" i="58" s="1"/>
  <c r="M97" i="58" s="1"/>
  <c r="M123" i="58" s="1"/>
  <c r="M149" i="58" s="1"/>
  <c r="I175" i="58"/>
  <c r="I45" i="58" s="1"/>
  <c r="I71" i="58" s="1"/>
  <c r="I97" i="58" s="1"/>
  <c r="I123" i="58" s="1"/>
  <c r="I149" i="58" s="1"/>
  <c r="L201" i="58"/>
  <c r="H201" i="58"/>
  <c r="L175" i="58"/>
  <c r="L45" i="58" s="1"/>
  <c r="L71" i="58" s="1"/>
  <c r="L97" i="58" s="1"/>
  <c r="L123" i="58" s="1"/>
  <c r="L149" i="58" s="1"/>
  <c r="H175" i="58"/>
  <c r="H45" i="58" s="1"/>
  <c r="H71" i="58" s="1"/>
  <c r="H97" i="58" s="1"/>
  <c r="H123" i="58" s="1"/>
  <c r="H149" i="58" s="1"/>
  <c r="K201" i="58"/>
  <c r="K175" i="58"/>
  <c r="K45" i="58" s="1"/>
  <c r="K71" i="58" s="1"/>
  <c r="K97" i="58" s="1"/>
  <c r="K123" i="58" s="1"/>
  <c r="K149" i="58" s="1"/>
  <c r="N201" i="58"/>
  <c r="J201" i="58"/>
  <c r="N175" i="58"/>
  <c r="N45" i="58" s="1"/>
  <c r="N71" i="58" s="1"/>
  <c r="N97" i="58" s="1"/>
  <c r="N123" i="58" s="1"/>
  <c r="N149" i="58" s="1"/>
  <c r="J175" i="58"/>
  <c r="J45" i="58" s="1"/>
  <c r="J71" i="58" s="1"/>
  <c r="J97" i="58" s="1"/>
  <c r="J123" i="58" s="1"/>
  <c r="J149" i="58" s="1"/>
  <c r="J521" i="58"/>
  <c r="J496" i="58"/>
  <c r="J471" i="58"/>
  <c r="M521" i="58"/>
  <c r="I521" i="58"/>
  <c r="M496" i="58"/>
  <c r="I496" i="58"/>
  <c r="M471" i="58"/>
  <c r="I471" i="58"/>
  <c r="L521" i="58"/>
  <c r="H521" i="58"/>
  <c r="L496" i="58"/>
  <c r="H496" i="58"/>
  <c r="L471" i="58"/>
  <c r="H471" i="58"/>
  <c r="K521" i="58"/>
  <c r="K496" i="58"/>
  <c r="K471" i="58"/>
  <c r="H993" i="58"/>
  <c r="L993" i="58"/>
  <c r="J994" i="58"/>
  <c r="N994" i="58"/>
  <c r="I993" i="58"/>
  <c r="M993" i="58"/>
  <c r="K994" i="58"/>
  <c r="J993" i="58"/>
  <c r="N993" i="58"/>
  <c r="H994" i="58"/>
  <c r="L994" i="58"/>
  <c r="K993" i="58"/>
  <c r="I994" i="58"/>
  <c r="M994" i="58"/>
  <c r="H837" i="58"/>
  <c r="L837" i="58"/>
  <c r="J838" i="58"/>
  <c r="N838" i="58"/>
  <c r="I837" i="58"/>
  <c r="M837" i="58"/>
  <c r="K838" i="58"/>
  <c r="J837" i="58"/>
  <c r="N837" i="58"/>
  <c r="H838" i="58"/>
  <c r="L838" i="58"/>
  <c r="K837" i="58"/>
  <c r="I838" i="58"/>
  <c r="M838" i="58"/>
  <c r="H681" i="58"/>
  <c r="L681" i="58"/>
  <c r="J682" i="58"/>
  <c r="N682" i="58"/>
  <c r="I681" i="58"/>
  <c r="M681" i="58"/>
  <c r="K682" i="58"/>
  <c r="J681" i="58"/>
  <c r="N681" i="58"/>
  <c r="H682" i="58"/>
  <c r="L682" i="58"/>
  <c r="K681" i="58"/>
  <c r="I682" i="58"/>
  <c r="M682" i="58"/>
  <c r="K394" i="58"/>
  <c r="K393" i="58"/>
  <c r="K368" i="58"/>
  <c r="K367" i="58"/>
  <c r="K342" i="58"/>
  <c r="K341" i="58"/>
  <c r="N394" i="58"/>
  <c r="J394" i="58"/>
  <c r="N393" i="58"/>
  <c r="J393" i="58"/>
  <c r="N368" i="58"/>
  <c r="J368" i="58"/>
  <c r="N367" i="58"/>
  <c r="J367" i="58"/>
  <c r="N342" i="58"/>
  <c r="J342" i="58"/>
  <c r="N341" i="58"/>
  <c r="J341" i="58"/>
  <c r="M394" i="58"/>
  <c r="I394" i="58"/>
  <c r="M393" i="58"/>
  <c r="I393" i="58"/>
  <c r="M368" i="58"/>
  <c r="I368" i="58"/>
  <c r="M367" i="58"/>
  <c r="I367" i="58"/>
  <c r="M342" i="58"/>
  <c r="I342" i="58"/>
  <c r="M341" i="58"/>
  <c r="I341" i="58"/>
  <c r="L394" i="58"/>
  <c r="H394" i="58"/>
  <c r="L393" i="58"/>
  <c r="H393" i="58"/>
  <c r="L368" i="58"/>
  <c r="H368" i="58"/>
  <c r="L367" i="58"/>
  <c r="H367" i="58"/>
  <c r="L342" i="58"/>
  <c r="H342" i="58"/>
  <c r="L341" i="58"/>
  <c r="H341" i="58"/>
  <c r="N447" i="58"/>
  <c r="J447" i="58"/>
  <c r="N422" i="58"/>
  <c r="J422" i="58"/>
  <c r="M447" i="58"/>
  <c r="I447" i="58"/>
  <c r="M422" i="58"/>
  <c r="I422" i="58"/>
  <c r="L447" i="58"/>
  <c r="H447" i="58"/>
  <c r="K447" i="58"/>
  <c r="H422" i="58"/>
  <c r="L422" i="58"/>
  <c r="K422" i="58"/>
  <c r="N241" i="58"/>
  <c r="N740" i="58"/>
  <c r="N600" i="58"/>
  <c r="N189" i="58"/>
  <c r="N59" i="58" s="1"/>
  <c r="N85" i="58" s="1"/>
  <c r="N111" i="58" s="1"/>
  <c r="N137" i="58" s="1"/>
  <c r="N163" i="58" s="1"/>
  <c r="N215" i="58"/>
  <c r="N896" i="58"/>
  <c r="J508" i="58"/>
  <c r="J483" i="58"/>
  <c r="J458" i="58"/>
  <c r="M508" i="58"/>
  <c r="I508" i="58"/>
  <c r="M483" i="58"/>
  <c r="I483" i="58"/>
  <c r="M458" i="58"/>
  <c r="I458" i="58"/>
  <c r="L508" i="58"/>
  <c r="H508" i="58"/>
  <c r="L483" i="58"/>
  <c r="H483" i="58"/>
  <c r="L458" i="58"/>
  <c r="H458" i="58"/>
  <c r="K508" i="58"/>
  <c r="K483" i="58"/>
  <c r="K458" i="58"/>
  <c r="B24" i="26"/>
  <c r="C43" i="12" s="1"/>
  <c r="C43" i="11" s="1"/>
  <c r="D67" i="26"/>
  <c r="E86" i="12" s="1"/>
  <c r="D119" i="26"/>
  <c r="E138" i="12" s="1"/>
  <c r="G32" i="12"/>
  <c r="AE104" i="26"/>
  <c r="S123" i="12" s="1"/>
  <c r="AH104" i="26"/>
  <c r="AF78" i="26"/>
  <c r="T97" i="12" s="1"/>
  <c r="AH31" i="26"/>
  <c r="AG42" i="26"/>
  <c r="AE114" i="26"/>
  <c r="S133" i="12" s="1"/>
  <c r="AF125" i="26"/>
  <c r="T144" i="12" s="1"/>
  <c r="AH109" i="26"/>
  <c r="AG94" i="26"/>
  <c r="AH73" i="26"/>
  <c r="AF83" i="26"/>
  <c r="T102" i="12" s="1"/>
  <c r="AE68" i="26"/>
  <c r="S87" i="12" s="1"/>
  <c r="AG57" i="26"/>
  <c r="AE57" i="26"/>
  <c r="S76" i="12" s="1"/>
  <c r="I906" i="58"/>
  <c r="M906" i="58"/>
  <c r="J906" i="58"/>
  <c r="N906" i="58"/>
  <c r="K906" i="58"/>
  <c r="H906" i="58"/>
  <c r="L906" i="58"/>
  <c r="H750" i="58"/>
  <c r="L750" i="58"/>
  <c r="I750" i="58"/>
  <c r="M750" i="58"/>
  <c r="J750" i="58"/>
  <c r="K750" i="58"/>
  <c r="N750" i="58"/>
  <c r="I606" i="58"/>
  <c r="M606" i="58"/>
  <c r="J606" i="58"/>
  <c r="N606" i="58"/>
  <c r="K606" i="58"/>
  <c r="H606" i="58"/>
  <c r="L606" i="58"/>
  <c r="K251" i="58"/>
  <c r="N251" i="58"/>
  <c r="J251" i="58"/>
  <c r="M251" i="58"/>
  <c r="I251" i="58"/>
  <c r="L251" i="58"/>
  <c r="H251" i="58"/>
  <c r="K315" i="58"/>
  <c r="K958" i="58"/>
  <c r="K801" i="58"/>
  <c r="K304" i="58"/>
  <c r="K813" i="58"/>
  <c r="K812" i="58"/>
  <c r="K316" i="58"/>
  <c r="K650" i="58"/>
  <c r="K305" i="58"/>
  <c r="K957" i="58"/>
  <c r="K649" i="58"/>
  <c r="K797" i="58"/>
  <c r="K300" i="58"/>
  <c r="K953" i="58"/>
  <c r="K550" i="58"/>
  <c r="K969" i="58"/>
  <c r="K968" i="58"/>
  <c r="K661" i="58"/>
  <c r="K660" i="58"/>
  <c r="K802" i="58"/>
  <c r="S235" i="12"/>
  <c r="W235" i="12"/>
  <c r="N655" i="58"/>
  <c r="J807" i="58"/>
  <c r="K963" i="58"/>
  <c r="J803" i="58"/>
  <c r="K959" i="58"/>
  <c r="K653" i="58"/>
  <c r="J805" i="58"/>
  <c r="K961" i="58"/>
  <c r="N954" i="58"/>
  <c r="N406" i="58"/>
  <c r="N402" i="58"/>
  <c r="J314" i="58"/>
  <c r="K659" i="58"/>
  <c r="N967" i="58"/>
  <c r="J922" i="58"/>
  <c r="J183" i="58"/>
  <c r="J53" i="58" s="1"/>
  <c r="J79" i="58" s="1"/>
  <c r="J105" i="58" s="1"/>
  <c r="J131" i="58" s="1"/>
  <c r="J157" i="58" s="1"/>
  <c r="N209" i="58"/>
  <c r="K209" i="58"/>
  <c r="J890" i="58"/>
  <c r="K890" i="58"/>
  <c r="N571" i="58"/>
  <c r="N707" i="58"/>
  <c r="J863" i="58"/>
  <c r="M514" i="58"/>
  <c r="J360" i="58"/>
  <c r="N986" i="58"/>
  <c r="J280" i="58"/>
  <c r="M630" i="58"/>
  <c r="M934" i="58"/>
  <c r="N934" i="58"/>
  <c r="M470" i="58"/>
  <c r="J340" i="58"/>
  <c r="J392" i="58"/>
  <c r="N680" i="58"/>
  <c r="J836" i="58"/>
  <c r="M285" i="58"/>
  <c r="M635" i="58"/>
  <c r="M783" i="58"/>
  <c r="N939" i="58"/>
  <c r="J180" i="58"/>
  <c r="J50" i="58" s="1"/>
  <c r="J76" i="58" s="1"/>
  <c r="J102" i="58" s="1"/>
  <c r="J128" i="58" s="1"/>
  <c r="J154" i="58" s="1"/>
  <c r="N232" i="58"/>
  <c r="J591" i="58"/>
  <c r="J731" i="58"/>
  <c r="M511" i="58"/>
  <c r="M279" i="58"/>
  <c r="M629" i="58"/>
  <c r="M777" i="58"/>
  <c r="N933" i="58"/>
  <c r="M276" i="58"/>
  <c r="J548" i="58"/>
  <c r="J774" i="58"/>
  <c r="N930" i="58"/>
  <c r="M275" i="58"/>
  <c r="M547" i="58"/>
  <c r="M773" i="58"/>
  <c r="J929" i="58"/>
  <c r="M274" i="58"/>
  <c r="J546" i="58"/>
  <c r="J772" i="58"/>
  <c r="M928" i="58"/>
  <c r="M273" i="58"/>
  <c r="M545" i="58"/>
  <c r="M771" i="58"/>
  <c r="J927" i="58"/>
  <c r="M287" i="58"/>
  <c r="M637" i="58"/>
  <c r="M785" i="58"/>
  <c r="N941" i="58"/>
  <c r="M272" i="58"/>
  <c r="J626" i="58"/>
  <c r="J770" i="58"/>
  <c r="M926" i="58"/>
  <c r="M271" i="58"/>
  <c r="M625" i="58"/>
  <c r="M769" i="58"/>
  <c r="J925" i="58"/>
  <c r="X340" i="12"/>
  <c r="T340" i="12"/>
  <c r="N255" i="58"/>
  <c r="J754" i="58"/>
  <c r="N910" i="58"/>
  <c r="N253" i="58"/>
  <c r="J752" i="58"/>
  <c r="N908" i="58"/>
  <c r="N535" i="58"/>
  <c r="N698" i="58"/>
  <c r="N854" i="58"/>
  <c r="N404" i="58"/>
  <c r="N429" i="58"/>
  <c r="J900" i="58"/>
  <c r="K652" i="58"/>
  <c r="N960" i="58"/>
  <c r="N299" i="58"/>
  <c r="K549" i="58"/>
  <c r="K796" i="58"/>
  <c r="J250" i="58"/>
  <c r="J905" i="58"/>
  <c r="N541" i="58"/>
  <c r="N746" i="58"/>
  <c r="N901" i="58"/>
  <c r="K311" i="58"/>
  <c r="N808" i="58"/>
  <c r="J964" i="58"/>
  <c r="N286" i="58"/>
  <c r="N636" i="58"/>
  <c r="M784" i="58"/>
  <c r="N784" i="58"/>
  <c r="J940" i="58"/>
  <c r="K181" i="58"/>
  <c r="K51" i="58" s="1"/>
  <c r="K77" i="58" s="1"/>
  <c r="K103" i="58" s="1"/>
  <c r="K129" i="58" s="1"/>
  <c r="K155" i="58" s="1"/>
  <c r="J207" i="58"/>
  <c r="K233" i="58"/>
  <c r="K732" i="58"/>
  <c r="N888" i="58"/>
  <c r="J705" i="58"/>
  <c r="N861" i="58"/>
  <c r="N332" i="58"/>
  <c r="N384" i="58"/>
  <c r="J672" i="58"/>
  <c r="N438" i="58"/>
  <c r="J188" i="58"/>
  <c r="J58" i="58" s="1"/>
  <c r="J84" i="58" s="1"/>
  <c r="J110" i="58" s="1"/>
  <c r="J136" i="58" s="1"/>
  <c r="J162" i="58" s="1"/>
  <c r="N239" i="58"/>
  <c r="K214" i="58"/>
  <c r="K599" i="58"/>
  <c r="K739" i="58"/>
  <c r="N895" i="58"/>
  <c r="M493" i="58"/>
  <c r="N363" i="58"/>
  <c r="J677" i="58"/>
  <c r="N283" i="58"/>
  <c r="M937" i="58"/>
  <c r="N204" i="58"/>
  <c r="K230" i="58"/>
  <c r="N589" i="58"/>
  <c r="N729" i="58"/>
  <c r="K885" i="58"/>
  <c r="J565" i="58"/>
  <c r="J700" i="58"/>
  <c r="J613" i="58"/>
  <c r="J757" i="58"/>
  <c r="J609" i="58"/>
  <c r="J753" i="58"/>
  <c r="J176" i="58"/>
  <c r="J46" i="58" s="1"/>
  <c r="J72" i="58" s="1"/>
  <c r="J98" i="58" s="1"/>
  <c r="J124" i="58" s="1"/>
  <c r="J150" i="58" s="1"/>
  <c r="K202" i="58"/>
  <c r="J228" i="58"/>
  <c r="J587" i="58"/>
  <c r="J727" i="58"/>
  <c r="K883" i="58"/>
  <c r="J199" i="58"/>
  <c r="J540" i="58"/>
  <c r="K540" i="58"/>
  <c r="J724" i="58"/>
  <c r="J880" i="58"/>
  <c r="J172" i="58"/>
  <c r="J42" i="58" s="1"/>
  <c r="J68" i="58" s="1"/>
  <c r="J94" i="58" s="1"/>
  <c r="J120" i="58" s="1"/>
  <c r="J146" i="58" s="1"/>
  <c r="K198" i="58"/>
  <c r="J224" i="58"/>
  <c r="J539" i="58"/>
  <c r="J723" i="58"/>
  <c r="K879" i="58"/>
  <c r="J197" i="58"/>
  <c r="J538" i="58"/>
  <c r="K538" i="58"/>
  <c r="J722" i="58"/>
  <c r="J878" i="58"/>
  <c r="J170" i="58"/>
  <c r="J40" i="58" s="1"/>
  <c r="J66" i="58" s="1"/>
  <c r="J92" i="58" s="1"/>
  <c r="J118" i="58" s="1"/>
  <c r="J144" i="58" s="1"/>
  <c r="K196" i="58"/>
  <c r="J222" i="58"/>
  <c r="J537" i="58"/>
  <c r="J721" i="58"/>
  <c r="K877" i="58"/>
  <c r="N236" i="58"/>
  <c r="J891" i="58"/>
  <c r="J169" i="58"/>
  <c r="J39" i="58" s="1"/>
  <c r="J65" i="58" s="1"/>
  <c r="J91" i="58" s="1"/>
  <c r="J117" i="58" s="1"/>
  <c r="J143" i="58" s="1"/>
  <c r="K195" i="58"/>
  <c r="J221" i="58"/>
  <c r="K876" i="58"/>
  <c r="J194" i="58"/>
  <c r="W214" i="12"/>
  <c r="S214" i="12"/>
  <c r="V236" i="12"/>
  <c r="R236" i="12"/>
  <c r="J303" i="58"/>
  <c r="J648" i="58"/>
  <c r="J800" i="58"/>
  <c r="K956" i="58"/>
  <c r="N248" i="58"/>
  <c r="N542" i="58"/>
  <c r="N747" i="58"/>
  <c r="N261" i="58"/>
  <c r="N916" i="58"/>
  <c r="N405" i="58"/>
  <c r="N430" i="58"/>
  <c r="N309" i="58"/>
  <c r="K806" i="58"/>
  <c r="N11" i="58"/>
  <c r="J18" i="58"/>
  <c r="J9" i="58"/>
  <c r="J19" i="58" s="1"/>
  <c r="O8" i="58"/>
  <c r="L17" i="58"/>
  <c r="L10" i="58"/>
  <c r="L20" i="58" s="1"/>
  <c r="J17" i="58"/>
  <c r="J10" i="58"/>
  <c r="J20" i="58" s="1"/>
  <c r="J364" i="58"/>
  <c r="N990" i="58"/>
  <c r="J284" i="58"/>
  <c r="M634" i="58"/>
  <c r="M938" i="58"/>
  <c r="N938" i="58"/>
  <c r="J205" i="58"/>
  <c r="K205" i="58"/>
  <c r="N205" i="58"/>
  <c r="J590" i="58"/>
  <c r="K590" i="58"/>
  <c r="J730" i="58"/>
  <c r="M460" i="58"/>
  <c r="N445" i="58"/>
  <c r="N411" i="58"/>
  <c r="M291" i="58"/>
  <c r="M641" i="58"/>
  <c r="M789" i="58"/>
  <c r="N945" i="58"/>
  <c r="N185" i="58"/>
  <c r="N55" i="58" s="1"/>
  <c r="N81" i="58" s="1"/>
  <c r="N107" i="58" s="1"/>
  <c r="N133" i="58" s="1"/>
  <c r="N159" i="58" s="1"/>
  <c r="J211" i="58"/>
  <c r="J238" i="58"/>
  <c r="J596" i="58"/>
  <c r="K596" i="58"/>
  <c r="J736" i="58"/>
  <c r="N572" i="58"/>
  <c r="N708" i="58"/>
  <c r="J864" i="58"/>
  <c r="M465" i="58"/>
  <c r="J335" i="58"/>
  <c r="J387" i="58"/>
  <c r="N987" i="58"/>
  <c r="M281" i="58"/>
  <c r="M631" i="58"/>
  <c r="M779" i="58"/>
  <c r="N935" i="58"/>
  <c r="N857" i="58"/>
  <c r="M484" i="58"/>
  <c r="M506" i="58"/>
  <c r="M454" i="58"/>
  <c r="M478" i="58"/>
  <c r="M517" i="58"/>
  <c r="N865" i="58"/>
  <c r="N336" i="58"/>
  <c r="N388" i="58"/>
  <c r="J676" i="58"/>
  <c r="N177" i="58"/>
  <c r="N47" i="58" s="1"/>
  <c r="N73" i="58" s="1"/>
  <c r="N99" i="58" s="1"/>
  <c r="N125" i="58" s="1"/>
  <c r="N151" i="58" s="1"/>
  <c r="K177" i="58"/>
  <c r="K47" i="58" s="1"/>
  <c r="K73" i="58" s="1"/>
  <c r="K99" i="58" s="1"/>
  <c r="K125" i="58" s="1"/>
  <c r="K151" i="58" s="1"/>
  <c r="N229" i="58"/>
  <c r="N588" i="58"/>
  <c r="N728" i="58"/>
  <c r="J884" i="58"/>
  <c r="N418" i="58"/>
  <c r="N369" i="58"/>
  <c r="J683" i="58"/>
  <c r="N288" i="58"/>
  <c r="N638" i="58"/>
  <c r="M786" i="58"/>
  <c r="N786" i="58"/>
  <c r="J942" i="58"/>
  <c r="K182" i="58"/>
  <c r="K52" i="58" s="1"/>
  <c r="K78" i="58" s="1"/>
  <c r="K104" i="58" s="1"/>
  <c r="K130" i="58" s="1"/>
  <c r="K156" i="58" s="1"/>
  <c r="J208" i="58"/>
  <c r="K234" i="58"/>
  <c r="N593" i="58"/>
  <c r="N733" i="58"/>
  <c r="J570" i="58"/>
  <c r="N706" i="58"/>
  <c r="N333" i="58"/>
  <c r="N385" i="58"/>
  <c r="N829" i="58"/>
  <c r="J985" i="58"/>
  <c r="N915" i="58"/>
  <c r="I915" i="58"/>
  <c r="N911" i="58"/>
  <c r="I911" i="58"/>
  <c r="N357" i="58"/>
  <c r="J671" i="58"/>
  <c r="N328" i="58"/>
  <c r="N380" i="58"/>
  <c r="J556" i="58"/>
  <c r="N980" i="58"/>
  <c r="N353" i="58"/>
  <c r="J555" i="58"/>
  <c r="N979" i="58"/>
  <c r="N326" i="58"/>
  <c r="N378" i="58"/>
  <c r="J554" i="58"/>
  <c r="N351" i="58"/>
  <c r="J553" i="58"/>
  <c r="N339" i="58"/>
  <c r="N391" i="58"/>
  <c r="N835" i="58"/>
  <c r="J991" i="58"/>
  <c r="N350" i="58"/>
  <c r="N820" i="58"/>
  <c r="J976" i="58"/>
  <c r="N323" i="58"/>
  <c r="N375" i="58"/>
  <c r="N819" i="58"/>
  <c r="N975" i="58"/>
  <c r="N564" i="58"/>
  <c r="N695" i="58"/>
  <c r="N851" i="58"/>
  <c r="N318" i="58"/>
  <c r="N815" i="58"/>
  <c r="J971" i="58"/>
  <c r="N313" i="58"/>
  <c r="J658" i="58"/>
  <c r="K810" i="58"/>
  <c r="J320" i="58"/>
  <c r="K665" i="58"/>
  <c r="N973" i="58"/>
  <c r="N312" i="58"/>
  <c r="N809" i="58"/>
  <c r="J965" i="58"/>
  <c r="K297" i="58"/>
  <c r="N646" i="58"/>
  <c r="N794" i="58"/>
  <c r="J950" i="58"/>
  <c r="J302" i="58"/>
  <c r="N955" i="58"/>
  <c r="J298" i="58"/>
  <c r="N951" i="58"/>
  <c r="J904" i="58"/>
  <c r="K662" i="58"/>
  <c r="N970" i="58"/>
  <c r="I931" i="58"/>
  <c r="K931" i="58"/>
  <c r="H931" i="58"/>
  <c r="L931" i="58"/>
  <c r="J931" i="58"/>
  <c r="M931" i="58"/>
  <c r="N931" i="58"/>
  <c r="H775" i="58"/>
  <c r="L775" i="58"/>
  <c r="I775" i="58"/>
  <c r="M775" i="58"/>
  <c r="J775" i="58"/>
  <c r="N775" i="58"/>
  <c r="K775" i="58"/>
  <c r="I627" i="58"/>
  <c r="M627" i="58"/>
  <c r="J627" i="58"/>
  <c r="N627" i="58"/>
  <c r="K627" i="58"/>
  <c r="H627" i="58"/>
  <c r="L627" i="58"/>
  <c r="K277" i="58"/>
  <c r="N277" i="58"/>
  <c r="J277" i="58"/>
  <c r="M277" i="58"/>
  <c r="I277" i="58"/>
  <c r="L277" i="58"/>
  <c r="H277" i="58"/>
  <c r="D25" i="26"/>
  <c r="E44" i="12" s="1"/>
  <c r="D82" i="26"/>
  <c r="E101" i="12" s="1"/>
  <c r="H78" i="12"/>
  <c r="G89" i="12"/>
  <c r="K321" i="58"/>
  <c r="N321" i="58"/>
  <c r="J321" i="58"/>
  <c r="M321" i="58"/>
  <c r="I321" i="58"/>
  <c r="L321" i="58"/>
  <c r="H321" i="58"/>
  <c r="H972" i="58"/>
  <c r="L972" i="58"/>
  <c r="I972" i="58"/>
  <c r="M972" i="58"/>
  <c r="J972" i="58"/>
  <c r="N972" i="58"/>
  <c r="K972" i="58"/>
  <c r="H816" i="58"/>
  <c r="L816" i="58"/>
  <c r="I816" i="58"/>
  <c r="M816" i="58"/>
  <c r="J816" i="58"/>
  <c r="N816" i="58"/>
  <c r="K816" i="58"/>
  <c r="H664" i="58"/>
  <c r="L664" i="58"/>
  <c r="I664" i="58"/>
  <c r="M664" i="58"/>
  <c r="J664" i="58"/>
  <c r="N664" i="58"/>
  <c r="K664" i="58"/>
  <c r="K319" i="58"/>
  <c r="N319" i="58"/>
  <c r="J319" i="58"/>
  <c r="M319" i="58"/>
  <c r="I319" i="58"/>
  <c r="L319" i="58"/>
  <c r="H319" i="58"/>
  <c r="I52" i="12"/>
  <c r="N433" i="58"/>
  <c r="J433" i="58"/>
  <c r="N408" i="58"/>
  <c r="J408" i="58"/>
  <c r="M433" i="58"/>
  <c r="I433" i="58"/>
  <c r="M408" i="58"/>
  <c r="I408" i="58"/>
  <c r="L433" i="58"/>
  <c r="H433" i="58"/>
  <c r="H408" i="58"/>
  <c r="K433" i="58"/>
  <c r="L408" i="58"/>
  <c r="K408" i="58"/>
  <c r="M473" i="58"/>
  <c r="M498" i="58"/>
  <c r="M523" i="58"/>
  <c r="K600" i="58"/>
  <c r="K896" i="58"/>
  <c r="K215" i="58"/>
  <c r="K740" i="58"/>
  <c r="K241" i="58"/>
  <c r="K189" i="58"/>
  <c r="K59" i="58" s="1"/>
  <c r="K85" i="58" s="1"/>
  <c r="K111" i="58" s="1"/>
  <c r="K137" i="58" s="1"/>
  <c r="K163" i="58" s="1"/>
  <c r="T336" i="12"/>
  <c r="X336" i="12"/>
  <c r="X338" i="12"/>
  <c r="T338" i="12"/>
  <c r="K310" i="58"/>
  <c r="J655" i="58"/>
  <c r="K807" i="58"/>
  <c r="K306" i="58"/>
  <c r="K803" i="58"/>
  <c r="K308" i="58"/>
  <c r="N653" i="58"/>
  <c r="K805" i="58"/>
  <c r="K301" i="58"/>
  <c r="N551" i="58"/>
  <c r="N798" i="58"/>
  <c r="J954" i="58"/>
  <c r="N431" i="58"/>
  <c r="N427" i="58"/>
  <c r="N314" i="58"/>
  <c r="N811" i="58"/>
  <c r="J967" i="58"/>
  <c r="N622" i="58"/>
  <c r="N766" i="58"/>
  <c r="N183" i="58"/>
  <c r="N53" i="58" s="1"/>
  <c r="N79" i="58" s="1"/>
  <c r="N105" i="58" s="1"/>
  <c r="N131" i="58" s="1"/>
  <c r="N157" i="58" s="1"/>
  <c r="J235" i="58"/>
  <c r="N594" i="58"/>
  <c r="N734" i="58"/>
  <c r="J571" i="58"/>
  <c r="J707" i="58"/>
  <c r="M489" i="58"/>
  <c r="N360" i="58"/>
  <c r="N830" i="58"/>
  <c r="J986" i="58"/>
  <c r="N280" i="58"/>
  <c r="N630" i="58"/>
  <c r="M778" i="58"/>
  <c r="N778" i="58"/>
  <c r="J934" i="58"/>
  <c r="N415" i="58"/>
  <c r="N340" i="58"/>
  <c r="N392" i="58"/>
  <c r="J680" i="58"/>
  <c r="N635" i="58"/>
  <c r="N783" i="58"/>
  <c r="J939" i="58"/>
  <c r="N180" i="58"/>
  <c r="N50" i="58" s="1"/>
  <c r="N76" i="58" s="1"/>
  <c r="N102" i="58" s="1"/>
  <c r="N128" i="58" s="1"/>
  <c r="N154" i="58" s="1"/>
  <c r="K206" i="58"/>
  <c r="J206" i="58"/>
  <c r="K591" i="58"/>
  <c r="K731" i="58"/>
  <c r="N887" i="58"/>
  <c r="N568" i="58"/>
  <c r="J860" i="58"/>
  <c r="M486" i="58"/>
  <c r="N439" i="58"/>
  <c r="N410" i="58"/>
  <c r="N629" i="58"/>
  <c r="N777" i="58"/>
  <c r="J933" i="58"/>
  <c r="J930" i="58"/>
  <c r="N547" i="58"/>
  <c r="N773" i="58"/>
  <c r="N929" i="58"/>
  <c r="N928" i="58"/>
  <c r="N545" i="58"/>
  <c r="N771" i="58"/>
  <c r="N637" i="58"/>
  <c r="N785" i="58"/>
  <c r="J941" i="58"/>
  <c r="N926" i="58"/>
  <c r="N625" i="58"/>
  <c r="N769" i="58"/>
  <c r="W336" i="12"/>
  <c r="S336" i="12"/>
  <c r="Q233" i="12"/>
  <c r="J910" i="58"/>
  <c r="J908" i="58"/>
  <c r="J535" i="58"/>
  <c r="J698" i="58"/>
  <c r="J854" i="58"/>
  <c r="N417" i="58"/>
  <c r="N604" i="58"/>
  <c r="N744" i="58"/>
  <c r="K307" i="58"/>
  <c r="N804" i="58"/>
  <c r="J960" i="58"/>
  <c r="N952" i="58"/>
  <c r="N250" i="58"/>
  <c r="N544" i="58"/>
  <c r="N749" i="58"/>
  <c r="J541" i="58"/>
  <c r="J746" i="58"/>
  <c r="J247" i="58"/>
  <c r="J901" i="58"/>
  <c r="J311" i="58"/>
  <c r="N656" i="58"/>
  <c r="J808" i="58"/>
  <c r="K964" i="58"/>
  <c r="M286" i="58"/>
  <c r="J636" i="58"/>
  <c r="J784" i="58"/>
  <c r="J181" i="58"/>
  <c r="J51" i="58" s="1"/>
  <c r="J77" i="58" s="1"/>
  <c r="J103" i="58" s="1"/>
  <c r="J129" i="58" s="1"/>
  <c r="J155" i="58" s="1"/>
  <c r="N207" i="58"/>
  <c r="K207" i="58"/>
  <c r="J888" i="58"/>
  <c r="K888" i="58"/>
  <c r="J861" i="58"/>
  <c r="M512" i="58"/>
  <c r="J358" i="58"/>
  <c r="N984" i="58"/>
  <c r="N188" i="58"/>
  <c r="N58" i="58" s="1"/>
  <c r="N84" i="58" s="1"/>
  <c r="N110" i="58" s="1"/>
  <c r="N136" i="58" s="1"/>
  <c r="N162" i="58" s="1"/>
  <c r="J214" i="58"/>
  <c r="J240" i="58"/>
  <c r="J895" i="58"/>
  <c r="N867" i="58"/>
  <c r="M468" i="58"/>
  <c r="J337" i="58"/>
  <c r="J389" i="58"/>
  <c r="N989" i="58"/>
  <c r="M283" i="58"/>
  <c r="M633" i="58"/>
  <c r="M781" i="58"/>
  <c r="N937" i="58"/>
  <c r="J178" i="58"/>
  <c r="J48" i="58" s="1"/>
  <c r="J74" i="58" s="1"/>
  <c r="J100" i="58" s="1"/>
  <c r="J126" i="58" s="1"/>
  <c r="J152" i="58" s="1"/>
  <c r="K204" i="58"/>
  <c r="J230" i="58"/>
  <c r="J589" i="58"/>
  <c r="J729" i="58"/>
  <c r="N856" i="58"/>
  <c r="N913" i="58"/>
  <c r="N909" i="58"/>
  <c r="N176" i="58"/>
  <c r="N46" i="58" s="1"/>
  <c r="N72" i="58" s="1"/>
  <c r="N98" i="58" s="1"/>
  <c r="N124" i="58" s="1"/>
  <c r="N150" i="58" s="1"/>
  <c r="K176" i="58"/>
  <c r="K46" i="58" s="1"/>
  <c r="K72" i="58" s="1"/>
  <c r="K98" i="58" s="1"/>
  <c r="K124" i="58" s="1"/>
  <c r="K150" i="58" s="1"/>
  <c r="N228" i="58"/>
  <c r="K587" i="58"/>
  <c r="K727" i="58"/>
  <c r="N199" i="58"/>
  <c r="K225" i="58"/>
  <c r="K724" i="58"/>
  <c r="K880" i="58"/>
  <c r="N172" i="58"/>
  <c r="N42" i="58" s="1"/>
  <c r="N68" i="58" s="1"/>
  <c r="N94" i="58" s="1"/>
  <c r="N120" i="58" s="1"/>
  <c r="N146" i="58" s="1"/>
  <c r="K172" i="58"/>
  <c r="K42" i="58" s="1"/>
  <c r="K68" i="58" s="1"/>
  <c r="K94" i="58" s="1"/>
  <c r="K120" i="58" s="1"/>
  <c r="K146" i="58" s="1"/>
  <c r="N224" i="58"/>
  <c r="K539" i="58"/>
  <c r="K723" i="58"/>
  <c r="N197" i="58"/>
  <c r="K223" i="58"/>
  <c r="K722" i="58"/>
  <c r="N170" i="58"/>
  <c r="N40" i="58" s="1"/>
  <c r="N66" i="58" s="1"/>
  <c r="N92" i="58" s="1"/>
  <c r="N118" i="58" s="1"/>
  <c r="N144" i="58" s="1"/>
  <c r="K170" i="58"/>
  <c r="K40" i="58" s="1"/>
  <c r="K66" i="58" s="1"/>
  <c r="K92" i="58" s="1"/>
  <c r="K118" i="58" s="1"/>
  <c r="K144" i="58" s="1"/>
  <c r="N222" i="58"/>
  <c r="K537" i="58"/>
  <c r="K721" i="58"/>
  <c r="K184" i="58"/>
  <c r="K54" i="58" s="1"/>
  <c r="K80" i="58" s="1"/>
  <c r="K106" i="58" s="1"/>
  <c r="K132" i="58" s="1"/>
  <c r="K158" i="58" s="1"/>
  <c r="J210" i="58"/>
  <c r="K236" i="58"/>
  <c r="N595" i="58"/>
  <c r="N735" i="58"/>
  <c r="K891" i="58"/>
  <c r="N169" i="58"/>
  <c r="N39" i="58" s="1"/>
  <c r="N65" i="58" s="1"/>
  <c r="N91" i="58" s="1"/>
  <c r="N117" i="58" s="1"/>
  <c r="N143" i="58" s="1"/>
  <c r="K169" i="58"/>
  <c r="K39" i="58" s="1"/>
  <c r="K65" i="58" s="1"/>
  <c r="K91" i="58" s="1"/>
  <c r="K117" i="58" s="1"/>
  <c r="K143" i="58" s="1"/>
  <c r="N221" i="58"/>
  <c r="N584" i="58"/>
  <c r="N720" i="58"/>
  <c r="N876" i="58"/>
  <c r="N194" i="58"/>
  <c r="K220" i="58"/>
  <c r="N583" i="58"/>
  <c r="N719" i="58"/>
  <c r="N875" i="58"/>
  <c r="R214" i="12"/>
  <c r="V214" i="12"/>
  <c r="U339" i="12"/>
  <c r="Q339" i="12"/>
  <c r="N303" i="58"/>
  <c r="K648" i="58"/>
  <c r="K800" i="58"/>
  <c r="J542" i="58"/>
  <c r="J747" i="58"/>
  <c r="J916" i="58"/>
  <c r="K654" i="58"/>
  <c r="N962" i="58"/>
  <c r="J269" i="58"/>
  <c r="I18" i="58"/>
  <c r="I9" i="58"/>
  <c r="I19" i="58" s="1"/>
  <c r="H18" i="58"/>
  <c r="H9" i="58"/>
  <c r="H19" i="58" s="1"/>
  <c r="I17" i="58"/>
  <c r="I10" i="58"/>
  <c r="I20" i="58" s="1"/>
  <c r="N17" i="58"/>
  <c r="N10" i="58"/>
  <c r="N20" i="58" s="1"/>
  <c r="H17" i="58"/>
  <c r="H10" i="58"/>
  <c r="H20" i="58" s="1"/>
  <c r="N364" i="58"/>
  <c r="N834" i="58"/>
  <c r="J990" i="58"/>
  <c r="N284" i="58"/>
  <c r="N634" i="58"/>
  <c r="M782" i="58"/>
  <c r="N782" i="58"/>
  <c r="J938" i="58"/>
  <c r="K231" i="58"/>
  <c r="K730" i="58"/>
  <c r="N886" i="58"/>
  <c r="N567" i="58"/>
  <c r="N641" i="58"/>
  <c r="N789" i="58"/>
  <c r="J945" i="58"/>
  <c r="N211" i="58"/>
  <c r="N238" i="58"/>
  <c r="K238" i="58"/>
  <c r="K736" i="58"/>
  <c r="N892" i="58"/>
  <c r="J572" i="58"/>
  <c r="J708" i="58"/>
  <c r="N335" i="58"/>
  <c r="N387" i="58"/>
  <c r="N831" i="58"/>
  <c r="J987" i="58"/>
  <c r="N631" i="58"/>
  <c r="N779" i="58"/>
  <c r="J935" i="58"/>
  <c r="N566" i="58"/>
  <c r="N416" i="58"/>
  <c r="N437" i="58"/>
  <c r="M459" i="58"/>
  <c r="M481" i="58"/>
  <c r="M505" i="58"/>
  <c r="M453" i="58"/>
  <c r="M492" i="58"/>
  <c r="M502" i="58"/>
  <c r="N573" i="58"/>
  <c r="N709" i="58"/>
  <c r="J865" i="58"/>
  <c r="M516" i="58"/>
  <c r="J362" i="58"/>
  <c r="N988" i="58"/>
  <c r="J282" i="58"/>
  <c r="M632" i="58"/>
  <c r="M936" i="58"/>
  <c r="N936" i="58"/>
  <c r="J203" i="58"/>
  <c r="J588" i="58"/>
  <c r="K588" i="58"/>
  <c r="J728" i="58"/>
  <c r="J343" i="58"/>
  <c r="J395" i="58"/>
  <c r="N995" i="58"/>
  <c r="M288" i="58"/>
  <c r="J638" i="58"/>
  <c r="J786" i="58"/>
  <c r="J182" i="58"/>
  <c r="J52" i="58" s="1"/>
  <c r="J78" i="58" s="1"/>
  <c r="J104" i="58" s="1"/>
  <c r="J130" i="58" s="1"/>
  <c r="J156" i="58" s="1"/>
  <c r="N208" i="58"/>
  <c r="K208" i="58"/>
  <c r="J593" i="58"/>
  <c r="J733" i="58"/>
  <c r="M513" i="58"/>
  <c r="J359" i="58"/>
  <c r="N673" i="58"/>
  <c r="J829" i="58"/>
  <c r="J260" i="58"/>
  <c r="J915" i="58"/>
  <c r="J256" i="58"/>
  <c r="J911" i="58"/>
  <c r="J331" i="58"/>
  <c r="J383" i="58"/>
  <c r="N983" i="58"/>
  <c r="J354" i="58"/>
  <c r="J980" i="58"/>
  <c r="J327" i="58"/>
  <c r="J379" i="58"/>
  <c r="J352" i="58"/>
  <c r="N978" i="58"/>
  <c r="J325" i="58"/>
  <c r="J377" i="58"/>
  <c r="J365" i="58"/>
  <c r="N679" i="58"/>
  <c r="J835" i="58"/>
  <c r="J324" i="58"/>
  <c r="J376" i="58"/>
  <c r="N668" i="58"/>
  <c r="J820" i="58"/>
  <c r="J349" i="58"/>
  <c r="N667" i="58"/>
  <c r="J819" i="58"/>
  <c r="J975" i="58"/>
  <c r="J564" i="58"/>
  <c r="J695" i="58"/>
  <c r="J851" i="58"/>
  <c r="N663" i="58"/>
  <c r="J815" i="58"/>
  <c r="K971" i="58"/>
  <c r="K658" i="58"/>
  <c r="N966" i="58"/>
  <c r="N320" i="58"/>
  <c r="N817" i="58"/>
  <c r="J973" i="58"/>
  <c r="N657" i="58"/>
  <c r="J809" i="58"/>
  <c r="K965" i="58"/>
  <c r="J297" i="58"/>
  <c r="J646" i="58"/>
  <c r="J794" i="58"/>
  <c r="K950" i="58"/>
  <c r="N302" i="58"/>
  <c r="N552" i="58"/>
  <c r="N799" i="58"/>
  <c r="J955" i="58"/>
  <c r="N298" i="58"/>
  <c r="N647" i="58"/>
  <c r="N795" i="58"/>
  <c r="J951" i="58"/>
  <c r="N543" i="58"/>
  <c r="I543" i="58"/>
  <c r="N748" i="58"/>
  <c r="I748" i="58"/>
  <c r="K317" i="58"/>
  <c r="N814" i="58"/>
  <c r="J970" i="58"/>
  <c r="D940" i="11"/>
  <c r="C20" i="58"/>
  <c r="B1206" i="11"/>
  <c r="B1214" i="11"/>
  <c r="B1216" i="11"/>
  <c r="B1195" i="11"/>
  <c r="B1199" i="11"/>
  <c r="B1208" i="11"/>
  <c r="D933" i="11"/>
  <c r="C934" i="11"/>
  <c r="C943" i="11"/>
  <c r="C192" i="11"/>
  <c r="H104" i="12"/>
  <c r="H40" i="12"/>
  <c r="H38" i="12"/>
  <c r="H86" i="12"/>
  <c r="H141" i="12"/>
  <c r="G136" i="12"/>
  <c r="G58" i="12"/>
  <c r="H136" i="12"/>
  <c r="G130" i="12"/>
  <c r="G94" i="12"/>
  <c r="H94" i="12"/>
  <c r="H130" i="12"/>
  <c r="H89" i="12"/>
  <c r="AH72" i="26"/>
  <c r="AG77" i="26"/>
  <c r="AG79" i="26"/>
  <c r="AF84" i="26"/>
  <c r="T103" i="12" s="1"/>
  <c r="AE87" i="26"/>
  <c r="S106" i="12" s="1"/>
  <c r="AE89" i="26"/>
  <c r="S108" i="12" s="1"/>
  <c r="AE69" i="26"/>
  <c r="S88" i="12" s="1"/>
  <c r="AG20" i="26"/>
  <c r="AG22" i="26"/>
  <c r="AH56" i="26"/>
  <c r="AH58" i="26"/>
  <c r="AG56" i="26"/>
  <c r="AG58" i="26"/>
  <c r="AF61" i="26"/>
  <c r="T80" i="12" s="1"/>
  <c r="AF63" i="26"/>
  <c r="T82" i="12" s="1"/>
  <c r="AE56" i="26"/>
  <c r="S75" i="12" s="1"/>
  <c r="AE58" i="26"/>
  <c r="S77" i="12" s="1"/>
  <c r="H52" i="12"/>
  <c r="S10" i="12"/>
  <c r="T10" i="12"/>
  <c r="AI12" i="12"/>
  <c r="R9" i="12"/>
  <c r="V84" i="44"/>
  <c r="N499" i="58" s="1"/>
  <c r="P12" i="44"/>
  <c r="AI13" i="12"/>
  <c r="R11" i="12"/>
  <c r="N11" i="12"/>
  <c r="M12" i="12"/>
  <c r="M13" i="12" s="1"/>
  <c r="M10" i="12"/>
  <c r="M9" i="12"/>
  <c r="L12" i="12"/>
  <c r="L13" i="12" s="1"/>
  <c r="L10" i="12"/>
  <c r="L9" i="12"/>
  <c r="H938" i="25"/>
  <c r="H955" i="25"/>
  <c r="H12" i="25"/>
  <c r="H29" i="25"/>
  <c r="H271" i="25"/>
  <c r="H288" i="25"/>
  <c r="H309" i="25"/>
  <c r="H326" i="25"/>
  <c r="H419" i="25"/>
  <c r="H436" i="25"/>
  <c r="H457" i="25"/>
  <c r="H474" i="25"/>
  <c r="H567" i="25"/>
  <c r="H584" i="25"/>
  <c r="H642" i="25"/>
  <c r="H659" i="25"/>
  <c r="H715" i="25"/>
  <c r="H732" i="25"/>
  <c r="H790" i="25"/>
  <c r="H807" i="25"/>
  <c r="H863" i="25"/>
  <c r="H880" i="25"/>
  <c r="H974" i="25"/>
  <c r="H991" i="25"/>
  <c r="H1012" i="25"/>
  <c r="H1029" i="25"/>
  <c r="H1122" i="25"/>
  <c r="H1139" i="25"/>
  <c r="H345" i="25"/>
  <c r="H362" i="25"/>
  <c r="H382" i="25"/>
  <c r="H399" i="25"/>
  <c r="H604" i="25"/>
  <c r="H621" i="25"/>
  <c r="H678" i="25"/>
  <c r="H695" i="25"/>
  <c r="H752" i="25"/>
  <c r="H769" i="25"/>
  <c r="H826" i="25"/>
  <c r="H843" i="25"/>
  <c r="H900" i="25"/>
  <c r="H917" i="25"/>
  <c r="H1048" i="25"/>
  <c r="H1065" i="25"/>
  <c r="H1085" i="25"/>
  <c r="H1102" i="25"/>
  <c r="H199" i="25"/>
  <c r="H216" i="25"/>
  <c r="H234" i="25"/>
  <c r="H251" i="25"/>
  <c r="H493" i="25"/>
  <c r="H510" i="25"/>
  <c r="H530" i="25"/>
  <c r="H547" i="25"/>
  <c r="AE67" i="26"/>
  <c r="S86" i="12" s="1"/>
  <c r="AG28" i="26"/>
  <c r="H151" i="12"/>
  <c r="H115" i="12"/>
  <c r="H156" i="12"/>
  <c r="H110" i="12"/>
  <c r="AG44" i="26"/>
  <c r="N77" i="26"/>
  <c r="O77" i="26" s="1"/>
  <c r="P77" i="26" s="1"/>
  <c r="Q77" i="26" s="1"/>
  <c r="R77" i="26" s="1"/>
  <c r="S77" i="26" s="1"/>
  <c r="T77" i="26" s="1"/>
  <c r="U77" i="26" s="1"/>
  <c r="H96" i="12"/>
  <c r="D41" i="26"/>
  <c r="E60" i="12" s="1"/>
  <c r="D61" i="26"/>
  <c r="E80" i="12" s="1"/>
  <c r="B118" i="26"/>
  <c r="C137" i="12" s="1"/>
  <c r="C137" i="11" s="1"/>
  <c r="H122" i="12"/>
  <c r="H101" i="12"/>
  <c r="G125" i="12"/>
  <c r="G73" i="12"/>
  <c r="G99" i="12"/>
  <c r="H146" i="12"/>
  <c r="H125" i="12"/>
  <c r="G120" i="12"/>
  <c r="G68" i="12"/>
  <c r="I39" i="12"/>
  <c r="H53" i="12"/>
  <c r="H99" i="12"/>
  <c r="H132" i="12"/>
  <c r="H91" i="12"/>
  <c r="H112" i="12"/>
  <c r="H39" i="12"/>
  <c r="AF33" i="26"/>
  <c r="T52" i="12" s="1"/>
  <c r="AF20" i="26"/>
  <c r="T39" i="12" s="1"/>
  <c r="AF22" i="26"/>
  <c r="T41" i="12" s="1"/>
  <c r="AF13" i="26"/>
  <c r="T32" i="12" s="1"/>
  <c r="AG129" i="26"/>
  <c r="AG131" i="26"/>
  <c r="AG98" i="26"/>
  <c r="AG100" i="26"/>
  <c r="AE101" i="26"/>
  <c r="S120" i="12" s="1"/>
  <c r="AG124" i="26"/>
  <c r="AG126" i="26"/>
  <c r="AE134" i="26"/>
  <c r="S153" i="12" s="1"/>
  <c r="AE136" i="26"/>
  <c r="S155" i="12" s="1"/>
  <c r="AE122" i="26"/>
  <c r="S141" i="12" s="1"/>
  <c r="AH113" i="26"/>
  <c r="AH115" i="26"/>
  <c r="AH101" i="26"/>
  <c r="AH93" i="26"/>
  <c r="AH95" i="26"/>
  <c r="AG82" i="26"/>
  <c r="AG84" i="26"/>
  <c r="AG70" i="26"/>
  <c r="AF87" i="26"/>
  <c r="T106" i="12" s="1"/>
  <c r="AF89" i="26"/>
  <c r="T108" i="12" s="1"/>
  <c r="AF75" i="26"/>
  <c r="T94" i="12" s="1"/>
  <c r="AF67" i="26"/>
  <c r="T86" i="12" s="1"/>
  <c r="AF69" i="26"/>
  <c r="T88" i="12" s="1"/>
  <c r="AE80" i="26"/>
  <c r="S99" i="12" s="1"/>
  <c r="AE72" i="26"/>
  <c r="S91" i="12" s="1"/>
  <c r="AE74" i="26"/>
  <c r="S93" i="12" s="1"/>
  <c r="AH28" i="26"/>
  <c r="AG35" i="26"/>
  <c r="AG37" i="26"/>
  <c r="AG23" i="26"/>
  <c r="AH51" i="26"/>
  <c r="AH53" i="26"/>
  <c r="AG59" i="26"/>
  <c r="AG51" i="26"/>
  <c r="AG53" i="26"/>
  <c r="AG39" i="26"/>
  <c r="AF46" i="26"/>
  <c r="T65" i="12" s="1"/>
  <c r="AF48" i="26"/>
  <c r="T67" i="12" s="1"/>
  <c r="AE59" i="26"/>
  <c r="S78" i="12" s="1"/>
  <c r="AE51" i="26"/>
  <c r="S70" i="12" s="1"/>
  <c r="AE53" i="26"/>
  <c r="S72" i="12" s="1"/>
  <c r="AE30" i="26"/>
  <c r="S49" i="12" s="1"/>
  <c r="AE32" i="26"/>
  <c r="S51" i="12" s="1"/>
  <c r="AE18" i="26"/>
  <c r="S37" i="12" s="1"/>
  <c r="AF30" i="26"/>
  <c r="T49" i="12" s="1"/>
  <c r="AF32" i="26"/>
  <c r="T51" i="12" s="1"/>
  <c r="AG137" i="26"/>
  <c r="AG119" i="26"/>
  <c r="AG121" i="26"/>
  <c r="AE111" i="26"/>
  <c r="S130" i="12" s="1"/>
  <c r="AE93" i="26"/>
  <c r="S112" i="12" s="1"/>
  <c r="AE95" i="26"/>
  <c r="S114" i="12" s="1"/>
  <c r="AF134" i="26"/>
  <c r="T153" i="12" s="1"/>
  <c r="AF136" i="26"/>
  <c r="T155" i="12" s="1"/>
  <c r="AE139" i="26"/>
  <c r="S158" i="12" s="1"/>
  <c r="AE141" i="26"/>
  <c r="S160" i="12" s="1"/>
  <c r="AE121" i="26"/>
  <c r="S140" i="12" s="1"/>
  <c r="AH98" i="26"/>
  <c r="AH100" i="26"/>
  <c r="AF15" i="26"/>
  <c r="T34" i="12" s="1"/>
  <c r="T33" i="12"/>
  <c r="G56" i="12"/>
  <c r="G53" i="12"/>
  <c r="AF35" i="26"/>
  <c r="T54" i="12" s="1"/>
  <c r="AF37" i="26"/>
  <c r="T56" i="12" s="1"/>
  <c r="AF18" i="26"/>
  <c r="T37" i="12" s="1"/>
  <c r="AG127" i="26"/>
  <c r="AG96" i="26"/>
  <c r="AE103" i="26"/>
  <c r="S122" i="12" s="1"/>
  <c r="AE105" i="26"/>
  <c r="S124" i="12" s="1"/>
  <c r="AG122" i="26"/>
  <c r="AE132" i="26"/>
  <c r="S151" i="12" s="1"/>
  <c r="AE124" i="26"/>
  <c r="S143" i="12" s="1"/>
  <c r="AE126" i="26"/>
  <c r="S145" i="12" s="1"/>
  <c r="AH111" i="26"/>
  <c r="AH103" i="26"/>
  <c r="AH105" i="26"/>
  <c r="AH91" i="26"/>
  <c r="AG80" i="26"/>
  <c r="AG72" i="26"/>
  <c r="AG74" i="26"/>
  <c r="AF85" i="26"/>
  <c r="T104" i="12" s="1"/>
  <c r="AF77" i="26"/>
  <c r="T96" i="12" s="1"/>
  <c r="AF79" i="26"/>
  <c r="T98" i="12" s="1"/>
  <c r="AF65" i="26"/>
  <c r="T84" i="12" s="1"/>
  <c r="AE82" i="26"/>
  <c r="S101" i="12" s="1"/>
  <c r="AE84" i="26"/>
  <c r="S103" i="12" s="1"/>
  <c r="AE70" i="26"/>
  <c r="S89" i="12" s="1"/>
  <c r="AH30" i="26"/>
  <c r="AH32" i="26"/>
  <c r="AG33" i="26"/>
  <c r="AG25" i="26"/>
  <c r="AG27" i="26"/>
  <c r="AH49" i="26"/>
  <c r="AG61" i="26"/>
  <c r="AG63" i="26"/>
  <c r="AG49" i="26"/>
  <c r="AG41" i="26"/>
  <c r="AG43" i="26"/>
  <c r="AF44" i="26"/>
  <c r="T63" i="12" s="1"/>
  <c r="AE61" i="26"/>
  <c r="S80" i="12" s="1"/>
  <c r="AE63" i="26"/>
  <c r="S82" i="12" s="1"/>
  <c r="AE49" i="26"/>
  <c r="S68" i="12" s="1"/>
  <c r="AE28" i="26"/>
  <c r="S47" i="12" s="1"/>
  <c r="AE20" i="26"/>
  <c r="S39" i="12" s="1"/>
  <c r="AE22" i="26"/>
  <c r="S41" i="12" s="1"/>
  <c r="AE16" i="26"/>
  <c r="S35" i="12" s="1"/>
  <c r="AF28" i="26"/>
  <c r="T47" i="12" s="1"/>
  <c r="AG139" i="26"/>
  <c r="AG141" i="26"/>
  <c r="AG117" i="26"/>
  <c r="AE113" i="26"/>
  <c r="S132" i="12" s="1"/>
  <c r="AE115" i="26"/>
  <c r="S134" i="12" s="1"/>
  <c r="AE91" i="26"/>
  <c r="S110" i="12" s="1"/>
  <c r="AF132" i="26"/>
  <c r="T151" i="12" s="1"/>
  <c r="AF124" i="26"/>
  <c r="T143" i="12" s="1"/>
  <c r="AF126" i="26"/>
  <c r="T145" i="12" s="1"/>
  <c r="AE137" i="26"/>
  <c r="S156" i="12" s="1"/>
  <c r="AE129" i="26"/>
  <c r="S148" i="12" s="1"/>
  <c r="AE131" i="26"/>
  <c r="S150" i="12" s="1"/>
  <c r="AE117" i="26"/>
  <c r="S136" i="12" s="1"/>
  <c r="AH108" i="26"/>
  <c r="AH110" i="26"/>
  <c r="AH96" i="26"/>
  <c r="AG113" i="26"/>
  <c r="AG115" i="26"/>
  <c r="AG101" i="26"/>
  <c r="AG93" i="26"/>
  <c r="AG95" i="26"/>
  <c r="AH80" i="26"/>
  <c r="AH74" i="26"/>
  <c r="AG85" i="26"/>
  <c r="AG65" i="26"/>
  <c r="AF82" i="26"/>
  <c r="T101" i="12" s="1"/>
  <c r="AF70" i="26"/>
  <c r="T89" i="12" s="1"/>
  <c r="AE75" i="26"/>
  <c r="S94" i="12" s="1"/>
  <c r="AH33" i="26"/>
  <c r="AH39" i="26"/>
  <c r="AF39" i="26"/>
  <c r="T58" i="12" s="1"/>
  <c r="AE44" i="26"/>
  <c r="S63" i="12" s="1"/>
  <c r="AE15" i="26"/>
  <c r="S34" i="12" s="1"/>
  <c r="S33" i="12"/>
  <c r="AF17" i="26"/>
  <c r="T36" i="12" s="1"/>
  <c r="AE13" i="26"/>
  <c r="S32" i="12" s="1"/>
  <c r="AF122" i="26"/>
  <c r="T141" i="12" s="1"/>
  <c r="AE127" i="26"/>
  <c r="S146" i="12" s="1"/>
  <c r="AE119" i="26"/>
  <c r="S138" i="12" s="1"/>
  <c r="AH106" i="26"/>
  <c r="AG111" i="26"/>
  <c r="AG103" i="26"/>
  <c r="AG105" i="26"/>
  <c r="AG91" i="26"/>
  <c r="AH82" i="26"/>
  <c r="AH84" i="26"/>
  <c r="AH70" i="26"/>
  <c r="AG87" i="26"/>
  <c r="AG89" i="26"/>
  <c r="AG75" i="26"/>
  <c r="AG67" i="26"/>
  <c r="AG69" i="26"/>
  <c r="AF80" i="26"/>
  <c r="T99" i="12" s="1"/>
  <c r="AF72" i="26"/>
  <c r="T91" i="12" s="1"/>
  <c r="AF74" i="26"/>
  <c r="T93" i="12" s="1"/>
  <c r="AE85" i="26"/>
  <c r="S104" i="12" s="1"/>
  <c r="AE77" i="26"/>
  <c r="S96" i="12" s="1"/>
  <c r="AE79" i="26"/>
  <c r="S98" i="12" s="1"/>
  <c r="AE65" i="26"/>
  <c r="S84" i="12" s="1"/>
  <c r="AH35" i="26"/>
  <c r="AH37" i="26"/>
  <c r="AH17" i="26"/>
  <c r="AH13" i="26"/>
  <c r="AG30" i="26"/>
  <c r="AG32" i="26"/>
  <c r="AG18" i="26"/>
  <c r="AH54" i="26"/>
  <c r="AH41" i="26"/>
  <c r="AH43" i="26"/>
  <c r="AG54" i="26"/>
  <c r="AG46" i="26"/>
  <c r="AG48" i="26"/>
  <c r="AF59" i="26"/>
  <c r="T78" i="12" s="1"/>
  <c r="AF41" i="26"/>
  <c r="T60" i="12" s="1"/>
  <c r="AF43" i="26"/>
  <c r="T62" i="12" s="1"/>
  <c r="AE54" i="26"/>
  <c r="S73" i="12" s="1"/>
  <c r="AE46" i="26"/>
  <c r="S65" i="12" s="1"/>
  <c r="AE48" i="26"/>
  <c r="S67" i="12" s="1"/>
  <c r="G55" i="12"/>
  <c r="G38" i="12"/>
  <c r="G40" i="12"/>
  <c r="G41" i="12"/>
  <c r="D206" i="11"/>
  <c r="D460" i="11"/>
  <c r="K15" i="26"/>
  <c r="K21" i="26"/>
  <c r="K22" i="26"/>
  <c r="L29" i="26"/>
  <c r="M29" i="26" s="1"/>
  <c r="N29" i="26" s="1"/>
  <c r="O29" i="26" s="1"/>
  <c r="P29" i="26" s="1"/>
  <c r="Q29" i="26" s="1"/>
  <c r="R29" i="26" s="1"/>
  <c r="S29" i="26" s="1"/>
  <c r="T29" i="26" s="1"/>
  <c r="U29" i="26" s="1"/>
  <c r="L31" i="26"/>
  <c r="M31" i="26" s="1"/>
  <c r="N31" i="26" s="1"/>
  <c r="O31" i="26" s="1"/>
  <c r="P31" i="26" s="1"/>
  <c r="Q31" i="26" s="1"/>
  <c r="R31" i="26" s="1"/>
  <c r="S31" i="26" s="1"/>
  <c r="T31" i="26" s="1"/>
  <c r="U31" i="26" s="1"/>
  <c r="L27" i="26"/>
  <c r="M27" i="26" s="1"/>
  <c r="N27" i="26" s="1"/>
  <c r="K24" i="26"/>
  <c r="K27" i="26"/>
  <c r="K36" i="26"/>
  <c r="L48" i="26"/>
  <c r="M48" i="26" s="1"/>
  <c r="N48" i="26" s="1"/>
  <c r="O48" i="26" s="1"/>
  <c r="P48" i="26" s="1"/>
  <c r="Q48" i="26" s="1"/>
  <c r="R48" i="26" s="1"/>
  <c r="S48" i="26" s="1"/>
  <c r="T48" i="26" s="1"/>
  <c r="U48" i="26" s="1"/>
  <c r="K115" i="26"/>
  <c r="K105" i="26"/>
  <c r="K95" i="26"/>
  <c r="K57" i="26"/>
  <c r="K55" i="26"/>
  <c r="K47" i="26"/>
  <c r="K45" i="26"/>
  <c r="K83" i="26"/>
  <c r="K81" i="26"/>
  <c r="K68" i="26"/>
  <c r="K66" i="26"/>
  <c r="K110" i="26"/>
  <c r="K100" i="26"/>
  <c r="K42" i="26"/>
  <c r="K40" i="26"/>
  <c r="K73" i="26"/>
  <c r="K71" i="26"/>
  <c r="M28" i="26"/>
  <c r="G47" i="12"/>
  <c r="N13" i="26"/>
  <c r="H32" i="12"/>
  <c r="K20" i="26"/>
  <c r="L25" i="26"/>
  <c r="M25" i="26" s="1"/>
  <c r="K35" i="26"/>
  <c r="K25" i="26"/>
  <c r="H48" i="12"/>
  <c r="G54" i="12"/>
  <c r="G39" i="12"/>
  <c r="C206" i="11"/>
  <c r="K19" i="26"/>
  <c r="L32" i="26"/>
  <c r="M32" i="26" s="1"/>
  <c r="N32" i="26" s="1"/>
  <c r="O32" i="26" s="1"/>
  <c r="P32" i="26" s="1"/>
  <c r="Q32" i="26" s="1"/>
  <c r="R32" i="26" s="1"/>
  <c r="S32" i="26" s="1"/>
  <c r="T32" i="26" s="1"/>
  <c r="U32" i="26" s="1"/>
  <c r="L15" i="26"/>
  <c r="M15" i="26" s="1"/>
  <c r="L24" i="26"/>
  <c r="M24" i="26" s="1"/>
  <c r="N24" i="26" s="1"/>
  <c r="L26" i="26"/>
  <c r="M26" i="26" s="1"/>
  <c r="N26" i="26" s="1"/>
  <c r="K26" i="26"/>
  <c r="K34" i="26"/>
  <c r="K37" i="26"/>
  <c r="L47" i="26"/>
  <c r="M47" i="26" s="1"/>
  <c r="N47" i="26" s="1"/>
  <c r="O47" i="26" s="1"/>
  <c r="P47" i="26" s="1"/>
  <c r="Q47" i="26" s="1"/>
  <c r="R47" i="26" s="1"/>
  <c r="S47" i="26" s="1"/>
  <c r="T47" i="26" s="1"/>
  <c r="U47" i="26" s="1"/>
  <c r="L45" i="26"/>
  <c r="M45" i="26" s="1"/>
  <c r="N45" i="26" s="1"/>
  <c r="O45" i="26" s="1"/>
  <c r="P45" i="26" s="1"/>
  <c r="Q45" i="26" s="1"/>
  <c r="R45" i="26" s="1"/>
  <c r="S45" i="26" s="1"/>
  <c r="T45" i="26" s="1"/>
  <c r="U45" i="26" s="1"/>
  <c r="K114" i="26"/>
  <c r="K112" i="26"/>
  <c r="K104" i="26"/>
  <c r="K102" i="26"/>
  <c r="K94" i="26"/>
  <c r="K92" i="26"/>
  <c r="K58" i="26"/>
  <c r="K48" i="26"/>
  <c r="K84" i="26"/>
  <c r="K69" i="26"/>
  <c r="K109" i="26"/>
  <c r="K107" i="26"/>
  <c r="K99" i="26"/>
  <c r="K97" i="26"/>
  <c r="K43" i="26"/>
  <c r="K74" i="26"/>
  <c r="L30" i="26"/>
  <c r="M30" i="26" s="1"/>
  <c r="N35" i="26"/>
  <c r="H54" i="12"/>
  <c r="M23" i="26"/>
  <c r="G42" i="12"/>
  <c r="H46" i="12"/>
  <c r="H56" i="12"/>
  <c r="C136" i="12"/>
  <c r="C42" i="12"/>
  <c r="D32" i="12"/>
  <c r="D32" i="11" s="1"/>
  <c r="D39" i="11"/>
  <c r="I41" i="12"/>
  <c r="I40" i="12"/>
  <c r="C47" i="12"/>
  <c r="I53" i="12"/>
  <c r="I56" i="12"/>
  <c r="J37" i="12"/>
  <c r="C125" i="12"/>
  <c r="C125" i="11" s="1"/>
  <c r="C110" i="12"/>
  <c r="C141" i="12"/>
  <c r="C89" i="12"/>
  <c r="D146" i="11"/>
  <c r="D78" i="11"/>
  <c r="D104" i="11"/>
  <c r="D68" i="11"/>
  <c r="A119" i="26"/>
  <c r="C118" i="26"/>
  <c r="D137" i="12" s="1"/>
  <c r="H153" i="12"/>
  <c r="H143" i="12"/>
  <c r="G158" i="12"/>
  <c r="G148" i="12"/>
  <c r="G138" i="12"/>
  <c r="H117" i="12"/>
  <c r="G127" i="12"/>
  <c r="G117" i="12"/>
  <c r="H80" i="12"/>
  <c r="H70" i="12"/>
  <c r="H60" i="12"/>
  <c r="G75" i="12"/>
  <c r="G60" i="12"/>
  <c r="D42" i="11"/>
  <c r="G101" i="12"/>
  <c r="G91" i="12"/>
  <c r="D52" i="11"/>
  <c r="C37" i="11"/>
  <c r="D115" i="11"/>
  <c r="D130" i="11"/>
  <c r="D110" i="11"/>
  <c r="C120" i="12"/>
  <c r="C104" i="26"/>
  <c r="D123" i="12" s="1"/>
  <c r="A105" i="26"/>
  <c r="C105" i="26" s="1"/>
  <c r="D124" i="12" s="1"/>
  <c r="D117" i="11"/>
  <c r="C83" i="26"/>
  <c r="D102" i="12" s="1"/>
  <c r="A84" i="26"/>
  <c r="C84" i="26" s="1"/>
  <c r="D103" i="12" s="1"/>
  <c r="D86" i="11"/>
  <c r="C62" i="26"/>
  <c r="D81" i="12" s="1"/>
  <c r="A63" i="26"/>
  <c r="C63" i="26" s="1"/>
  <c r="D82" i="12" s="1"/>
  <c r="C52" i="26"/>
  <c r="D71" i="12" s="1"/>
  <c r="A53" i="26"/>
  <c r="C53" i="26" s="1"/>
  <c r="D72" i="12" s="1"/>
  <c r="C135" i="26"/>
  <c r="D154" i="12" s="1"/>
  <c r="A136" i="26"/>
  <c r="C136" i="26" s="1"/>
  <c r="D155" i="12" s="1"/>
  <c r="D148" i="11"/>
  <c r="C125" i="26"/>
  <c r="D144" i="12" s="1"/>
  <c r="A126" i="26"/>
  <c r="C126" i="26" s="1"/>
  <c r="D145" i="12" s="1"/>
  <c r="J125" i="12"/>
  <c r="C114" i="26"/>
  <c r="D133" i="12" s="1"/>
  <c r="A115" i="26"/>
  <c r="C115" i="26" s="1"/>
  <c r="D134" i="12" s="1"/>
  <c r="D127" i="11"/>
  <c r="C94" i="26"/>
  <c r="D113" i="12" s="1"/>
  <c r="A95" i="26"/>
  <c r="C95" i="26" s="1"/>
  <c r="D114" i="12" s="1"/>
  <c r="J89" i="12"/>
  <c r="D106" i="11"/>
  <c r="C73" i="26"/>
  <c r="D92" i="12" s="1"/>
  <c r="A74" i="26"/>
  <c r="C74" i="26" s="1"/>
  <c r="D93" i="12" s="1"/>
  <c r="D75" i="11"/>
  <c r="C42" i="26"/>
  <c r="D61" i="12" s="1"/>
  <c r="A43" i="26"/>
  <c r="C43" i="26" s="1"/>
  <c r="D62" i="12" s="1"/>
  <c r="I120" i="12"/>
  <c r="I115" i="12"/>
  <c r="I151" i="12"/>
  <c r="I141" i="12"/>
  <c r="I104" i="12"/>
  <c r="I94" i="12"/>
  <c r="I78" i="12"/>
  <c r="I68" i="12"/>
  <c r="I58" i="12"/>
  <c r="J39" i="12"/>
  <c r="C78" i="12"/>
  <c r="D49" i="11"/>
  <c r="I38" i="12"/>
  <c r="D44" i="11"/>
  <c r="D54" i="11"/>
  <c r="I55" i="12"/>
  <c r="C52" i="12"/>
  <c r="J52" i="12"/>
  <c r="C156" i="12"/>
  <c r="C156" i="11" s="1"/>
  <c r="C147" i="11"/>
  <c r="C100" i="11"/>
  <c r="C130" i="12"/>
  <c r="C104" i="12"/>
  <c r="I127" i="12"/>
  <c r="I91" i="12"/>
  <c r="I130" i="12"/>
  <c r="I110" i="12"/>
  <c r="D136" i="12"/>
  <c r="I156" i="12"/>
  <c r="I146" i="12"/>
  <c r="I136" i="12"/>
  <c r="I84" i="12"/>
  <c r="I73" i="12"/>
  <c r="I63" i="12"/>
  <c r="I99" i="12"/>
  <c r="C63" i="12"/>
  <c r="C63" i="11" s="1"/>
  <c r="C99" i="26"/>
  <c r="D118" i="12" s="1"/>
  <c r="A100" i="26"/>
  <c r="C100" i="26" s="1"/>
  <c r="D119" i="12" s="1"/>
  <c r="D101" i="11"/>
  <c r="C78" i="26"/>
  <c r="D97" i="12" s="1"/>
  <c r="A79" i="26"/>
  <c r="C79" i="26" s="1"/>
  <c r="D98" i="12" s="1"/>
  <c r="C68" i="26"/>
  <c r="D87" i="12" s="1"/>
  <c r="A69" i="26"/>
  <c r="C69" i="26" s="1"/>
  <c r="D88" i="12" s="1"/>
  <c r="D80" i="11"/>
  <c r="D70" i="11"/>
  <c r="C140" i="26"/>
  <c r="D159" i="12" s="1"/>
  <c r="D159" i="11" s="1"/>
  <c r="A141" i="26"/>
  <c r="C141" i="26" s="1"/>
  <c r="D160" i="12" s="1"/>
  <c r="D160" i="11" s="1"/>
  <c r="C130" i="26"/>
  <c r="D149" i="12" s="1"/>
  <c r="A131" i="26"/>
  <c r="C131" i="26" s="1"/>
  <c r="D150" i="12" s="1"/>
  <c r="D143" i="11"/>
  <c r="D132" i="11"/>
  <c r="C109" i="26"/>
  <c r="D128" i="12" s="1"/>
  <c r="A110" i="26"/>
  <c r="C110" i="26" s="1"/>
  <c r="D129" i="12" s="1"/>
  <c r="D112" i="11"/>
  <c r="C88" i="26"/>
  <c r="D107" i="12" s="1"/>
  <c r="A89" i="26"/>
  <c r="C89" i="26" s="1"/>
  <c r="D108" i="12" s="1"/>
  <c r="D91" i="11"/>
  <c r="C57" i="26"/>
  <c r="D76" i="12" s="1"/>
  <c r="A58" i="26"/>
  <c r="C58" i="26" s="1"/>
  <c r="D77" i="12" s="1"/>
  <c r="C47" i="26"/>
  <c r="D66" i="12" s="1"/>
  <c r="A48" i="26"/>
  <c r="C48" i="26" s="1"/>
  <c r="D67" i="12" s="1"/>
  <c r="D60" i="11"/>
  <c r="D141" i="11"/>
  <c r="D120" i="11"/>
  <c r="D89" i="11"/>
  <c r="C84" i="11"/>
  <c r="D99" i="11"/>
  <c r="D73" i="11"/>
  <c r="D58" i="11"/>
  <c r="C73" i="11"/>
  <c r="D47" i="11"/>
  <c r="D37" i="11"/>
  <c r="G153" i="12"/>
  <c r="C68" i="11"/>
  <c r="G143" i="12"/>
  <c r="H158" i="12"/>
  <c r="H148" i="12"/>
  <c r="H138" i="12"/>
  <c r="H127" i="12"/>
  <c r="G132" i="12"/>
  <c r="G122" i="12"/>
  <c r="G112" i="12"/>
  <c r="H75" i="12"/>
  <c r="H65" i="12"/>
  <c r="G80" i="12"/>
  <c r="G70" i="12"/>
  <c r="G106" i="12"/>
  <c r="G96" i="12"/>
  <c r="G86" i="12"/>
  <c r="C151" i="11"/>
  <c r="D151" i="11"/>
  <c r="D84" i="11"/>
  <c r="B129" i="26"/>
  <c r="C148" i="12" s="1"/>
  <c r="D130" i="26"/>
  <c r="E149" i="12" s="1"/>
  <c r="B41" i="26"/>
  <c r="C60" i="12" s="1"/>
  <c r="C60" i="11" s="1"/>
  <c r="D83" i="26"/>
  <c r="E102" i="12" s="1"/>
  <c r="D62" i="26"/>
  <c r="E81" i="12" s="1"/>
  <c r="B119" i="26"/>
  <c r="C138" i="12" s="1"/>
  <c r="D120" i="26"/>
  <c r="E139" i="12" s="1"/>
  <c r="D51" i="26"/>
  <c r="E70" i="12" s="1"/>
  <c r="B50" i="26"/>
  <c r="C69" i="12" s="1"/>
  <c r="D108" i="26"/>
  <c r="E127" i="12" s="1"/>
  <c r="B107" i="26"/>
  <c r="C126" i="12" s="1"/>
  <c r="C126" i="11" s="1"/>
  <c r="D93" i="26"/>
  <c r="E112" i="12" s="1"/>
  <c r="B92" i="26"/>
  <c r="C111" i="12" s="1"/>
  <c r="D124" i="26"/>
  <c r="E143" i="12" s="1"/>
  <c r="B123" i="26"/>
  <c r="C142" i="12" s="1"/>
  <c r="C142" i="11" s="1"/>
  <c r="D134" i="26"/>
  <c r="E153" i="12" s="1"/>
  <c r="B133" i="26"/>
  <c r="C152" i="12" s="1"/>
  <c r="C152" i="11" s="1"/>
  <c r="D103" i="26"/>
  <c r="E122" i="12" s="1"/>
  <c r="B102" i="26"/>
  <c r="C121" i="12" s="1"/>
  <c r="D56" i="26"/>
  <c r="E75" i="12" s="1"/>
  <c r="B55" i="26"/>
  <c r="C74" i="12" s="1"/>
  <c r="D113" i="26"/>
  <c r="E132" i="12" s="1"/>
  <c r="B112" i="26"/>
  <c r="C131" i="12" s="1"/>
  <c r="D87" i="26"/>
  <c r="E106" i="12" s="1"/>
  <c r="B86" i="26"/>
  <c r="C105" i="12" s="1"/>
  <c r="D46" i="26"/>
  <c r="E65" i="12" s="1"/>
  <c r="B45" i="26"/>
  <c r="C64" i="12" s="1"/>
  <c r="D72" i="26"/>
  <c r="E91" i="12" s="1"/>
  <c r="B71" i="26"/>
  <c r="C90" i="12" s="1"/>
  <c r="D139" i="26"/>
  <c r="E158" i="12" s="1"/>
  <c r="B138" i="26"/>
  <c r="C157" i="12" s="1"/>
  <c r="C157" i="11" s="1"/>
  <c r="D98" i="26"/>
  <c r="E117" i="12" s="1"/>
  <c r="B97" i="26"/>
  <c r="C116" i="12" s="1"/>
  <c r="D77" i="26"/>
  <c r="E96" i="12" s="1"/>
  <c r="B76" i="26"/>
  <c r="C95" i="12" s="1"/>
  <c r="A37" i="26"/>
  <c r="C37" i="26" s="1"/>
  <c r="D56" i="12" s="1"/>
  <c r="C36" i="26"/>
  <c r="D55" i="12" s="1"/>
  <c r="D35" i="26"/>
  <c r="E54" i="12" s="1"/>
  <c r="B34" i="26"/>
  <c r="C53" i="12" s="1"/>
  <c r="A22" i="26"/>
  <c r="C22" i="26" s="1"/>
  <c r="D41" i="12" s="1"/>
  <c r="C21" i="26"/>
  <c r="D40" i="12" s="1"/>
  <c r="K14" i="26"/>
  <c r="B25" i="26"/>
  <c r="C44" i="12" s="1"/>
  <c r="D26" i="26"/>
  <c r="E45" i="12" s="1"/>
  <c r="C26" i="26"/>
  <c r="D45" i="12" s="1"/>
  <c r="A27" i="26"/>
  <c r="C27" i="26" s="1"/>
  <c r="D46" i="12" s="1"/>
  <c r="A32" i="26"/>
  <c r="C32" i="26" s="1"/>
  <c r="D51" i="12" s="1"/>
  <c r="C31" i="26"/>
  <c r="D50" i="12" s="1"/>
  <c r="L14" i="26"/>
  <c r="D30" i="26"/>
  <c r="E49" i="12" s="1"/>
  <c r="B29" i="26"/>
  <c r="C48" i="12" s="1"/>
  <c r="D20" i="26"/>
  <c r="E39" i="12" s="1"/>
  <c r="B19" i="26"/>
  <c r="C38" i="12" s="1"/>
  <c r="A16" i="26"/>
  <c r="C15" i="26"/>
  <c r="D34" i="12" s="1"/>
  <c r="B14" i="26"/>
  <c r="C33" i="12" s="1"/>
  <c r="B13" i="26"/>
  <c r="Q11" i="44"/>
  <c r="W83" i="44"/>
  <c r="O432" i="58" s="1"/>
  <c r="Q7" i="44"/>
  <c r="P8" i="58" s="1"/>
  <c r="W79" i="44"/>
  <c r="O765" i="58" s="1"/>
  <c r="P8" i="44"/>
  <c r="P10" i="44"/>
  <c r="Q6" i="44"/>
  <c r="P7" i="58" s="1"/>
  <c r="W77" i="44"/>
  <c r="O872" i="58" s="1"/>
  <c r="P9" i="44"/>
  <c r="W78" i="44"/>
  <c r="O602" i="58" s="1"/>
  <c r="Q12" i="12" l="1"/>
  <c r="AC10" i="12"/>
  <c r="Q9" i="12"/>
  <c r="Q10" i="12"/>
  <c r="O906" i="58"/>
  <c r="N497" i="58"/>
  <c r="O186" i="58"/>
  <c r="O56" i="58" s="1"/>
  <c r="O82" i="58" s="1"/>
  <c r="O108" i="58" s="1"/>
  <c r="O134" i="58" s="1"/>
  <c r="O160" i="58" s="1"/>
  <c r="O897" i="58"/>
  <c r="O762" i="58"/>
  <c r="N483" i="58"/>
  <c r="O882" i="58"/>
  <c r="O751" i="58"/>
  <c r="O621" i="58"/>
  <c r="N524" i="58"/>
  <c r="O898" i="58"/>
  <c r="N976" i="58"/>
  <c r="N496" i="58"/>
  <c r="O192" i="58"/>
  <c r="O62" i="58" s="1"/>
  <c r="O88" i="58" s="1"/>
  <c r="O114" i="58" s="1"/>
  <c r="O140" i="58" s="1"/>
  <c r="O166" i="58" s="1"/>
  <c r="O881" i="58"/>
  <c r="N474" i="58"/>
  <c r="O873" i="58"/>
  <c r="O244" i="58"/>
  <c r="O717" i="58"/>
  <c r="O763" i="58"/>
  <c r="D68" i="26"/>
  <c r="E87" i="12" s="1"/>
  <c r="O408" i="58"/>
  <c r="O227" i="58"/>
  <c r="N494" i="58"/>
  <c r="O907" i="58"/>
  <c r="N457" i="58"/>
  <c r="N507" i="58"/>
  <c r="O218" i="58"/>
  <c r="O226" i="58"/>
  <c r="O585" i="58"/>
  <c r="O725" i="58"/>
  <c r="O213" i="58"/>
  <c r="O424" i="58"/>
  <c r="O191" i="58"/>
  <c r="O61" i="58" s="1"/>
  <c r="O87" i="58" s="1"/>
  <c r="O113" i="58" s="1"/>
  <c r="O139" i="58" s="1"/>
  <c r="O165" i="58" s="1"/>
  <c r="O243" i="58"/>
  <c r="O563" i="58"/>
  <c r="O710" i="58"/>
  <c r="O699" i="58"/>
  <c r="O536" i="58"/>
  <c r="O533" i="58"/>
  <c r="O871" i="58"/>
  <c r="O715" i="58"/>
  <c r="O697" i="58"/>
  <c r="O534" i="58"/>
  <c r="O866" i="58"/>
  <c r="O855" i="58"/>
  <c r="O579" i="58"/>
  <c r="O853" i="58"/>
  <c r="O702" i="58"/>
  <c r="O850" i="58"/>
  <c r="O694" i="58"/>
  <c r="O574" i="58"/>
  <c r="O852" i="58"/>
  <c r="O696" i="58"/>
  <c r="O858" i="58"/>
  <c r="O532" i="58"/>
  <c r="O695" i="58"/>
  <c r="O564" i="58"/>
  <c r="O865" i="58"/>
  <c r="O708" i="58"/>
  <c r="O861" i="58"/>
  <c r="O854" i="58"/>
  <c r="O698" i="58"/>
  <c r="O707" i="58"/>
  <c r="O571" i="58"/>
  <c r="O851" i="58"/>
  <c r="O864" i="58"/>
  <c r="O572" i="58"/>
  <c r="O700" i="58"/>
  <c r="O705" i="58"/>
  <c r="O535" i="58"/>
  <c r="O860" i="58"/>
  <c r="O863" i="58"/>
  <c r="O862" i="58"/>
  <c r="O570" i="58"/>
  <c r="O701" i="58"/>
  <c r="O703" i="58"/>
  <c r="O565" i="58"/>
  <c r="O711" i="58"/>
  <c r="O575" i="58"/>
  <c r="O569" i="58"/>
  <c r="O704" i="58"/>
  <c r="O568" i="58"/>
  <c r="O714" i="58"/>
  <c r="O578" i="58"/>
  <c r="O706" i="58"/>
  <c r="O709" i="58"/>
  <c r="O573" i="58"/>
  <c r="O857" i="58"/>
  <c r="O566" i="58"/>
  <c r="O859" i="58"/>
  <c r="O567" i="58"/>
  <c r="O856" i="58"/>
  <c r="O867" i="58"/>
  <c r="O870" i="58"/>
  <c r="O268" i="58"/>
  <c r="O617" i="58"/>
  <c r="O764" i="58"/>
  <c r="O620" i="58"/>
  <c r="O265" i="58"/>
  <c r="O758" i="58"/>
  <c r="O614" i="58"/>
  <c r="O259" i="58"/>
  <c r="O923" i="58"/>
  <c r="O262" i="58"/>
  <c r="O612" i="58"/>
  <c r="O257" i="58"/>
  <c r="O767" i="58"/>
  <c r="O917" i="58"/>
  <c r="O920" i="58"/>
  <c r="O914" i="58"/>
  <c r="O623" i="58"/>
  <c r="O761" i="58"/>
  <c r="O912" i="58"/>
  <c r="O756" i="58"/>
  <c r="O256" i="58"/>
  <c r="O260" i="58"/>
  <c r="O269" i="58"/>
  <c r="O916" i="58"/>
  <c r="O747" i="58"/>
  <c r="O909" i="58"/>
  <c r="O913" i="58"/>
  <c r="O247" i="58"/>
  <c r="O746" i="58"/>
  <c r="O541" i="58"/>
  <c r="O544" i="58"/>
  <c r="O908" i="58"/>
  <c r="O752" i="58"/>
  <c r="O910" i="58"/>
  <c r="O754" i="58"/>
  <c r="O904" i="58"/>
  <c r="O911" i="58"/>
  <c r="O915" i="58"/>
  <c r="O542" i="58"/>
  <c r="O753" i="58"/>
  <c r="O757" i="58"/>
  <c r="O901" i="58"/>
  <c r="O250" i="58"/>
  <c r="O900" i="58"/>
  <c r="O922" i="58"/>
  <c r="O755" i="58"/>
  <c r="O759" i="58"/>
  <c r="O760" i="58"/>
  <c r="O616" i="58"/>
  <c r="O261" i="58"/>
  <c r="O248" i="58"/>
  <c r="O609" i="58"/>
  <c r="O613" i="58"/>
  <c r="O745" i="58"/>
  <c r="O902" i="58"/>
  <c r="O905" i="58"/>
  <c r="O608" i="58"/>
  <c r="O253" i="58"/>
  <c r="O610" i="58"/>
  <c r="O255" i="58"/>
  <c r="O748" i="58"/>
  <c r="O543" i="58"/>
  <c r="O249" i="58"/>
  <c r="O611" i="58"/>
  <c r="O615" i="58"/>
  <c r="O903" i="58"/>
  <c r="O254" i="58"/>
  <c r="O258" i="58"/>
  <c r="O605" i="58"/>
  <c r="O749" i="58"/>
  <c r="O744" i="58"/>
  <c r="O604" i="58"/>
  <c r="O246" i="58"/>
  <c r="O766" i="58"/>
  <c r="O622" i="58"/>
  <c r="O267" i="58"/>
  <c r="P17" i="58"/>
  <c r="P10" i="58"/>
  <c r="P20" i="58" s="1"/>
  <c r="P18" i="58"/>
  <c r="P9" i="58"/>
  <c r="P19" i="58" s="1"/>
  <c r="B67" i="26"/>
  <c r="C86" i="12" s="1"/>
  <c r="C86" i="11" s="1"/>
  <c r="H66" i="12"/>
  <c r="Q13" i="12"/>
  <c r="O433" i="58"/>
  <c r="O251" i="58"/>
  <c r="O606" i="58"/>
  <c r="N458" i="58"/>
  <c r="N508" i="58"/>
  <c r="O422" i="58"/>
  <c r="O201" i="58"/>
  <c r="O586" i="58"/>
  <c r="O252" i="58"/>
  <c r="N472" i="58"/>
  <c r="N522" i="58"/>
  <c r="O580" i="58"/>
  <c r="O716" i="58"/>
  <c r="O200" i="58"/>
  <c r="O921" i="58"/>
  <c r="O212" i="58"/>
  <c r="O597" i="58"/>
  <c r="O598" i="58"/>
  <c r="O893" i="58"/>
  <c r="O894" i="58"/>
  <c r="O190" i="58"/>
  <c r="O60" i="58" s="1"/>
  <c r="O86" i="58" s="1"/>
  <c r="O112" i="58" s="1"/>
  <c r="O138" i="58" s="1"/>
  <c r="O164" i="58" s="1"/>
  <c r="O242" i="58"/>
  <c r="O601" i="58"/>
  <c r="O741" i="58"/>
  <c r="O449" i="58"/>
  <c r="O577" i="58"/>
  <c r="O407" i="58"/>
  <c r="O217" i="58"/>
  <c r="O264" i="58"/>
  <c r="O740" i="58"/>
  <c r="O600" i="58"/>
  <c r="O215" i="58"/>
  <c r="O241" i="58"/>
  <c r="O189" i="58"/>
  <c r="O59" i="58" s="1"/>
  <c r="O85" i="58" s="1"/>
  <c r="O111" i="58" s="1"/>
  <c r="O137" i="58" s="1"/>
  <c r="O163" i="58" s="1"/>
  <c r="O896" i="58"/>
  <c r="O733" i="58"/>
  <c r="O593" i="58"/>
  <c r="O234" i="58"/>
  <c r="O182" i="58"/>
  <c r="O52" i="58" s="1"/>
  <c r="O78" i="58" s="1"/>
  <c r="O104" i="58" s="1"/>
  <c r="O130" i="58" s="1"/>
  <c r="O156" i="58" s="1"/>
  <c r="O728" i="58"/>
  <c r="O177" i="58"/>
  <c r="O47" i="58" s="1"/>
  <c r="O73" i="58" s="1"/>
  <c r="O99" i="58" s="1"/>
  <c r="O125" i="58" s="1"/>
  <c r="O151" i="58" s="1"/>
  <c r="O892" i="58"/>
  <c r="O886" i="58"/>
  <c r="O205" i="58"/>
  <c r="O875" i="58"/>
  <c r="O584" i="58"/>
  <c r="O195" i="58"/>
  <c r="O196" i="58"/>
  <c r="O198" i="58"/>
  <c r="O202" i="58"/>
  <c r="O729" i="58"/>
  <c r="O589" i="58"/>
  <c r="O230" i="58"/>
  <c r="O895" i="58"/>
  <c r="O214" i="58"/>
  <c r="O233" i="58"/>
  <c r="O181" i="58"/>
  <c r="O51" i="58" s="1"/>
  <c r="O77" i="58" s="1"/>
  <c r="O103" i="58" s="1"/>
  <c r="O129" i="58" s="1"/>
  <c r="O155" i="58" s="1"/>
  <c r="O206" i="58"/>
  <c r="O594" i="58"/>
  <c r="O209" i="58"/>
  <c r="O588" i="58"/>
  <c r="O203" i="58"/>
  <c r="O736" i="58"/>
  <c r="O211" i="58"/>
  <c r="O730" i="58"/>
  <c r="O168" i="58"/>
  <c r="O38" i="58" s="1"/>
  <c r="O64" i="58" s="1"/>
  <c r="O90" i="58" s="1"/>
  <c r="O116" i="58" s="1"/>
  <c r="O142" i="58" s="1"/>
  <c r="O221" i="58"/>
  <c r="O891" i="58"/>
  <c r="O721" i="58"/>
  <c r="O537" i="58"/>
  <c r="O222" i="58"/>
  <c r="O722" i="58"/>
  <c r="O171" i="58"/>
  <c r="O41" i="58" s="1"/>
  <c r="O67" i="58" s="1"/>
  <c r="O93" i="58" s="1"/>
  <c r="O119" i="58" s="1"/>
  <c r="O145" i="58" s="1"/>
  <c r="O723" i="58"/>
  <c r="O539" i="58"/>
  <c r="O224" i="58"/>
  <c r="O724" i="58"/>
  <c r="O173" i="58"/>
  <c r="O43" i="58" s="1"/>
  <c r="O69" i="58" s="1"/>
  <c r="O95" i="58" s="1"/>
  <c r="O121" i="58" s="1"/>
  <c r="O147" i="58" s="1"/>
  <c r="O727" i="58"/>
  <c r="O587" i="58"/>
  <c r="O228" i="58"/>
  <c r="O239" i="58"/>
  <c r="O188" i="58"/>
  <c r="O58" i="58" s="1"/>
  <c r="O84" i="58" s="1"/>
  <c r="O110" i="58" s="1"/>
  <c r="O136" i="58" s="1"/>
  <c r="O162" i="58" s="1"/>
  <c r="O888" i="58"/>
  <c r="O731" i="58"/>
  <c r="O591" i="58"/>
  <c r="O232" i="58"/>
  <c r="O180" i="58"/>
  <c r="O50" i="58" s="1"/>
  <c r="O76" i="58" s="1"/>
  <c r="O102" i="58" s="1"/>
  <c r="O128" i="58" s="1"/>
  <c r="O154" i="58" s="1"/>
  <c r="O235" i="58"/>
  <c r="O183" i="58"/>
  <c r="O53" i="58" s="1"/>
  <c r="O79" i="58" s="1"/>
  <c r="O105" i="58" s="1"/>
  <c r="O131" i="58" s="1"/>
  <c r="O157" i="58" s="1"/>
  <c r="O889" i="58"/>
  <c r="O229" i="58"/>
  <c r="O596" i="58"/>
  <c r="O237" i="58"/>
  <c r="O185" i="58"/>
  <c r="O55" i="58" s="1"/>
  <c r="O81" i="58" s="1"/>
  <c r="O107" i="58" s="1"/>
  <c r="O133" i="58" s="1"/>
  <c r="O159" i="58" s="1"/>
  <c r="O590" i="58"/>
  <c r="O179" i="58"/>
  <c r="O49" i="58" s="1"/>
  <c r="O75" i="58" s="1"/>
  <c r="O101" i="58" s="1"/>
  <c r="O127" i="58" s="1"/>
  <c r="O153" i="58" s="1"/>
  <c r="O194" i="58"/>
  <c r="O876" i="58"/>
  <c r="O210" i="58"/>
  <c r="O877" i="58"/>
  <c r="O538" i="58"/>
  <c r="O197" i="58"/>
  <c r="O879" i="58"/>
  <c r="O880" i="58"/>
  <c r="O540" i="58"/>
  <c r="O199" i="58"/>
  <c r="O883" i="58"/>
  <c r="O885" i="58"/>
  <c r="O178" i="58"/>
  <c r="O48" i="58" s="1"/>
  <c r="O74" i="58" s="1"/>
  <c r="O100" i="58" s="1"/>
  <c r="O126" i="58" s="1"/>
  <c r="O152" i="58" s="1"/>
  <c r="O739" i="58"/>
  <c r="O599" i="58"/>
  <c r="O240" i="58"/>
  <c r="O732" i="58"/>
  <c r="O890" i="58"/>
  <c r="O208" i="58"/>
  <c r="O884" i="58"/>
  <c r="O238" i="58"/>
  <c r="O231" i="58"/>
  <c r="O719" i="58"/>
  <c r="O583" i="58"/>
  <c r="O220" i="58"/>
  <c r="O720" i="58"/>
  <c r="O169" i="58"/>
  <c r="O39" i="58" s="1"/>
  <c r="O65" i="58" s="1"/>
  <c r="O91" i="58" s="1"/>
  <c r="O117" i="58" s="1"/>
  <c r="O143" i="58" s="1"/>
  <c r="O735" i="58"/>
  <c r="O595" i="58"/>
  <c r="O236" i="58"/>
  <c r="O184" i="58"/>
  <c r="O54" i="58" s="1"/>
  <c r="O80" i="58" s="1"/>
  <c r="O106" i="58" s="1"/>
  <c r="O132" i="58" s="1"/>
  <c r="O158" i="58" s="1"/>
  <c r="O170" i="58"/>
  <c r="O40" i="58" s="1"/>
  <c r="O66" i="58" s="1"/>
  <c r="O92" i="58" s="1"/>
  <c r="O118" i="58" s="1"/>
  <c r="O144" i="58" s="1"/>
  <c r="O878" i="58"/>
  <c r="O223" i="58"/>
  <c r="O172" i="58"/>
  <c r="O42" i="58" s="1"/>
  <c r="O68" i="58" s="1"/>
  <c r="O94" i="58" s="1"/>
  <c r="O120" i="58" s="1"/>
  <c r="O146" i="58" s="1"/>
  <c r="O225" i="58"/>
  <c r="O176" i="58"/>
  <c r="O46" i="58" s="1"/>
  <c r="O72" i="58" s="1"/>
  <c r="O98" i="58" s="1"/>
  <c r="O124" i="58" s="1"/>
  <c r="O150" i="58" s="1"/>
  <c r="O204" i="58"/>
  <c r="O592" i="58"/>
  <c r="O207" i="58"/>
  <c r="O887" i="58"/>
  <c r="O734" i="58"/>
  <c r="O11" i="58"/>
  <c r="O444" i="58"/>
  <c r="O434" i="58"/>
  <c r="O409" i="58"/>
  <c r="O423" i="58"/>
  <c r="O448" i="58"/>
  <c r="O419" i="58"/>
  <c r="O418" i="58"/>
  <c r="O412" i="58"/>
  <c r="O436" i="58"/>
  <c r="O445" i="58"/>
  <c r="O429" i="58"/>
  <c r="O439" i="58"/>
  <c r="O426" i="58"/>
  <c r="O441" i="58"/>
  <c r="O420" i="58"/>
  <c r="O438" i="58"/>
  <c r="O413" i="58"/>
  <c r="O404" i="58"/>
  <c r="O414" i="58"/>
  <c r="O402" i="58"/>
  <c r="O406" i="58"/>
  <c r="O416" i="58"/>
  <c r="O405" i="58"/>
  <c r="O442" i="58"/>
  <c r="O417" i="58"/>
  <c r="O435" i="58"/>
  <c r="O415" i="58"/>
  <c r="O427" i="58"/>
  <c r="O428" i="58"/>
  <c r="O431" i="58"/>
  <c r="O443" i="58"/>
  <c r="O437" i="58"/>
  <c r="O411" i="58"/>
  <c r="O430" i="58"/>
  <c r="O410" i="58"/>
  <c r="O440" i="58"/>
  <c r="O403" i="58"/>
  <c r="O401" i="58"/>
  <c r="D15" i="26"/>
  <c r="E34" i="12" s="1"/>
  <c r="B61" i="26"/>
  <c r="C80" i="12" s="1"/>
  <c r="C80" i="11" s="1"/>
  <c r="B82" i="26"/>
  <c r="C101" i="12" s="1"/>
  <c r="C101" i="11" s="1"/>
  <c r="R10" i="12"/>
  <c r="N523" i="58"/>
  <c r="N473" i="58"/>
  <c r="N498" i="58"/>
  <c r="N501" i="58"/>
  <c r="N451" i="58"/>
  <c r="N492" i="58"/>
  <c r="N504" i="58"/>
  <c r="N454" i="58"/>
  <c r="N481" i="58"/>
  <c r="N515" i="58"/>
  <c r="N465" i="58"/>
  <c r="N510" i="58"/>
  <c r="N460" i="58"/>
  <c r="N486" i="58"/>
  <c r="N520" i="58"/>
  <c r="N470" i="58"/>
  <c r="N489" i="58"/>
  <c r="N513" i="58"/>
  <c r="N463" i="58"/>
  <c r="N516" i="58"/>
  <c r="N466" i="58"/>
  <c r="N502" i="58"/>
  <c r="N452" i="58"/>
  <c r="N478" i="58"/>
  <c r="N505" i="58"/>
  <c r="N455" i="58"/>
  <c r="N484" i="58"/>
  <c r="N493" i="58"/>
  <c r="N512" i="58"/>
  <c r="N462" i="58"/>
  <c r="N476" i="58"/>
  <c r="N517" i="58"/>
  <c r="N467" i="58"/>
  <c r="N479" i="58"/>
  <c r="N506" i="58"/>
  <c r="N456" i="58"/>
  <c r="N490" i="58"/>
  <c r="N485" i="58"/>
  <c r="N511" i="58"/>
  <c r="N461" i="58"/>
  <c r="N495" i="58"/>
  <c r="N514" i="58"/>
  <c r="N464" i="58"/>
  <c r="N488" i="58"/>
  <c r="N491" i="58"/>
  <c r="N477" i="58"/>
  <c r="N503" i="58"/>
  <c r="N453" i="58"/>
  <c r="N480" i="58"/>
  <c r="N509" i="58"/>
  <c r="N459" i="58"/>
  <c r="N518" i="58"/>
  <c r="N468" i="58"/>
  <c r="N487" i="58"/>
  <c r="O18" i="58"/>
  <c r="O9" i="58"/>
  <c r="O19" i="58" s="1"/>
  <c r="O750" i="58"/>
  <c r="O447" i="58"/>
  <c r="N471" i="58"/>
  <c r="N521" i="58"/>
  <c r="O175" i="58"/>
  <c r="O45" i="58" s="1"/>
  <c r="O71" i="58" s="1"/>
  <c r="O97" i="58" s="1"/>
  <c r="O123" i="58" s="1"/>
  <c r="O149" i="58" s="1"/>
  <c r="O726" i="58"/>
  <c r="N469" i="58"/>
  <c r="N519" i="58"/>
  <c r="O607" i="58"/>
  <c r="N482" i="58"/>
  <c r="O174" i="58"/>
  <c r="O44" i="58" s="1"/>
  <c r="O70" i="58" s="1"/>
  <c r="O96" i="58" s="1"/>
  <c r="O122" i="58" s="1"/>
  <c r="O148" i="58" s="1"/>
  <c r="O266" i="58"/>
  <c r="O581" i="58"/>
  <c r="O421" i="58"/>
  <c r="O446" i="58"/>
  <c r="O187" i="58"/>
  <c r="O57" i="58" s="1"/>
  <c r="O83" i="58" s="1"/>
  <c r="O109" i="58" s="1"/>
  <c r="O135" i="58" s="1"/>
  <c r="O161" i="58" s="1"/>
  <c r="O737" i="58"/>
  <c r="O738" i="58"/>
  <c r="O216" i="58"/>
  <c r="O713" i="58"/>
  <c r="O869" i="58"/>
  <c r="O742" i="58"/>
  <c r="O263" i="58"/>
  <c r="O618" i="58"/>
  <c r="O619" i="58"/>
  <c r="O918" i="58"/>
  <c r="O919" i="58"/>
  <c r="Q11" i="12"/>
  <c r="D934" i="11"/>
  <c r="D943" i="11"/>
  <c r="H67" i="12"/>
  <c r="I48" i="12"/>
  <c r="D42" i="26"/>
  <c r="E61" i="12" s="1"/>
  <c r="H531" i="25"/>
  <c r="H548" i="25"/>
  <c r="H494" i="25"/>
  <c r="H511" i="25"/>
  <c r="H235" i="25"/>
  <c r="H252" i="25"/>
  <c r="H200" i="25"/>
  <c r="H217" i="25"/>
  <c r="H1086" i="25"/>
  <c r="H1103" i="25"/>
  <c r="H1049" i="25"/>
  <c r="H1066" i="25"/>
  <c r="H901" i="25"/>
  <c r="H918" i="25"/>
  <c r="H827" i="25"/>
  <c r="H844" i="25"/>
  <c r="H753" i="25"/>
  <c r="H770" i="25"/>
  <c r="H679" i="25"/>
  <c r="H696" i="25"/>
  <c r="H605" i="25"/>
  <c r="H622" i="25"/>
  <c r="H383" i="25"/>
  <c r="H400" i="25"/>
  <c r="H346" i="25"/>
  <c r="H363" i="25"/>
  <c r="H1123" i="25"/>
  <c r="H1140" i="25"/>
  <c r="H1013" i="25"/>
  <c r="H1030" i="25"/>
  <c r="H975" i="25"/>
  <c r="H992" i="25"/>
  <c r="H864" i="25"/>
  <c r="H881" i="25"/>
  <c r="H791" i="25"/>
  <c r="H808" i="25"/>
  <c r="H716" i="25"/>
  <c r="H733" i="25"/>
  <c r="H643" i="25"/>
  <c r="H660" i="25"/>
  <c r="H568" i="25"/>
  <c r="H585" i="25"/>
  <c r="H458" i="25"/>
  <c r="H475" i="25"/>
  <c r="H420" i="25"/>
  <c r="H437" i="25"/>
  <c r="H310" i="25"/>
  <c r="H327" i="25"/>
  <c r="H272" i="25"/>
  <c r="H289" i="25"/>
  <c r="H13" i="25"/>
  <c r="H30" i="25"/>
  <c r="H939" i="25"/>
  <c r="H956" i="25"/>
  <c r="O11" i="12"/>
  <c r="N12" i="12"/>
  <c r="N13" i="12" s="1"/>
  <c r="N9" i="12"/>
  <c r="N10" i="12"/>
  <c r="Q12" i="44"/>
  <c r="W84" i="44"/>
  <c r="H50" i="12"/>
  <c r="G50" i="12"/>
  <c r="G48" i="12"/>
  <c r="H64" i="12"/>
  <c r="I51" i="12"/>
  <c r="I50" i="12"/>
  <c r="H43" i="12"/>
  <c r="D440" i="11"/>
  <c r="C460" i="11"/>
  <c r="L16" i="26"/>
  <c r="M16" i="26" s="1"/>
  <c r="L17" i="26"/>
  <c r="M17" i="26" s="1"/>
  <c r="L68" i="26"/>
  <c r="M68" i="26" s="1"/>
  <c r="L66" i="26"/>
  <c r="M66" i="26" s="1"/>
  <c r="L78" i="26"/>
  <c r="M78" i="26" s="1"/>
  <c r="L76" i="26"/>
  <c r="M76" i="26" s="1"/>
  <c r="L88" i="26"/>
  <c r="M88" i="26" s="1"/>
  <c r="L86" i="26"/>
  <c r="M86" i="26" s="1"/>
  <c r="K52" i="26"/>
  <c r="K50" i="26"/>
  <c r="K62" i="26"/>
  <c r="K60" i="26"/>
  <c r="L52" i="26"/>
  <c r="M52" i="26" s="1"/>
  <c r="N52" i="26" s="1"/>
  <c r="O52" i="26" s="1"/>
  <c r="P52" i="26" s="1"/>
  <c r="Q52" i="26" s="1"/>
  <c r="R52" i="26" s="1"/>
  <c r="S52" i="26" s="1"/>
  <c r="T52" i="26" s="1"/>
  <c r="U52" i="26" s="1"/>
  <c r="L50" i="26"/>
  <c r="M50" i="26" s="1"/>
  <c r="N50" i="26" s="1"/>
  <c r="O50" i="26" s="1"/>
  <c r="P50" i="26" s="1"/>
  <c r="Q50" i="26" s="1"/>
  <c r="R50" i="26" s="1"/>
  <c r="S50" i="26" s="1"/>
  <c r="T50" i="26" s="1"/>
  <c r="U50" i="26" s="1"/>
  <c r="L62" i="26"/>
  <c r="M62" i="26" s="1"/>
  <c r="N62" i="26" s="1"/>
  <c r="O62" i="26" s="1"/>
  <c r="P62" i="26" s="1"/>
  <c r="Q62" i="26" s="1"/>
  <c r="R62" i="26" s="1"/>
  <c r="S62" i="26" s="1"/>
  <c r="T62" i="26" s="1"/>
  <c r="U62" i="26" s="1"/>
  <c r="L60" i="26"/>
  <c r="M60" i="26" s="1"/>
  <c r="N60" i="26" s="1"/>
  <c r="O60" i="26" s="1"/>
  <c r="P60" i="26" s="1"/>
  <c r="Q60" i="26" s="1"/>
  <c r="R60" i="26" s="1"/>
  <c r="S60" i="26" s="1"/>
  <c r="T60" i="26" s="1"/>
  <c r="U60" i="26" s="1"/>
  <c r="L95" i="26"/>
  <c r="M95" i="26" s="1"/>
  <c r="L105" i="26"/>
  <c r="M105" i="26" s="1"/>
  <c r="L115" i="26"/>
  <c r="M115" i="26" s="1"/>
  <c r="L125" i="26"/>
  <c r="M125" i="26" s="1"/>
  <c r="N125" i="26" s="1"/>
  <c r="O125" i="26" s="1"/>
  <c r="P125" i="26" s="1"/>
  <c r="Q125" i="26" s="1"/>
  <c r="R125" i="26" s="1"/>
  <c r="S125" i="26" s="1"/>
  <c r="T125" i="26" s="1"/>
  <c r="U125" i="26" s="1"/>
  <c r="L123" i="26"/>
  <c r="M123" i="26" s="1"/>
  <c r="N123" i="26" s="1"/>
  <c r="O123" i="26" s="1"/>
  <c r="P123" i="26" s="1"/>
  <c r="Q123" i="26" s="1"/>
  <c r="R123" i="26" s="1"/>
  <c r="S123" i="26" s="1"/>
  <c r="T123" i="26" s="1"/>
  <c r="U123" i="26" s="1"/>
  <c r="L135" i="26"/>
  <c r="M135" i="26" s="1"/>
  <c r="N135" i="26" s="1"/>
  <c r="O135" i="26" s="1"/>
  <c r="P135" i="26" s="1"/>
  <c r="Q135" i="26" s="1"/>
  <c r="R135" i="26" s="1"/>
  <c r="S135" i="26" s="1"/>
  <c r="T135" i="26" s="1"/>
  <c r="U135" i="26" s="1"/>
  <c r="L133" i="26"/>
  <c r="M133" i="26" s="1"/>
  <c r="N133" i="26" s="1"/>
  <c r="O133" i="26" s="1"/>
  <c r="P133" i="26" s="1"/>
  <c r="Q133" i="26" s="1"/>
  <c r="R133" i="26" s="1"/>
  <c r="S133" i="26" s="1"/>
  <c r="T133" i="26" s="1"/>
  <c r="U133" i="26" s="1"/>
  <c r="L73" i="26"/>
  <c r="M73" i="26" s="1"/>
  <c r="L71" i="26"/>
  <c r="M71" i="26" s="1"/>
  <c r="L83" i="26"/>
  <c r="M83" i="26" s="1"/>
  <c r="L81" i="26"/>
  <c r="M81" i="26" s="1"/>
  <c r="L42" i="26"/>
  <c r="M42" i="26" s="1"/>
  <c r="N42" i="26" s="1"/>
  <c r="O42" i="26" s="1"/>
  <c r="P42" i="26" s="1"/>
  <c r="Q42" i="26" s="1"/>
  <c r="R42" i="26" s="1"/>
  <c r="S42" i="26" s="1"/>
  <c r="T42" i="26" s="1"/>
  <c r="U42" i="26" s="1"/>
  <c r="L40" i="26"/>
  <c r="M40" i="26" s="1"/>
  <c r="N40" i="26" s="1"/>
  <c r="O40" i="26" s="1"/>
  <c r="P40" i="26" s="1"/>
  <c r="Q40" i="26" s="1"/>
  <c r="R40" i="26" s="1"/>
  <c r="S40" i="26" s="1"/>
  <c r="T40" i="26" s="1"/>
  <c r="U40" i="26" s="1"/>
  <c r="L57" i="26"/>
  <c r="M57" i="26" s="1"/>
  <c r="N57" i="26" s="1"/>
  <c r="O57" i="26" s="1"/>
  <c r="P57" i="26" s="1"/>
  <c r="Q57" i="26" s="1"/>
  <c r="R57" i="26" s="1"/>
  <c r="S57" i="26" s="1"/>
  <c r="T57" i="26" s="1"/>
  <c r="U57" i="26" s="1"/>
  <c r="L55" i="26"/>
  <c r="M55" i="26" s="1"/>
  <c r="N55" i="26" s="1"/>
  <c r="O55" i="26" s="1"/>
  <c r="P55" i="26" s="1"/>
  <c r="Q55" i="26" s="1"/>
  <c r="R55" i="26" s="1"/>
  <c r="S55" i="26" s="1"/>
  <c r="T55" i="26" s="1"/>
  <c r="U55" i="26" s="1"/>
  <c r="L100" i="26"/>
  <c r="M100" i="26" s="1"/>
  <c r="N100" i="26" s="1"/>
  <c r="O100" i="26" s="1"/>
  <c r="P100" i="26" s="1"/>
  <c r="Q100" i="26" s="1"/>
  <c r="R100" i="26" s="1"/>
  <c r="S100" i="26" s="1"/>
  <c r="T100" i="26" s="1"/>
  <c r="U100" i="26" s="1"/>
  <c r="L110" i="26"/>
  <c r="M110" i="26" s="1"/>
  <c r="N110" i="26" s="1"/>
  <c r="L121" i="26"/>
  <c r="M121" i="26" s="1"/>
  <c r="N121" i="26" s="1"/>
  <c r="O121" i="26" s="1"/>
  <c r="P121" i="26" s="1"/>
  <c r="Q121" i="26" s="1"/>
  <c r="R121" i="26" s="1"/>
  <c r="S121" i="26" s="1"/>
  <c r="T121" i="26" s="1"/>
  <c r="U121" i="26" s="1"/>
  <c r="L131" i="26"/>
  <c r="M131" i="26" s="1"/>
  <c r="N131" i="26" s="1"/>
  <c r="O131" i="26" s="1"/>
  <c r="P131" i="26" s="1"/>
  <c r="Q131" i="26" s="1"/>
  <c r="R131" i="26" s="1"/>
  <c r="S131" i="26" s="1"/>
  <c r="T131" i="26" s="1"/>
  <c r="U131" i="26" s="1"/>
  <c r="L141" i="26"/>
  <c r="M141" i="26" s="1"/>
  <c r="N141" i="26" s="1"/>
  <c r="O141" i="26" s="1"/>
  <c r="P141" i="26" s="1"/>
  <c r="Q141" i="26" s="1"/>
  <c r="R141" i="26" s="1"/>
  <c r="S141" i="26" s="1"/>
  <c r="T141" i="26" s="1"/>
  <c r="U141" i="26" s="1"/>
  <c r="N23" i="26"/>
  <c r="H42" i="12"/>
  <c r="O35" i="26"/>
  <c r="I54" i="12"/>
  <c r="I32" i="12"/>
  <c r="O13" i="26"/>
  <c r="N28" i="26"/>
  <c r="H47" i="12"/>
  <c r="G49" i="12"/>
  <c r="G64" i="12"/>
  <c r="G66" i="12"/>
  <c r="G45" i="12"/>
  <c r="G43" i="12"/>
  <c r="G34" i="12"/>
  <c r="G51" i="12"/>
  <c r="H45" i="12"/>
  <c r="G44" i="12"/>
  <c r="G67" i="12"/>
  <c r="G46" i="12"/>
  <c r="G33" i="12"/>
  <c r="M14" i="26"/>
  <c r="K16" i="26"/>
  <c r="K17" i="26"/>
  <c r="L69" i="26"/>
  <c r="M69" i="26" s="1"/>
  <c r="L79" i="26"/>
  <c r="M79" i="26" s="1"/>
  <c r="L89" i="26"/>
  <c r="M89" i="26" s="1"/>
  <c r="K53" i="26"/>
  <c r="K63" i="26"/>
  <c r="L53" i="26"/>
  <c r="M53" i="26" s="1"/>
  <c r="N53" i="26" s="1"/>
  <c r="O53" i="26" s="1"/>
  <c r="P53" i="26" s="1"/>
  <c r="Q53" i="26" s="1"/>
  <c r="R53" i="26" s="1"/>
  <c r="S53" i="26" s="1"/>
  <c r="T53" i="26" s="1"/>
  <c r="U53" i="26" s="1"/>
  <c r="L63" i="26"/>
  <c r="M63" i="26" s="1"/>
  <c r="N63" i="26" s="1"/>
  <c r="O63" i="26" s="1"/>
  <c r="P63" i="26" s="1"/>
  <c r="Q63" i="26" s="1"/>
  <c r="R63" i="26" s="1"/>
  <c r="S63" i="26" s="1"/>
  <c r="T63" i="26" s="1"/>
  <c r="U63" i="26" s="1"/>
  <c r="L94" i="26"/>
  <c r="M94" i="26" s="1"/>
  <c r="L92" i="26"/>
  <c r="M92" i="26" s="1"/>
  <c r="L104" i="26"/>
  <c r="M104" i="26" s="1"/>
  <c r="L102" i="26"/>
  <c r="M102" i="26" s="1"/>
  <c r="L114" i="26"/>
  <c r="M114" i="26" s="1"/>
  <c r="L112" i="26"/>
  <c r="M112" i="26" s="1"/>
  <c r="L126" i="26"/>
  <c r="M126" i="26" s="1"/>
  <c r="N126" i="26" s="1"/>
  <c r="O126" i="26" s="1"/>
  <c r="P126" i="26" s="1"/>
  <c r="Q126" i="26" s="1"/>
  <c r="R126" i="26" s="1"/>
  <c r="S126" i="26" s="1"/>
  <c r="T126" i="26" s="1"/>
  <c r="U126" i="26" s="1"/>
  <c r="L136" i="26"/>
  <c r="M136" i="26" s="1"/>
  <c r="N136" i="26" s="1"/>
  <c r="O136" i="26" s="1"/>
  <c r="P136" i="26" s="1"/>
  <c r="Q136" i="26" s="1"/>
  <c r="R136" i="26" s="1"/>
  <c r="S136" i="26" s="1"/>
  <c r="T136" i="26" s="1"/>
  <c r="U136" i="26" s="1"/>
  <c r="L74" i="26"/>
  <c r="M74" i="26" s="1"/>
  <c r="L84" i="26"/>
  <c r="M84" i="26" s="1"/>
  <c r="L43" i="26"/>
  <c r="M43" i="26" s="1"/>
  <c r="N43" i="26" s="1"/>
  <c r="O43" i="26" s="1"/>
  <c r="P43" i="26" s="1"/>
  <c r="Q43" i="26" s="1"/>
  <c r="R43" i="26" s="1"/>
  <c r="S43" i="26" s="1"/>
  <c r="T43" i="26" s="1"/>
  <c r="U43" i="26" s="1"/>
  <c r="L58" i="26"/>
  <c r="M58" i="26" s="1"/>
  <c r="N58" i="26" s="1"/>
  <c r="O58" i="26" s="1"/>
  <c r="P58" i="26" s="1"/>
  <c r="Q58" i="26" s="1"/>
  <c r="R58" i="26" s="1"/>
  <c r="S58" i="26" s="1"/>
  <c r="T58" i="26" s="1"/>
  <c r="U58" i="26" s="1"/>
  <c r="L99" i="26"/>
  <c r="M99" i="26" s="1"/>
  <c r="N99" i="26" s="1"/>
  <c r="O99" i="26" s="1"/>
  <c r="P99" i="26" s="1"/>
  <c r="Q99" i="26" s="1"/>
  <c r="R99" i="26" s="1"/>
  <c r="S99" i="26" s="1"/>
  <c r="T99" i="26" s="1"/>
  <c r="U99" i="26" s="1"/>
  <c r="L97" i="26"/>
  <c r="M97" i="26" s="1"/>
  <c r="N97" i="26" s="1"/>
  <c r="O97" i="26" s="1"/>
  <c r="P97" i="26" s="1"/>
  <c r="Q97" i="26" s="1"/>
  <c r="R97" i="26" s="1"/>
  <c r="S97" i="26" s="1"/>
  <c r="T97" i="26" s="1"/>
  <c r="U97" i="26" s="1"/>
  <c r="L109" i="26"/>
  <c r="M109" i="26" s="1"/>
  <c r="N109" i="26" s="1"/>
  <c r="L107" i="26"/>
  <c r="M107" i="26" s="1"/>
  <c r="N107" i="26" s="1"/>
  <c r="L120" i="26"/>
  <c r="M120" i="26" s="1"/>
  <c r="N120" i="26" s="1"/>
  <c r="O120" i="26" s="1"/>
  <c r="P120" i="26" s="1"/>
  <c r="Q120" i="26" s="1"/>
  <c r="R120" i="26" s="1"/>
  <c r="S120" i="26" s="1"/>
  <c r="T120" i="26" s="1"/>
  <c r="U120" i="26" s="1"/>
  <c r="L118" i="26"/>
  <c r="M118" i="26" s="1"/>
  <c r="N118" i="26" s="1"/>
  <c r="O118" i="26" s="1"/>
  <c r="P118" i="26" s="1"/>
  <c r="Q118" i="26" s="1"/>
  <c r="R118" i="26" s="1"/>
  <c r="S118" i="26" s="1"/>
  <c r="T118" i="26" s="1"/>
  <c r="U118" i="26" s="1"/>
  <c r="L130" i="26"/>
  <c r="M130" i="26" s="1"/>
  <c r="N130" i="26" s="1"/>
  <c r="O130" i="26" s="1"/>
  <c r="P130" i="26" s="1"/>
  <c r="Q130" i="26" s="1"/>
  <c r="R130" i="26" s="1"/>
  <c r="S130" i="26" s="1"/>
  <c r="T130" i="26" s="1"/>
  <c r="U130" i="26" s="1"/>
  <c r="L128" i="26"/>
  <c r="M128" i="26" s="1"/>
  <c r="N128" i="26" s="1"/>
  <c r="O128" i="26" s="1"/>
  <c r="P128" i="26" s="1"/>
  <c r="Q128" i="26" s="1"/>
  <c r="R128" i="26" s="1"/>
  <c r="S128" i="26" s="1"/>
  <c r="T128" i="26" s="1"/>
  <c r="U128" i="26" s="1"/>
  <c r="L140" i="26"/>
  <c r="M140" i="26" s="1"/>
  <c r="N140" i="26" s="1"/>
  <c r="O140" i="26" s="1"/>
  <c r="P140" i="26" s="1"/>
  <c r="Q140" i="26" s="1"/>
  <c r="R140" i="26" s="1"/>
  <c r="S140" i="26" s="1"/>
  <c r="T140" i="26" s="1"/>
  <c r="U140" i="26" s="1"/>
  <c r="L138" i="26"/>
  <c r="M138" i="26" s="1"/>
  <c r="N138" i="26" s="1"/>
  <c r="O138" i="26" s="1"/>
  <c r="P138" i="26" s="1"/>
  <c r="Q138" i="26" s="1"/>
  <c r="R138" i="26" s="1"/>
  <c r="S138" i="26" s="1"/>
  <c r="T138" i="26" s="1"/>
  <c r="U138" i="26" s="1"/>
  <c r="N30" i="26"/>
  <c r="H49" i="12"/>
  <c r="O26" i="26"/>
  <c r="I45" i="12"/>
  <c r="O24" i="26"/>
  <c r="I43" i="12"/>
  <c r="N15" i="26"/>
  <c r="H34" i="12"/>
  <c r="N25" i="26"/>
  <c r="H44" i="12"/>
  <c r="O27" i="26"/>
  <c r="I46" i="12"/>
  <c r="H152" i="12"/>
  <c r="H51" i="12"/>
  <c r="D34" i="11"/>
  <c r="D51" i="11"/>
  <c r="D45" i="11"/>
  <c r="C44" i="11"/>
  <c r="D41" i="11"/>
  <c r="D55" i="11"/>
  <c r="C138" i="11"/>
  <c r="C148" i="11"/>
  <c r="I60" i="12"/>
  <c r="I70" i="12"/>
  <c r="I80" i="12"/>
  <c r="I96" i="12"/>
  <c r="I106" i="12"/>
  <c r="I143" i="12"/>
  <c r="I153" i="12"/>
  <c r="I117" i="12"/>
  <c r="I122" i="12"/>
  <c r="D66" i="11"/>
  <c r="D76" i="11"/>
  <c r="D107" i="11"/>
  <c r="D128" i="11"/>
  <c r="D149" i="11"/>
  <c r="D87" i="11"/>
  <c r="D97" i="11"/>
  <c r="D118" i="11"/>
  <c r="J99" i="12"/>
  <c r="J63" i="12"/>
  <c r="J73" i="12"/>
  <c r="J84" i="12"/>
  <c r="J136" i="12"/>
  <c r="J146" i="12"/>
  <c r="J156" i="12"/>
  <c r="J110" i="12"/>
  <c r="J130" i="12"/>
  <c r="J91" i="12"/>
  <c r="J127" i="12"/>
  <c r="K52" i="12"/>
  <c r="J55" i="12"/>
  <c r="J51" i="12"/>
  <c r="J38" i="12"/>
  <c r="K39" i="12"/>
  <c r="J58" i="12"/>
  <c r="J68" i="12"/>
  <c r="J78" i="12"/>
  <c r="J94" i="12"/>
  <c r="J104" i="12"/>
  <c r="J141" i="12"/>
  <c r="J151" i="12"/>
  <c r="J115" i="12"/>
  <c r="J120" i="12"/>
  <c r="D61" i="11"/>
  <c r="D92" i="11"/>
  <c r="K89" i="12"/>
  <c r="D113" i="11"/>
  <c r="D133" i="11"/>
  <c r="K125" i="12"/>
  <c r="D144" i="11"/>
  <c r="D154" i="11"/>
  <c r="D71" i="11"/>
  <c r="D81" i="11"/>
  <c r="D102" i="11"/>
  <c r="D123" i="11"/>
  <c r="I101" i="12"/>
  <c r="I65" i="12"/>
  <c r="I67" i="12"/>
  <c r="I75" i="12"/>
  <c r="I86" i="12"/>
  <c r="I138" i="12"/>
  <c r="I148" i="12"/>
  <c r="I158" i="12"/>
  <c r="C119" i="26"/>
  <c r="D138" i="12" s="1"/>
  <c r="A120" i="26"/>
  <c r="I112" i="12"/>
  <c r="I132" i="12"/>
  <c r="K37" i="12"/>
  <c r="J56" i="12"/>
  <c r="J53" i="12"/>
  <c r="J50" i="12"/>
  <c r="J48" i="12"/>
  <c r="J40" i="12"/>
  <c r="J41" i="12"/>
  <c r="C32" i="12"/>
  <c r="C32" i="11" s="1"/>
  <c r="C33" i="11"/>
  <c r="C38" i="11"/>
  <c r="C48" i="11"/>
  <c r="D50" i="11"/>
  <c r="D46" i="11"/>
  <c r="D40" i="11"/>
  <c r="C53" i="11"/>
  <c r="D56" i="11"/>
  <c r="C95" i="11"/>
  <c r="C116" i="11"/>
  <c r="C90" i="11"/>
  <c r="C64" i="11"/>
  <c r="C105" i="11"/>
  <c r="C131" i="11"/>
  <c r="C74" i="11"/>
  <c r="C121" i="11"/>
  <c r="C111" i="11"/>
  <c r="C69" i="11"/>
  <c r="I59" i="12"/>
  <c r="I142" i="12"/>
  <c r="D67" i="11"/>
  <c r="D77" i="11"/>
  <c r="D108" i="11"/>
  <c r="D129" i="11"/>
  <c r="D150" i="11"/>
  <c r="D88" i="11"/>
  <c r="D98" i="11"/>
  <c r="D119" i="11"/>
  <c r="D136" i="11"/>
  <c r="C104" i="11"/>
  <c r="C130" i="11"/>
  <c r="C52" i="11"/>
  <c r="C78" i="11"/>
  <c r="D62" i="11"/>
  <c r="D93" i="11"/>
  <c r="D114" i="11"/>
  <c r="D134" i="11"/>
  <c r="D145" i="11"/>
  <c r="D155" i="11"/>
  <c r="D72" i="11"/>
  <c r="D82" i="11"/>
  <c r="D103" i="11"/>
  <c r="D124" i="11"/>
  <c r="C120" i="11"/>
  <c r="I66" i="12"/>
  <c r="I64" i="12"/>
  <c r="D137" i="11"/>
  <c r="C89" i="11"/>
  <c r="C141" i="11"/>
  <c r="C110" i="11"/>
  <c r="C47" i="11"/>
  <c r="C42" i="11"/>
  <c r="C136" i="11"/>
  <c r="B77" i="26"/>
  <c r="C96" i="12" s="1"/>
  <c r="D78" i="26"/>
  <c r="E97" i="12" s="1"/>
  <c r="B98" i="26"/>
  <c r="C117" i="12" s="1"/>
  <c r="D99" i="26"/>
  <c r="E118" i="12" s="1"/>
  <c r="B139" i="26"/>
  <c r="C158" i="12" s="1"/>
  <c r="C158" i="11" s="1"/>
  <c r="D140" i="26"/>
  <c r="E159" i="12" s="1"/>
  <c r="D73" i="26"/>
  <c r="E92" i="12" s="1"/>
  <c r="B72" i="26"/>
  <c r="C91" i="12" s="1"/>
  <c r="B46" i="26"/>
  <c r="C65" i="12" s="1"/>
  <c r="D47" i="26"/>
  <c r="E66" i="12" s="1"/>
  <c r="B87" i="26"/>
  <c r="C106" i="12" s="1"/>
  <c r="D88" i="26"/>
  <c r="E107" i="12" s="1"/>
  <c r="D114" i="26"/>
  <c r="E133" i="12" s="1"/>
  <c r="B113" i="26"/>
  <c r="C132" i="12" s="1"/>
  <c r="B56" i="26"/>
  <c r="C75" i="12" s="1"/>
  <c r="D57" i="26"/>
  <c r="E76" i="12" s="1"/>
  <c r="D104" i="26"/>
  <c r="E123" i="12" s="1"/>
  <c r="B103" i="26"/>
  <c r="C122" i="12" s="1"/>
  <c r="D135" i="26"/>
  <c r="E154" i="12" s="1"/>
  <c r="B134" i="26"/>
  <c r="C153" i="12" s="1"/>
  <c r="D125" i="26"/>
  <c r="E144" i="12" s="1"/>
  <c r="B124" i="26"/>
  <c r="C143" i="12" s="1"/>
  <c r="D94" i="26"/>
  <c r="E113" i="12" s="1"/>
  <c r="B93" i="26"/>
  <c r="C112" i="12" s="1"/>
  <c r="B108" i="26"/>
  <c r="C127" i="12" s="1"/>
  <c r="D109" i="26"/>
  <c r="E128" i="12" s="1"/>
  <c r="D52" i="26"/>
  <c r="E71" i="12" s="1"/>
  <c r="B51" i="26"/>
  <c r="C70" i="12" s="1"/>
  <c r="B62" i="26"/>
  <c r="C81" i="12" s="1"/>
  <c r="D63" i="26"/>
  <c r="B83" i="26"/>
  <c r="C102" i="12" s="1"/>
  <c r="D84" i="26"/>
  <c r="B120" i="26"/>
  <c r="C139" i="12" s="1"/>
  <c r="D121" i="26"/>
  <c r="B68" i="26"/>
  <c r="C87" i="12" s="1"/>
  <c r="D69" i="26"/>
  <c r="B130" i="26"/>
  <c r="C149" i="12" s="1"/>
  <c r="D131" i="26"/>
  <c r="D36" i="26"/>
  <c r="E55" i="12" s="1"/>
  <c r="B35" i="26"/>
  <c r="C54" i="12" s="1"/>
  <c r="D21" i="26"/>
  <c r="E40" i="12" s="1"/>
  <c r="B20" i="26"/>
  <c r="C39" i="12" s="1"/>
  <c r="D31" i="26"/>
  <c r="E50" i="12" s="1"/>
  <c r="B30" i="26"/>
  <c r="C49" i="12" s="1"/>
  <c r="B26" i="26"/>
  <c r="C45" i="12" s="1"/>
  <c r="D27" i="26"/>
  <c r="A17" i="26"/>
  <c r="C17" i="26" s="1"/>
  <c r="D36" i="12" s="1"/>
  <c r="C16" i="26"/>
  <c r="D35" i="12" s="1"/>
  <c r="D16" i="26"/>
  <c r="E35" i="12" s="1"/>
  <c r="B15" i="26"/>
  <c r="C34" i="12" s="1"/>
  <c r="W80" i="44"/>
  <c r="Q8" i="44"/>
  <c r="Q10" i="44"/>
  <c r="R7" i="44"/>
  <c r="Q8" i="58" s="1"/>
  <c r="X79" i="44"/>
  <c r="R11" i="44"/>
  <c r="Y83" i="44" s="1"/>
  <c r="X83" i="44"/>
  <c r="W81" i="44"/>
  <c r="Q9" i="44"/>
  <c r="X78" i="44"/>
  <c r="R6" i="44"/>
  <c r="Q7" i="58" s="1"/>
  <c r="X77" i="44"/>
  <c r="W82" i="44"/>
  <c r="D43" i="26" l="1"/>
  <c r="H118" i="12"/>
  <c r="O304" i="58"/>
  <c r="O953" i="58"/>
  <c r="O550" i="58"/>
  <c r="O969" i="58"/>
  <c r="O968" i="58"/>
  <c r="O661" i="58"/>
  <c r="O660" i="58"/>
  <c r="O316" i="58"/>
  <c r="O802" i="58"/>
  <c r="O305" i="58"/>
  <c r="O300" i="58"/>
  <c r="O958" i="58"/>
  <c r="O801" i="58"/>
  <c r="O813" i="58"/>
  <c r="O812" i="58"/>
  <c r="O650" i="58"/>
  <c r="O957" i="58"/>
  <c r="O649" i="58"/>
  <c r="O797" i="58"/>
  <c r="O315" i="58"/>
  <c r="O970" i="58"/>
  <c r="O951" i="58"/>
  <c r="O647" i="58"/>
  <c r="O955" i="58"/>
  <c r="O552" i="58"/>
  <c r="O794" i="58"/>
  <c r="O646" i="58"/>
  <c r="O297" i="58"/>
  <c r="O809" i="58"/>
  <c r="O973" i="58"/>
  <c r="O815" i="58"/>
  <c r="O808" i="58"/>
  <c r="O311" i="58"/>
  <c r="O960" i="58"/>
  <c r="O967" i="58"/>
  <c r="O954" i="58"/>
  <c r="O651" i="58"/>
  <c r="O655" i="58"/>
  <c r="O298" i="58"/>
  <c r="O302" i="58"/>
  <c r="O950" i="58"/>
  <c r="O965" i="58"/>
  <c r="O320" i="58"/>
  <c r="O658" i="58"/>
  <c r="O971" i="58"/>
  <c r="O654" i="58"/>
  <c r="O800" i="58"/>
  <c r="O648" i="58"/>
  <c r="O303" i="58"/>
  <c r="O964" i="58"/>
  <c r="O314" i="58"/>
  <c r="O805" i="58"/>
  <c r="O803" i="58"/>
  <c r="O807" i="58"/>
  <c r="O662" i="58"/>
  <c r="O312" i="58"/>
  <c r="O665" i="58"/>
  <c r="O810" i="58"/>
  <c r="O313" i="58"/>
  <c r="O318" i="58"/>
  <c r="O806" i="58"/>
  <c r="O309" i="58"/>
  <c r="O956" i="58"/>
  <c r="O796" i="58"/>
  <c r="O549" i="58"/>
  <c r="O299" i="58"/>
  <c r="O652" i="58"/>
  <c r="O659" i="58"/>
  <c r="O961" i="58"/>
  <c r="O653" i="58"/>
  <c r="O959" i="58"/>
  <c r="O963" i="58"/>
  <c r="O814" i="58"/>
  <c r="O317" i="58"/>
  <c r="O795" i="58"/>
  <c r="O799" i="58"/>
  <c r="O657" i="58"/>
  <c r="O817" i="58"/>
  <c r="O966" i="58"/>
  <c r="O663" i="58"/>
  <c r="O962" i="58"/>
  <c r="O656" i="58"/>
  <c r="O952" i="58"/>
  <c r="O804" i="58"/>
  <c r="O307" i="58"/>
  <c r="O811" i="58"/>
  <c r="O798" i="58"/>
  <c r="O551" i="58"/>
  <c r="O301" i="58"/>
  <c r="O308" i="58"/>
  <c r="O306" i="58"/>
  <c r="O310" i="58"/>
  <c r="O321" i="58"/>
  <c r="O972" i="58"/>
  <c r="O664" i="58"/>
  <c r="O816" i="58"/>
  <c r="O319" i="58"/>
  <c r="P620" i="58"/>
  <c r="P758" i="58"/>
  <c r="P614" i="58"/>
  <c r="P923" i="58"/>
  <c r="P268" i="58"/>
  <c r="P612" i="58"/>
  <c r="P764" i="58"/>
  <c r="P265" i="58"/>
  <c r="P259" i="58"/>
  <c r="P767" i="58"/>
  <c r="P917" i="58"/>
  <c r="P262" i="58"/>
  <c r="P756" i="58"/>
  <c r="P257" i="58"/>
  <c r="P920" i="58"/>
  <c r="P914" i="58"/>
  <c r="P623" i="58"/>
  <c r="P761" i="58"/>
  <c r="P912" i="58"/>
  <c r="P617" i="58"/>
  <c r="P904" i="58"/>
  <c r="P911" i="58"/>
  <c r="P256" i="58"/>
  <c r="P915" i="58"/>
  <c r="P260" i="58"/>
  <c r="P269" i="58"/>
  <c r="P542" i="58"/>
  <c r="P901" i="58"/>
  <c r="P247" i="58"/>
  <c r="P746" i="58"/>
  <c r="P900" i="58"/>
  <c r="P922" i="58"/>
  <c r="P759" i="58"/>
  <c r="P616" i="58"/>
  <c r="P609" i="58"/>
  <c r="P757" i="58"/>
  <c r="P613" i="58"/>
  <c r="P745" i="58"/>
  <c r="P902" i="58"/>
  <c r="P905" i="58"/>
  <c r="P250" i="58"/>
  <c r="P608" i="58"/>
  <c r="P610" i="58"/>
  <c r="P543" i="58"/>
  <c r="P611" i="58"/>
  <c r="P615" i="58"/>
  <c r="P760" i="58"/>
  <c r="P261" i="58"/>
  <c r="P903" i="58"/>
  <c r="P248" i="58"/>
  <c r="P605" i="58"/>
  <c r="P749" i="58"/>
  <c r="P604" i="58"/>
  <c r="P752" i="58"/>
  <c r="P253" i="58"/>
  <c r="P754" i="58"/>
  <c r="P255" i="58"/>
  <c r="P622" i="58"/>
  <c r="P748" i="58"/>
  <c r="P249" i="58"/>
  <c r="P755" i="58"/>
  <c r="P916" i="58"/>
  <c r="P747" i="58"/>
  <c r="P909" i="58"/>
  <c r="P753" i="58"/>
  <c r="P254" i="58"/>
  <c r="P913" i="58"/>
  <c r="P258" i="58"/>
  <c r="P541" i="58"/>
  <c r="P544" i="58"/>
  <c r="P744" i="58"/>
  <c r="P246" i="58"/>
  <c r="P908" i="58"/>
  <c r="P910" i="58"/>
  <c r="P766" i="58"/>
  <c r="P267" i="58"/>
  <c r="P763" i="58"/>
  <c r="P263" i="58"/>
  <c r="P921" i="58"/>
  <c r="P266" i="58"/>
  <c r="P606" i="58"/>
  <c r="P762" i="58"/>
  <c r="P919" i="58"/>
  <c r="P619" i="58"/>
  <c r="P264" i="58"/>
  <c r="P765" i="58"/>
  <c r="P907" i="58"/>
  <c r="P751" i="58"/>
  <c r="P252" i="58"/>
  <c r="P750" i="58"/>
  <c r="P251" i="58"/>
  <c r="P607" i="58"/>
  <c r="P918" i="58"/>
  <c r="P618" i="58"/>
  <c r="P621" i="58"/>
  <c r="P906" i="58"/>
  <c r="Q17" i="58"/>
  <c r="Q10" i="58"/>
  <c r="Q20" i="58" s="1"/>
  <c r="O396" i="58"/>
  <c r="O842" i="58"/>
  <c r="O346" i="58"/>
  <c r="O685" i="58"/>
  <c r="O371" i="58"/>
  <c r="O684" i="58"/>
  <c r="O998" i="58"/>
  <c r="O372" i="58"/>
  <c r="O841" i="58"/>
  <c r="O397" i="58"/>
  <c r="O840" i="58"/>
  <c r="O344" i="58"/>
  <c r="O398" i="58"/>
  <c r="O997" i="58"/>
  <c r="O996" i="58"/>
  <c r="O370" i="58"/>
  <c r="O686" i="58"/>
  <c r="O345" i="58"/>
  <c r="O819" i="58"/>
  <c r="O375" i="58"/>
  <c r="O820" i="58"/>
  <c r="O324" i="58"/>
  <c r="O835" i="58"/>
  <c r="O391" i="58"/>
  <c r="O325" i="58"/>
  <c r="O378" i="58"/>
  <c r="O327" i="58"/>
  <c r="O380" i="58"/>
  <c r="O331" i="58"/>
  <c r="O829" i="58"/>
  <c r="O385" i="58"/>
  <c r="O343" i="58"/>
  <c r="O388" i="58"/>
  <c r="O987" i="58"/>
  <c r="O990" i="58"/>
  <c r="O364" i="58"/>
  <c r="O337" i="58"/>
  <c r="O384" i="58"/>
  <c r="O680" i="58"/>
  <c r="O986" i="58"/>
  <c r="O360" i="58"/>
  <c r="O976" i="58"/>
  <c r="O350" i="58"/>
  <c r="O991" i="58"/>
  <c r="O977" i="58"/>
  <c r="O553" i="58"/>
  <c r="O351" i="58"/>
  <c r="O554" i="58"/>
  <c r="O555" i="58"/>
  <c r="O353" i="58"/>
  <c r="O980" i="58"/>
  <c r="O556" i="58"/>
  <c r="O671" i="58"/>
  <c r="O357" i="58"/>
  <c r="O985" i="58"/>
  <c r="O683" i="58"/>
  <c r="O369" i="58"/>
  <c r="O676" i="58"/>
  <c r="O335" i="58"/>
  <c r="O390" i="58"/>
  <c r="O677" i="58"/>
  <c r="O363" i="58"/>
  <c r="O672" i="58"/>
  <c r="O836" i="58"/>
  <c r="O340" i="58"/>
  <c r="O386" i="58"/>
  <c r="O323" i="58"/>
  <c r="O376" i="58"/>
  <c r="O339" i="58"/>
  <c r="O821" i="58"/>
  <c r="O377" i="58"/>
  <c r="O822" i="58"/>
  <c r="O326" i="58"/>
  <c r="O823" i="58"/>
  <c r="O379" i="58"/>
  <c r="O824" i="58"/>
  <c r="O328" i="58"/>
  <c r="O827" i="58"/>
  <c r="O383" i="58"/>
  <c r="O333" i="58"/>
  <c r="O839" i="58"/>
  <c r="O395" i="58"/>
  <c r="O832" i="58"/>
  <c r="O336" i="58"/>
  <c r="O675" i="58"/>
  <c r="O361" i="58"/>
  <c r="O678" i="58"/>
  <c r="O833" i="58"/>
  <c r="O389" i="58"/>
  <c r="O828" i="58"/>
  <c r="O332" i="58"/>
  <c r="O992" i="58"/>
  <c r="O366" i="58"/>
  <c r="O674" i="58"/>
  <c r="O975" i="58"/>
  <c r="O667" i="58"/>
  <c r="O349" i="58"/>
  <c r="O668" i="58"/>
  <c r="O679" i="58"/>
  <c r="O365" i="58"/>
  <c r="O978" i="58"/>
  <c r="O352" i="58"/>
  <c r="O979" i="58"/>
  <c r="O354" i="58"/>
  <c r="O983" i="58"/>
  <c r="O673" i="58"/>
  <c r="O359" i="58"/>
  <c r="O995" i="58"/>
  <c r="O988" i="58"/>
  <c r="O362" i="58"/>
  <c r="O831" i="58"/>
  <c r="O387" i="58"/>
  <c r="O834" i="58"/>
  <c r="O338" i="58"/>
  <c r="O989" i="58"/>
  <c r="O984" i="58"/>
  <c r="O358" i="58"/>
  <c r="O392" i="58"/>
  <c r="O830" i="58"/>
  <c r="O334" i="58"/>
  <c r="O373" i="58"/>
  <c r="O670" i="58"/>
  <c r="O981" i="58"/>
  <c r="O329" i="58"/>
  <c r="O367" i="58"/>
  <c r="O382" i="58"/>
  <c r="O993" i="58"/>
  <c r="O681" i="58"/>
  <c r="O399" i="58"/>
  <c r="O826" i="58"/>
  <c r="O330" i="58"/>
  <c r="O669" i="58"/>
  <c r="O355" i="58"/>
  <c r="O838" i="58"/>
  <c r="O837" i="58"/>
  <c r="O368" i="58"/>
  <c r="O347" i="58"/>
  <c r="O994" i="58"/>
  <c r="O682" i="58"/>
  <c r="O394" i="58"/>
  <c r="O342" i="58"/>
  <c r="O982" i="58"/>
  <c r="O356" i="58"/>
  <c r="O825" i="58"/>
  <c r="O381" i="58"/>
  <c r="O393" i="58"/>
  <c r="O341" i="58"/>
  <c r="P600" i="58"/>
  <c r="P215" i="58"/>
  <c r="P896" i="58"/>
  <c r="P241" i="58"/>
  <c r="P740" i="58"/>
  <c r="P189" i="58"/>
  <c r="P59" i="58" s="1"/>
  <c r="P85" i="58" s="1"/>
  <c r="P111" i="58" s="1"/>
  <c r="P137" i="58" s="1"/>
  <c r="P163" i="58" s="1"/>
  <c r="P733" i="58"/>
  <c r="P234" i="58"/>
  <c r="P588" i="58"/>
  <c r="P736" i="58"/>
  <c r="P730" i="58"/>
  <c r="P194" i="58"/>
  <c r="P891" i="58"/>
  <c r="P184" i="58"/>
  <c r="P54" i="58" s="1"/>
  <c r="P80" i="58" s="1"/>
  <c r="P106" i="58" s="1"/>
  <c r="P132" i="58" s="1"/>
  <c r="P158" i="58" s="1"/>
  <c r="P537" i="58"/>
  <c r="P722" i="58"/>
  <c r="P197" i="58"/>
  <c r="P539" i="58"/>
  <c r="P724" i="58"/>
  <c r="P199" i="58"/>
  <c r="P587" i="58"/>
  <c r="P729" i="58"/>
  <c r="P204" i="58"/>
  <c r="P178" i="58"/>
  <c r="P48" i="58" s="1"/>
  <c r="P74" i="58" s="1"/>
  <c r="P100" i="58" s="1"/>
  <c r="P126" i="58" s="1"/>
  <c r="P152" i="58" s="1"/>
  <c r="P214" i="58"/>
  <c r="P888" i="58"/>
  <c r="P233" i="58"/>
  <c r="P591" i="58"/>
  <c r="P209" i="58"/>
  <c r="P889" i="58"/>
  <c r="P182" i="58"/>
  <c r="P52" i="58" s="1"/>
  <c r="P78" i="58" s="1"/>
  <c r="P104" i="58" s="1"/>
  <c r="P130" i="58" s="1"/>
  <c r="P156" i="58" s="1"/>
  <c r="P884" i="58"/>
  <c r="P596" i="58"/>
  <c r="P211" i="58"/>
  <c r="P590" i="58"/>
  <c r="P205" i="58"/>
  <c r="P221" i="58"/>
  <c r="P169" i="58"/>
  <c r="P39" i="58" s="1"/>
  <c r="P65" i="58" s="1"/>
  <c r="P91" i="58" s="1"/>
  <c r="P117" i="58" s="1"/>
  <c r="P143" i="58" s="1"/>
  <c r="P877" i="58"/>
  <c r="P721" i="58"/>
  <c r="P222" i="58"/>
  <c r="P170" i="58"/>
  <c r="P40" i="58" s="1"/>
  <c r="P66" i="58" s="1"/>
  <c r="P92" i="58" s="1"/>
  <c r="P118" i="58" s="1"/>
  <c r="P144" i="58" s="1"/>
  <c r="P878" i="58"/>
  <c r="P538" i="58"/>
  <c r="P879" i="58"/>
  <c r="P723" i="58"/>
  <c r="P224" i="58"/>
  <c r="P172" i="58"/>
  <c r="P42" i="58" s="1"/>
  <c r="P68" i="58" s="1"/>
  <c r="P94" i="58" s="1"/>
  <c r="P120" i="58" s="1"/>
  <c r="P146" i="58" s="1"/>
  <c r="P880" i="58"/>
  <c r="P540" i="58"/>
  <c r="P883" i="58"/>
  <c r="P727" i="58"/>
  <c r="P228" i="58"/>
  <c r="P176" i="58"/>
  <c r="P46" i="58" s="1"/>
  <c r="P72" i="58" s="1"/>
  <c r="P98" i="58" s="1"/>
  <c r="P124" i="58" s="1"/>
  <c r="P150" i="58" s="1"/>
  <c r="P885" i="58"/>
  <c r="P230" i="58"/>
  <c r="P599" i="58"/>
  <c r="P239" i="58"/>
  <c r="P732" i="58"/>
  <c r="P181" i="58"/>
  <c r="P51" i="58" s="1"/>
  <c r="P77" i="58" s="1"/>
  <c r="P103" i="58" s="1"/>
  <c r="P129" i="58" s="1"/>
  <c r="P155" i="58" s="1"/>
  <c r="P731" i="58"/>
  <c r="P180" i="58"/>
  <c r="P50" i="58" s="1"/>
  <c r="P76" i="58" s="1"/>
  <c r="P102" i="58" s="1"/>
  <c r="P128" i="58" s="1"/>
  <c r="P154" i="58" s="1"/>
  <c r="P890" i="58"/>
  <c r="P235" i="58"/>
  <c r="P229" i="58"/>
  <c r="P177" i="58"/>
  <c r="P47" i="58" s="1"/>
  <c r="P73" i="58" s="1"/>
  <c r="P99" i="58" s="1"/>
  <c r="P125" i="58" s="1"/>
  <c r="P151" i="58" s="1"/>
  <c r="P237" i="58"/>
  <c r="P231" i="58"/>
  <c r="P179" i="58"/>
  <c r="P49" i="58" s="1"/>
  <c r="P75" i="58" s="1"/>
  <c r="P101" i="58" s="1"/>
  <c r="P127" i="58" s="1"/>
  <c r="P153" i="58" s="1"/>
  <c r="P583" i="58"/>
  <c r="P720" i="58"/>
  <c r="P195" i="58"/>
  <c r="P595" i="58"/>
  <c r="P210" i="58"/>
  <c r="P196" i="58"/>
  <c r="P198" i="58"/>
  <c r="P202" i="58"/>
  <c r="P739" i="58"/>
  <c r="P240" i="58"/>
  <c r="P188" i="58"/>
  <c r="P58" i="58" s="1"/>
  <c r="P84" i="58" s="1"/>
  <c r="P110" i="58" s="1"/>
  <c r="P136" i="58" s="1"/>
  <c r="P162" i="58" s="1"/>
  <c r="P592" i="58"/>
  <c r="P887" i="58"/>
  <c r="P206" i="58"/>
  <c r="P734" i="58"/>
  <c r="P183" i="58"/>
  <c r="P53" i="58" s="1"/>
  <c r="P79" i="58" s="1"/>
  <c r="P105" i="58" s="1"/>
  <c r="P131" i="58" s="1"/>
  <c r="P157" i="58" s="1"/>
  <c r="P593" i="58"/>
  <c r="P208" i="58"/>
  <c r="P728" i="58"/>
  <c r="P203" i="58"/>
  <c r="P892" i="58"/>
  <c r="P238" i="58"/>
  <c r="P185" i="58"/>
  <c r="P55" i="58" s="1"/>
  <c r="P81" i="58" s="1"/>
  <c r="P107" i="58" s="1"/>
  <c r="P133" i="58" s="1"/>
  <c r="P159" i="58" s="1"/>
  <c r="P886" i="58"/>
  <c r="P875" i="58"/>
  <c r="P719" i="58"/>
  <c r="P220" i="58"/>
  <c r="P168" i="58"/>
  <c r="P38" i="58" s="1"/>
  <c r="P64" i="58" s="1"/>
  <c r="P90" i="58" s="1"/>
  <c r="P116" i="58" s="1"/>
  <c r="P142" i="58" s="1"/>
  <c r="P876" i="58"/>
  <c r="P584" i="58"/>
  <c r="P735" i="58"/>
  <c r="P236" i="58"/>
  <c r="P223" i="58"/>
  <c r="P171" i="58"/>
  <c r="P41" i="58" s="1"/>
  <c r="P67" i="58" s="1"/>
  <c r="P93" i="58" s="1"/>
  <c r="P119" i="58" s="1"/>
  <c r="P145" i="58" s="1"/>
  <c r="P225" i="58"/>
  <c r="P173" i="58"/>
  <c r="P43" i="58" s="1"/>
  <c r="P69" i="58" s="1"/>
  <c r="P95" i="58" s="1"/>
  <c r="P121" i="58" s="1"/>
  <c r="P147" i="58" s="1"/>
  <c r="P589" i="58"/>
  <c r="P895" i="58"/>
  <c r="P207" i="58"/>
  <c r="P232" i="58"/>
  <c r="P594" i="58"/>
  <c r="P602" i="58"/>
  <c r="P601" i="58"/>
  <c r="P216" i="58"/>
  <c r="P737" i="58"/>
  <c r="P192" i="58"/>
  <c r="P62" i="58" s="1"/>
  <c r="P88" i="58" s="1"/>
  <c r="P114" i="58" s="1"/>
  <c r="P140" i="58" s="1"/>
  <c r="P166" i="58" s="1"/>
  <c r="P882" i="58"/>
  <c r="P586" i="58"/>
  <c r="P597" i="58"/>
  <c r="P200" i="58"/>
  <c r="P244" i="58"/>
  <c r="P217" i="58"/>
  <c r="P741" i="58"/>
  <c r="P242" i="58"/>
  <c r="P738" i="58"/>
  <c r="P212" i="58"/>
  <c r="P186" i="58"/>
  <c r="P56" i="58" s="1"/>
  <c r="P82" i="58" s="1"/>
  <c r="P108" i="58" s="1"/>
  <c r="P134" i="58" s="1"/>
  <c r="P160" i="58" s="1"/>
  <c r="P585" i="58"/>
  <c r="P191" i="58"/>
  <c r="P61" i="58" s="1"/>
  <c r="P87" i="58" s="1"/>
  <c r="P113" i="58" s="1"/>
  <c r="P139" i="58" s="1"/>
  <c r="P165" i="58" s="1"/>
  <c r="P893" i="58"/>
  <c r="P726" i="58"/>
  <c r="P201" i="58"/>
  <c r="P898" i="58"/>
  <c r="P243" i="58"/>
  <c r="P897" i="58"/>
  <c r="P190" i="58"/>
  <c r="P60" i="58" s="1"/>
  <c r="P86" i="58" s="1"/>
  <c r="P112" i="58" s="1"/>
  <c r="P138" i="58" s="1"/>
  <c r="P164" i="58" s="1"/>
  <c r="P894" i="58"/>
  <c r="P598" i="58"/>
  <c r="P213" i="58"/>
  <c r="P187" i="58"/>
  <c r="P57" i="58" s="1"/>
  <c r="P83" i="58" s="1"/>
  <c r="P109" i="58" s="1"/>
  <c r="P135" i="58" s="1"/>
  <c r="P161" i="58" s="1"/>
  <c r="P881" i="58"/>
  <c r="P725" i="58"/>
  <c r="P226" i="58"/>
  <c r="P174" i="58"/>
  <c r="P44" i="58" s="1"/>
  <c r="P70" i="58" s="1"/>
  <c r="P96" i="58" s="1"/>
  <c r="P122" i="58" s="1"/>
  <c r="P148" i="58" s="1"/>
  <c r="P218" i="58"/>
  <c r="P227" i="58"/>
  <c r="P175" i="58"/>
  <c r="P45" i="58" s="1"/>
  <c r="P71" i="58" s="1"/>
  <c r="P97" i="58" s="1"/>
  <c r="P123" i="58" s="1"/>
  <c r="P149" i="58" s="1"/>
  <c r="P742" i="58"/>
  <c r="P444" i="58"/>
  <c r="P419" i="58"/>
  <c r="P409" i="58"/>
  <c r="P434" i="58"/>
  <c r="P448" i="58"/>
  <c r="P423" i="58"/>
  <c r="P441" i="58"/>
  <c r="P405" i="58"/>
  <c r="P442" i="58"/>
  <c r="P404" i="58"/>
  <c r="P435" i="58"/>
  <c r="P410" i="58"/>
  <c r="P440" i="58"/>
  <c r="P415" i="58"/>
  <c r="P443" i="58"/>
  <c r="P418" i="58"/>
  <c r="P412" i="58"/>
  <c r="P436" i="58"/>
  <c r="P411" i="58"/>
  <c r="P427" i="58"/>
  <c r="P403" i="58"/>
  <c r="P431" i="58"/>
  <c r="P401" i="58"/>
  <c r="P437" i="58"/>
  <c r="P420" i="58"/>
  <c r="P430" i="58"/>
  <c r="P413" i="58"/>
  <c r="P429" i="58"/>
  <c r="P439" i="58"/>
  <c r="P414" i="58"/>
  <c r="P416" i="58"/>
  <c r="P445" i="58"/>
  <c r="P438" i="58"/>
  <c r="P417" i="58"/>
  <c r="P402" i="58"/>
  <c r="P428" i="58"/>
  <c r="P406" i="58"/>
  <c r="P426" i="58"/>
  <c r="P449" i="58"/>
  <c r="P433" i="58"/>
  <c r="P424" i="58"/>
  <c r="P408" i="58"/>
  <c r="P421" i="58"/>
  <c r="P407" i="58"/>
  <c r="P432" i="58"/>
  <c r="P446" i="58"/>
  <c r="P447" i="58"/>
  <c r="P422" i="58"/>
  <c r="Q9" i="58"/>
  <c r="Q19" i="58" s="1"/>
  <c r="Q18" i="58"/>
  <c r="O792" i="58"/>
  <c r="O948" i="58"/>
  <c r="O644" i="58"/>
  <c r="O790" i="58"/>
  <c r="O294" i="58"/>
  <c r="O946" i="58"/>
  <c r="O642" i="58"/>
  <c r="O292" i="58"/>
  <c r="O786" i="58"/>
  <c r="O282" i="58"/>
  <c r="O935" i="58"/>
  <c r="O945" i="58"/>
  <c r="O938" i="58"/>
  <c r="O634" i="58"/>
  <c r="O784" i="58"/>
  <c r="O926" i="58"/>
  <c r="O941" i="58"/>
  <c r="O928" i="58"/>
  <c r="O929" i="58"/>
  <c r="O930" i="58"/>
  <c r="O933" i="58"/>
  <c r="O939" i="58"/>
  <c r="O934" i="58"/>
  <c r="O630" i="58"/>
  <c r="O942" i="58"/>
  <c r="O638" i="58"/>
  <c r="O284" i="58"/>
  <c r="O940" i="58"/>
  <c r="O636" i="58"/>
  <c r="O925" i="58"/>
  <c r="O770" i="58"/>
  <c r="O927" i="58"/>
  <c r="O772" i="58"/>
  <c r="O774" i="58"/>
  <c r="O280" i="58"/>
  <c r="O288" i="58"/>
  <c r="O780" i="58"/>
  <c r="O781" i="58"/>
  <c r="O633" i="58"/>
  <c r="O283" i="58"/>
  <c r="O286" i="58"/>
  <c r="O626" i="58"/>
  <c r="O546" i="58"/>
  <c r="O548" i="58"/>
  <c r="O936" i="58"/>
  <c r="O632" i="58"/>
  <c r="O779" i="58"/>
  <c r="O631" i="58"/>
  <c r="O281" i="58"/>
  <c r="O789" i="58"/>
  <c r="O641" i="58"/>
  <c r="O291" i="58"/>
  <c r="O782" i="58"/>
  <c r="O937" i="58"/>
  <c r="O769" i="58"/>
  <c r="O625" i="58"/>
  <c r="O271" i="58"/>
  <c r="O272" i="58"/>
  <c r="O785" i="58"/>
  <c r="O637" i="58"/>
  <c r="O287" i="58"/>
  <c r="O771" i="58"/>
  <c r="O545" i="58"/>
  <c r="O273" i="58"/>
  <c r="O274" i="58"/>
  <c r="O773" i="58"/>
  <c r="O547" i="58"/>
  <c r="O275" i="58"/>
  <c r="O276" i="58"/>
  <c r="O777" i="58"/>
  <c r="O629" i="58"/>
  <c r="O279" i="58"/>
  <c r="O783" i="58"/>
  <c r="O635" i="58"/>
  <c r="O285" i="58"/>
  <c r="O778" i="58"/>
  <c r="O295" i="58"/>
  <c r="O791" i="58"/>
  <c r="O643" i="58"/>
  <c r="O293" i="58"/>
  <c r="O944" i="58"/>
  <c r="O290" i="58"/>
  <c r="O931" i="58"/>
  <c r="O947" i="58"/>
  <c r="O776" i="58"/>
  <c r="O788" i="58"/>
  <c r="O787" i="58"/>
  <c r="O775" i="58"/>
  <c r="O627" i="58"/>
  <c r="O277" i="58"/>
  <c r="O943" i="58"/>
  <c r="O932" i="58"/>
  <c r="O628" i="58"/>
  <c r="O640" i="58"/>
  <c r="O639" i="58"/>
  <c r="O289" i="58"/>
  <c r="O278" i="58"/>
  <c r="B42" i="26"/>
  <c r="C61" i="12" s="1"/>
  <c r="C61" i="11" s="1"/>
  <c r="I74" i="12"/>
  <c r="I81" i="12"/>
  <c r="H81" i="12"/>
  <c r="P866" i="58"/>
  <c r="P855" i="58"/>
  <c r="P699" i="58"/>
  <c r="P579" i="58"/>
  <c r="P853" i="58"/>
  <c r="P697" i="58"/>
  <c r="P702" i="58"/>
  <c r="P850" i="58"/>
  <c r="P694" i="58"/>
  <c r="P852" i="58"/>
  <c r="P696" i="58"/>
  <c r="P532" i="58"/>
  <c r="P563" i="58"/>
  <c r="P710" i="58"/>
  <c r="P574" i="58"/>
  <c r="P536" i="58"/>
  <c r="P533" i="58"/>
  <c r="P871" i="58"/>
  <c r="P715" i="58"/>
  <c r="P534" i="58"/>
  <c r="P858" i="58"/>
  <c r="P851" i="58"/>
  <c r="P695" i="58"/>
  <c r="P865" i="58"/>
  <c r="P864" i="58"/>
  <c r="P572" i="58"/>
  <c r="P700" i="58"/>
  <c r="P861" i="58"/>
  <c r="P569" i="58"/>
  <c r="P535" i="58"/>
  <c r="P707" i="58"/>
  <c r="P862" i="58"/>
  <c r="P706" i="58"/>
  <c r="P570" i="58"/>
  <c r="P859" i="58"/>
  <c r="P567" i="58"/>
  <c r="P565" i="58"/>
  <c r="P711" i="58"/>
  <c r="P575" i="58"/>
  <c r="P704" i="58"/>
  <c r="P578" i="58"/>
  <c r="P863" i="58"/>
  <c r="P573" i="58"/>
  <c r="P701" i="58"/>
  <c r="P566" i="58"/>
  <c r="P703" i="58"/>
  <c r="P856" i="58"/>
  <c r="P867" i="58"/>
  <c r="P870" i="58"/>
  <c r="P714" i="58"/>
  <c r="P564" i="58"/>
  <c r="P709" i="58"/>
  <c r="P857" i="58"/>
  <c r="P708" i="58"/>
  <c r="P705" i="58"/>
  <c r="P854" i="58"/>
  <c r="P698" i="58"/>
  <c r="P860" i="58"/>
  <c r="P568" i="58"/>
  <c r="P571" i="58"/>
  <c r="P577" i="58"/>
  <c r="P580" i="58"/>
  <c r="P713" i="58"/>
  <c r="P872" i="58"/>
  <c r="P716" i="58"/>
  <c r="P869" i="58"/>
  <c r="P581" i="58"/>
  <c r="P873" i="58"/>
  <c r="P717" i="58"/>
  <c r="Q409" i="58"/>
  <c r="Q423" i="58"/>
  <c r="Q434" i="58"/>
  <c r="Q448" i="58"/>
  <c r="Q419" i="58"/>
  <c r="Q444" i="58"/>
  <c r="Q437" i="58"/>
  <c r="Q420" i="58"/>
  <c r="Q405" i="58"/>
  <c r="Q413" i="58"/>
  <c r="Q404" i="58"/>
  <c r="Q439" i="58"/>
  <c r="Q428" i="58"/>
  <c r="Q426" i="58"/>
  <c r="Q416" i="58"/>
  <c r="Q445" i="58"/>
  <c r="Q438" i="58"/>
  <c r="Q417" i="58"/>
  <c r="Q410" i="58"/>
  <c r="Q415" i="58"/>
  <c r="Q401" i="58"/>
  <c r="Q418" i="58"/>
  <c r="Q441" i="58"/>
  <c r="Q411" i="58"/>
  <c r="Q442" i="58"/>
  <c r="Q435" i="58"/>
  <c r="Q440" i="58"/>
  <c r="Q427" i="58"/>
  <c r="Q403" i="58"/>
  <c r="Q431" i="58"/>
  <c r="Q443" i="58"/>
  <c r="Q412" i="58"/>
  <c r="Q436" i="58"/>
  <c r="Q430" i="58"/>
  <c r="Q429" i="58"/>
  <c r="Q414" i="58"/>
  <c r="Q402" i="58"/>
  <c r="Q406" i="58"/>
  <c r="Q407" i="58"/>
  <c r="Q446" i="58"/>
  <c r="Q447" i="58"/>
  <c r="Q422" i="58"/>
  <c r="Q432" i="58"/>
  <c r="Q424" i="58"/>
  <c r="Q408" i="58"/>
  <c r="Q449" i="58"/>
  <c r="Q433" i="58"/>
  <c r="Q421" i="58"/>
  <c r="P11" i="58"/>
  <c r="O523" i="58"/>
  <c r="O498" i="58"/>
  <c r="O473" i="58"/>
  <c r="O513" i="58"/>
  <c r="O476" i="58"/>
  <c r="O477" i="58"/>
  <c r="O478" i="58"/>
  <c r="O504" i="58"/>
  <c r="O505" i="58"/>
  <c r="O506" i="58"/>
  <c r="O459" i="58"/>
  <c r="O515" i="58"/>
  <c r="O460" i="58"/>
  <c r="O461" i="58"/>
  <c r="O520" i="58"/>
  <c r="O514" i="58"/>
  <c r="O488" i="58"/>
  <c r="O516" i="58"/>
  <c r="O451" i="58"/>
  <c r="O452" i="58"/>
  <c r="O517" i="58"/>
  <c r="O453" i="58"/>
  <c r="O479" i="58"/>
  <c r="O480" i="58"/>
  <c r="O481" i="58"/>
  <c r="O490" i="58"/>
  <c r="O518" i="58"/>
  <c r="O512" i="58"/>
  <c r="O495" i="58"/>
  <c r="O489" i="58"/>
  <c r="O463" i="58"/>
  <c r="O491" i="58"/>
  <c r="O492" i="58"/>
  <c r="O454" i="58"/>
  <c r="O455" i="58"/>
  <c r="O456" i="58"/>
  <c r="O509" i="58"/>
  <c r="O465" i="58"/>
  <c r="O510" i="58"/>
  <c r="O493" i="58"/>
  <c r="O487" i="58"/>
  <c r="O511" i="58"/>
  <c r="O470" i="58"/>
  <c r="O464" i="58"/>
  <c r="O466" i="58"/>
  <c r="O501" i="58"/>
  <c r="O502" i="58"/>
  <c r="O467" i="58"/>
  <c r="O503" i="58"/>
  <c r="O484" i="58"/>
  <c r="O485" i="58"/>
  <c r="O468" i="58"/>
  <c r="O462" i="58"/>
  <c r="O486" i="58"/>
  <c r="O499" i="58"/>
  <c r="O497" i="58"/>
  <c r="O457" i="58"/>
  <c r="O519" i="58"/>
  <c r="O496" i="58"/>
  <c r="O458" i="58"/>
  <c r="O474" i="58"/>
  <c r="O472" i="58"/>
  <c r="O494" i="58"/>
  <c r="O471" i="58"/>
  <c r="O508" i="58"/>
  <c r="O524" i="58"/>
  <c r="O482" i="58"/>
  <c r="O507" i="58"/>
  <c r="O469" i="58"/>
  <c r="O483" i="58"/>
  <c r="O522" i="58"/>
  <c r="O521" i="58"/>
  <c r="I137" i="12"/>
  <c r="P11" i="12"/>
  <c r="O10" i="12"/>
  <c r="O12" i="12"/>
  <c r="O13" i="12" s="1"/>
  <c r="O9" i="12"/>
  <c r="H940" i="25"/>
  <c r="H957" i="25"/>
  <c r="H14" i="25"/>
  <c r="H31" i="25"/>
  <c r="H273" i="25"/>
  <c r="H290" i="25"/>
  <c r="H311" i="25"/>
  <c r="H328" i="25"/>
  <c r="H421" i="25"/>
  <c r="H438" i="25"/>
  <c r="H459" i="25"/>
  <c r="H476" i="25"/>
  <c r="H569" i="25"/>
  <c r="H586" i="25"/>
  <c r="H644" i="25"/>
  <c r="H661" i="25"/>
  <c r="H717" i="25"/>
  <c r="H734" i="25"/>
  <c r="H792" i="25"/>
  <c r="H809" i="25"/>
  <c r="H865" i="25"/>
  <c r="H882" i="25"/>
  <c r="H976" i="25"/>
  <c r="H993" i="25"/>
  <c r="H1014" i="25"/>
  <c r="H1031" i="25"/>
  <c r="H1124" i="25"/>
  <c r="H1141" i="25"/>
  <c r="H347" i="25"/>
  <c r="H364" i="25"/>
  <c r="H384" i="25"/>
  <c r="H401" i="25"/>
  <c r="H606" i="25"/>
  <c r="H623" i="25"/>
  <c r="H680" i="25"/>
  <c r="H697" i="25"/>
  <c r="H754" i="25"/>
  <c r="H771" i="25"/>
  <c r="H828" i="25"/>
  <c r="H845" i="25"/>
  <c r="H902" i="25"/>
  <c r="H919" i="25"/>
  <c r="H1050" i="25"/>
  <c r="H1067" i="25"/>
  <c r="H1087" i="25"/>
  <c r="H1104" i="25"/>
  <c r="H201" i="25"/>
  <c r="H218" i="25"/>
  <c r="H236" i="25"/>
  <c r="H253" i="25"/>
  <c r="H495" i="25"/>
  <c r="H512" i="25"/>
  <c r="H532" i="25"/>
  <c r="H549" i="25"/>
  <c r="X84" i="44"/>
  <c r="R12" i="44"/>
  <c r="I159" i="12"/>
  <c r="I139" i="12"/>
  <c r="I118" i="12"/>
  <c r="I79" i="12"/>
  <c r="I69" i="12"/>
  <c r="I61" i="12"/>
  <c r="H140" i="12"/>
  <c r="H59" i="12"/>
  <c r="H147" i="12"/>
  <c r="H72" i="12"/>
  <c r="I116" i="12"/>
  <c r="I152" i="12"/>
  <c r="I150" i="12"/>
  <c r="I77" i="12"/>
  <c r="H142" i="12"/>
  <c r="H126" i="12"/>
  <c r="H71" i="12"/>
  <c r="H74" i="12"/>
  <c r="I147" i="12"/>
  <c r="I76" i="12"/>
  <c r="I160" i="12"/>
  <c r="I140" i="12"/>
  <c r="I119" i="12"/>
  <c r="H154" i="12"/>
  <c r="H157" i="12"/>
  <c r="H137" i="12"/>
  <c r="H77" i="12"/>
  <c r="H79" i="12"/>
  <c r="H69" i="12"/>
  <c r="H160" i="12"/>
  <c r="I154" i="12"/>
  <c r="I149" i="12"/>
  <c r="I144" i="12"/>
  <c r="H144" i="12"/>
  <c r="G87" i="12"/>
  <c r="I71" i="12"/>
  <c r="G36" i="12"/>
  <c r="G35" i="12"/>
  <c r="D430" i="11"/>
  <c r="D201" i="11"/>
  <c r="C440" i="11"/>
  <c r="D435" i="11"/>
  <c r="D455" i="11"/>
  <c r="D425" i="11"/>
  <c r="P27" i="26"/>
  <c r="J46" i="12"/>
  <c r="O25" i="26"/>
  <c r="I44" i="12"/>
  <c r="O15" i="26"/>
  <c r="I34" i="12"/>
  <c r="P24" i="26"/>
  <c r="J43" i="12"/>
  <c r="P26" i="26"/>
  <c r="J45" i="12"/>
  <c r="O30" i="26"/>
  <c r="I49" i="12"/>
  <c r="O28" i="26"/>
  <c r="I47" i="12"/>
  <c r="P35" i="26"/>
  <c r="J54" i="12"/>
  <c r="O23" i="26"/>
  <c r="I42" i="12"/>
  <c r="I157" i="12"/>
  <c r="I155" i="12"/>
  <c r="I145" i="12"/>
  <c r="I82" i="12"/>
  <c r="I72" i="12"/>
  <c r="I62" i="12"/>
  <c r="H116" i="12"/>
  <c r="H82" i="12"/>
  <c r="H62" i="12"/>
  <c r="H159" i="12"/>
  <c r="H149" i="12"/>
  <c r="H139" i="12"/>
  <c r="H128" i="12"/>
  <c r="G157" i="12"/>
  <c r="G159" i="12"/>
  <c r="G147" i="12"/>
  <c r="G149" i="12"/>
  <c r="G137" i="12"/>
  <c r="G139" i="12"/>
  <c r="G126" i="12"/>
  <c r="G128" i="12"/>
  <c r="G116" i="12"/>
  <c r="G118" i="12"/>
  <c r="G77" i="12"/>
  <c r="G62" i="12"/>
  <c r="G103" i="12"/>
  <c r="G93" i="12"/>
  <c r="G155" i="12"/>
  <c r="G145" i="12"/>
  <c r="G131" i="12"/>
  <c r="G133" i="12"/>
  <c r="G121" i="12"/>
  <c r="G123" i="12"/>
  <c r="G111" i="12"/>
  <c r="G113" i="12"/>
  <c r="G82" i="12"/>
  <c r="G72" i="12"/>
  <c r="G108" i="12"/>
  <c r="G98" i="12"/>
  <c r="G88" i="12"/>
  <c r="H155" i="12"/>
  <c r="H119" i="12"/>
  <c r="H61" i="12"/>
  <c r="H150" i="12"/>
  <c r="H129" i="12"/>
  <c r="H76" i="12"/>
  <c r="G160" i="12"/>
  <c r="G150" i="12"/>
  <c r="G140" i="12"/>
  <c r="G129" i="12"/>
  <c r="G119" i="12"/>
  <c r="G74" i="12"/>
  <c r="G76" i="12"/>
  <c r="G59" i="12"/>
  <c r="G61" i="12"/>
  <c r="G100" i="12"/>
  <c r="G102" i="12"/>
  <c r="G90" i="12"/>
  <c r="G92" i="12"/>
  <c r="G152" i="12"/>
  <c r="G154" i="12"/>
  <c r="G142" i="12"/>
  <c r="G144" i="12"/>
  <c r="G134" i="12"/>
  <c r="G124" i="12"/>
  <c r="G114" i="12"/>
  <c r="G79" i="12"/>
  <c r="G81" i="12"/>
  <c r="G69" i="12"/>
  <c r="G71" i="12"/>
  <c r="G105" i="12"/>
  <c r="G107" i="12"/>
  <c r="G95" i="12"/>
  <c r="G97" i="12"/>
  <c r="G85" i="12"/>
  <c r="O107" i="26"/>
  <c r="I126" i="12"/>
  <c r="O109" i="26"/>
  <c r="I128" i="12"/>
  <c r="N84" i="26"/>
  <c r="H103" i="12"/>
  <c r="N74" i="26"/>
  <c r="H93" i="12"/>
  <c r="N112" i="26"/>
  <c r="H131" i="12"/>
  <c r="N114" i="26"/>
  <c r="H133" i="12"/>
  <c r="N102" i="26"/>
  <c r="H121" i="12"/>
  <c r="N104" i="26"/>
  <c r="H123" i="12"/>
  <c r="N92" i="26"/>
  <c r="H111" i="12"/>
  <c r="N94" i="26"/>
  <c r="H113" i="12"/>
  <c r="N89" i="26"/>
  <c r="H108" i="12"/>
  <c r="N79" i="26"/>
  <c r="H98" i="12"/>
  <c r="N69" i="26"/>
  <c r="H88" i="12"/>
  <c r="N14" i="26"/>
  <c r="H33" i="12"/>
  <c r="P13" i="26"/>
  <c r="J32" i="12"/>
  <c r="O110" i="26"/>
  <c r="I129" i="12"/>
  <c r="N81" i="26"/>
  <c r="H100" i="12"/>
  <c r="N83" i="26"/>
  <c r="H102" i="12"/>
  <c r="N71" i="26"/>
  <c r="H90" i="12"/>
  <c r="N73" i="26"/>
  <c r="H92" i="12"/>
  <c r="N115" i="26"/>
  <c r="H134" i="12"/>
  <c r="N105" i="26"/>
  <c r="H124" i="12"/>
  <c r="N95" i="26"/>
  <c r="H114" i="12"/>
  <c r="N86" i="26"/>
  <c r="H105" i="12"/>
  <c r="N88" i="26"/>
  <c r="H107" i="12"/>
  <c r="N76" i="26"/>
  <c r="H95" i="12"/>
  <c r="N78" i="26"/>
  <c r="H97" i="12"/>
  <c r="N66" i="26"/>
  <c r="H85" i="12"/>
  <c r="N68" i="26"/>
  <c r="H87" i="12"/>
  <c r="N17" i="26"/>
  <c r="H36" i="12"/>
  <c r="N16" i="26"/>
  <c r="H35" i="12"/>
  <c r="H145" i="12"/>
  <c r="D36" i="11"/>
  <c r="C45" i="11"/>
  <c r="C149" i="11"/>
  <c r="C87" i="11"/>
  <c r="C139" i="11"/>
  <c r="C102" i="11"/>
  <c r="C81" i="11"/>
  <c r="C127" i="11"/>
  <c r="C75" i="11"/>
  <c r="C106" i="11"/>
  <c r="C65" i="11"/>
  <c r="C117" i="11"/>
  <c r="C96" i="11"/>
  <c r="J157" i="12"/>
  <c r="J159" i="12"/>
  <c r="J147" i="12"/>
  <c r="J149" i="12"/>
  <c r="J137" i="12"/>
  <c r="J139" i="12"/>
  <c r="J74" i="12"/>
  <c r="J76" i="12"/>
  <c r="J64" i="12"/>
  <c r="J66" i="12"/>
  <c r="J116" i="12"/>
  <c r="J118" i="12"/>
  <c r="J152" i="12"/>
  <c r="J154" i="12"/>
  <c r="J142" i="12"/>
  <c r="J144" i="12"/>
  <c r="J79" i="12"/>
  <c r="J81" i="12"/>
  <c r="J69" i="12"/>
  <c r="J71" i="12"/>
  <c r="J59" i="12"/>
  <c r="J61" i="12"/>
  <c r="K41" i="12"/>
  <c r="K40" i="12"/>
  <c r="K48" i="12"/>
  <c r="K50" i="12"/>
  <c r="K53" i="12"/>
  <c r="K56" i="12"/>
  <c r="L37" i="12"/>
  <c r="J132" i="12"/>
  <c r="J112" i="12"/>
  <c r="D138" i="11"/>
  <c r="J160" i="12"/>
  <c r="J158" i="12"/>
  <c r="J150" i="12"/>
  <c r="J148" i="12"/>
  <c r="J140" i="12"/>
  <c r="J138" i="12"/>
  <c r="J86" i="12"/>
  <c r="J77" i="12"/>
  <c r="J75" i="12"/>
  <c r="J67" i="12"/>
  <c r="J65" i="12"/>
  <c r="J101" i="12"/>
  <c r="L125" i="12"/>
  <c r="L89" i="12"/>
  <c r="K120" i="12"/>
  <c r="K115" i="12"/>
  <c r="K151" i="12"/>
  <c r="K141" i="12"/>
  <c r="K104" i="12"/>
  <c r="K94" i="12"/>
  <c r="K78" i="12"/>
  <c r="K68" i="12"/>
  <c r="K58" i="12"/>
  <c r="L39" i="12"/>
  <c r="K38" i="12"/>
  <c r="K51" i="12"/>
  <c r="K55" i="12"/>
  <c r="L52" i="12"/>
  <c r="K127" i="12"/>
  <c r="K91" i="12"/>
  <c r="K130" i="12"/>
  <c r="K110" i="12"/>
  <c r="K156" i="12"/>
  <c r="K146" i="12"/>
  <c r="K136" i="12"/>
  <c r="K84" i="12"/>
  <c r="K73" i="12"/>
  <c r="K63" i="12"/>
  <c r="K99" i="12"/>
  <c r="J122" i="12"/>
  <c r="J119" i="12"/>
  <c r="J117" i="12"/>
  <c r="J155" i="12"/>
  <c r="J153" i="12"/>
  <c r="J145" i="12"/>
  <c r="J143" i="12"/>
  <c r="J106" i="12"/>
  <c r="J96" i="12"/>
  <c r="J82" i="12"/>
  <c r="J80" i="12"/>
  <c r="J72" i="12"/>
  <c r="J70" i="12"/>
  <c r="J62" i="12"/>
  <c r="J60" i="12"/>
  <c r="C34" i="11"/>
  <c r="D35" i="11"/>
  <c r="B27" i="26"/>
  <c r="C46" i="12" s="1"/>
  <c r="E46" i="12"/>
  <c r="C49" i="11"/>
  <c r="C39" i="11"/>
  <c r="C54" i="11"/>
  <c r="B131" i="26"/>
  <c r="C150" i="12" s="1"/>
  <c r="E150" i="12"/>
  <c r="B69" i="26"/>
  <c r="C88" i="12" s="1"/>
  <c r="E88" i="12"/>
  <c r="B121" i="26"/>
  <c r="C140" i="12" s="1"/>
  <c r="E140" i="12"/>
  <c r="B43" i="26"/>
  <c r="C62" i="12" s="1"/>
  <c r="E62" i="12"/>
  <c r="B84" i="26"/>
  <c r="C103" i="12" s="1"/>
  <c r="E103" i="12"/>
  <c r="B63" i="26"/>
  <c r="C82" i="12" s="1"/>
  <c r="E82" i="12"/>
  <c r="C70" i="11"/>
  <c r="C112" i="11"/>
  <c r="C143" i="11"/>
  <c r="C153" i="11"/>
  <c r="C122" i="11"/>
  <c r="C132" i="11"/>
  <c r="C91" i="11"/>
  <c r="C120" i="26"/>
  <c r="D139" i="12" s="1"/>
  <c r="A121" i="26"/>
  <c r="C121" i="26" s="1"/>
  <c r="D140" i="12" s="1"/>
  <c r="B52" i="26"/>
  <c r="C71" i="12" s="1"/>
  <c r="D53" i="26"/>
  <c r="B94" i="26"/>
  <c r="C113" i="12" s="1"/>
  <c r="D95" i="26"/>
  <c r="B125" i="26"/>
  <c r="C144" i="12" s="1"/>
  <c r="D126" i="26"/>
  <c r="B135" i="26"/>
  <c r="C154" i="12" s="1"/>
  <c r="D136" i="26"/>
  <c r="B104" i="26"/>
  <c r="C123" i="12" s="1"/>
  <c r="D105" i="26"/>
  <c r="B114" i="26"/>
  <c r="C133" i="12" s="1"/>
  <c r="D115" i="26"/>
  <c r="B73" i="26"/>
  <c r="C92" i="12" s="1"/>
  <c r="D74" i="26"/>
  <c r="B109" i="26"/>
  <c r="C128" i="12" s="1"/>
  <c r="D110" i="26"/>
  <c r="B57" i="26"/>
  <c r="C76" i="12" s="1"/>
  <c r="D58" i="26"/>
  <c r="B88" i="26"/>
  <c r="C107" i="12" s="1"/>
  <c r="D89" i="26"/>
  <c r="B47" i="26"/>
  <c r="C66" i="12" s="1"/>
  <c r="D48" i="26"/>
  <c r="B140" i="26"/>
  <c r="C159" i="12" s="1"/>
  <c r="C159" i="11" s="1"/>
  <c r="D141" i="26"/>
  <c r="B99" i="26"/>
  <c r="C118" i="12" s="1"/>
  <c r="D100" i="26"/>
  <c r="B78" i="26"/>
  <c r="C97" i="12" s="1"/>
  <c r="D79" i="26"/>
  <c r="B36" i="26"/>
  <c r="C55" i="12" s="1"/>
  <c r="D37" i="26"/>
  <c r="B31" i="26"/>
  <c r="C50" i="12" s="1"/>
  <c r="D32" i="26"/>
  <c r="B21" i="26"/>
  <c r="C40" i="12" s="1"/>
  <c r="D22" i="26"/>
  <c r="D17" i="26"/>
  <c r="E36" i="12" s="1"/>
  <c r="B16" i="26"/>
  <c r="C35" i="12" s="1"/>
  <c r="Y77" i="44"/>
  <c r="R9" i="44"/>
  <c r="Y78" i="44"/>
  <c r="X81" i="44"/>
  <c r="X82" i="44"/>
  <c r="Y79" i="44"/>
  <c r="R8" i="44"/>
  <c r="R10" i="44"/>
  <c r="X80" i="44"/>
  <c r="P684" i="58" l="1"/>
  <c r="P396" i="58"/>
  <c r="P998" i="58"/>
  <c r="P346" i="58"/>
  <c r="P685" i="58"/>
  <c r="P371" i="58"/>
  <c r="P840" i="58"/>
  <c r="P372" i="58"/>
  <c r="P841" i="58"/>
  <c r="P397" i="58"/>
  <c r="P996" i="58"/>
  <c r="P344" i="58"/>
  <c r="P686" i="58"/>
  <c r="P398" i="58"/>
  <c r="P997" i="58"/>
  <c r="P370" i="58"/>
  <c r="P842" i="58"/>
  <c r="P345" i="58"/>
  <c r="P819" i="58"/>
  <c r="P375" i="58"/>
  <c r="P324" i="58"/>
  <c r="P835" i="58"/>
  <c r="P391" i="58"/>
  <c r="P325" i="58"/>
  <c r="P978" i="58"/>
  <c r="P554" i="58"/>
  <c r="P378" i="58"/>
  <c r="P327" i="58"/>
  <c r="P556" i="58"/>
  <c r="P380" i="58"/>
  <c r="P331" i="58"/>
  <c r="P829" i="58"/>
  <c r="P385" i="58"/>
  <c r="P343" i="58"/>
  <c r="P676" i="58"/>
  <c r="P388" i="58"/>
  <c r="P987" i="58"/>
  <c r="P364" i="58"/>
  <c r="P337" i="58"/>
  <c r="P672" i="58"/>
  <c r="P384" i="58"/>
  <c r="P836" i="58"/>
  <c r="P360" i="58"/>
  <c r="P975" i="58"/>
  <c r="P350" i="58"/>
  <c r="P991" i="58"/>
  <c r="P553" i="58"/>
  <c r="P351" i="58"/>
  <c r="P822" i="58"/>
  <c r="P555" i="58"/>
  <c r="P353" i="58"/>
  <c r="P824" i="58"/>
  <c r="P671" i="58"/>
  <c r="P357" i="58"/>
  <c r="P985" i="58"/>
  <c r="P683" i="58"/>
  <c r="P369" i="58"/>
  <c r="P832" i="58"/>
  <c r="P335" i="58"/>
  <c r="P678" i="58"/>
  <c r="P390" i="58"/>
  <c r="P677" i="58"/>
  <c r="P363" i="58"/>
  <c r="P828" i="58"/>
  <c r="P992" i="58"/>
  <c r="P340" i="58"/>
  <c r="P674" i="58"/>
  <c r="P386" i="58"/>
  <c r="P323" i="58"/>
  <c r="P668" i="58"/>
  <c r="P376" i="58"/>
  <c r="P339" i="58"/>
  <c r="P821" i="58"/>
  <c r="P377" i="58"/>
  <c r="P326" i="58"/>
  <c r="P979" i="58"/>
  <c r="P823" i="58"/>
  <c r="P379" i="58"/>
  <c r="P328" i="58"/>
  <c r="P827" i="58"/>
  <c r="P383" i="58"/>
  <c r="P333" i="58"/>
  <c r="P839" i="58"/>
  <c r="P395" i="58"/>
  <c r="P988" i="58"/>
  <c r="P336" i="58"/>
  <c r="P675" i="58"/>
  <c r="P361" i="58"/>
  <c r="P834" i="58"/>
  <c r="P833" i="58"/>
  <c r="P389" i="58"/>
  <c r="P984" i="58"/>
  <c r="P332" i="58"/>
  <c r="P366" i="58"/>
  <c r="P830" i="58"/>
  <c r="P667" i="58"/>
  <c r="P349" i="58"/>
  <c r="P976" i="58"/>
  <c r="P820" i="58"/>
  <c r="P679" i="58"/>
  <c r="P365" i="58"/>
  <c r="P977" i="58"/>
  <c r="P352" i="58"/>
  <c r="P980" i="58"/>
  <c r="P354" i="58"/>
  <c r="P983" i="58"/>
  <c r="P673" i="58"/>
  <c r="P359" i="58"/>
  <c r="P995" i="58"/>
  <c r="P362" i="58"/>
  <c r="P831" i="58"/>
  <c r="P387" i="58"/>
  <c r="P990" i="58"/>
  <c r="P338" i="58"/>
  <c r="P989" i="58"/>
  <c r="P358" i="58"/>
  <c r="P680" i="58"/>
  <c r="P392" i="58"/>
  <c r="P986" i="58"/>
  <c r="P334" i="58"/>
  <c r="P373" i="58"/>
  <c r="P826" i="58"/>
  <c r="P981" i="58"/>
  <c r="P329" i="58"/>
  <c r="P994" i="58"/>
  <c r="P682" i="58"/>
  <c r="P367" i="58"/>
  <c r="P670" i="58"/>
  <c r="P382" i="58"/>
  <c r="P399" i="58"/>
  <c r="P982" i="58"/>
  <c r="P330" i="58"/>
  <c r="P669" i="58"/>
  <c r="P355" i="58"/>
  <c r="P837" i="58"/>
  <c r="P368" i="58"/>
  <c r="P993" i="58"/>
  <c r="P681" i="58"/>
  <c r="P356" i="58"/>
  <c r="P825" i="58"/>
  <c r="P381" i="58"/>
  <c r="P838" i="58"/>
  <c r="P393" i="58"/>
  <c r="P341" i="58"/>
  <c r="P347" i="58"/>
  <c r="P394" i="58"/>
  <c r="P342" i="58"/>
  <c r="P948" i="58"/>
  <c r="P644" i="58"/>
  <c r="P790" i="58"/>
  <c r="P946" i="58"/>
  <c r="P642" i="58"/>
  <c r="P294" i="58"/>
  <c r="P792" i="58"/>
  <c r="P292" i="58"/>
  <c r="P942" i="58"/>
  <c r="P638" i="58"/>
  <c r="P282" i="58"/>
  <c r="P935" i="58"/>
  <c r="P945" i="58"/>
  <c r="P940" i="58"/>
  <c r="P636" i="58"/>
  <c r="P925" i="58"/>
  <c r="P770" i="58"/>
  <c r="P941" i="58"/>
  <c r="P927" i="58"/>
  <c r="P772" i="58"/>
  <c r="P930" i="58"/>
  <c r="P774" i="58"/>
  <c r="P933" i="58"/>
  <c r="P939" i="58"/>
  <c r="P780" i="58"/>
  <c r="P284" i="58"/>
  <c r="P633" i="58"/>
  <c r="P626" i="58"/>
  <c r="P546" i="58"/>
  <c r="P548" i="58"/>
  <c r="P280" i="58"/>
  <c r="P288" i="58"/>
  <c r="P936" i="58"/>
  <c r="P632" i="58"/>
  <c r="P631" i="58"/>
  <c r="P641" i="58"/>
  <c r="P782" i="58"/>
  <c r="P781" i="58"/>
  <c r="P283" i="58"/>
  <c r="P286" i="58"/>
  <c r="P625" i="58"/>
  <c r="P637" i="58"/>
  <c r="P545" i="58"/>
  <c r="P547" i="58"/>
  <c r="P629" i="58"/>
  <c r="P635" i="58"/>
  <c r="P778" i="58"/>
  <c r="P786" i="58"/>
  <c r="P779" i="58"/>
  <c r="P281" i="58"/>
  <c r="P789" i="58"/>
  <c r="P291" i="58"/>
  <c r="P938" i="58"/>
  <c r="P634" i="58"/>
  <c r="P937" i="58"/>
  <c r="P784" i="58"/>
  <c r="P769" i="58"/>
  <c r="P271" i="58"/>
  <c r="P926" i="58"/>
  <c r="P272" i="58"/>
  <c r="P785" i="58"/>
  <c r="P287" i="58"/>
  <c r="P771" i="58"/>
  <c r="P273" i="58"/>
  <c r="P928" i="58"/>
  <c r="P274" i="58"/>
  <c r="P929" i="58"/>
  <c r="P773" i="58"/>
  <c r="P275" i="58"/>
  <c r="P276" i="58"/>
  <c r="P777" i="58"/>
  <c r="P279" i="58"/>
  <c r="P783" i="58"/>
  <c r="P285" i="58"/>
  <c r="P934" i="58"/>
  <c r="P630" i="58"/>
  <c r="P295" i="58"/>
  <c r="P791" i="58"/>
  <c r="P293" i="58"/>
  <c r="P932" i="58"/>
  <c r="P776" i="58"/>
  <c r="P944" i="58"/>
  <c r="P639" i="58"/>
  <c r="P627" i="58"/>
  <c r="P278" i="58"/>
  <c r="P943" i="58"/>
  <c r="P947" i="58"/>
  <c r="P628" i="58"/>
  <c r="P787" i="58"/>
  <c r="P775" i="58"/>
  <c r="P277" i="58"/>
  <c r="P643" i="58"/>
  <c r="P788" i="58"/>
  <c r="P289" i="58"/>
  <c r="P931" i="58"/>
  <c r="P640" i="58"/>
  <c r="P290" i="58"/>
  <c r="P473" i="58"/>
  <c r="P498" i="58"/>
  <c r="P523" i="58"/>
  <c r="P513" i="58"/>
  <c r="P516" i="58"/>
  <c r="P502" i="58"/>
  <c r="P492" i="58"/>
  <c r="P453" i="58"/>
  <c r="P505" i="58"/>
  <c r="P481" i="58"/>
  <c r="P459" i="58"/>
  <c r="P468" i="58"/>
  <c r="P512" i="58"/>
  <c r="P486" i="58"/>
  <c r="P489" i="58"/>
  <c r="P451" i="58"/>
  <c r="P517" i="58"/>
  <c r="P478" i="58"/>
  <c r="P454" i="58"/>
  <c r="P506" i="58"/>
  <c r="P484" i="58"/>
  <c r="P465" i="58"/>
  <c r="P460" i="58"/>
  <c r="P493" i="58"/>
  <c r="P511" i="58"/>
  <c r="P470" i="58"/>
  <c r="P514" i="58"/>
  <c r="P463" i="58"/>
  <c r="P466" i="58"/>
  <c r="P476" i="58"/>
  <c r="P452" i="58"/>
  <c r="P503" i="58"/>
  <c r="P479" i="58"/>
  <c r="P455" i="58"/>
  <c r="P509" i="58"/>
  <c r="P490" i="58"/>
  <c r="P485" i="58"/>
  <c r="P518" i="58"/>
  <c r="P462" i="58"/>
  <c r="P495" i="58"/>
  <c r="P488" i="58"/>
  <c r="P491" i="58"/>
  <c r="P501" i="58"/>
  <c r="P477" i="58"/>
  <c r="P467" i="58"/>
  <c r="P504" i="58"/>
  <c r="P480" i="58"/>
  <c r="P456" i="58"/>
  <c r="P515" i="58"/>
  <c r="P510" i="58"/>
  <c r="P487" i="58"/>
  <c r="P461" i="58"/>
  <c r="P520" i="58"/>
  <c r="P464" i="58"/>
  <c r="P474" i="58"/>
  <c r="P522" i="58"/>
  <c r="P482" i="58"/>
  <c r="P508" i="58"/>
  <c r="P497" i="58"/>
  <c r="P519" i="58"/>
  <c r="P499" i="58"/>
  <c r="P507" i="58"/>
  <c r="P469" i="58"/>
  <c r="P471" i="58"/>
  <c r="P524" i="58"/>
  <c r="P472" i="58"/>
  <c r="P494" i="58"/>
  <c r="P496" i="58"/>
  <c r="P458" i="58"/>
  <c r="P457" i="58"/>
  <c r="P521" i="58"/>
  <c r="P483" i="58"/>
  <c r="Q764" i="58"/>
  <c r="Q620" i="58"/>
  <c r="Q614" i="58"/>
  <c r="Q767" i="58"/>
  <c r="Q917" i="58"/>
  <c r="Q756" i="58"/>
  <c r="Q612" i="58"/>
  <c r="Q623" i="58"/>
  <c r="Q268" i="58"/>
  <c r="Q761" i="58"/>
  <c r="Q920" i="58"/>
  <c r="Q265" i="58"/>
  <c r="Q914" i="58"/>
  <c r="Q758" i="58"/>
  <c r="Q259" i="58"/>
  <c r="Q617" i="58"/>
  <c r="Q262" i="58"/>
  <c r="Q912" i="58"/>
  <c r="Q257" i="58"/>
  <c r="Q923" i="58"/>
  <c r="Q904" i="58"/>
  <c r="Q249" i="58"/>
  <c r="Q759" i="58"/>
  <c r="Q753" i="58"/>
  <c r="Q609" i="58"/>
  <c r="Q254" i="58"/>
  <c r="Q757" i="58"/>
  <c r="Q613" i="58"/>
  <c r="Q258" i="58"/>
  <c r="Q745" i="58"/>
  <c r="Q905" i="58"/>
  <c r="Q900" i="58"/>
  <c r="Q246" i="58"/>
  <c r="Q922" i="58"/>
  <c r="Q267" i="58"/>
  <c r="Q755" i="58"/>
  <c r="Q611" i="58"/>
  <c r="Q256" i="58"/>
  <c r="Q615" i="58"/>
  <c r="Q260" i="58"/>
  <c r="Q269" i="58"/>
  <c r="Q760" i="58"/>
  <c r="Q616" i="58"/>
  <c r="Q903" i="58"/>
  <c r="Q605" i="58"/>
  <c r="Q247" i="58"/>
  <c r="Q902" i="58"/>
  <c r="Q749" i="58"/>
  <c r="Q752" i="58"/>
  <c r="Q608" i="58"/>
  <c r="Q754" i="58"/>
  <c r="Q610" i="58"/>
  <c r="Q748" i="58"/>
  <c r="Q543" i="58"/>
  <c r="Q747" i="58"/>
  <c r="Q909" i="58"/>
  <c r="Q913" i="58"/>
  <c r="Q544" i="58"/>
  <c r="Q250" i="58"/>
  <c r="Q744" i="58"/>
  <c r="Q604" i="58"/>
  <c r="Q766" i="58"/>
  <c r="Q622" i="58"/>
  <c r="Q911" i="58"/>
  <c r="Q915" i="58"/>
  <c r="Q916" i="58"/>
  <c r="Q261" i="58"/>
  <c r="Q542" i="58"/>
  <c r="Q248" i="58"/>
  <c r="Q901" i="58"/>
  <c r="Q746" i="58"/>
  <c r="Q541" i="58"/>
  <c r="Q908" i="58"/>
  <c r="Q253" i="58"/>
  <c r="Q910" i="58"/>
  <c r="Q255" i="58"/>
  <c r="Q762" i="58"/>
  <c r="Q765" i="58"/>
  <c r="Q907" i="58"/>
  <c r="Q750" i="58"/>
  <c r="Q606" i="58"/>
  <c r="Q919" i="58"/>
  <c r="Q619" i="58"/>
  <c r="Q918" i="58"/>
  <c r="Q618" i="58"/>
  <c r="Q621" i="58"/>
  <c r="Q266" i="58"/>
  <c r="Q921" i="58"/>
  <c r="Q763" i="58"/>
  <c r="Q263" i="58"/>
  <c r="Q751" i="58"/>
  <c r="Q607" i="58"/>
  <c r="Q252" i="58"/>
  <c r="Q906" i="58"/>
  <c r="Q251" i="58"/>
  <c r="Q264" i="58"/>
  <c r="P304" i="58"/>
  <c r="P968" i="58"/>
  <c r="P660" i="58"/>
  <c r="P316" i="58"/>
  <c r="P802" i="58"/>
  <c r="P305" i="58"/>
  <c r="P801" i="58"/>
  <c r="P300" i="58"/>
  <c r="P969" i="58"/>
  <c r="P661" i="58"/>
  <c r="P958" i="58"/>
  <c r="P650" i="58"/>
  <c r="P957" i="58"/>
  <c r="P649" i="58"/>
  <c r="P797" i="58"/>
  <c r="P812" i="58"/>
  <c r="P953" i="58"/>
  <c r="P550" i="58"/>
  <c r="P813" i="58"/>
  <c r="P315" i="58"/>
  <c r="P970" i="58"/>
  <c r="P794" i="58"/>
  <c r="P297" i="58"/>
  <c r="P965" i="58"/>
  <c r="P971" i="58"/>
  <c r="P648" i="58"/>
  <c r="P808" i="58"/>
  <c r="P311" i="58"/>
  <c r="P960" i="58"/>
  <c r="P954" i="58"/>
  <c r="P805" i="58"/>
  <c r="P653" i="58"/>
  <c r="P803" i="58"/>
  <c r="P807" i="58"/>
  <c r="P298" i="58"/>
  <c r="P302" i="58"/>
  <c r="P950" i="58"/>
  <c r="P665" i="58"/>
  <c r="P320" i="58"/>
  <c r="P658" i="58"/>
  <c r="P800" i="58"/>
  <c r="P303" i="58"/>
  <c r="P964" i="58"/>
  <c r="P549" i="58"/>
  <c r="P652" i="58"/>
  <c r="P659" i="58"/>
  <c r="P314" i="58"/>
  <c r="P961" i="58"/>
  <c r="P959" i="58"/>
  <c r="P963" i="58"/>
  <c r="P662" i="58"/>
  <c r="P795" i="58"/>
  <c r="P799" i="58"/>
  <c r="P657" i="58"/>
  <c r="P312" i="58"/>
  <c r="P973" i="58"/>
  <c r="P817" i="58"/>
  <c r="P810" i="58"/>
  <c r="P313" i="58"/>
  <c r="P663" i="58"/>
  <c r="P318" i="58"/>
  <c r="P806" i="58"/>
  <c r="P654" i="58"/>
  <c r="P309" i="58"/>
  <c r="P956" i="58"/>
  <c r="P796" i="58"/>
  <c r="P299" i="58"/>
  <c r="P811" i="58"/>
  <c r="P551" i="58"/>
  <c r="P651" i="58"/>
  <c r="P814" i="58"/>
  <c r="P317" i="58"/>
  <c r="P951" i="58"/>
  <c r="P647" i="58"/>
  <c r="P955" i="58"/>
  <c r="P552" i="58"/>
  <c r="P646" i="58"/>
  <c r="P809" i="58"/>
  <c r="P966" i="58"/>
  <c r="P815" i="58"/>
  <c r="P962" i="58"/>
  <c r="P656" i="58"/>
  <c r="P952" i="58"/>
  <c r="P804" i="58"/>
  <c r="P307" i="58"/>
  <c r="P967" i="58"/>
  <c r="P798" i="58"/>
  <c r="P301" i="58"/>
  <c r="P308" i="58"/>
  <c r="P306" i="58"/>
  <c r="P655" i="58"/>
  <c r="P310" i="58"/>
  <c r="P972" i="58"/>
  <c r="P664" i="58"/>
  <c r="P816" i="58"/>
  <c r="P319" i="58"/>
  <c r="P321" i="58"/>
  <c r="Q858" i="58"/>
  <c r="Q694" i="58"/>
  <c r="Q696" i="58"/>
  <c r="Q532" i="58"/>
  <c r="Q850" i="58"/>
  <c r="Q563" i="58"/>
  <c r="Q710" i="58"/>
  <c r="Q574" i="58"/>
  <c r="Q852" i="58"/>
  <c r="Q533" i="58"/>
  <c r="Q715" i="58"/>
  <c r="Q866" i="58"/>
  <c r="Q855" i="58"/>
  <c r="Q699" i="58"/>
  <c r="Q536" i="58"/>
  <c r="Q871" i="58"/>
  <c r="Q579" i="58"/>
  <c r="Q853" i="58"/>
  <c r="Q697" i="58"/>
  <c r="Q534" i="58"/>
  <c r="Q702" i="58"/>
  <c r="Q862" i="58"/>
  <c r="Q570" i="58"/>
  <c r="Q856" i="58"/>
  <c r="Q565" i="58"/>
  <c r="Q575" i="58"/>
  <c r="Q705" i="58"/>
  <c r="Q704" i="58"/>
  <c r="Q863" i="58"/>
  <c r="Q701" i="58"/>
  <c r="Q566" i="58"/>
  <c r="Q703" i="58"/>
  <c r="Q567" i="58"/>
  <c r="Q711" i="58"/>
  <c r="Q860" i="58"/>
  <c r="Q870" i="58"/>
  <c r="Q714" i="58"/>
  <c r="Q578" i="58"/>
  <c r="Q709" i="58"/>
  <c r="Q573" i="58"/>
  <c r="Q857" i="58"/>
  <c r="Q708" i="58"/>
  <c r="Q859" i="58"/>
  <c r="Q867" i="58"/>
  <c r="Q569" i="58"/>
  <c r="Q698" i="58"/>
  <c r="Q568" i="58"/>
  <c r="Q851" i="58"/>
  <c r="Q695" i="58"/>
  <c r="Q564" i="58"/>
  <c r="Q706" i="58"/>
  <c r="Q865" i="58"/>
  <c r="Q864" i="58"/>
  <c r="Q572" i="58"/>
  <c r="Q700" i="58"/>
  <c r="Q861" i="58"/>
  <c r="Q854" i="58"/>
  <c r="Q535" i="58"/>
  <c r="Q707" i="58"/>
  <c r="Q571" i="58"/>
  <c r="Q872" i="58"/>
  <c r="Q716" i="58"/>
  <c r="Q580" i="58"/>
  <c r="Q869" i="58"/>
  <c r="Q717" i="58"/>
  <c r="Q577" i="58"/>
  <c r="Q713" i="58"/>
  <c r="Q873" i="58"/>
  <c r="Q581" i="58"/>
  <c r="Q11" i="58"/>
  <c r="Q241" i="58"/>
  <c r="Q189" i="58"/>
  <c r="Q59" i="58" s="1"/>
  <c r="Q85" i="58" s="1"/>
  <c r="Q111" i="58" s="1"/>
  <c r="Q137" i="58" s="1"/>
  <c r="Q163" i="58" s="1"/>
  <c r="Q896" i="58"/>
  <c r="Q740" i="58"/>
  <c r="Q600" i="58"/>
  <c r="Q215" i="58"/>
  <c r="Q177" i="58"/>
  <c r="Q47" i="58" s="1"/>
  <c r="Q73" i="58" s="1"/>
  <c r="Q99" i="58" s="1"/>
  <c r="Q125" i="58" s="1"/>
  <c r="Q151" i="58" s="1"/>
  <c r="Q596" i="58"/>
  <c r="Q211" i="58"/>
  <c r="Q185" i="58"/>
  <c r="Q55" i="58" s="1"/>
  <c r="Q81" i="58" s="1"/>
  <c r="Q107" i="58" s="1"/>
  <c r="Q133" i="58" s="1"/>
  <c r="Q159" i="58" s="1"/>
  <c r="Q590" i="58"/>
  <c r="Q231" i="58"/>
  <c r="Q220" i="58"/>
  <c r="Q195" i="58"/>
  <c r="Q891" i="58"/>
  <c r="Q210" i="58"/>
  <c r="Q721" i="58"/>
  <c r="Q537" i="58"/>
  <c r="Q196" i="58"/>
  <c r="Q878" i="58"/>
  <c r="Q538" i="58"/>
  <c r="Q223" i="58"/>
  <c r="Q723" i="58"/>
  <c r="Q539" i="58"/>
  <c r="Q198" i="58"/>
  <c r="Q880" i="58"/>
  <c r="Q540" i="58"/>
  <c r="Q225" i="58"/>
  <c r="Q727" i="58"/>
  <c r="Q587" i="58"/>
  <c r="Q202" i="58"/>
  <c r="Q204" i="58"/>
  <c r="Q239" i="58"/>
  <c r="Q732" i="58"/>
  <c r="Q731" i="58"/>
  <c r="Q591" i="58"/>
  <c r="Q206" i="58"/>
  <c r="Q890" i="58"/>
  <c r="Q889" i="58"/>
  <c r="Q208" i="58"/>
  <c r="Q203" i="58"/>
  <c r="Q237" i="58"/>
  <c r="Q168" i="58"/>
  <c r="Q38" i="58" s="1"/>
  <c r="Q64" i="58" s="1"/>
  <c r="Q90" i="58" s="1"/>
  <c r="Q116" i="58" s="1"/>
  <c r="Q142" i="58" s="1"/>
  <c r="Q720" i="58"/>
  <c r="Q236" i="58"/>
  <c r="Q184" i="58"/>
  <c r="Q54" i="58" s="1"/>
  <c r="Q80" i="58" s="1"/>
  <c r="Q106" i="58" s="1"/>
  <c r="Q132" i="58" s="1"/>
  <c r="Q158" i="58" s="1"/>
  <c r="Q171" i="58"/>
  <c r="Q41" i="58" s="1"/>
  <c r="Q67" i="58" s="1"/>
  <c r="Q93" i="58" s="1"/>
  <c r="Q119" i="58" s="1"/>
  <c r="Q145" i="58" s="1"/>
  <c r="Q879" i="58"/>
  <c r="Q173" i="58"/>
  <c r="Q43" i="58" s="1"/>
  <c r="Q69" i="58" s="1"/>
  <c r="Q95" i="58" s="1"/>
  <c r="Q121" i="58" s="1"/>
  <c r="Q147" i="58" s="1"/>
  <c r="Q885" i="58"/>
  <c r="Q230" i="58"/>
  <c r="Q739" i="58"/>
  <c r="Q599" i="58"/>
  <c r="Q240" i="58"/>
  <c r="Q592" i="58"/>
  <c r="Q207" i="58"/>
  <c r="Q232" i="58"/>
  <c r="Q180" i="58"/>
  <c r="Q50" i="58" s="1"/>
  <c r="Q76" i="58" s="1"/>
  <c r="Q102" i="58" s="1"/>
  <c r="Q128" i="58" s="1"/>
  <c r="Q154" i="58" s="1"/>
  <c r="Q734" i="58"/>
  <c r="Q234" i="58"/>
  <c r="Q182" i="58"/>
  <c r="Q52" i="58" s="1"/>
  <c r="Q78" i="58" s="1"/>
  <c r="Q104" i="58" s="1"/>
  <c r="Q130" i="58" s="1"/>
  <c r="Q156" i="58" s="1"/>
  <c r="Q728" i="58"/>
  <c r="Q892" i="58"/>
  <c r="Q238" i="58"/>
  <c r="Q886" i="58"/>
  <c r="Q179" i="58"/>
  <c r="Q49" i="58" s="1"/>
  <c r="Q75" i="58" s="1"/>
  <c r="Q101" i="58" s="1"/>
  <c r="Q127" i="58" s="1"/>
  <c r="Q153" i="58" s="1"/>
  <c r="Q875" i="58"/>
  <c r="Q719" i="58"/>
  <c r="Q583" i="58"/>
  <c r="Q194" i="58"/>
  <c r="Q876" i="58"/>
  <c r="Q584" i="58"/>
  <c r="Q221" i="58"/>
  <c r="Q735" i="58"/>
  <c r="Q595" i="58"/>
  <c r="Q877" i="58"/>
  <c r="Q222" i="58"/>
  <c r="Q197" i="58"/>
  <c r="Q224" i="58"/>
  <c r="Q199" i="58"/>
  <c r="Q883" i="58"/>
  <c r="Q228" i="58"/>
  <c r="Q233" i="58"/>
  <c r="Q181" i="58"/>
  <c r="Q51" i="58" s="1"/>
  <c r="Q77" i="58" s="1"/>
  <c r="Q103" i="58" s="1"/>
  <c r="Q129" i="58" s="1"/>
  <c r="Q155" i="58" s="1"/>
  <c r="Q887" i="58"/>
  <c r="Q594" i="58"/>
  <c r="Q209" i="58"/>
  <c r="Q733" i="58"/>
  <c r="Q593" i="58"/>
  <c r="Q884" i="58"/>
  <c r="Q588" i="58"/>
  <c r="Q229" i="58"/>
  <c r="Q736" i="58"/>
  <c r="Q730" i="58"/>
  <c r="Q205" i="58"/>
  <c r="Q169" i="58"/>
  <c r="Q39" i="58" s="1"/>
  <c r="Q65" i="58" s="1"/>
  <c r="Q91" i="58" s="1"/>
  <c r="Q117" i="58" s="1"/>
  <c r="Q143" i="58" s="1"/>
  <c r="Q170" i="58"/>
  <c r="Q40" i="58" s="1"/>
  <c r="Q66" i="58" s="1"/>
  <c r="Q92" i="58" s="1"/>
  <c r="Q118" i="58" s="1"/>
  <c r="Q144" i="58" s="1"/>
  <c r="Q722" i="58"/>
  <c r="Q172" i="58"/>
  <c r="Q42" i="58" s="1"/>
  <c r="Q68" i="58" s="1"/>
  <c r="Q94" i="58" s="1"/>
  <c r="Q120" i="58" s="1"/>
  <c r="Q146" i="58" s="1"/>
  <c r="Q724" i="58"/>
  <c r="Q176" i="58"/>
  <c r="Q46" i="58" s="1"/>
  <c r="Q72" i="58" s="1"/>
  <c r="Q98" i="58" s="1"/>
  <c r="Q124" i="58" s="1"/>
  <c r="Q150" i="58" s="1"/>
  <c r="Q729" i="58"/>
  <c r="Q589" i="58"/>
  <c r="Q178" i="58"/>
  <c r="Q48" i="58" s="1"/>
  <c r="Q74" i="58" s="1"/>
  <c r="Q100" i="58" s="1"/>
  <c r="Q126" i="58" s="1"/>
  <c r="Q152" i="58" s="1"/>
  <c r="Q895" i="58"/>
  <c r="Q214" i="58"/>
  <c r="Q188" i="58"/>
  <c r="Q58" i="58" s="1"/>
  <c r="Q84" i="58" s="1"/>
  <c r="Q110" i="58" s="1"/>
  <c r="Q136" i="58" s="1"/>
  <c r="Q162" i="58" s="1"/>
  <c r="Q888" i="58"/>
  <c r="Q235" i="58"/>
  <c r="Q183" i="58"/>
  <c r="Q53" i="58" s="1"/>
  <c r="Q79" i="58" s="1"/>
  <c r="Q105" i="58" s="1"/>
  <c r="Q131" i="58" s="1"/>
  <c r="Q157" i="58" s="1"/>
  <c r="Q243" i="58"/>
  <c r="Q191" i="58"/>
  <c r="Q61" i="58" s="1"/>
  <c r="Q87" i="58" s="1"/>
  <c r="Q113" i="58" s="1"/>
  <c r="Q139" i="58" s="1"/>
  <c r="Q165" i="58" s="1"/>
  <c r="Q741" i="58"/>
  <c r="Q601" i="58"/>
  <c r="Q894" i="58"/>
  <c r="Q598" i="58"/>
  <c r="Q213" i="58"/>
  <c r="Q187" i="58"/>
  <c r="Q57" i="58" s="1"/>
  <c r="Q83" i="58" s="1"/>
  <c r="Q109" i="58" s="1"/>
  <c r="Q135" i="58" s="1"/>
  <c r="Q161" i="58" s="1"/>
  <c r="Q174" i="58"/>
  <c r="Q44" i="58" s="1"/>
  <c r="Q70" i="58" s="1"/>
  <c r="Q96" i="58" s="1"/>
  <c r="Q122" i="58" s="1"/>
  <c r="Q148" i="58" s="1"/>
  <c r="Q218" i="58"/>
  <c r="Q175" i="58"/>
  <c r="Q45" i="58" s="1"/>
  <c r="Q71" i="58" s="1"/>
  <c r="Q97" i="58" s="1"/>
  <c r="Q123" i="58" s="1"/>
  <c r="Q149" i="58" s="1"/>
  <c r="Q242" i="58"/>
  <c r="Q190" i="58"/>
  <c r="Q60" i="58" s="1"/>
  <c r="Q86" i="58" s="1"/>
  <c r="Q112" i="58" s="1"/>
  <c r="Q138" i="58" s="1"/>
  <c r="Q164" i="58" s="1"/>
  <c r="Q212" i="58"/>
  <c r="Q882" i="58"/>
  <c r="Q586" i="58"/>
  <c r="Q227" i="58"/>
  <c r="Q898" i="58"/>
  <c r="Q737" i="58"/>
  <c r="Q881" i="58"/>
  <c r="Q725" i="58"/>
  <c r="Q585" i="58"/>
  <c r="Q200" i="58"/>
  <c r="Q244" i="58"/>
  <c r="Q192" i="58"/>
  <c r="Q62" i="58" s="1"/>
  <c r="Q88" i="58" s="1"/>
  <c r="Q114" i="58" s="1"/>
  <c r="Q140" i="58" s="1"/>
  <c r="Q166" i="58" s="1"/>
  <c r="Q201" i="58"/>
  <c r="Q217" i="58"/>
  <c r="Q186" i="58"/>
  <c r="Q56" i="58" s="1"/>
  <c r="Q82" i="58" s="1"/>
  <c r="Q108" i="58" s="1"/>
  <c r="Q134" i="58" s="1"/>
  <c r="Q160" i="58" s="1"/>
  <c r="Q226" i="58"/>
  <c r="Q742" i="58"/>
  <c r="Q897" i="58"/>
  <c r="Q216" i="58"/>
  <c r="Q893" i="58"/>
  <c r="Q597" i="58"/>
  <c r="Q726" i="58"/>
  <c r="Q602" i="58"/>
  <c r="Q738" i="58"/>
  <c r="Y84" i="44"/>
  <c r="H533" i="25"/>
  <c r="H550" i="25"/>
  <c r="H496" i="25"/>
  <c r="H513" i="25"/>
  <c r="H237" i="25"/>
  <c r="H254" i="25"/>
  <c r="H202" i="25"/>
  <c r="H219" i="25"/>
  <c r="H1088" i="25"/>
  <c r="H1105" i="25"/>
  <c r="H1051" i="25"/>
  <c r="H1068" i="25"/>
  <c r="H903" i="25"/>
  <c r="H920" i="25"/>
  <c r="H829" i="25"/>
  <c r="H846" i="25"/>
  <c r="H755" i="25"/>
  <c r="H772" i="25"/>
  <c r="H681" i="25"/>
  <c r="H698" i="25"/>
  <c r="H607" i="25"/>
  <c r="H624" i="25"/>
  <c r="H385" i="25"/>
  <c r="H402" i="25"/>
  <c r="H348" i="25"/>
  <c r="H365" i="25"/>
  <c r="H1125" i="25"/>
  <c r="H1142" i="25"/>
  <c r="H1015" i="25"/>
  <c r="H1032" i="25"/>
  <c r="H977" i="25"/>
  <c r="H994" i="25"/>
  <c r="H866" i="25"/>
  <c r="H883" i="25"/>
  <c r="H793" i="25"/>
  <c r="H810" i="25"/>
  <c r="H718" i="25"/>
  <c r="H735" i="25"/>
  <c r="H645" i="25"/>
  <c r="H662" i="25"/>
  <c r="H570" i="25"/>
  <c r="H587" i="25"/>
  <c r="H460" i="25"/>
  <c r="H477" i="25"/>
  <c r="H422" i="25"/>
  <c r="H439" i="25"/>
  <c r="H312" i="25"/>
  <c r="H329" i="25"/>
  <c r="H274" i="25"/>
  <c r="H291" i="25"/>
  <c r="H15" i="25"/>
  <c r="H32" i="25"/>
  <c r="H941" i="25"/>
  <c r="H958" i="25"/>
  <c r="P9" i="12"/>
  <c r="P10" i="12"/>
  <c r="P12" i="12"/>
  <c r="P13" i="12" s="1"/>
  <c r="C201" i="11"/>
  <c r="D441" i="11"/>
  <c r="C455" i="11"/>
  <c r="C435" i="11"/>
  <c r="D431" i="11"/>
  <c r="D426" i="11"/>
  <c r="D202" i="11"/>
  <c r="C430" i="11"/>
  <c r="C425" i="11"/>
  <c r="D456" i="11"/>
  <c r="D436" i="11"/>
  <c r="D445" i="11"/>
  <c r="D450" i="11"/>
  <c r="P23" i="26"/>
  <c r="J42" i="12"/>
  <c r="Q35" i="26"/>
  <c r="K54" i="12"/>
  <c r="P28" i="26"/>
  <c r="J47" i="12"/>
  <c r="P30" i="26"/>
  <c r="J49" i="12"/>
  <c r="Q26" i="26"/>
  <c r="K45" i="12"/>
  <c r="Q24" i="26"/>
  <c r="K43" i="12"/>
  <c r="P15" i="26"/>
  <c r="J34" i="12"/>
  <c r="P25" i="26"/>
  <c r="J44" i="12"/>
  <c r="Q27" i="26"/>
  <c r="K46" i="12"/>
  <c r="O16" i="26"/>
  <c r="I35" i="12"/>
  <c r="O17" i="26"/>
  <c r="I36" i="12"/>
  <c r="O68" i="26"/>
  <c r="I87" i="12"/>
  <c r="O66" i="26"/>
  <c r="I85" i="12"/>
  <c r="O78" i="26"/>
  <c r="I97" i="12"/>
  <c r="O76" i="26"/>
  <c r="I95" i="12"/>
  <c r="O88" i="26"/>
  <c r="I107" i="12"/>
  <c r="O86" i="26"/>
  <c r="I105" i="12"/>
  <c r="O95" i="26"/>
  <c r="I114" i="12"/>
  <c r="O105" i="26"/>
  <c r="I124" i="12"/>
  <c r="O115" i="26"/>
  <c r="I134" i="12"/>
  <c r="O73" i="26"/>
  <c r="I92" i="12"/>
  <c r="O71" i="26"/>
  <c r="I90" i="12"/>
  <c r="O83" i="26"/>
  <c r="I102" i="12"/>
  <c r="O81" i="26"/>
  <c r="I100" i="12"/>
  <c r="P110" i="26"/>
  <c r="J129" i="12"/>
  <c r="K32" i="12"/>
  <c r="Q13" i="26"/>
  <c r="O14" i="26"/>
  <c r="I33" i="12"/>
  <c r="O69" i="26"/>
  <c r="I88" i="12"/>
  <c r="O79" i="26"/>
  <c r="I98" i="12"/>
  <c r="O89" i="26"/>
  <c r="I108" i="12"/>
  <c r="O94" i="26"/>
  <c r="I113" i="12"/>
  <c r="O92" i="26"/>
  <c r="I111" i="12"/>
  <c r="O104" i="26"/>
  <c r="I123" i="12"/>
  <c r="O102" i="26"/>
  <c r="I121" i="12"/>
  <c r="O114" i="26"/>
  <c r="I133" i="12"/>
  <c r="O112" i="26"/>
  <c r="I131" i="12"/>
  <c r="O74" i="26"/>
  <c r="I93" i="12"/>
  <c r="O84" i="26"/>
  <c r="I103" i="12"/>
  <c r="P109" i="26"/>
  <c r="J128" i="12"/>
  <c r="P107" i="26"/>
  <c r="J126" i="12"/>
  <c r="B17" i="26"/>
  <c r="C36" i="12" s="1"/>
  <c r="C40" i="11"/>
  <c r="C50" i="11"/>
  <c r="C55" i="11"/>
  <c r="B79" i="26"/>
  <c r="C98" i="12" s="1"/>
  <c r="E98" i="12"/>
  <c r="B100" i="26"/>
  <c r="C119" i="12" s="1"/>
  <c r="E119" i="12"/>
  <c r="B141" i="26"/>
  <c r="C160" i="12" s="1"/>
  <c r="C160" i="11" s="1"/>
  <c r="E160" i="12"/>
  <c r="B48" i="26"/>
  <c r="C67" i="12" s="1"/>
  <c r="E67" i="12"/>
  <c r="B89" i="26"/>
  <c r="C108" i="12" s="1"/>
  <c r="E108" i="12"/>
  <c r="B58" i="26"/>
  <c r="C77" i="12" s="1"/>
  <c r="E77" i="12"/>
  <c r="B110" i="26"/>
  <c r="C129" i="12" s="1"/>
  <c r="E129" i="12"/>
  <c r="B74" i="26"/>
  <c r="C93" i="12" s="1"/>
  <c r="E93" i="12"/>
  <c r="B115" i="26"/>
  <c r="C134" i="12" s="1"/>
  <c r="E134" i="12"/>
  <c r="B105" i="26"/>
  <c r="C124" i="12" s="1"/>
  <c r="E124" i="12"/>
  <c r="B136" i="26"/>
  <c r="C155" i="12" s="1"/>
  <c r="E155" i="12"/>
  <c r="B126" i="26"/>
  <c r="C145" i="12" s="1"/>
  <c r="E145" i="12"/>
  <c r="B95" i="26"/>
  <c r="C114" i="12" s="1"/>
  <c r="E114" i="12"/>
  <c r="B53" i="26"/>
  <c r="C72" i="12" s="1"/>
  <c r="E72" i="12"/>
  <c r="D140" i="11"/>
  <c r="K60" i="12"/>
  <c r="K62" i="12"/>
  <c r="K70" i="12"/>
  <c r="K72" i="12"/>
  <c r="K80" i="12"/>
  <c r="K82" i="12"/>
  <c r="K96" i="12"/>
  <c r="K106" i="12"/>
  <c r="K143" i="12"/>
  <c r="K145" i="12"/>
  <c r="K153" i="12"/>
  <c r="K155" i="12"/>
  <c r="K117" i="12"/>
  <c r="K119" i="12"/>
  <c r="K122" i="12"/>
  <c r="L99" i="12"/>
  <c r="L63" i="12"/>
  <c r="L73" i="12"/>
  <c r="L84" i="12"/>
  <c r="L136" i="12"/>
  <c r="L146" i="12"/>
  <c r="L156" i="12"/>
  <c r="L110" i="12"/>
  <c r="L130" i="12"/>
  <c r="L91" i="12"/>
  <c r="L127" i="12"/>
  <c r="M52" i="12"/>
  <c r="L55" i="12"/>
  <c r="L51" i="12"/>
  <c r="L38" i="12"/>
  <c r="M39" i="12"/>
  <c r="L58" i="12"/>
  <c r="L68" i="12"/>
  <c r="L78" i="12"/>
  <c r="L94" i="12"/>
  <c r="L104" i="12"/>
  <c r="L141" i="12"/>
  <c r="L151" i="12"/>
  <c r="L115" i="12"/>
  <c r="L120" i="12"/>
  <c r="M89" i="12"/>
  <c r="M125" i="12"/>
  <c r="K101" i="12"/>
  <c r="K65" i="12"/>
  <c r="K67" i="12"/>
  <c r="K75" i="12"/>
  <c r="K77" i="12"/>
  <c r="K86" i="12"/>
  <c r="K138" i="12"/>
  <c r="K140" i="12"/>
  <c r="K148" i="12"/>
  <c r="K150" i="12"/>
  <c r="K158" i="12"/>
  <c r="K160" i="12"/>
  <c r="K112" i="12"/>
  <c r="K132" i="12"/>
  <c r="M37" i="12"/>
  <c r="L56" i="12"/>
  <c r="L53" i="12"/>
  <c r="L50" i="12"/>
  <c r="L48" i="12"/>
  <c r="L40" i="12"/>
  <c r="L41" i="12"/>
  <c r="K61" i="12"/>
  <c r="K59" i="12"/>
  <c r="K71" i="12"/>
  <c r="K69" i="12"/>
  <c r="K81" i="12"/>
  <c r="K79" i="12"/>
  <c r="K144" i="12"/>
  <c r="K142" i="12"/>
  <c r="K154" i="12"/>
  <c r="K152" i="12"/>
  <c r="K118" i="12"/>
  <c r="K116" i="12"/>
  <c r="K66" i="12"/>
  <c r="K64" i="12"/>
  <c r="K76" i="12"/>
  <c r="K74" i="12"/>
  <c r="K139" i="12"/>
  <c r="K137" i="12"/>
  <c r="K149" i="12"/>
  <c r="K147" i="12"/>
  <c r="K159" i="12"/>
  <c r="K157" i="12"/>
  <c r="C35" i="11"/>
  <c r="B22" i="26"/>
  <c r="C41" i="12" s="1"/>
  <c r="E41" i="12"/>
  <c r="B32" i="26"/>
  <c r="C51" i="12" s="1"/>
  <c r="E51" i="12"/>
  <c r="B37" i="26"/>
  <c r="C56" i="12" s="1"/>
  <c r="E56" i="12"/>
  <c r="C97" i="11"/>
  <c r="C118" i="11"/>
  <c r="C66" i="11"/>
  <c r="C107" i="11"/>
  <c r="C76" i="11"/>
  <c r="C128" i="11"/>
  <c r="C92" i="11"/>
  <c r="C133" i="11"/>
  <c r="C123" i="11"/>
  <c r="C154" i="11"/>
  <c r="C144" i="11"/>
  <c r="C113" i="11"/>
  <c r="C71" i="11"/>
  <c r="D139" i="11"/>
  <c r="C82" i="11"/>
  <c r="C103" i="11"/>
  <c r="C62" i="11"/>
  <c r="C140" i="11"/>
  <c r="C88" i="11"/>
  <c r="C150" i="11"/>
  <c r="C46" i="11"/>
  <c r="Y80" i="44"/>
  <c r="Y81" i="44"/>
  <c r="Y82" i="44"/>
  <c r="Q840" i="58" l="1"/>
  <c r="Q372" i="58"/>
  <c r="Q841" i="58"/>
  <c r="Q397" i="58"/>
  <c r="Q996" i="58"/>
  <c r="Q344" i="58"/>
  <c r="Q686" i="58"/>
  <c r="Q398" i="58"/>
  <c r="Q997" i="58"/>
  <c r="Q370" i="58"/>
  <c r="Q842" i="58"/>
  <c r="Q345" i="58"/>
  <c r="Q684" i="58"/>
  <c r="Q396" i="58"/>
  <c r="Q998" i="58"/>
  <c r="Q346" i="58"/>
  <c r="Q685" i="58"/>
  <c r="Q371" i="58"/>
  <c r="Q975" i="58"/>
  <c r="Q976" i="58"/>
  <c r="Q350" i="58"/>
  <c r="Q991" i="58"/>
  <c r="Q553" i="58"/>
  <c r="Q351" i="58"/>
  <c r="Q822" i="58"/>
  <c r="Q979" i="58"/>
  <c r="Q555" i="58"/>
  <c r="Q353" i="58"/>
  <c r="Q980" i="58"/>
  <c r="Q824" i="58"/>
  <c r="Q671" i="58"/>
  <c r="Q357" i="58"/>
  <c r="Q985" i="58"/>
  <c r="Q683" i="58"/>
  <c r="Q369" i="58"/>
  <c r="Q832" i="58"/>
  <c r="Q335" i="58"/>
  <c r="Q678" i="58"/>
  <c r="Q390" i="58"/>
  <c r="Q677" i="58"/>
  <c r="Q363" i="58"/>
  <c r="Q828" i="58"/>
  <c r="Q992" i="58"/>
  <c r="Q340" i="58"/>
  <c r="Q674" i="58"/>
  <c r="Q386" i="58"/>
  <c r="Q323" i="58"/>
  <c r="Q668" i="58"/>
  <c r="Q376" i="58"/>
  <c r="Q339" i="58"/>
  <c r="Q821" i="58"/>
  <c r="Q377" i="58"/>
  <c r="Q326" i="58"/>
  <c r="Q823" i="58"/>
  <c r="Q379" i="58"/>
  <c r="Q328" i="58"/>
  <c r="Q827" i="58"/>
  <c r="Q383" i="58"/>
  <c r="Q333" i="58"/>
  <c r="Q839" i="58"/>
  <c r="Q395" i="58"/>
  <c r="Q988" i="58"/>
  <c r="Q336" i="58"/>
  <c r="Q675" i="58"/>
  <c r="Q361" i="58"/>
  <c r="Q834" i="58"/>
  <c r="Q833" i="58"/>
  <c r="Q389" i="58"/>
  <c r="Q984" i="58"/>
  <c r="Q332" i="58"/>
  <c r="Q366" i="58"/>
  <c r="Q830" i="58"/>
  <c r="Q667" i="58"/>
  <c r="Q349" i="58"/>
  <c r="Q820" i="58"/>
  <c r="Q679" i="58"/>
  <c r="Q365" i="58"/>
  <c r="Q977" i="58"/>
  <c r="Q978" i="58"/>
  <c r="Q352" i="58"/>
  <c r="Q354" i="58"/>
  <c r="Q983" i="58"/>
  <c r="Q673" i="58"/>
  <c r="Q359" i="58"/>
  <c r="Q995" i="58"/>
  <c r="Q362" i="58"/>
  <c r="Q831" i="58"/>
  <c r="Q387" i="58"/>
  <c r="Q990" i="58"/>
  <c r="Q338" i="58"/>
  <c r="Q989" i="58"/>
  <c r="Q358" i="58"/>
  <c r="Q680" i="58"/>
  <c r="Q392" i="58"/>
  <c r="Q986" i="58"/>
  <c r="Q334" i="58"/>
  <c r="Q819" i="58"/>
  <c r="Q375" i="58"/>
  <c r="Q324" i="58"/>
  <c r="Q835" i="58"/>
  <c r="Q391" i="58"/>
  <c r="Q325" i="58"/>
  <c r="Q554" i="58"/>
  <c r="Q378" i="58"/>
  <c r="Q327" i="58"/>
  <c r="Q556" i="58"/>
  <c r="Q380" i="58"/>
  <c r="Q331" i="58"/>
  <c r="Q829" i="58"/>
  <c r="Q385" i="58"/>
  <c r="Q343" i="58"/>
  <c r="Q676" i="58"/>
  <c r="Q388" i="58"/>
  <c r="Q987" i="58"/>
  <c r="Q364" i="58"/>
  <c r="Q337" i="58"/>
  <c r="Q672" i="58"/>
  <c r="Q384" i="58"/>
  <c r="Q836" i="58"/>
  <c r="Q360" i="58"/>
  <c r="Q399" i="58"/>
  <c r="Q982" i="58"/>
  <c r="Q330" i="58"/>
  <c r="Q669" i="58"/>
  <c r="Q355" i="58"/>
  <c r="Q993" i="58"/>
  <c r="Q838" i="58"/>
  <c r="Q681" i="58"/>
  <c r="Q393" i="58"/>
  <c r="Q341" i="58"/>
  <c r="Q356" i="58"/>
  <c r="Q825" i="58"/>
  <c r="Q381" i="58"/>
  <c r="Q394" i="58"/>
  <c r="Q342" i="58"/>
  <c r="Q373" i="58"/>
  <c r="Q826" i="58"/>
  <c r="Q329" i="58"/>
  <c r="Q368" i="58"/>
  <c r="Q347" i="58"/>
  <c r="Q670" i="58"/>
  <c r="Q382" i="58"/>
  <c r="Q981" i="58"/>
  <c r="Q994" i="58"/>
  <c r="Q837" i="58"/>
  <c r="Q682" i="58"/>
  <c r="Q367" i="58"/>
  <c r="Q801" i="58"/>
  <c r="Q958" i="58"/>
  <c r="Q957" i="58"/>
  <c r="Q649" i="58"/>
  <c r="Q304" i="58"/>
  <c r="Q797" i="58"/>
  <c r="Q968" i="58"/>
  <c r="Q813" i="58"/>
  <c r="Q660" i="58"/>
  <c r="Q315" i="58"/>
  <c r="Q305" i="58"/>
  <c r="Q953" i="58"/>
  <c r="Q550" i="58"/>
  <c r="Q300" i="58"/>
  <c r="Q316" i="58"/>
  <c r="Q969" i="58"/>
  <c r="Q812" i="58"/>
  <c r="Q661" i="58"/>
  <c r="Q802" i="58"/>
  <c r="Q650" i="58"/>
  <c r="Q317" i="58"/>
  <c r="Q950" i="58"/>
  <c r="Q665" i="58"/>
  <c r="Q658" i="58"/>
  <c r="Q800" i="58"/>
  <c r="Q648" i="58"/>
  <c r="Q964" i="58"/>
  <c r="Q307" i="58"/>
  <c r="Q659" i="58"/>
  <c r="Q301" i="58"/>
  <c r="Q961" i="58"/>
  <c r="Q308" i="58"/>
  <c r="Q959" i="58"/>
  <c r="Q306" i="58"/>
  <c r="Q963" i="58"/>
  <c r="Q310" i="58"/>
  <c r="Q662" i="58"/>
  <c r="Q795" i="58"/>
  <c r="Q799" i="58"/>
  <c r="Q297" i="58"/>
  <c r="Q657" i="58"/>
  <c r="Q817" i="58"/>
  <c r="Q810" i="58"/>
  <c r="Q663" i="58"/>
  <c r="Q806" i="58"/>
  <c r="Q654" i="58"/>
  <c r="Q956" i="58"/>
  <c r="Q311" i="58"/>
  <c r="Q796" i="58"/>
  <c r="Q549" i="58"/>
  <c r="Q652" i="58"/>
  <c r="Q811" i="58"/>
  <c r="Q651" i="58"/>
  <c r="Q814" i="58"/>
  <c r="Q951" i="58"/>
  <c r="Q647" i="58"/>
  <c r="Q298" i="58"/>
  <c r="Q955" i="58"/>
  <c r="Q552" i="58"/>
  <c r="Q302" i="58"/>
  <c r="Q809" i="58"/>
  <c r="Q320" i="58"/>
  <c r="Q966" i="58"/>
  <c r="Q815" i="58"/>
  <c r="Q962" i="58"/>
  <c r="Q303" i="58"/>
  <c r="Q656" i="58"/>
  <c r="Q952" i="58"/>
  <c r="Q804" i="58"/>
  <c r="Q967" i="58"/>
  <c r="Q314" i="58"/>
  <c r="Q798" i="58"/>
  <c r="Q551" i="58"/>
  <c r="Q653" i="58"/>
  <c r="Q655" i="58"/>
  <c r="Q970" i="58"/>
  <c r="Q794" i="58"/>
  <c r="Q646" i="58"/>
  <c r="Q965" i="58"/>
  <c r="Q312" i="58"/>
  <c r="Q973" i="58"/>
  <c r="Q313" i="58"/>
  <c r="Q971" i="58"/>
  <c r="Q318" i="58"/>
  <c r="Q309" i="58"/>
  <c r="Q808" i="58"/>
  <c r="Q299" i="58"/>
  <c r="Q960" i="58"/>
  <c r="Q954" i="58"/>
  <c r="Q805" i="58"/>
  <c r="Q803" i="58"/>
  <c r="Q807" i="58"/>
  <c r="Q321" i="58"/>
  <c r="Q664" i="58"/>
  <c r="Q816" i="58"/>
  <c r="Q319" i="58"/>
  <c r="Q972" i="58"/>
  <c r="Q946" i="58"/>
  <c r="Q642" i="58"/>
  <c r="Q292" i="58"/>
  <c r="Q792" i="58"/>
  <c r="Q948" i="58"/>
  <c r="Q644" i="58"/>
  <c r="Q294" i="58"/>
  <c r="Q790" i="58"/>
  <c r="Q780" i="58"/>
  <c r="Q281" i="58"/>
  <c r="Q291" i="58"/>
  <c r="Q925" i="58"/>
  <c r="Q271" i="58"/>
  <c r="Q626" i="58"/>
  <c r="Q272" i="58"/>
  <c r="Q287" i="58"/>
  <c r="Q927" i="58"/>
  <c r="Q273" i="58"/>
  <c r="Q546" i="58"/>
  <c r="Q274" i="58"/>
  <c r="Q929" i="58"/>
  <c r="Q275" i="58"/>
  <c r="Q548" i="58"/>
  <c r="Q276" i="58"/>
  <c r="Q279" i="58"/>
  <c r="Q285" i="58"/>
  <c r="Q936" i="58"/>
  <c r="Q632" i="58"/>
  <c r="Q282" i="58"/>
  <c r="Q782" i="58"/>
  <c r="Q781" i="58"/>
  <c r="Q633" i="58"/>
  <c r="Q778" i="58"/>
  <c r="Q786" i="58"/>
  <c r="Q779" i="58"/>
  <c r="Q631" i="58"/>
  <c r="Q789" i="58"/>
  <c r="Q641" i="58"/>
  <c r="Q938" i="58"/>
  <c r="Q634" i="58"/>
  <c r="Q284" i="58"/>
  <c r="Q937" i="58"/>
  <c r="Q784" i="58"/>
  <c r="Q769" i="58"/>
  <c r="Q625" i="58"/>
  <c r="Q926" i="58"/>
  <c r="Q785" i="58"/>
  <c r="Q637" i="58"/>
  <c r="Q771" i="58"/>
  <c r="Q545" i="58"/>
  <c r="Q928" i="58"/>
  <c r="Q773" i="58"/>
  <c r="Q547" i="58"/>
  <c r="Q777" i="58"/>
  <c r="Q629" i="58"/>
  <c r="Q783" i="58"/>
  <c r="Q635" i="58"/>
  <c r="Q934" i="58"/>
  <c r="Q630" i="58"/>
  <c r="Q280" i="58"/>
  <c r="Q942" i="58"/>
  <c r="Q638" i="58"/>
  <c r="Q288" i="58"/>
  <c r="Q935" i="58"/>
  <c r="Q945" i="58"/>
  <c r="Q283" i="58"/>
  <c r="Q940" i="58"/>
  <c r="Q636" i="58"/>
  <c r="Q286" i="58"/>
  <c r="Q770" i="58"/>
  <c r="Q941" i="58"/>
  <c r="Q772" i="58"/>
  <c r="Q930" i="58"/>
  <c r="Q774" i="58"/>
  <c r="Q933" i="58"/>
  <c r="Q939" i="58"/>
  <c r="Q947" i="58"/>
  <c r="Q932" i="58"/>
  <c r="Q628" i="58"/>
  <c r="Q278" i="58"/>
  <c r="Q943" i="58"/>
  <c r="Q788" i="58"/>
  <c r="Q289" i="58"/>
  <c r="Q775" i="58"/>
  <c r="Q627" i="58"/>
  <c r="Q791" i="58"/>
  <c r="Q639" i="58"/>
  <c r="Q295" i="58"/>
  <c r="Q293" i="58"/>
  <c r="Q640" i="58"/>
  <c r="Q290" i="58"/>
  <c r="Q643" i="58"/>
  <c r="Q776" i="58"/>
  <c r="Q944" i="58"/>
  <c r="Q787" i="58"/>
  <c r="Q931" i="58"/>
  <c r="Q277" i="58"/>
  <c r="Q473" i="58"/>
  <c r="Q498" i="58"/>
  <c r="Q523" i="58"/>
  <c r="Q451" i="58"/>
  <c r="Q517" i="58"/>
  <c r="Q478" i="58"/>
  <c r="Q454" i="58"/>
  <c r="Q506" i="58"/>
  <c r="Q484" i="58"/>
  <c r="Q465" i="58"/>
  <c r="Q460" i="58"/>
  <c r="Q493" i="58"/>
  <c r="Q511" i="58"/>
  <c r="Q470" i="58"/>
  <c r="Q514" i="58"/>
  <c r="Q463" i="58"/>
  <c r="Q466" i="58"/>
  <c r="Q476" i="58"/>
  <c r="Q452" i="58"/>
  <c r="Q503" i="58"/>
  <c r="Q479" i="58"/>
  <c r="Q455" i="58"/>
  <c r="Q509" i="58"/>
  <c r="Q490" i="58"/>
  <c r="Q485" i="58"/>
  <c r="Q518" i="58"/>
  <c r="Q462" i="58"/>
  <c r="Q495" i="58"/>
  <c r="Q488" i="58"/>
  <c r="Q491" i="58"/>
  <c r="Q501" i="58"/>
  <c r="Q477" i="58"/>
  <c r="Q467" i="58"/>
  <c r="Q504" i="58"/>
  <c r="Q480" i="58"/>
  <c r="Q456" i="58"/>
  <c r="Q515" i="58"/>
  <c r="Q510" i="58"/>
  <c r="Q487" i="58"/>
  <c r="Q461" i="58"/>
  <c r="Q520" i="58"/>
  <c r="Q464" i="58"/>
  <c r="Q513" i="58"/>
  <c r="Q516" i="58"/>
  <c r="Q502" i="58"/>
  <c r="Q492" i="58"/>
  <c r="Q453" i="58"/>
  <c r="Q505" i="58"/>
  <c r="Q481" i="58"/>
  <c r="Q459" i="58"/>
  <c r="Q468" i="58"/>
  <c r="Q512" i="58"/>
  <c r="Q486" i="58"/>
  <c r="Q489" i="58"/>
  <c r="Q499" i="58"/>
  <c r="Q507" i="58"/>
  <c r="Q469" i="58"/>
  <c r="Q471" i="58"/>
  <c r="Q524" i="58"/>
  <c r="Q472" i="58"/>
  <c r="Q494" i="58"/>
  <c r="Q496" i="58"/>
  <c r="Q458" i="58"/>
  <c r="Q522" i="58"/>
  <c r="Q508" i="58"/>
  <c r="Q497" i="58"/>
  <c r="Q457" i="58"/>
  <c r="Q519" i="58"/>
  <c r="Q521" i="58"/>
  <c r="Q483" i="58"/>
  <c r="Q474" i="58"/>
  <c r="Q482" i="58"/>
  <c r="H942" i="25"/>
  <c r="H959" i="25"/>
  <c r="H16" i="25"/>
  <c r="H33" i="25"/>
  <c r="H275" i="25"/>
  <c r="H292" i="25"/>
  <c r="H313" i="25"/>
  <c r="H330" i="25"/>
  <c r="H423" i="25"/>
  <c r="H440" i="25"/>
  <c r="H461" i="25"/>
  <c r="H478" i="25"/>
  <c r="H571" i="25"/>
  <c r="H588" i="25"/>
  <c r="H646" i="25"/>
  <c r="H663" i="25"/>
  <c r="H719" i="25"/>
  <c r="H736" i="25"/>
  <c r="H794" i="25"/>
  <c r="H811" i="25"/>
  <c r="H867" i="25"/>
  <c r="H884" i="25"/>
  <c r="H978" i="25"/>
  <c r="H995" i="25"/>
  <c r="H1016" i="25"/>
  <c r="H1033" i="25"/>
  <c r="H1126" i="25"/>
  <c r="H1143" i="25"/>
  <c r="H349" i="25"/>
  <c r="H366" i="25"/>
  <c r="H386" i="25"/>
  <c r="H403" i="25"/>
  <c r="H608" i="25"/>
  <c r="H625" i="25"/>
  <c r="H682" i="25"/>
  <c r="H699" i="25"/>
  <c r="H756" i="25"/>
  <c r="H773" i="25"/>
  <c r="H830" i="25"/>
  <c r="H847" i="25"/>
  <c r="H904" i="25"/>
  <c r="H921" i="25"/>
  <c r="H1052" i="25"/>
  <c r="H1069" i="25"/>
  <c r="H1089" i="25"/>
  <c r="H1106" i="25"/>
  <c r="H203" i="25"/>
  <c r="H220" i="25"/>
  <c r="H238" i="25"/>
  <c r="H255" i="25"/>
  <c r="H497" i="25"/>
  <c r="H514" i="25"/>
  <c r="H534" i="25"/>
  <c r="H551" i="25"/>
  <c r="C450" i="11"/>
  <c r="D446" i="11"/>
  <c r="C436" i="11"/>
  <c r="C202" i="11"/>
  <c r="C426" i="11"/>
  <c r="C441" i="11"/>
  <c r="C431" i="11"/>
  <c r="C456" i="11"/>
  <c r="D451" i="11"/>
  <c r="C445" i="11"/>
  <c r="Q107" i="26"/>
  <c r="K126" i="12"/>
  <c r="Q109" i="26"/>
  <c r="K128" i="12"/>
  <c r="P84" i="26"/>
  <c r="J103" i="12"/>
  <c r="P74" i="26"/>
  <c r="J93" i="12"/>
  <c r="P112" i="26"/>
  <c r="J131" i="12"/>
  <c r="P114" i="26"/>
  <c r="J133" i="12"/>
  <c r="P102" i="26"/>
  <c r="J121" i="12"/>
  <c r="P104" i="26"/>
  <c r="J123" i="12"/>
  <c r="P92" i="26"/>
  <c r="J111" i="12"/>
  <c r="P94" i="26"/>
  <c r="J113" i="12"/>
  <c r="P89" i="26"/>
  <c r="J108" i="12"/>
  <c r="P79" i="26"/>
  <c r="J98" i="12"/>
  <c r="P69" i="26"/>
  <c r="J88" i="12"/>
  <c r="J33" i="12"/>
  <c r="P14" i="26"/>
  <c r="Q110" i="26"/>
  <c r="K129" i="12"/>
  <c r="P81" i="26"/>
  <c r="J100" i="12"/>
  <c r="P83" i="26"/>
  <c r="J102" i="12"/>
  <c r="P71" i="26"/>
  <c r="J90" i="12"/>
  <c r="P73" i="26"/>
  <c r="J92" i="12"/>
  <c r="P115" i="26"/>
  <c r="J134" i="12"/>
  <c r="P105" i="26"/>
  <c r="J124" i="12"/>
  <c r="P95" i="26"/>
  <c r="J114" i="12"/>
  <c r="P86" i="26"/>
  <c r="J105" i="12"/>
  <c r="P88" i="26"/>
  <c r="J107" i="12"/>
  <c r="P76" i="26"/>
  <c r="J95" i="12"/>
  <c r="P78" i="26"/>
  <c r="J97" i="12"/>
  <c r="P66" i="26"/>
  <c r="J85" i="12"/>
  <c r="P68" i="26"/>
  <c r="J87" i="12"/>
  <c r="P17" i="26"/>
  <c r="J36" i="12"/>
  <c r="P16" i="26"/>
  <c r="J35" i="12"/>
  <c r="R27" i="26"/>
  <c r="L46" i="12"/>
  <c r="Q25" i="26"/>
  <c r="K44" i="12"/>
  <c r="Q15" i="26"/>
  <c r="K34" i="12"/>
  <c r="R24" i="26"/>
  <c r="L43" i="12"/>
  <c r="R26" i="26"/>
  <c r="L45" i="12"/>
  <c r="Q30" i="26"/>
  <c r="K49" i="12"/>
  <c r="Q28" i="26"/>
  <c r="K47" i="12"/>
  <c r="R35" i="26"/>
  <c r="L54" i="12"/>
  <c r="Q23" i="26"/>
  <c r="K42" i="12"/>
  <c r="R13" i="26"/>
  <c r="L32" i="12"/>
  <c r="C56" i="11"/>
  <c r="C51" i="11"/>
  <c r="C41" i="11"/>
  <c r="L157" i="12"/>
  <c r="L159" i="12"/>
  <c r="L147" i="12"/>
  <c r="L149" i="12"/>
  <c r="L137" i="12"/>
  <c r="L139" i="12"/>
  <c r="L74" i="12"/>
  <c r="L76" i="12"/>
  <c r="L64" i="12"/>
  <c r="L66" i="12"/>
  <c r="L116" i="12"/>
  <c r="L118" i="12"/>
  <c r="L152" i="12"/>
  <c r="L154" i="12"/>
  <c r="L142" i="12"/>
  <c r="L144" i="12"/>
  <c r="L79" i="12"/>
  <c r="L81" i="12"/>
  <c r="L69" i="12"/>
  <c r="L71" i="12"/>
  <c r="L59" i="12"/>
  <c r="L61" i="12"/>
  <c r="M41" i="12"/>
  <c r="M40" i="12"/>
  <c r="M48" i="12"/>
  <c r="M50" i="12"/>
  <c r="M53" i="12"/>
  <c r="M56" i="12"/>
  <c r="N37" i="12"/>
  <c r="L132" i="12"/>
  <c r="L112" i="12"/>
  <c r="L160" i="12"/>
  <c r="L158" i="12"/>
  <c r="L150" i="12"/>
  <c r="L148" i="12"/>
  <c r="L140" i="12"/>
  <c r="L138" i="12"/>
  <c r="L86" i="12"/>
  <c r="L77" i="12"/>
  <c r="L75" i="12"/>
  <c r="L67" i="12"/>
  <c r="L65" i="12"/>
  <c r="L101" i="12"/>
  <c r="N125" i="12"/>
  <c r="N89" i="12"/>
  <c r="M120" i="12"/>
  <c r="M115" i="12"/>
  <c r="M151" i="12"/>
  <c r="M141" i="12"/>
  <c r="M104" i="12"/>
  <c r="M94" i="12"/>
  <c r="M78" i="12"/>
  <c r="M68" i="12"/>
  <c r="M58" i="12"/>
  <c r="N39" i="12"/>
  <c r="M38" i="12"/>
  <c r="M51" i="12"/>
  <c r="M55" i="12"/>
  <c r="N52" i="12"/>
  <c r="M127" i="12"/>
  <c r="M91" i="12"/>
  <c r="M130" i="12"/>
  <c r="M110" i="12"/>
  <c r="M156" i="12"/>
  <c r="M146" i="12"/>
  <c r="M136" i="12"/>
  <c r="M84" i="12"/>
  <c r="M73" i="12"/>
  <c r="M63" i="12"/>
  <c r="M99" i="12"/>
  <c r="L122" i="12"/>
  <c r="L119" i="12"/>
  <c r="L117" i="12"/>
  <c r="L155" i="12"/>
  <c r="L153" i="12"/>
  <c r="L145" i="12"/>
  <c r="L143" i="12"/>
  <c r="L106" i="12"/>
  <c r="L96" i="12"/>
  <c r="L82" i="12"/>
  <c r="L80" i="12"/>
  <c r="L72" i="12"/>
  <c r="L70" i="12"/>
  <c r="L62" i="12"/>
  <c r="L60" i="12"/>
  <c r="C72" i="11"/>
  <c r="C114" i="11"/>
  <c r="C145" i="11"/>
  <c r="C155" i="11"/>
  <c r="C124" i="11"/>
  <c r="C134" i="11"/>
  <c r="C93" i="11"/>
  <c r="C129" i="11"/>
  <c r="C77" i="11"/>
  <c r="C108" i="11"/>
  <c r="C67" i="11"/>
  <c r="C119" i="11"/>
  <c r="C98" i="11"/>
  <c r="C36" i="11"/>
  <c r="H535" i="25" l="1"/>
  <c r="H552" i="25"/>
  <c r="H498" i="25"/>
  <c r="H515" i="25"/>
  <c r="H239" i="25"/>
  <c r="H256" i="25"/>
  <c r="H204" i="25"/>
  <c r="H221" i="25"/>
  <c r="H1090" i="25"/>
  <c r="H1107" i="25"/>
  <c r="H1053" i="25"/>
  <c r="H1070" i="25"/>
  <c r="H905" i="25"/>
  <c r="H922" i="25"/>
  <c r="H831" i="25"/>
  <c r="H848" i="25"/>
  <c r="H757" i="25"/>
  <c r="H774" i="25"/>
  <c r="H683" i="25"/>
  <c r="H700" i="25"/>
  <c r="H609" i="25"/>
  <c r="H626" i="25"/>
  <c r="H387" i="25"/>
  <c r="H404" i="25"/>
  <c r="H350" i="25"/>
  <c r="H367" i="25"/>
  <c r="H1127" i="25"/>
  <c r="H1144" i="25"/>
  <c r="H1017" i="25"/>
  <c r="H1034" i="25"/>
  <c r="H979" i="25"/>
  <c r="H996" i="25"/>
  <c r="H868" i="25"/>
  <c r="H885" i="25"/>
  <c r="H795" i="25"/>
  <c r="H812" i="25"/>
  <c r="H720" i="25"/>
  <c r="H737" i="25"/>
  <c r="H647" i="25"/>
  <c r="H664" i="25"/>
  <c r="H572" i="25"/>
  <c r="H589" i="25"/>
  <c r="H462" i="25"/>
  <c r="H479" i="25"/>
  <c r="H424" i="25"/>
  <c r="H441" i="25"/>
  <c r="H314" i="25"/>
  <c r="H331" i="25"/>
  <c r="H276" i="25"/>
  <c r="H293" i="25"/>
  <c r="H17" i="25"/>
  <c r="H34" i="25"/>
  <c r="H943" i="25"/>
  <c r="H960" i="25"/>
  <c r="C446" i="11"/>
  <c r="C451" i="11"/>
  <c r="S13" i="26"/>
  <c r="M32" i="12"/>
  <c r="R23" i="26"/>
  <c r="L42" i="12"/>
  <c r="S35" i="26"/>
  <c r="M54" i="12"/>
  <c r="R28" i="26"/>
  <c r="L47" i="12"/>
  <c r="R30" i="26"/>
  <c r="L49" i="12"/>
  <c r="S26" i="26"/>
  <c r="M45" i="12"/>
  <c r="S24" i="26"/>
  <c r="M43" i="12"/>
  <c r="R15" i="26"/>
  <c r="L34" i="12"/>
  <c r="R25" i="26"/>
  <c r="L44" i="12"/>
  <c r="S27" i="26"/>
  <c r="M46" i="12"/>
  <c r="Q16" i="26"/>
  <c r="K35" i="12"/>
  <c r="Q17" i="26"/>
  <c r="K36" i="12"/>
  <c r="Q68" i="26"/>
  <c r="K87" i="12"/>
  <c r="Q66" i="26"/>
  <c r="K85" i="12"/>
  <c r="Q78" i="26"/>
  <c r="K97" i="12"/>
  <c r="Q76" i="26"/>
  <c r="K95" i="12"/>
  <c r="Q88" i="26"/>
  <c r="K107" i="12"/>
  <c r="Q86" i="26"/>
  <c r="K105" i="12"/>
  <c r="Q95" i="26"/>
  <c r="K114" i="12"/>
  <c r="Q105" i="26"/>
  <c r="K124" i="12"/>
  <c r="Q115" i="26"/>
  <c r="K134" i="12"/>
  <c r="Q73" i="26"/>
  <c r="K92" i="12"/>
  <c r="Q71" i="26"/>
  <c r="K90" i="12"/>
  <c r="Q83" i="26"/>
  <c r="K102" i="12"/>
  <c r="Q81" i="26"/>
  <c r="K100" i="12"/>
  <c r="R110" i="26"/>
  <c r="L129" i="12"/>
  <c r="Q69" i="26"/>
  <c r="K88" i="12"/>
  <c r="Q79" i="26"/>
  <c r="K98" i="12"/>
  <c r="Q89" i="26"/>
  <c r="K108" i="12"/>
  <c r="Q94" i="26"/>
  <c r="K113" i="12"/>
  <c r="Q92" i="26"/>
  <c r="K111" i="12"/>
  <c r="Q104" i="26"/>
  <c r="K123" i="12"/>
  <c r="Q102" i="26"/>
  <c r="K121" i="12"/>
  <c r="Q114" i="26"/>
  <c r="K133" i="12"/>
  <c r="Q112" i="26"/>
  <c r="K131" i="12"/>
  <c r="Q74" i="26"/>
  <c r="K93" i="12"/>
  <c r="Q84" i="26"/>
  <c r="K103" i="12"/>
  <c r="R109" i="26"/>
  <c r="L128" i="12"/>
  <c r="R107" i="26"/>
  <c r="L126" i="12"/>
  <c r="K33" i="12"/>
  <c r="Q14" i="26"/>
  <c r="M60" i="12"/>
  <c r="M62" i="12"/>
  <c r="M70" i="12"/>
  <c r="M72" i="12"/>
  <c r="M80" i="12"/>
  <c r="M82" i="12"/>
  <c r="M96" i="12"/>
  <c r="M106" i="12"/>
  <c r="M143" i="12"/>
  <c r="M145" i="12"/>
  <c r="M153" i="12"/>
  <c r="M155" i="12"/>
  <c r="M117" i="12"/>
  <c r="M119" i="12"/>
  <c r="M122" i="12"/>
  <c r="N99" i="12"/>
  <c r="N63" i="12"/>
  <c r="N73" i="12"/>
  <c r="N84" i="12"/>
  <c r="N136" i="12"/>
  <c r="N146" i="12"/>
  <c r="N156" i="12"/>
  <c r="N110" i="12"/>
  <c r="N130" i="12"/>
  <c r="N91" i="12"/>
  <c r="N127" i="12"/>
  <c r="P52" i="12"/>
  <c r="O52" i="12"/>
  <c r="N55" i="12"/>
  <c r="N51" i="12"/>
  <c r="N38" i="12"/>
  <c r="P39" i="12"/>
  <c r="O39" i="12"/>
  <c r="N58" i="12"/>
  <c r="N68" i="12"/>
  <c r="N78" i="12"/>
  <c r="N94" i="12"/>
  <c r="N104" i="12"/>
  <c r="N141" i="12"/>
  <c r="N151" i="12"/>
  <c r="N115" i="12"/>
  <c r="N120" i="12"/>
  <c r="P89" i="12"/>
  <c r="O89" i="12"/>
  <c r="P125" i="12"/>
  <c r="O125" i="12"/>
  <c r="M101" i="12"/>
  <c r="M65" i="12"/>
  <c r="M67" i="12"/>
  <c r="M75" i="12"/>
  <c r="M77" i="12"/>
  <c r="M86" i="12"/>
  <c r="M138" i="12"/>
  <c r="M140" i="12"/>
  <c r="M148" i="12"/>
  <c r="M150" i="12"/>
  <c r="M158" i="12"/>
  <c r="M160" i="12"/>
  <c r="M112" i="12"/>
  <c r="M132" i="12"/>
  <c r="P37" i="12"/>
  <c r="O37" i="12"/>
  <c r="N56" i="12"/>
  <c r="N53" i="12"/>
  <c r="N50" i="12"/>
  <c r="N48" i="12"/>
  <c r="N40" i="12"/>
  <c r="N41" i="12"/>
  <c r="M61" i="12"/>
  <c r="M59" i="12"/>
  <c r="M71" i="12"/>
  <c r="M69" i="12"/>
  <c r="M81" i="12"/>
  <c r="M79" i="12"/>
  <c r="M144" i="12"/>
  <c r="M142" i="12"/>
  <c r="M154" i="12"/>
  <c r="M152" i="12"/>
  <c r="M118" i="12"/>
  <c r="M116" i="12"/>
  <c r="M66" i="12"/>
  <c r="M64" i="12"/>
  <c r="M76" i="12"/>
  <c r="M74" i="12"/>
  <c r="M139" i="12"/>
  <c r="M137" i="12"/>
  <c r="M149" i="12"/>
  <c r="M147" i="12"/>
  <c r="M159" i="12"/>
  <c r="M157" i="12"/>
  <c r="H944" i="25" l="1"/>
  <c r="H961" i="25"/>
  <c r="H18" i="25"/>
  <c r="H35" i="25"/>
  <c r="H277" i="25"/>
  <c r="H294" i="25"/>
  <c r="H315" i="25"/>
  <c r="H332" i="25"/>
  <c r="H425" i="25"/>
  <c r="H442" i="25"/>
  <c r="H463" i="25"/>
  <c r="H480" i="25"/>
  <c r="H573" i="25"/>
  <c r="H590" i="25"/>
  <c r="H648" i="25"/>
  <c r="H665" i="25"/>
  <c r="H721" i="25"/>
  <c r="H738" i="25"/>
  <c r="H796" i="25"/>
  <c r="H813" i="25"/>
  <c r="H869" i="25"/>
  <c r="H886" i="25"/>
  <c r="H980" i="25"/>
  <c r="H997" i="25"/>
  <c r="H1018" i="25"/>
  <c r="H1035" i="25"/>
  <c r="H1128" i="25"/>
  <c r="H1145" i="25"/>
  <c r="H351" i="25"/>
  <c r="H368" i="25"/>
  <c r="H388" i="25"/>
  <c r="H405" i="25"/>
  <c r="H610" i="25"/>
  <c r="H627" i="25"/>
  <c r="H684" i="25"/>
  <c r="H701" i="25"/>
  <c r="H758" i="25"/>
  <c r="H775" i="25"/>
  <c r="H832" i="25"/>
  <c r="H849" i="25"/>
  <c r="H906" i="25"/>
  <c r="H923" i="25"/>
  <c r="H1054" i="25"/>
  <c r="H1071" i="25"/>
  <c r="H1091" i="25"/>
  <c r="H1108" i="25"/>
  <c r="H205" i="25"/>
  <c r="H222" i="25"/>
  <c r="H240" i="25"/>
  <c r="H257" i="25"/>
  <c r="H499" i="25"/>
  <c r="H516" i="25"/>
  <c r="H536" i="25"/>
  <c r="H553" i="25"/>
  <c r="S107" i="26"/>
  <c r="M126" i="12"/>
  <c r="S109" i="26"/>
  <c r="M128" i="12"/>
  <c r="R84" i="26"/>
  <c r="L103" i="12"/>
  <c r="R74" i="26"/>
  <c r="L93" i="12"/>
  <c r="R112" i="26"/>
  <c r="L131" i="12"/>
  <c r="R114" i="26"/>
  <c r="L133" i="12"/>
  <c r="R102" i="26"/>
  <c r="L121" i="12"/>
  <c r="R104" i="26"/>
  <c r="L123" i="12"/>
  <c r="R92" i="26"/>
  <c r="L111" i="12"/>
  <c r="R94" i="26"/>
  <c r="L113" i="12"/>
  <c r="R89" i="26"/>
  <c r="L108" i="12"/>
  <c r="R79" i="26"/>
  <c r="L98" i="12"/>
  <c r="R69" i="26"/>
  <c r="L88" i="12"/>
  <c r="S110" i="26"/>
  <c r="M129" i="12"/>
  <c r="R81" i="26"/>
  <c r="L100" i="12"/>
  <c r="R83" i="26"/>
  <c r="L102" i="12"/>
  <c r="R71" i="26"/>
  <c r="L90" i="12"/>
  <c r="R73" i="26"/>
  <c r="L92" i="12"/>
  <c r="R115" i="26"/>
  <c r="L134" i="12"/>
  <c r="R105" i="26"/>
  <c r="L124" i="12"/>
  <c r="R95" i="26"/>
  <c r="L114" i="12"/>
  <c r="R86" i="26"/>
  <c r="L105" i="12"/>
  <c r="R88" i="26"/>
  <c r="L107" i="12"/>
  <c r="R76" i="26"/>
  <c r="L95" i="12"/>
  <c r="R78" i="26"/>
  <c r="L97" i="12"/>
  <c r="R66" i="26"/>
  <c r="L85" i="12"/>
  <c r="R68" i="26"/>
  <c r="L87" i="12"/>
  <c r="R17" i="26"/>
  <c r="L36" i="12"/>
  <c r="R16" i="26"/>
  <c r="L35" i="12"/>
  <c r="T27" i="26"/>
  <c r="N46" i="12"/>
  <c r="S25" i="26"/>
  <c r="M44" i="12"/>
  <c r="S15" i="26"/>
  <c r="M34" i="12"/>
  <c r="T24" i="26"/>
  <c r="N43" i="12"/>
  <c r="T26" i="26"/>
  <c r="N45" i="12"/>
  <c r="S30" i="26"/>
  <c r="M49" i="12"/>
  <c r="S28" i="26"/>
  <c r="M47" i="12"/>
  <c r="T35" i="26"/>
  <c r="N54" i="12"/>
  <c r="S23" i="26"/>
  <c r="M42" i="12"/>
  <c r="N32" i="12"/>
  <c r="T13" i="26"/>
  <c r="R14" i="26"/>
  <c r="L33" i="12"/>
  <c r="N157" i="12"/>
  <c r="N159" i="12"/>
  <c r="N147" i="12"/>
  <c r="N149" i="12"/>
  <c r="N137" i="12"/>
  <c r="N139" i="12"/>
  <c r="N74" i="12"/>
  <c r="N76" i="12"/>
  <c r="N64" i="12"/>
  <c r="N66" i="12"/>
  <c r="N116" i="12"/>
  <c r="N118" i="12"/>
  <c r="N152" i="12"/>
  <c r="N154" i="12"/>
  <c r="N142" i="12"/>
  <c r="N144" i="12"/>
  <c r="N79" i="12"/>
  <c r="N81" i="12"/>
  <c r="N69" i="12"/>
  <c r="N71" i="12"/>
  <c r="N59" i="12"/>
  <c r="N61" i="12"/>
  <c r="P41" i="12"/>
  <c r="O41" i="12"/>
  <c r="P40" i="12"/>
  <c r="O40" i="12"/>
  <c r="P48" i="12"/>
  <c r="O48" i="12"/>
  <c r="P50" i="12"/>
  <c r="O50" i="12"/>
  <c r="P53" i="12"/>
  <c r="O53" i="12"/>
  <c r="P56" i="12"/>
  <c r="O56" i="12"/>
  <c r="N132" i="12"/>
  <c r="N112" i="12"/>
  <c r="N160" i="12"/>
  <c r="N158" i="12"/>
  <c r="N150" i="12"/>
  <c r="N148" i="12"/>
  <c r="N140" i="12"/>
  <c r="N138" i="12"/>
  <c r="N86" i="12"/>
  <c r="N77" i="12"/>
  <c r="N75" i="12"/>
  <c r="N67" i="12"/>
  <c r="N65" i="12"/>
  <c r="N101" i="12"/>
  <c r="P120" i="12"/>
  <c r="O120" i="12"/>
  <c r="P115" i="12"/>
  <c r="O115" i="12"/>
  <c r="P151" i="12"/>
  <c r="O151" i="12"/>
  <c r="P141" i="12"/>
  <c r="O141" i="12"/>
  <c r="P104" i="12"/>
  <c r="O104" i="12"/>
  <c r="P94" i="12"/>
  <c r="O94" i="12"/>
  <c r="P78" i="12"/>
  <c r="O78" i="12"/>
  <c r="P68" i="12"/>
  <c r="O68" i="12"/>
  <c r="P58" i="12"/>
  <c r="O58" i="12"/>
  <c r="P38" i="12"/>
  <c r="O38" i="12"/>
  <c r="P51" i="12"/>
  <c r="O51" i="12"/>
  <c r="P55" i="12"/>
  <c r="O55" i="12"/>
  <c r="P127" i="12"/>
  <c r="O127" i="12"/>
  <c r="P91" i="12"/>
  <c r="O91" i="12"/>
  <c r="P130" i="12"/>
  <c r="O130" i="12"/>
  <c r="P110" i="12"/>
  <c r="O110" i="12"/>
  <c r="P156" i="12"/>
  <c r="O156" i="12"/>
  <c r="P146" i="12"/>
  <c r="O146" i="12"/>
  <c r="P136" i="12"/>
  <c r="O136" i="12"/>
  <c r="P84" i="12"/>
  <c r="O84" i="12"/>
  <c r="P73" i="12"/>
  <c r="O73" i="12"/>
  <c r="P63" i="12"/>
  <c r="O63" i="12"/>
  <c r="P99" i="12"/>
  <c r="O99" i="12"/>
  <c r="N122" i="12"/>
  <c r="N119" i="12"/>
  <c r="N117" i="12"/>
  <c r="N155" i="12"/>
  <c r="N153" i="12"/>
  <c r="N145" i="12"/>
  <c r="N143" i="12"/>
  <c r="N106" i="12"/>
  <c r="N96" i="12"/>
  <c r="N82" i="12"/>
  <c r="N80" i="12"/>
  <c r="N72" i="12"/>
  <c r="N70" i="12"/>
  <c r="N62" i="12"/>
  <c r="N60" i="12"/>
  <c r="H537" i="25" l="1"/>
  <c r="H554" i="25"/>
  <c r="H500" i="25"/>
  <c r="H517" i="25"/>
  <c r="H241" i="25"/>
  <c r="H258" i="25"/>
  <c r="H206" i="25"/>
  <c r="H223" i="25"/>
  <c r="H1092" i="25"/>
  <c r="H1109" i="25"/>
  <c r="H1055" i="25"/>
  <c r="H1072" i="25"/>
  <c r="H907" i="25"/>
  <c r="H924" i="25"/>
  <c r="H833" i="25"/>
  <c r="H850" i="25"/>
  <c r="H759" i="25"/>
  <c r="H776" i="25"/>
  <c r="H685" i="25"/>
  <c r="H702" i="25"/>
  <c r="H611" i="25"/>
  <c r="H628" i="25"/>
  <c r="H389" i="25"/>
  <c r="H406" i="25"/>
  <c r="H352" i="25"/>
  <c r="H369" i="25"/>
  <c r="H1129" i="25"/>
  <c r="H1146" i="25"/>
  <c r="H1019" i="25"/>
  <c r="H1036" i="25"/>
  <c r="H981" i="25"/>
  <c r="H998" i="25"/>
  <c r="H870" i="25"/>
  <c r="H887" i="25"/>
  <c r="H797" i="25"/>
  <c r="H814" i="25"/>
  <c r="H722" i="25"/>
  <c r="H739" i="25"/>
  <c r="H649" i="25"/>
  <c r="H666" i="25"/>
  <c r="H574" i="25"/>
  <c r="H591" i="25"/>
  <c r="H464" i="25"/>
  <c r="H481" i="25"/>
  <c r="H426" i="25"/>
  <c r="H443" i="25"/>
  <c r="H316" i="25"/>
  <c r="H333" i="25"/>
  <c r="H278" i="25"/>
  <c r="H295" i="25"/>
  <c r="H19" i="25"/>
  <c r="H36" i="25"/>
  <c r="H945" i="25"/>
  <c r="H962" i="25"/>
  <c r="S14" i="26"/>
  <c r="M33" i="12"/>
  <c r="T23" i="26"/>
  <c r="N42" i="12"/>
  <c r="U35" i="26"/>
  <c r="P54" i="12" s="1"/>
  <c r="O54" i="12"/>
  <c r="T28" i="26"/>
  <c r="N47" i="12"/>
  <c r="T30" i="26"/>
  <c r="N49" i="12"/>
  <c r="U26" i="26"/>
  <c r="P45" i="12" s="1"/>
  <c r="O45" i="12"/>
  <c r="U24" i="26"/>
  <c r="P43" i="12" s="1"/>
  <c r="O43" i="12"/>
  <c r="T15" i="26"/>
  <c r="N34" i="12"/>
  <c r="T25" i="26"/>
  <c r="N44" i="12"/>
  <c r="U27" i="26"/>
  <c r="P46" i="12" s="1"/>
  <c r="O46" i="12"/>
  <c r="S16" i="26"/>
  <c r="M35" i="12"/>
  <c r="S17" i="26"/>
  <c r="M36" i="12"/>
  <c r="S68" i="26"/>
  <c r="M87" i="12"/>
  <c r="S66" i="26"/>
  <c r="M85" i="12"/>
  <c r="S78" i="26"/>
  <c r="M97" i="12"/>
  <c r="S76" i="26"/>
  <c r="M95" i="12"/>
  <c r="S88" i="26"/>
  <c r="M107" i="12"/>
  <c r="S86" i="26"/>
  <c r="M105" i="12"/>
  <c r="S95" i="26"/>
  <c r="M114" i="12"/>
  <c r="S105" i="26"/>
  <c r="M124" i="12"/>
  <c r="S115" i="26"/>
  <c r="M134" i="12"/>
  <c r="S73" i="26"/>
  <c r="M92" i="12"/>
  <c r="S71" i="26"/>
  <c r="M90" i="12"/>
  <c r="S83" i="26"/>
  <c r="M102" i="12"/>
  <c r="S81" i="26"/>
  <c r="M100" i="12"/>
  <c r="T110" i="26"/>
  <c r="N129" i="12"/>
  <c r="S69" i="26"/>
  <c r="M88" i="12"/>
  <c r="S79" i="26"/>
  <c r="M98" i="12"/>
  <c r="S89" i="26"/>
  <c r="M108" i="12"/>
  <c r="S94" i="26"/>
  <c r="M113" i="12"/>
  <c r="S92" i="26"/>
  <c r="M111" i="12"/>
  <c r="S104" i="26"/>
  <c r="M123" i="12"/>
  <c r="S102" i="26"/>
  <c r="M121" i="12"/>
  <c r="S114" i="26"/>
  <c r="M133" i="12"/>
  <c r="S112" i="26"/>
  <c r="M131" i="12"/>
  <c r="S74" i="26"/>
  <c r="M93" i="12"/>
  <c r="S84" i="26"/>
  <c r="M103" i="12"/>
  <c r="T109" i="26"/>
  <c r="N128" i="12"/>
  <c r="T107" i="26"/>
  <c r="N126" i="12"/>
  <c r="U13" i="26"/>
  <c r="P32" i="12" s="1"/>
  <c r="O32" i="12"/>
  <c r="P101" i="12"/>
  <c r="O101" i="12"/>
  <c r="P65" i="12"/>
  <c r="O65" i="12"/>
  <c r="P67" i="12"/>
  <c r="O67" i="12"/>
  <c r="P75" i="12"/>
  <c r="O75" i="12"/>
  <c r="P77" i="12"/>
  <c r="O77" i="12"/>
  <c r="P86" i="12"/>
  <c r="O86" i="12"/>
  <c r="P138" i="12"/>
  <c r="O138" i="12"/>
  <c r="P140" i="12"/>
  <c r="O140" i="12"/>
  <c r="P148" i="12"/>
  <c r="O148" i="12"/>
  <c r="P150" i="12"/>
  <c r="O150" i="12"/>
  <c r="P158" i="12"/>
  <c r="O158" i="12"/>
  <c r="P160" i="12"/>
  <c r="O160" i="12"/>
  <c r="P112" i="12"/>
  <c r="O112" i="12"/>
  <c r="P132" i="12"/>
  <c r="O132" i="12"/>
  <c r="P61" i="12"/>
  <c r="O61" i="12"/>
  <c r="P59" i="12"/>
  <c r="O59" i="12"/>
  <c r="P71" i="12"/>
  <c r="O71" i="12"/>
  <c r="P69" i="12"/>
  <c r="O69" i="12"/>
  <c r="P81" i="12"/>
  <c r="O81" i="12"/>
  <c r="P79" i="12"/>
  <c r="O79" i="12"/>
  <c r="P144" i="12"/>
  <c r="O144" i="12"/>
  <c r="P142" i="12"/>
  <c r="O142" i="12"/>
  <c r="P154" i="12"/>
  <c r="O154" i="12"/>
  <c r="P152" i="12"/>
  <c r="O152" i="12"/>
  <c r="P118" i="12"/>
  <c r="O118" i="12"/>
  <c r="P116" i="12"/>
  <c r="O116" i="12"/>
  <c r="P66" i="12"/>
  <c r="O66" i="12"/>
  <c r="P64" i="12"/>
  <c r="O64" i="12"/>
  <c r="P76" i="12"/>
  <c r="O76" i="12"/>
  <c r="P74" i="12"/>
  <c r="O74" i="12"/>
  <c r="P139" i="12"/>
  <c r="O139" i="12"/>
  <c r="P137" i="12"/>
  <c r="O137" i="12"/>
  <c r="P149" i="12"/>
  <c r="O149" i="12"/>
  <c r="P147" i="12"/>
  <c r="O147" i="12"/>
  <c r="P159" i="12"/>
  <c r="O159" i="12"/>
  <c r="P157" i="12"/>
  <c r="O157" i="12"/>
  <c r="P60" i="12"/>
  <c r="O60" i="12"/>
  <c r="P62" i="12"/>
  <c r="O62" i="12"/>
  <c r="P70" i="12"/>
  <c r="O70" i="12"/>
  <c r="P72" i="12"/>
  <c r="O72" i="12"/>
  <c r="P80" i="12"/>
  <c r="O80" i="12"/>
  <c r="P82" i="12"/>
  <c r="O82" i="12"/>
  <c r="P96" i="12"/>
  <c r="O96" i="12"/>
  <c r="P106" i="12"/>
  <c r="O106" i="12"/>
  <c r="P143" i="12"/>
  <c r="O143" i="12"/>
  <c r="P145" i="12"/>
  <c r="O145" i="12"/>
  <c r="P153" i="12"/>
  <c r="O153" i="12"/>
  <c r="P155" i="12"/>
  <c r="O155" i="12"/>
  <c r="P117" i="12"/>
  <c r="O117" i="12"/>
  <c r="P119" i="12"/>
  <c r="O119" i="12"/>
  <c r="P122" i="12"/>
  <c r="O122" i="12"/>
  <c r="H946" i="25" l="1"/>
  <c r="H963" i="25"/>
  <c r="H20" i="25"/>
  <c r="H37" i="25"/>
  <c r="H279" i="25"/>
  <c r="H296" i="25"/>
  <c r="H317" i="25"/>
  <c r="H334" i="25"/>
  <c r="H427" i="25"/>
  <c r="H444" i="25"/>
  <c r="H465" i="25"/>
  <c r="H482" i="25"/>
  <c r="H575" i="25"/>
  <c r="H592" i="25"/>
  <c r="H650" i="25"/>
  <c r="H667" i="25"/>
  <c r="H723" i="25"/>
  <c r="H740" i="25"/>
  <c r="H798" i="25"/>
  <c r="H815" i="25"/>
  <c r="H871" i="25"/>
  <c r="H888" i="25"/>
  <c r="H982" i="25"/>
  <c r="H999" i="25"/>
  <c r="H1020" i="25"/>
  <c r="H1037" i="25"/>
  <c r="H1130" i="25"/>
  <c r="H1147" i="25"/>
  <c r="H353" i="25"/>
  <c r="H370" i="25"/>
  <c r="H390" i="25"/>
  <c r="H407" i="25"/>
  <c r="H612" i="25"/>
  <c r="H629" i="25"/>
  <c r="H686" i="25"/>
  <c r="H703" i="25"/>
  <c r="H760" i="25"/>
  <c r="H777" i="25"/>
  <c r="H834" i="25"/>
  <c r="H851" i="25"/>
  <c r="H908" i="25"/>
  <c r="H925" i="25"/>
  <c r="H1056" i="25"/>
  <c r="H1073" i="25"/>
  <c r="H1093" i="25"/>
  <c r="H1110" i="25"/>
  <c r="H207" i="25"/>
  <c r="H224" i="25"/>
  <c r="H242" i="25"/>
  <c r="H259" i="25"/>
  <c r="H501" i="25"/>
  <c r="H518" i="25"/>
  <c r="H538" i="25"/>
  <c r="H555" i="25"/>
  <c r="U107" i="26"/>
  <c r="P126" i="12" s="1"/>
  <c r="O126" i="12"/>
  <c r="U109" i="26"/>
  <c r="P128" i="12" s="1"/>
  <c r="O128" i="12"/>
  <c r="T84" i="26"/>
  <c r="N103" i="12"/>
  <c r="T74" i="26"/>
  <c r="N93" i="12"/>
  <c r="T112" i="26"/>
  <c r="N131" i="12"/>
  <c r="T114" i="26"/>
  <c r="N133" i="12"/>
  <c r="T102" i="26"/>
  <c r="N121" i="12"/>
  <c r="T104" i="26"/>
  <c r="N123" i="12"/>
  <c r="T92" i="26"/>
  <c r="N111" i="12"/>
  <c r="T94" i="26"/>
  <c r="N113" i="12"/>
  <c r="T89" i="26"/>
  <c r="N108" i="12"/>
  <c r="T79" i="26"/>
  <c r="N98" i="12"/>
  <c r="T69" i="26"/>
  <c r="N88" i="12"/>
  <c r="U110" i="26"/>
  <c r="P129" i="12" s="1"/>
  <c r="O129" i="12"/>
  <c r="T81" i="26"/>
  <c r="N100" i="12"/>
  <c r="T83" i="26"/>
  <c r="N102" i="12"/>
  <c r="T71" i="26"/>
  <c r="N90" i="12"/>
  <c r="T73" i="26"/>
  <c r="N92" i="12"/>
  <c r="T115" i="26"/>
  <c r="N134" i="12"/>
  <c r="T105" i="26"/>
  <c r="N124" i="12"/>
  <c r="T95" i="26"/>
  <c r="N114" i="12"/>
  <c r="T86" i="26"/>
  <c r="N105" i="12"/>
  <c r="T88" i="26"/>
  <c r="N107" i="12"/>
  <c r="T76" i="26"/>
  <c r="N95" i="12"/>
  <c r="T78" i="26"/>
  <c r="N97" i="12"/>
  <c r="T66" i="26"/>
  <c r="N85" i="12"/>
  <c r="T68" i="26"/>
  <c r="N87" i="12"/>
  <c r="T17" i="26"/>
  <c r="N36" i="12"/>
  <c r="T16" i="26"/>
  <c r="N35" i="12"/>
  <c r="U25" i="26"/>
  <c r="P44" i="12" s="1"/>
  <c r="O44" i="12"/>
  <c r="U15" i="26"/>
  <c r="P34" i="12" s="1"/>
  <c r="O34" i="12"/>
  <c r="U30" i="26"/>
  <c r="P49" i="12" s="1"/>
  <c r="O49" i="12"/>
  <c r="U28" i="26"/>
  <c r="P47" i="12" s="1"/>
  <c r="O47" i="12"/>
  <c r="U23" i="26"/>
  <c r="P42" i="12" s="1"/>
  <c r="O42" i="12"/>
  <c r="T14" i="26"/>
  <c r="N33" i="12"/>
  <c r="H539" i="25" l="1"/>
  <c r="H556" i="25"/>
  <c r="H502" i="25"/>
  <c r="H519" i="25"/>
  <c r="H243" i="25"/>
  <c r="H260" i="25"/>
  <c r="H208" i="25"/>
  <c r="H226" i="25" s="1"/>
  <c r="H225" i="25"/>
  <c r="H1094" i="25"/>
  <c r="H1111" i="25"/>
  <c r="H1057" i="25"/>
  <c r="H1074" i="25"/>
  <c r="H909" i="25"/>
  <c r="H926" i="25"/>
  <c r="H835" i="25"/>
  <c r="H852" i="25"/>
  <c r="H761" i="25"/>
  <c r="H778" i="25"/>
  <c r="H687" i="25"/>
  <c r="H704" i="25"/>
  <c r="H613" i="25"/>
  <c r="H630" i="25"/>
  <c r="H391" i="25"/>
  <c r="H408" i="25"/>
  <c r="H354" i="25"/>
  <c r="H371" i="25"/>
  <c r="H1131" i="25"/>
  <c r="H1148" i="25"/>
  <c r="H1021" i="25"/>
  <c r="H1038" i="25"/>
  <c r="H983" i="25"/>
  <c r="H1000" i="25"/>
  <c r="H872" i="25"/>
  <c r="H889" i="25"/>
  <c r="H799" i="25"/>
  <c r="H816" i="25"/>
  <c r="H724" i="25"/>
  <c r="H741" i="25"/>
  <c r="H651" i="25"/>
  <c r="H668" i="25"/>
  <c r="H576" i="25"/>
  <c r="H593" i="25"/>
  <c r="H466" i="25"/>
  <c r="H483" i="25"/>
  <c r="H428" i="25"/>
  <c r="H445" i="25"/>
  <c r="H318" i="25"/>
  <c r="H335" i="25"/>
  <c r="H280" i="25"/>
  <c r="H297" i="25"/>
  <c r="H21" i="25"/>
  <c r="H38" i="25"/>
  <c r="H947" i="25"/>
  <c r="H964" i="25"/>
  <c r="O33" i="12"/>
  <c r="U14" i="26"/>
  <c r="P33" i="12" s="1"/>
  <c r="U16" i="26"/>
  <c r="P35" i="12" s="1"/>
  <c r="O35" i="12"/>
  <c r="U17" i="26"/>
  <c r="P36" i="12" s="1"/>
  <c r="O36" i="12"/>
  <c r="U68" i="26"/>
  <c r="P87" i="12" s="1"/>
  <c r="O87" i="12"/>
  <c r="U66" i="26"/>
  <c r="P85" i="12" s="1"/>
  <c r="O85" i="12"/>
  <c r="U78" i="26"/>
  <c r="P97" i="12" s="1"/>
  <c r="O97" i="12"/>
  <c r="U76" i="26"/>
  <c r="P95" i="12" s="1"/>
  <c r="O95" i="12"/>
  <c r="U88" i="26"/>
  <c r="P107" i="12" s="1"/>
  <c r="O107" i="12"/>
  <c r="U86" i="26"/>
  <c r="P105" i="12" s="1"/>
  <c r="O105" i="12"/>
  <c r="U95" i="26"/>
  <c r="P114" i="12" s="1"/>
  <c r="O114" i="12"/>
  <c r="U105" i="26"/>
  <c r="P124" i="12" s="1"/>
  <c r="O124" i="12"/>
  <c r="U115" i="26"/>
  <c r="P134" i="12" s="1"/>
  <c r="O134" i="12"/>
  <c r="U73" i="26"/>
  <c r="P92" i="12" s="1"/>
  <c r="O92" i="12"/>
  <c r="U71" i="26"/>
  <c r="P90" i="12" s="1"/>
  <c r="O90" i="12"/>
  <c r="U83" i="26"/>
  <c r="P102" i="12" s="1"/>
  <c r="O102" i="12"/>
  <c r="U81" i="26"/>
  <c r="P100" i="12" s="1"/>
  <c r="O100" i="12"/>
  <c r="U69" i="26"/>
  <c r="P88" i="12" s="1"/>
  <c r="O88" i="12"/>
  <c r="U79" i="26"/>
  <c r="P98" i="12" s="1"/>
  <c r="O98" i="12"/>
  <c r="U89" i="26"/>
  <c r="P108" i="12" s="1"/>
  <c r="O108" i="12"/>
  <c r="U94" i="26"/>
  <c r="P113" i="12" s="1"/>
  <c r="O113" i="12"/>
  <c r="U92" i="26"/>
  <c r="P111" i="12" s="1"/>
  <c r="O111" i="12"/>
  <c r="U104" i="26"/>
  <c r="P123" i="12" s="1"/>
  <c r="O123" i="12"/>
  <c r="U102" i="26"/>
  <c r="P121" i="12" s="1"/>
  <c r="O121" i="12"/>
  <c r="U114" i="26"/>
  <c r="P133" i="12" s="1"/>
  <c r="O133" i="12"/>
  <c r="U112" i="26"/>
  <c r="P131" i="12" s="1"/>
  <c r="O131" i="12"/>
  <c r="U74" i="26"/>
  <c r="P93" i="12" s="1"/>
  <c r="O93" i="12"/>
  <c r="U84" i="26"/>
  <c r="P103" i="12" s="1"/>
  <c r="O103" i="12"/>
  <c r="H948" i="25" l="1"/>
  <c r="H966" i="25" s="1"/>
  <c r="H965" i="25"/>
  <c r="H22" i="25"/>
  <c r="H39" i="25"/>
  <c r="H281" i="25"/>
  <c r="H298" i="25"/>
  <c r="H319" i="25"/>
  <c r="H337" i="25" s="1"/>
  <c r="H336" i="25"/>
  <c r="H429" i="25"/>
  <c r="H446" i="25"/>
  <c r="H467" i="25"/>
  <c r="H485" i="25" s="1"/>
  <c r="H484" i="25"/>
  <c r="H577" i="25"/>
  <c r="H594" i="25"/>
  <c r="H652" i="25"/>
  <c r="H670" i="25" s="1"/>
  <c r="H669" i="25"/>
  <c r="H725" i="25"/>
  <c r="H742" i="25"/>
  <c r="H800" i="25"/>
  <c r="H818" i="25" s="1"/>
  <c r="H817" i="25"/>
  <c r="H873" i="25"/>
  <c r="H890" i="25"/>
  <c r="H984" i="25"/>
  <c r="H1001" i="25"/>
  <c r="H1022" i="25"/>
  <c r="H1040" i="25" s="1"/>
  <c r="H1039" i="25"/>
  <c r="H1132" i="25"/>
  <c r="H1149" i="25"/>
  <c r="H355" i="25"/>
  <c r="H372" i="25"/>
  <c r="H392" i="25"/>
  <c r="H409" i="25"/>
  <c r="H614" i="25"/>
  <c r="H631" i="25"/>
  <c r="H688" i="25"/>
  <c r="H705" i="25"/>
  <c r="H762" i="25"/>
  <c r="H779" i="25"/>
  <c r="H836" i="25"/>
  <c r="H853" i="25"/>
  <c r="H910" i="25"/>
  <c r="H927" i="25"/>
  <c r="H1058" i="25"/>
  <c r="H1075" i="25"/>
  <c r="H1095" i="25"/>
  <c r="H1112" i="25"/>
  <c r="H244" i="25"/>
  <c r="H261" i="25"/>
  <c r="H503" i="25"/>
  <c r="H520" i="25"/>
  <c r="H540" i="25"/>
  <c r="H557" i="25"/>
  <c r="H541" i="25" l="1"/>
  <c r="H559" i="25" s="1"/>
  <c r="H558" i="25"/>
  <c r="H504" i="25"/>
  <c r="H522" i="25" s="1"/>
  <c r="H521" i="25"/>
  <c r="H245" i="25"/>
  <c r="H263" i="25" s="1"/>
  <c r="H262" i="25"/>
  <c r="H1096" i="25"/>
  <c r="H1114" i="25" s="1"/>
  <c r="H1113" i="25"/>
  <c r="H1059" i="25"/>
  <c r="H1077" i="25" s="1"/>
  <c r="H1076" i="25"/>
  <c r="H911" i="25"/>
  <c r="H929" i="25" s="1"/>
  <c r="H928" i="25"/>
  <c r="H837" i="25"/>
  <c r="H855" i="25" s="1"/>
  <c r="H854" i="25"/>
  <c r="H763" i="25"/>
  <c r="H781" i="25" s="1"/>
  <c r="H780" i="25"/>
  <c r="H689" i="25"/>
  <c r="H707" i="25" s="1"/>
  <c r="H706" i="25"/>
  <c r="H615" i="25"/>
  <c r="H633" i="25" s="1"/>
  <c r="H632" i="25"/>
  <c r="H393" i="25"/>
  <c r="H411" i="25" s="1"/>
  <c r="H410" i="25"/>
  <c r="H356" i="25"/>
  <c r="H374" i="25" s="1"/>
  <c r="H373" i="25"/>
  <c r="H1133" i="25"/>
  <c r="H1151" i="25" s="1"/>
  <c r="H1150" i="25"/>
  <c r="H985" i="25"/>
  <c r="H1003" i="25" s="1"/>
  <c r="H1002" i="25"/>
  <c r="H874" i="25"/>
  <c r="H892" i="25" s="1"/>
  <c r="H891" i="25"/>
  <c r="H726" i="25"/>
  <c r="H744" i="25" s="1"/>
  <c r="H743" i="25"/>
  <c r="H578" i="25"/>
  <c r="H596" i="25" s="1"/>
  <c r="H595" i="25"/>
  <c r="H430" i="25"/>
  <c r="H448" i="25" s="1"/>
  <c r="H447" i="25"/>
  <c r="H282" i="25"/>
  <c r="H300" i="25" s="1"/>
  <c r="H299" i="25"/>
  <c r="H23" i="25"/>
  <c r="H40" i="25"/>
  <c r="H41" i="25" l="1"/>
  <c r="P73" i="24" a="1"/>
  <c r="P73" i="24" s="1"/>
  <c r="M44" i="24" a="1"/>
  <c r="M44" i="24" s="1"/>
  <c r="P76" i="24" a="1"/>
  <c r="P76" i="24" s="1"/>
  <c r="P76" i="56" s="1"/>
  <c r="M47" i="24" a="1"/>
  <c r="M47" i="24" s="1"/>
  <c r="L7" i="24" a="1"/>
  <c r="L7" i="24" s="1"/>
  <c r="H64" i="24" a="1"/>
  <c r="H64" i="24" s="1"/>
  <c r="M21" i="24" a="1"/>
  <c r="M21" i="24" s="1"/>
  <c r="M21" i="56" s="1"/>
  <c r="H67" i="24" a="1"/>
  <c r="H67" i="24" s="1"/>
  <c r="M15" i="24" a="1"/>
  <c r="M15" i="24" s="1"/>
  <c r="F20" i="24" a="1"/>
  <c r="F20" i="24" s="1"/>
  <c r="L54" i="24" a="1"/>
  <c r="L54" i="24" s="1"/>
  <c r="L54" i="56" s="1"/>
  <c r="O30" i="24" a="1"/>
  <c r="O30" i="24" s="1"/>
  <c r="L57" i="24" a="1"/>
  <c r="L57" i="24" s="1"/>
  <c r="L57" i="56" s="1"/>
  <c r="O33" i="24" a="1"/>
  <c r="O33" i="24" s="1"/>
  <c r="G74" i="24" a="1"/>
  <c r="G74" i="24" s="1"/>
  <c r="G74" i="56" s="1"/>
  <c r="D45" i="24" a="1"/>
  <c r="D45" i="24" s="1"/>
  <c r="G29" i="24" a="1"/>
  <c r="G29" i="24" s="1"/>
  <c r="D48" i="24" a="1"/>
  <c r="D48" i="24" s="1"/>
  <c r="G32" i="24" a="1"/>
  <c r="G32" i="24" s="1"/>
  <c r="D17" i="24" a="1"/>
  <c r="D17" i="24" s="1"/>
  <c r="N62" i="24" a="1"/>
  <c r="N62" i="24" s="1"/>
  <c r="D38" i="24" a="1"/>
  <c r="D38" i="24" s="1"/>
  <c r="N65" i="24" a="1"/>
  <c r="N65" i="24" s="1"/>
  <c r="E42" i="24" a="1"/>
  <c r="E42" i="24" s="1"/>
  <c r="H16" i="24" a="1"/>
  <c r="H16" i="24" s="1"/>
  <c r="F52" i="24" a="1"/>
  <c r="F52" i="24" s="1"/>
  <c r="L36" i="24" a="1"/>
  <c r="L36" i="24" s="1"/>
  <c r="L36" i="56" s="1"/>
  <c r="F55" i="24" a="1"/>
  <c r="F55" i="24" s="1"/>
  <c r="L39" i="24" a="1"/>
  <c r="L39" i="24" s="1"/>
  <c r="L39" i="56" s="1"/>
  <c r="P28" i="24" a="1"/>
  <c r="P28" i="24" s="1"/>
  <c r="F67" i="24" a="1"/>
  <c r="F67" i="24" s="1"/>
  <c r="O15" i="24" a="1"/>
  <c r="O15" i="24" s="1"/>
  <c r="F70" i="24" a="1"/>
  <c r="F70" i="24" s="1"/>
  <c r="O9" i="24" a="1"/>
  <c r="O9" i="24" s="1"/>
  <c r="E63" i="24" a="1"/>
  <c r="E63" i="24" s="1"/>
  <c r="H38" i="24" a="1"/>
  <c r="H38" i="24" s="1"/>
  <c r="H38" i="56" s="1"/>
  <c r="E66" i="24" a="1"/>
  <c r="E66" i="24" s="1"/>
  <c r="P42" i="24" a="1"/>
  <c r="P42" i="24" s="1"/>
  <c r="O12" i="24" a="1"/>
  <c r="O12" i="24" s="1"/>
  <c r="G6" i="24" a="1"/>
  <c r="G6" i="24" s="1"/>
  <c r="F15" i="24" a="1"/>
  <c r="F15" i="24" s="1"/>
  <c r="G19" i="24" a="1"/>
  <c r="G19" i="24" s="1"/>
  <c r="D68" i="24" a="1"/>
  <c r="D68" i="24" s="1"/>
  <c r="L14" i="24" a="1"/>
  <c r="L14" i="24" s="1"/>
  <c r="D71" i="24" a="1"/>
  <c r="D71" i="24" s="1"/>
  <c r="L8" i="24" a="1"/>
  <c r="L8" i="24" s="1"/>
  <c r="P63" i="24" a="1"/>
  <c r="P63" i="24" s="1"/>
  <c r="F39" i="24" a="1"/>
  <c r="F39" i="24" s="1"/>
  <c r="P66" i="24" a="1"/>
  <c r="P66" i="24" s="1"/>
  <c r="L44" i="24" a="1"/>
  <c r="L44" i="24" s="1"/>
  <c r="L11" i="24" a="1"/>
  <c r="L11" i="24" s="1"/>
  <c r="D20" i="24" a="1"/>
  <c r="D20" i="24" s="1"/>
  <c r="M48" i="24" a="1"/>
  <c r="M48" i="24" s="1"/>
  <c r="P32" i="24" a="1"/>
  <c r="P32" i="24" s="1"/>
  <c r="M51" i="24" a="1"/>
  <c r="M51" i="24" s="1"/>
  <c r="P31" i="24" a="1"/>
  <c r="P31" i="24" s="1"/>
  <c r="H68" i="24" a="1"/>
  <c r="H68" i="24" s="1"/>
  <c r="M13" i="24" a="1"/>
  <c r="M13" i="24" s="1"/>
  <c r="H71" i="24" a="1"/>
  <c r="H71" i="24" s="1"/>
  <c r="H71" i="56" s="1"/>
  <c r="M7" i="24" a="1"/>
  <c r="M7" i="24" s="1"/>
  <c r="G11" i="24" a="1"/>
  <c r="G11" i="24" s="1"/>
  <c r="O6" i="24" a="1"/>
  <c r="O6" i="24" s="1"/>
  <c r="O55" i="24" a="1"/>
  <c r="O55" i="24" s="1"/>
  <c r="E40" i="24" a="1"/>
  <c r="E40" i="24" s="1"/>
  <c r="O58" i="24" a="1"/>
  <c r="O58" i="24" s="1"/>
  <c r="O58" i="56" s="1"/>
  <c r="G46" i="24" a="1"/>
  <c r="G46" i="24" s="1"/>
  <c r="M75" i="24" a="1"/>
  <c r="M75" i="24" s="1"/>
  <c r="M75" i="56" s="1"/>
  <c r="D28" i="24" a="1"/>
  <c r="D28" i="24" s="1"/>
  <c r="N54" i="24" a="1"/>
  <c r="N54" i="24" s="1"/>
  <c r="N54" i="56" s="1"/>
  <c r="D31" i="24" a="1"/>
  <c r="D31" i="24" s="1"/>
  <c r="F17" i="24" a="1"/>
  <c r="F17" i="24" s="1"/>
  <c r="N66" i="24" a="1"/>
  <c r="N66" i="24" s="1"/>
  <c r="E44" i="24" a="1"/>
  <c r="E44" i="24" s="1"/>
  <c r="N69" i="24" a="1"/>
  <c r="N69" i="24" s="1"/>
  <c r="E50" i="24" a="1"/>
  <c r="E50" i="24" s="1"/>
  <c r="D15" i="24" a="1"/>
  <c r="D15" i="24" s="1"/>
  <c r="F56" i="24" a="1"/>
  <c r="F56" i="24" s="1"/>
  <c r="L40" i="24" a="1"/>
  <c r="L40" i="24" s="1"/>
  <c r="L40" i="56" s="1"/>
  <c r="H25" i="24" a="1"/>
  <c r="H25" i="24" s="1"/>
  <c r="F21" i="24" a="1"/>
  <c r="F21" i="24" s="1"/>
  <c r="H8" i="24" a="1"/>
  <c r="H8" i="24" s="1"/>
  <c r="D19" i="24" a="1"/>
  <c r="D19" i="24" s="1"/>
  <c r="O64" i="24" a="1"/>
  <c r="O64" i="24" s="1"/>
  <c r="N20" i="24" a="1"/>
  <c r="N20" i="24" s="1"/>
  <c r="N20" i="56" s="1"/>
  <c r="O67" i="24" a="1"/>
  <c r="O67" i="24" s="1"/>
  <c r="N14" i="24" a="1"/>
  <c r="N14" i="24" s="1"/>
  <c r="N60" i="24" a="1"/>
  <c r="N60" i="24" s="1"/>
  <c r="D36" i="24" a="1"/>
  <c r="D36" i="24" s="1"/>
  <c r="N63" i="24" a="1"/>
  <c r="N63" i="24" s="1"/>
  <c r="D39" i="24" a="1"/>
  <c r="D39" i="24" s="1"/>
  <c r="N17" i="24" a="1"/>
  <c r="N17" i="24" s="1"/>
  <c r="N17" i="56" s="1"/>
  <c r="N74" i="24" a="1"/>
  <c r="N74" i="24" s="1"/>
  <c r="N74" i="56" s="1"/>
  <c r="H45" i="24" a="1"/>
  <c r="H45" i="24" s="1"/>
  <c r="N29" i="24" a="1"/>
  <c r="N29" i="24" s="1"/>
  <c r="H48" i="24" a="1"/>
  <c r="H48" i="24" s="1"/>
  <c r="L25" i="24" a="1"/>
  <c r="L25" i="24" s="1"/>
  <c r="F65" i="24" a="1"/>
  <c r="F65" i="24" s="1"/>
  <c r="O19" i="24" a="1"/>
  <c r="O19" i="24" s="1"/>
  <c r="F68" i="24" a="1"/>
  <c r="F68" i="24" s="1"/>
  <c r="O13" i="24" a="1"/>
  <c r="O13" i="24" s="1"/>
  <c r="G34" i="24" a="1"/>
  <c r="G34" i="24" s="1"/>
  <c r="N11" i="24" a="1"/>
  <c r="N11" i="24" s="1"/>
  <c r="M52" i="24" a="1"/>
  <c r="M52" i="24" s="1"/>
  <c r="P36" i="24" a="1"/>
  <c r="P36" i="24" s="1"/>
  <c r="P36" i="56" s="1"/>
  <c r="M55" i="24" a="1"/>
  <c r="M55" i="24" s="1"/>
  <c r="E39" i="24" a="1"/>
  <c r="E39" i="24" s="1"/>
  <c r="H72" i="24" a="1"/>
  <c r="H72" i="24" s="1"/>
  <c r="H72" i="56" s="1"/>
  <c r="O24" i="24" a="1"/>
  <c r="O24" i="24" s="1"/>
  <c r="H75" i="24" a="1"/>
  <c r="H75" i="24" s="1"/>
  <c r="H75" i="56" s="1"/>
  <c r="O27" i="24" a="1"/>
  <c r="O27" i="24" s="1"/>
  <c r="L6" i="24" a="1"/>
  <c r="L6" i="24" s="1"/>
  <c r="L63" i="24" a="1"/>
  <c r="L63" i="24" s="1"/>
  <c r="O38" i="24" a="1"/>
  <c r="O38" i="24" s="1"/>
  <c r="O38" i="56" s="1"/>
  <c r="L66" i="24" a="1"/>
  <c r="L66" i="24" s="1"/>
  <c r="N43" i="24" a="1"/>
  <c r="N43" i="24" s="1"/>
  <c r="F10" i="24" a="1"/>
  <c r="F10" i="24" s="1"/>
  <c r="G37" i="24" a="1"/>
  <c r="G37" i="24" s="1"/>
  <c r="G40" i="24" a="1"/>
  <c r="G40" i="24" s="1"/>
  <c r="G40" i="56" s="1"/>
  <c r="H17" i="24" a="1"/>
  <c r="H17" i="24" s="1"/>
  <c r="H17" i="56" s="1"/>
  <c r="G64" i="24" a="1"/>
  <c r="G64" i="24" s="1"/>
  <c r="G67" i="24" a="1"/>
  <c r="G67" i="24" s="1"/>
  <c r="M6" i="24" a="1"/>
  <c r="M6" i="24" s="1"/>
  <c r="E38" i="24" a="1"/>
  <c r="E38" i="24" s="1"/>
  <c r="G42" i="24" a="1"/>
  <c r="G42" i="24" s="1"/>
  <c r="O68" i="24" a="1"/>
  <c r="O68" i="24" s="1"/>
  <c r="O71" i="24" a="1"/>
  <c r="O71" i="24" s="1"/>
  <c r="O71" i="56" s="1"/>
  <c r="L15" i="24" a="1"/>
  <c r="L15" i="24" s="1"/>
  <c r="N50" i="24" a="1"/>
  <c r="N50" i="24" s="1"/>
  <c r="L20" i="24" a="1"/>
  <c r="L20" i="24" s="1"/>
  <c r="L20" i="56" s="1"/>
  <c r="F16" i="24" a="1"/>
  <c r="F16" i="24" s="1"/>
  <c r="N33" i="24" a="1"/>
  <c r="N33" i="24" s="1"/>
  <c r="L33" i="24" a="1"/>
  <c r="L33" i="24" s="1"/>
  <c r="O11" i="24" a="1"/>
  <c r="O11" i="24" s="1"/>
  <c r="M45" i="24" a="1"/>
  <c r="M45" i="24" s="1"/>
  <c r="P29" i="24" a="1"/>
  <c r="P29" i="24" s="1"/>
  <c r="P35" i="24" a="1"/>
  <c r="P35" i="24" s="1"/>
  <c r="P35" i="56" s="1"/>
  <c r="M56" i="24" a="1"/>
  <c r="M56" i="24" s="1"/>
  <c r="M56" i="56" s="1"/>
  <c r="P40" i="24" a="1"/>
  <c r="P40" i="24" s="1"/>
  <c r="P40" i="56" s="1"/>
  <c r="M38" i="24" a="1"/>
  <c r="M38" i="24" s="1"/>
  <c r="M38" i="56" s="1"/>
  <c r="O49" i="24" a="1"/>
  <c r="O49" i="24" s="1"/>
  <c r="O52" i="24" a="1"/>
  <c r="O52" i="24" s="1"/>
  <c r="H20" i="24" a="1"/>
  <c r="H20" i="24" s="1"/>
  <c r="H20" i="56" s="1"/>
  <c r="H22" i="24" a="1"/>
  <c r="H22" i="24" s="1"/>
  <c r="H22" i="56" s="1"/>
  <c r="G10" i="24" a="1"/>
  <c r="G10" i="24" s="1"/>
  <c r="L19" i="24" a="1"/>
  <c r="L19" i="24" s="1"/>
  <c r="E11" i="24" a="1"/>
  <c r="E11" i="24" s="1"/>
  <c r="H57" i="24" a="1"/>
  <c r="H57" i="24" s="1"/>
  <c r="H57" i="56" s="1"/>
  <c r="L43" i="24" a="1"/>
  <c r="L43" i="24" s="1"/>
  <c r="L43" i="56" s="1"/>
  <c r="J18" i="57" s="1" a="1"/>
  <c r="J18" i="57" s="1"/>
  <c r="H61" i="24" a="1"/>
  <c r="H61" i="24" s="1"/>
  <c r="L49" i="24" a="1"/>
  <c r="L49" i="24" s="1"/>
  <c r="G53" i="24" a="1"/>
  <c r="G53" i="24" s="1"/>
  <c r="G53" i="56" s="1"/>
  <c r="M29" i="24" a="1"/>
  <c r="M29" i="24" s="1"/>
  <c r="G56" i="24" a="1"/>
  <c r="G56" i="24" s="1"/>
  <c r="G56" i="56" s="1"/>
  <c r="M32" i="24" a="1"/>
  <c r="M32" i="24" s="1"/>
  <c r="E14" i="24" a="1"/>
  <c r="E14" i="24" s="1"/>
  <c r="G68" i="24" a="1"/>
  <c r="G68" i="24" s="1"/>
  <c r="G47" i="24" a="1"/>
  <c r="G47" i="24" s="1"/>
  <c r="G71" i="24" a="1"/>
  <c r="G71" i="24" s="1"/>
  <c r="G71" i="56" s="1"/>
  <c r="D42" i="24" a="1"/>
  <c r="D42" i="24" s="1"/>
  <c r="G8" i="24" a="1"/>
  <c r="G8" i="24" s="1"/>
  <c r="O57" i="24" a="1"/>
  <c r="O57" i="24" s="1"/>
  <c r="O57" i="56" s="1"/>
  <c r="G44" i="24" a="1"/>
  <c r="G44" i="24" s="1"/>
  <c r="O61" i="24" a="1"/>
  <c r="O61" i="24" s="1"/>
  <c r="G50" i="24" a="1"/>
  <c r="G50" i="24" s="1"/>
  <c r="F13" i="24" a="1"/>
  <c r="F13" i="24" s="1"/>
  <c r="L75" i="24" a="1"/>
  <c r="L75" i="24" s="1"/>
  <c r="L75" i="56" s="1"/>
  <c r="F46" i="24" a="1"/>
  <c r="F46" i="24" s="1"/>
  <c r="L30" i="24" a="1"/>
  <c r="L30" i="24" s="1"/>
  <c r="F49" i="24" a="1"/>
  <c r="F49" i="24" s="1"/>
  <c r="E27" i="24" a="1"/>
  <c r="E27" i="24" s="1"/>
  <c r="D66" i="24" a="1"/>
  <c r="D66" i="24" s="1"/>
  <c r="L18" i="24" a="1"/>
  <c r="L18" i="24" s="1"/>
  <c r="L18" i="56" s="1"/>
  <c r="D69" i="24" a="1"/>
  <c r="D69" i="24" s="1"/>
  <c r="L12" i="24" a="1"/>
  <c r="L12" i="24" s="1"/>
  <c r="D14" i="24" a="1"/>
  <c r="D14" i="24" s="1"/>
  <c r="E56" i="24" a="1"/>
  <c r="E56" i="24" s="1"/>
  <c r="H32" i="24" a="1"/>
  <c r="H32" i="24" s="1"/>
  <c r="E60" i="24" a="1"/>
  <c r="E60" i="24" s="1"/>
  <c r="H35" i="24" a="1"/>
  <c r="H35" i="24" s="1"/>
  <c r="H35" i="56" s="1"/>
  <c r="P75" i="24" a="1"/>
  <c r="P75" i="24" s="1"/>
  <c r="P75" i="56" s="1"/>
  <c r="M46" i="24" a="1"/>
  <c r="M46" i="24" s="1"/>
  <c r="P30" i="24" a="1"/>
  <c r="P30" i="24" s="1"/>
  <c r="M49" i="24" a="1"/>
  <c r="M49" i="24" s="1"/>
  <c r="P33" i="24" a="1"/>
  <c r="P33" i="24" s="1"/>
  <c r="E24" i="24" a="1"/>
  <c r="E24" i="24" s="1"/>
  <c r="M20" i="24" a="1"/>
  <c r="M20" i="24" s="1"/>
  <c r="M20" i="56" s="1"/>
  <c r="G21" i="24" a="1"/>
  <c r="G21" i="24" s="1"/>
  <c r="G21" i="56" s="1"/>
  <c r="P56" i="24" a="1"/>
  <c r="P56" i="24" s="1"/>
  <c r="P56" i="56" s="1"/>
  <c r="F33" i="24" a="1"/>
  <c r="F33" i="24" s="1"/>
  <c r="P60" i="24" a="1"/>
  <c r="P60" i="24" s="1"/>
  <c r="F36" i="24" a="1"/>
  <c r="F36" i="24" s="1"/>
  <c r="N76" i="24" a="1"/>
  <c r="N76" i="24" s="1"/>
  <c r="N76" i="56" s="1"/>
  <c r="H47" i="24" a="1"/>
  <c r="H47" i="24" s="1"/>
  <c r="N31" i="24" a="1"/>
  <c r="N31" i="24" s="1"/>
  <c r="H50" i="24" a="1"/>
  <c r="H50" i="24" s="1"/>
  <c r="N34" i="24" a="1"/>
  <c r="N34" i="24" s="1"/>
  <c r="F19" i="24" a="1"/>
  <c r="F19" i="24" s="1"/>
  <c r="H62" i="24" a="1"/>
  <c r="H62" i="24" s="1"/>
  <c r="L51" i="24" a="1"/>
  <c r="L51" i="24" s="1"/>
  <c r="H65" i="24" a="1"/>
  <c r="H65" i="24" s="1"/>
  <c r="M19" i="24" a="1"/>
  <c r="M19" i="24" s="1"/>
  <c r="G57" i="24" a="1"/>
  <c r="G57" i="24" s="1"/>
  <c r="G57" i="56" s="1"/>
  <c r="M33" i="24" a="1"/>
  <c r="M33" i="24" s="1"/>
  <c r="G61" i="24" a="1"/>
  <c r="G61" i="24" s="1"/>
  <c r="M36" i="24" a="1"/>
  <c r="M36" i="24" s="1"/>
  <c r="M36" i="56" s="1"/>
  <c r="M22" i="24" a="1"/>
  <c r="M22" i="24" s="1"/>
  <c r="M22" i="56" s="1"/>
  <c r="G26" i="24" a="1"/>
  <c r="G26" i="24" s="1"/>
  <c r="M69" i="24" a="1"/>
  <c r="M69" i="24" s="1"/>
  <c r="P10" i="24" a="1"/>
  <c r="P10" i="24" s="1"/>
  <c r="M72" i="24" a="1"/>
  <c r="M72" i="24" s="1"/>
  <c r="M72" i="56" s="1"/>
  <c r="D25" i="24" a="1"/>
  <c r="D25" i="24" s="1"/>
  <c r="L65" i="24" a="1"/>
  <c r="L65" i="24" s="1"/>
  <c r="O40" i="24" a="1"/>
  <c r="O40" i="24" s="1"/>
  <c r="O40" i="56" s="1"/>
  <c r="L68" i="24" a="1"/>
  <c r="L68" i="24" s="1"/>
  <c r="N47" i="24" a="1"/>
  <c r="N47" i="24" s="1"/>
  <c r="P7" i="24" a="1"/>
  <c r="P7" i="24" s="1"/>
  <c r="H6" i="24" a="1"/>
  <c r="H6" i="24" s="1"/>
  <c r="F50" i="24" a="1"/>
  <c r="F50" i="24" s="1"/>
  <c r="L34" i="24" a="1"/>
  <c r="L34" i="24" s="1"/>
  <c r="F53" i="24" a="1"/>
  <c r="F53" i="24" s="1"/>
  <c r="E35" i="24" a="1"/>
  <c r="E35" i="24" s="1"/>
  <c r="D70" i="24" a="1"/>
  <c r="D70" i="24" s="1"/>
  <c r="L10" i="24" a="1"/>
  <c r="L10" i="24" s="1"/>
  <c r="H46" i="24" a="1"/>
  <c r="H46" i="24" s="1"/>
  <c r="L37" i="24" a="1"/>
  <c r="L37" i="24" s="1"/>
  <c r="E28" i="24" a="1"/>
  <c r="E28" i="24" s="1"/>
  <c r="F11" i="24" a="1"/>
  <c r="F11" i="24" s="1"/>
  <c r="N53" i="24" a="1"/>
  <c r="N53" i="24" s="1"/>
  <c r="N53" i="56" s="1"/>
  <c r="D30" i="24" a="1"/>
  <c r="D30" i="24" s="1"/>
  <c r="N56" i="24" a="1"/>
  <c r="N56" i="24" s="1"/>
  <c r="N56" i="56" s="1"/>
  <c r="D33" i="24" a="1"/>
  <c r="D33" i="24" s="1"/>
  <c r="L73" i="24" a="1"/>
  <c r="L73" i="24" s="1"/>
  <c r="F44" i="24" a="1"/>
  <c r="F44" i="24" s="1"/>
  <c r="L76" i="24" a="1"/>
  <c r="L76" i="24" s="1"/>
  <c r="L76" i="56" s="1"/>
  <c r="F47" i="24" a="1"/>
  <c r="F47" i="24" s="1"/>
  <c r="L31" i="24" a="1"/>
  <c r="L31" i="24" s="1"/>
  <c r="E13" i="24" a="1"/>
  <c r="E13" i="24" s="1"/>
  <c r="F58" i="24" a="1"/>
  <c r="F58" i="24" s="1"/>
  <c r="E45" i="24" a="1"/>
  <c r="E45" i="24" s="1"/>
  <c r="F62" i="24" a="1"/>
  <c r="F62" i="24" s="1"/>
  <c r="E51" i="24" a="1"/>
  <c r="E51" i="24" s="1"/>
  <c r="E54" i="24" a="1"/>
  <c r="E54" i="24" s="1"/>
  <c r="H30" i="24" a="1"/>
  <c r="H30" i="24" s="1"/>
  <c r="E57" i="24" a="1"/>
  <c r="E57" i="24" s="1"/>
  <c r="H33" i="24" a="1"/>
  <c r="H33" i="24" s="1"/>
  <c r="G12" i="24" a="1"/>
  <c r="G12" i="24" s="1"/>
  <c r="P26" i="24" a="1"/>
  <c r="P26" i="24" s="1"/>
  <c r="H66" i="24" a="1"/>
  <c r="H66" i="24" s="1"/>
  <c r="M17" i="24" a="1"/>
  <c r="M17" i="24" s="1"/>
  <c r="M17" i="56" s="1"/>
  <c r="H69" i="24" a="1"/>
  <c r="H69" i="24" s="1"/>
  <c r="M11" i="24" a="1"/>
  <c r="M11" i="24" s="1"/>
  <c r="M37" i="24" a="1"/>
  <c r="M37" i="24" s="1"/>
  <c r="M40" i="24" a="1"/>
  <c r="M40" i="24" s="1"/>
  <c r="M40" i="56" s="1"/>
  <c r="G76" i="24" a="1"/>
  <c r="G76" i="24" s="1"/>
  <c r="G76" i="56" s="1"/>
  <c r="G31" i="24" a="1"/>
  <c r="G31" i="24" s="1"/>
  <c r="N28" i="24" a="1"/>
  <c r="N28" i="24" s="1"/>
  <c r="N16" i="24" a="1"/>
  <c r="N16" i="24" s="1"/>
  <c r="N10" i="24" a="1"/>
  <c r="N10" i="24" s="1"/>
  <c r="E9" i="24" a="1"/>
  <c r="E9" i="24" s="1"/>
  <c r="H13" i="24" a="1"/>
  <c r="H13" i="24" s="1"/>
  <c r="E32" i="24" a="1"/>
  <c r="E32" i="24" s="1"/>
  <c r="G30" i="24" a="1"/>
  <c r="G30" i="24" s="1"/>
  <c r="P14" i="24" a="1"/>
  <c r="P14" i="24" s="1"/>
  <c r="P8" i="24" a="1"/>
  <c r="P8" i="24" s="1"/>
  <c r="N57" i="24" a="1"/>
  <c r="N57" i="24" s="1"/>
  <c r="N57" i="56" s="1"/>
  <c r="N61" i="24" a="1"/>
  <c r="N61" i="24" s="1"/>
  <c r="G25" i="24" a="1"/>
  <c r="G25" i="24" s="1"/>
  <c r="L32" i="24" a="1"/>
  <c r="L32" i="24" s="1"/>
  <c r="L35" i="24" a="1"/>
  <c r="L35" i="24" s="1"/>
  <c r="L35" i="56" s="1"/>
  <c r="P65" i="24" a="1"/>
  <c r="P65" i="24" s="1"/>
  <c r="P68" i="24" a="1"/>
  <c r="P68" i="24" s="1"/>
  <c r="E18" i="24" a="1"/>
  <c r="E18" i="24" s="1"/>
  <c r="N39" i="24" a="1"/>
  <c r="N39" i="24" s="1"/>
  <c r="N39" i="56" s="1"/>
  <c r="L45" i="24" a="1"/>
  <c r="L45" i="24" s="1"/>
  <c r="D9" i="24" a="1"/>
  <c r="D9" i="24" s="1"/>
  <c r="M9" i="24" a="1"/>
  <c r="M9" i="24" s="1"/>
  <c r="O25" i="24" a="1"/>
  <c r="O25" i="24" s="1"/>
  <c r="G43" i="24" a="1"/>
  <c r="G43" i="24" s="1"/>
  <c r="G49" i="24" a="1"/>
  <c r="G49" i="24" s="1"/>
  <c r="D16" i="24" a="1"/>
  <c r="D16" i="24" s="1"/>
  <c r="F8" i="24" a="1"/>
  <c r="F8" i="24" s="1"/>
  <c r="E26" i="24" a="1"/>
  <c r="E26" i="24" s="1"/>
  <c r="P21" i="24" a="1"/>
  <c r="P21" i="24" s="1"/>
  <c r="P21" i="56" s="1"/>
  <c r="P24" i="24" a="1"/>
  <c r="P24" i="24" s="1"/>
  <c r="D35" i="24" a="1"/>
  <c r="D35" i="24" s="1"/>
  <c r="L21" i="24" a="1"/>
  <c r="L21" i="24" s="1"/>
  <c r="L21" i="56" s="1"/>
  <c r="P20" i="24" a="1"/>
  <c r="P20" i="24" s="1"/>
  <c r="P20" i="56" s="1"/>
  <c r="O35" i="24" a="1"/>
  <c r="O35" i="24" s="1"/>
  <c r="O35" i="56" s="1"/>
  <c r="L74" i="24" a="1"/>
  <c r="L74" i="24" s="1"/>
  <c r="L74" i="56" s="1"/>
  <c r="N67" i="24" a="1"/>
  <c r="N67" i="24" s="1"/>
  <c r="D76" i="24" a="1"/>
  <c r="D76" i="24" s="1"/>
  <c r="F71" i="24" a="1"/>
  <c r="F71" i="24" s="1"/>
  <c r="O7" i="24" a="1"/>
  <c r="O7" i="24" s="1"/>
  <c r="F74" i="24" a="1"/>
  <c r="F74" i="24" s="1"/>
  <c r="M26" i="24" a="1"/>
  <c r="M26" i="24" s="1"/>
  <c r="E67" i="24" a="1"/>
  <c r="E67" i="24" s="1"/>
  <c r="P44" i="24" a="1"/>
  <c r="P44" i="24" s="1"/>
  <c r="E70" i="24" a="1"/>
  <c r="E70" i="24" s="1"/>
  <c r="P50" i="24" a="1"/>
  <c r="P50" i="24" s="1"/>
  <c r="E25" i="24" a="1"/>
  <c r="E25" i="24" s="1"/>
  <c r="E10" i="24" a="1"/>
  <c r="E10" i="24" s="1"/>
  <c r="O51" i="24" a="1"/>
  <c r="O51" i="24" s="1"/>
  <c r="E36" i="24" a="1"/>
  <c r="E36" i="24" s="1"/>
  <c r="O54" i="24" a="1"/>
  <c r="O54" i="24" s="1"/>
  <c r="O54" i="56" s="1"/>
  <c r="G38" i="24" a="1"/>
  <c r="G38" i="24" s="1"/>
  <c r="G38" i="56" s="1"/>
  <c r="M71" i="24" a="1"/>
  <c r="M71" i="24" s="1"/>
  <c r="M71" i="56" s="1"/>
  <c r="D24" i="24" a="1"/>
  <c r="D24" i="24" s="1"/>
  <c r="M74" i="24" a="1"/>
  <c r="M74" i="24" s="1"/>
  <c r="M74" i="56" s="1"/>
  <c r="D27" i="24" a="1"/>
  <c r="D27" i="24" s="1"/>
  <c r="H9" i="24" a="1"/>
  <c r="H9" i="24" s="1"/>
  <c r="H14" i="24" a="1"/>
  <c r="H14" i="24" s="1"/>
  <c r="D60" i="24" a="1"/>
  <c r="D60" i="24" s="1"/>
  <c r="N46" i="24" a="1"/>
  <c r="N46" i="24" s="1"/>
  <c r="D63" i="24" a="1"/>
  <c r="D63" i="24" s="1"/>
  <c r="N52" i="24" a="1"/>
  <c r="N52" i="24" s="1"/>
  <c r="P54" i="24" a="1"/>
  <c r="P54" i="24" s="1"/>
  <c r="P54" i="56" s="1"/>
  <c r="F31" i="24" a="1"/>
  <c r="F31" i="24" s="1"/>
  <c r="P57" i="24" a="1"/>
  <c r="P57" i="24" s="1"/>
  <c r="P57" i="56" s="1"/>
  <c r="F34" i="24" a="1"/>
  <c r="F34" i="24" s="1"/>
  <c r="D11" i="24" a="1"/>
  <c r="D11" i="24" s="1"/>
  <c r="P69" i="24" a="1"/>
  <c r="P69" i="24" s="1"/>
  <c r="L50" i="24" a="1"/>
  <c r="L50" i="24" s="1"/>
  <c r="P72" i="24" a="1"/>
  <c r="P72" i="24" s="1"/>
  <c r="P72" i="56" s="1"/>
  <c r="M43" i="24" a="1"/>
  <c r="M43" i="24" s="1"/>
  <c r="M18" i="24" a="1"/>
  <c r="M18" i="24" s="1"/>
  <c r="M18" i="56" s="1"/>
  <c r="H60" i="24" a="1"/>
  <c r="H60" i="24" s="1"/>
  <c r="L47" i="24" a="1"/>
  <c r="L47" i="24" s="1"/>
  <c r="H63" i="24" a="1"/>
  <c r="H63" i="24" s="1"/>
  <c r="E7" i="24" a="1"/>
  <c r="E7" i="24" s="1"/>
  <c r="L9" i="24" a="1"/>
  <c r="L9" i="24" s="1"/>
  <c r="E20" i="24" a="1"/>
  <c r="E20" i="24" s="1"/>
  <c r="F6" i="24" a="1"/>
  <c r="F6" i="24" s="1"/>
  <c r="N70" i="24" a="1"/>
  <c r="N70" i="24" s="1"/>
  <c r="E52" i="24" a="1"/>
  <c r="E52" i="24" s="1"/>
  <c r="N73" i="24" a="1"/>
  <c r="N73" i="24" s="1"/>
  <c r="H44" i="24" a="1"/>
  <c r="H44" i="24" s="1"/>
  <c r="O16" i="24" a="1"/>
  <c r="O16" i="24" s="1"/>
  <c r="F61" i="24" a="1"/>
  <c r="F61" i="24" s="1"/>
  <c r="E49" i="24" a="1"/>
  <c r="E49" i="24" s="1"/>
  <c r="F64" i="24" a="1"/>
  <c r="F64" i="24" s="1"/>
  <c r="O21" i="24" a="1"/>
  <c r="O21" i="24" s="1"/>
  <c r="O21" i="56" s="1"/>
  <c r="L24" i="24" a="1"/>
  <c r="L24" i="24" s="1"/>
  <c r="F75" i="24" a="1"/>
  <c r="F75" i="24" s="1"/>
  <c r="M27" i="24" a="1"/>
  <c r="M27" i="24" s="1"/>
  <c r="G54" i="24" a="1"/>
  <c r="G54" i="24" s="1"/>
  <c r="G54" i="56" s="1"/>
  <c r="M30" i="24" a="1"/>
  <c r="M30" i="24" s="1"/>
  <c r="E71" i="24" a="1"/>
  <c r="E71" i="24" s="1"/>
  <c r="P52" i="24" a="1"/>
  <c r="P52" i="24" s="1"/>
  <c r="E74" i="24" a="1"/>
  <c r="E74" i="24" s="1"/>
  <c r="O44" i="24" a="1"/>
  <c r="O44" i="24" s="1"/>
  <c r="E29" i="24" a="1"/>
  <c r="E29" i="24" s="1"/>
  <c r="G14" i="24" a="1"/>
  <c r="G14" i="24" s="1"/>
  <c r="L58" i="24" a="1"/>
  <c r="L58" i="24" s="1"/>
  <c r="L58" i="56" s="1"/>
  <c r="O34" i="24" a="1"/>
  <c r="O34" i="24" s="1"/>
  <c r="L62" i="24" a="1"/>
  <c r="L62" i="24" s="1"/>
  <c r="O37" i="24" a="1"/>
  <c r="O37" i="24" s="1"/>
  <c r="L28" i="24" a="1"/>
  <c r="L28" i="24" s="1"/>
  <c r="D49" i="24" a="1"/>
  <c r="D49" i="24" s="1"/>
  <c r="G33" i="24" a="1"/>
  <c r="G33" i="24" s="1"/>
  <c r="D52" i="24" a="1"/>
  <c r="D52" i="24" s="1"/>
  <c r="G36" i="24" a="1"/>
  <c r="G36" i="24" s="1"/>
  <c r="G36" i="56" s="1"/>
  <c r="O22" i="24" a="1"/>
  <c r="O22" i="24" s="1"/>
  <c r="O22" i="56" s="1"/>
  <c r="D64" i="24" a="1"/>
  <c r="D64" i="24" s="1"/>
  <c r="L22" i="24" a="1"/>
  <c r="L22" i="24" s="1"/>
  <c r="L22" i="56" s="1"/>
  <c r="D67" i="24" a="1"/>
  <c r="D67" i="24" s="1"/>
  <c r="L16" i="24" a="1"/>
  <c r="L16" i="24" s="1"/>
  <c r="P58" i="24" a="1"/>
  <c r="P58" i="24" s="1"/>
  <c r="P58" i="56" s="1"/>
  <c r="F35" i="24" a="1"/>
  <c r="F35" i="24" s="1"/>
  <c r="D73" i="24" a="1"/>
  <c r="D73" i="24" s="1"/>
  <c r="E15" i="24" a="1"/>
  <c r="E15" i="24" s="1"/>
  <c r="P19" i="24" a="1"/>
  <c r="P19" i="24" s="1"/>
  <c r="F7" i="24" a="1"/>
  <c r="F7" i="24" s="1"/>
  <c r="L67" i="24" a="1"/>
  <c r="L67" i="24" s="1"/>
  <c r="N45" i="24" a="1"/>
  <c r="N45" i="24" s="1"/>
  <c r="L70" i="24" a="1"/>
  <c r="L70" i="24" s="1"/>
  <c r="N51" i="24" a="1"/>
  <c r="N51" i="24" s="1"/>
  <c r="H11" i="24" a="1"/>
  <c r="H11" i="24" s="1"/>
  <c r="D57" i="24" a="1"/>
  <c r="D57" i="24" s="1"/>
  <c r="N42" i="24" a="1"/>
  <c r="N42" i="24" s="1"/>
  <c r="D61" i="24" a="1"/>
  <c r="D61" i="24" s="1"/>
  <c r="N48" i="24" a="1"/>
  <c r="N48" i="24" s="1"/>
  <c r="O18" i="24" a="1"/>
  <c r="O18" i="24" s="1"/>
  <c r="O18" i="56" s="1"/>
  <c r="D72" i="24" a="1"/>
  <c r="D72" i="24" s="1"/>
  <c r="H24" i="24" a="1"/>
  <c r="H24" i="24" s="1"/>
  <c r="D75" i="24" a="1"/>
  <c r="D75" i="24" s="1"/>
  <c r="H27" i="24" a="1"/>
  <c r="H27" i="24" s="1"/>
  <c r="P67" i="24" a="1"/>
  <c r="P67" i="24" s="1"/>
  <c r="L46" i="24" a="1"/>
  <c r="L46" i="24" s="1"/>
  <c r="P70" i="24" a="1"/>
  <c r="P70" i="24" s="1"/>
  <c r="L52" i="24" a="1"/>
  <c r="L52" i="24" s="1"/>
  <c r="P25" i="24" a="1"/>
  <c r="P25" i="24" s="1"/>
  <c r="F14" i="24" a="1"/>
  <c r="F14" i="24" s="1"/>
  <c r="G55" i="24" a="1"/>
  <c r="G55" i="24" s="1"/>
  <c r="M31" i="24" a="1"/>
  <c r="M31" i="24" s="1"/>
  <c r="G58" i="24" a="1"/>
  <c r="G58" i="24" s="1"/>
  <c r="G58" i="56" s="1"/>
  <c r="M34" i="24" a="1"/>
  <c r="M34" i="24" s="1"/>
  <c r="E75" i="24" a="1"/>
  <c r="E75" i="24" s="1"/>
  <c r="O45" i="24" a="1"/>
  <c r="O45" i="24" s="1"/>
  <c r="E30" i="24" a="1"/>
  <c r="E30" i="24" s="1"/>
  <c r="O48" i="24" a="1"/>
  <c r="O48" i="24" s="1"/>
  <c r="E33" i="24" a="1"/>
  <c r="E33" i="24" s="1"/>
  <c r="F22" i="24" a="1"/>
  <c r="F22" i="24" s="1"/>
  <c r="O60" i="24" a="1"/>
  <c r="O60" i="24" s="1"/>
  <c r="G48" i="24" a="1"/>
  <c r="G48" i="24" s="1"/>
  <c r="O63" i="24" a="1"/>
  <c r="O63" i="24" s="1"/>
  <c r="N22" i="24" a="1"/>
  <c r="N22" i="24" s="1"/>
  <c r="N22" i="56" s="1"/>
  <c r="D53" i="24" a="1"/>
  <c r="D53" i="24" s="1"/>
  <c r="D56" i="24" a="1"/>
  <c r="D56" i="24" s="1"/>
  <c r="G18" i="24" a="1"/>
  <c r="G18" i="24" s="1"/>
  <c r="G18" i="56" s="1"/>
  <c r="E8" i="24" a="1"/>
  <c r="E8" i="24" s="1"/>
  <c r="M39" i="24" a="1"/>
  <c r="M39" i="24" s="1"/>
  <c r="M39" i="56" s="1"/>
  <c r="G45" i="24" a="1"/>
  <c r="G45" i="24" s="1"/>
  <c r="O53" i="24" a="1"/>
  <c r="O53" i="24" s="1"/>
  <c r="O53" i="56" s="1"/>
  <c r="O56" i="24" a="1"/>
  <c r="O56" i="24" s="1"/>
  <c r="O56" i="56" s="1"/>
  <c r="H21" i="24" a="1"/>
  <c r="H21" i="24" s="1"/>
  <c r="H21" i="56" s="1"/>
  <c r="N12" i="24" a="1"/>
  <c r="N12" i="24" s="1"/>
  <c r="F24" i="24" a="1"/>
  <c r="F24" i="24" s="1"/>
  <c r="D62" i="24" a="1"/>
  <c r="D62" i="24" s="1"/>
  <c r="D65" i="24" a="1"/>
  <c r="D65" i="24" s="1"/>
  <c r="P11" i="24" a="1"/>
  <c r="P11" i="24" s="1"/>
  <c r="H49" i="24" a="1"/>
  <c r="H49" i="24" s="1"/>
  <c r="H52" i="24" a="1"/>
  <c r="H52" i="24" s="1"/>
  <c r="F69" i="24" a="1"/>
  <c r="F69" i="24" s="1"/>
  <c r="F72" i="24" a="1"/>
  <c r="F72" i="24" s="1"/>
  <c r="M24" i="24" a="1"/>
  <c r="M24" i="24" s="1"/>
  <c r="F18" i="24" a="1"/>
  <c r="F18" i="24" s="1"/>
  <c r="G60" i="24" a="1"/>
  <c r="G60" i="24" s="1"/>
  <c r="M35" i="24" a="1"/>
  <c r="M35" i="24" s="1"/>
  <c r="M35" i="56" s="1"/>
  <c r="G63" i="24" a="1"/>
  <c r="G63" i="24" s="1"/>
  <c r="H18" i="24" a="1"/>
  <c r="H18" i="24" s="1"/>
  <c r="H18" i="56" s="1"/>
  <c r="E34" i="24" a="1"/>
  <c r="E34" i="24" s="1"/>
  <c r="E37" i="24" a="1"/>
  <c r="E37" i="24" s="1"/>
  <c r="D10" i="24" a="1"/>
  <c r="D10" i="24" s="1"/>
  <c r="P27" i="24" a="1"/>
  <c r="P27" i="24" s="1"/>
  <c r="N75" i="24" a="1"/>
  <c r="N75" i="24" s="1"/>
  <c r="N75" i="56" s="1"/>
  <c r="N25" i="24" a="1"/>
  <c r="N25" i="24" s="1"/>
  <c r="E61" i="24" a="1"/>
  <c r="E61" i="24" s="1"/>
  <c r="H36" i="24" a="1"/>
  <c r="H36" i="24" s="1"/>
  <c r="H36" i="56" s="1"/>
  <c r="E64" i="24" a="1"/>
  <c r="E64" i="24" s="1"/>
  <c r="H39" i="24" a="1"/>
  <c r="H39" i="24" s="1"/>
  <c r="H39" i="56" s="1"/>
  <c r="F12" i="24" a="1"/>
  <c r="F12" i="24" s="1"/>
  <c r="M50" i="24" a="1"/>
  <c r="M50" i="24" s="1"/>
  <c r="P34" i="24" a="1"/>
  <c r="P34" i="24" s="1"/>
  <c r="M53" i="24" a="1"/>
  <c r="M53" i="24" s="1"/>
  <c r="M53" i="56" s="1"/>
  <c r="P37" i="24" a="1"/>
  <c r="P37" i="24" s="1"/>
  <c r="P9" i="24" a="1"/>
  <c r="P9" i="24" s="1"/>
  <c r="M65" i="24" a="1"/>
  <c r="M65" i="24" s="1"/>
  <c r="P18" i="24" a="1"/>
  <c r="P18" i="24" s="1"/>
  <c r="P18" i="56" s="1"/>
  <c r="M68" i="24" a="1"/>
  <c r="M68" i="24" s="1"/>
  <c r="P12" i="24" a="1"/>
  <c r="P12" i="24" s="1"/>
  <c r="L61" i="24" a="1"/>
  <c r="L61" i="24" s="1"/>
  <c r="L61" i="56" s="1"/>
  <c r="K18" i="57" s="1" a="1"/>
  <c r="K18" i="57" s="1"/>
  <c r="O36" i="24" a="1"/>
  <c r="O36" i="24" s="1"/>
  <c r="O36" i="56" s="1"/>
  <c r="L64" i="24" a="1"/>
  <c r="L64" i="24" s="1"/>
  <c r="O39" i="24" a="1"/>
  <c r="O39" i="24" s="1"/>
  <c r="O39" i="56" s="1"/>
  <c r="P15" i="24" a="1"/>
  <c r="P15" i="24" s="1"/>
  <c r="G9" i="24" a="1"/>
  <c r="G9" i="24" s="1"/>
  <c r="O72" i="24" a="1"/>
  <c r="O72" i="24" s="1"/>
  <c r="O72" i="56" s="1"/>
  <c r="F25" i="24" a="1"/>
  <c r="F25" i="24" s="1"/>
  <c r="O75" i="24" a="1"/>
  <c r="O75" i="24" s="1"/>
  <c r="O75" i="56" s="1"/>
  <c r="F28" i="24" a="1"/>
  <c r="F28" i="24" s="1"/>
  <c r="N68" i="24" a="1"/>
  <c r="N68" i="24" s="1"/>
  <c r="E48" i="24" a="1"/>
  <c r="E48" i="24" s="1"/>
  <c r="N71" i="24" a="1"/>
  <c r="N71" i="24" s="1"/>
  <c r="N71" i="56" s="1"/>
  <c r="H42" i="24" a="1"/>
  <c r="H42" i="24" s="1"/>
  <c r="N26" i="24" a="1"/>
  <c r="N26" i="24" s="1"/>
  <c r="O8" i="24" a="1"/>
  <c r="O8" i="24" s="1"/>
  <c r="H53" i="24" a="1"/>
  <c r="H53" i="24" s="1"/>
  <c r="H53" i="56" s="1"/>
  <c r="N37" i="24" a="1"/>
  <c r="N37" i="24" s="1"/>
  <c r="H56" i="24" a="1"/>
  <c r="H56" i="24" s="1"/>
  <c r="H56" i="56" s="1"/>
  <c r="N40" i="24" a="1"/>
  <c r="N40" i="24" s="1"/>
  <c r="N40" i="56" s="1"/>
  <c r="F73" i="24" a="1"/>
  <c r="F73" i="24" s="1"/>
  <c r="M25" i="24" a="1"/>
  <c r="M25" i="24" s="1"/>
  <c r="F76" i="24" a="1"/>
  <c r="F76" i="24" s="1"/>
  <c r="M28" i="24" a="1"/>
  <c r="M28" i="24" s="1"/>
  <c r="E22" i="24" a="1"/>
  <c r="E22" i="24" s="1"/>
  <c r="D7" i="24" a="1"/>
  <c r="D7" i="24" s="1"/>
  <c r="L29" i="24" a="1"/>
  <c r="L29" i="24" s="1"/>
  <c r="P39" i="24" a="1"/>
  <c r="P39" i="24" s="1"/>
  <c r="P39" i="56" s="1"/>
  <c r="F54" i="24" a="1"/>
  <c r="F54" i="24" s="1"/>
  <c r="L38" i="24" a="1"/>
  <c r="L38" i="24" s="1"/>
  <c r="L38" i="56" s="1"/>
  <c r="F57" i="24" a="1"/>
  <c r="F57" i="24" s="1"/>
  <c r="E43" i="24" a="1"/>
  <c r="E43" i="24" s="1"/>
  <c r="D74" i="24" a="1"/>
  <c r="D74" i="24" s="1"/>
  <c r="H26" i="24" a="1"/>
  <c r="H26" i="24" s="1"/>
  <c r="E53" i="24" a="1"/>
  <c r="E53" i="24" s="1"/>
  <c r="H29" i="24" a="1"/>
  <c r="H29" i="24" s="1"/>
  <c r="G20" i="24" a="1"/>
  <c r="G20" i="24" s="1"/>
  <c r="G20" i="56" s="1"/>
  <c r="E65" i="24" a="1"/>
  <c r="E65" i="24" s="1"/>
  <c r="H40" i="24" a="1"/>
  <c r="H40" i="24" s="1"/>
  <c r="H40" i="56" s="1"/>
  <c r="E68" i="24" a="1"/>
  <c r="E68" i="24" s="1"/>
  <c r="P46" i="24" a="1"/>
  <c r="P46" i="24" s="1"/>
  <c r="H19" i="24" a="1"/>
  <c r="H19" i="24" s="1"/>
  <c r="M54" i="24" a="1"/>
  <c r="M54" i="24" s="1"/>
  <c r="M54" i="56" s="1"/>
  <c r="P38" i="24" a="1"/>
  <c r="P38" i="24" s="1"/>
  <c r="P38" i="56" s="1"/>
  <c r="M57" i="24" a="1"/>
  <c r="M57" i="24" s="1"/>
  <c r="M57" i="56" s="1"/>
  <c r="P43" i="24" a="1"/>
  <c r="P43" i="24" s="1"/>
  <c r="D22" i="24" a="1"/>
  <c r="D22" i="24" s="1"/>
  <c r="G72" i="24" a="1"/>
  <c r="G72" i="24" s="1"/>
  <c r="G72" i="56" s="1"/>
  <c r="D43" i="24" a="1"/>
  <c r="D43" i="24" s="1"/>
  <c r="G75" i="24" a="1"/>
  <c r="G75" i="24" s="1"/>
  <c r="G75" i="56" s="1"/>
  <c r="D46" i="24" a="1"/>
  <c r="D46" i="24" s="1"/>
  <c r="N13" i="24" a="1"/>
  <c r="N13" i="24" s="1"/>
  <c r="O62" i="24" a="1"/>
  <c r="O62" i="24" s="1"/>
  <c r="G52" i="24" a="1"/>
  <c r="G52" i="24" s="1"/>
  <c r="O65" i="24" a="1"/>
  <c r="O65" i="24" s="1"/>
  <c r="N18" i="24" a="1"/>
  <c r="N18" i="24" s="1"/>
  <c r="N18" i="56" s="1"/>
  <c r="N27" i="24" a="1"/>
  <c r="N27" i="24" s="1"/>
  <c r="O76" i="24" a="1"/>
  <c r="O76" i="24" s="1"/>
  <c r="O76" i="56" s="1"/>
  <c r="F29" i="24" a="1"/>
  <c r="F29" i="24" s="1"/>
  <c r="P55" i="24" a="1"/>
  <c r="P55" i="24" s="1"/>
  <c r="F32" i="24" a="1"/>
  <c r="F32" i="24" s="1"/>
  <c r="N72" i="24" a="1"/>
  <c r="N72" i="24" s="1"/>
  <c r="N72" i="56" s="1"/>
  <c r="H43" i="24" a="1"/>
  <c r="H43" i="24" s="1"/>
  <c r="P62" i="24" a="1"/>
  <c r="P62" i="24" s="1"/>
  <c r="N30" i="24" a="1"/>
  <c r="N30" i="24" s="1"/>
  <c r="G17" i="24" a="1"/>
  <c r="G17" i="24" s="1"/>
  <c r="G17" i="56" s="1"/>
  <c r="N15" i="24" a="1"/>
  <c r="N15" i="24" s="1"/>
  <c r="L13" i="24" a="1"/>
  <c r="L13" i="24" s="1"/>
  <c r="D51" i="24" a="1"/>
  <c r="D51" i="24" s="1"/>
  <c r="G35" i="24" a="1"/>
  <c r="G35" i="24" s="1"/>
  <c r="G35" i="56" s="1"/>
  <c r="D54" i="24" a="1"/>
  <c r="D54" i="24" s="1"/>
  <c r="N36" i="24" a="1"/>
  <c r="N36" i="24" s="1"/>
  <c r="N36" i="56" s="1"/>
  <c r="O70" i="24" a="1"/>
  <c r="O70" i="24" s="1"/>
  <c r="N8" i="24" a="1"/>
  <c r="N8" i="24" s="1"/>
  <c r="O73" i="24" a="1"/>
  <c r="O73" i="24" s="1"/>
  <c r="F26" i="24" a="1"/>
  <c r="F26" i="24" s="1"/>
  <c r="D12" i="24" a="1"/>
  <c r="D12" i="24" s="1"/>
  <c r="P61" i="24" a="1"/>
  <c r="P61" i="24" s="1"/>
  <c r="F37" i="24" a="1"/>
  <c r="F37" i="24" s="1"/>
  <c r="P64" i="24" a="1"/>
  <c r="P64" i="24" s="1"/>
  <c r="F40" i="24" a="1"/>
  <c r="F40" i="24" s="1"/>
  <c r="N6" i="24" a="1"/>
  <c r="N6" i="24" s="1"/>
  <c r="H51" i="24" a="1"/>
  <c r="H51" i="24" s="1"/>
  <c r="N35" i="24" a="1"/>
  <c r="N35" i="24" s="1"/>
  <c r="N35" i="56" s="1"/>
  <c r="H54" i="24" a="1"/>
  <c r="H54" i="24" s="1"/>
  <c r="H54" i="56" s="1"/>
  <c r="N38" i="24" a="1"/>
  <c r="N38" i="24" s="1"/>
  <c r="N38" i="56" s="1"/>
  <c r="E6" i="24" a="1"/>
  <c r="E6" i="24" s="1"/>
  <c r="E69" i="24" a="1"/>
  <c r="E69" i="24" s="1"/>
  <c r="P48" i="24" a="1"/>
  <c r="P48" i="24" s="1"/>
  <c r="E72" i="24" a="1"/>
  <c r="E72" i="24" s="1"/>
  <c r="O42" i="24" a="1"/>
  <c r="O42" i="24" s="1"/>
  <c r="N21" i="24" a="1"/>
  <c r="N21" i="24" s="1"/>
  <c r="N21" i="56" s="1"/>
  <c r="M58" i="24" a="1"/>
  <c r="M58" i="24" s="1"/>
  <c r="M58" i="56" s="1"/>
  <c r="P45" i="24" a="1"/>
  <c r="P45" i="24" s="1"/>
  <c r="M62" i="24" a="1"/>
  <c r="M62" i="24" s="1"/>
  <c r="P51" i="24" a="1"/>
  <c r="P51" i="24" s="1"/>
  <c r="M12" i="24" a="1"/>
  <c r="M12" i="24" s="1"/>
  <c r="M73" i="24" a="1"/>
  <c r="M73" i="24" s="1"/>
  <c r="D26" i="24" a="1"/>
  <c r="D26" i="24" s="1"/>
  <c r="M76" i="24" a="1"/>
  <c r="M76" i="24" s="1"/>
  <c r="M76" i="56" s="1"/>
  <c r="D29" i="24" a="1"/>
  <c r="D29" i="24" s="1"/>
  <c r="L69" i="24" a="1"/>
  <c r="L69" i="24" s="1"/>
  <c r="N49" i="24" a="1"/>
  <c r="N49" i="24" s="1"/>
  <c r="L72" i="24" a="1"/>
  <c r="L72" i="24" s="1"/>
  <c r="L72" i="56" s="1"/>
  <c r="F43" i="24" a="1"/>
  <c r="F43" i="24" s="1"/>
  <c r="L27" i="24" a="1"/>
  <c r="L27" i="24" s="1"/>
  <c r="E16" i="24" a="1"/>
  <c r="E16" i="24" s="1"/>
  <c r="P17" i="24" a="1"/>
  <c r="P17" i="24" s="1"/>
  <c r="P17" i="56" s="1"/>
  <c r="E12" i="24" a="1"/>
  <c r="E12" i="24" s="1"/>
  <c r="H74" i="24" a="1"/>
  <c r="H74" i="24" s="1"/>
  <c r="H74" i="56" s="1"/>
  <c r="O26" i="24" a="1"/>
  <c r="O26" i="24" s="1"/>
  <c r="L53" i="24" a="1"/>
  <c r="L53" i="24" s="1"/>
  <c r="L53" i="56" s="1"/>
  <c r="O29" i="24" a="1"/>
  <c r="O29" i="24" s="1"/>
  <c r="G70" i="24" a="1"/>
  <c r="G70" i="24" s="1"/>
  <c r="G51" i="24" a="1"/>
  <c r="G51" i="24" s="1"/>
  <c r="G73" i="24" a="1"/>
  <c r="G73" i="24" s="1"/>
  <c r="D44" i="24" a="1"/>
  <c r="D44" i="24" s="1"/>
  <c r="G28" i="24" a="1"/>
  <c r="G28" i="24" s="1"/>
  <c r="N32" i="24" a="1"/>
  <c r="N32" i="24" s="1"/>
  <c r="D55" i="24" a="1"/>
  <c r="D55" i="24" s="1"/>
  <c r="G39" i="24" a="1"/>
  <c r="G39" i="24" s="1"/>
  <c r="G39" i="56" s="1"/>
  <c r="D58" i="24" a="1"/>
  <c r="D58" i="24" s="1"/>
  <c r="N44" i="24" a="1"/>
  <c r="N44" i="24" s="1"/>
  <c r="O74" i="24" a="1"/>
  <c r="O74" i="24" s="1"/>
  <c r="O74" i="56" s="1"/>
  <c r="F27" i="24" a="1"/>
  <c r="F27" i="24" s="1"/>
  <c r="P53" i="24" a="1"/>
  <c r="P53" i="24" s="1"/>
  <c r="P53" i="56" s="1"/>
  <c r="F30" i="24" a="1"/>
  <c r="F30" i="24" s="1"/>
  <c r="G27" i="24" a="1"/>
  <c r="G27" i="24" s="1"/>
  <c r="L26" i="24" a="1"/>
  <c r="L26" i="24" s="1"/>
  <c r="F63" i="24" a="1"/>
  <c r="F63" i="24" s="1"/>
  <c r="G7" i="24" a="1"/>
  <c r="G7" i="24" s="1"/>
  <c r="F66" i="24" a="1"/>
  <c r="F66" i="24" s="1"/>
  <c r="O17" i="24" a="1"/>
  <c r="O17" i="24" s="1"/>
  <c r="O17" i="56" s="1"/>
  <c r="E58" i="24" a="1"/>
  <c r="E58" i="24" s="1"/>
  <c r="H34" i="24" a="1"/>
  <c r="H34" i="24" s="1"/>
  <c r="E62" i="24" a="1"/>
  <c r="E62" i="24" s="1"/>
  <c r="H37" i="24" a="1"/>
  <c r="H37" i="24" s="1"/>
  <c r="O20" i="24" a="1"/>
  <c r="O20" i="24" s="1"/>
  <c r="O20" i="56" s="1"/>
  <c r="E73" i="24" a="1"/>
  <c r="E73" i="24" s="1"/>
  <c r="O43" i="24" a="1"/>
  <c r="O43" i="24" s="1"/>
  <c r="E76" i="24" a="1"/>
  <c r="E76" i="24" s="1"/>
  <c r="O46" i="24" a="1"/>
  <c r="O46" i="24" s="1"/>
  <c r="M10" i="24" a="1"/>
  <c r="M10" i="24" s="1"/>
  <c r="M63" i="24" a="1"/>
  <c r="M63" i="24" s="1"/>
  <c r="P22" i="24" a="1"/>
  <c r="P22" i="24" s="1"/>
  <c r="P22" i="56" s="1"/>
  <c r="M66" i="24" a="1"/>
  <c r="M66" i="24" s="1"/>
  <c r="P16" i="24" a="1"/>
  <c r="P16" i="24" s="1"/>
  <c r="P6" i="24" a="1"/>
  <c r="P6" i="24" s="1"/>
  <c r="O10" i="24" a="1"/>
  <c r="O10" i="24" s="1"/>
  <c r="L17" i="24" a="1"/>
  <c r="L17" i="24" s="1"/>
  <c r="L17" i="56" s="1"/>
  <c r="D8" i="24" a="1"/>
  <c r="D8" i="24" s="1"/>
  <c r="D21" i="24" a="1"/>
  <c r="D21" i="24" s="1"/>
  <c r="P13" i="24" a="1"/>
  <c r="P13" i="24" s="1"/>
  <c r="E47" i="24" a="1"/>
  <c r="E47" i="24" s="1"/>
  <c r="M8" i="24" a="1"/>
  <c r="M8" i="24" s="1"/>
  <c r="E21" i="24" a="1"/>
  <c r="E21" i="24" s="1"/>
  <c r="N55" i="24" a="1"/>
  <c r="N55" i="24" s="1"/>
  <c r="N58" i="24" a="1"/>
  <c r="N58" i="24" s="1"/>
  <c r="N58" i="56" s="1"/>
  <c r="F9" i="24" a="1"/>
  <c r="F9" i="24" s="1"/>
  <c r="D13" i="24" a="1"/>
  <c r="D13" i="24" s="1"/>
  <c r="M61" i="24" a="1"/>
  <c r="M61" i="24" s="1"/>
  <c r="M64" i="24" a="1"/>
  <c r="M64" i="24" s="1"/>
  <c r="L56" i="24" a="1"/>
  <c r="L56" i="24" s="1"/>
  <c r="L56" i="56" s="1"/>
  <c r="L60" i="24" a="1"/>
  <c r="L60" i="24" s="1"/>
  <c r="L60" i="56" s="1"/>
  <c r="K13" i="57" s="1" a="1"/>
  <c r="K13" i="57" s="1"/>
  <c r="H7" i="24" a="1"/>
  <c r="H7" i="24" s="1"/>
  <c r="F42" i="24" a="1"/>
  <c r="F42" i="24" s="1"/>
  <c r="F45" i="24" a="1"/>
  <c r="F45" i="24" s="1"/>
  <c r="D40" i="24" a="1"/>
  <c r="D40" i="24" s="1"/>
  <c r="E46" i="24" a="1"/>
  <c r="E46" i="24" s="1"/>
  <c r="M16" i="24" a="1"/>
  <c r="M16" i="24" s="1"/>
  <c r="H28" i="24" a="1"/>
  <c r="H28" i="24" s="1"/>
  <c r="H31" i="24" a="1"/>
  <c r="H31" i="24" s="1"/>
  <c r="M42" i="24" a="1"/>
  <c r="M42" i="24" s="1"/>
  <c r="M60" i="24" a="1"/>
  <c r="M60" i="24" s="1"/>
  <c r="H76" i="24" a="1"/>
  <c r="H76" i="24" s="1"/>
  <c r="H76" i="56" s="1"/>
  <c r="L55" i="24" a="1"/>
  <c r="L55" i="24" s="1"/>
  <c r="H15" i="24" a="1"/>
  <c r="H15" i="24" s="1"/>
  <c r="D18" i="24" a="1"/>
  <c r="D18" i="24" s="1"/>
  <c r="G16" i="24" a="1"/>
  <c r="G16" i="24" s="1"/>
  <c r="F38" i="24" a="1"/>
  <c r="F38" i="24" s="1"/>
  <c r="G22" i="24" a="1"/>
  <c r="G22" i="24" s="1"/>
  <c r="G22" i="56" s="1"/>
  <c r="G62" i="24" a="1"/>
  <c r="G62" i="24" s="1"/>
  <c r="G65" i="24" a="1"/>
  <c r="G65" i="24" s="1"/>
  <c r="M14" i="24" a="1"/>
  <c r="M14" i="24" s="1"/>
  <c r="D47" i="24" a="1"/>
  <c r="D47" i="24" s="1"/>
  <c r="D50" i="24" a="1"/>
  <c r="D50" i="24" s="1"/>
  <c r="O66" i="24" a="1"/>
  <c r="O66" i="24" s="1"/>
  <c r="O69" i="24" a="1"/>
  <c r="O69" i="24" s="1"/>
  <c r="H10" i="24" a="1"/>
  <c r="H10" i="24" s="1"/>
  <c r="G15" i="24" a="1"/>
  <c r="G15" i="24" s="1"/>
  <c r="O47" i="24" a="1"/>
  <c r="O47" i="24" s="1"/>
  <c r="O50" i="24" a="1"/>
  <c r="O50" i="24" s="1"/>
  <c r="M67" i="24" a="1"/>
  <c r="M67" i="24" s="1"/>
  <c r="M70" i="24" a="1"/>
  <c r="M70" i="24" s="1"/>
  <c r="D6" i="24" a="1"/>
  <c r="D6" i="24" s="1"/>
  <c r="D34" i="24" a="1"/>
  <c r="D34" i="24" s="1"/>
  <c r="D37" i="24" a="1"/>
  <c r="D37" i="24" s="1"/>
  <c r="F48" i="24" a="1"/>
  <c r="F48" i="24" s="1"/>
  <c r="F51" i="24" a="1"/>
  <c r="F51" i="24" s="1"/>
  <c r="E19" i="24" a="1"/>
  <c r="E19" i="24" s="1"/>
  <c r="L42" i="24" a="1"/>
  <c r="L42" i="24" s="1"/>
  <c r="L42" i="56" s="1"/>
  <c r="J13" i="57" s="1" a="1"/>
  <c r="J13" i="57" s="1"/>
  <c r="L48" i="24" a="1"/>
  <c r="L48" i="24" s="1"/>
  <c r="H55" i="24" a="1"/>
  <c r="H55" i="24" s="1"/>
  <c r="H58" i="24" a="1"/>
  <c r="H58" i="24" s="1"/>
  <c r="H58" i="56" s="1"/>
  <c r="H70" i="24" a="1"/>
  <c r="H70" i="24" s="1"/>
  <c r="H73" i="24" a="1"/>
  <c r="H73" i="24" s="1"/>
  <c r="G66" i="24" a="1"/>
  <c r="G66" i="24" s="1"/>
  <c r="G69" i="24" a="1"/>
  <c r="G69" i="24" s="1"/>
  <c r="G24" i="24" a="1"/>
  <c r="G24" i="24" s="1"/>
  <c r="H12" i="24" a="1"/>
  <c r="H12" i="24" s="1"/>
  <c r="N7" i="24" a="1"/>
  <c r="N7" i="24" s="1"/>
  <c r="F60" i="24" a="1"/>
  <c r="F60" i="24" s="1"/>
  <c r="O14" i="24" a="1"/>
  <c r="O14" i="24" s="1"/>
  <c r="D32" i="24" a="1"/>
  <c r="D32" i="24" s="1"/>
  <c r="E31" i="24" a="1"/>
  <c r="E31" i="24" s="1"/>
  <c r="P49" i="24" a="1"/>
  <c r="P49" i="24" s="1"/>
  <c r="O32" i="24" a="1"/>
  <c r="O32" i="24" s="1"/>
  <c r="L71" i="24" a="1"/>
  <c r="L71" i="24" s="1"/>
  <c r="L71" i="56" s="1"/>
  <c r="N64" i="24" a="1"/>
  <c r="N64" i="24" s="1"/>
  <c r="N9" i="24" a="1"/>
  <c r="N9" i="24" s="1"/>
  <c r="E55" i="24" a="1"/>
  <c r="E55" i="24" s="1"/>
  <c r="P71" i="24" a="1"/>
  <c r="P71" i="24" s="1"/>
  <c r="P71" i="56" s="1"/>
  <c r="P74" i="24" a="1"/>
  <c r="P74" i="24" s="1"/>
  <c r="P74" i="56" s="1"/>
  <c r="P47" i="24" a="1"/>
  <c r="P47" i="24" s="1"/>
  <c r="O28" i="24" a="1"/>
  <c r="O28" i="24" s="1"/>
  <c r="O31" i="24" a="1"/>
  <c r="O31" i="24" s="1"/>
  <c r="N24" i="24" a="1"/>
  <c r="N24" i="24" s="1"/>
  <c r="E17" i="24" a="1"/>
  <c r="E17" i="24" s="1"/>
  <c r="G13" i="24" a="1"/>
  <c r="G13" i="24" s="1"/>
  <c r="N19" i="24" a="1"/>
  <c r="N19" i="24" s="1"/>
  <c r="N9" i="56" l="1"/>
  <c r="H152" i="57" s="1"/>
  <c r="G69" i="56"/>
  <c r="AA244" i="57" s="1" a="1"/>
  <c r="AA244" i="57" s="1"/>
  <c r="N24" i="56"/>
  <c r="I137" i="57" s="1"/>
  <c r="N19" i="56"/>
  <c r="H192" i="57" s="1"/>
  <c r="O31" i="56"/>
  <c r="I234" i="57" s="1"/>
  <c r="H12" i="56"/>
  <c r="X291" i="57" s="1" a="1"/>
  <c r="X291" i="57" s="1"/>
  <c r="H73" i="56"/>
  <c r="AA316" i="57" s="1" a="1"/>
  <c r="AA316" i="57" s="1"/>
  <c r="L48" i="56"/>
  <c r="J43" i="57" s="1" a="1"/>
  <c r="J43" i="57" s="1"/>
  <c r="M70" i="56"/>
  <c r="K125" i="57" s="1" a="1"/>
  <c r="K125" i="57" s="1"/>
  <c r="G15" i="56"/>
  <c r="X244" i="57" s="1" a="1"/>
  <c r="X244" i="57" s="1"/>
  <c r="G62" i="56"/>
  <c r="AA209" i="57" s="1" a="1"/>
  <c r="AA209" i="57" s="1"/>
  <c r="M60" i="56"/>
  <c r="K75" i="57" s="1" a="1"/>
  <c r="K75" i="57" s="1"/>
  <c r="M16" i="56"/>
  <c r="H125" i="57" s="1"/>
  <c r="M64" i="56"/>
  <c r="K95" i="57" s="1" a="1"/>
  <c r="K95" i="57" s="1"/>
  <c r="M66" i="56"/>
  <c r="K105" i="57" s="1" a="1"/>
  <c r="K105" i="57" s="1"/>
  <c r="O46" i="56"/>
  <c r="J219" i="57" s="1" a="1"/>
  <c r="J219" i="57" s="1"/>
  <c r="G13" i="56"/>
  <c r="X234" i="57" s="1" a="1"/>
  <c r="X234" i="57" s="1"/>
  <c r="O28" i="56"/>
  <c r="I219" i="57" s="1"/>
  <c r="O32" i="56"/>
  <c r="I239" i="57" s="1"/>
  <c r="O14" i="56"/>
  <c r="H239" i="57" s="1"/>
  <c r="G24" i="56"/>
  <c r="Y199" i="57" s="1" a="1"/>
  <c r="Y199" i="57" s="1"/>
  <c r="H70" i="56"/>
  <c r="AA311" i="57" s="1" a="1"/>
  <c r="AA311" i="57" s="1"/>
  <c r="J15" i="57"/>
  <c r="J14" i="57"/>
  <c r="J17" i="57"/>
  <c r="J16" i="57"/>
  <c r="M67" i="56"/>
  <c r="K110" i="57" s="1" a="1"/>
  <c r="K110" i="57" s="1"/>
  <c r="H10" i="56"/>
  <c r="X281" i="57" s="1" a="1"/>
  <c r="X281" i="57" s="1"/>
  <c r="H15" i="56"/>
  <c r="X306" i="57" s="1" a="1"/>
  <c r="X306" i="57" s="1"/>
  <c r="M42" i="56"/>
  <c r="J75" i="57" s="1" a="1"/>
  <c r="J75" i="57" s="1"/>
  <c r="H7" i="56"/>
  <c r="X266" i="57" s="1" a="1"/>
  <c r="X266" i="57" s="1"/>
  <c r="M61" i="56"/>
  <c r="K80" i="57" s="1" a="1"/>
  <c r="K80" i="57" s="1"/>
  <c r="N55" i="56"/>
  <c r="J192" i="57" s="1" a="1"/>
  <c r="J192" i="57" s="1"/>
  <c r="P13" i="56"/>
  <c r="H296" i="57" s="1"/>
  <c r="O10" i="56"/>
  <c r="H219" i="57" s="1"/>
  <c r="H37" i="56"/>
  <c r="Y316" i="57" s="1" a="1"/>
  <c r="Y316" i="57" s="1"/>
  <c r="L26" i="56"/>
  <c r="I23" i="57" s="1"/>
  <c r="O29" i="56"/>
  <c r="I224" i="57" s="1"/>
  <c r="M12" i="56"/>
  <c r="H105" i="57" s="1"/>
  <c r="P48" i="56"/>
  <c r="J291" i="57" s="1" a="1"/>
  <c r="J291" i="57" s="1"/>
  <c r="O70" i="56"/>
  <c r="K249" i="57" s="1" a="1"/>
  <c r="K249" i="57" s="1"/>
  <c r="N30" i="56"/>
  <c r="I167" i="57" s="1"/>
  <c r="N27" i="56"/>
  <c r="I152" i="57" s="1"/>
  <c r="O62" i="56"/>
  <c r="K209" i="57" s="1" a="1"/>
  <c r="K209" i="57" s="1"/>
  <c r="P46" i="56"/>
  <c r="J281" i="57" s="1" a="1"/>
  <c r="J281" i="57" s="1"/>
  <c r="P15" i="56"/>
  <c r="H306" i="57" s="1"/>
  <c r="K21" i="57"/>
  <c r="K20" i="57"/>
  <c r="K19" i="57"/>
  <c r="K22" i="57"/>
  <c r="M65" i="56"/>
  <c r="K100" i="57" s="1" a="1"/>
  <c r="K100" i="57" s="1"/>
  <c r="P34" i="56"/>
  <c r="I311" i="57" s="1"/>
  <c r="G60" i="56"/>
  <c r="AA199" i="57" s="1" a="1"/>
  <c r="AA199" i="57" s="1"/>
  <c r="O60" i="56"/>
  <c r="K199" i="57" s="1" a="1"/>
  <c r="K199" i="57" s="1"/>
  <c r="P25" i="56"/>
  <c r="I266" i="57" s="1"/>
  <c r="P67" i="56"/>
  <c r="K296" i="57" s="1" a="1"/>
  <c r="K296" i="57" s="1"/>
  <c r="N42" i="56"/>
  <c r="J137" i="57" s="1" a="1"/>
  <c r="J137" i="57" s="1"/>
  <c r="L70" i="56"/>
  <c r="K63" i="57" s="1" a="1"/>
  <c r="K63" i="57" s="1"/>
  <c r="P19" i="56"/>
  <c r="H316" i="57" s="1"/>
  <c r="G33" i="56"/>
  <c r="Y244" i="57" s="1" a="1"/>
  <c r="Y244" i="57" s="1"/>
  <c r="L62" i="56"/>
  <c r="K23" i="57" s="1" a="1"/>
  <c r="K23" i="57" s="1"/>
  <c r="N73" i="56"/>
  <c r="K192" i="57" s="1" a="1"/>
  <c r="K192" i="57" s="1"/>
  <c r="L47" i="56"/>
  <c r="J38" i="57" s="1" a="1"/>
  <c r="J38" i="57" s="1"/>
  <c r="N52" i="56"/>
  <c r="J187" i="57" s="1" a="1"/>
  <c r="J187" i="57" s="1"/>
  <c r="H14" i="56"/>
  <c r="X301" i="57" s="1" a="1"/>
  <c r="X301" i="57" s="1"/>
  <c r="P50" i="56"/>
  <c r="J301" i="57" s="1" a="1"/>
  <c r="J301" i="57" s="1"/>
  <c r="M26" i="56"/>
  <c r="I85" i="57" s="1"/>
  <c r="G49" i="56"/>
  <c r="Z234" i="57" s="1" a="1"/>
  <c r="Z234" i="57" s="1"/>
  <c r="P68" i="56"/>
  <c r="K301" i="57" s="1" a="1"/>
  <c r="K301" i="57" s="1"/>
  <c r="G25" i="56"/>
  <c r="Y204" i="57" s="1" a="1"/>
  <c r="Y204" i="57" s="1"/>
  <c r="P14" i="56"/>
  <c r="H301" i="57" s="1"/>
  <c r="G31" i="56"/>
  <c r="Y234" i="57" s="1" a="1"/>
  <c r="Y234" i="57" s="1"/>
  <c r="M11" i="56"/>
  <c r="H100" i="57" s="1"/>
  <c r="P26" i="56"/>
  <c r="I271" i="57" s="1"/>
  <c r="H30" i="56"/>
  <c r="Y291" i="57" s="1" a="1"/>
  <c r="Y291" i="57" s="1"/>
  <c r="L10" i="56"/>
  <c r="H33" i="57" s="1"/>
  <c r="L34" i="56"/>
  <c r="I63" i="57" s="1"/>
  <c r="N47" i="56"/>
  <c r="J162" i="57" s="1" a="1"/>
  <c r="J162" i="57" s="1"/>
  <c r="G26" i="56"/>
  <c r="Y209" i="57" s="1" a="1"/>
  <c r="Y209" i="57" s="1"/>
  <c r="M33" i="56"/>
  <c r="I120" i="57" s="1"/>
  <c r="L51" i="56"/>
  <c r="J58" i="57" s="1" a="1"/>
  <c r="J58" i="57" s="1"/>
  <c r="H50" i="56"/>
  <c r="Z301" i="57" s="1" a="1"/>
  <c r="Z301" i="57" s="1"/>
  <c r="M49" i="56"/>
  <c r="J110" i="57" s="1" a="1"/>
  <c r="J110" i="57" s="1"/>
  <c r="O61" i="56"/>
  <c r="K204" i="57" s="1" a="1"/>
  <c r="K204" i="57" s="1"/>
  <c r="P29" i="56"/>
  <c r="I286" i="57" s="1"/>
  <c r="N33" i="56"/>
  <c r="I182" i="57" s="1"/>
  <c r="L15" i="56"/>
  <c r="H58" i="57" s="1"/>
  <c r="N43" i="56"/>
  <c r="J142" i="57" s="1" a="1"/>
  <c r="J142" i="57" s="1"/>
  <c r="L6" i="56"/>
  <c r="H13" i="57" s="1"/>
  <c r="M52" i="56"/>
  <c r="J125" i="57" s="1" a="1"/>
  <c r="J125" i="57" s="1"/>
  <c r="H48" i="56"/>
  <c r="Z291" i="57" s="1" a="1"/>
  <c r="Z291" i="57" s="1"/>
  <c r="N60" i="56"/>
  <c r="K137" i="57" s="1" a="1"/>
  <c r="K137" i="57" s="1"/>
  <c r="O64" i="56"/>
  <c r="K219" i="57" s="1" a="1"/>
  <c r="K219" i="57" s="1"/>
  <c r="H25" i="56"/>
  <c r="Y266" i="57" s="1" a="1"/>
  <c r="Y266" i="57" s="1"/>
  <c r="O55" i="56"/>
  <c r="J254" i="57" s="1" a="1"/>
  <c r="J254" i="57" s="1"/>
  <c r="M51" i="56"/>
  <c r="J120" i="57" s="1" a="1"/>
  <c r="J120" i="57" s="1"/>
  <c r="L11" i="56"/>
  <c r="H38" i="57" s="1"/>
  <c r="P63" i="56"/>
  <c r="K276" i="57" s="1" a="1"/>
  <c r="K276" i="57" s="1"/>
  <c r="O12" i="56"/>
  <c r="H229" i="57" s="1"/>
  <c r="N65" i="56"/>
  <c r="K162" i="57" s="1" a="1"/>
  <c r="K162" i="57" s="1"/>
  <c r="G32" i="56"/>
  <c r="Y239" i="57" s="1" a="1"/>
  <c r="Y239" i="57" s="1"/>
  <c r="O50" i="56"/>
  <c r="J239" i="57" s="1" a="1"/>
  <c r="J239" i="57" s="1"/>
  <c r="O69" i="56"/>
  <c r="K244" i="57" s="1" a="1"/>
  <c r="K244" i="57" s="1"/>
  <c r="M14" i="56"/>
  <c r="H115" i="57" s="1"/>
  <c r="L55" i="56"/>
  <c r="J68" i="57" s="1" a="1"/>
  <c r="J68" i="57" s="1"/>
  <c r="H31" i="56"/>
  <c r="Y296" i="57" s="1" a="1"/>
  <c r="Y296" i="57" s="1"/>
  <c r="K15" i="57"/>
  <c r="K16" i="57"/>
  <c r="K17" i="57"/>
  <c r="K14" i="57"/>
  <c r="P6" i="56"/>
  <c r="H261" i="57" s="1"/>
  <c r="M63" i="56"/>
  <c r="K90" i="57" s="1" a="1"/>
  <c r="K90" i="57" s="1"/>
  <c r="O43" i="56"/>
  <c r="J204" i="57" s="1" a="1"/>
  <c r="J204" i="57" s="1"/>
  <c r="G27" i="56"/>
  <c r="Y214" i="57" s="1" a="1"/>
  <c r="Y214" i="57" s="1"/>
  <c r="G73" i="56"/>
  <c r="AA254" i="57" s="1" a="1"/>
  <c r="AA254" i="57" s="1"/>
  <c r="P51" i="56"/>
  <c r="J306" i="57" s="1" a="1"/>
  <c r="J306" i="57" s="1"/>
  <c r="P64" i="56"/>
  <c r="K281" i="57" s="1" a="1"/>
  <c r="K281" i="57" s="1"/>
  <c r="L13" i="56"/>
  <c r="H48" i="57" s="1"/>
  <c r="P62" i="56"/>
  <c r="K271" i="57" s="1" a="1"/>
  <c r="K271" i="57" s="1"/>
  <c r="P55" i="56"/>
  <c r="J316" i="57" s="1" a="1"/>
  <c r="J316" i="57" s="1"/>
  <c r="N13" i="56"/>
  <c r="H172" i="57" s="1"/>
  <c r="H29" i="56"/>
  <c r="Y286" i="57" s="1" a="1"/>
  <c r="Y286" i="57" s="1"/>
  <c r="M28" i="56"/>
  <c r="I95" i="57" s="1"/>
  <c r="O8" i="56"/>
  <c r="H209" i="57" s="1"/>
  <c r="P12" i="56"/>
  <c r="H291" i="57" s="1"/>
  <c r="P9" i="56"/>
  <c r="H276" i="57" s="1"/>
  <c r="M50" i="56"/>
  <c r="J115" i="57" s="1" a="1"/>
  <c r="J115" i="57" s="1"/>
  <c r="P27" i="56"/>
  <c r="I276" i="57" s="1"/>
  <c r="H52" i="56"/>
  <c r="Z311" i="57" s="1" a="1"/>
  <c r="Z311" i="57" s="1"/>
  <c r="O45" i="56"/>
  <c r="J214" i="57" s="1" a="1"/>
  <c r="J214" i="57" s="1"/>
  <c r="M31" i="56"/>
  <c r="I110" i="57" s="1"/>
  <c r="L52" i="56"/>
  <c r="J63" i="57" s="1" a="1"/>
  <c r="J63" i="57" s="1"/>
  <c r="H27" i="56"/>
  <c r="Y276" i="57" s="1" a="1"/>
  <c r="Y276" i="57" s="1"/>
  <c r="N45" i="56"/>
  <c r="J152" i="57" s="1" a="1"/>
  <c r="J152" i="57" s="1"/>
  <c r="L16" i="56"/>
  <c r="H63" i="57" s="1"/>
  <c r="O34" i="56"/>
  <c r="I249" i="57" s="1"/>
  <c r="O44" i="56"/>
  <c r="J209" i="57" s="1" a="1"/>
  <c r="J209" i="57" s="1"/>
  <c r="M30" i="56"/>
  <c r="I105" i="57" s="1"/>
  <c r="L24" i="56"/>
  <c r="I13" i="57" s="1"/>
  <c r="L9" i="56"/>
  <c r="H28" i="57" s="1"/>
  <c r="H60" i="56"/>
  <c r="AA261" i="57" s="1" a="1"/>
  <c r="AA261" i="57" s="1"/>
  <c r="L50" i="56"/>
  <c r="J53" i="57" s="1" a="1"/>
  <c r="J53" i="57" s="1"/>
  <c r="H9" i="56"/>
  <c r="X276" i="57" s="1" a="1"/>
  <c r="X276" i="57" s="1"/>
  <c r="O51" i="56"/>
  <c r="J244" i="57" s="1" a="1"/>
  <c r="J244" i="57" s="1"/>
  <c r="N67" i="56"/>
  <c r="K172" i="57" s="1" a="1"/>
  <c r="K172" i="57" s="1"/>
  <c r="G43" i="56"/>
  <c r="Z204" i="57" s="1" a="1"/>
  <c r="Z204" i="57" s="1"/>
  <c r="L45" i="56"/>
  <c r="J28" i="57" s="1" a="1"/>
  <c r="J28" i="57" s="1"/>
  <c r="P65" i="56"/>
  <c r="K286" i="57" s="1" a="1"/>
  <c r="K286" i="57" s="1"/>
  <c r="N61" i="56"/>
  <c r="K142" i="57" s="1" a="1"/>
  <c r="K142" i="57" s="1"/>
  <c r="G30" i="56"/>
  <c r="Y229" i="57" s="1" a="1"/>
  <c r="Y229" i="57" s="1"/>
  <c r="N10" i="56"/>
  <c r="H157" i="57" s="1"/>
  <c r="H69" i="56"/>
  <c r="AA306" i="57" s="1" a="1"/>
  <c r="AA306" i="57" s="1"/>
  <c r="G12" i="56"/>
  <c r="X229" i="57" s="1" a="1"/>
  <c r="X229" i="57" s="1"/>
  <c r="L68" i="56"/>
  <c r="K53" i="57" s="1" a="1"/>
  <c r="K53" i="57" s="1"/>
  <c r="H62" i="56"/>
  <c r="AA271" i="57" s="1" a="1"/>
  <c r="AA271" i="57" s="1"/>
  <c r="N31" i="56"/>
  <c r="I172" i="57" s="1"/>
  <c r="P60" i="56"/>
  <c r="K261" i="57" s="1" a="1"/>
  <c r="K261" i="57" s="1"/>
  <c r="P30" i="56"/>
  <c r="I291" i="57" s="1"/>
  <c r="L12" i="56"/>
  <c r="H43" i="57" s="1"/>
  <c r="G44" i="56"/>
  <c r="Z209" i="57" s="1" a="1"/>
  <c r="Z209" i="57" s="1"/>
  <c r="M32" i="56"/>
  <c r="I115" i="57" s="1"/>
  <c r="L49" i="56"/>
  <c r="J48" i="57" s="1" a="1"/>
  <c r="J48" i="57" s="1"/>
  <c r="M45" i="56"/>
  <c r="J90" i="57" s="1" a="1"/>
  <c r="J90" i="57" s="1"/>
  <c r="M6" i="56"/>
  <c r="H75" i="57" s="1"/>
  <c r="L66" i="56"/>
  <c r="K43" i="57" s="1" a="1"/>
  <c r="K43" i="57" s="1"/>
  <c r="O27" i="56"/>
  <c r="I214" i="57" s="1"/>
  <c r="N11" i="56"/>
  <c r="H162" i="57" s="1"/>
  <c r="O19" i="56"/>
  <c r="H254" i="57" s="1"/>
  <c r="N29" i="56"/>
  <c r="I162" i="57" s="1"/>
  <c r="N14" i="56"/>
  <c r="H177" i="57" s="1"/>
  <c r="N69" i="56"/>
  <c r="K182" i="57" s="1" a="1"/>
  <c r="K182" i="57" s="1"/>
  <c r="G46" i="56"/>
  <c r="Z219" i="57" s="1" a="1"/>
  <c r="Z219" i="57" s="1"/>
  <c r="O6" i="56"/>
  <c r="H199" i="57" s="1"/>
  <c r="M13" i="56"/>
  <c r="H110" i="57" s="1"/>
  <c r="P32" i="56"/>
  <c r="I301" i="57" s="1"/>
  <c r="L44" i="56"/>
  <c r="J23" i="57" s="1" a="1"/>
  <c r="J23" i="57" s="1"/>
  <c r="L8" i="56"/>
  <c r="H23" i="57" s="1"/>
  <c r="G19" i="56"/>
  <c r="X254" i="57" s="1" a="1"/>
  <c r="X254" i="57" s="1"/>
  <c r="P42" i="56"/>
  <c r="J261" i="57" s="1" a="1"/>
  <c r="J261" i="57" s="1"/>
  <c r="O9" i="56"/>
  <c r="H214" i="57" s="1"/>
  <c r="P28" i="56"/>
  <c r="I281" i="57" s="1"/>
  <c r="O33" i="56"/>
  <c r="I244" i="57" s="1"/>
  <c r="H64" i="56"/>
  <c r="AA281" i="57" s="1" a="1"/>
  <c r="AA281" i="57" s="1"/>
  <c r="M44" i="56"/>
  <c r="J85" i="57" s="1" a="1"/>
  <c r="J85" i="57" s="1"/>
  <c r="P47" i="56"/>
  <c r="J286" i="57" s="1" a="1"/>
  <c r="J286" i="57" s="1"/>
  <c r="N64" i="56"/>
  <c r="K157" i="57" s="1" a="1"/>
  <c r="K157" i="57" s="1"/>
  <c r="N7" i="56"/>
  <c r="H142" i="57" s="1"/>
  <c r="G66" i="56"/>
  <c r="AA229" i="57" s="1" a="1"/>
  <c r="AA229" i="57" s="1"/>
  <c r="H55" i="56"/>
  <c r="Z316" i="57" s="1" a="1"/>
  <c r="Z316" i="57" s="1"/>
  <c r="O47" i="56"/>
  <c r="J224" i="57" s="1" a="1"/>
  <c r="J224" i="57" s="1"/>
  <c r="O66" i="56"/>
  <c r="K229" i="57" s="1" a="1"/>
  <c r="K229" i="57" s="1"/>
  <c r="G65" i="56"/>
  <c r="AA224" i="57" s="1" a="1"/>
  <c r="AA224" i="57" s="1"/>
  <c r="G16" i="56"/>
  <c r="X249" i="57" s="1" a="1"/>
  <c r="X249" i="57" s="1"/>
  <c r="H28" i="56"/>
  <c r="Y281" i="57" s="1" a="1"/>
  <c r="Y281" i="57" s="1"/>
  <c r="M8" i="56"/>
  <c r="H85" i="57" s="1"/>
  <c r="P16" i="56"/>
  <c r="H311" i="57" s="1"/>
  <c r="M10" i="56"/>
  <c r="H95" i="57" s="1"/>
  <c r="H34" i="56"/>
  <c r="Y311" i="57" s="1" a="1"/>
  <c r="Y311" i="57" s="1"/>
  <c r="G7" i="56"/>
  <c r="X204" i="57" s="1" a="1"/>
  <c r="X204" i="57" s="1"/>
  <c r="N44" i="56"/>
  <c r="J147" i="57" s="1" a="1"/>
  <c r="J147" i="57" s="1"/>
  <c r="N32" i="56"/>
  <c r="I177" i="57" s="1"/>
  <c r="G51" i="56"/>
  <c r="Z244" i="57" s="1" a="1"/>
  <c r="Z244" i="57" s="1"/>
  <c r="O26" i="56"/>
  <c r="I209" i="57" s="1"/>
  <c r="N49" i="56"/>
  <c r="J172" i="57" s="1" a="1"/>
  <c r="J172" i="57" s="1"/>
  <c r="M62" i="56"/>
  <c r="K85" i="57" s="1" a="1"/>
  <c r="K85" i="57" s="1"/>
  <c r="O42" i="56"/>
  <c r="J199" i="57" s="1" a="1"/>
  <c r="J199" i="57" s="1"/>
  <c r="H51" i="56"/>
  <c r="Z306" i="57" s="1" a="1"/>
  <c r="Z306" i="57" s="1"/>
  <c r="O73" i="56"/>
  <c r="K254" i="57" s="1" a="1"/>
  <c r="K254" i="57" s="1"/>
  <c r="N15" i="56"/>
  <c r="H182" i="57" s="1"/>
  <c r="H43" i="56"/>
  <c r="Z266" i="57" s="1" a="1"/>
  <c r="Z266" i="57" s="1"/>
  <c r="O65" i="56"/>
  <c r="K224" i="57" s="1" a="1"/>
  <c r="K224" i="57" s="1"/>
  <c r="L29" i="56"/>
  <c r="I38" i="57" s="1"/>
  <c r="N26" i="56"/>
  <c r="I147" i="57" s="1"/>
  <c r="N68" i="56"/>
  <c r="K177" i="57" s="1" a="1"/>
  <c r="K177" i="57" s="1"/>
  <c r="L64" i="56"/>
  <c r="K33" i="57" s="1" a="1"/>
  <c r="K33" i="57" s="1"/>
  <c r="M68" i="56"/>
  <c r="K115" i="57" s="1" a="1"/>
  <c r="K115" i="57" s="1"/>
  <c r="P37" i="56"/>
  <c r="I316" i="57" s="1"/>
  <c r="G63" i="56"/>
  <c r="AA214" i="57" s="1" a="1"/>
  <c r="AA214" i="57" s="1"/>
  <c r="M24" i="56"/>
  <c r="I75" i="57" s="1"/>
  <c r="H49" i="56"/>
  <c r="Z296" i="57" s="1" a="1"/>
  <c r="Z296" i="57" s="1"/>
  <c r="O63" i="56"/>
  <c r="K214" i="57" s="1" a="1"/>
  <c r="K214" i="57" s="1"/>
  <c r="G55" i="56"/>
  <c r="Z254" i="57" s="1" a="1"/>
  <c r="Z254" i="57" s="1"/>
  <c r="P70" i="56"/>
  <c r="K311" i="57" s="1" a="1"/>
  <c r="K311" i="57" s="1"/>
  <c r="N48" i="56"/>
  <c r="J167" i="57" s="1" a="1"/>
  <c r="J167" i="57" s="1"/>
  <c r="H11" i="56"/>
  <c r="X286" i="57" s="1" a="1"/>
  <c r="X286" i="57" s="1"/>
  <c r="L67" i="56"/>
  <c r="K48" i="57" s="1" a="1"/>
  <c r="K48" i="57" s="1"/>
  <c r="L28" i="56"/>
  <c r="I33" i="57" s="1"/>
  <c r="O16" i="56"/>
  <c r="H249" i="57" s="1"/>
  <c r="N70" i="56"/>
  <c r="K187" i="57" s="1" a="1"/>
  <c r="K187" i="57" s="1"/>
  <c r="P69" i="56"/>
  <c r="K306" i="57" s="1" a="1"/>
  <c r="K306" i="57" s="1"/>
  <c r="N46" i="56"/>
  <c r="J157" i="57" s="1" a="1"/>
  <c r="J157" i="57" s="1"/>
  <c r="P44" i="56"/>
  <c r="J271" i="57" s="1" a="1"/>
  <c r="J271" i="57" s="1"/>
  <c r="O7" i="56"/>
  <c r="H204" i="57" s="1"/>
  <c r="O25" i="56"/>
  <c r="I204" i="57" s="1"/>
  <c r="N16" i="56"/>
  <c r="H187" i="57" s="1"/>
  <c r="H33" i="56"/>
  <c r="Y306" i="57" s="1" a="1"/>
  <c r="Y306" i="57" s="1"/>
  <c r="L37" i="56"/>
  <c r="I68" i="57" s="1"/>
  <c r="H6" i="56"/>
  <c r="X261" i="57" s="1" a="1"/>
  <c r="X261" i="57" s="1"/>
  <c r="P10" i="56"/>
  <c r="H281" i="57" s="1"/>
  <c r="M19" i="56"/>
  <c r="H130" i="57" s="1"/>
  <c r="H47" i="56"/>
  <c r="Z286" i="57" s="1" a="1"/>
  <c r="Z286" i="57" s="1"/>
  <c r="M46" i="56"/>
  <c r="J95" i="57" s="1" a="1"/>
  <c r="J95" i="57" s="1"/>
  <c r="H32" i="56"/>
  <c r="Y301" i="57" s="1" a="1"/>
  <c r="Y301" i="57" s="1"/>
  <c r="G47" i="56"/>
  <c r="Z224" i="57" s="1" a="1"/>
  <c r="Z224" i="57" s="1"/>
  <c r="H61" i="56"/>
  <c r="AA266" i="57" s="1" a="1"/>
  <c r="AA266" i="57" s="1"/>
  <c r="L19" i="56"/>
  <c r="H68" i="57" s="1"/>
  <c r="O52" i="56"/>
  <c r="J249" i="57" s="1" a="1"/>
  <c r="J249" i="57" s="1"/>
  <c r="O11" i="56"/>
  <c r="H224" i="57" s="1"/>
  <c r="O68" i="56"/>
  <c r="K239" i="57" s="1" a="1"/>
  <c r="K239" i="57" s="1"/>
  <c r="G67" i="56"/>
  <c r="AA234" i="57" s="1" a="1"/>
  <c r="AA234" i="57" s="1"/>
  <c r="G37" i="56"/>
  <c r="Y254" i="57" s="1" a="1"/>
  <c r="Y254" i="57" s="1"/>
  <c r="M55" i="56"/>
  <c r="J130" i="57" s="1" a="1"/>
  <c r="J130" i="57" s="1"/>
  <c r="G34" i="56"/>
  <c r="Y249" i="57" s="1" a="1"/>
  <c r="Y249" i="57" s="1"/>
  <c r="H45" i="56"/>
  <c r="Z276" i="57" s="1" a="1"/>
  <c r="Z276" i="57" s="1"/>
  <c r="N63" i="56"/>
  <c r="K152" i="57" s="1" a="1"/>
  <c r="K152" i="57" s="1"/>
  <c r="O67" i="56"/>
  <c r="K234" i="57" s="1" a="1"/>
  <c r="K234" i="57" s="1"/>
  <c r="H8" i="56"/>
  <c r="X271" i="57" s="1" a="1"/>
  <c r="X271" i="57" s="1"/>
  <c r="G11" i="56"/>
  <c r="X224" i="57" s="1" a="1"/>
  <c r="X224" i="57" s="1"/>
  <c r="H68" i="56"/>
  <c r="AA301" i="57" s="1" a="1"/>
  <c r="AA301" i="57" s="1"/>
  <c r="M48" i="56"/>
  <c r="J105" i="57" s="1" a="1"/>
  <c r="J105" i="57" s="1"/>
  <c r="P66" i="56"/>
  <c r="K291" i="57" s="1" a="1"/>
  <c r="K291" i="57" s="1"/>
  <c r="H16" i="56"/>
  <c r="X311" i="57" s="1" a="1"/>
  <c r="X311" i="57" s="1"/>
  <c r="N62" i="56"/>
  <c r="K147" i="57" s="1" a="1"/>
  <c r="K147" i="57" s="1"/>
  <c r="G29" i="56"/>
  <c r="Y224" i="57" s="1" a="1"/>
  <c r="Y224" i="57" s="1"/>
  <c r="M15" i="56"/>
  <c r="H120" i="57" s="1"/>
  <c r="L7" i="56"/>
  <c r="H18" i="57" s="1"/>
  <c r="P73" i="56"/>
  <c r="K316" i="57" s="1" a="1"/>
  <c r="K316" i="57" s="1"/>
  <c r="P49" i="56"/>
  <c r="J296" i="57" s="1" a="1"/>
  <c r="J296" i="57" s="1"/>
  <c r="G28" i="56"/>
  <c r="Y219" i="57" s="1" a="1"/>
  <c r="Y219" i="57" s="1"/>
  <c r="G70" i="56"/>
  <c r="AA249" i="57" s="1" a="1"/>
  <c r="AA249" i="57" s="1"/>
  <c r="L27" i="56"/>
  <c r="I28" i="57" s="1"/>
  <c r="L69" i="56"/>
  <c r="K58" i="57" s="1" a="1"/>
  <c r="K58" i="57" s="1"/>
  <c r="M73" i="56"/>
  <c r="K130" i="57" s="1" a="1"/>
  <c r="K130" i="57" s="1"/>
  <c r="P45" i="56"/>
  <c r="J276" i="57" s="1" a="1"/>
  <c r="J276" i="57" s="1"/>
  <c r="N6" i="56"/>
  <c r="H137" i="57" s="1"/>
  <c r="P61" i="56"/>
  <c r="K266" i="57" s="1" a="1"/>
  <c r="K266" i="57" s="1"/>
  <c r="N8" i="56"/>
  <c r="H147" i="57" s="1"/>
  <c r="G52" i="56"/>
  <c r="Z249" i="57" s="1" a="1"/>
  <c r="Z249" i="57" s="1"/>
  <c r="P43" i="56"/>
  <c r="J266" i="57" s="1" a="1"/>
  <c r="J266" i="57" s="1"/>
  <c r="H19" i="56"/>
  <c r="X316" i="57" s="1" a="1"/>
  <c r="X316" i="57" s="1"/>
  <c r="H26" i="56"/>
  <c r="Y271" i="57" s="1" a="1"/>
  <c r="Y271" i="57" s="1"/>
  <c r="M25" i="56"/>
  <c r="I80" i="57" s="1"/>
  <c r="N37" i="56"/>
  <c r="I192" i="57" s="1"/>
  <c r="H42" i="56"/>
  <c r="Z261" i="57" s="1" a="1"/>
  <c r="Z261" i="57" s="1"/>
  <c r="G9" i="56"/>
  <c r="X214" i="57" s="1" a="1"/>
  <c r="X214" i="57" s="1"/>
  <c r="N25" i="56"/>
  <c r="I142" i="57" s="1"/>
  <c r="P11" i="56"/>
  <c r="H286" i="57" s="1"/>
  <c r="N12" i="56"/>
  <c r="H167" i="57" s="1"/>
  <c r="G45" i="56"/>
  <c r="Z214" i="57" s="1" a="1"/>
  <c r="Z214" i="57" s="1"/>
  <c r="G48" i="56"/>
  <c r="Z229" i="57" s="1" a="1"/>
  <c r="Z229" i="57" s="1"/>
  <c r="O48" i="56"/>
  <c r="J229" i="57" s="1" a="1"/>
  <c r="J229" i="57" s="1"/>
  <c r="M34" i="56"/>
  <c r="I125" i="57" s="1"/>
  <c r="L46" i="56"/>
  <c r="J33" i="57" s="1" a="1"/>
  <c r="J33" i="57" s="1"/>
  <c r="H24" i="56"/>
  <c r="Y261" i="57" s="1" a="1"/>
  <c r="Y261" i="57" s="1"/>
  <c r="N51" i="56"/>
  <c r="J182" i="57" s="1" a="1"/>
  <c r="J182" i="57" s="1"/>
  <c r="O37" i="56"/>
  <c r="I254" i="57" s="1"/>
  <c r="G14" i="56"/>
  <c r="X239" i="57" s="1" a="1"/>
  <c r="X239" i="57" s="1"/>
  <c r="P52" i="56"/>
  <c r="J311" i="57" s="1" a="1"/>
  <c r="J311" i="57" s="1"/>
  <c r="M27" i="56"/>
  <c r="I90" i="57" s="1"/>
  <c r="H44" i="56"/>
  <c r="Z271" i="57" s="1" a="1"/>
  <c r="Z271" i="57" s="1"/>
  <c r="H63" i="56"/>
  <c r="AA276" i="57" s="1" a="1"/>
  <c r="AA276" i="57" s="1"/>
  <c r="M43" i="56"/>
  <c r="J80" i="57" s="1" a="1"/>
  <c r="J80" i="57" s="1"/>
  <c r="P24" i="56"/>
  <c r="I261" i="57" s="1"/>
  <c r="M9" i="56"/>
  <c r="H90" i="57" s="1"/>
  <c r="L32" i="56"/>
  <c r="I53" i="57" s="1"/>
  <c r="P8" i="56"/>
  <c r="H271" i="57" s="1"/>
  <c r="H13" i="56"/>
  <c r="X296" i="57" s="1" a="1"/>
  <c r="X296" i="57" s="1"/>
  <c r="N28" i="56"/>
  <c r="I157" i="57" s="1"/>
  <c r="M37" i="56"/>
  <c r="I130" i="57" s="1"/>
  <c r="H66" i="56"/>
  <c r="AA291" i="57" s="1" a="1"/>
  <c r="AA291" i="57" s="1"/>
  <c r="L31" i="56"/>
  <c r="I48" i="57" s="1"/>
  <c r="L73" i="56"/>
  <c r="K68" i="57" s="1" a="1"/>
  <c r="K68" i="57" s="1"/>
  <c r="H46" i="56"/>
  <c r="Z281" i="57" s="1" a="1"/>
  <c r="Z281" i="57" s="1"/>
  <c r="P7" i="56"/>
  <c r="H266" i="57" s="1"/>
  <c r="L65" i="56"/>
  <c r="K38" i="57" s="1" a="1"/>
  <c r="K38" i="57" s="1"/>
  <c r="M69" i="56"/>
  <c r="K120" i="57" s="1" a="1"/>
  <c r="K120" i="57" s="1"/>
  <c r="G61" i="56"/>
  <c r="AA204" i="57" s="1" a="1"/>
  <c r="AA204" i="57" s="1"/>
  <c r="H65" i="56"/>
  <c r="AA286" i="57" s="1" a="1"/>
  <c r="AA286" i="57" s="1"/>
  <c r="N34" i="56"/>
  <c r="I187" i="57" s="1"/>
  <c r="P33" i="56"/>
  <c r="I306" i="57" s="1"/>
  <c r="L30" i="56"/>
  <c r="I43" i="57" s="1"/>
  <c r="G50" i="56"/>
  <c r="Z239" i="57" s="1" a="1"/>
  <c r="Z239" i="57" s="1"/>
  <c r="G8" i="56"/>
  <c r="X209" i="57" s="1" a="1"/>
  <c r="X209" i="57" s="1"/>
  <c r="G68" i="56"/>
  <c r="AA239" i="57" s="1" a="1"/>
  <c r="AA239" i="57" s="1"/>
  <c r="M29" i="56"/>
  <c r="I100" i="57" s="1"/>
  <c r="J20" i="57"/>
  <c r="J19" i="57"/>
  <c r="J22" i="57"/>
  <c r="J21" i="57"/>
  <c r="G10" i="56"/>
  <c r="X219" i="57" s="1" a="1"/>
  <c r="X219" i="57" s="1"/>
  <c r="O49" i="56"/>
  <c r="J234" i="57" s="1" a="1"/>
  <c r="J234" i="57" s="1"/>
  <c r="L33" i="56"/>
  <c r="I58" i="57" s="1"/>
  <c r="N50" i="56"/>
  <c r="J177" i="57" s="1" a="1"/>
  <c r="J177" i="57" s="1"/>
  <c r="G42" i="56"/>
  <c r="Z199" i="57" s="1" a="1"/>
  <c r="Z199" i="57" s="1"/>
  <c r="G64" i="56"/>
  <c r="AA219" i="57" s="1" a="1"/>
  <c r="AA219" i="57" s="1"/>
  <c r="L63" i="56"/>
  <c r="K28" i="57" s="1" a="1"/>
  <c r="K28" i="57" s="1"/>
  <c r="O24" i="56"/>
  <c r="I199" i="57" s="1"/>
  <c r="O13" i="56"/>
  <c r="H234" i="57" s="1"/>
  <c r="L25" i="56"/>
  <c r="I18" i="57" s="1"/>
  <c r="N66" i="56"/>
  <c r="K167" i="57" s="1" a="1"/>
  <c r="K167" i="57" s="1"/>
  <c r="M7" i="56"/>
  <c r="H80" i="57" s="1"/>
  <c r="P31" i="56"/>
  <c r="I296" i="57" s="1"/>
  <c r="L14" i="56"/>
  <c r="H53" i="57" s="1"/>
  <c r="G6" i="56"/>
  <c r="X199" i="57" s="1" a="1"/>
  <c r="X199" i="57" s="1"/>
  <c r="O15" i="56"/>
  <c r="H244" i="57" s="1"/>
  <c r="O30" i="56"/>
  <c r="I229" i="57" s="1"/>
  <c r="H67" i="56"/>
  <c r="AA296" i="57" s="1" a="1"/>
  <c r="AA296" i="57" s="1"/>
  <c r="M47" i="56"/>
  <c r="J100" i="57" s="1" a="1"/>
  <c r="J100" i="57" s="1"/>
  <c r="J101" i="57" l="1"/>
  <c r="J104" i="57"/>
  <c r="J102" i="57"/>
  <c r="J103" i="57"/>
  <c r="X203" i="57"/>
  <c r="AB203" i="57" s="1"/>
  <c r="X200" i="57"/>
  <c r="AB200" i="57" s="1"/>
  <c r="AF200" i="57" s="1"/>
  <c r="Q389" i="12" s="1"/>
  <c r="X202" i="57"/>
  <c r="AB202" i="57" s="1"/>
  <c r="AB199" i="57"/>
  <c r="X201" i="57"/>
  <c r="AB201" i="57" s="1"/>
  <c r="K168" i="57"/>
  <c r="K171" i="57"/>
  <c r="K170" i="57"/>
  <c r="K169" i="57"/>
  <c r="K31" i="57"/>
  <c r="K32" i="57"/>
  <c r="K30" i="57"/>
  <c r="K29" i="57"/>
  <c r="Z201" i="57"/>
  <c r="AD201" i="57" s="1"/>
  <c r="Z200" i="57"/>
  <c r="AD200" i="57" s="1"/>
  <c r="AH200" i="57" s="1"/>
  <c r="S389" i="12" s="1"/>
  <c r="Z203" i="57"/>
  <c r="AD203" i="57" s="1"/>
  <c r="AH203" i="57" s="1"/>
  <c r="S392" i="12" s="1"/>
  <c r="Z202" i="57"/>
  <c r="AD202" i="57" s="1"/>
  <c r="AD199" i="57"/>
  <c r="X223" i="57"/>
  <c r="AB223" i="57" s="1"/>
  <c r="X221" i="57"/>
  <c r="AB221" i="57" s="1"/>
  <c r="X222" i="57"/>
  <c r="AB222" i="57" s="1"/>
  <c r="AB219" i="57"/>
  <c r="X220" i="57"/>
  <c r="AB220" i="57" s="1"/>
  <c r="AF220" i="57" s="1"/>
  <c r="Q409" i="12" s="1"/>
  <c r="AA243" i="57"/>
  <c r="AE243" i="57" s="1"/>
  <c r="AI243" i="57" s="1"/>
  <c r="T432" i="12" s="1"/>
  <c r="AA242" i="57"/>
  <c r="AE242" i="57" s="1"/>
  <c r="AA241" i="57"/>
  <c r="AE241" i="57" s="1"/>
  <c r="AA240" i="57"/>
  <c r="AE240" i="57" s="1"/>
  <c r="AI240" i="57" s="1"/>
  <c r="T429" i="12" s="1"/>
  <c r="AE239" i="57"/>
  <c r="AI239" i="57" s="1"/>
  <c r="T428" i="12" s="1"/>
  <c r="Z240" i="57"/>
  <c r="AD240" i="57" s="1"/>
  <c r="AH240" i="57" s="1"/>
  <c r="S429" i="12" s="1"/>
  <c r="AD239" i="57"/>
  <c r="Z243" i="57"/>
  <c r="AD243" i="57" s="1"/>
  <c r="Z242" i="57"/>
  <c r="AD242" i="57" s="1"/>
  <c r="AH242" i="57" s="1"/>
  <c r="S431" i="12" s="1"/>
  <c r="Z241" i="57"/>
  <c r="AD241" i="57" s="1"/>
  <c r="AH241" i="57" s="1"/>
  <c r="S430" i="12" s="1"/>
  <c r="AA287" i="57"/>
  <c r="AE287" i="57" s="1"/>
  <c r="AI287" i="57" s="1"/>
  <c r="T476" i="12" s="1"/>
  <c r="AA290" i="57"/>
  <c r="AE290" i="57" s="1"/>
  <c r="AE286" i="57"/>
  <c r="AA289" i="57"/>
  <c r="AE289" i="57" s="1"/>
  <c r="AA288" i="57"/>
  <c r="AE288" i="57" s="1"/>
  <c r="AI288" i="57" s="1"/>
  <c r="T477" i="12" s="1"/>
  <c r="K124" i="57"/>
  <c r="K122" i="57"/>
  <c r="K123" i="57"/>
  <c r="K121" i="57"/>
  <c r="K70" i="57"/>
  <c r="K69" i="57"/>
  <c r="K72" i="57"/>
  <c r="K71" i="57"/>
  <c r="AA292" i="57"/>
  <c r="AE292" i="57" s="1"/>
  <c r="AI292" i="57" s="1"/>
  <c r="T481" i="12" s="1"/>
  <c r="AA295" i="57"/>
  <c r="AE295" i="57" s="1"/>
  <c r="AA293" i="57"/>
  <c r="AE293" i="57" s="1"/>
  <c r="AE291" i="57"/>
  <c r="AI291" i="57" s="1"/>
  <c r="T480" i="12" s="1"/>
  <c r="AA294" i="57"/>
  <c r="AE294" i="57" s="1"/>
  <c r="J83" i="57"/>
  <c r="J81" i="57"/>
  <c r="J84" i="57"/>
  <c r="J82" i="57"/>
  <c r="Z273" i="57"/>
  <c r="AD273" i="57" s="1"/>
  <c r="AD271" i="57"/>
  <c r="Z275" i="57"/>
  <c r="AD275" i="57" s="1"/>
  <c r="Z272" i="57"/>
  <c r="AD272" i="57" s="1"/>
  <c r="AH272" i="57" s="1"/>
  <c r="S461" i="12" s="1"/>
  <c r="Z274" i="57"/>
  <c r="AD274" i="57" s="1"/>
  <c r="AH274" i="57" s="1"/>
  <c r="S463" i="12" s="1"/>
  <c r="J314" i="57"/>
  <c r="J313" i="57"/>
  <c r="J312" i="57"/>
  <c r="J315" i="57"/>
  <c r="Y265" i="57"/>
  <c r="AC265" i="57" s="1"/>
  <c r="AC261" i="57"/>
  <c r="Y264" i="57"/>
  <c r="AC264" i="57" s="1"/>
  <c r="Y263" i="57"/>
  <c r="AC263" i="57" s="1"/>
  <c r="Y262" i="57"/>
  <c r="AC262" i="57" s="1"/>
  <c r="AG262" i="57" s="1"/>
  <c r="Z231" i="57"/>
  <c r="AD231" i="57" s="1"/>
  <c r="Z230" i="57"/>
  <c r="AD230" i="57" s="1"/>
  <c r="AH230" i="57" s="1"/>
  <c r="Z232" i="57"/>
  <c r="AD232" i="57" s="1"/>
  <c r="AH232" i="57" s="1"/>
  <c r="Z233" i="57"/>
  <c r="AD233" i="57" s="1"/>
  <c r="AD229" i="57"/>
  <c r="AH229" i="57" s="1"/>
  <c r="Z263" i="57"/>
  <c r="AD263" i="57" s="1"/>
  <c r="Z262" i="57"/>
  <c r="AD262" i="57" s="1"/>
  <c r="AH262" i="57" s="1"/>
  <c r="AD261" i="57"/>
  <c r="Z265" i="57"/>
  <c r="AD265" i="57" s="1"/>
  <c r="Z264" i="57"/>
  <c r="AD264" i="57" s="1"/>
  <c r="X320" i="57"/>
  <c r="AB320" i="57" s="1"/>
  <c r="AF320" i="57" s="1"/>
  <c r="Q509" i="12" s="1"/>
  <c r="X319" i="57"/>
  <c r="AB319" i="57" s="1"/>
  <c r="X318" i="57"/>
  <c r="AB318" i="57" s="1"/>
  <c r="X317" i="57"/>
  <c r="AB317" i="57" s="1"/>
  <c r="AF317" i="57" s="1"/>
  <c r="Q506" i="12" s="1"/>
  <c r="AB316" i="57"/>
  <c r="Z252" i="57"/>
  <c r="AD252" i="57" s="1"/>
  <c r="Z251" i="57"/>
  <c r="AD251" i="57" s="1"/>
  <c r="AD249" i="57"/>
  <c r="Z250" i="57"/>
  <c r="AD250" i="57" s="1"/>
  <c r="AH250" i="57" s="1"/>
  <c r="S439" i="12" s="1"/>
  <c r="Z253" i="57"/>
  <c r="AD253" i="57" s="1"/>
  <c r="AH253" i="57" s="1"/>
  <c r="S442" i="12" s="1"/>
  <c r="K267" i="57"/>
  <c r="K270" i="57"/>
  <c r="K269" i="57"/>
  <c r="K268" i="57"/>
  <c r="J279" i="57"/>
  <c r="J278" i="57"/>
  <c r="J277" i="57"/>
  <c r="J280" i="57"/>
  <c r="K62" i="57"/>
  <c r="K61" i="57"/>
  <c r="K59" i="57"/>
  <c r="K60" i="57"/>
  <c r="AA250" i="57"/>
  <c r="AE250" i="57" s="1"/>
  <c r="AI250" i="57" s="1"/>
  <c r="T439" i="12" s="1"/>
  <c r="AA253" i="57"/>
  <c r="AE253" i="57" s="1"/>
  <c r="AE249" i="57"/>
  <c r="AI249" i="57" s="1"/>
  <c r="T438" i="12" s="1"/>
  <c r="AA252" i="57"/>
  <c r="AE252" i="57" s="1"/>
  <c r="AA251" i="57"/>
  <c r="AE251" i="57" s="1"/>
  <c r="AI251" i="57" s="1"/>
  <c r="T440" i="12" s="1"/>
  <c r="J299" i="57"/>
  <c r="J298" i="57"/>
  <c r="J297" i="57"/>
  <c r="J300" i="57"/>
  <c r="Y225" i="57"/>
  <c r="AC225" i="57" s="1"/>
  <c r="AG225" i="57" s="1"/>
  <c r="R414" i="12" s="1"/>
  <c r="AC224" i="57"/>
  <c r="AG224" i="57" s="1"/>
  <c r="R413" i="12" s="1"/>
  <c r="Y226" i="57"/>
  <c r="AC226" i="57" s="1"/>
  <c r="Y227" i="57"/>
  <c r="AC227" i="57" s="1"/>
  <c r="Y228" i="57"/>
  <c r="AC228" i="57" s="1"/>
  <c r="X314" i="57"/>
  <c r="AB314" i="57" s="1"/>
  <c r="X313" i="57"/>
  <c r="AB313" i="57" s="1"/>
  <c r="X312" i="57"/>
  <c r="AB312" i="57" s="1"/>
  <c r="AF312" i="57" s="1"/>
  <c r="Q501" i="12" s="1"/>
  <c r="X315" i="57"/>
  <c r="AB315" i="57" s="1"/>
  <c r="AB311" i="57"/>
  <c r="AF311" i="57" s="1"/>
  <c r="Q500" i="12" s="1"/>
  <c r="J107" i="57"/>
  <c r="J106" i="57"/>
  <c r="J109" i="57"/>
  <c r="J108" i="57"/>
  <c r="X225" i="57"/>
  <c r="AB225" i="57" s="1"/>
  <c r="AF225" i="57" s="1"/>
  <c r="Q414" i="12" s="1"/>
  <c r="X228" i="57"/>
  <c r="AB228" i="57" s="1"/>
  <c r="AB224" i="57"/>
  <c r="X227" i="57"/>
  <c r="AB227" i="57" s="1"/>
  <c r="X226" i="57"/>
  <c r="AB226" i="57" s="1"/>
  <c r="AF226" i="57" s="1"/>
  <c r="Q415" i="12" s="1"/>
  <c r="K235" i="57"/>
  <c r="K238" i="57"/>
  <c r="K237" i="57"/>
  <c r="K236" i="57"/>
  <c r="Z278" i="57"/>
  <c r="AD278" i="57" s="1"/>
  <c r="Z277" i="57"/>
  <c r="AD277" i="57" s="1"/>
  <c r="AH277" i="57" s="1"/>
  <c r="S466" i="12" s="1"/>
  <c r="Z280" i="57"/>
  <c r="AD280" i="57" s="1"/>
  <c r="AH280" i="57" s="1"/>
  <c r="S469" i="12" s="1"/>
  <c r="Z279" i="57"/>
  <c r="AD279" i="57" s="1"/>
  <c r="AD276" i="57"/>
  <c r="J132" i="57"/>
  <c r="J131" i="57"/>
  <c r="J134" i="57"/>
  <c r="J133" i="57"/>
  <c r="AE234" i="57"/>
  <c r="AA238" i="57"/>
  <c r="AE238" i="57" s="1"/>
  <c r="AA235" i="57"/>
  <c r="AE235" i="57" s="1"/>
  <c r="AI235" i="57" s="1"/>
  <c r="T424" i="12" s="1"/>
  <c r="AA236" i="57"/>
  <c r="AE236" i="57" s="1"/>
  <c r="AI236" i="57" s="1"/>
  <c r="T425" i="12" s="1"/>
  <c r="AA237" i="57"/>
  <c r="AE237" i="57" s="1"/>
  <c r="Z228" i="57"/>
  <c r="AD228" i="57" s="1"/>
  <c r="AH228" i="57" s="1"/>
  <c r="S417" i="12" s="1"/>
  <c r="Z227" i="57"/>
  <c r="AD227" i="57" s="1"/>
  <c r="Z226" i="57"/>
  <c r="AD226" i="57" s="1"/>
  <c r="Z225" i="57"/>
  <c r="AD225" i="57" s="1"/>
  <c r="AH225" i="57" s="1"/>
  <c r="S414" i="12" s="1"/>
  <c r="AD224" i="57"/>
  <c r="AH224" i="57" s="1"/>
  <c r="S413" i="12" s="1"/>
  <c r="J97" i="57"/>
  <c r="J96" i="57"/>
  <c r="J99" i="57"/>
  <c r="J98" i="57"/>
  <c r="X263" i="57"/>
  <c r="AB263" i="57" s="1"/>
  <c r="X262" i="57"/>
  <c r="AB262" i="57" s="1"/>
  <c r="AF262" i="57" s="1"/>
  <c r="X265" i="57"/>
  <c r="AB265" i="57" s="1"/>
  <c r="AB261" i="57"/>
  <c r="AF261" i="57" s="1"/>
  <c r="X264" i="57"/>
  <c r="AB264" i="57" s="1"/>
  <c r="Y308" i="57"/>
  <c r="AC308" i="57" s="1"/>
  <c r="Y307" i="57"/>
  <c r="AC307" i="57" s="1"/>
  <c r="AG307" i="57" s="1"/>
  <c r="R496" i="12" s="1"/>
  <c r="Y310" i="57"/>
  <c r="AC310" i="57" s="1"/>
  <c r="AC306" i="57"/>
  <c r="Y309" i="57"/>
  <c r="AC309" i="57" s="1"/>
  <c r="AG309" i="57" s="1"/>
  <c r="R498" i="12" s="1"/>
  <c r="J273" i="57"/>
  <c r="J274" i="57"/>
  <c r="J272" i="57"/>
  <c r="J275" i="57"/>
  <c r="K307" i="57"/>
  <c r="K310" i="57"/>
  <c r="K309" i="57"/>
  <c r="K308" i="57"/>
  <c r="K49" i="57"/>
  <c r="K52" i="57"/>
  <c r="K51" i="57"/>
  <c r="K50" i="57"/>
  <c r="J169" i="57"/>
  <c r="J168" i="57"/>
  <c r="J171" i="57"/>
  <c r="J170" i="57"/>
  <c r="Z255" i="57"/>
  <c r="AD255" i="57" s="1"/>
  <c r="AH255" i="57" s="1"/>
  <c r="S444" i="12" s="1"/>
  <c r="Z258" i="57"/>
  <c r="AD258" i="57" s="1"/>
  <c r="AH258" i="57" s="1"/>
  <c r="S447" i="12" s="1"/>
  <c r="Z256" i="57"/>
  <c r="AD256" i="57" s="1"/>
  <c r="Z257" i="57"/>
  <c r="AD257" i="57" s="1"/>
  <c r="AD254" i="57"/>
  <c r="Z297" i="57"/>
  <c r="AD297" i="57" s="1"/>
  <c r="AH297" i="57" s="1"/>
  <c r="S486" i="12" s="1"/>
  <c r="Z300" i="57"/>
  <c r="AD300" i="57" s="1"/>
  <c r="AD296" i="57"/>
  <c r="Z299" i="57"/>
  <c r="AD299" i="57" s="1"/>
  <c r="Z298" i="57"/>
  <c r="AD298" i="57" s="1"/>
  <c r="AH298" i="57" s="1"/>
  <c r="S487" i="12" s="1"/>
  <c r="AA218" i="57"/>
  <c r="AE218" i="57" s="1"/>
  <c r="AA217" i="57"/>
  <c r="AE217" i="57" s="1"/>
  <c r="AE214" i="57"/>
  <c r="AA216" i="57"/>
  <c r="AE216" i="57" s="1"/>
  <c r="AI216" i="57" s="1"/>
  <c r="T405" i="12" s="1"/>
  <c r="AA215" i="57"/>
  <c r="AE215" i="57" s="1"/>
  <c r="AI215" i="57" s="1"/>
  <c r="T404" i="12" s="1"/>
  <c r="K119" i="57"/>
  <c r="K117" i="57"/>
  <c r="K118" i="57"/>
  <c r="K116" i="57"/>
  <c r="K180" i="57"/>
  <c r="K179" i="57"/>
  <c r="K178" i="57"/>
  <c r="K181" i="57"/>
  <c r="Z267" i="57"/>
  <c r="AD267" i="57" s="1"/>
  <c r="AH267" i="57" s="1"/>
  <c r="S456" i="12" s="1"/>
  <c r="AD266" i="57"/>
  <c r="Z270" i="57"/>
  <c r="AD270" i="57" s="1"/>
  <c r="AH270" i="57" s="1"/>
  <c r="S459" i="12" s="1"/>
  <c r="Z268" i="57"/>
  <c r="AD268" i="57" s="1"/>
  <c r="Z269" i="57"/>
  <c r="AD269" i="57" s="1"/>
  <c r="K258" i="57"/>
  <c r="K257" i="57"/>
  <c r="K256" i="57"/>
  <c r="K255" i="57"/>
  <c r="J202" i="57"/>
  <c r="J201" i="57"/>
  <c r="J200" i="57"/>
  <c r="J203" i="57"/>
  <c r="J175" i="57"/>
  <c r="J173" i="57"/>
  <c r="J176" i="57"/>
  <c r="J174" i="57"/>
  <c r="Z245" i="57"/>
  <c r="AD245" i="57" s="1"/>
  <c r="AH245" i="57" s="1"/>
  <c r="S434" i="12" s="1"/>
  <c r="Z248" i="57"/>
  <c r="AD248" i="57" s="1"/>
  <c r="AH248" i="57" s="1"/>
  <c r="S437" i="12" s="1"/>
  <c r="Z247" i="57"/>
  <c r="AD247" i="57" s="1"/>
  <c r="Z246" i="57"/>
  <c r="AD246" i="57" s="1"/>
  <c r="AD244" i="57"/>
  <c r="J148" i="57"/>
  <c r="J151" i="57"/>
  <c r="J150" i="57"/>
  <c r="J149" i="57"/>
  <c r="Y312" i="57"/>
  <c r="AC312" i="57" s="1"/>
  <c r="AG312" i="57" s="1"/>
  <c r="R501" i="12" s="1"/>
  <c r="Y315" i="57"/>
  <c r="AC315" i="57" s="1"/>
  <c r="AC311" i="57"/>
  <c r="Y314" i="57"/>
  <c r="AC314" i="57" s="1"/>
  <c r="Y313" i="57"/>
  <c r="AC313" i="57" s="1"/>
  <c r="Y284" i="57"/>
  <c r="AC284" i="57" s="1"/>
  <c r="AC281" i="57"/>
  <c r="Y283" i="57"/>
  <c r="AC283" i="57" s="1"/>
  <c r="Y285" i="57"/>
  <c r="AC285" i="57" s="1"/>
  <c r="AG285" i="57" s="1"/>
  <c r="R474" i="12" s="1"/>
  <c r="Y282" i="57"/>
  <c r="AC282" i="57" s="1"/>
  <c r="AG282" i="57" s="1"/>
  <c r="R471" i="12" s="1"/>
  <c r="AA226" i="57"/>
  <c r="AE226" i="57" s="1"/>
  <c r="AA225" i="57"/>
  <c r="AE225" i="57" s="1"/>
  <c r="AI225" i="57" s="1"/>
  <c r="T414" i="12" s="1"/>
  <c r="AA228" i="57"/>
  <c r="AE228" i="57" s="1"/>
  <c r="AE224" i="57"/>
  <c r="AA227" i="57"/>
  <c r="AE227" i="57" s="1"/>
  <c r="J227" i="57"/>
  <c r="J226" i="57"/>
  <c r="J225" i="57"/>
  <c r="J228" i="57"/>
  <c r="AA233" i="57"/>
  <c r="AE233" i="57" s="1"/>
  <c r="AA231" i="57"/>
  <c r="AE231" i="57" s="1"/>
  <c r="AA232" i="57"/>
  <c r="AE232" i="57" s="1"/>
  <c r="AA230" i="57"/>
  <c r="AE230" i="57" s="1"/>
  <c r="AI230" i="57" s="1"/>
  <c r="AE229" i="57"/>
  <c r="K159" i="57"/>
  <c r="K158" i="57"/>
  <c r="K160" i="57"/>
  <c r="K161" i="57"/>
  <c r="J88" i="57"/>
  <c r="J89" i="57"/>
  <c r="J87" i="57"/>
  <c r="J86" i="57"/>
  <c r="X257" i="57"/>
  <c r="AB257" i="57" s="1"/>
  <c r="X258" i="57"/>
  <c r="AB258" i="57" s="1"/>
  <c r="X256" i="57"/>
  <c r="AB256" i="57" s="1"/>
  <c r="X255" i="57"/>
  <c r="AB255" i="57" s="1"/>
  <c r="AF255" i="57" s="1"/>
  <c r="Q444" i="12" s="1"/>
  <c r="AB254" i="57"/>
  <c r="J25" i="57"/>
  <c r="J24" i="57"/>
  <c r="J27" i="57"/>
  <c r="J26" i="57"/>
  <c r="Z220" i="57"/>
  <c r="AD220" i="57" s="1"/>
  <c r="AH220" i="57" s="1"/>
  <c r="S409" i="12" s="1"/>
  <c r="Z223" i="57"/>
  <c r="AD223" i="57" s="1"/>
  <c r="Z222" i="57"/>
  <c r="AD222" i="57" s="1"/>
  <c r="Z221" i="57"/>
  <c r="AD221" i="57" s="1"/>
  <c r="AH221" i="57" s="1"/>
  <c r="S410" i="12" s="1"/>
  <c r="AD219" i="57"/>
  <c r="J51" i="57"/>
  <c r="J52" i="57"/>
  <c r="J50" i="57"/>
  <c r="J49" i="57"/>
  <c r="Z210" i="57"/>
  <c r="AD210" i="57" s="1"/>
  <c r="AH210" i="57" s="1"/>
  <c r="S399" i="12" s="1"/>
  <c r="Z213" i="57"/>
  <c r="AD213" i="57" s="1"/>
  <c r="Z212" i="57"/>
  <c r="AD212" i="57" s="1"/>
  <c r="Z211" i="57"/>
  <c r="AD211" i="57" s="1"/>
  <c r="AD209" i="57"/>
  <c r="AH209" i="57" s="1"/>
  <c r="S398" i="12" s="1"/>
  <c r="K54" i="57"/>
  <c r="K57" i="57"/>
  <c r="K56" i="57"/>
  <c r="K55" i="57"/>
  <c r="AA310" i="57"/>
  <c r="AE310" i="57" s="1"/>
  <c r="AA309" i="57"/>
  <c r="AE309" i="57" s="1"/>
  <c r="AA308" i="57"/>
  <c r="AE308" i="57" s="1"/>
  <c r="AA307" i="57"/>
  <c r="AE307" i="57" s="1"/>
  <c r="AI307" i="57" s="1"/>
  <c r="T496" i="12" s="1"/>
  <c r="AE306" i="57"/>
  <c r="Y232" i="57"/>
  <c r="AC232" i="57" s="1"/>
  <c r="Y231" i="57"/>
  <c r="AC231" i="57" s="1"/>
  <c r="Y230" i="57"/>
  <c r="AC230" i="57" s="1"/>
  <c r="AG230" i="57" s="1"/>
  <c r="Y233" i="57"/>
  <c r="AC233" i="57" s="1"/>
  <c r="AC229" i="57"/>
  <c r="AG229" i="57" s="1"/>
  <c r="K287" i="57"/>
  <c r="K290" i="57"/>
  <c r="K289" i="57"/>
  <c r="K288" i="57"/>
  <c r="Z207" i="57"/>
  <c r="AD207" i="57" s="1"/>
  <c r="Z206" i="57"/>
  <c r="AD206" i="57" s="1"/>
  <c r="Z205" i="57"/>
  <c r="AD205" i="57" s="1"/>
  <c r="AH205" i="57" s="1"/>
  <c r="Z208" i="57"/>
  <c r="AD208" i="57" s="1"/>
  <c r="AH208" i="57" s="1"/>
  <c r="AD204" i="57"/>
  <c r="J247" i="57"/>
  <c r="J246" i="57"/>
  <c r="J245" i="57"/>
  <c r="J248" i="57"/>
  <c r="J56" i="57"/>
  <c r="J55" i="57"/>
  <c r="J54" i="57"/>
  <c r="J57" i="57"/>
  <c r="J156" i="57"/>
  <c r="J155" i="57"/>
  <c r="J154" i="57"/>
  <c r="J153" i="57"/>
  <c r="J64" i="57"/>
  <c r="J67" i="57"/>
  <c r="J66" i="57"/>
  <c r="J65" i="57"/>
  <c r="J215" i="57"/>
  <c r="J218" i="57"/>
  <c r="J216" i="57"/>
  <c r="J217" i="57"/>
  <c r="Y290" i="57"/>
  <c r="AC290" i="57" s="1"/>
  <c r="AC286" i="57"/>
  <c r="Y288" i="57"/>
  <c r="AC288" i="57" s="1"/>
  <c r="AG288" i="57" s="1"/>
  <c r="R477" i="12" s="1"/>
  <c r="Y289" i="57"/>
  <c r="AC289" i="57" s="1"/>
  <c r="Y287" i="57"/>
  <c r="AC287" i="57" s="1"/>
  <c r="AG287" i="57" s="1"/>
  <c r="R476" i="12" s="1"/>
  <c r="J318" i="57"/>
  <c r="J317" i="57"/>
  <c r="J320" i="57"/>
  <c r="J319" i="57"/>
  <c r="J308" i="57"/>
  <c r="J307" i="57"/>
  <c r="J310" i="57"/>
  <c r="J309" i="57"/>
  <c r="Y217" i="57"/>
  <c r="AC217" i="57" s="1"/>
  <c r="Y216" i="57"/>
  <c r="AC216" i="57" s="1"/>
  <c r="AG216" i="57" s="1"/>
  <c r="R405" i="12" s="1"/>
  <c r="Y218" i="57"/>
  <c r="AC218" i="57" s="1"/>
  <c r="Y215" i="57"/>
  <c r="AC215" i="57" s="1"/>
  <c r="AG215" i="57" s="1"/>
  <c r="R404" i="12" s="1"/>
  <c r="AC214" i="57"/>
  <c r="K91" i="57"/>
  <c r="K94" i="57"/>
  <c r="K92" i="57"/>
  <c r="K93" i="57"/>
  <c r="Y299" i="57"/>
  <c r="AC299" i="57" s="1"/>
  <c r="Y298" i="57"/>
  <c r="AC298" i="57" s="1"/>
  <c r="Y297" i="57"/>
  <c r="AC297" i="57" s="1"/>
  <c r="AG297" i="57" s="1"/>
  <c r="R486" i="12" s="1"/>
  <c r="Y300" i="57"/>
  <c r="AC300" i="57" s="1"/>
  <c r="AC296" i="57"/>
  <c r="AG296" i="57" s="1"/>
  <c r="R485" i="12" s="1"/>
  <c r="J242" i="57"/>
  <c r="J240" i="57"/>
  <c r="J243" i="57"/>
  <c r="J241" i="57"/>
  <c r="K165" i="57"/>
  <c r="K163" i="57"/>
  <c r="K166" i="57"/>
  <c r="K164" i="57"/>
  <c r="K277" i="57"/>
  <c r="K280" i="57"/>
  <c r="K279" i="57"/>
  <c r="K278" i="57"/>
  <c r="J122" i="57"/>
  <c r="J123" i="57"/>
  <c r="J121" i="57"/>
  <c r="J124" i="57"/>
  <c r="Y270" i="57"/>
  <c r="AC270" i="57" s="1"/>
  <c r="Y269" i="57"/>
  <c r="AC269" i="57" s="1"/>
  <c r="Y268" i="57"/>
  <c r="AC268" i="57" s="1"/>
  <c r="Y267" i="57"/>
  <c r="AC267" i="57" s="1"/>
  <c r="AG267" i="57" s="1"/>
  <c r="R456" i="12" s="1"/>
  <c r="AC266" i="57"/>
  <c r="K141" i="57"/>
  <c r="K138" i="57"/>
  <c r="K139" i="57"/>
  <c r="K140" i="57"/>
  <c r="J129" i="57"/>
  <c r="J128" i="57"/>
  <c r="J127" i="57"/>
  <c r="J126" i="57"/>
  <c r="J144" i="57"/>
  <c r="J145" i="57"/>
  <c r="J143" i="57"/>
  <c r="J146" i="57"/>
  <c r="K208" i="57"/>
  <c r="K207" i="57"/>
  <c r="K206" i="57"/>
  <c r="K205" i="57"/>
  <c r="Z304" i="57"/>
  <c r="AD304" i="57" s="1"/>
  <c r="Z303" i="57"/>
  <c r="AD303" i="57" s="1"/>
  <c r="Z302" i="57"/>
  <c r="AD302" i="57" s="1"/>
  <c r="AH302" i="57" s="1"/>
  <c r="S491" i="12" s="1"/>
  <c r="Z305" i="57"/>
  <c r="AD305" i="57" s="1"/>
  <c r="AD301" i="57"/>
  <c r="AH301" i="57" s="1"/>
  <c r="S490" i="12" s="1"/>
  <c r="J164" i="57"/>
  <c r="J163" i="57"/>
  <c r="J166" i="57"/>
  <c r="J165" i="57"/>
  <c r="Y237" i="57"/>
  <c r="AC237" i="57" s="1"/>
  <c r="Y236" i="57"/>
  <c r="AC236" i="57" s="1"/>
  <c r="AG236" i="57" s="1"/>
  <c r="R425" i="12" s="1"/>
  <c r="AC234" i="57"/>
  <c r="Y235" i="57"/>
  <c r="AC235" i="57" s="1"/>
  <c r="AG235" i="57" s="1"/>
  <c r="R424" i="12" s="1"/>
  <c r="Y238" i="57"/>
  <c r="AC238" i="57" s="1"/>
  <c r="AG238" i="57" s="1"/>
  <c r="R427" i="12" s="1"/>
  <c r="Y207" i="57"/>
  <c r="AC207" i="57" s="1"/>
  <c r="Y206" i="57"/>
  <c r="AC206" i="57" s="1"/>
  <c r="Y208" i="57"/>
  <c r="AC208" i="57" s="1"/>
  <c r="Y205" i="57"/>
  <c r="AC205" i="57" s="1"/>
  <c r="AG205" i="57" s="1"/>
  <c r="AC204" i="57"/>
  <c r="AG204" i="57" s="1"/>
  <c r="Z237" i="57"/>
  <c r="AD237" i="57" s="1"/>
  <c r="Z236" i="57"/>
  <c r="AD236" i="57" s="1"/>
  <c r="Z238" i="57"/>
  <c r="AD238" i="57" s="1"/>
  <c r="Z235" i="57"/>
  <c r="AD235" i="57" s="1"/>
  <c r="AH235" i="57" s="1"/>
  <c r="S424" i="12" s="1"/>
  <c r="AD234" i="57"/>
  <c r="J304" i="57"/>
  <c r="J303" i="57"/>
  <c r="J302" i="57"/>
  <c r="J305" i="57"/>
  <c r="J190" i="57"/>
  <c r="J188" i="57"/>
  <c r="J189" i="57"/>
  <c r="J191" i="57"/>
  <c r="K194" i="57"/>
  <c r="K193" i="57"/>
  <c r="K196" i="57"/>
  <c r="K195" i="57"/>
  <c r="Y247" i="57"/>
  <c r="AC247" i="57" s="1"/>
  <c r="Y246" i="57"/>
  <c r="AC246" i="57" s="1"/>
  <c r="Y245" i="57"/>
  <c r="AC245" i="57" s="1"/>
  <c r="AG245" i="57" s="1"/>
  <c r="R434" i="12" s="1"/>
  <c r="Y248" i="57"/>
  <c r="AC248" i="57" s="1"/>
  <c r="AC244" i="57"/>
  <c r="AG244" i="57" s="1"/>
  <c r="R433" i="12" s="1"/>
  <c r="K64" i="57"/>
  <c r="K67" i="57"/>
  <c r="K65" i="57"/>
  <c r="K66" i="57"/>
  <c r="K300" i="57"/>
  <c r="K298" i="57"/>
  <c r="K299" i="57"/>
  <c r="K297" i="57"/>
  <c r="K203" i="57"/>
  <c r="K202" i="57"/>
  <c r="K201" i="57"/>
  <c r="K200" i="57"/>
  <c r="K213" i="57"/>
  <c r="K212" i="57"/>
  <c r="K210" i="57"/>
  <c r="K211" i="57"/>
  <c r="J295" i="57"/>
  <c r="J292" i="57"/>
  <c r="J294" i="57"/>
  <c r="J293" i="57"/>
  <c r="Y318" i="57"/>
  <c r="AC318" i="57" s="1"/>
  <c r="Y317" i="57"/>
  <c r="AC317" i="57" s="1"/>
  <c r="AG317" i="57" s="1"/>
  <c r="R506" i="12" s="1"/>
  <c r="Y320" i="57"/>
  <c r="AC320" i="57" s="1"/>
  <c r="AC316" i="57"/>
  <c r="AG316" i="57" s="1"/>
  <c r="R505" i="12" s="1"/>
  <c r="Y319" i="57"/>
  <c r="AC319" i="57" s="1"/>
  <c r="K84" i="57"/>
  <c r="K83" i="57"/>
  <c r="K82" i="57"/>
  <c r="K81" i="57"/>
  <c r="J76" i="57"/>
  <c r="J79" i="57"/>
  <c r="J78" i="57"/>
  <c r="J77" i="57"/>
  <c r="X285" i="57"/>
  <c r="AB285" i="57" s="1"/>
  <c r="AF285" i="57" s="1"/>
  <c r="Q474" i="12" s="1"/>
  <c r="X284" i="57"/>
  <c r="AB284" i="57" s="1"/>
  <c r="AB281" i="57"/>
  <c r="X283" i="57"/>
  <c r="AB283" i="57" s="1"/>
  <c r="X282" i="57"/>
  <c r="AB282" i="57" s="1"/>
  <c r="AF282" i="57" s="1"/>
  <c r="Q471" i="12" s="1"/>
  <c r="AA313" i="57"/>
  <c r="AE313" i="57" s="1"/>
  <c r="AA312" i="57"/>
  <c r="AE312" i="57" s="1"/>
  <c r="AI312" i="57" s="1"/>
  <c r="T501" i="12" s="1"/>
  <c r="AA315" i="57"/>
  <c r="AE315" i="57" s="1"/>
  <c r="AE311" i="57"/>
  <c r="AI311" i="57" s="1"/>
  <c r="T500" i="12" s="1"/>
  <c r="AA314" i="57"/>
  <c r="AE314" i="57" s="1"/>
  <c r="J221" i="57"/>
  <c r="J222" i="57"/>
  <c r="J220" i="57"/>
  <c r="J223" i="57"/>
  <c r="K99" i="57"/>
  <c r="K97" i="57"/>
  <c r="K98" i="57"/>
  <c r="K96" i="57"/>
  <c r="K79" i="57"/>
  <c r="K77" i="57"/>
  <c r="K76" i="57"/>
  <c r="K78" i="57"/>
  <c r="X245" i="57"/>
  <c r="AB245" i="57" s="1"/>
  <c r="AF245" i="57" s="1"/>
  <c r="Q434" i="12" s="1"/>
  <c r="X246" i="57"/>
  <c r="AB246" i="57" s="1"/>
  <c r="X247" i="57"/>
  <c r="AB247" i="57" s="1"/>
  <c r="AF247" i="57" s="1"/>
  <c r="Q436" i="12" s="1"/>
  <c r="AB244" i="57"/>
  <c r="X248" i="57"/>
  <c r="AB248" i="57" s="1"/>
  <c r="J47" i="57"/>
  <c r="J46" i="57"/>
  <c r="J45" i="57"/>
  <c r="J44" i="57"/>
  <c r="X295" i="57"/>
  <c r="AB295" i="57" s="1"/>
  <c r="AB291" i="57"/>
  <c r="AF291" i="57" s="1"/>
  <c r="Q480" i="12" s="1"/>
  <c r="X294" i="57"/>
  <c r="AB294" i="57" s="1"/>
  <c r="X293" i="57"/>
  <c r="AB293" i="57" s="1"/>
  <c r="AF293" i="57" s="1"/>
  <c r="Q482" i="12" s="1"/>
  <c r="X292" i="57"/>
  <c r="AB292" i="57" s="1"/>
  <c r="AF292" i="57" s="1"/>
  <c r="Q481" i="12" s="1"/>
  <c r="AA246" i="57"/>
  <c r="AE246" i="57" s="1"/>
  <c r="AI246" i="57" s="1"/>
  <c r="T435" i="12" s="1"/>
  <c r="AA245" i="57"/>
  <c r="AE245" i="57" s="1"/>
  <c r="AI245" i="57" s="1"/>
  <c r="T434" i="12" s="1"/>
  <c r="AA248" i="57"/>
  <c r="AE248" i="57" s="1"/>
  <c r="AE244" i="57"/>
  <c r="AA247" i="57"/>
  <c r="AE247" i="57" s="1"/>
  <c r="AI247" i="57" s="1"/>
  <c r="T436" i="12" s="1"/>
  <c r="I230" i="57"/>
  <c r="M230" i="57" s="1"/>
  <c r="N230" i="57" s="1"/>
  <c r="O230" i="57" s="1"/>
  <c r="P230" i="57" s="1"/>
  <c r="Q230" i="57" s="1"/>
  <c r="R230" i="57" s="1"/>
  <c r="S230" i="57" s="1"/>
  <c r="T230" i="57" s="1"/>
  <c r="U230" i="57" s="1"/>
  <c r="V230" i="57" s="1"/>
  <c r="I233" i="57"/>
  <c r="M233" i="57" s="1"/>
  <c r="N233" i="57" s="1"/>
  <c r="O233" i="57" s="1"/>
  <c r="P233" i="57" s="1"/>
  <c r="Q233" i="57" s="1"/>
  <c r="R233" i="57" s="1"/>
  <c r="S233" i="57" s="1"/>
  <c r="T233" i="57" s="1"/>
  <c r="U233" i="57" s="1"/>
  <c r="V233" i="57" s="1"/>
  <c r="M229" i="57"/>
  <c r="N229" i="57" s="1"/>
  <c r="O229" i="57" s="1"/>
  <c r="P229" i="57" s="1"/>
  <c r="Q229" i="57" s="1"/>
  <c r="R229" i="57" s="1"/>
  <c r="S229" i="57" s="1"/>
  <c r="T229" i="57" s="1"/>
  <c r="U229" i="57" s="1"/>
  <c r="V229" i="57" s="1"/>
  <c r="I232" i="57"/>
  <c r="M232" i="57" s="1"/>
  <c r="N232" i="57" s="1"/>
  <c r="O232" i="57" s="1"/>
  <c r="P232" i="57" s="1"/>
  <c r="Q232" i="57" s="1"/>
  <c r="R232" i="57" s="1"/>
  <c r="S232" i="57" s="1"/>
  <c r="T232" i="57" s="1"/>
  <c r="U232" i="57" s="1"/>
  <c r="V232" i="57" s="1"/>
  <c r="I231" i="57"/>
  <c r="M231" i="57" s="1"/>
  <c r="N231" i="57" s="1"/>
  <c r="O231" i="57" s="1"/>
  <c r="P231" i="57" s="1"/>
  <c r="Q231" i="57" s="1"/>
  <c r="R231" i="57" s="1"/>
  <c r="S231" i="57" s="1"/>
  <c r="T231" i="57" s="1"/>
  <c r="U231" i="57" s="1"/>
  <c r="V231" i="57" s="1"/>
  <c r="I298" i="57"/>
  <c r="M298" i="57" s="1"/>
  <c r="I297" i="57"/>
  <c r="M297" i="57" s="1"/>
  <c r="I300" i="57"/>
  <c r="M300" i="57" s="1"/>
  <c r="M296" i="57"/>
  <c r="I299" i="57"/>
  <c r="M299" i="57" s="1"/>
  <c r="H238" i="57"/>
  <c r="L238" i="57" s="1"/>
  <c r="L234" i="57"/>
  <c r="H237" i="57"/>
  <c r="L237" i="57" s="1"/>
  <c r="H236" i="57"/>
  <c r="L236" i="57" s="1"/>
  <c r="H235" i="57"/>
  <c r="L235" i="57" s="1"/>
  <c r="I59" i="57"/>
  <c r="M59" i="57" s="1"/>
  <c r="I62" i="57"/>
  <c r="M62" i="57" s="1"/>
  <c r="M58" i="57"/>
  <c r="I61" i="57"/>
  <c r="M61" i="57" s="1"/>
  <c r="I60" i="57"/>
  <c r="M60" i="57" s="1"/>
  <c r="I308" i="57"/>
  <c r="M308" i="57" s="1"/>
  <c r="I309" i="57"/>
  <c r="M309" i="57" s="1"/>
  <c r="M306" i="57"/>
  <c r="I307" i="57"/>
  <c r="M307" i="57" s="1"/>
  <c r="I310" i="57"/>
  <c r="M310" i="57" s="1"/>
  <c r="H267" i="57"/>
  <c r="L267" i="57" s="1"/>
  <c r="H268" i="57"/>
  <c r="L268" i="57" s="1"/>
  <c r="L266" i="57"/>
  <c r="H270" i="57"/>
  <c r="L270" i="57" s="1"/>
  <c r="H269" i="57"/>
  <c r="L269" i="57" s="1"/>
  <c r="I159" i="57"/>
  <c r="M159" i="57" s="1"/>
  <c r="I158" i="57"/>
  <c r="M158" i="57" s="1"/>
  <c r="I161" i="57"/>
  <c r="M161" i="57" s="1"/>
  <c r="I160" i="57"/>
  <c r="M160" i="57" s="1"/>
  <c r="M157" i="57"/>
  <c r="H274" i="57"/>
  <c r="L274" i="57" s="1"/>
  <c r="H273" i="57"/>
  <c r="L273" i="57" s="1"/>
  <c r="H272" i="57"/>
  <c r="L272" i="57" s="1"/>
  <c r="H275" i="57"/>
  <c r="L275" i="57" s="1"/>
  <c r="L271" i="57"/>
  <c r="H94" i="57"/>
  <c r="L94" i="57" s="1"/>
  <c r="L90" i="57"/>
  <c r="H93" i="57"/>
  <c r="L93" i="57" s="1"/>
  <c r="H92" i="57"/>
  <c r="L92" i="57" s="1"/>
  <c r="H91" i="57"/>
  <c r="L91" i="57" s="1"/>
  <c r="I256" i="57"/>
  <c r="M256" i="57" s="1"/>
  <c r="I255" i="57"/>
  <c r="M255" i="57" s="1"/>
  <c r="I258" i="57"/>
  <c r="M258" i="57" s="1"/>
  <c r="I257" i="57"/>
  <c r="M257" i="57" s="1"/>
  <c r="M254" i="57"/>
  <c r="I127" i="57"/>
  <c r="M127" i="57" s="1"/>
  <c r="M125" i="57"/>
  <c r="I128" i="57"/>
  <c r="M128" i="57" s="1"/>
  <c r="I129" i="57"/>
  <c r="M129" i="57" s="1"/>
  <c r="I126" i="57"/>
  <c r="M126" i="57" s="1"/>
  <c r="H171" i="57"/>
  <c r="L171" i="57" s="1"/>
  <c r="L167" i="57"/>
  <c r="H170" i="57"/>
  <c r="L170" i="57" s="1"/>
  <c r="H169" i="57"/>
  <c r="L169" i="57" s="1"/>
  <c r="H168" i="57"/>
  <c r="L168" i="57" s="1"/>
  <c r="I146" i="57"/>
  <c r="M146" i="57" s="1"/>
  <c r="M142" i="57"/>
  <c r="I145" i="57"/>
  <c r="M145" i="57" s="1"/>
  <c r="I144" i="57"/>
  <c r="M144" i="57" s="1"/>
  <c r="I143" i="57"/>
  <c r="M143" i="57" s="1"/>
  <c r="I83" i="57"/>
  <c r="M83" i="57" s="1"/>
  <c r="M80" i="57"/>
  <c r="I81" i="57"/>
  <c r="M81" i="57" s="1"/>
  <c r="I84" i="57"/>
  <c r="M84" i="57" s="1"/>
  <c r="I82" i="57"/>
  <c r="M82" i="57" s="1"/>
  <c r="H22" i="57"/>
  <c r="L22" i="57" s="1"/>
  <c r="L18" i="57"/>
  <c r="H21" i="57"/>
  <c r="L21" i="57" s="1"/>
  <c r="H20" i="57"/>
  <c r="L20" i="57" s="1"/>
  <c r="H19" i="57"/>
  <c r="L19" i="57" s="1"/>
  <c r="H227" i="57"/>
  <c r="L227" i="57" s="1"/>
  <c r="H225" i="57"/>
  <c r="L225" i="57" s="1"/>
  <c r="H226" i="57"/>
  <c r="L226" i="57" s="1"/>
  <c r="H228" i="57"/>
  <c r="L228" i="57" s="1"/>
  <c r="L224" i="57"/>
  <c r="H69" i="57"/>
  <c r="L69" i="57" s="1"/>
  <c r="H72" i="57"/>
  <c r="L72" i="57" s="1"/>
  <c r="L68" i="57"/>
  <c r="H71" i="57"/>
  <c r="L71" i="57" s="1"/>
  <c r="H70" i="57"/>
  <c r="L70" i="57" s="1"/>
  <c r="H132" i="57"/>
  <c r="L132" i="57" s="1"/>
  <c r="H131" i="57"/>
  <c r="L131" i="57" s="1"/>
  <c r="H134" i="57"/>
  <c r="L134" i="57" s="1"/>
  <c r="H133" i="57"/>
  <c r="L133" i="57" s="1"/>
  <c r="L130" i="57"/>
  <c r="I206" i="57"/>
  <c r="M206" i="57" s="1"/>
  <c r="N206" i="57" s="1"/>
  <c r="O206" i="57" s="1"/>
  <c r="P206" i="57" s="1"/>
  <c r="Q206" i="57" s="1"/>
  <c r="R206" i="57" s="1"/>
  <c r="S206" i="57" s="1"/>
  <c r="T206" i="57" s="1"/>
  <c r="U206" i="57" s="1"/>
  <c r="V206" i="57" s="1"/>
  <c r="I205" i="57"/>
  <c r="M205" i="57" s="1"/>
  <c r="N205" i="57" s="1"/>
  <c r="O205" i="57" s="1"/>
  <c r="P205" i="57" s="1"/>
  <c r="Q205" i="57" s="1"/>
  <c r="R205" i="57" s="1"/>
  <c r="S205" i="57" s="1"/>
  <c r="T205" i="57" s="1"/>
  <c r="U205" i="57" s="1"/>
  <c r="V205" i="57" s="1"/>
  <c r="I208" i="57"/>
  <c r="M208" i="57" s="1"/>
  <c r="N208" i="57" s="1"/>
  <c r="O208" i="57" s="1"/>
  <c r="P208" i="57" s="1"/>
  <c r="Q208" i="57" s="1"/>
  <c r="R208" i="57" s="1"/>
  <c r="S208" i="57" s="1"/>
  <c r="T208" i="57" s="1"/>
  <c r="U208" i="57" s="1"/>
  <c r="V208" i="57" s="1"/>
  <c r="M204" i="57"/>
  <c r="N204" i="57" s="1"/>
  <c r="O204" i="57" s="1"/>
  <c r="P204" i="57" s="1"/>
  <c r="Q204" i="57" s="1"/>
  <c r="R204" i="57" s="1"/>
  <c r="S204" i="57" s="1"/>
  <c r="T204" i="57" s="1"/>
  <c r="U204" i="57" s="1"/>
  <c r="V204" i="57" s="1"/>
  <c r="I207" i="57"/>
  <c r="M207" i="57" s="1"/>
  <c r="N207" i="57" s="1"/>
  <c r="O207" i="57" s="1"/>
  <c r="P207" i="57" s="1"/>
  <c r="Q207" i="57" s="1"/>
  <c r="R207" i="57" s="1"/>
  <c r="S207" i="57" s="1"/>
  <c r="T207" i="57" s="1"/>
  <c r="U207" i="57" s="1"/>
  <c r="V207" i="57" s="1"/>
  <c r="H251" i="57"/>
  <c r="L251" i="57" s="1"/>
  <c r="H250" i="57"/>
  <c r="L250" i="57" s="1"/>
  <c r="H253" i="57"/>
  <c r="L253" i="57" s="1"/>
  <c r="L249" i="57"/>
  <c r="H252" i="57"/>
  <c r="L252" i="57" s="1"/>
  <c r="I39" i="57"/>
  <c r="M39" i="57" s="1"/>
  <c r="I42" i="57"/>
  <c r="M42" i="57" s="1"/>
  <c r="M38" i="57"/>
  <c r="I41" i="57"/>
  <c r="M41" i="57" s="1"/>
  <c r="I40" i="57"/>
  <c r="M40" i="57" s="1"/>
  <c r="H315" i="57"/>
  <c r="L315" i="57" s="1"/>
  <c r="L311" i="57"/>
  <c r="H314" i="57"/>
  <c r="L314" i="57" s="1"/>
  <c r="H313" i="57"/>
  <c r="L313" i="57" s="1"/>
  <c r="H312" i="57"/>
  <c r="L312" i="57" s="1"/>
  <c r="I248" i="57"/>
  <c r="M248" i="57" s="1"/>
  <c r="I247" i="57"/>
  <c r="M247" i="57" s="1"/>
  <c r="I246" i="57"/>
  <c r="M246" i="57" s="1"/>
  <c r="I245" i="57"/>
  <c r="M245" i="57" s="1"/>
  <c r="M244" i="57"/>
  <c r="H218" i="57"/>
  <c r="L218" i="57" s="1"/>
  <c r="L214" i="57"/>
  <c r="H217" i="57"/>
  <c r="L217" i="57" s="1"/>
  <c r="H216" i="57"/>
  <c r="L216" i="57" s="1"/>
  <c r="H215" i="57"/>
  <c r="L215" i="57" s="1"/>
  <c r="H112" i="57"/>
  <c r="L112" i="57" s="1"/>
  <c r="L110" i="57"/>
  <c r="H111" i="57"/>
  <c r="L111" i="57" s="1"/>
  <c r="H114" i="57"/>
  <c r="L114" i="57" s="1"/>
  <c r="H113" i="57"/>
  <c r="L113" i="57" s="1"/>
  <c r="H179" i="57"/>
  <c r="L179" i="57" s="1"/>
  <c r="H178" i="57"/>
  <c r="L178" i="57" s="1"/>
  <c r="H181" i="57"/>
  <c r="L181" i="57" s="1"/>
  <c r="L177" i="57"/>
  <c r="H180" i="57"/>
  <c r="L180" i="57" s="1"/>
  <c r="H256" i="57"/>
  <c r="L256" i="57" s="1"/>
  <c r="H255" i="57"/>
  <c r="L255" i="57" s="1"/>
  <c r="H258" i="57"/>
  <c r="L258" i="57" s="1"/>
  <c r="L254" i="57"/>
  <c r="H257" i="57"/>
  <c r="L257" i="57" s="1"/>
  <c r="I218" i="57"/>
  <c r="M218" i="57" s="1"/>
  <c r="M214" i="57"/>
  <c r="I217" i="57"/>
  <c r="M217" i="57" s="1"/>
  <c r="I215" i="57"/>
  <c r="M215" i="57" s="1"/>
  <c r="I216" i="57"/>
  <c r="M216" i="57" s="1"/>
  <c r="H77" i="57"/>
  <c r="L77" i="57" s="1"/>
  <c r="H76" i="57"/>
  <c r="L76" i="57" s="1"/>
  <c r="L75" i="57"/>
  <c r="H79" i="57"/>
  <c r="L79" i="57" s="1"/>
  <c r="H78" i="57"/>
  <c r="L78" i="57" s="1"/>
  <c r="I292" i="57"/>
  <c r="M292" i="57" s="1"/>
  <c r="I295" i="57"/>
  <c r="M295" i="57" s="1"/>
  <c r="M291" i="57"/>
  <c r="I294" i="57"/>
  <c r="M294" i="57" s="1"/>
  <c r="I293" i="57"/>
  <c r="M293" i="57" s="1"/>
  <c r="I173" i="57"/>
  <c r="M173" i="57" s="1"/>
  <c r="I176" i="57"/>
  <c r="M176" i="57" s="1"/>
  <c r="M172" i="57"/>
  <c r="I174" i="57"/>
  <c r="M174" i="57" s="1"/>
  <c r="I175" i="57"/>
  <c r="M175" i="57" s="1"/>
  <c r="H29" i="57"/>
  <c r="L29" i="57" s="1"/>
  <c r="H32" i="57"/>
  <c r="L32" i="57" s="1"/>
  <c r="L28" i="57"/>
  <c r="H31" i="57"/>
  <c r="L31" i="57" s="1"/>
  <c r="H30" i="57"/>
  <c r="L30" i="57" s="1"/>
  <c r="I108" i="57"/>
  <c r="M108" i="57" s="1"/>
  <c r="N108" i="57" s="1"/>
  <c r="O108" i="57" s="1"/>
  <c r="P108" i="57" s="1"/>
  <c r="Q108" i="57" s="1"/>
  <c r="R108" i="57" s="1"/>
  <c r="S108" i="57" s="1"/>
  <c r="T108" i="57" s="1"/>
  <c r="U108" i="57" s="1"/>
  <c r="V108" i="57" s="1"/>
  <c r="M105" i="57"/>
  <c r="N105" i="57" s="1"/>
  <c r="O105" i="57" s="1"/>
  <c r="P105" i="57" s="1"/>
  <c r="Q105" i="57" s="1"/>
  <c r="R105" i="57" s="1"/>
  <c r="S105" i="57" s="1"/>
  <c r="T105" i="57" s="1"/>
  <c r="U105" i="57" s="1"/>
  <c r="V105" i="57" s="1"/>
  <c r="I106" i="57"/>
  <c r="M106" i="57" s="1"/>
  <c r="N106" i="57" s="1"/>
  <c r="O106" i="57" s="1"/>
  <c r="P106" i="57" s="1"/>
  <c r="Q106" i="57" s="1"/>
  <c r="R106" i="57" s="1"/>
  <c r="S106" i="57" s="1"/>
  <c r="T106" i="57" s="1"/>
  <c r="U106" i="57" s="1"/>
  <c r="V106" i="57" s="1"/>
  <c r="I109" i="57"/>
  <c r="M109" i="57" s="1"/>
  <c r="N109" i="57" s="1"/>
  <c r="O109" i="57" s="1"/>
  <c r="P109" i="57" s="1"/>
  <c r="Q109" i="57" s="1"/>
  <c r="R109" i="57" s="1"/>
  <c r="S109" i="57" s="1"/>
  <c r="T109" i="57" s="1"/>
  <c r="U109" i="57" s="1"/>
  <c r="V109" i="57" s="1"/>
  <c r="I107" i="57"/>
  <c r="M107" i="57" s="1"/>
  <c r="N107" i="57" s="1"/>
  <c r="O107" i="57" s="1"/>
  <c r="P107" i="57" s="1"/>
  <c r="Q107" i="57" s="1"/>
  <c r="R107" i="57" s="1"/>
  <c r="S107" i="57" s="1"/>
  <c r="T107" i="57" s="1"/>
  <c r="U107" i="57" s="1"/>
  <c r="V107" i="57" s="1"/>
  <c r="I253" i="57"/>
  <c r="M253" i="57" s="1"/>
  <c r="M249" i="57"/>
  <c r="I252" i="57"/>
  <c r="M252" i="57" s="1"/>
  <c r="I251" i="57"/>
  <c r="M251" i="57" s="1"/>
  <c r="I250" i="57"/>
  <c r="M250" i="57" s="1"/>
  <c r="I280" i="57"/>
  <c r="M280" i="57" s="1"/>
  <c r="I277" i="57"/>
  <c r="M277" i="57" s="1"/>
  <c r="I279" i="57"/>
  <c r="M279" i="57" s="1"/>
  <c r="I278" i="57"/>
  <c r="M278" i="57" s="1"/>
  <c r="M276" i="57"/>
  <c r="H277" i="57"/>
  <c r="L277" i="57" s="1"/>
  <c r="H280" i="57"/>
  <c r="L280" i="57" s="1"/>
  <c r="L276" i="57"/>
  <c r="H279" i="57"/>
  <c r="L279" i="57" s="1"/>
  <c r="H278" i="57"/>
  <c r="L278" i="57" s="1"/>
  <c r="H211" i="57"/>
  <c r="L211" i="57" s="1"/>
  <c r="H210" i="57"/>
  <c r="L210" i="57" s="1"/>
  <c r="H213" i="57"/>
  <c r="L213" i="57" s="1"/>
  <c r="L209" i="57"/>
  <c r="H212" i="57"/>
  <c r="L212" i="57" s="1"/>
  <c r="H49" i="57"/>
  <c r="L49" i="57" s="1"/>
  <c r="H52" i="57"/>
  <c r="L52" i="57" s="1"/>
  <c r="L48" i="57"/>
  <c r="H51" i="57"/>
  <c r="L51" i="57" s="1"/>
  <c r="H50" i="57"/>
  <c r="L50" i="57" s="1"/>
  <c r="H118" i="57"/>
  <c r="L118" i="57" s="1"/>
  <c r="H117" i="57"/>
  <c r="L117" i="57" s="1"/>
  <c r="H119" i="57"/>
  <c r="L119" i="57" s="1"/>
  <c r="H116" i="57"/>
  <c r="L116" i="57" s="1"/>
  <c r="L115" i="57"/>
  <c r="I186" i="57"/>
  <c r="M186" i="57" s="1"/>
  <c r="I185" i="57"/>
  <c r="M185" i="57" s="1"/>
  <c r="I183" i="57"/>
  <c r="M183" i="57" s="1"/>
  <c r="M182" i="57"/>
  <c r="I184" i="57"/>
  <c r="M184" i="57" s="1"/>
  <c r="I124" i="57"/>
  <c r="M124" i="57" s="1"/>
  <c r="I122" i="57"/>
  <c r="M122" i="57" s="1"/>
  <c r="I123" i="57"/>
  <c r="M123" i="57" s="1"/>
  <c r="M120" i="57"/>
  <c r="I121" i="57"/>
  <c r="M121" i="57" s="1"/>
  <c r="H37" i="57"/>
  <c r="L37" i="57" s="1"/>
  <c r="L33" i="57"/>
  <c r="H36" i="57"/>
  <c r="L36" i="57" s="1"/>
  <c r="H35" i="57"/>
  <c r="L35" i="57" s="1"/>
  <c r="H34" i="57"/>
  <c r="L34" i="57" s="1"/>
  <c r="I272" i="57"/>
  <c r="M272" i="57" s="1"/>
  <c r="I274" i="57"/>
  <c r="M274" i="57" s="1"/>
  <c r="I273" i="57"/>
  <c r="M273" i="57" s="1"/>
  <c r="I275" i="57"/>
  <c r="M275" i="57" s="1"/>
  <c r="M271" i="57"/>
  <c r="I313" i="57"/>
  <c r="M313" i="57" s="1"/>
  <c r="I312" i="57"/>
  <c r="M312" i="57" s="1"/>
  <c r="I315" i="57"/>
  <c r="M315" i="57" s="1"/>
  <c r="M311" i="57"/>
  <c r="I314" i="57"/>
  <c r="M314" i="57" s="1"/>
  <c r="H310" i="57"/>
  <c r="L310" i="57" s="1"/>
  <c r="L306" i="57"/>
  <c r="H309" i="57"/>
  <c r="L309" i="57" s="1"/>
  <c r="H308" i="57"/>
  <c r="L308" i="57" s="1"/>
  <c r="H307" i="57"/>
  <c r="L307" i="57" s="1"/>
  <c r="I171" i="57"/>
  <c r="M171" i="57" s="1"/>
  <c r="I169" i="57"/>
  <c r="M169" i="57" s="1"/>
  <c r="I170" i="57"/>
  <c r="M170" i="57" s="1"/>
  <c r="M167" i="57"/>
  <c r="I168" i="57"/>
  <c r="M168" i="57" s="1"/>
  <c r="I225" i="57"/>
  <c r="M225" i="57" s="1"/>
  <c r="I228" i="57"/>
  <c r="M228" i="57" s="1"/>
  <c r="M224" i="57"/>
  <c r="I227" i="57"/>
  <c r="M227" i="57" s="1"/>
  <c r="I226" i="57"/>
  <c r="M226" i="57" s="1"/>
  <c r="H298" i="57"/>
  <c r="L298" i="57" s="1"/>
  <c r="H297" i="57"/>
  <c r="L297" i="57" s="1"/>
  <c r="H300" i="57"/>
  <c r="L300" i="57" s="1"/>
  <c r="L296" i="57"/>
  <c r="H299" i="57"/>
  <c r="L299" i="57" s="1"/>
  <c r="H243" i="57"/>
  <c r="L243" i="57" s="1"/>
  <c r="L239" i="57"/>
  <c r="H242" i="57"/>
  <c r="L242" i="57" s="1"/>
  <c r="H241" i="57"/>
  <c r="L241" i="57" s="1"/>
  <c r="H240" i="57"/>
  <c r="L240" i="57" s="1"/>
  <c r="I220" i="57"/>
  <c r="M220" i="57" s="1"/>
  <c r="I223" i="57"/>
  <c r="M223" i="57" s="1"/>
  <c r="M219" i="57"/>
  <c r="I222" i="57"/>
  <c r="M222" i="57" s="1"/>
  <c r="I221" i="57"/>
  <c r="M221" i="57" s="1"/>
  <c r="H196" i="57"/>
  <c r="L196" i="57" s="1"/>
  <c r="L192" i="57"/>
  <c r="H195" i="57"/>
  <c r="L195" i="57" s="1"/>
  <c r="H194" i="57"/>
  <c r="L194" i="57" s="1"/>
  <c r="H193" i="57"/>
  <c r="L193" i="57" s="1"/>
  <c r="AA300" i="57"/>
  <c r="AE300" i="57" s="1"/>
  <c r="AE296" i="57"/>
  <c r="AI296" i="57" s="1"/>
  <c r="T485" i="12" s="1"/>
  <c r="AA299" i="57"/>
  <c r="AE299" i="57" s="1"/>
  <c r="AA298" i="57"/>
  <c r="AE298" i="57" s="1"/>
  <c r="AA297" i="57"/>
  <c r="AE297" i="57" s="1"/>
  <c r="AI297" i="57" s="1"/>
  <c r="T486" i="12" s="1"/>
  <c r="AE219" i="57"/>
  <c r="AI219" i="57" s="1"/>
  <c r="T408" i="12" s="1"/>
  <c r="AA223" i="57"/>
  <c r="AE223" i="57" s="1"/>
  <c r="AA222" i="57"/>
  <c r="AE222" i="57" s="1"/>
  <c r="AA221" i="57"/>
  <c r="AE221" i="57" s="1"/>
  <c r="AA220" i="57"/>
  <c r="AE220" i="57" s="1"/>
  <c r="AI220" i="57" s="1"/>
  <c r="T409" i="12" s="1"/>
  <c r="J180" i="57"/>
  <c r="J179" i="57"/>
  <c r="J178" i="57"/>
  <c r="J181" i="57"/>
  <c r="J236" i="57"/>
  <c r="J238" i="57"/>
  <c r="J235" i="57"/>
  <c r="J237" i="57"/>
  <c r="X210" i="57"/>
  <c r="AB210" i="57" s="1"/>
  <c r="AF210" i="57" s="1"/>
  <c r="Q399" i="12" s="1"/>
  <c r="X213" i="57"/>
  <c r="AB213" i="57" s="1"/>
  <c r="AB209" i="57"/>
  <c r="X212" i="57"/>
  <c r="AB212" i="57" s="1"/>
  <c r="AF212" i="57" s="1"/>
  <c r="Q401" i="12" s="1"/>
  <c r="X211" i="57"/>
  <c r="AB211" i="57" s="1"/>
  <c r="AF211" i="57" s="1"/>
  <c r="Q400" i="12" s="1"/>
  <c r="AA205" i="57"/>
  <c r="AE205" i="57" s="1"/>
  <c r="AI205" i="57" s="1"/>
  <c r="AA208" i="57"/>
  <c r="AE208" i="57" s="1"/>
  <c r="AE204" i="57"/>
  <c r="AI204" i="57" s="1"/>
  <c r="AA207" i="57"/>
  <c r="AE207" i="57" s="1"/>
  <c r="AA206" i="57"/>
  <c r="AE206" i="57" s="1"/>
  <c r="AI206" i="57" s="1"/>
  <c r="K42" i="57"/>
  <c r="K41" i="57"/>
  <c r="K40" i="57"/>
  <c r="K39" i="57"/>
  <c r="Z284" i="57"/>
  <c r="AD284" i="57" s="1"/>
  <c r="Z283" i="57"/>
  <c r="AD283" i="57" s="1"/>
  <c r="Z282" i="57"/>
  <c r="AD282" i="57" s="1"/>
  <c r="AH282" i="57" s="1"/>
  <c r="S471" i="12" s="1"/>
  <c r="AD281" i="57"/>
  <c r="Z285" i="57"/>
  <c r="AD285" i="57" s="1"/>
  <c r="AH285" i="57" s="1"/>
  <c r="S474" i="12" s="1"/>
  <c r="X300" i="57"/>
  <c r="AB300" i="57" s="1"/>
  <c r="X299" i="57"/>
  <c r="AB299" i="57" s="1"/>
  <c r="X298" i="57"/>
  <c r="AB298" i="57" s="1"/>
  <c r="X297" i="57"/>
  <c r="AB297" i="57" s="1"/>
  <c r="AF297" i="57" s="1"/>
  <c r="Q486" i="12" s="1"/>
  <c r="AB296" i="57"/>
  <c r="AF296" i="57" s="1"/>
  <c r="Q485" i="12" s="1"/>
  <c r="AA277" i="57"/>
  <c r="AE277" i="57" s="1"/>
  <c r="AI277" i="57" s="1"/>
  <c r="T466" i="12" s="1"/>
  <c r="AE276" i="57"/>
  <c r="AA280" i="57"/>
  <c r="AE280" i="57" s="1"/>
  <c r="AA278" i="57"/>
  <c r="AE278" i="57" s="1"/>
  <c r="AA279" i="57"/>
  <c r="AE279" i="57" s="1"/>
  <c r="X241" i="57"/>
  <c r="AB241" i="57" s="1"/>
  <c r="X242" i="57"/>
  <c r="AB242" i="57" s="1"/>
  <c r="AB239" i="57"/>
  <c r="AF239" i="57" s="1"/>
  <c r="Q428" i="12" s="1"/>
  <c r="X240" i="57"/>
  <c r="AB240" i="57" s="1"/>
  <c r="AF240" i="57" s="1"/>
  <c r="Q429" i="12" s="1"/>
  <c r="X243" i="57"/>
  <c r="AB243" i="57" s="1"/>
  <c r="J183" i="57"/>
  <c r="J186" i="57"/>
  <c r="J185" i="57"/>
  <c r="J184" i="57"/>
  <c r="J37" i="57"/>
  <c r="J36" i="57"/>
  <c r="J35" i="57"/>
  <c r="J34" i="57"/>
  <c r="J230" i="57"/>
  <c r="J233" i="57"/>
  <c r="J231" i="57"/>
  <c r="J232" i="57"/>
  <c r="Z216" i="57"/>
  <c r="AD216" i="57" s="1"/>
  <c r="Z215" i="57"/>
  <c r="AD215" i="57" s="1"/>
  <c r="AH215" i="57" s="1"/>
  <c r="S404" i="12" s="1"/>
  <c r="Z218" i="57"/>
  <c r="AD218" i="57" s="1"/>
  <c r="AD214" i="57"/>
  <c r="Z217" i="57"/>
  <c r="AD217" i="57" s="1"/>
  <c r="X218" i="57"/>
  <c r="AB218" i="57" s="1"/>
  <c r="AB214" i="57"/>
  <c r="X215" i="57"/>
  <c r="AB215" i="57" s="1"/>
  <c r="AF215" i="57" s="1"/>
  <c r="Q404" i="12" s="1"/>
  <c r="X216" i="57"/>
  <c r="AB216" i="57" s="1"/>
  <c r="AF216" i="57" s="1"/>
  <c r="Q405" i="12" s="1"/>
  <c r="X217" i="57"/>
  <c r="AB217" i="57" s="1"/>
  <c r="Y273" i="57"/>
  <c r="AC273" i="57" s="1"/>
  <c r="Y272" i="57"/>
  <c r="AC272" i="57" s="1"/>
  <c r="AG272" i="57" s="1"/>
  <c r="AC271" i="57"/>
  <c r="Y275" i="57"/>
  <c r="AC275" i="57" s="1"/>
  <c r="Y274" i="57"/>
  <c r="AC274" i="57" s="1"/>
  <c r="J267" i="57"/>
  <c r="J270" i="57"/>
  <c r="J269" i="57"/>
  <c r="J268" i="57"/>
  <c r="K134" i="57"/>
  <c r="K132" i="57"/>
  <c r="K133" i="57"/>
  <c r="K131" i="57"/>
  <c r="Y222" i="57"/>
  <c r="AC222" i="57" s="1"/>
  <c r="Y220" i="57"/>
  <c r="AC220" i="57" s="1"/>
  <c r="AG220" i="57" s="1"/>
  <c r="R409" i="12" s="1"/>
  <c r="Y223" i="57"/>
  <c r="AC223" i="57" s="1"/>
  <c r="AG223" i="57" s="1"/>
  <c r="R412" i="12" s="1"/>
  <c r="AC219" i="57"/>
  <c r="Y221" i="57"/>
  <c r="AC221" i="57" s="1"/>
  <c r="K317" i="57"/>
  <c r="K320" i="57"/>
  <c r="K319" i="57"/>
  <c r="K318" i="57"/>
  <c r="K151" i="57"/>
  <c r="K149" i="57"/>
  <c r="K148" i="57"/>
  <c r="K150" i="57"/>
  <c r="K293" i="57"/>
  <c r="K295" i="57"/>
  <c r="K294" i="57"/>
  <c r="K292" i="57"/>
  <c r="AA303" i="57"/>
  <c r="AE303" i="57" s="1"/>
  <c r="AA302" i="57"/>
  <c r="AE302" i="57" s="1"/>
  <c r="AI302" i="57" s="1"/>
  <c r="T491" i="12" s="1"/>
  <c r="AA305" i="57"/>
  <c r="AE305" i="57" s="1"/>
  <c r="AE301" i="57"/>
  <c r="AA304" i="57"/>
  <c r="AE304" i="57" s="1"/>
  <c r="X274" i="57"/>
  <c r="AB274" i="57" s="1"/>
  <c r="AF274" i="57" s="1"/>
  <c r="Q463" i="12" s="1"/>
  <c r="X273" i="57"/>
  <c r="AB273" i="57" s="1"/>
  <c r="X275" i="57"/>
  <c r="AB275" i="57" s="1"/>
  <c r="AB271" i="57"/>
  <c r="X272" i="57"/>
  <c r="AB272" i="57" s="1"/>
  <c r="AF272" i="57" s="1"/>
  <c r="K154" i="57"/>
  <c r="K153" i="57"/>
  <c r="K156" i="57"/>
  <c r="K155" i="57"/>
  <c r="Y252" i="57"/>
  <c r="AC252" i="57" s="1"/>
  <c r="Y251" i="57"/>
  <c r="AC251" i="57" s="1"/>
  <c r="Y250" i="57"/>
  <c r="AC250" i="57" s="1"/>
  <c r="AG250" i="57" s="1"/>
  <c r="R439" i="12" s="1"/>
  <c r="Y253" i="57"/>
  <c r="AC253" i="57" s="1"/>
  <c r="AC249" i="57"/>
  <c r="Y258" i="57"/>
  <c r="AC258" i="57" s="1"/>
  <c r="AC254" i="57"/>
  <c r="Y257" i="57"/>
  <c r="AC257" i="57" s="1"/>
  <c r="AG257" i="57" s="1"/>
  <c r="R446" i="12" s="1"/>
  <c r="Y256" i="57"/>
  <c r="AC256" i="57" s="1"/>
  <c r="Y255" i="57"/>
  <c r="AC255" i="57" s="1"/>
  <c r="AG255" i="57" s="1"/>
  <c r="R444" i="12" s="1"/>
  <c r="K241" i="57"/>
  <c r="K240" i="57"/>
  <c r="K243" i="57"/>
  <c r="K242" i="57"/>
  <c r="J250" i="57"/>
  <c r="J253" i="57"/>
  <c r="J252" i="57"/>
  <c r="J251" i="57"/>
  <c r="AA269" i="57"/>
  <c r="AE269" i="57" s="1"/>
  <c r="AA268" i="57"/>
  <c r="AE268" i="57" s="1"/>
  <c r="AA267" i="57"/>
  <c r="AE267" i="57" s="1"/>
  <c r="AI267" i="57" s="1"/>
  <c r="T456" i="12" s="1"/>
  <c r="AA270" i="57"/>
  <c r="AE270" i="57" s="1"/>
  <c r="AE266" i="57"/>
  <c r="Y302" i="57"/>
  <c r="AC302" i="57" s="1"/>
  <c r="AG302" i="57" s="1"/>
  <c r="R491" i="12" s="1"/>
  <c r="Y305" i="57"/>
  <c r="AC305" i="57" s="1"/>
  <c r="AC301" i="57"/>
  <c r="Y304" i="57"/>
  <c r="AC304" i="57" s="1"/>
  <c r="AG304" i="57" s="1"/>
  <c r="R493" i="12" s="1"/>
  <c r="Y303" i="57"/>
  <c r="AC303" i="57" s="1"/>
  <c r="AG303" i="57" s="1"/>
  <c r="R492" i="12" s="1"/>
  <c r="Z290" i="57"/>
  <c r="AD290" i="57" s="1"/>
  <c r="AD286" i="57"/>
  <c r="Z289" i="57"/>
  <c r="AD289" i="57" s="1"/>
  <c r="Z288" i="57"/>
  <c r="AD288" i="57" s="1"/>
  <c r="Z287" i="57"/>
  <c r="AD287" i="57" s="1"/>
  <c r="AH287" i="57" s="1"/>
  <c r="S476" i="12" s="1"/>
  <c r="J159" i="57"/>
  <c r="J158" i="57"/>
  <c r="J161" i="57"/>
  <c r="J160" i="57"/>
  <c r="K190" i="57"/>
  <c r="K189" i="57"/>
  <c r="K188" i="57"/>
  <c r="K191" i="57"/>
  <c r="X288" i="57"/>
  <c r="AB288" i="57" s="1"/>
  <c r="X287" i="57"/>
  <c r="AB287" i="57" s="1"/>
  <c r="AF287" i="57" s="1"/>
  <c r="Q476" i="12" s="1"/>
  <c r="X290" i="57"/>
  <c r="AB290" i="57" s="1"/>
  <c r="AF290" i="57" s="1"/>
  <c r="Q479" i="12" s="1"/>
  <c r="AB286" i="57"/>
  <c r="X289" i="57"/>
  <c r="AB289" i="57" s="1"/>
  <c r="K313" i="57"/>
  <c r="K312" i="57"/>
  <c r="K315" i="57"/>
  <c r="K314" i="57"/>
  <c r="K217" i="57"/>
  <c r="K216" i="57"/>
  <c r="K218" i="57"/>
  <c r="K215" i="57"/>
  <c r="K34" i="57"/>
  <c r="K37" i="57"/>
  <c r="K36" i="57"/>
  <c r="K35" i="57"/>
  <c r="K227" i="57"/>
  <c r="K226" i="57"/>
  <c r="K225" i="57"/>
  <c r="K228" i="57"/>
  <c r="Z307" i="57"/>
  <c r="AD307" i="57" s="1"/>
  <c r="AH307" i="57" s="1"/>
  <c r="S496" i="12" s="1"/>
  <c r="Z308" i="57"/>
  <c r="AD308" i="57" s="1"/>
  <c r="AH308" i="57" s="1"/>
  <c r="S497" i="12" s="1"/>
  <c r="Z309" i="57"/>
  <c r="AD309" i="57" s="1"/>
  <c r="Z310" i="57"/>
  <c r="AD310" i="57" s="1"/>
  <c r="AD306" i="57"/>
  <c r="K89" i="57"/>
  <c r="K88" i="57"/>
  <c r="K87" i="57"/>
  <c r="K86" i="57"/>
  <c r="X207" i="57"/>
  <c r="AB207" i="57" s="1"/>
  <c r="X206" i="57"/>
  <c r="AB206" i="57" s="1"/>
  <c r="X205" i="57"/>
  <c r="AB205" i="57" s="1"/>
  <c r="AF205" i="57" s="1"/>
  <c r="X208" i="57"/>
  <c r="AB208" i="57" s="1"/>
  <c r="AB204" i="57"/>
  <c r="X251" i="57"/>
  <c r="AB251" i="57" s="1"/>
  <c r="AB249" i="57"/>
  <c r="X250" i="57"/>
  <c r="AB250" i="57" s="1"/>
  <c r="AF250" i="57" s="1"/>
  <c r="Q439" i="12" s="1"/>
  <c r="X253" i="57"/>
  <c r="AB253" i="57" s="1"/>
  <c r="X252" i="57"/>
  <c r="AB252" i="57" s="1"/>
  <c r="K233" i="57"/>
  <c r="K230" i="57"/>
  <c r="K231" i="57"/>
  <c r="K232" i="57"/>
  <c r="Z320" i="57"/>
  <c r="AD320" i="57" s="1"/>
  <c r="Z319" i="57"/>
  <c r="AD319" i="57" s="1"/>
  <c r="AH319" i="57" s="1"/>
  <c r="S508" i="12" s="1"/>
  <c r="Z317" i="57"/>
  <c r="AD317" i="57" s="1"/>
  <c r="AH317" i="57" s="1"/>
  <c r="S506" i="12" s="1"/>
  <c r="Z318" i="57"/>
  <c r="AD318" i="57" s="1"/>
  <c r="AD316" i="57"/>
  <c r="J288" i="57"/>
  <c r="J287" i="57"/>
  <c r="J290" i="57"/>
  <c r="J289" i="57"/>
  <c r="AA283" i="57"/>
  <c r="AE283" i="57" s="1"/>
  <c r="AA282" i="57"/>
  <c r="AE282" i="57" s="1"/>
  <c r="AI282" i="57" s="1"/>
  <c r="T471" i="12" s="1"/>
  <c r="AA285" i="57"/>
  <c r="AE285" i="57" s="1"/>
  <c r="AE281" i="57"/>
  <c r="AA284" i="57"/>
  <c r="AE284" i="57" s="1"/>
  <c r="AI284" i="57" s="1"/>
  <c r="T473" i="12" s="1"/>
  <c r="J264" i="57"/>
  <c r="J263" i="57"/>
  <c r="J262" i="57"/>
  <c r="J265" i="57"/>
  <c r="K186" i="57"/>
  <c r="K185" i="57"/>
  <c r="K184" i="57"/>
  <c r="K183" i="57"/>
  <c r="K44" i="57"/>
  <c r="K47" i="57"/>
  <c r="K46" i="57"/>
  <c r="K45" i="57"/>
  <c r="J94" i="57"/>
  <c r="J93" i="57"/>
  <c r="J92" i="57"/>
  <c r="J91" i="57"/>
  <c r="K263" i="57"/>
  <c r="K262" i="57"/>
  <c r="K265" i="57"/>
  <c r="K264" i="57"/>
  <c r="AE271" i="57"/>
  <c r="AA273" i="57"/>
  <c r="AE273" i="57" s="1"/>
  <c r="AA274" i="57"/>
  <c r="AE274" i="57" s="1"/>
  <c r="AA275" i="57"/>
  <c r="AE275" i="57" s="1"/>
  <c r="AI275" i="57" s="1"/>
  <c r="T464" i="12" s="1"/>
  <c r="AA272" i="57"/>
  <c r="AE272" i="57" s="1"/>
  <c r="AI272" i="57" s="1"/>
  <c r="X232" i="57"/>
  <c r="AB232" i="57" s="1"/>
  <c r="X231" i="57"/>
  <c r="AB231" i="57" s="1"/>
  <c r="X230" i="57"/>
  <c r="AB230" i="57" s="1"/>
  <c r="AF230" i="57" s="1"/>
  <c r="X233" i="57"/>
  <c r="AB233" i="57" s="1"/>
  <c r="AB229" i="57"/>
  <c r="K146" i="57"/>
  <c r="K144" i="57"/>
  <c r="K143" i="57"/>
  <c r="K145" i="57"/>
  <c r="J29" i="57"/>
  <c r="J32" i="57"/>
  <c r="J31" i="57"/>
  <c r="J30" i="57"/>
  <c r="K174" i="57"/>
  <c r="K173" i="57"/>
  <c r="K176" i="57"/>
  <c r="K175" i="57"/>
  <c r="X278" i="57"/>
  <c r="AB278" i="57" s="1"/>
  <c r="X277" i="57"/>
  <c r="AB277" i="57" s="1"/>
  <c r="AF277" i="57" s="1"/>
  <c r="Q466" i="12" s="1"/>
  <c r="X280" i="57"/>
  <c r="AB280" i="57" s="1"/>
  <c r="X279" i="57"/>
  <c r="AB279" i="57" s="1"/>
  <c r="AB276" i="57"/>
  <c r="AA264" i="57"/>
  <c r="AE264" i="57" s="1"/>
  <c r="AI264" i="57" s="1"/>
  <c r="AA263" i="57"/>
  <c r="AE263" i="57" s="1"/>
  <c r="AA262" i="57"/>
  <c r="AE262" i="57" s="1"/>
  <c r="AI262" i="57" s="1"/>
  <c r="AE261" i="57"/>
  <c r="AA265" i="57"/>
  <c r="AE265" i="57" s="1"/>
  <c r="J210" i="57"/>
  <c r="J213" i="57"/>
  <c r="J211" i="57"/>
  <c r="J212" i="57"/>
  <c r="AC276" i="57"/>
  <c r="Y278" i="57"/>
  <c r="AC278" i="57" s="1"/>
  <c r="Y280" i="57"/>
  <c r="AC280" i="57" s="1"/>
  <c r="Y277" i="57"/>
  <c r="AC277" i="57" s="1"/>
  <c r="AG277" i="57" s="1"/>
  <c r="R466" i="12" s="1"/>
  <c r="Y279" i="57"/>
  <c r="AC279" i="57" s="1"/>
  <c r="AG279" i="57" s="1"/>
  <c r="R468" i="12" s="1"/>
  <c r="Z314" i="57"/>
  <c r="AD314" i="57" s="1"/>
  <c r="Z313" i="57"/>
  <c r="AD313" i="57" s="1"/>
  <c r="Z312" i="57"/>
  <c r="AD312" i="57" s="1"/>
  <c r="AH312" i="57" s="1"/>
  <c r="S501" i="12" s="1"/>
  <c r="Z315" i="57"/>
  <c r="AD315" i="57" s="1"/>
  <c r="AD311" i="57"/>
  <c r="J116" i="57"/>
  <c r="J119" i="57"/>
  <c r="J117" i="57"/>
  <c r="J118" i="57"/>
  <c r="K275" i="57"/>
  <c r="K274" i="57"/>
  <c r="K272" i="57"/>
  <c r="K273" i="57"/>
  <c r="K285" i="57"/>
  <c r="K284" i="57"/>
  <c r="K282" i="57"/>
  <c r="K283" i="57"/>
  <c r="AA258" i="57"/>
  <c r="AE258" i="57" s="1"/>
  <c r="AE254" i="57"/>
  <c r="AA257" i="57"/>
  <c r="AE257" i="57" s="1"/>
  <c r="AI257" i="57" s="1"/>
  <c r="T446" i="12" s="1"/>
  <c r="AA256" i="57"/>
  <c r="AE256" i="57" s="1"/>
  <c r="AA255" i="57"/>
  <c r="AE255" i="57" s="1"/>
  <c r="AI255" i="57" s="1"/>
  <c r="T444" i="12" s="1"/>
  <c r="J208" i="57"/>
  <c r="J207" i="57"/>
  <c r="J206" i="57"/>
  <c r="J205" i="57"/>
  <c r="J71" i="57"/>
  <c r="J69" i="57"/>
  <c r="J72" i="57"/>
  <c r="J70" i="57"/>
  <c r="K247" i="57"/>
  <c r="K246" i="57"/>
  <c r="K245" i="57"/>
  <c r="K248" i="57"/>
  <c r="Y240" i="57"/>
  <c r="AC240" i="57" s="1"/>
  <c r="AG240" i="57" s="1"/>
  <c r="R429" i="12" s="1"/>
  <c r="Y243" i="57"/>
  <c r="AC243" i="57" s="1"/>
  <c r="AG243" i="57" s="1"/>
  <c r="R432" i="12" s="1"/>
  <c r="AC239" i="57"/>
  <c r="Y242" i="57"/>
  <c r="AC242" i="57" s="1"/>
  <c r="Y241" i="57"/>
  <c r="AC241" i="57" s="1"/>
  <c r="J257" i="57"/>
  <c r="J256" i="57"/>
  <c r="J255" i="57"/>
  <c r="J258" i="57"/>
  <c r="K223" i="57"/>
  <c r="K222" i="57"/>
  <c r="K221" i="57"/>
  <c r="K220" i="57"/>
  <c r="Z293" i="57"/>
  <c r="AD293" i="57" s="1"/>
  <c r="Z292" i="57"/>
  <c r="AD292" i="57" s="1"/>
  <c r="AH292" i="57" s="1"/>
  <c r="S481" i="12" s="1"/>
  <c r="AD291" i="57"/>
  <c r="Z294" i="57"/>
  <c r="AD294" i="57" s="1"/>
  <c r="AH294" i="57" s="1"/>
  <c r="S483" i="12" s="1"/>
  <c r="Z295" i="57"/>
  <c r="AD295" i="57" s="1"/>
  <c r="AH295" i="57" s="1"/>
  <c r="S484" i="12" s="1"/>
  <c r="J112" i="57"/>
  <c r="J113" i="57"/>
  <c r="J111" i="57"/>
  <c r="J114" i="57"/>
  <c r="J59" i="57"/>
  <c r="J61" i="57"/>
  <c r="J62" i="57"/>
  <c r="J60" i="57"/>
  <c r="Y211" i="57"/>
  <c r="AC211" i="57" s="1"/>
  <c r="Y210" i="57"/>
  <c r="AC210" i="57" s="1"/>
  <c r="AG210" i="57" s="1"/>
  <c r="R399" i="12" s="1"/>
  <c r="Y213" i="57"/>
  <c r="AC213" i="57" s="1"/>
  <c r="Y212" i="57"/>
  <c r="AC212" i="57" s="1"/>
  <c r="AC209" i="57"/>
  <c r="AG209" i="57" s="1"/>
  <c r="R398" i="12" s="1"/>
  <c r="Y294" i="57"/>
  <c r="AC294" i="57" s="1"/>
  <c r="Y293" i="57"/>
  <c r="AC293" i="57" s="1"/>
  <c r="Y292" i="57"/>
  <c r="AC292" i="57" s="1"/>
  <c r="AG292" i="57" s="1"/>
  <c r="R481" i="12" s="1"/>
  <c r="Y295" i="57"/>
  <c r="AC295" i="57" s="1"/>
  <c r="AC291" i="57"/>
  <c r="K304" i="57"/>
  <c r="K303" i="57"/>
  <c r="K302" i="57"/>
  <c r="K305" i="57"/>
  <c r="AB301" i="57"/>
  <c r="X302" i="57"/>
  <c r="AB302" i="57" s="1"/>
  <c r="AF302" i="57" s="1"/>
  <c r="Q491" i="12" s="1"/>
  <c r="X305" i="57"/>
  <c r="AB305" i="57" s="1"/>
  <c r="X304" i="57"/>
  <c r="AB304" i="57" s="1"/>
  <c r="X303" i="57"/>
  <c r="AB303" i="57" s="1"/>
  <c r="J40" i="57"/>
  <c r="J39" i="57"/>
  <c r="J42" i="57"/>
  <c r="J41" i="57"/>
  <c r="K24" i="57"/>
  <c r="K27" i="57"/>
  <c r="K26" i="57"/>
  <c r="K25" i="57"/>
  <c r="J141" i="57"/>
  <c r="J140" i="57"/>
  <c r="J138" i="57"/>
  <c r="J139" i="57"/>
  <c r="AA201" i="57"/>
  <c r="AE201" i="57" s="1"/>
  <c r="AA200" i="57"/>
  <c r="AE200" i="57" s="1"/>
  <c r="AI200" i="57" s="1"/>
  <c r="T389" i="12" s="1"/>
  <c r="AA203" i="57"/>
  <c r="AE203" i="57" s="1"/>
  <c r="AE199" i="57"/>
  <c r="AA202" i="57"/>
  <c r="AE202" i="57" s="1"/>
  <c r="AI202" i="57" s="1"/>
  <c r="T391" i="12" s="1"/>
  <c r="K104" i="57"/>
  <c r="K102" i="57"/>
  <c r="K101" i="57"/>
  <c r="K103" i="57"/>
  <c r="J285" i="57"/>
  <c r="J282" i="57"/>
  <c r="J284" i="57"/>
  <c r="J283" i="57"/>
  <c r="K251" i="57"/>
  <c r="K250" i="57"/>
  <c r="K253" i="57"/>
  <c r="K252" i="57"/>
  <c r="J194" i="57"/>
  <c r="J193" i="57"/>
  <c r="J196" i="57"/>
  <c r="J195" i="57"/>
  <c r="X269" i="57"/>
  <c r="AB269" i="57" s="1"/>
  <c r="X268" i="57"/>
  <c r="AB268" i="57" s="1"/>
  <c r="X267" i="57"/>
  <c r="AB267" i="57" s="1"/>
  <c r="AF267" i="57" s="1"/>
  <c r="Q456" i="12" s="1"/>
  <c r="X270" i="57"/>
  <c r="AB270" i="57" s="1"/>
  <c r="AB266" i="57"/>
  <c r="X308" i="57"/>
  <c r="AB308" i="57" s="1"/>
  <c r="AB306" i="57"/>
  <c r="AF306" i="57" s="1"/>
  <c r="Q495" i="12" s="1"/>
  <c r="X307" i="57"/>
  <c r="AB307" i="57" s="1"/>
  <c r="AF307" i="57" s="1"/>
  <c r="Q496" i="12" s="1"/>
  <c r="X310" i="57"/>
  <c r="AB310" i="57" s="1"/>
  <c r="X309" i="57"/>
  <c r="AB309" i="57" s="1"/>
  <c r="K111" i="57"/>
  <c r="K112" i="57"/>
  <c r="K113" i="57"/>
  <c r="K114" i="57"/>
  <c r="Y203" i="57"/>
  <c r="AC203" i="57" s="1"/>
  <c r="AG203" i="57" s="1"/>
  <c r="R392" i="12" s="1"/>
  <c r="Y200" i="57"/>
  <c r="AC200" i="57" s="1"/>
  <c r="AG200" i="57" s="1"/>
  <c r="R389" i="12" s="1"/>
  <c r="Y201" i="57"/>
  <c r="AC201" i="57" s="1"/>
  <c r="Y202" i="57"/>
  <c r="AC202" i="57" s="1"/>
  <c r="AC199" i="57"/>
  <c r="X238" i="57"/>
  <c r="AB238" i="57" s="1"/>
  <c r="AF238" i="57" s="1"/>
  <c r="Q427" i="12" s="1"/>
  <c r="AB234" i="57"/>
  <c r="X237" i="57"/>
  <c r="AB237" i="57" s="1"/>
  <c r="X236" i="57"/>
  <c r="AB236" i="57" s="1"/>
  <c r="X235" i="57"/>
  <c r="AB235" i="57" s="1"/>
  <c r="AF235" i="57" s="1"/>
  <c r="Q424" i="12" s="1"/>
  <c r="K108" i="57"/>
  <c r="K106" i="57"/>
  <c r="K107" i="57"/>
  <c r="K109" i="57"/>
  <c r="AA212" i="57"/>
  <c r="AE212" i="57" s="1"/>
  <c r="AA211" i="57"/>
  <c r="AE211" i="57" s="1"/>
  <c r="AE209" i="57"/>
  <c r="AI209" i="57" s="1"/>
  <c r="T398" i="12" s="1"/>
  <c r="AA210" i="57"/>
  <c r="AE210" i="57" s="1"/>
  <c r="AI210" i="57" s="1"/>
  <c r="T399" i="12" s="1"/>
  <c r="AA213" i="57"/>
  <c r="AE213" i="57" s="1"/>
  <c r="K128" i="57"/>
  <c r="K127" i="57"/>
  <c r="K126" i="57"/>
  <c r="K129" i="57"/>
  <c r="AA317" i="57"/>
  <c r="AE317" i="57" s="1"/>
  <c r="AI317" i="57" s="1"/>
  <c r="T506" i="12" s="1"/>
  <c r="AA320" i="57"/>
  <c r="AE320" i="57" s="1"/>
  <c r="AE316" i="57"/>
  <c r="AI316" i="57" s="1"/>
  <c r="T505" i="12" s="1"/>
  <c r="AA319" i="57"/>
  <c r="AE319" i="57" s="1"/>
  <c r="AA318" i="57"/>
  <c r="AE318" i="57" s="1"/>
  <c r="H247" i="57"/>
  <c r="L247" i="57" s="1"/>
  <c r="H246" i="57"/>
  <c r="L246" i="57" s="1"/>
  <c r="H245" i="57"/>
  <c r="L245" i="57" s="1"/>
  <c r="H248" i="57"/>
  <c r="L248" i="57" s="1"/>
  <c r="L244" i="57"/>
  <c r="H57" i="57"/>
  <c r="L57" i="57" s="1"/>
  <c r="L53" i="57"/>
  <c r="H56" i="57"/>
  <c r="L56" i="57" s="1"/>
  <c r="H55" i="57"/>
  <c r="L55" i="57" s="1"/>
  <c r="H54" i="57"/>
  <c r="L54" i="57" s="1"/>
  <c r="H84" i="57"/>
  <c r="L84" i="57" s="1"/>
  <c r="H83" i="57"/>
  <c r="L83" i="57" s="1"/>
  <c r="H82" i="57"/>
  <c r="L82" i="57" s="1"/>
  <c r="H81" i="57"/>
  <c r="L81" i="57" s="1"/>
  <c r="L80" i="57"/>
  <c r="I19" i="57"/>
  <c r="M19" i="57" s="1"/>
  <c r="I22" i="57"/>
  <c r="M22" i="57" s="1"/>
  <c r="M18" i="57"/>
  <c r="I21" i="57"/>
  <c r="M21" i="57" s="1"/>
  <c r="I20" i="57"/>
  <c r="M20" i="57" s="1"/>
  <c r="I202" i="57"/>
  <c r="M202" i="57" s="1"/>
  <c r="I201" i="57"/>
  <c r="M201" i="57" s="1"/>
  <c r="I200" i="57"/>
  <c r="M200" i="57" s="1"/>
  <c r="I203" i="57"/>
  <c r="M203" i="57" s="1"/>
  <c r="M199" i="57"/>
  <c r="I104" i="57"/>
  <c r="M104" i="57" s="1"/>
  <c r="M100" i="57"/>
  <c r="I103" i="57"/>
  <c r="M103" i="57" s="1"/>
  <c r="I102" i="57"/>
  <c r="M102" i="57" s="1"/>
  <c r="I101" i="57"/>
  <c r="M101" i="57" s="1"/>
  <c r="I45" i="57"/>
  <c r="M45" i="57" s="1"/>
  <c r="I44" i="57"/>
  <c r="M44" i="57" s="1"/>
  <c r="I46" i="57"/>
  <c r="M46" i="57" s="1"/>
  <c r="I47" i="57"/>
  <c r="M47" i="57" s="1"/>
  <c r="M43" i="57"/>
  <c r="I191" i="57"/>
  <c r="M191" i="57" s="1"/>
  <c r="I190" i="57"/>
  <c r="M190" i="57" s="1"/>
  <c r="I188" i="57"/>
  <c r="M188" i="57" s="1"/>
  <c r="I189" i="57"/>
  <c r="M189" i="57" s="1"/>
  <c r="M187" i="57"/>
  <c r="I52" i="57"/>
  <c r="M52" i="57" s="1"/>
  <c r="I51" i="57"/>
  <c r="M51" i="57" s="1"/>
  <c r="I50" i="57"/>
  <c r="M50" i="57" s="1"/>
  <c r="I49" i="57"/>
  <c r="M49" i="57" s="1"/>
  <c r="M48" i="57"/>
  <c r="I131" i="57"/>
  <c r="M131" i="57" s="1"/>
  <c r="I132" i="57"/>
  <c r="M132" i="57" s="1"/>
  <c r="I134" i="57"/>
  <c r="M134" i="57" s="1"/>
  <c r="I133" i="57"/>
  <c r="M133" i="57" s="1"/>
  <c r="M130" i="57"/>
  <c r="I57" i="57"/>
  <c r="M57" i="57" s="1"/>
  <c r="M53" i="57"/>
  <c r="I56" i="57"/>
  <c r="M56" i="57" s="1"/>
  <c r="I55" i="57"/>
  <c r="M55" i="57" s="1"/>
  <c r="I54" i="57"/>
  <c r="M54" i="57" s="1"/>
  <c r="I263" i="57"/>
  <c r="M263" i="57" s="1"/>
  <c r="N263" i="57" s="1"/>
  <c r="O263" i="57" s="1"/>
  <c r="P263" i="57" s="1"/>
  <c r="Q263" i="57" s="1"/>
  <c r="R263" i="57" s="1"/>
  <c r="S263" i="57" s="1"/>
  <c r="T263" i="57" s="1"/>
  <c r="U263" i="57" s="1"/>
  <c r="V263" i="57" s="1"/>
  <c r="I262" i="57"/>
  <c r="M262" i="57" s="1"/>
  <c r="N262" i="57" s="1"/>
  <c r="O262" i="57" s="1"/>
  <c r="P262" i="57" s="1"/>
  <c r="Q262" i="57" s="1"/>
  <c r="R262" i="57" s="1"/>
  <c r="S262" i="57" s="1"/>
  <c r="T262" i="57" s="1"/>
  <c r="U262" i="57" s="1"/>
  <c r="V262" i="57" s="1"/>
  <c r="I265" i="57"/>
  <c r="M265" i="57" s="1"/>
  <c r="N265" i="57" s="1"/>
  <c r="O265" i="57" s="1"/>
  <c r="P265" i="57" s="1"/>
  <c r="Q265" i="57" s="1"/>
  <c r="R265" i="57" s="1"/>
  <c r="S265" i="57" s="1"/>
  <c r="T265" i="57" s="1"/>
  <c r="U265" i="57" s="1"/>
  <c r="V265" i="57" s="1"/>
  <c r="M261" i="57"/>
  <c r="N261" i="57" s="1"/>
  <c r="O261" i="57" s="1"/>
  <c r="P261" i="57" s="1"/>
  <c r="Q261" i="57" s="1"/>
  <c r="R261" i="57" s="1"/>
  <c r="S261" i="57" s="1"/>
  <c r="T261" i="57" s="1"/>
  <c r="U261" i="57" s="1"/>
  <c r="V261" i="57" s="1"/>
  <c r="I264" i="57"/>
  <c r="M264" i="57" s="1"/>
  <c r="N264" i="57" s="1"/>
  <c r="O264" i="57" s="1"/>
  <c r="P264" i="57" s="1"/>
  <c r="Q264" i="57" s="1"/>
  <c r="R264" i="57" s="1"/>
  <c r="S264" i="57" s="1"/>
  <c r="T264" i="57" s="1"/>
  <c r="U264" i="57" s="1"/>
  <c r="V264" i="57" s="1"/>
  <c r="M90" i="57"/>
  <c r="I91" i="57"/>
  <c r="M91" i="57" s="1"/>
  <c r="I94" i="57"/>
  <c r="M94" i="57" s="1"/>
  <c r="I93" i="57"/>
  <c r="M93" i="57" s="1"/>
  <c r="I92" i="57"/>
  <c r="M92" i="57" s="1"/>
  <c r="H288" i="57"/>
  <c r="L288" i="57" s="1"/>
  <c r="H287" i="57"/>
  <c r="L287" i="57" s="1"/>
  <c r="H290" i="57"/>
  <c r="L290" i="57" s="1"/>
  <c r="H289" i="57"/>
  <c r="L289" i="57" s="1"/>
  <c r="L286" i="57"/>
  <c r="I196" i="57"/>
  <c r="M196" i="57" s="1"/>
  <c r="M192" i="57"/>
  <c r="I195" i="57"/>
  <c r="M195" i="57" s="1"/>
  <c r="I194" i="57"/>
  <c r="M194" i="57" s="1"/>
  <c r="I193" i="57"/>
  <c r="M193" i="57" s="1"/>
  <c r="H148" i="57"/>
  <c r="L148" i="57" s="1"/>
  <c r="H151" i="57"/>
  <c r="L151" i="57" s="1"/>
  <c r="L147" i="57"/>
  <c r="H150" i="57"/>
  <c r="L150" i="57" s="1"/>
  <c r="H149" i="57"/>
  <c r="L149" i="57" s="1"/>
  <c r="H141" i="57"/>
  <c r="L141" i="57" s="1"/>
  <c r="H139" i="57"/>
  <c r="L139" i="57" s="1"/>
  <c r="H140" i="57"/>
  <c r="L140" i="57" s="1"/>
  <c r="L137" i="57"/>
  <c r="H138" i="57"/>
  <c r="L138" i="57" s="1"/>
  <c r="I32" i="57"/>
  <c r="M32" i="57" s="1"/>
  <c r="M28" i="57"/>
  <c r="I31" i="57"/>
  <c r="M31" i="57" s="1"/>
  <c r="I30" i="57"/>
  <c r="M30" i="57" s="1"/>
  <c r="I29" i="57"/>
  <c r="M29" i="57" s="1"/>
  <c r="H123" i="57"/>
  <c r="L123" i="57" s="1"/>
  <c r="H122" i="57"/>
  <c r="L122" i="57" s="1"/>
  <c r="H121" i="57"/>
  <c r="L121" i="57" s="1"/>
  <c r="H124" i="57"/>
  <c r="L124" i="57" s="1"/>
  <c r="L120" i="57"/>
  <c r="H284" i="57"/>
  <c r="L284" i="57" s="1"/>
  <c r="H285" i="57"/>
  <c r="L285" i="57" s="1"/>
  <c r="H282" i="57"/>
  <c r="L282" i="57" s="1"/>
  <c r="L281" i="57"/>
  <c r="H283" i="57"/>
  <c r="L283" i="57" s="1"/>
  <c r="I71" i="57"/>
  <c r="M71" i="57" s="1"/>
  <c r="I70" i="57"/>
  <c r="M70" i="57" s="1"/>
  <c r="I69" i="57"/>
  <c r="M69" i="57" s="1"/>
  <c r="I72" i="57"/>
  <c r="M72" i="57" s="1"/>
  <c r="M68" i="57"/>
  <c r="H189" i="57"/>
  <c r="L189" i="57" s="1"/>
  <c r="H188" i="57"/>
  <c r="L188" i="57" s="1"/>
  <c r="L187" i="57"/>
  <c r="H190" i="57"/>
  <c r="L190" i="57" s="1"/>
  <c r="H191" i="57"/>
  <c r="L191" i="57" s="1"/>
  <c r="H206" i="57"/>
  <c r="L206" i="57" s="1"/>
  <c r="H205" i="57"/>
  <c r="L205" i="57" s="1"/>
  <c r="H208" i="57"/>
  <c r="L208" i="57" s="1"/>
  <c r="L204" i="57"/>
  <c r="H207" i="57"/>
  <c r="L207" i="57" s="1"/>
  <c r="I36" i="57"/>
  <c r="M36" i="57" s="1"/>
  <c r="I34" i="57"/>
  <c r="M34" i="57" s="1"/>
  <c r="I35" i="57"/>
  <c r="M35" i="57" s="1"/>
  <c r="I37" i="57"/>
  <c r="M37" i="57" s="1"/>
  <c r="M33" i="57"/>
  <c r="I79" i="57"/>
  <c r="M79" i="57" s="1"/>
  <c r="I76" i="57"/>
  <c r="M76" i="57" s="1"/>
  <c r="I78" i="57"/>
  <c r="M78" i="57" s="1"/>
  <c r="M75" i="57"/>
  <c r="I77" i="57"/>
  <c r="M77" i="57" s="1"/>
  <c r="I320" i="57"/>
  <c r="M320" i="57" s="1"/>
  <c r="I319" i="57"/>
  <c r="M319" i="57" s="1"/>
  <c r="I318" i="57"/>
  <c r="M318" i="57" s="1"/>
  <c r="I317" i="57"/>
  <c r="M317" i="57" s="1"/>
  <c r="M316" i="57"/>
  <c r="I150" i="57"/>
  <c r="M150" i="57" s="1"/>
  <c r="I149" i="57"/>
  <c r="M149" i="57" s="1"/>
  <c r="I148" i="57"/>
  <c r="M148" i="57" s="1"/>
  <c r="I151" i="57"/>
  <c r="M151" i="57" s="1"/>
  <c r="M147" i="57"/>
  <c r="H184" i="57"/>
  <c r="L184" i="57" s="1"/>
  <c r="H183" i="57"/>
  <c r="L183" i="57" s="1"/>
  <c r="H186" i="57"/>
  <c r="L186" i="57" s="1"/>
  <c r="L182" i="57"/>
  <c r="H185" i="57"/>
  <c r="L185" i="57" s="1"/>
  <c r="I211" i="57"/>
  <c r="M211" i="57" s="1"/>
  <c r="I210" i="57"/>
  <c r="M210" i="57" s="1"/>
  <c r="I213" i="57"/>
  <c r="M213" i="57" s="1"/>
  <c r="M209" i="57"/>
  <c r="I212" i="57"/>
  <c r="M212" i="57" s="1"/>
  <c r="I179" i="57"/>
  <c r="M179" i="57" s="1"/>
  <c r="I178" i="57"/>
  <c r="M178" i="57" s="1"/>
  <c r="I181" i="57"/>
  <c r="M181" i="57" s="1"/>
  <c r="I180" i="57"/>
  <c r="M180" i="57" s="1"/>
  <c r="M177" i="57"/>
  <c r="H99" i="57"/>
  <c r="L99" i="57" s="1"/>
  <c r="H97" i="57"/>
  <c r="L97" i="57" s="1"/>
  <c r="L95" i="57"/>
  <c r="H96" i="57"/>
  <c r="L96" i="57" s="1"/>
  <c r="H98" i="57"/>
  <c r="L98" i="57" s="1"/>
  <c r="H87" i="57"/>
  <c r="L87" i="57" s="1"/>
  <c r="H86" i="57"/>
  <c r="L86" i="57" s="1"/>
  <c r="L85" i="57"/>
  <c r="H89" i="57"/>
  <c r="L89" i="57" s="1"/>
  <c r="H88" i="57"/>
  <c r="L88" i="57" s="1"/>
  <c r="H145" i="57"/>
  <c r="L145" i="57" s="1"/>
  <c r="H144" i="57"/>
  <c r="L144" i="57" s="1"/>
  <c r="H143" i="57"/>
  <c r="L143" i="57" s="1"/>
  <c r="H146" i="57"/>
  <c r="L146" i="57" s="1"/>
  <c r="L142" i="57"/>
  <c r="I284" i="57"/>
  <c r="M284" i="57" s="1"/>
  <c r="I283" i="57"/>
  <c r="M283" i="57" s="1"/>
  <c r="I282" i="57"/>
  <c r="M282" i="57" s="1"/>
  <c r="I285" i="57"/>
  <c r="M285" i="57" s="1"/>
  <c r="M281" i="57"/>
  <c r="H24" i="57"/>
  <c r="L24" i="57" s="1"/>
  <c r="H25" i="57"/>
  <c r="L25" i="57" s="1"/>
  <c r="L23" i="57"/>
  <c r="H27" i="57"/>
  <c r="L27" i="57" s="1"/>
  <c r="H26" i="57"/>
  <c r="L26" i="57" s="1"/>
  <c r="I303" i="57"/>
  <c r="M303" i="57" s="1"/>
  <c r="I302" i="57"/>
  <c r="M302" i="57" s="1"/>
  <c r="I305" i="57"/>
  <c r="M305" i="57" s="1"/>
  <c r="M301" i="57"/>
  <c r="I304" i="57"/>
  <c r="M304" i="57" s="1"/>
  <c r="H203" i="57"/>
  <c r="L203" i="57" s="1"/>
  <c r="L199" i="57"/>
  <c r="H202" i="57"/>
  <c r="L202" i="57" s="1"/>
  <c r="H200" i="57"/>
  <c r="L200" i="57" s="1"/>
  <c r="H201" i="57"/>
  <c r="L201" i="57" s="1"/>
  <c r="I164" i="57"/>
  <c r="M164" i="57" s="1"/>
  <c r="I163" i="57"/>
  <c r="M163" i="57" s="1"/>
  <c r="I166" i="57"/>
  <c r="M166" i="57" s="1"/>
  <c r="M162" i="57"/>
  <c r="I165" i="57"/>
  <c r="M165" i="57" s="1"/>
  <c r="H164" i="57"/>
  <c r="L164" i="57" s="1"/>
  <c r="H163" i="57"/>
  <c r="L163" i="57" s="1"/>
  <c r="H166" i="57"/>
  <c r="L166" i="57" s="1"/>
  <c r="L162" i="57"/>
  <c r="H165" i="57"/>
  <c r="L165" i="57" s="1"/>
  <c r="I118" i="57"/>
  <c r="M118" i="57" s="1"/>
  <c r="I117" i="57"/>
  <c r="M117" i="57" s="1"/>
  <c r="I116" i="57"/>
  <c r="M116" i="57" s="1"/>
  <c r="I119" i="57"/>
  <c r="M119" i="57" s="1"/>
  <c r="M115" i="57"/>
  <c r="H47" i="57"/>
  <c r="L47" i="57" s="1"/>
  <c r="H45" i="57"/>
  <c r="L45" i="57" s="1"/>
  <c r="L43" i="57"/>
  <c r="H46" i="57"/>
  <c r="L46" i="57" s="1"/>
  <c r="H44" i="57"/>
  <c r="L44" i="57" s="1"/>
  <c r="L157" i="57"/>
  <c r="H158" i="57"/>
  <c r="L158" i="57" s="1"/>
  <c r="H161" i="57"/>
  <c r="L161" i="57" s="1"/>
  <c r="H160" i="57"/>
  <c r="L160" i="57" s="1"/>
  <c r="H159" i="57"/>
  <c r="L159" i="57" s="1"/>
  <c r="I14" i="57"/>
  <c r="M14" i="57" s="1"/>
  <c r="N14" i="57" s="1"/>
  <c r="O14" i="57" s="1"/>
  <c r="P14" i="57" s="1"/>
  <c r="Q14" i="57" s="1"/>
  <c r="R14" i="57" s="1"/>
  <c r="S14" i="57" s="1"/>
  <c r="T14" i="57" s="1"/>
  <c r="U14" i="57" s="1"/>
  <c r="V14" i="57" s="1"/>
  <c r="I16" i="57"/>
  <c r="M16" i="57" s="1"/>
  <c r="N16" i="57" s="1"/>
  <c r="O16" i="57" s="1"/>
  <c r="P16" i="57" s="1"/>
  <c r="Q16" i="57" s="1"/>
  <c r="R16" i="57" s="1"/>
  <c r="S16" i="57" s="1"/>
  <c r="T16" i="57" s="1"/>
  <c r="U16" i="57" s="1"/>
  <c r="V16" i="57" s="1"/>
  <c r="I17" i="57"/>
  <c r="M17" i="57" s="1"/>
  <c r="N17" i="57" s="1"/>
  <c r="O17" i="57" s="1"/>
  <c r="P17" i="57" s="1"/>
  <c r="Q17" i="57" s="1"/>
  <c r="R17" i="57" s="1"/>
  <c r="S17" i="57" s="1"/>
  <c r="T17" i="57" s="1"/>
  <c r="U17" i="57" s="1"/>
  <c r="V17" i="57" s="1"/>
  <c r="I15" i="57"/>
  <c r="M15" i="57" s="1"/>
  <c r="N15" i="57" s="1"/>
  <c r="O15" i="57" s="1"/>
  <c r="P15" i="57" s="1"/>
  <c r="Q15" i="57" s="1"/>
  <c r="R15" i="57" s="1"/>
  <c r="S15" i="57" s="1"/>
  <c r="T15" i="57" s="1"/>
  <c r="U15" i="57" s="1"/>
  <c r="V15" i="57" s="1"/>
  <c r="M13" i="57"/>
  <c r="N13" i="57" s="1"/>
  <c r="O13" i="57" s="1"/>
  <c r="P13" i="57" s="1"/>
  <c r="Q13" i="57" s="1"/>
  <c r="R13" i="57" s="1"/>
  <c r="S13" i="57" s="1"/>
  <c r="T13" i="57" s="1"/>
  <c r="U13" i="57" s="1"/>
  <c r="V13" i="57" s="1"/>
  <c r="H67" i="57"/>
  <c r="L67" i="57" s="1"/>
  <c r="L63" i="57"/>
  <c r="H66" i="57"/>
  <c r="L66" i="57" s="1"/>
  <c r="H65" i="57"/>
  <c r="L65" i="57" s="1"/>
  <c r="H64" i="57"/>
  <c r="L64" i="57" s="1"/>
  <c r="I114" i="57"/>
  <c r="M114" i="57" s="1"/>
  <c r="I111" i="57"/>
  <c r="M111" i="57" s="1"/>
  <c r="I113" i="57"/>
  <c r="M113" i="57" s="1"/>
  <c r="M110" i="57"/>
  <c r="I112" i="57"/>
  <c r="M112" i="57" s="1"/>
  <c r="H295" i="57"/>
  <c r="L295" i="57" s="1"/>
  <c r="H293" i="57"/>
  <c r="L293" i="57" s="1"/>
  <c r="H294" i="57"/>
  <c r="L294" i="57" s="1"/>
  <c r="L291" i="57"/>
  <c r="H292" i="57"/>
  <c r="L292" i="57" s="1"/>
  <c r="I98" i="57"/>
  <c r="M98" i="57" s="1"/>
  <c r="I97" i="57"/>
  <c r="M97" i="57" s="1"/>
  <c r="I99" i="57"/>
  <c r="M99" i="57" s="1"/>
  <c r="M95" i="57"/>
  <c r="I96" i="57"/>
  <c r="M96" i="57" s="1"/>
  <c r="H175" i="57"/>
  <c r="L175" i="57" s="1"/>
  <c r="H174" i="57"/>
  <c r="L174" i="57" s="1"/>
  <c r="H173" i="57"/>
  <c r="L173" i="57" s="1"/>
  <c r="H176" i="57"/>
  <c r="L176" i="57" s="1"/>
  <c r="L172" i="57"/>
  <c r="H264" i="57"/>
  <c r="L264" i="57" s="1"/>
  <c r="H263" i="57"/>
  <c r="L263" i="57" s="1"/>
  <c r="H262" i="57"/>
  <c r="L262" i="57" s="1"/>
  <c r="H265" i="57"/>
  <c r="L265" i="57" s="1"/>
  <c r="L261" i="57"/>
  <c r="H231" i="57"/>
  <c r="L231" i="57" s="1"/>
  <c r="H230" i="57"/>
  <c r="L230" i="57" s="1"/>
  <c r="H233" i="57"/>
  <c r="L233" i="57" s="1"/>
  <c r="L229" i="57"/>
  <c r="H232" i="57"/>
  <c r="L232" i="57" s="1"/>
  <c r="L38" i="57"/>
  <c r="H41" i="57"/>
  <c r="L41" i="57" s="1"/>
  <c r="H40" i="57"/>
  <c r="L40" i="57" s="1"/>
  <c r="H39" i="57"/>
  <c r="L39" i="57" s="1"/>
  <c r="H42" i="57"/>
  <c r="L42" i="57" s="1"/>
  <c r="H14" i="57"/>
  <c r="L14" i="57" s="1"/>
  <c r="H17" i="57"/>
  <c r="L17" i="57" s="1"/>
  <c r="L13" i="57"/>
  <c r="H16" i="57"/>
  <c r="L16" i="57" s="1"/>
  <c r="H15" i="57"/>
  <c r="L15" i="57" s="1"/>
  <c r="H62" i="57"/>
  <c r="L62" i="57" s="1"/>
  <c r="L58" i="57"/>
  <c r="H61" i="57"/>
  <c r="L61" i="57" s="1"/>
  <c r="H60" i="57"/>
  <c r="L60" i="57" s="1"/>
  <c r="H59" i="57"/>
  <c r="L59" i="57" s="1"/>
  <c r="I288" i="57"/>
  <c r="M288" i="57" s="1"/>
  <c r="I287" i="57"/>
  <c r="M287" i="57" s="1"/>
  <c r="I290" i="57"/>
  <c r="M290" i="57" s="1"/>
  <c r="M286" i="57"/>
  <c r="I289" i="57"/>
  <c r="M289" i="57" s="1"/>
  <c r="I66" i="57"/>
  <c r="M66" i="57" s="1"/>
  <c r="I64" i="57"/>
  <c r="M64" i="57" s="1"/>
  <c r="I65" i="57"/>
  <c r="M65" i="57" s="1"/>
  <c r="I67" i="57"/>
  <c r="M67" i="57" s="1"/>
  <c r="M63" i="57"/>
  <c r="H103" i="57"/>
  <c r="L103" i="57" s="1"/>
  <c r="H102" i="57"/>
  <c r="L102" i="57" s="1"/>
  <c r="H101" i="57"/>
  <c r="L101" i="57" s="1"/>
  <c r="H104" i="57"/>
  <c r="L104" i="57" s="1"/>
  <c r="L100" i="57"/>
  <c r="H305" i="57"/>
  <c r="L305" i="57" s="1"/>
  <c r="L301" i="57"/>
  <c r="H304" i="57"/>
  <c r="L304" i="57" s="1"/>
  <c r="H303" i="57"/>
  <c r="L303" i="57" s="1"/>
  <c r="H302" i="57"/>
  <c r="L302" i="57" s="1"/>
  <c r="I86" i="57"/>
  <c r="M86" i="57" s="1"/>
  <c r="I89" i="57"/>
  <c r="M89" i="57" s="1"/>
  <c r="I88" i="57"/>
  <c r="M88" i="57" s="1"/>
  <c r="I87" i="57"/>
  <c r="M87" i="57" s="1"/>
  <c r="M85" i="57"/>
  <c r="H319" i="57"/>
  <c r="L319" i="57" s="1"/>
  <c r="H318" i="57"/>
  <c r="L318" i="57" s="1"/>
  <c r="H317" i="57"/>
  <c r="L317" i="57" s="1"/>
  <c r="H320" i="57"/>
  <c r="L320" i="57" s="1"/>
  <c r="L316" i="57"/>
  <c r="M266" i="57"/>
  <c r="I270" i="57"/>
  <c r="M270" i="57" s="1"/>
  <c r="I269" i="57"/>
  <c r="M269" i="57" s="1"/>
  <c r="I267" i="57"/>
  <c r="M267" i="57" s="1"/>
  <c r="I268" i="57"/>
  <c r="M268" i="57" s="1"/>
  <c r="I154" i="57"/>
  <c r="M154" i="57" s="1"/>
  <c r="I156" i="57"/>
  <c r="M156" i="57" s="1"/>
  <c r="I153" i="57"/>
  <c r="M153" i="57" s="1"/>
  <c r="M152" i="57"/>
  <c r="I155" i="57"/>
  <c r="M155" i="57" s="1"/>
  <c r="H109" i="57"/>
  <c r="L109" i="57" s="1"/>
  <c r="L105" i="57"/>
  <c r="H108" i="57"/>
  <c r="L108" i="57" s="1"/>
  <c r="H107" i="57"/>
  <c r="L107" i="57" s="1"/>
  <c r="H106" i="57"/>
  <c r="L106" i="57" s="1"/>
  <c r="I25" i="57"/>
  <c r="M25" i="57" s="1"/>
  <c r="I24" i="57"/>
  <c r="M24" i="57" s="1"/>
  <c r="I27" i="57"/>
  <c r="M27" i="57" s="1"/>
  <c r="I26" i="57"/>
  <c r="M26" i="57" s="1"/>
  <c r="M23" i="57"/>
  <c r="H223" i="57"/>
  <c r="L223" i="57" s="1"/>
  <c r="H221" i="57"/>
  <c r="L221" i="57" s="1"/>
  <c r="H220" i="57"/>
  <c r="L220" i="57" s="1"/>
  <c r="L219" i="57"/>
  <c r="H222" i="57"/>
  <c r="L222" i="57" s="1"/>
  <c r="I241" i="57"/>
  <c r="M241" i="57" s="1"/>
  <c r="M239" i="57"/>
  <c r="I243" i="57"/>
  <c r="M243" i="57" s="1"/>
  <c r="I242" i="57"/>
  <c r="M242" i="57" s="1"/>
  <c r="I240" i="57"/>
  <c r="M240" i="57" s="1"/>
  <c r="H129" i="57"/>
  <c r="L129" i="57" s="1"/>
  <c r="H126" i="57"/>
  <c r="L126" i="57" s="1"/>
  <c r="H127" i="57"/>
  <c r="L127" i="57" s="1"/>
  <c r="L125" i="57"/>
  <c r="H128" i="57"/>
  <c r="L128" i="57" s="1"/>
  <c r="I238" i="57"/>
  <c r="M238" i="57" s="1"/>
  <c r="M234" i="57"/>
  <c r="I237" i="57"/>
  <c r="M237" i="57" s="1"/>
  <c r="I236" i="57"/>
  <c r="M236" i="57" s="1"/>
  <c r="I235" i="57"/>
  <c r="M235" i="57" s="1"/>
  <c r="I138" i="57"/>
  <c r="M138" i="57" s="1"/>
  <c r="N138" i="57" s="1"/>
  <c r="O138" i="57" s="1"/>
  <c r="P138" i="57" s="1"/>
  <c r="Q138" i="57" s="1"/>
  <c r="R138" i="57" s="1"/>
  <c r="S138" i="57" s="1"/>
  <c r="T138" i="57" s="1"/>
  <c r="U138" i="57" s="1"/>
  <c r="V138" i="57" s="1"/>
  <c r="I141" i="57"/>
  <c r="M141" i="57" s="1"/>
  <c r="N141" i="57" s="1"/>
  <c r="O141" i="57" s="1"/>
  <c r="P141" i="57" s="1"/>
  <c r="Q141" i="57" s="1"/>
  <c r="R141" i="57" s="1"/>
  <c r="S141" i="57" s="1"/>
  <c r="T141" i="57" s="1"/>
  <c r="U141" i="57" s="1"/>
  <c r="V141" i="57" s="1"/>
  <c r="I140" i="57"/>
  <c r="M140" i="57" s="1"/>
  <c r="N140" i="57" s="1"/>
  <c r="O140" i="57" s="1"/>
  <c r="P140" i="57" s="1"/>
  <c r="Q140" i="57" s="1"/>
  <c r="R140" i="57" s="1"/>
  <c r="S140" i="57" s="1"/>
  <c r="T140" i="57" s="1"/>
  <c r="U140" i="57" s="1"/>
  <c r="V140" i="57" s="1"/>
  <c r="I139" i="57"/>
  <c r="M139" i="57" s="1"/>
  <c r="N139" i="57" s="1"/>
  <c r="O139" i="57" s="1"/>
  <c r="P139" i="57" s="1"/>
  <c r="Q139" i="57" s="1"/>
  <c r="R139" i="57" s="1"/>
  <c r="S139" i="57" s="1"/>
  <c r="T139" i="57" s="1"/>
  <c r="U139" i="57" s="1"/>
  <c r="V139" i="57" s="1"/>
  <c r="M137" i="57"/>
  <c r="N137" i="57" s="1"/>
  <c r="O137" i="57" s="1"/>
  <c r="P137" i="57" s="1"/>
  <c r="Q137" i="57" s="1"/>
  <c r="R137" i="57" s="1"/>
  <c r="S137" i="57" s="1"/>
  <c r="T137" i="57" s="1"/>
  <c r="U137" i="57" s="1"/>
  <c r="V137" i="57" s="1"/>
  <c r="H153" i="57"/>
  <c r="L153" i="57" s="1"/>
  <c r="H156" i="57"/>
  <c r="L156" i="57" s="1"/>
  <c r="H155" i="57"/>
  <c r="L155" i="57" s="1"/>
  <c r="H154" i="57"/>
  <c r="L154" i="57" s="1"/>
  <c r="L152" i="57"/>
  <c r="AF266" i="57" l="1"/>
  <c r="Q455" i="12" s="1"/>
  <c r="AF305" i="57"/>
  <c r="Q494" i="12" s="1"/>
  <c r="AG295" i="57"/>
  <c r="R484" i="12" s="1"/>
  <c r="AG211" i="57"/>
  <c r="R400" i="12" s="1"/>
  <c r="AI256" i="57"/>
  <c r="T445" i="12" s="1"/>
  <c r="AH311" i="57"/>
  <c r="S500" i="12" s="1"/>
  <c r="AF286" i="57"/>
  <c r="Q475" i="12" s="1"/>
  <c r="AG249" i="57"/>
  <c r="R438" i="12" s="1"/>
  <c r="AG219" i="57"/>
  <c r="R408" i="12" s="1"/>
  <c r="AI313" i="57"/>
  <c r="T502" i="12" s="1"/>
  <c r="AG320" i="57"/>
  <c r="R509" i="12" s="1"/>
  <c r="AG248" i="57"/>
  <c r="R437" i="12" s="1"/>
  <c r="AH234" i="57"/>
  <c r="S423" i="12" s="1"/>
  <c r="AG266" i="57"/>
  <c r="R455" i="12" s="1"/>
  <c r="AI318" i="57"/>
  <c r="T507" i="12" s="1"/>
  <c r="AF276" i="57"/>
  <c r="Q465" i="12" s="1"/>
  <c r="AF281" i="57"/>
  <c r="Q470" i="12" s="1"/>
  <c r="AI213" i="57"/>
  <c r="T402" i="12" s="1"/>
  <c r="AF310" i="57"/>
  <c r="Q499" i="12" s="1"/>
  <c r="AF279" i="57"/>
  <c r="Q468" i="12" s="1"/>
  <c r="AF229" i="57"/>
  <c r="AF252" i="57"/>
  <c r="Q441" i="12" s="1"/>
  <c r="AF206" i="57"/>
  <c r="Q395" i="12" s="1"/>
  <c r="AG256" i="57"/>
  <c r="R445" i="12" s="1"/>
  <c r="AI279" i="57"/>
  <c r="T468" i="12" s="1"/>
  <c r="AI223" i="57"/>
  <c r="T412" i="12" s="1"/>
  <c r="AF244" i="57"/>
  <c r="Q433" i="12" s="1"/>
  <c r="AF284" i="57"/>
  <c r="Q473" i="12" s="1"/>
  <c r="AH305" i="57"/>
  <c r="S494" i="12" s="1"/>
  <c r="AI309" i="57"/>
  <c r="T498" i="12" s="1"/>
  <c r="AH212" i="57"/>
  <c r="S401" i="12" s="1"/>
  <c r="AF254" i="57"/>
  <c r="Q443" i="12" s="1"/>
  <c r="AI231" i="57"/>
  <c r="AI228" i="57"/>
  <c r="T417" i="12" s="1"/>
  <c r="AG313" i="57"/>
  <c r="R502" i="12" s="1"/>
  <c r="AG310" i="57"/>
  <c r="R499" i="12" s="1"/>
  <c r="AF316" i="57"/>
  <c r="Q505" i="12" s="1"/>
  <c r="AI286" i="57"/>
  <c r="T475" i="12" s="1"/>
  <c r="AG241" i="57"/>
  <c r="R430" i="12" s="1"/>
  <c r="AI265" i="57"/>
  <c r="AH289" i="57"/>
  <c r="S478" i="12" s="1"/>
  <c r="AI304" i="57"/>
  <c r="T493" i="12" s="1"/>
  <c r="AH217" i="57"/>
  <c r="S406" i="12" s="1"/>
  <c r="AI237" i="57"/>
  <c r="T426" i="12" s="1"/>
  <c r="AH276" i="57"/>
  <c r="S465" i="12" s="1"/>
  <c r="AF270" i="57"/>
  <c r="Q459" i="12" s="1"/>
  <c r="AG212" i="57"/>
  <c r="R401" i="12" s="1"/>
  <c r="AH293" i="57"/>
  <c r="S482" i="12" s="1"/>
  <c r="AH315" i="57"/>
  <c r="S504" i="12" s="1"/>
  <c r="AG276" i="57"/>
  <c r="R465" i="12" s="1"/>
  <c r="AI263" i="57"/>
  <c r="AF280" i="57"/>
  <c r="Q469" i="12" s="1"/>
  <c r="AF233" i="57"/>
  <c r="Q422" i="12" s="1"/>
  <c r="AI271" i="57"/>
  <c r="T460" i="12" s="1"/>
  <c r="AF253" i="57"/>
  <c r="Q442" i="12" s="1"/>
  <c r="AF204" i="57"/>
  <c r="AH288" i="57"/>
  <c r="S477" i="12" s="1"/>
  <c r="AI268" i="57"/>
  <c r="T457" i="12" s="1"/>
  <c r="AG253" i="57"/>
  <c r="R442" i="12" s="1"/>
  <c r="AG275" i="57"/>
  <c r="R464" i="12" s="1"/>
  <c r="AF217" i="57"/>
  <c r="Q406" i="12" s="1"/>
  <c r="AF218" i="57"/>
  <c r="Q407" i="12" s="1"/>
  <c r="AI278" i="57"/>
  <c r="T467" i="12" s="1"/>
  <c r="AF300" i="57"/>
  <c r="Q489" i="12" s="1"/>
  <c r="AH283" i="57"/>
  <c r="S472" i="12" s="1"/>
  <c r="AI238" i="57"/>
  <c r="T427" i="12" s="1"/>
  <c r="AF227" i="57"/>
  <c r="Q416" i="12" s="1"/>
  <c r="AH273" i="57"/>
  <c r="S462" i="12" s="1"/>
  <c r="AI295" i="57"/>
  <c r="T484" i="12" s="1"/>
  <c r="AF221" i="57"/>
  <c r="Q410" i="12" s="1"/>
  <c r="AI320" i="57"/>
  <c r="T509" i="12" s="1"/>
  <c r="AI254" i="57"/>
  <c r="T443" i="12" s="1"/>
  <c r="AG254" i="57"/>
  <c r="R443" i="12" s="1"/>
  <c r="AF271" i="57"/>
  <c r="Q460" i="12" s="1"/>
  <c r="AG271" i="57"/>
  <c r="R460" i="12" s="1"/>
  <c r="AI280" i="57"/>
  <c r="T469" i="12" s="1"/>
  <c r="AH284" i="57"/>
  <c r="S473" i="12" s="1"/>
  <c r="AI208" i="57"/>
  <c r="AF209" i="57"/>
  <c r="Q398" i="12" s="1"/>
  <c r="AI300" i="57"/>
  <c r="T489" i="12" s="1"/>
  <c r="AG290" i="57"/>
  <c r="R479" i="12" s="1"/>
  <c r="AH206" i="57"/>
  <c r="AH223" i="57"/>
  <c r="S412" i="12" s="1"/>
  <c r="AF256" i="57"/>
  <c r="Q445" i="12" s="1"/>
  <c r="AI227" i="57"/>
  <c r="T416" i="12" s="1"/>
  <c r="AG281" i="57"/>
  <c r="R470" i="12" s="1"/>
  <c r="AH246" i="57"/>
  <c r="S435" i="12" s="1"/>
  <c r="AH269" i="57"/>
  <c r="S458" i="12" s="1"/>
  <c r="AI217" i="57"/>
  <c r="T406" i="12" s="1"/>
  <c r="AH257" i="57"/>
  <c r="S446" i="12" s="1"/>
  <c r="AG308" i="57"/>
  <c r="R497" i="12" s="1"/>
  <c r="AH226" i="57"/>
  <c r="S415" i="12" s="1"/>
  <c r="AH278" i="57"/>
  <c r="S467" i="12" s="1"/>
  <c r="AF318" i="57"/>
  <c r="Q507" i="12" s="1"/>
  <c r="AH265" i="57"/>
  <c r="W454" i="12" s="1"/>
  <c r="AH231" i="57"/>
  <c r="AI241" i="57"/>
  <c r="T430" i="12" s="1"/>
  <c r="AH201" i="57"/>
  <c r="S390" i="12" s="1"/>
  <c r="AG206" i="57"/>
  <c r="AG218" i="57"/>
  <c r="R407" i="12" s="1"/>
  <c r="AG289" i="57"/>
  <c r="R478" i="12" s="1"/>
  <c r="AI232" i="57"/>
  <c r="AG315" i="57"/>
  <c r="R504" i="12" s="1"/>
  <c r="AH247" i="57"/>
  <c r="S436" i="12" s="1"/>
  <c r="AH300" i="57"/>
  <c r="S489" i="12" s="1"/>
  <c r="AH256" i="57"/>
  <c r="S445" i="12" s="1"/>
  <c r="AG226" i="57"/>
  <c r="R415" i="12" s="1"/>
  <c r="AH252" i="57"/>
  <c r="S441" i="12" s="1"/>
  <c r="AH261" i="57"/>
  <c r="W450" i="12" s="1"/>
  <c r="AG265" i="57"/>
  <c r="AI293" i="57"/>
  <c r="T482" i="12" s="1"/>
  <c r="AF203" i="57"/>
  <c r="Q392" i="12" s="1"/>
  <c r="N243" i="57"/>
  <c r="F432" i="12"/>
  <c r="N66" i="57"/>
  <c r="F275" i="12"/>
  <c r="N96" i="57"/>
  <c r="F300" i="12"/>
  <c r="N301" i="57"/>
  <c r="F490" i="12"/>
  <c r="N178" i="57"/>
  <c r="F367" i="12"/>
  <c r="N78" i="57"/>
  <c r="F287" i="12"/>
  <c r="N57" i="57"/>
  <c r="F266" i="12"/>
  <c r="N45" i="57"/>
  <c r="F200" i="12"/>
  <c r="U393" i="12"/>
  <c r="Q393" i="12"/>
  <c r="AF273" i="57"/>
  <c r="Q462" i="12" s="1"/>
  <c r="Q461" i="12"/>
  <c r="X393" i="12"/>
  <c r="T393" i="12"/>
  <c r="N273" i="57"/>
  <c r="F462" i="12"/>
  <c r="N84" i="57"/>
  <c r="F293" i="12"/>
  <c r="N143" i="57"/>
  <c r="F342" i="12"/>
  <c r="N146" i="57"/>
  <c r="F345" i="12"/>
  <c r="N128" i="57"/>
  <c r="F327" i="12"/>
  <c r="N257" i="57"/>
  <c r="F446" i="12"/>
  <c r="N161" i="57"/>
  <c r="F355" i="12"/>
  <c r="N310" i="57"/>
  <c r="F499" i="12"/>
  <c r="N308" i="57"/>
  <c r="F497" i="12"/>
  <c r="N62" i="57"/>
  <c r="F271" i="12"/>
  <c r="N296" i="57"/>
  <c r="F485" i="12"/>
  <c r="V393" i="12"/>
  <c r="R393" i="12"/>
  <c r="AG207" i="57"/>
  <c r="AG299" i="57"/>
  <c r="R488" i="12" s="1"/>
  <c r="W397" i="12"/>
  <c r="S397" i="12"/>
  <c r="V418" i="12"/>
  <c r="R418" i="12"/>
  <c r="AG232" i="57"/>
  <c r="AF257" i="57"/>
  <c r="Q446" i="12" s="1"/>
  <c r="X420" i="12"/>
  <c r="T420" i="12"/>
  <c r="U450" i="12"/>
  <c r="Q450" i="12"/>
  <c r="AF314" i="57"/>
  <c r="Q503" i="12" s="1"/>
  <c r="W451" i="12"/>
  <c r="S451" i="12"/>
  <c r="W421" i="12"/>
  <c r="S421" i="12"/>
  <c r="AB7" i="57"/>
  <c r="N238" i="57"/>
  <c r="F427" i="12"/>
  <c r="N25" i="57"/>
  <c r="F206" i="12"/>
  <c r="N287" i="57"/>
  <c r="F476" i="12"/>
  <c r="N113" i="57"/>
  <c r="F312" i="12"/>
  <c r="N213" i="57"/>
  <c r="F402" i="12"/>
  <c r="N319" i="57"/>
  <c r="F508" i="12"/>
  <c r="N196" i="57"/>
  <c r="F385" i="12"/>
  <c r="N54" i="57"/>
  <c r="F263" i="12"/>
  <c r="N189" i="57"/>
  <c r="F378" i="12"/>
  <c r="N100" i="57"/>
  <c r="F304" i="12"/>
  <c r="U422" i="12"/>
  <c r="N222" i="57"/>
  <c r="F411" i="12"/>
  <c r="N224" i="57"/>
  <c r="F413" i="12"/>
  <c r="N121" i="57"/>
  <c r="F320" i="12"/>
  <c r="N185" i="57"/>
  <c r="F374" i="12"/>
  <c r="N279" i="57"/>
  <c r="F468" i="12"/>
  <c r="N172" i="57"/>
  <c r="F361" i="12"/>
  <c r="N40" i="57"/>
  <c r="F254" i="12"/>
  <c r="N236" i="57"/>
  <c r="F425" i="12"/>
  <c r="N239" i="57"/>
  <c r="F428" i="12"/>
  <c r="N26" i="57"/>
  <c r="F207" i="12"/>
  <c r="N156" i="57"/>
  <c r="F350" i="12"/>
  <c r="N269" i="57"/>
  <c r="F458" i="12"/>
  <c r="N85" i="57"/>
  <c r="F215" i="12"/>
  <c r="N86" i="57"/>
  <c r="F216" i="12"/>
  <c r="N67" i="57"/>
  <c r="F276" i="12"/>
  <c r="N289" i="57"/>
  <c r="F478" i="12"/>
  <c r="N288" i="57"/>
  <c r="F477" i="12"/>
  <c r="N95" i="57"/>
  <c r="F299" i="12"/>
  <c r="N111" i="57"/>
  <c r="F310" i="12"/>
  <c r="N116" i="57"/>
  <c r="F315" i="12"/>
  <c r="N165" i="57"/>
  <c r="F359" i="12"/>
  <c r="N164" i="57"/>
  <c r="F358" i="12"/>
  <c r="N305" i="57"/>
  <c r="F494" i="12"/>
  <c r="N281" i="57"/>
  <c r="F470" i="12"/>
  <c r="N284" i="57"/>
  <c r="F473" i="12"/>
  <c r="N177" i="57"/>
  <c r="F366" i="12"/>
  <c r="N179" i="57"/>
  <c r="F368" i="12"/>
  <c r="N210" i="57"/>
  <c r="F399" i="12"/>
  <c r="N151" i="57"/>
  <c r="F230" i="12"/>
  <c r="N316" i="57"/>
  <c r="F505" i="12"/>
  <c r="N320" i="57"/>
  <c r="F509" i="12"/>
  <c r="N76" i="57"/>
  <c r="F285" i="12"/>
  <c r="N35" i="57"/>
  <c r="F249" i="12"/>
  <c r="N70" i="57"/>
  <c r="F279" i="12"/>
  <c r="N29" i="57"/>
  <c r="F243" i="12"/>
  <c r="N32" i="57"/>
  <c r="F246" i="12"/>
  <c r="N194" i="57"/>
  <c r="F383" i="12"/>
  <c r="N91" i="57"/>
  <c r="F295" i="12"/>
  <c r="N55" i="57"/>
  <c r="F264" i="12"/>
  <c r="N130" i="57"/>
  <c r="F329" i="12"/>
  <c r="N131" i="57"/>
  <c r="F330" i="12"/>
  <c r="N51" i="57"/>
  <c r="F260" i="12"/>
  <c r="N188" i="57"/>
  <c r="F377" i="12"/>
  <c r="N47" i="57"/>
  <c r="F202" i="12"/>
  <c r="N101" i="57"/>
  <c r="F305" i="12"/>
  <c r="N104" i="57"/>
  <c r="F308" i="12"/>
  <c r="N201" i="57"/>
  <c r="F390" i="12"/>
  <c r="N18" i="57"/>
  <c r="F238" i="12"/>
  <c r="AF236" i="57"/>
  <c r="Q425" i="12" s="1"/>
  <c r="AG199" i="57"/>
  <c r="R388" i="12" s="1"/>
  <c r="AC7" i="57"/>
  <c r="AE7" i="57"/>
  <c r="AF303" i="57"/>
  <c r="Q492" i="12" s="1"/>
  <c r="AF301" i="57"/>
  <c r="Q490" i="12" s="1"/>
  <c r="AG293" i="57"/>
  <c r="R482" i="12" s="1"/>
  <c r="AG213" i="57"/>
  <c r="R402" i="12" s="1"/>
  <c r="X454" i="12"/>
  <c r="T454" i="12"/>
  <c r="X453" i="12"/>
  <c r="T453" i="12"/>
  <c r="U419" i="12"/>
  <c r="Q419" i="12"/>
  <c r="AI283" i="57"/>
  <c r="T472" i="12" s="1"/>
  <c r="AF208" i="57"/>
  <c r="AH306" i="57"/>
  <c r="S495" i="12" s="1"/>
  <c r="AI266" i="57"/>
  <c r="T455" i="12" s="1"/>
  <c r="AI269" i="57"/>
  <c r="T458" i="12" s="1"/>
  <c r="AI303" i="57"/>
  <c r="T492" i="12" s="1"/>
  <c r="AH216" i="57"/>
  <c r="S405" i="12" s="1"/>
  <c r="AF242" i="57"/>
  <c r="Q431" i="12" s="1"/>
  <c r="X397" i="12"/>
  <c r="T397" i="12"/>
  <c r="AI221" i="57"/>
  <c r="T410" i="12" s="1"/>
  <c r="N219" i="57"/>
  <c r="F408" i="12"/>
  <c r="N228" i="57"/>
  <c r="F417" i="12"/>
  <c r="N170" i="57"/>
  <c r="F224" i="12"/>
  <c r="N314" i="57"/>
  <c r="F503" i="12"/>
  <c r="N313" i="57"/>
  <c r="F502" i="12"/>
  <c r="N274" i="57"/>
  <c r="F463" i="12"/>
  <c r="N120" i="57"/>
  <c r="F319" i="12"/>
  <c r="N184" i="57"/>
  <c r="F373" i="12"/>
  <c r="N186" i="57"/>
  <c r="F375" i="12"/>
  <c r="N277" i="57"/>
  <c r="F466" i="12"/>
  <c r="N252" i="57"/>
  <c r="F441" i="12"/>
  <c r="N176" i="57"/>
  <c r="F365" i="12"/>
  <c r="N291" i="57"/>
  <c r="F480" i="12"/>
  <c r="N216" i="57"/>
  <c r="F405" i="12"/>
  <c r="N218" i="57"/>
  <c r="F407" i="12"/>
  <c r="N247" i="57"/>
  <c r="F436" i="12"/>
  <c r="N41" i="57"/>
  <c r="F255" i="12"/>
  <c r="N81" i="57"/>
  <c r="F290" i="12"/>
  <c r="N144" i="57"/>
  <c r="F343" i="12"/>
  <c r="N125" i="57"/>
  <c r="F324" i="12"/>
  <c r="N258" i="57"/>
  <c r="F447" i="12"/>
  <c r="N158" i="57"/>
  <c r="F352" i="12"/>
  <c r="N307" i="57"/>
  <c r="F496" i="12"/>
  <c r="N60" i="57"/>
  <c r="F269" i="12"/>
  <c r="N59" i="57"/>
  <c r="F268" i="12"/>
  <c r="N300" i="57"/>
  <c r="F489" i="12"/>
  <c r="AI244" i="57"/>
  <c r="T433" i="12" s="1"/>
  <c r="AF295" i="57"/>
  <c r="Q484" i="12" s="1"/>
  <c r="AF246" i="57"/>
  <c r="Q435" i="12" s="1"/>
  <c r="AI315" i="57"/>
  <c r="T504" i="12" s="1"/>
  <c r="AF283" i="57"/>
  <c r="Q472" i="12" s="1"/>
  <c r="AG319" i="57"/>
  <c r="R508" i="12" s="1"/>
  <c r="AG318" i="57"/>
  <c r="R507" i="12" s="1"/>
  <c r="AG246" i="57"/>
  <c r="R435" i="12" s="1"/>
  <c r="AH238" i="57"/>
  <c r="S427" i="12" s="1"/>
  <c r="V394" i="12"/>
  <c r="R394" i="12"/>
  <c r="AG237" i="57"/>
  <c r="R426" i="12" s="1"/>
  <c r="AH303" i="57"/>
  <c r="S492" i="12" s="1"/>
  <c r="AG268" i="57"/>
  <c r="R457" i="12" s="1"/>
  <c r="AG300" i="57"/>
  <c r="R489" i="12" s="1"/>
  <c r="AG214" i="57"/>
  <c r="R403" i="12" s="1"/>
  <c r="AG217" i="57"/>
  <c r="R406" i="12" s="1"/>
  <c r="AG286" i="57"/>
  <c r="R475" i="12" s="1"/>
  <c r="W394" i="12"/>
  <c r="S394" i="12"/>
  <c r="AG233" i="57"/>
  <c r="AI306" i="57"/>
  <c r="T495" i="12" s="1"/>
  <c r="AI310" i="57"/>
  <c r="T499" i="12" s="1"/>
  <c r="AH213" i="57"/>
  <c r="S402" i="12" s="1"/>
  <c r="AH222" i="57"/>
  <c r="S411" i="12" s="1"/>
  <c r="AI229" i="57"/>
  <c r="AI233" i="57"/>
  <c r="AG283" i="57"/>
  <c r="R472" i="12" s="1"/>
  <c r="AG314" i="57"/>
  <c r="R503" i="12" s="1"/>
  <c r="AH244" i="57"/>
  <c r="S433" i="12" s="1"/>
  <c r="AH266" i="57"/>
  <c r="S455" i="12" s="1"/>
  <c r="AI214" i="57"/>
  <c r="T403" i="12" s="1"/>
  <c r="AH299" i="57"/>
  <c r="S488" i="12" s="1"/>
  <c r="AH254" i="57"/>
  <c r="S443" i="12" s="1"/>
  <c r="AF265" i="57"/>
  <c r="AI234" i="57"/>
  <c r="T423" i="12" s="1"/>
  <c r="AF224" i="57"/>
  <c r="Q413" i="12" s="1"/>
  <c r="AF315" i="57"/>
  <c r="Q504" i="12" s="1"/>
  <c r="AG228" i="57"/>
  <c r="R417" i="12" s="1"/>
  <c r="AI253" i="57"/>
  <c r="T442" i="12" s="1"/>
  <c r="AH249" i="57"/>
  <c r="S438" i="12" s="1"/>
  <c r="AH264" i="57"/>
  <c r="AH263" i="57"/>
  <c r="W419" i="12"/>
  <c r="S419" i="12"/>
  <c r="AG264" i="57"/>
  <c r="AI294" i="57"/>
  <c r="T483" i="12" s="1"/>
  <c r="AI290" i="57"/>
  <c r="T479" i="12" s="1"/>
  <c r="AH243" i="57"/>
  <c r="S432" i="12" s="1"/>
  <c r="AF223" i="57"/>
  <c r="Q412" i="12" s="1"/>
  <c r="AF202" i="57"/>
  <c r="Q391" i="12" s="1"/>
  <c r="N235" i="57"/>
  <c r="F424" i="12"/>
  <c r="N153" i="57"/>
  <c r="F347" i="12"/>
  <c r="N98" i="57"/>
  <c r="F302" i="12"/>
  <c r="N163" i="57"/>
  <c r="F357" i="12"/>
  <c r="N150" i="57"/>
  <c r="F229" i="12"/>
  <c r="N28" i="57"/>
  <c r="F242" i="12"/>
  <c r="N193" i="57"/>
  <c r="F382" i="12"/>
  <c r="N94" i="57"/>
  <c r="F298" i="12"/>
  <c r="N132" i="57"/>
  <c r="F331" i="12"/>
  <c r="N43" i="57"/>
  <c r="F198" i="12"/>
  <c r="N21" i="57"/>
  <c r="F241" i="12"/>
  <c r="X452" i="12"/>
  <c r="T452" i="12"/>
  <c r="AI273" i="57"/>
  <c r="T462" i="12" s="1"/>
  <c r="T461" i="12"/>
  <c r="N294" i="57"/>
  <c r="F483" i="12"/>
  <c r="N214" i="57"/>
  <c r="F403" i="12"/>
  <c r="N246" i="57"/>
  <c r="F435" i="12"/>
  <c r="N39" i="57"/>
  <c r="F253" i="12"/>
  <c r="N237" i="57"/>
  <c r="F426" i="12"/>
  <c r="N240" i="57"/>
  <c r="F429" i="12"/>
  <c r="N241" i="57"/>
  <c r="F430" i="12"/>
  <c r="N27" i="57"/>
  <c r="F208" i="12"/>
  <c r="N155" i="57"/>
  <c r="F349" i="12"/>
  <c r="N154" i="57"/>
  <c r="F348" i="12"/>
  <c r="N270" i="57"/>
  <c r="F459" i="12"/>
  <c r="N87" i="57"/>
  <c r="F217" i="12"/>
  <c r="N65" i="57"/>
  <c r="F274" i="12"/>
  <c r="N286" i="57"/>
  <c r="F475" i="12"/>
  <c r="N99" i="57"/>
  <c r="F303" i="12"/>
  <c r="N112" i="57"/>
  <c r="F311" i="12"/>
  <c r="N114" i="57"/>
  <c r="F313" i="12"/>
  <c r="N117" i="57"/>
  <c r="F316" i="12"/>
  <c r="N162" i="57"/>
  <c r="F356" i="12"/>
  <c r="N302" i="57"/>
  <c r="F491" i="12"/>
  <c r="N285" i="57"/>
  <c r="F474" i="12"/>
  <c r="N180" i="57"/>
  <c r="F369" i="12"/>
  <c r="N212" i="57"/>
  <c r="F401" i="12"/>
  <c r="N211" i="57"/>
  <c r="F400" i="12"/>
  <c r="N148" i="57"/>
  <c r="F227" i="12"/>
  <c r="N317" i="57"/>
  <c r="F506" i="12"/>
  <c r="N77" i="57"/>
  <c r="F286" i="12"/>
  <c r="N79" i="57"/>
  <c r="F288" i="12"/>
  <c r="N34" i="57"/>
  <c r="F248" i="12"/>
  <c r="N68" i="57"/>
  <c r="F277" i="12"/>
  <c r="N71" i="57"/>
  <c r="F280" i="12"/>
  <c r="N30" i="57"/>
  <c r="F244" i="12"/>
  <c r="N195" i="57"/>
  <c r="F384" i="12"/>
  <c r="N92" i="57"/>
  <c r="F296" i="12"/>
  <c r="N90" i="57"/>
  <c r="F294" i="12"/>
  <c r="N56" i="57"/>
  <c r="F265" i="12"/>
  <c r="N133" i="57"/>
  <c r="F332" i="12"/>
  <c r="N48" i="57"/>
  <c r="F257" i="12"/>
  <c r="N52" i="57"/>
  <c r="F261" i="12"/>
  <c r="N190" i="57"/>
  <c r="F379" i="12"/>
  <c r="N46" i="57"/>
  <c r="F201" i="12"/>
  <c r="N102" i="57"/>
  <c r="F306" i="12"/>
  <c r="N199" i="57"/>
  <c r="F388" i="12"/>
  <c r="N202" i="57"/>
  <c r="F391" i="12"/>
  <c r="N22" i="57"/>
  <c r="F203" i="12"/>
  <c r="AI211" i="57"/>
  <c r="T400" i="12" s="1"/>
  <c r="AF237" i="57"/>
  <c r="Q426" i="12" s="1"/>
  <c r="AG202" i="57"/>
  <c r="R391" i="12" s="1"/>
  <c r="AF309" i="57"/>
  <c r="Q498" i="12" s="1"/>
  <c r="AF308" i="57"/>
  <c r="Q497" i="12" s="1"/>
  <c r="AF268" i="57"/>
  <c r="Q457" i="12" s="1"/>
  <c r="AI203" i="57"/>
  <c r="T392" i="12" s="1"/>
  <c r="AF304" i="57"/>
  <c r="Q493" i="12" s="1"/>
  <c r="AG291" i="57"/>
  <c r="R480" i="12" s="1"/>
  <c r="AG294" i="57"/>
  <c r="R483" i="12" s="1"/>
  <c r="AH291" i="57"/>
  <c r="S480" i="12" s="1"/>
  <c r="AG242" i="57"/>
  <c r="R431" i="12" s="1"/>
  <c r="AI258" i="57"/>
  <c r="T447" i="12" s="1"/>
  <c r="AH313" i="57"/>
  <c r="S502" i="12" s="1"/>
  <c r="AG280" i="57"/>
  <c r="R469" i="12" s="1"/>
  <c r="AI261" i="57"/>
  <c r="AF278" i="57"/>
  <c r="Q467" i="12" s="1"/>
  <c r="AF231" i="57"/>
  <c r="AI274" i="57"/>
  <c r="T463" i="12" s="1"/>
  <c r="AI281" i="57"/>
  <c r="T470" i="12" s="1"/>
  <c r="AH316" i="57"/>
  <c r="S505" i="12" s="1"/>
  <c r="AH320" i="57"/>
  <c r="S509" i="12" s="1"/>
  <c r="AF249" i="57"/>
  <c r="Q438" i="12" s="1"/>
  <c r="U394" i="12"/>
  <c r="Q394" i="12"/>
  <c r="AH310" i="57"/>
  <c r="S499" i="12" s="1"/>
  <c r="AF289" i="57"/>
  <c r="Q478" i="12" s="1"/>
  <c r="AF288" i="57"/>
  <c r="Q477" i="12" s="1"/>
  <c r="AH286" i="57"/>
  <c r="S475" i="12" s="1"/>
  <c r="AG301" i="57"/>
  <c r="R490" i="12" s="1"/>
  <c r="AI270" i="57"/>
  <c r="T459" i="12" s="1"/>
  <c r="AG258" i="57"/>
  <c r="R447" i="12" s="1"/>
  <c r="AG251" i="57"/>
  <c r="R440" i="12" s="1"/>
  <c r="AF275" i="57"/>
  <c r="Q464" i="12" s="1"/>
  <c r="AI301" i="57"/>
  <c r="T490" i="12" s="1"/>
  <c r="AG221" i="57"/>
  <c r="R410" i="12" s="1"/>
  <c r="AG222" i="57"/>
  <c r="R411" i="12" s="1"/>
  <c r="AG273" i="57"/>
  <c r="R462" i="12" s="1"/>
  <c r="R461" i="12"/>
  <c r="AH214" i="57"/>
  <c r="S403" i="12" s="1"/>
  <c r="AF243" i="57"/>
  <c r="Q432" i="12" s="1"/>
  <c r="AF241" i="57"/>
  <c r="Q430" i="12" s="1"/>
  <c r="AI276" i="57"/>
  <c r="T465" i="12" s="1"/>
  <c r="AF298" i="57"/>
  <c r="Q487" i="12" s="1"/>
  <c r="AH281" i="57"/>
  <c r="S470" i="12" s="1"/>
  <c r="X395" i="12"/>
  <c r="T395" i="12"/>
  <c r="X394" i="12"/>
  <c r="T394" i="12"/>
  <c r="AF213" i="57"/>
  <c r="Q402" i="12" s="1"/>
  <c r="AI222" i="57"/>
  <c r="T411" i="12" s="1"/>
  <c r="AI298" i="57"/>
  <c r="T487" i="12" s="1"/>
  <c r="N223" i="57"/>
  <c r="F412" i="12"/>
  <c r="N226" i="57"/>
  <c r="F415" i="12"/>
  <c r="N225" i="57"/>
  <c r="F414" i="12"/>
  <c r="N169" i="57"/>
  <c r="F223" i="12"/>
  <c r="N311" i="57"/>
  <c r="F500" i="12"/>
  <c r="N271" i="57"/>
  <c r="F460" i="12"/>
  <c r="N272" i="57"/>
  <c r="F461" i="12"/>
  <c r="N123" i="57"/>
  <c r="F322" i="12"/>
  <c r="N182" i="57"/>
  <c r="F371" i="12"/>
  <c r="N276" i="57"/>
  <c r="F465" i="12"/>
  <c r="N280" i="57"/>
  <c r="F469" i="12"/>
  <c r="N249" i="57"/>
  <c r="F438" i="12"/>
  <c r="N175" i="57"/>
  <c r="F364" i="12"/>
  <c r="N173" i="57"/>
  <c r="F362" i="12"/>
  <c r="N295" i="57"/>
  <c r="F484" i="12"/>
  <c r="N215" i="57"/>
  <c r="F404" i="12"/>
  <c r="N244" i="57"/>
  <c r="F433" i="12"/>
  <c r="N248" i="57"/>
  <c r="F437" i="12"/>
  <c r="N38" i="57"/>
  <c r="F252" i="12"/>
  <c r="N80" i="57"/>
  <c r="F289" i="12"/>
  <c r="N145" i="57"/>
  <c r="F344" i="12"/>
  <c r="N126" i="57"/>
  <c r="F325" i="12"/>
  <c r="N127" i="57"/>
  <c r="F326" i="12"/>
  <c r="N255" i="57"/>
  <c r="F444" i="12"/>
  <c r="N157" i="57"/>
  <c r="F351" i="12"/>
  <c r="N159" i="57"/>
  <c r="F353" i="12"/>
  <c r="N306" i="57"/>
  <c r="F495" i="12"/>
  <c r="N61" i="57"/>
  <c r="F270" i="12"/>
  <c r="N297" i="57"/>
  <c r="F486" i="12"/>
  <c r="AI248" i="57"/>
  <c r="T437" i="12" s="1"/>
  <c r="AF248" i="57"/>
  <c r="Q437" i="12" s="1"/>
  <c r="AG247" i="57"/>
  <c r="R436" i="12" s="1"/>
  <c r="AH236" i="57"/>
  <c r="S425" i="12" s="1"/>
  <c r="AG208" i="57"/>
  <c r="AH304" i="57"/>
  <c r="S493" i="12" s="1"/>
  <c r="AG269" i="57"/>
  <c r="R458" i="12" s="1"/>
  <c r="W395" i="12"/>
  <c r="S395" i="12"/>
  <c r="V419" i="12"/>
  <c r="R419" i="12"/>
  <c r="X419" i="12"/>
  <c r="T419" i="12"/>
  <c r="AI224" i="57"/>
  <c r="T413" i="12" s="1"/>
  <c r="AI226" i="57"/>
  <c r="T415" i="12" s="1"/>
  <c r="AG311" i="57"/>
  <c r="R500" i="12" s="1"/>
  <c r="AH296" i="57"/>
  <c r="S485" i="12" s="1"/>
  <c r="U451" i="12"/>
  <c r="Q451" i="12"/>
  <c r="AF228" i="57"/>
  <c r="Q417" i="12" s="1"/>
  <c r="AG227" i="57"/>
  <c r="R416" i="12" s="1"/>
  <c r="AH251" i="57"/>
  <c r="S440" i="12" s="1"/>
  <c r="S454" i="12"/>
  <c r="W418" i="12"/>
  <c r="S418" i="12"/>
  <c r="W420" i="12"/>
  <c r="S420" i="12"/>
  <c r="AG261" i="57"/>
  <c r="AH275" i="57"/>
  <c r="S464" i="12" s="1"/>
  <c r="AH239" i="57"/>
  <c r="S428" i="12" s="1"/>
  <c r="AF219" i="57"/>
  <c r="Q408" i="12" s="1"/>
  <c r="AH199" i="57"/>
  <c r="S388" i="12" s="1"/>
  <c r="AD7" i="57"/>
  <c r="N23" i="57"/>
  <c r="F204" i="12"/>
  <c r="N267" i="57"/>
  <c r="F456" i="12"/>
  <c r="N89" i="57"/>
  <c r="F219" i="12"/>
  <c r="N63" i="57"/>
  <c r="F272" i="12"/>
  <c r="N119" i="57"/>
  <c r="F318" i="12"/>
  <c r="N283" i="57"/>
  <c r="F472" i="12"/>
  <c r="N147" i="57"/>
  <c r="F226" i="12"/>
  <c r="N37" i="57"/>
  <c r="F251" i="12"/>
  <c r="N69" i="57"/>
  <c r="F278" i="12"/>
  <c r="N50" i="57"/>
  <c r="F259" i="12"/>
  <c r="N200" i="57"/>
  <c r="F389" i="12"/>
  <c r="AI199" i="57"/>
  <c r="T388" i="12" s="1"/>
  <c r="AI201" i="57"/>
  <c r="T390" i="12" s="1"/>
  <c r="AF207" i="57"/>
  <c r="N167" i="57"/>
  <c r="F221" i="12"/>
  <c r="N312" i="57"/>
  <c r="F501" i="12"/>
  <c r="N124" i="57"/>
  <c r="F323" i="12"/>
  <c r="N251" i="57"/>
  <c r="F440" i="12"/>
  <c r="N234" i="57"/>
  <c r="F423" i="12"/>
  <c r="N242" i="57"/>
  <c r="F431" i="12"/>
  <c r="N24" i="57"/>
  <c r="F205" i="12"/>
  <c r="N152" i="57"/>
  <c r="F346" i="12"/>
  <c r="N268" i="57"/>
  <c r="F457" i="12"/>
  <c r="N266" i="57"/>
  <c r="F455" i="12"/>
  <c r="N88" i="57"/>
  <c r="F218" i="12"/>
  <c r="N64" i="57"/>
  <c r="F273" i="12"/>
  <c r="N290" i="57"/>
  <c r="F479" i="12"/>
  <c r="N97" i="57"/>
  <c r="F301" i="12"/>
  <c r="N110" i="57"/>
  <c r="F309" i="12"/>
  <c r="N115" i="57"/>
  <c r="F314" i="12"/>
  <c r="N118" i="57"/>
  <c r="F317" i="12"/>
  <c r="N166" i="57"/>
  <c r="F360" i="12"/>
  <c r="N304" i="57"/>
  <c r="F493" i="12"/>
  <c r="N303" i="57"/>
  <c r="F492" i="12"/>
  <c r="N282" i="57"/>
  <c r="F471" i="12"/>
  <c r="N181" i="57"/>
  <c r="F370" i="12"/>
  <c r="N209" i="57"/>
  <c r="F398" i="12"/>
  <c r="N149" i="57"/>
  <c r="F228" i="12"/>
  <c r="N318" i="57"/>
  <c r="F507" i="12"/>
  <c r="N75" i="57"/>
  <c r="F284" i="12"/>
  <c r="N33" i="57"/>
  <c r="F247" i="12"/>
  <c r="N36" i="57"/>
  <c r="F250" i="12"/>
  <c r="N72" i="57"/>
  <c r="F281" i="12"/>
  <c r="N31" i="57"/>
  <c r="F245" i="12"/>
  <c r="N192" i="57"/>
  <c r="F381" i="12"/>
  <c r="N93" i="57"/>
  <c r="F297" i="12"/>
  <c r="N53" i="57"/>
  <c r="F262" i="12"/>
  <c r="N134" i="57"/>
  <c r="F333" i="12"/>
  <c r="N49" i="57"/>
  <c r="F258" i="12"/>
  <c r="N187" i="57"/>
  <c r="F376" i="12"/>
  <c r="N191" i="57"/>
  <c r="F380" i="12"/>
  <c r="N44" i="57"/>
  <c r="F199" i="12"/>
  <c r="N103" i="57"/>
  <c r="F307" i="12"/>
  <c r="N203" i="57"/>
  <c r="F392" i="12"/>
  <c r="N20" i="57"/>
  <c r="F240" i="12"/>
  <c r="N19" i="57"/>
  <c r="F239" i="12"/>
  <c r="AI319" i="57"/>
  <c r="T508" i="12" s="1"/>
  <c r="AI212" i="57"/>
  <c r="T401" i="12" s="1"/>
  <c r="AF234" i="57"/>
  <c r="Q423" i="12" s="1"/>
  <c r="AG201" i="57"/>
  <c r="R390" i="12" s="1"/>
  <c r="AF269" i="57"/>
  <c r="Q458" i="12" s="1"/>
  <c r="AG239" i="57"/>
  <c r="R428" i="12" s="1"/>
  <c r="AH314" i="57"/>
  <c r="S503" i="12" s="1"/>
  <c r="AG278" i="57"/>
  <c r="R467" i="12" s="1"/>
  <c r="X451" i="12"/>
  <c r="T451" i="12"/>
  <c r="U418" i="12"/>
  <c r="Q418" i="12"/>
  <c r="AF232" i="57"/>
  <c r="AI285" i="57"/>
  <c r="T474" i="12" s="1"/>
  <c r="AH318" i="57"/>
  <c r="S507" i="12" s="1"/>
  <c r="AF251" i="57"/>
  <c r="Q440" i="12" s="1"/>
  <c r="U395" i="12"/>
  <c r="AH309" i="57"/>
  <c r="S498" i="12" s="1"/>
  <c r="AH290" i="57"/>
  <c r="S479" i="12" s="1"/>
  <c r="AG305" i="57"/>
  <c r="R494" i="12" s="1"/>
  <c r="AG252" i="57"/>
  <c r="R441" i="12" s="1"/>
  <c r="AI305" i="57"/>
  <c r="T494" i="12" s="1"/>
  <c r="AG274" i="57"/>
  <c r="R463" i="12" s="1"/>
  <c r="AF214" i="57"/>
  <c r="Q403" i="12" s="1"/>
  <c r="AH218" i="57"/>
  <c r="S407" i="12" s="1"/>
  <c r="AF299" i="57"/>
  <c r="Q488" i="12" s="1"/>
  <c r="AI207" i="57"/>
  <c r="AI299" i="57"/>
  <c r="T488" i="12" s="1"/>
  <c r="N221" i="57"/>
  <c r="F410" i="12"/>
  <c r="N220" i="57"/>
  <c r="F409" i="12"/>
  <c r="N227" i="57"/>
  <c r="F416" i="12"/>
  <c r="N168" i="57"/>
  <c r="F222" i="12"/>
  <c r="N171" i="57"/>
  <c r="F225" i="12"/>
  <c r="N315" i="57"/>
  <c r="F504" i="12"/>
  <c r="N275" i="57"/>
  <c r="F464" i="12"/>
  <c r="N122" i="57"/>
  <c r="F321" i="12"/>
  <c r="N183" i="57"/>
  <c r="F372" i="12"/>
  <c r="N278" i="57"/>
  <c r="F467" i="12"/>
  <c r="N250" i="57"/>
  <c r="F439" i="12"/>
  <c r="N253" i="57"/>
  <c r="F442" i="12"/>
  <c r="N174" i="57"/>
  <c r="F363" i="12"/>
  <c r="N293" i="57"/>
  <c r="F482" i="12"/>
  <c r="N292" i="57"/>
  <c r="F481" i="12"/>
  <c r="N217" i="57"/>
  <c r="F406" i="12"/>
  <c r="N245" i="57"/>
  <c r="F434" i="12"/>
  <c r="N42" i="57"/>
  <c r="F256" i="12"/>
  <c r="N82" i="57"/>
  <c r="F291" i="12"/>
  <c r="N83" i="57"/>
  <c r="F292" i="12"/>
  <c r="N142" i="57"/>
  <c r="F341" i="12"/>
  <c r="N129" i="57"/>
  <c r="F328" i="12"/>
  <c r="N254" i="57"/>
  <c r="F443" i="12"/>
  <c r="N256" i="57"/>
  <c r="F445" i="12"/>
  <c r="N160" i="57"/>
  <c r="F354" i="12"/>
  <c r="N309" i="57"/>
  <c r="F498" i="12"/>
  <c r="N58" i="57"/>
  <c r="F267" i="12"/>
  <c r="N299" i="57"/>
  <c r="F488" i="12"/>
  <c r="N298" i="57"/>
  <c r="F487" i="12"/>
  <c r="AF294" i="57"/>
  <c r="Q483" i="12" s="1"/>
  <c r="AI314" i="57"/>
  <c r="T503" i="12" s="1"/>
  <c r="AH237" i="57"/>
  <c r="S426" i="12" s="1"/>
  <c r="V395" i="12"/>
  <c r="R395" i="12"/>
  <c r="AG234" i="57"/>
  <c r="R423" i="12" s="1"/>
  <c r="AG270" i="57"/>
  <c r="R459" i="12" s="1"/>
  <c r="AG298" i="57"/>
  <c r="R487" i="12" s="1"/>
  <c r="AH204" i="57"/>
  <c r="AH207" i="57"/>
  <c r="AG231" i="57"/>
  <c r="AI308" i="57"/>
  <c r="T497" i="12" s="1"/>
  <c r="AH211" i="57"/>
  <c r="S400" i="12" s="1"/>
  <c r="AH219" i="57"/>
  <c r="S408" i="12" s="1"/>
  <c r="AF258" i="57"/>
  <c r="Q447" i="12" s="1"/>
  <c r="X421" i="12"/>
  <c r="T421" i="12"/>
  <c r="AG284" i="57"/>
  <c r="R473" i="12" s="1"/>
  <c r="AH268" i="57"/>
  <c r="S457" i="12" s="1"/>
  <c r="AI218" i="57"/>
  <c r="T407" i="12" s="1"/>
  <c r="AG306" i="57"/>
  <c r="R495" i="12" s="1"/>
  <c r="AF264" i="57"/>
  <c r="AF263" i="57"/>
  <c r="AH227" i="57"/>
  <c r="S416" i="12" s="1"/>
  <c r="AH279" i="57"/>
  <c r="S468" i="12" s="1"/>
  <c r="AF313" i="57"/>
  <c r="Q502" i="12" s="1"/>
  <c r="AI252" i="57"/>
  <c r="T441" i="12" s="1"/>
  <c r="AF319" i="57"/>
  <c r="Q508" i="12" s="1"/>
  <c r="AH233" i="57"/>
  <c r="AG263" i="57"/>
  <c r="V451" i="12"/>
  <c r="R451" i="12"/>
  <c r="V454" i="12"/>
  <c r="R454" i="12"/>
  <c r="AH271" i="57"/>
  <c r="S460" i="12" s="1"/>
  <c r="AI289" i="57"/>
  <c r="T478" i="12" s="1"/>
  <c r="AI242" i="57"/>
  <c r="T431" i="12" s="1"/>
  <c r="AF222" i="57"/>
  <c r="Q411" i="12" s="1"/>
  <c r="AH202" i="57"/>
  <c r="S391" i="12" s="1"/>
  <c r="AF199" i="57"/>
  <c r="AF201" i="57"/>
  <c r="Q390" i="12" s="1"/>
  <c r="S450" i="12" l="1"/>
  <c r="Q388" i="12"/>
  <c r="AF7" i="57"/>
  <c r="U453" i="12"/>
  <c r="Q453" i="12"/>
  <c r="W396" i="12"/>
  <c r="S396" i="12"/>
  <c r="U421" i="12"/>
  <c r="Q421" i="12"/>
  <c r="O20" i="57"/>
  <c r="G240" i="12"/>
  <c r="O103" i="57"/>
  <c r="G307" i="12"/>
  <c r="O191" i="57"/>
  <c r="G380" i="12"/>
  <c r="O49" i="57"/>
  <c r="G258" i="12"/>
  <c r="O53" i="57"/>
  <c r="G262" i="12"/>
  <c r="O192" i="57"/>
  <c r="G381" i="12"/>
  <c r="O72" i="57"/>
  <c r="G281" i="12"/>
  <c r="O33" i="57"/>
  <c r="G247" i="12"/>
  <c r="O318" i="57"/>
  <c r="G507" i="12"/>
  <c r="O209" i="57"/>
  <c r="G398" i="12"/>
  <c r="O282" i="57"/>
  <c r="G471" i="12"/>
  <c r="O304" i="57"/>
  <c r="G493" i="12"/>
  <c r="O118" i="57"/>
  <c r="G317" i="12"/>
  <c r="O110" i="57"/>
  <c r="G309" i="12"/>
  <c r="O290" i="57"/>
  <c r="G479" i="12"/>
  <c r="O88" i="57"/>
  <c r="G218" i="12"/>
  <c r="O268" i="57"/>
  <c r="G457" i="12"/>
  <c r="O24" i="57"/>
  <c r="G205" i="12"/>
  <c r="O234" i="57"/>
  <c r="G423" i="12"/>
  <c r="O124" i="57"/>
  <c r="G323" i="12"/>
  <c r="O167" i="57"/>
  <c r="G221" i="12"/>
  <c r="U420" i="12"/>
  <c r="Q420" i="12"/>
  <c r="V422" i="12"/>
  <c r="R422" i="12"/>
  <c r="O59" i="57"/>
  <c r="G268" i="12"/>
  <c r="O307" i="57"/>
  <c r="G496" i="12"/>
  <c r="O258" i="57"/>
  <c r="G447" i="12"/>
  <c r="O144" i="57"/>
  <c r="G343" i="12"/>
  <c r="O41" i="57"/>
  <c r="G255" i="12"/>
  <c r="O218" i="57"/>
  <c r="G407" i="12"/>
  <c r="O291" i="57"/>
  <c r="G480" i="12"/>
  <c r="O252" i="57"/>
  <c r="G441" i="12"/>
  <c r="O186" i="57"/>
  <c r="G375" i="12"/>
  <c r="O120" i="57"/>
  <c r="G319" i="12"/>
  <c r="O313" i="57"/>
  <c r="G502" i="12"/>
  <c r="O170" i="57"/>
  <c r="G224" i="12"/>
  <c r="O219" i="57"/>
  <c r="G408" i="12"/>
  <c r="W393" i="12"/>
  <c r="S393" i="12"/>
  <c r="O299" i="57"/>
  <c r="G488" i="12"/>
  <c r="O309" i="57"/>
  <c r="G498" i="12"/>
  <c r="O256" i="57"/>
  <c r="G445" i="12"/>
  <c r="O129" i="57"/>
  <c r="G328" i="12"/>
  <c r="O83" i="57"/>
  <c r="G292" i="12"/>
  <c r="O42" i="57"/>
  <c r="G256" i="12"/>
  <c r="O217" i="57"/>
  <c r="G406" i="12"/>
  <c r="O293" i="57"/>
  <c r="G482" i="12"/>
  <c r="O253" i="57"/>
  <c r="G442" i="12"/>
  <c r="O278" i="57"/>
  <c r="G467" i="12"/>
  <c r="O122" i="57"/>
  <c r="G321" i="12"/>
  <c r="O315" i="57"/>
  <c r="G504" i="12"/>
  <c r="O168" i="57"/>
  <c r="G222" i="12"/>
  <c r="O220" i="57"/>
  <c r="G409" i="12"/>
  <c r="X396" i="12"/>
  <c r="T396" i="12"/>
  <c r="U396" i="12"/>
  <c r="Q396" i="12"/>
  <c r="O200" i="57"/>
  <c r="G389" i="12"/>
  <c r="O69" i="57"/>
  <c r="G278" i="12"/>
  <c r="O147" i="57"/>
  <c r="G226" i="12"/>
  <c r="O119" i="57"/>
  <c r="G318" i="12"/>
  <c r="O89" i="57"/>
  <c r="G219" i="12"/>
  <c r="O23" i="57"/>
  <c r="G204" i="12"/>
  <c r="O297" i="57"/>
  <c r="G486" i="12"/>
  <c r="O306" i="57"/>
  <c r="G495" i="12"/>
  <c r="O157" i="57"/>
  <c r="G351" i="12"/>
  <c r="O127" i="57"/>
  <c r="G326" i="12"/>
  <c r="O145" i="57"/>
  <c r="G344" i="12"/>
  <c r="O38" i="57"/>
  <c r="G252" i="12"/>
  <c r="O244" i="57"/>
  <c r="G433" i="12"/>
  <c r="O295" i="57"/>
  <c r="G484" i="12"/>
  <c r="O175" i="57"/>
  <c r="G364" i="12"/>
  <c r="O280" i="57"/>
  <c r="G469" i="12"/>
  <c r="O182" i="57"/>
  <c r="G371" i="12"/>
  <c r="O272" i="57"/>
  <c r="G461" i="12"/>
  <c r="O311" i="57"/>
  <c r="G500" i="12"/>
  <c r="O225" i="57"/>
  <c r="G414" i="12"/>
  <c r="O223" i="57"/>
  <c r="G412" i="12"/>
  <c r="O202" i="57"/>
  <c r="G391" i="12"/>
  <c r="O102" i="57"/>
  <c r="G306" i="12"/>
  <c r="O190" i="57"/>
  <c r="G379" i="12"/>
  <c r="O48" i="57"/>
  <c r="G257" i="12"/>
  <c r="O56" i="57"/>
  <c r="G265" i="12"/>
  <c r="O92" i="57"/>
  <c r="G296" i="12"/>
  <c r="O30" i="57"/>
  <c r="G244" i="12"/>
  <c r="O68" i="57"/>
  <c r="G277" i="12"/>
  <c r="O79" i="57"/>
  <c r="G288" i="12"/>
  <c r="O317" i="57"/>
  <c r="G506" i="12"/>
  <c r="O211" i="57"/>
  <c r="G400" i="12"/>
  <c r="O180" i="57"/>
  <c r="G369" i="12"/>
  <c r="O302" i="57"/>
  <c r="G491" i="12"/>
  <c r="O117" i="57"/>
  <c r="G316" i="12"/>
  <c r="O112" i="57"/>
  <c r="G311" i="12"/>
  <c r="O286" i="57"/>
  <c r="G475" i="12"/>
  <c r="O87" i="57"/>
  <c r="G217" i="12"/>
  <c r="O154" i="57"/>
  <c r="G348" i="12"/>
  <c r="O27" i="57"/>
  <c r="G208" i="12"/>
  <c r="O240" i="57"/>
  <c r="G429" i="12"/>
  <c r="O39" i="57"/>
  <c r="G253" i="12"/>
  <c r="O214" i="57"/>
  <c r="G403" i="12"/>
  <c r="O21" i="57"/>
  <c r="G241" i="12"/>
  <c r="O132" i="57"/>
  <c r="G331" i="12"/>
  <c r="O193" i="57"/>
  <c r="G382" i="12"/>
  <c r="O150" i="57"/>
  <c r="G229" i="12"/>
  <c r="O98" i="57"/>
  <c r="G302" i="12"/>
  <c r="O235" i="57"/>
  <c r="G424" i="12"/>
  <c r="O201" i="57"/>
  <c r="G390" i="12"/>
  <c r="O101" i="57"/>
  <c r="G305" i="12"/>
  <c r="O188" i="57"/>
  <c r="G377" i="12"/>
  <c r="O131" i="57"/>
  <c r="G330" i="12"/>
  <c r="O55" i="57"/>
  <c r="G264" i="12"/>
  <c r="O194" i="57"/>
  <c r="G383" i="12"/>
  <c r="O29" i="57"/>
  <c r="G243" i="12"/>
  <c r="O35" i="57"/>
  <c r="G249" i="12"/>
  <c r="O320" i="57"/>
  <c r="G509" i="12"/>
  <c r="O151" i="57"/>
  <c r="G230" i="12"/>
  <c r="O179" i="57"/>
  <c r="G368" i="12"/>
  <c r="O284" i="57"/>
  <c r="G473" i="12"/>
  <c r="O305" i="57"/>
  <c r="G494" i="12"/>
  <c r="O165" i="57"/>
  <c r="G359" i="12"/>
  <c r="O111" i="57"/>
  <c r="G310" i="12"/>
  <c r="O288" i="57"/>
  <c r="G477" i="12"/>
  <c r="O67" i="57"/>
  <c r="G276" i="12"/>
  <c r="O85" i="57"/>
  <c r="G215" i="12"/>
  <c r="O156" i="57"/>
  <c r="G350" i="12"/>
  <c r="O239" i="57"/>
  <c r="G428" i="12"/>
  <c r="O40" i="57"/>
  <c r="G254" i="12"/>
  <c r="O279" i="57"/>
  <c r="G468" i="12"/>
  <c r="O121" i="57"/>
  <c r="G320" i="12"/>
  <c r="O222" i="57"/>
  <c r="G411" i="12"/>
  <c r="O100" i="57"/>
  <c r="G304" i="12"/>
  <c r="O54" i="57"/>
  <c r="G263" i="12"/>
  <c r="O319" i="57"/>
  <c r="G508" i="12"/>
  <c r="O113" i="57"/>
  <c r="G312" i="12"/>
  <c r="O25" i="57"/>
  <c r="G206" i="12"/>
  <c r="V396" i="12"/>
  <c r="R396" i="12"/>
  <c r="O296" i="57"/>
  <c r="G485" i="12"/>
  <c r="O308" i="57"/>
  <c r="G497" i="12"/>
  <c r="O161" i="57"/>
  <c r="G355" i="12"/>
  <c r="O128" i="57"/>
  <c r="G327" i="12"/>
  <c r="O143" i="57"/>
  <c r="G342" i="12"/>
  <c r="O273" i="57"/>
  <c r="G462" i="12"/>
  <c r="O45" i="57"/>
  <c r="G200" i="12"/>
  <c r="O78" i="57"/>
  <c r="G287" i="12"/>
  <c r="O301" i="57"/>
  <c r="G490" i="12"/>
  <c r="O66" i="57"/>
  <c r="G275" i="12"/>
  <c r="V452" i="12"/>
  <c r="R452" i="12"/>
  <c r="O19" i="57"/>
  <c r="G239" i="12"/>
  <c r="O203" i="57"/>
  <c r="G392" i="12"/>
  <c r="O44" i="57"/>
  <c r="G199" i="12"/>
  <c r="O187" i="57"/>
  <c r="G376" i="12"/>
  <c r="O134" i="57"/>
  <c r="G333" i="12"/>
  <c r="O93" i="57"/>
  <c r="G297" i="12"/>
  <c r="O31" i="57"/>
  <c r="G245" i="12"/>
  <c r="O36" i="57"/>
  <c r="G250" i="12"/>
  <c r="O75" i="57"/>
  <c r="G284" i="12"/>
  <c r="O149" i="57"/>
  <c r="G228" i="12"/>
  <c r="O181" i="57"/>
  <c r="G370" i="12"/>
  <c r="O303" i="57"/>
  <c r="G492" i="12"/>
  <c r="O166" i="57"/>
  <c r="G360" i="12"/>
  <c r="O115" i="57"/>
  <c r="G314" i="12"/>
  <c r="O97" i="57"/>
  <c r="G301" i="12"/>
  <c r="O64" i="57"/>
  <c r="G273" i="12"/>
  <c r="O266" i="57"/>
  <c r="G455" i="12"/>
  <c r="O152" i="57"/>
  <c r="G346" i="12"/>
  <c r="O242" i="57"/>
  <c r="G431" i="12"/>
  <c r="O251" i="57"/>
  <c r="G440" i="12"/>
  <c r="O312" i="57"/>
  <c r="G501" i="12"/>
  <c r="X450" i="12"/>
  <c r="T450" i="12"/>
  <c r="W452" i="12"/>
  <c r="S452" i="12"/>
  <c r="U454" i="12"/>
  <c r="Q454" i="12"/>
  <c r="X422" i="12"/>
  <c r="T422" i="12"/>
  <c r="O300" i="57"/>
  <c r="G489" i="12"/>
  <c r="O60" i="57"/>
  <c r="G269" i="12"/>
  <c r="O158" i="57"/>
  <c r="G352" i="12"/>
  <c r="O125" i="57"/>
  <c r="G324" i="12"/>
  <c r="O81" i="57"/>
  <c r="G290" i="12"/>
  <c r="O247" i="57"/>
  <c r="G436" i="12"/>
  <c r="O216" i="57"/>
  <c r="G405" i="12"/>
  <c r="O176" i="57"/>
  <c r="G365" i="12"/>
  <c r="O277" i="57"/>
  <c r="G466" i="12"/>
  <c r="O184" i="57"/>
  <c r="G373" i="12"/>
  <c r="O274" i="57"/>
  <c r="G463" i="12"/>
  <c r="O314" i="57"/>
  <c r="G503" i="12"/>
  <c r="O228" i="57"/>
  <c r="G417" i="12"/>
  <c r="U397" i="12"/>
  <c r="Q397" i="12"/>
  <c r="W422" i="12"/>
  <c r="S422" i="12"/>
  <c r="U452" i="12"/>
  <c r="Q452" i="12"/>
  <c r="V420" i="12"/>
  <c r="R420" i="12"/>
  <c r="O298" i="57"/>
  <c r="G487" i="12"/>
  <c r="O58" i="57"/>
  <c r="G267" i="12"/>
  <c r="O160" i="57"/>
  <c r="G354" i="12"/>
  <c r="O254" i="57"/>
  <c r="G443" i="12"/>
  <c r="O142" i="57"/>
  <c r="G341" i="12"/>
  <c r="O82" i="57"/>
  <c r="G291" i="12"/>
  <c r="O245" i="57"/>
  <c r="G434" i="12"/>
  <c r="O292" i="57"/>
  <c r="G481" i="12"/>
  <c r="O174" i="57"/>
  <c r="G363" i="12"/>
  <c r="O250" i="57"/>
  <c r="G439" i="12"/>
  <c r="O183" i="57"/>
  <c r="G372" i="12"/>
  <c r="O275" i="57"/>
  <c r="G464" i="12"/>
  <c r="O171" i="57"/>
  <c r="G225" i="12"/>
  <c r="O227" i="57"/>
  <c r="G416" i="12"/>
  <c r="O221" i="57"/>
  <c r="G410" i="12"/>
  <c r="O50" i="57"/>
  <c r="G259" i="12"/>
  <c r="O37" i="57"/>
  <c r="G251" i="12"/>
  <c r="O283" i="57"/>
  <c r="G472" i="12"/>
  <c r="O63" i="57"/>
  <c r="G272" i="12"/>
  <c r="O267" i="57"/>
  <c r="G456" i="12"/>
  <c r="V450" i="12"/>
  <c r="R450" i="12"/>
  <c r="V397" i="12"/>
  <c r="R397" i="12"/>
  <c r="O61" i="57"/>
  <c r="G270" i="12"/>
  <c r="O159" i="57"/>
  <c r="G353" i="12"/>
  <c r="O255" i="57"/>
  <c r="G444" i="12"/>
  <c r="O126" i="57"/>
  <c r="G325" i="12"/>
  <c r="O80" i="57"/>
  <c r="G289" i="12"/>
  <c r="O248" i="57"/>
  <c r="G437" i="12"/>
  <c r="O215" i="57"/>
  <c r="G404" i="12"/>
  <c r="O173" i="57"/>
  <c r="G362" i="12"/>
  <c r="O249" i="57"/>
  <c r="G438" i="12"/>
  <c r="O276" i="57"/>
  <c r="G465" i="12"/>
  <c r="O123" i="57"/>
  <c r="G322" i="12"/>
  <c r="O271" i="57"/>
  <c r="G460" i="12"/>
  <c r="O169" i="57"/>
  <c r="G223" i="12"/>
  <c r="O226" i="57"/>
  <c r="G415" i="12"/>
  <c r="O22" i="57"/>
  <c r="G203" i="12"/>
  <c r="O199" i="57"/>
  <c r="G388" i="12"/>
  <c r="O46" i="57"/>
  <c r="G201" i="12"/>
  <c r="O52" i="57"/>
  <c r="G261" i="12"/>
  <c r="O133" i="57"/>
  <c r="G332" i="12"/>
  <c r="O90" i="57"/>
  <c r="G294" i="12"/>
  <c r="O195" i="57"/>
  <c r="G384" i="12"/>
  <c r="O71" i="57"/>
  <c r="G280" i="12"/>
  <c r="O34" i="57"/>
  <c r="G248" i="12"/>
  <c r="O77" i="57"/>
  <c r="G286" i="12"/>
  <c r="O148" i="57"/>
  <c r="G227" i="12"/>
  <c r="O212" i="57"/>
  <c r="G401" i="12"/>
  <c r="O285" i="57"/>
  <c r="G474" i="12"/>
  <c r="O162" i="57"/>
  <c r="G356" i="12"/>
  <c r="O114" i="57"/>
  <c r="G313" i="12"/>
  <c r="O99" i="57"/>
  <c r="G303" i="12"/>
  <c r="O65" i="57"/>
  <c r="G274" i="12"/>
  <c r="O270" i="57"/>
  <c r="G459" i="12"/>
  <c r="O155" i="57"/>
  <c r="G349" i="12"/>
  <c r="O241" i="57"/>
  <c r="G430" i="12"/>
  <c r="O237" i="57"/>
  <c r="G426" i="12"/>
  <c r="O246" i="57"/>
  <c r="G435" i="12"/>
  <c r="O294" i="57"/>
  <c r="G483" i="12"/>
  <c r="O43" i="57"/>
  <c r="G198" i="12"/>
  <c r="O94" i="57"/>
  <c r="G298" i="12"/>
  <c r="O28" i="57"/>
  <c r="G242" i="12"/>
  <c r="O163" i="57"/>
  <c r="G357" i="12"/>
  <c r="O153" i="57"/>
  <c r="G347" i="12"/>
  <c r="V453" i="12"/>
  <c r="R453" i="12"/>
  <c r="W453" i="12"/>
  <c r="S453" i="12"/>
  <c r="X418" i="12"/>
  <c r="T418" i="12"/>
  <c r="O18" i="57"/>
  <c r="G238" i="12"/>
  <c r="O104" i="57"/>
  <c r="G308" i="12"/>
  <c r="O47" i="57"/>
  <c r="G202" i="12"/>
  <c r="O51" i="57"/>
  <c r="G260" i="12"/>
  <c r="O130" i="57"/>
  <c r="G329" i="12"/>
  <c r="O91" i="57"/>
  <c r="G295" i="12"/>
  <c r="O32" i="57"/>
  <c r="G246" i="12"/>
  <c r="O70" i="57"/>
  <c r="G279" i="12"/>
  <c r="O76" i="57"/>
  <c r="G285" i="12"/>
  <c r="O316" i="57"/>
  <c r="G505" i="12"/>
  <c r="O210" i="57"/>
  <c r="G399" i="12"/>
  <c r="O177" i="57"/>
  <c r="G366" i="12"/>
  <c r="O281" i="57"/>
  <c r="G470" i="12"/>
  <c r="O164" i="57"/>
  <c r="G358" i="12"/>
  <c r="O116" i="57"/>
  <c r="G315" i="12"/>
  <c r="O95" i="57"/>
  <c r="G299" i="12"/>
  <c r="O289" i="57"/>
  <c r="G478" i="12"/>
  <c r="O86" i="57"/>
  <c r="G216" i="12"/>
  <c r="O269" i="57"/>
  <c r="G458" i="12"/>
  <c r="O26" i="57"/>
  <c r="G207" i="12"/>
  <c r="O236" i="57"/>
  <c r="G425" i="12"/>
  <c r="O172" i="57"/>
  <c r="G361" i="12"/>
  <c r="O185" i="57"/>
  <c r="G374" i="12"/>
  <c r="O224" i="57"/>
  <c r="G413" i="12"/>
  <c r="O189" i="57"/>
  <c r="G378" i="12"/>
  <c r="O196" i="57"/>
  <c r="G385" i="12"/>
  <c r="O213" i="57"/>
  <c r="G402" i="12"/>
  <c r="O287" i="57"/>
  <c r="G476" i="12"/>
  <c r="O238" i="57"/>
  <c r="G427" i="12"/>
  <c r="V421" i="12"/>
  <c r="R421" i="12"/>
  <c r="O62" i="57"/>
  <c r="G271" i="12"/>
  <c r="O310" i="57"/>
  <c r="G499" i="12"/>
  <c r="O257" i="57"/>
  <c r="G446" i="12"/>
  <c r="O146" i="57"/>
  <c r="G345" i="12"/>
  <c r="O84" i="57"/>
  <c r="G293" i="12"/>
  <c r="O57" i="57"/>
  <c r="G266" i="12"/>
  <c r="O178" i="57"/>
  <c r="G367" i="12"/>
  <c r="O96" i="57"/>
  <c r="G300" i="12"/>
  <c r="O243" i="57"/>
  <c r="G432" i="12"/>
  <c r="P243" i="57" l="1"/>
  <c r="H432" i="12"/>
  <c r="P178" i="57"/>
  <c r="H367" i="12"/>
  <c r="P257" i="57"/>
  <c r="H446" i="12"/>
  <c r="P236" i="57"/>
  <c r="H425" i="12"/>
  <c r="P96" i="57"/>
  <c r="H300" i="12"/>
  <c r="P57" i="57"/>
  <c r="H266" i="12"/>
  <c r="P146" i="57"/>
  <c r="H345" i="12"/>
  <c r="P310" i="57"/>
  <c r="H499" i="12"/>
  <c r="P287" i="57"/>
  <c r="H476" i="12"/>
  <c r="P196" i="57"/>
  <c r="H385" i="12"/>
  <c r="P224" i="57"/>
  <c r="H413" i="12"/>
  <c r="P172" i="57"/>
  <c r="H361" i="12"/>
  <c r="P26" i="57"/>
  <c r="H207" i="12"/>
  <c r="P86" i="57"/>
  <c r="H216" i="12"/>
  <c r="P95" i="57"/>
  <c r="H299" i="12"/>
  <c r="P164" i="57"/>
  <c r="H358" i="12"/>
  <c r="P177" i="57"/>
  <c r="H366" i="12"/>
  <c r="P316" i="57"/>
  <c r="H505" i="12"/>
  <c r="P70" i="57"/>
  <c r="H279" i="12"/>
  <c r="P91" i="57"/>
  <c r="H295" i="12"/>
  <c r="P51" i="57"/>
  <c r="H260" i="12"/>
  <c r="P104" i="57"/>
  <c r="H308" i="12"/>
  <c r="P163" i="57"/>
  <c r="H357" i="12"/>
  <c r="P94" i="57"/>
  <c r="H298" i="12"/>
  <c r="P294" i="57"/>
  <c r="H483" i="12"/>
  <c r="P237" i="57"/>
  <c r="H426" i="12"/>
  <c r="P155" i="57"/>
  <c r="H349" i="12"/>
  <c r="P65" i="57"/>
  <c r="H274" i="12"/>
  <c r="P114" i="57"/>
  <c r="H313" i="12"/>
  <c r="P285" i="57"/>
  <c r="H474" i="12"/>
  <c r="P148" i="57"/>
  <c r="H227" i="12"/>
  <c r="P34" i="57"/>
  <c r="H248" i="12"/>
  <c r="P195" i="57"/>
  <c r="H384" i="12"/>
  <c r="P133" i="57"/>
  <c r="H332" i="12"/>
  <c r="P46" i="57"/>
  <c r="H201" i="12"/>
  <c r="P22" i="57"/>
  <c r="H203" i="12"/>
  <c r="P169" i="57"/>
  <c r="H223" i="12"/>
  <c r="P123" i="57"/>
  <c r="H322" i="12"/>
  <c r="P249" i="57"/>
  <c r="H438" i="12"/>
  <c r="P215" i="57"/>
  <c r="H404" i="12"/>
  <c r="P80" i="57"/>
  <c r="H289" i="12"/>
  <c r="P255" i="57"/>
  <c r="H444" i="12"/>
  <c r="P61" i="57"/>
  <c r="H270" i="12"/>
  <c r="P63" i="57"/>
  <c r="H272" i="12"/>
  <c r="P37" i="57"/>
  <c r="H251" i="12"/>
  <c r="P221" i="57"/>
  <c r="H410" i="12"/>
  <c r="P171" i="57"/>
  <c r="H225" i="12"/>
  <c r="P183" i="57"/>
  <c r="H372" i="12"/>
  <c r="P174" i="57"/>
  <c r="H363" i="12"/>
  <c r="P245" i="57"/>
  <c r="H434" i="12"/>
  <c r="P142" i="57"/>
  <c r="H341" i="12"/>
  <c r="P160" i="57"/>
  <c r="H354" i="12"/>
  <c r="P298" i="57"/>
  <c r="H487" i="12"/>
  <c r="P314" i="57"/>
  <c r="H503" i="12"/>
  <c r="P184" i="57"/>
  <c r="H373" i="12"/>
  <c r="P176" i="57"/>
  <c r="H365" i="12"/>
  <c r="P247" i="57"/>
  <c r="H436" i="12"/>
  <c r="P125" i="57"/>
  <c r="H324" i="12"/>
  <c r="P60" i="57"/>
  <c r="H269" i="12"/>
  <c r="P312" i="57"/>
  <c r="H501" i="12"/>
  <c r="P242" i="57"/>
  <c r="H431" i="12"/>
  <c r="P266" i="57"/>
  <c r="H455" i="12"/>
  <c r="P97" i="57"/>
  <c r="H301" i="12"/>
  <c r="P166" i="57"/>
  <c r="H360" i="12"/>
  <c r="P181" i="57"/>
  <c r="H370" i="12"/>
  <c r="P75" i="57"/>
  <c r="H284" i="12"/>
  <c r="P31" i="57"/>
  <c r="H245" i="12"/>
  <c r="P134" i="57"/>
  <c r="H333" i="12"/>
  <c r="P44" i="57"/>
  <c r="H199" i="12"/>
  <c r="P19" i="57"/>
  <c r="H239" i="12"/>
  <c r="P66" i="57"/>
  <c r="H275" i="12"/>
  <c r="P78" i="57"/>
  <c r="H287" i="12"/>
  <c r="P273" i="57"/>
  <c r="H462" i="12"/>
  <c r="P128" i="57"/>
  <c r="H327" i="12"/>
  <c r="P308" i="57"/>
  <c r="H497" i="12"/>
  <c r="P113" i="57"/>
  <c r="H312" i="12"/>
  <c r="P54" i="57"/>
  <c r="H263" i="12"/>
  <c r="P222" i="57"/>
  <c r="H411" i="12"/>
  <c r="P279" i="57"/>
  <c r="H468" i="12"/>
  <c r="P239" i="57"/>
  <c r="H428" i="12"/>
  <c r="P85" i="57"/>
  <c r="H215" i="12"/>
  <c r="P288" i="57"/>
  <c r="H477" i="12"/>
  <c r="P165" i="57"/>
  <c r="H359" i="12"/>
  <c r="P284" i="57"/>
  <c r="H473" i="12"/>
  <c r="P151" i="57"/>
  <c r="H230" i="12"/>
  <c r="P35" i="57"/>
  <c r="H249" i="12"/>
  <c r="P194" i="57"/>
  <c r="H383" i="12"/>
  <c r="P131" i="57"/>
  <c r="H330" i="12"/>
  <c r="P101" i="57"/>
  <c r="H305" i="12"/>
  <c r="P235" i="57"/>
  <c r="H424" i="12"/>
  <c r="P150" i="57"/>
  <c r="H229" i="12"/>
  <c r="P132" i="57"/>
  <c r="H331" i="12"/>
  <c r="P214" i="57"/>
  <c r="H403" i="12"/>
  <c r="P240" i="57"/>
  <c r="H429" i="12"/>
  <c r="P154" i="57"/>
  <c r="H348" i="12"/>
  <c r="P286" i="57"/>
  <c r="H475" i="12"/>
  <c r="P117" i="57"/>
  <c r="H316" i="12"/>
  <c r="P180" i="57"/>
  <c r="H369" i="12"/>
  <c r="P317" i="57"/>
  <c r="H506" i="12"/>
  <c r="P68" i="57"/>
  <c r="H277" i="12"/>
  <c r="P92" i="57"/>
  <c r="H296" i="12"/>
  <c r="P48" i="57"/>
  <c r="H257" i="12"/>
  <c r="P102" i="57"/>
  <c r="H306" i="12"/>
  <c r="P223" i="57"/>
  <c r="H412" i="12"/>
  <c r="P311" i="57"/>
  <c r="H500" i="12"/>
  <c r="P182" i="57"/>
  <c r="H371" i="12"/>
  <c r="P175" i="57"/>
  <c r="H364" i="12"/>
  <c r="P244" i="57"/>
  <c r="H433" i="12"/>
  <c r="P145" i="57"/>
  <c r="H344" i="12"/>
  <c r="P157" i="57"/>
  <c r="H351" i="12"/>
  <c r="P297" i="57"/>
  <c r="H486" i="12"/>
  <c r="P89" i="57"/>
  <c r="H219" i="12"/>
  <c r="P147" i="57"/>
  <c r="H226" i="12"/>
  <c r="P200" i="57"/>
  <c r="H389" i="12"/>
  <c r="P168" i="57"/>
  <c r="H222" i="12"/>
  <c r="P122" i="57"/>
  <c r="H321" i="12"/>
  <c r="P253" i="57"/>
  <c r="H442" i="12"/>
  <c r="P217" i="57"/>
  <c r="H406" i="12"/>
  <c r="P83" i="57"/>
  <c r="H292" i="12"/>
  <c r="P256" i="57"/>
  <c r="H445" i="12"/>
  <c r="P299" i="57"/>
  <c r="H488" i="12"/>
  <c r="P219" i="57"/>
  <c r="H408" i="12"/>
  <c r="P313" i="57"/>
  <c r="H502" i="12"/>
  <c r="P186" i="57"/>
  <c r="H375" i="12"/>
  <c r="P291" i="57"/>
  <c r="H480" i="12"/>
  <c r="P41" i="57"/>
  <c r="H255" i="12"/>
  <c r="P258" i="57"/>
  <c r="H447" i="12"/>
  <c r="P59" i="57"/>
  <c r="H268" i="12"/>
  <c r="P124" i="57"/>
  <c r="H323" i="12"/>
  <c r="P24" i="57"/>
  <c r="H205" i="12"/>
  <c r="P88" i="57"/>
  <c r="H218" i="12"/>
  <c r="P110" i="57"/>
  <c r="H309" i="12"/>
  <c r="P304" i="57"/>
  <c r="H493" i="12"/>
  <c r="P209" i="57"/>
  <c r="H398" i="12"/>
  <c r="P33" i="57"/>
  <c r="H247" i="12"/>
  <c r="P192" i="57"/>
  <c r="H381" i="12"/>
  <c r="P49" i="57"/>
  <c r="H258" i="12"/>
  <c r="P103" i="57"/>
  <c r="H307" i="12"/>
  <c r="P84" i="57"/>
  <c r="H293" i="12"/>
  <c r="P62" i="57"/>
  <c r="H271" i="12"/>
  <c r="P238" i="57"/>
  <c r="H427" i="12"/>
  <c r="P213" i="57"/>
  <c r="H402" i="12"/>
  <c r="P189" i="57"/>
  <c r="H378" i="12"/>
  <c r="P185" i="57"/>
  <c r="H374" i="12"/>
  <c r="P269" i="57"/>
  <c r="H458" i="12"/>
  <c r="P289" i="57"/>
  <c r="H478" i="12"/>
  <c r="P116" i="57"/>
  <c r="H315" i="12"/>
  <c r="P281" i="57"/>
  <c r="H470" i="12"/>
  <c r="P210" i="57"/>
  <c r="H399" i="12"/>
  <c r="P76" i="57"/>
  <c r="H285" i="12"/>
  <c r="P32" i="57"/>
  <c r="H246" i="12"/>
  <c r="P130" i="57"/>
  <c r="H329" i="12"/>
  <c r="P47" i="57"/>
  <c r="H202" i="12"/>
  <c r="P18" i="57"/>
  <c r="H238" i="12"/>
  <c r="P153" i="57"/>
  <c r="H347" i="12"/>
  <c r="P28" i="57"/>
  <c r="H242" i="12"/>
  <c r="P43" i="57"/>
  <c r="H198" i="12"/>
  <c r="P246" i="57"/>
  <c r="H435" i="12"/>
  <c r="P241" i="57"/>
  <c r="H430" i="12"/>
  <c r="P270" i="57"/>
  <c r="H459" i="12"/>
  <c r="P99" i="57"/>
  <c r="H303" i="12"/>
  <c r="P162" i="57"/>
  <c r="H356" i="12"/>
  <c r="P212" i="57"/>
  <c r="H401" i="12"/>
  <c r="P77" i="57"/>
  <c r="H286" i="12"/>
  <c r="P71" i="57"/>
  <c r="H280" i="12"/>
  <c r="P90" i="57"/>
  <c r="H294" i="12"/>
  <c r="P52" i="57"/>
  <c r="H261" i="12"/>
  <c r="P199" i="57"/>
  <c r="H388" i="12"/>
  <c r="P226" i="57"/>
  <c r="H415" i="12"/>
  <c r="P271" i="57"/>
  <c r="H460" i="12"/>
  <c r="P276" i="57"/>
  <c r="H465" i="12"/>
  <c r="P173" i="57"/>
  <c r="H362" i="12"/>
  <c r="P248" i="57"/>
  <c r="H437" i="12"/>
  <c r="P126" i="57"/>
  <c r="H325" i="12"/>
  <c r="P159" i="57"/>
  <c r="H353" i="12"/>
  <c r="P267" i="57"/>
  <c r="H456" i="12"/>
  <c r="P283" i="57"/>
  <c r="H472" i="12"/>
  <c r="P50" i="57"/>
  <c r="H259" i="12"/>
  <c r="P227" i="57"/>
  <c r="H416" i="12"/>
  <c r="P275" i="57"/>
  <c r="H464" i="12"/>
  <c r="P250" i="57"/>
  <c r="H439" i="12"/>
  <c r="P292" i="57"/>
  <c r="H481" i="12"/>
  <c r="P82" i="57"/>
  <c r="H291" i="12"/>
  <c r="P254" i="57"/>
  <c r="H443" i="12"/>
  <c r="P58" i="57"/>
  <c r="H267" i="12"/>
  <c r="P228" i="57"/>
  <c r="H417" i="12"/>
  <c r="P274" i="57"/>
  <c r="H463" i="12"/>
  <c r="P277" i="57"/>
  <c r="H466" i="12"/>
  <c r="P216" i="57"/>
  <c r="H405" i="12"/>
  <c r="P81" i="57"/>
  <c r="H290" i="12"/>
  <c r="P158" i="57"/>
  <c r="H352" i="12"/>
  <c r="P300" i="57"/>
  <c r="H489" i="12"/>
  <c r="P251" i="57"/>
  <c r="H440" i="12"/>
  <c r="P152" i="57"/>
  <c r="H346" i="12"/>
  <c r="P64" i="57"/>
  <c r="H273" i="12"/>
  <c r="P115" i="57"/>
  <c r="H314" i="12"/>
  <c r="P303" i="57"/>
  <c r="H492" i="12"/>
  <c r="P149" i="57"/>
  <c r="H228" i="12"/>
  <c r="P36" i="57"/>
  <c r="H250" i="12"/>
  <c r="P93" i="57"/>
  <c r="H297" i="12"/>
  <c r="P187" i="57"/>
  <c r="H376" i="12"/>
  <c r="P203" i="57"/>
  <c r="H392" i="12"/>
  <c r="P301" i="57"/>
  <c r="H490" i="12"/>
  <c r="P45" i="57"/>
  <c r="H200" i="12"/>
  <c r="P143" i="57"/>
  <c r="H342" i="12"/>
  <c r="P161" i="57"/>
  <c r="H355" i="12"/>
  <c r="P296" i="57"/>
  <c r="H485" i="12"/>
  <c r="P25" i="57"/>
  <c r="H206" i="12"/>
  <c r="P319" i="57"/>
  <c r="H508" i="12"/>
  <c r="P100" i="57"/>
  <c r="H304" i="12"/>
  <c r="P121" i="57"/>
  <c r="H320" i="12"/>
  <c r="P40" i="57"/>
  <c r="H254" i="12"/>
  <c r="P156" i="57"/>
  <c r="H350" i="12"/>
  <c r="P67" i="57"/>
  <c r="H276" i="12"/>
  <c r="P111" i="57"/>
  <c r="H310" i="12"/>
  <c r="P305" i="57"/>
  <c r="H494" i="12"/>
  <c r="P179" i="57"/>
  <c r="H368" i="12"/>
  <c r="P320" i="57"/>
  <c r="H509" i="12"/>
  <c r="P29" i="57"/>
  <c r="H243" i="12"/>
  <c r="P55" i="57"/>
  <c r="H264" i="12"/>
  <c r="P188" i="57"/>
  <c r="H377" i="12"/>
  <c r="P201" i="57"/>
  <c r="H390" i="12"/>
  <c r="P98" i="57"/>
  <c r="H302" i="12"/>
  <c r="P193" i="57"/>
  <c r="H382" i="12"/>
  <c r="P21" i="57"/>
  <c r="H241" i="12"/>
  <c r="P39" i="57"/>
  <c r="H253" i="12"/>
  <c r="P27" i="57"/>
  <c r="H208" i="12"/>
  <c r="P87" i="57"/>
  <c r="H217" i="12"/>
  <c r="P112" i="57"/>
  <c r="H311" i="12"/>
  <c r="P302" i="57"/>
  <c r="H491" i="12"/>
  <c r="P211" i="57"/>
  <c r="H400" i="12"/>
  <c r="P79" i="57"/>
  <c r="H288" i="12"/>
  <c r="P30" i="57"/>
  <c r="H244" i="12"/>
  <c r="P56" i="57"/>
  <c r="H265" i="12"/>
  <c r="P190" i="57"/>
  <c r="H379" i="12"/>
  <c r="P202" i="57"/>
  <c r="H391" i="12"/>
  <c r="P225" i="57"/>
  <c r="H414" i="12"/>
  <c r="P272" i="57"/>
  <c r="H461" i="12"/>
  <c r="P280" i="57"/>
  <c r="H469" i="12"/>
  <c r="P295" i="57"/>
  <c r="H484" i="12"/>
  <c r="P38" i="57"/>
  <c r="H252" i="12"/>
  <c r="P127" i="57"/>
  <c r="H326" i="12"/>
  <c r="P306" i="57"/>
  <c r="H495" i="12"/>
  <c r="P23" i="57"/>
  <c r="H204" i="12"/>
  <c r="P119" i="57"/>
  <c r="H318" i="12"/>
  <c r="P69" i="57"/>
  <c r="H278" i="12"/>
  <c r="P220" i="57"/>
  <c r="H409" i="12"/>
  <c r="P315" i="57"/>
  <c r="H504" i="12"/>
  <c r="P278" i="57"/>
  <c r="H467" i="12"/>
  <c r="P293" i="57"/>
  <c r="H482" i="12"/>
  <c r="P42" i="57"/>
  <c r="H256" i="12"/>
  <c r="P129" i="57"/>
  <c r="H328" i="12"/>
  <c r="P309" i="57"/>
  <c r="H498" i="12"/>
  <c r="P170" i="57"/>
  <c r="H224" i="12"/>
  <c r="P120" i="57"/>
  <c r="H319" i="12"/>
  <c r="P252" i="57"/>
  <c r="H441" i="12"/>
  <c r="P218" i="57"/>
  <c r="H407" i="12"/>
  <c r="P144" i="57"/>
  <c r="H343" i="12"/>
  <c r="P307" i="57"/>
  <c r="H496" i="12"/>
  <c r="P167" i="57"/>
  <c r="H221" i="12"/>
  <c r="P234" i="57"/>
  <c r="H423" i="12"/>
  <c r="P268" i="57"/>
  <c r="H457" i="12"/>
  <c r="P290" i="57"/>
  <c r="H479" i="12"/>
  <c r="P118" i="57"/>
  <c r="H317" i="12"/>
  <c r="P282" i="57"/>
  <c r="H471" i="12"/>
  <c r="P318" i="57"/>
  <c r="H507" i="12"/>
  <c r="P72" i="57"/>
  <c r="H281" i="12"/>
  <c r="P53" i="57"/>
  <c r="H262" i="12"/>
  <c r="P191" i="57"/>
  <c r="H380" i="12"/>
  <c r="P20" i="57"/>
  <c r="H240" i="12"/>
  <c r="C420" i="11"/>
  <c r="C415" i="11"/>
  <c r="C416" i="11"/>
  <c r="D420" i="11"/>
  <c r="D415" i="11"/>
  <c r="D416" i="11"/>
  <c r="Q20" i="57" l="1"/>
  <c r="I240" i="12"/>
  <c r="Q53" i="57"/>
  <c r="I262" i="12"/>
  <c r="Q318" i="57"/>
  <c r="I507" i="12"/>
  <c r="Q118" i="57"/>
  <c r="I317" i="12"/>
  <c r="Q268" i="57"/>
  <c r="I457" i="12"/>
  <c r="Q167" i="57"/>
  <c r="I221" i="12"/>
  <c r="Q144" i="57"/>
  <c r="I343" i="12"/>
  <c r="Q252" i="57"/>
  <c r="I441" i="12"/>
  <c r="Q170" i="57"/>
  <c r="I224" i="12"/>
  <c r="Q129" i="57"/>
  <c r="I328" i="12"/>
  <c r="Q293" i="57"/>
  <c r="I482" i="12"/>
  <c r="Q315" i="57"/>
  <c r="I504" i="12"/>
  <c r="Q69" i="57"/>
  <c r="I278" i="12"/>
  <c r="Q23" i="57"/>
  <c r="I204" i="12"/>
  <c r="Q127" i="57"/>
  <c r="I326" i="12"/>
  <c r="Q295" i="57"/>
  <c r="I484" i="12"/>
  <c r="Q272" i="57"/>
  <c r="I461" i="12"/>
  <c r="Q202" i="57"/>
  <c r="I391" i="12"/>
  <c r="Q56" i="57"/>
  <c r="I265" i="12"/>
  <c r="Q79" i="57"/>
  <c r="I288" i="12"/>
  <c r="Q302" i="57"/>
  <c r="I491" i="12"/>
  <c r="Q87" i="57"/>
  <c r="I217" i="12"/>
  <c r="Q39" i="57"/>
  <c r="I253" i="12"/>
  <c r="Q193" i="57"/>
  <c r="I382" i="12"/>
  <c r="Q201" i="57"/>
  <c r="I390" i="12"/>
  <c r="Q55" i="57"/>
  <c r="I264" i="12"/>
  <c r="Q320" i="57"/>
  <c r="I509" i="12"/>
  <c r="Q305" i="57"/>
  <c r="I494" i="12"/>
  <c r="Q67" i="57"/>
  <c r="I276" i="12"/>
  <c r="Q40" i="57"/>
  <c r="I254" i="12"/>
  <c r="Q100" i="57"/>
  <c r="I304" i="12"/>
  <c r="Q25" i="57"/>
  <c r="I206" i="12"/>
  <c r="Q161" i="57"/>
  <c r="I355" i="12"/>
  <c r="Q45" i="57"/>
  <c r="I200" i="12"/>
  <c r="Q203" i="57"/>
  <c r="I392" i="12"/>
  <c r="Q93" i="57"/>
  <c r="I297" i="12"/>
  <c r="Q149" i="57"/>
  <c r="I228" i="12"/>
  <c r="Q115" i="57"/>
  <c r="I314" i="12"/>
  <c r="Q152" i="57"/>
  <c r="I346" i="12"/>
  <c r="Q300" i="57"/>
  <c r="I489" i="12"/>
  <c r="Q81" i="57"/>
  <c r="I290" i="12"/>
  <c r="Q277" i="57"/>
  <c r="I466" i="12"/>
  <c r="Q228" i="57"/>
  <c r="I417" i="12"/>
  <c r="Q254" i="57"/>
  <c r="I443" i="12"/>
  <c r="Q292" i="57"/>
  <c r="I481" i="12"/>
  <c r="Q275" i="57"/>
  <c r="I464" i="12"/>
  <c r="Q50" i="57"/>
  <c r="I259" i="12"/>
  <c r="Q267" i="57"/>
  <c r="I456" i="12"/>
  <c r="Q126" i="57"/>
  <c r="I325" i="12"/>
  <c r="Q173" i="57"/>
  <c r="I362" i="12"/>
  <c r="Q271" i="57"/>
  <c r="I460" i="12"/>
  <c r="Q199" i="57"/>
  <c r="I388" i="12"/>
  <c r="Q90" i="57"/>
  <c r="I294" i="12"/>
  <c r="Q77" i="57"/>
  <c r="I286" i="12"/>
  <c r="Q162" i="57"/>
  <c r="I356" i="12"/>
  <c r="Q270" i="57"/>
  <c r="I459" i="12"/>
  <c r="Q246" i="57"/>
  <c r="I435" i="12"/>
  <c r="Q28" i="57"/>
  <c r="I242" i="12"/>
  <c r="Q18" i="57"/>
  <c r="I238" i="12"/>
  <c r="Q130" i="57"/>
  <c r="I329" i="12"/>
  <c r="Q76" i="57"/>
  <c r="I285" i="12"/>
  <c r="Q281" i="57"/>
  <c r="I470" i="12"/>
  <c r="Q289" i="57"/>
  <c r="I478" i="12"/>
  <c r="Q185" i="57"/>
  <c r="I374" i="12"/>
  <c r="Q213" i="57"/>
  <c r="I402" i="12"/>
  <c r="Q62" i="57"/>
  <c r="I271" i="12"/>
  <c r="Q103" i="57"/>
  <c r="I307" i="12"/>
  <c r="Q192" i="57"/>
  <c r="I381" i="12"/>
  <c r="Q209" i="57"/>
  <c r="I398" i="12"/>
  <c r="Q110" i="57"/>
  <c r="I309" i="12"/>
  <c r="Q24" i="57"/>
  <c r="I205" i="12"/>
  <c r="Q59" i="57"/>
  <c r="I268" i="12"/>
  <c r="Q41" i="57"/>
  <c r="I255" i="12"/>
  <c r="Q186" i="57"/>
  <c r="I375" i="12"/>
  <c r="Q219" i="57"/>
  <c r="I408" i="12"/>
  <c r="Q256" i="57"/>
  <c r="I445" i="12"/>
  <c r="Q217" i="57"/>
  <c r="I406" i="12"/>
  <c r="Q122" i="57"/>
  <c r="I321" i="12"/>
  <c r="Q200" i="57"/>
  <c r="I389" i="12"/>
  <c r="Q89" i="57"/>
  <c r="I219" i="12"/>
  <c r="Q157" i="57"/>
  <c r="I351" i="12"/>
  <c r="Q244" i="57"/>
  <c r="I433" i="12"/>
  <c r="Q182" i="57"/>
  <c r="I371" i="12"/>
  <c r="Q223" i="57"/>
  <c r="I412" i="12"/>
  <c r="Q48" i="57"/>
  <c r="I257" i="12"/>
  <c r="Q68" i="57"/>
  <c r="I277" i="12"/>
  <c r="Q180" i="57"/>
  <c r="I369" i="12"/>
  <c r="Q286" i="57"/>
  <c r="I475" i="12"/>
  <c r="Q240" i="57"/>
  <c r="I429" i="12"/>
  <c r="Q132" i="57"/>
  <c r="I331" i="12"/>
  <c r="Q235" i="57"/>
  <c r="I424" i="12"/>
  <c r="Q131" i="57"/>
  <c r="I330" i="12"/>
  <c r="Q35" i="57"/>
  <c r="I249" i="12"/>
  <c r="Q284" i="57"/>
  <c r="I473" i="12"/>
  <c r="Q288" i="57"/>
  <c r="I477" i="12"/>
  <c r="Q239" i="57"/>
  <c r="I428" i="12"/>
  <c r="Q222" i="57"/>
  <c r="I411" i="12"/>
  <c r="Q113" i="57"/>
  <c r="I312" i="12"/>
  <c r="Q128" i="57"/>
  <c r="I327" i="12"/>
  <c r="Q78" i="57"/>
  <c r="I287" i="12"/>
  <c r="Q19" i="57"/>
  <c r="I239" i="12"/>
  <c r="Q134" i="57"/>
  <c r="I333" i="12"/>
  <c r="Q75" i="57"/>
  <c r="I284" i="12"/>
  <c r="Q166" i="57"/>
  <c r="I360" i="12"/>
  <c r="Q266" i="57"/>
  <c r="I455" i="12"/>
  <c r="Q312" i="57"/>
  <c r="I501" i="12"/>
  <c r="Q125" i="57"/>
  <c r="I324" i="12"/>
  <c r="Q176" i="57"/>
  <c r="I365" i="12"/>
  <c r="Q314" i="57"/>
  <c r="I503" i="12"/>
  <c r="Q160" i="57"/>
  <c r="I354" i="12"/>
  <c r="Q245" i="57"/>
  <c r="I434" i="12"/>
  <c r="Q183" i="57"/>
  <c r="I372" i="12"/>
  <c r="Q221" i="57"/>
  <c r="I410" i="12"/>
  <c r="Q63" i="57"/>
  <c r="I272" i="12"/>
  <c r="Q255" i="57"/>
  <c r="I444" i="12"/>
  <c r="Q215" i="57"/>
  <c r="I404" i="12"/>
  <c r="Q123" i="57"/>
  <c r="I322" i="12"/>
  <c r="Q22" i="57"/>
  <c r="I203" i="12"/>
  <c r="Q133" i="57"/>
  <c r="I332" i="12"/>
  <c r="Q34" i="57"/>
  <c r="I248" i="12"/>
  <c r="Q285" i="57"/>
  <c r="I474" i="12"/>
  <c r="Q65" i="57"/>
  <c r="I274" i="12"/>
  <c r="Q237" i="57"/>
  <c r="I426" i="12"/>
  <c r="Q94" i="57"/>
  <c r="I298" i="12"/>
  <c r="Q104" i="57"/>
  <c r="I308" i="12"/>
  <c r="Q91" i="57"/>
  <c r="I295" i="12"/>
  <c r="Q316" i="57"/>
  <c r="I505" i="12"/>
  <c r="Q164" i="57"/>
  <c r="I358" i="12"/>
  <c r="Q86" i="57"/>
  <c r="I216" i="12"/>
  <c r="Q172" i="57"/>
  <c r="I361" i="12"/>
  <c r="Q196" i="57"/>
  <c r="I385" i="12"/>
  <c r="Q310" i="57"/>
  <c r="I499" i="12"/>
  <c r="Q57" i="57"/>
  <c r="I266" i="12"/>
  <c r="Q236" i="57"/>
  <c r="I425" i="12"/>
  <c r="Q178" i="57"/>
  <c r="I367" i="12"/>
  <c r="Q191" i="57"/>
  <c r="I380" i="12"/>
  <c r="Q72" i="57"/>
  <c r="I281" i="12"/>
  <c r="Q282" i="57"/>
  <c r="I471" i="12"/>
  <c r="Q290" i="57"/>
  <c r="I479" i="12"/>
  <c r="Q234" i="57"/>
  <c r="I423" i="12"/>
  <c r="Q307" i="57"/>
  <c r="I496" i="12"/>
  <c r="Q218" i="57"/>
  <c r="I407" i="12"/>
  <c r="Q120" i="57"/>
  <c r="I319" i="12"/>
  <c r="Q309" i="57"/>
  <c r="I498" i="12"/>
  <c r="Q42" i="57"/>
  <c r="I256" i="12"/>
  <c r="Q278" i="57"/>
  <c r="I467" i="12"/>
  <c r="Q220" i="57"/>
  <c r="I409" i="12"/>
  <c r="Q119" i="57"/>
  <c r="I318" i="12"/>
  <c r="Q306" i="57"/>
  <c r="I495" i="12"/>
  <c r="Q38" i="57"/>
  <c r="I252" i="12"/>
  <c r="Q280" i="57"/>
  <c r="I469" i="12"/>
  <c r="Q225" i="57"/>
  <c r="I414" i="12"/>
  <c r="Q190" i="57"/>
  <c r="I379" i="12"/>
  <c r="Q30" i="57"/>
  <c r="I244" i="12"/>
  <c r="Q211" i="57"/>
  <c r="I400" i="12"/>
  <c r="Q112" i="57"/>
  <c r="I311" i="12"/>
  <c r="Q27" i="57"/>
  <c r="I208" i="12"/>
  <c r="Q21" i="57"/>
  <c r="I241" i="12"/>
  <c r="Q98" i="57"/>
  <c r="I302" i="12"/>
  <c r="Q188" i="57"/>
  <c r="I377" i="12"/>
  <c r="Q29" i="57"/>
  <c r="I243" i="12"/>
  <c r="Q179" i="57"/>
  <c r="I368" i="12"/>
  <c r="Q111" i="57"/>
  <c r="I310" i="12"/>
  <c r="Q156" i="57"/>
  <c r="I350" i="12"/>
  <c r="Q121" i="57"/>
  <c r="I320" i="12"/>
  <c r="Q319" i="57"/>
  <c r="I508" i="12"/>
  <c r="Q296" i="57"/>
  <c r="I485" i="12"/>
  <c r="Q143" i="57"/>
  <c r="I342" i="12"/>
  <c r="Q301" i="57"/>
  <c r="I490" i="12"/>
  <c r="Q187" i="57"/>
  <c r="I376" i="12"/>
  <c r="Q36" i="57"/>
  <c r="I250" i="12"/>
  <c r="Q303" i="57"/>
  <c r="I492" i="12"/>
  <c r="Q64" i="57"/>
  <c r="I273" i="12"/>
  <c r="Q251" i="57"/>
  <c r="I440" i="12"/>
  <c r="Q158" i="57"/>
  <c r="I352" i="12"/>
  <c r="Q216" i="57"/>
  <c r="I405" i="12"/>
  <c r="Q274" i="57"/>
  <c r="I463" i="12"/>
  <c r="Q58" i="57"/>
  <c r="I267" i="12"/>
  <c r="Q82" i="57"/>
  <c r="I291" i="12"/>
  <c r="Q250" i="57"/>
  <c r="I439" i="12"/>
  <c r="Q227" i="57"/>
  <c r="I416" i="12"/>
  <c r="Q283" i="57"/>
  <c r="I472" i="12"/>
  <c r="Q159" i="57"/>
  <c r="I353" i="12"/>
  <c r="Q248" i="57"/>
  <c r="I437" i="12"/>
  <c r="Q276" i="57"/>
  <c r="I465" i="12"/>
  <c r="Q226" i="57"/>
  <c r="I415" i="12"/>
  <c r="Q52" i="57"/>
  <c r="I261" i="12"/>
  <c r="Q71" i="57"/>
  <c r="I280" i="12"/>
  <c r="Q212" i="57"/>
  <c r="I401" i="12"/>
  <c r="Q99" i="57"/>
  <c r="I303" i="12"/>
  <c r="Q241" i="57"/>
  <c r="I430" i="12"/>
  <c r="Q43" i="57"/>
  <c r="I198" i="12"/>
  <c r="Q153" i="57"/>
  <c r="I347" i="12"/>
  <c r="Q47" i="57"/>
  <c r="I202" i="12"/>
  <c r="Q32" i="57"/>
  <c r="I246" i="12"/>
  <c r="Q210" i="57"/>
  <c r="I399" i="12"/>
  <c r="Q116" i="57"/>
  <c r="I315" i="12"/>
  <c r="Q269" i="57"/>
  <c r="I458" i="12"/>
  <c r="Q189" i="57"/>
  <c r="I378" i="12"/>
  <c r="Q238" i="57"/>
  <c r="I427" i="12"/>
  <c r="Q84" i="57"/>
  <c r="I293" i="12"/>
  <c r="Q49" i="57"/>
  <c r="I258" i="12"/>
  <c r="Q33" i="57"/>
  <c r="I247" i="12"/>
  <c r="Q304" i="57"/>
  <c r="I493" i="12"/>
  <c r="Q88" i="57"/>
  <c r="I218" i="12"/>
  <c r="Q124" i="57"/>
  <c r="I323" i="12"/>
  <c r="Q258" i="57"/>
  <c r="I447" i="12"/>
  <c r="Q291" i="57"/>
  <c r="I480" i="12"/>
  <c r="Q313" i="57"/>
  <c r="I502" i="12"/>
  <c r="Q299" i="57"/>
  <c r="I488" i="12"/>
  <c r="Q83" i="57"/>
  <c r="I292" i="12"/>
  <c r="Q253" i="57"/>
  <c r="I442" i="12"/>
  <c r="Q168" i="57"/>
  <c r="I222" i="12"/>
  <c r="Q147" i="57"/>
  <c r="I226" i="12"/>
  <c r="Q297" i="57"/>
  <c r="I486" i="12"/>
  <c r="Q145" i="57"/>
  <c r="I344" i="12"/>
  <c r="Q175" i="57"/>
  <c r="I364" i="12"/>
  <c r="Q311" i="57"/>
  <c r="I500" i="12"/>
  <c r="Q102" i="57"/>
  <c r="I306" i="12"/>
  <c r="Q92" i="57"/>
  <c r="I296" i="12"/>
  <c r="Q317" i="57"/>
  <c r="I506" i="12"/>
  <c r="Q117" i="57"/>
  <c r="I316" i="12"/>
  <c r="Q154" i="57"/>
  <c r="I348" i="12"/>
  <c r="Q214" i="57"/>
  <c r="I403" i="12"/>
  <c r="Q150" i="57"/>
  <c r="I229" i="12"/>
  <c r="Q101" i="57"/>
  <c r="I305" i="12"/>
  <c r="Q194" i="57"/>
  <c r="I383" i="12"/>
  <c r="Q151" i="57"/>
  <c r="I230" i="12"/>
  <c r="Q165" i="57"/>
  <c r="I359" i="12"/>
  <c r="Q85" i="57"/>
  <c r="I215" i="12"/>
  <c r="Q279" i="57"/>
  <c r="I468" i="12"/>
  <c r="Q54" i="57"/>
  <c r="I263" i="12"/>
  <c r="Q308" i="57"/>
  <c r="I497" i="12"/>
  <c r="Q273" i="57"/>
  <c r="I462" i="12"/>
  <c r="Q66" i="57"/>
  <c r="I275" i="12"/>
  <c r="Q44" i="57"/>
  <c r="I199" i="12"/>
  <c r="Q31" i="57"/>
  <c r="I245" i="12"/>
  <c r="Q181" i="57"/>
  <c r="I370" i="12"/>
  <c r="Q97" i="57"/>
  <c r="I301" i="12"/>
  <c r="Q242" i="57"/>
  <c r="I431" i="12"/>
  <c r="Q60" i="57"/>
  <c r="I269" i="12"/>
  <c r="Q247" i="57"/>
  <c r="I436" i="12"/>
  <c r="Q184" i="57"/>
  <c r="I373" i="12"/>
  <c r="Q298" i="57"/>
  <c r="I487" i="12"/>
  <c r="Q142" i="57"/>
  <c r="I341" i="12"/>
  <c r="Q174" i="57"/>
  <c r="I363" i="12"/>
  <c r="Q171" i="57"/>
  <c r="I225" i="12"/>
  <c r="Q37" i="57"/>
  <c r="I251" i="12"/>
  <c r="Q61" i="57"/>
  <c r="I270" i="12"/>
  <c r="Q80" i="57"/>
  <c r="I289" i="12"/>
  <c r="Q249" i="57"/>
  <c r="I438" i="12"/>
  <c r="Q169" i="57"/>
  <c r="I223" i="12"/>
  <c r="Q46" i="57"/>
  <c r="I201" i="12"/>
  <c r="Q195" i="57"/>
  <c r="I384" i="12"/>
  <c r="Q148" i="57"/>
  <c r="I227" i="12"/>
  <c r="Q114" i="57"/>
  <c r="I313" i="12"/>
  <c r="Q155" i="57"/>
  <c r="I349" i="12"/>
  <c r="Q294" i="57"/>
  <c r="I483" i="12"/>
  <c r="Q163" i="57"/>
  <c r="I357" i="12"/>
  <c r="Q51" i="57"/>
  <c r="I260" i="12"/>
  <c r="Q70" i="57"/>
  <c r="I279" i="12"/>
  <c r="Q177" i="57"/>
  <c r="I366" i="12"/>
  <c r="Q95" i="57"/>
  <c r="I299" i="12"/>
  <c r="Q26" i="57"/>
  <c r="I207" i="12"/>
  <c r="Q224" i="57"/>
  <c r="I413" i="12"/>
  <c r="Q287" i="57"/>
  <c r="I476" i="12"/>
  <c r="Q146" i="57"/>
  <c r="I345" i="12"/>
  <c r="Q96" i="57"/>
  <c r="I300" i="12"/>
  <c r="Q257" i="57"/>
  <c r="I446" i="12"/>
  <c r="Q243" i="57"/>
  <c r="I432" i="12"/>
  <c r="C207" i="11"/>
  <c r="D421" i="11"/>
  <c r="D207" i="11"/>
  <c r="R243" i="57" l="1"/>
  <c r="J432" i="12"/>
  <c r="R96" i="57"/>
  <c r="J300" i="12"/>
  <c r="R287" i="57"/>
  <c r="J476" i="12"/>
  <c r="R26" i="57"/>
  <c r="J207" i="12"/>
  <c r="R177" i="57"/>
  <c r="J366" i="12"/>
  <c r="R51" i="57"/>
  <c r="J260" i="12"/>
  <c r="R294" i="57"/>
  <c r="J483" i="12"/>
  <c r="R114" i="57"/>
  <c r="J313" i="12"/>
  <c r="R195" i="57"/>
  <c r="J384" i="12"/>
  <c r="R169" i="57"/>
  <c r="J223" i="12"/>
  <c r="R80" i="57"/>
  <c r="J289" i="12"/>
  <c r="R37" i="57"/>
  <c r="J251" i="12"/>
  <c r="R174" i="57"/>
  <c r="J363" i="12"/>
  <c r="R298" i="57"/>
  <c r="J487" i="12"/>
  <c r="R247" i="57"/>
  <c r="J436" i="12"/>
  <c r="R242" i="57"/>
  <c r="J431" i="12"/>
  <c r="R181" i="57"/>
  <c r="J370" i="12"/>
  <c r="R44" i="57"/>
  <c r="J199" i="12"/>
  <c r="R273" i="57"/>
  <c r="J462" i="12"/>
  <c r="R54" i="57"/>
  <c r="J263" i="12"/>
  <c r="R85" i="57"/>
  <c r="J215" i="12"/>
  <c r="R151" i="57"/>
  <c r="J230" i="12"/>
  <c r="R101" i="57"/>
  <c r="J305" i="12"/>
  <c r="R214" i="57"/>
  <c r="J403" i="12"/>
  <c r="R117" i="57"/>
  <c r="J316" i="12"/>
  <c r="R92" i="57"/>
  <c r="J296" i="12"/>
  <c r="R311" i="57"/>
  <c r="J500" i="12"/>
  <c r="R145" i="57"/>
  <c r="J344" i="12"/>
  <c r="R147" i="57"/>
  <c r="J226" i="12"/>
  <c r="R253" i="57"/>
  <c r="J442" i="12"/>
  <c r="R299" i="57"/>
  <c r="J488" i="12"/>
  <c r="R291" i="57"/>
  <c r="J480" i="12"/>
  <c r="R124" i="57"/>
  <c r="J323" i="12"/>
  <c r="R304" i="57"/>
  <c r="J493" i="12"/>
  <c r="R49" i="57"/>
  <c r="J258" i="12"/>
  <c r="R238" i="57"/>
  <c r="J427" i="12"/>
  <c r="R269" i="57"/>
  <c r="J458" i="12"/>
  <c r="R210" i="57"/>
  <c r="J399" i="12"/>
  <c r="R47" i="57"/>
  <c r="J202" i="12"/>
  <c r="R43" i="57"/>
  <c r="J198" i="12"/>
  <c r="R99" i="57"/>
  <c r="J303" i="12"/>
  <c r="R71" i="57"/>
  <c r="J280" i="12"/>
  <c r="R226" i="57"/>
  <c r="J415" i="12"/>
  <c r="R248" i="57"/>
  <c r="J437" i="12"/>
  <c r="R283" i="57"/>
  <c r="J472" i="12"/>
  <c r="R250" i="57"/>
  <c r="J439" i="12"/>
  <c r="R58" i="57"/>
  <c r="J267" i="12"/>
  <c r="R216" i="57"/>
  <c r="J405" i="12"/>
  <c r="R251" i="57"/>
  <c r="J440" i="12"/>
  <c r="R303" i="57"/>
  <c r="J492" i="12"/>
  <c r="R187" i="57"/>
  <c r="J376" i="12"/>
  <c r="R143" i="57"/>
  <c r="J342" i="12"/>
  <c r="R319" i="57"/>
  <c r="J508" i="12"/>
  <c r="R156" i="57"/>
  <c r="J350" i="12"/>
  <c r="R179" i="57"/>
  <c r="J368" i="12"/>
  <c r="R188" i="57"/>
  <c r="J377" i="12"/>
  <c r="R21" i="57"/>
  <c r="J241" i="12"/>
  <c r="R112" i="57"/>
  <c r="J311" i="12"/>
  <c r="R30" i="57"/>
  <c r="J244" i="12"/>
  <c r="R225" i="57"/>
  <c r="J414" i="12"/>
  <c r="R38" i="57"/>
  <c r="J252" i="12"/>
  <c r="R119" i="57"/>
  <c r="J318" i="12"/>
  <c r="R278" i="57"/>
  <c r="J467" i="12"/>
  <c r="R309" i="57"/>
  <c r="J498" i="12"/>
  <c r="R218" i="57"/>
  <c r="J407" i="12"/>
  <c r="R234" i="57"/>
  <c r="J423" i="12"/>
  <c r="R282" i="57"/>
  <c r="J471" i="12"/>
  <c r="R191" i="57"/>
  <c r="J380" i="12"/>
  <c r="R236" i="57"/>
  <c r="J425" i="12"/>
  <c r="R310" i="57"/>
  <c r="J499" i="12"/>
  <c r="R172" i="57"/>
  <c r="J361" i="12"/>
  <c r="R164" i="57"/>
  <c r="J358" i="12"/>
  <c r="R91" i="57"/>
  <c r="J295" i="12"/>
  <c r="R94" i="57"/>
  <c r="J298" i="12"/>
  <c r="R65" i="57"/>
  <c r="J274" i="12"/>
  <c r="R34" i="57"/>
  <c r="J248" i="12"/>
  <c r="R22" i="57"/>
  <c r="J203" i="12"/>
  <c r="R215" i="57"/>
  <c r="J404" i="12"/>
  <c r="R63" i="57"/>
  <c r="J272" i="12"/>
  <c r="R183" i="57"/>
  <c r="J372" i="12"/>
  <c r="R160" i="57"/>
  <c r="J354" i="12"/>
  <c r="R176" i="57"/>
  <c r="J365" i="12"/>
  <c r="R312" i="57"/>
  <c r="J501" i="12"/>
  <c r="R166" i="57"/>
  <c r="J360" i="12"/>
  <c r="R134" i="57"/>
  <c r="J333" i="12"/>
  <c r="R78" i="57"/>
  <c r="J287" i="12"/>
  <c r="R113" i="57"/>
  <c r="J312" i="12"/>
  <c r="R239" i="57"/>
  <c r="J428" i="12"/>
  <c r="R284" i="57"/>
  <c r="J473" i="12"/>
  <c r="R131" i="57"/>
  <c r="J330" i="12"/>
  <c r="R132" i="57"/>
  <c r="J331" i="12"/>
  <c r="R286" i="57"/>
  <c r="J475" i="12"/>
  <c r="R68" i="57"/>
  <c r="J277" i="12"/>
  <c r="R223" i="57"/>
  <c r="J412" i="12"/>
  <c r="R244" i="57"/>
  <c r="J433" i="12"/>
  <c r="R89" i="57"/>
  <c r="J219" i="12"/>
  <c r="R122" i="57"/>
  <c r="J321" i="12"/>
  <c r="R256" i="57"/>
  <c r="J445" i="12"/>
  <c r="R186" i="57"/>
  <c r="J375" i="12"/>
  <c r="R59" i="57"/>
  <c r="J268" i="12"/>
  <c r="R110" i="57"/>
  <c r="J309" i="12"/>
  <c r="R192" i="57"/>
  <c r="J381" i="12"/>
  <c r="R62" i="57"/>
  <c r="J271" i="12"/>
  <c r="R185" i="57"/>
  <c r="J374" i="12"/>
  <c r="R281" i="57"/>
  <c r="J470" i="12"/>
  <c r="R130" i="57"/>
  <c r="J329" i="12"/>
  <c r="R28" i="57"/>
  <c r="J242" i="12"/>
  <c r="R270" i="57"/>
  <c r="J459" i="12"/>
  <c r="R77" i="57"/>
  <c r="J286" i="12"/>
  <c r="R199" i="57"/>
  <c r="J388" i="12"/>
  <c r="R173" i="57"/>
  <c r="J362" i="12"/>
  <c r="R267" i="57"/>
  <c r="J456" i="12"/>
  <c r="R275" i="57"/>
  <c r="J464" i="12"/>
  <c r="R254" i="57"/>
  <c r="J443" i="12"/>
  <c r="R277" i="57"/>
  <c r="J466" i="12"/>
  <c r="R300" i="57"/>
  <c r="J489" i="12"/>
  <c r="R115" i="57"/>
  <c r="J314" i="12"/>
  <c r="R93" i="57"/>
  <c r="J297" i="12"/>
  <c r="R45" i="57"/>
  <c r="J200" i="12"/>
  <c r="R25" i="57"/>
  <c r="J206" i="12"/>
  <c r="R40" i="57"/>
  <c r="J254" i="12"/>
  <c r="R305" i="57"/>
  <c r="J494" i="12"/>
  <c r="R55" i="57"/>
  <c r="J264" i="12"/>
  <c r="R193" i="57"/>
  <c r="J382" i="12"/>
  <c r="R87" i="57"/>
  <c r="J217" i="12"/>
  <c r="R79" i="57"/>
  <c r="J288" i="12"/>
  <c r="R202" i="57"/>
  <c r="J391" i="12"/>
  <c r="R295" i="57"/>
  <c r="J484" i="12"/>
  <c r="R23" i="57"/>
  <c r="J204" i="12"/>
  <c r="R315" i="57"/>
  <c r="J504" i="12"/>
  <c r="R129" i="57"/>
  <c r="J328" i="12"/>
  <c r="R252" i="57"/>
  <c r="J441" i="12"/>
  <c r="R167" i="57"/>
  <c r="J221" i="12"/>
  <c r="R118" i="57"/>
  <c r="J317" i="12"/>
  <c r="R53" i="57"/>
  <c r="J262" i="12"/>
  <c r="R257" i="57"/>
  <c r="J446" i="12"/>
  <c r="R146" i="57"/>
  <c r="J345" i="12"/>
  <c r="R224" i="57"/>
  <c r="J413" i="12"/>
  <c r="R95" i="57"/>
  <c r="J299" i="12"/>
  <c r="R70" i="57"/>
  <c r="J279" i="12"/>
  <c r="R163" i="57"/>
  <c r="J357" i="12"/>
  <c r="R155" i="57"/>
  <c r="J349" i="12"/>
  <c r="R148" i="57"/>
  <c r="J227" i="12"/>
  <c r="R46" i="57"/>
  <c r="J201" i="12"/>
  <c r="R249" i="57"/>
  <c r="J438" i="12"/>
  <c r="R61" i="57"/>
  <c r="J270" i="12"/>
  <c r="R171" i="57"/>
  <c r="J225" i="12"/>
  <c r="R142" i="57"/>
  <c r="J341" i="12"/>
  <c r="R184" i="57"/>
  <c r="J373" i="12"/>
  <c r="R60" i="57"/>
  <c r="J269" i="12"/>
  <c r="R97" i="57"/>
  <c r="J301" i="12"/>
  <c r="R31" i="57"/>
  <c r="J245" i="12"/>
  <c r="R66" i="57"/>
  <c r="J275" i="12"/>
  <c r="R308" i="57"/>
  <c r="J497" i="12"/>
  <c r="R279" i="57"/>
  <c r="J468" i="12"/>
  <c r="R165" i="57"/>
  <c r="J359" i="12"/>
  <c r="R194" i="57"/>
  <c r="J383" i="12"/>
  <c r="R150" i="57"/>
  <c r="J229" i="12"/>
  <c r="R154" i="57"/>
  <c r="J348" i="12"/>
  <c r="R317" i="57"/>
  <c r="J506" i="12"/>
  <c r="R102" i="57"/>
  <c r="J306" i="12"/>
  <c r="R175" i="57"/>
  <c r="J364" i="12"/>
  <c r="R297" i="57"/>
  <c r="J486" i="12"/>
  <c r="R168" i="57"/>
  <c r="J222" i="12"/>
  <c r="R83" i="57"/>
  <c r="J292" i="12"/>
  <c r="R313" i="57"/>
  <c r="J502" i="12"/>
  <c r="R258" i="57"/>
  <c r="J447" i="12"/>
  <c r="R88" i="57"/>
  <c r="J218" i="12"/>
  <c r="R33" i="57"/>
  <c r="J247" i="12"/>
  <c r="R84" i="57"/>
  <c r="J293" i="12"/>
  <c r="R189" i="57"/>
  <c r="J378" i="12"/>
  <c r="R116" i="57"/>
  <c r="J315" i="12"/>
  <c r="R32" i="57"/>
  <c r="J246" i="12"/>
  <c r="R153" i="57"/>
  <c r="J347" i="12"/>
  <c r="R241" i="57"/>
  <c r="J430" i="12"/>
  <c r="R212" i="57"/>
  <c r="J401" i="12"/>
  <c r="R52" i="57"/>
  <c r="J261" i="12"/>
  <c r="R276" i="57"/>
  <c r="J465" i="12"/>
  <c r="R159" i="57"/>
  <c r="J353" i="12"/>
  <c r="R227" i="57"/>
  <c r="J416" i="12"/>
  <c r="R82" i="57"/>
  <c r="J291" i="12"/>
  <c r="R274" i="57"/>
  <c r="J463" i="12"/>
  <c r="R158" i="57"/>
  <c r="J352" i="12"/>
  <c r="R64" i="57"/>
  <c r="J273" i="12"/>
  <c r="R36" i="57"/>
  <c r="J250" i="12"/>
  <c r="R301" i="57"/>
  <c r="J490" i="12"/>
  <c r="R296" i="57"/>
  <c r="J485" i="12"/>
  <c r="R121" i="57"/>
  <c r="J320" i="12"/>
  <c r="R111" i="57"/>
  <c r="J310" i="12"/>
  <c r="R29" i="57"/>
  <c r="J243" i="12"/>
  <c r="R98" i="57"/>
  <c r="J302" i="12"/>
  <c r="R27" i="57"/>
  <c r="J208" i="12"/>
  <c r="R211" i="57"/>
  <c r="J400" i="12"/>
  <c r="R190" i="57"/>
  <c r="J379" i="12"/>
  <c r="R280" i="57"/>
  <c r="J469" i="12"/>
  <c r="R306" i="57"/>
  <c r="J495" i="12"/>
  <c r="R220" i="57"/>
  <c r="J409" i="12"/>
  <c r="R42" i="57"/>
  <c r="J256" i="12"/>
  <c r="R120" i="57"/>
  <c r="J319" i="12"/>
  <c r="R307" i="57"/>
  <c r="J496" i="12"/>
  <c r="R290" i="57"/>
  <c r="J479" i="12"/>
  <c r="R72" i="57"/>
  <c r="J281" i="12"/>
  <c r="R178" i="57"/>
  <c r="J367" i="12"/>
  <c r="R57" i="57"/>
  <c r="J266" i="12"/>
  <c r="R196" i="57"/>
  <c r="J385" i="12"/>
  <c r="R86" i="57"/>
  <c r="J216" i="12"/>
  <c r="R316" i="57"/>
  <c r="J505" i="12"/>
  <c r="R104" i="57"/>
  <c r="J308" i="12"/>
  <c r="R237" i="57"/>
  <c r="J426" i="12"/>
  <c r="R285" i="57"/>
  <c r="J474" i="12"/>
  <c r="R133" i="57"/>
  <c r="J332" i="12"/>
  <c r="R123" i="57"/>
  <c r="J322" i="12"/>
  <c r="R255" i="57"/>
  <c r="J444" i="12"/>
  <c r="R221" i="57"/>
  <c r="J410" i="12"/>
  <c r="R245" i="57"/>
  <c r="J434" i="12"/>
  <c r="R314" i="57"/>
  <c r="J503" i="12"/>
  <c r="R125" i="57"/>
  <c r="J324" i="12"/>
  <c r="R266" i="57"/>
  <c r="J455" i="12"/>
  <c r="R75" i="57"/>
  <c r="J284" i="12"/>
  <c r="R19" i="57"/>
  <c r="J239" i="12"/>
  <c r="R128" i="57"/>
  <c r="J327" i="12"/>
  <c r="R222" i="57"/>
  <c r="J411" i="12"/>
  <c r="R288" i="57"/>
  <c r="J477" i="12"/>
  <c r="R35" i="57"/>
  <c r="J249" i="12"/>
  <c r="R235" i="57"/>
  <c r="J424" i="12"/>
  <c r="R240" i="57"/>
  <c r="J429" i="12"/>
  <c r="R180" i="57"/>
  <c r="J369" i="12"/>
  <c r="R48" i="57"/>
  <c r="J257" i="12"/>
  <c r="R182" i="57"/>
  <c r="J371" i="12"/>
  <c r="R157" i="57"/>
  <c r="J351" i="12"/>
  <c r="R200" i="57"/>
  <c r="J389" i="12"/>
  <c r="R217" i="57"/>
  <c r="J406" i="12"/>
  <c r="R219" i="57"/>
  <c r="J408" i="12"/>
  <c r="R41" i="57"/>
  <c r="J255" i="12"/>
  <c r="R24" i="57"/>
  <c r="J205" i="12"/>
  <c r="R209" i="57"/>
  <c r="J398" i="12"/>
  <c r="R103" i="57"/>
  <c r="J307" i="12"/>
  <c r="R213" i="57"/>
  <c r="J402" i="12"/>
  <c r="R289" i="57"/>
  <c r="J478" i="12"/>
  <c r="R76" i="57"/>
  <c r="J285" i="12"/>
  <c r="R18" i="57"/>
  <c r="J238" i="12"/>
  <c r="R246" i="57"/>
  <c r="J435" i="12"/>
  <c r="R162" i="57"/>
  <c r="J356" i="12"/>
  <c r="R90" i="57"/>
  <c r="J294" i="12"/>
  <c r="R271" i="57"/>
  <c r="J460" i="12"/>
  <c r="R126" i="57"/>
  <c r="J325" i="12"/>
  <c r="R50" i="57"/>
  <c r="J259" i="12"/>
  <c r="R292" i="57"/>
  <c r="J481" i="12"/>
  <c r="R228" i="57"/>
  <c r="J417" i="12"/>
  <c r="R81" i="57"/>
  <c r="J290" i="12"/>
  <c r="R152" i="57"/>
  <c r="J346" i="12"/>
  <c r="R149" i="57"/>
  <c r="J228" i="12"/>
  <c r="R203" i="57"/>
  <c r="J392" i="12"/>
  <c r="R161" i="57"/>
  <c r="J355" i="12"/>
  <c r="R100" i="57"/>
  <c r="J304" i="12"/>
  <c r="R67" i="57"/>
  <c r="J276" i="12"/>
  <c r="R320" i="57"/>
  <c r="J509" i="12"/>
  <c r="R201" i="57"/>
  <c r="J390" i="12"/>
  <c r="R39" i="57"/>
  <c r="J253" i="12"/>
  <c r="R302" i="57"/>
  <c r="J491" i="12"/>
  <c r="R56" i="57"/>
  <c r="J265" i="12"/>
  <c r="R272" i="57"/>
  <c r="J461" i="12"/>
  <c r="R127" i="57"/>
  <c r="J326" i="12"/>
  <c r="R69" i="57"/>
  <c r="J278" i="12"/>
  <c r="R293" i="57"/>
  <c r="J482" i="12"/>
  <c r="R170" i="57"/>
  <c r="J224" i="12"/>
  <c r="R144" i="57"/>
  <c r="J343" i="12"/>
  <c r="R268" i="57"/>
  <c r="J457" i="12"/>
  <c r="R318" i="57"/>
  <c r="J507" i="12"/>
  <c r="R20" i="57"/>
  <c r="J240" i="12"/>
  <c r="C421" i="11"/>
  <c r="D208" i="11"/>
  <c r="S20" i="57" l="1"/>
  <c r="K240" i="12"/>
  <c r="S268" i="57"/>
  <c r="K457" i="12"/>
  <c r="S170" i="57"/>
  <c r="K224" i="12"/>
  <c r="S69" i="57"/>
  <c r="K278" i="12"/>
  <c r="S272" i="57"/>
  <c r="K461" i="12"/>
  <c r="S302" i="57"/>
  <c r="K491" i="12"/>
  <c r="S201" i="57"/>
  <c r="K390" i="12"/>
  <c r="S67" i="57"/>
  <c r="K276" i="12"/>
  <c r="S161" i="57"/>
  <c r="K355" i="12"/>
  <c r="S149" i="57"/>
  <c r="K228" i="12"/>
  <c r="S81" i="57"/>
  <c r="K290" i="12"/>
  <c r="S292" i="57"/>
  <c r="K481" i="12"/>
  <c r="S126" i="57"/>
  <c r="K325" i="12"/>
  <c r="S90" i="57"/>
  <c r="K294" i="12"/>
  <c r="S246" i="57"/>
  <c r="K435" i="12"/>
  <c r="S76" i="57"/>
  <c r="K285" i="12"/>
  <c r="S213" i="57"/>
  <c r="K402" i="12"/>
  <c r="S209" i="57"/>
  <c r="K398" i="12"/>
  <c r="S41" i="57"/>
  <c r="K255" i="12"/>
  <c r="S217" i="57"/>
  <c r="K406" i="12"/>
  <c r="S157" i="57"/>
  <c r="K351" i="12"/>
  <c r="S48" i="57"/>
  <c r="K257" i="12"/>
  <c r="S240" i="57"/>
  <c r="K429" i="12"/>
  <c r="S35" i="57"/>
  <c r="K249" i="12"/>
  <c r="S222" i="57"/>
  <c r="K411" i="12"/>
  <c r="S19" i="57"/>
  <c r="K239" i="12"/>
  <c r="S266" i="57"/>
  <c r="K455" i="12"/>
  <c r="S314" i="57"/>
  <c r="K503" i="12"/>
  <c r="S221" i="57"/>
  <c r="K410" i="12"/>
  <c r="S123" i="57"/>
  <c r="K322" i="12"/>
  <c r="S285" i="57"/>
  <c r="K474" i="12"/>
  <c r="S104" i="57"/>
  <c r="K308" i="12"/>
  <c r="S86" i="57"/>
  <c r="K216" i="12"/>
  <c r="S57" i="57"/>
  <c r="K266" i="12"/>
  <c r="S72" i="57"/>
  <c r="K281" i="12"/>
  <c r="S307" i="57"/>
  <c r="K496" i="12"/>
  <c r="S42" i="57"/>
  <c r="K256" i="12"/>
  <c r="S306" i="57"/>
  <c r="K495" i="12"/>
  <c r="S190" i="57"/>
  <c r="K379" i="12"/>
  <c r="S27" i="57"/>
  <c r="K208" i="12"/>
  <c r="S29" i="57"/>
  <c r="K243" i="12"/>
  <c r="S121" i="57"/>
  <c r="K320" i="12"/>
  <c r="S301" i="57"/>
  <c r="K490" i="12"/>
  <c r="S64" i="57"/>
  <c r="K273" i="12"/>
  <c r="S274" i="57"/>
  <c r="K463" i="12"/>
  <c r="S227" i="57"/>
  <c r="K416" i="12"/>
  <c r="S276" i="57"/>
  <c r="K465" i="12"/>
  <c r="S212" i="57"/>
  <c r="K401" i="12"/>
  <c r="S153" i="57"/>
  <c r="K347" i="12"/>
  <c r="S116" i="57"/>
  <c r="K315" i="12"/>
  <c r="S84" i="57"/>
  <c r="K293" i="12"/>
  <c r="S88" i="57"/>
  <c r="K218" i="12"/>
  <c r="S313" i="57"/>
  <c r="K502" i="12"/>
  <c r="S168" i="57"/>
  <c r="K222" i="12"/>
  <c r="S175" i="57"/>
  <c r="K364" i="12"/>
  <c r="S317" i="57"/>
  <c r="K506" i="12"/>
  <c r="S150" i="57"/>
  <c r="K229" i="12"/>
  <c r="S165" i="57"/>
  <c r="K359" i="12"/>
  <c r="S308" i="57"/>
  <c r="K497" i="12"/>
  <c r="S31" i="57"/>
  <c r="K245" i="12"/>
  <c r="S60" i="57"/>
  <c r="K269" i="12"/>
  <c r="S142" i="57"/>
  <c r="K341" i="12"/>
  <c r="S61" i="57"/>
  <c r="K270" i="12"/>
  <c r="S46" i="57"/>
  <c r="K201" i="12"/>
  <c r="S155" i="57"/>
  <c r="K349" i="12"/>
  <c r="S70" i="57"/>
  <c r="K279" i="12"/>
  <c r="S224" i="57"/>
  <c r="K413" i="12"/>
  <c r="S257" i="57"/>
  <c r="K446" i="12"/>
  <c r="S118" i="57"/>
  <c r="K317" i="12"/>
  <c r="S252" i="57"/>
  <c r="K441" i="12"/>
  <c r="S315" i="57"/>
  <c r="K504" i="12"/>
  <c r="S295" i="57"/>
  <c r="K484" i="12"/>
  <c r="S79" i="57"/>
  <c r="K288" i="12"/>
  <c r="S193" i="57"/>
  <c r="K382" i="12"/>
  <c r="S305" i="57"/>
  <c r="K494" i="12"/>
  <c r="S25" i="57"/>
  <c r="K206" i="12"/>
  <c r="S93" i="57"/>
  <c r="K297" i="12"/>
  <c r="S300" i="57"/>
  <c r="K489" i="12"/>
  <c r="S254" i="57"/>
  <c r="K443" i="12"/>
  <c r="S267" i="57"/>
  <c r="K456" i="12"/>
  <c r="S199" i="57"/>
  <c r="K388" i="12"/>
  <c r="S270" i="57"/>
  <c r="K459" i="12"/>
  <c r="S130" i="57"/>
  <c r="K329" i="12"/>
  <c r="S185" i="57"/>
  <c r="K374" i="12"/>
  <c r="S192" i="57"/>
  <c r="K381" i="12"/>
  <c r="S59" i="57"/>
  <c r="K268" i="12"/>
  <c r="S256" i="57"/>
  <c r="K445" i="12"/>
  <c r="S89" i="57"/>
  <c r="K219" i="12"/>
  <c r="S223" i="57"/>
  <c r="K412" i="12"/>
  <c r="S286" i="57"/>
  <c r="K475" i="12"/>
  <c r="S131" i="57"/>
  <c r="K330" i="12"/>
  <c r="S239" i="57"/>
  <c r="K428" i="12"/>
  <c r="S78" i="57"/>
  <c r="K287" i="12"/>
  <c r="S166" i="57"/>
  <c r="K360" i="12"/>
  <c r="S176" i="57"/>
  <c r="K365" i="12"/>
  <c r="S183" i="57"/>
  <c r="K372" i="12"/>
  <c r="S215" i="57"/>
  <c r="K404" i="12"/>
  <c r="S34" i="57"/>
  <c r="K248" i="12"/>
  <c r="S94" i="57"/>
  <c r="K298" i="12"/>
  <c r="S164" i="57"/>
  <c r="K358" i="12"/>
  <c r="S310" i="57"/>
  <c r="K499" i="12"/>
  <c r="S191" i="57"/>
  <c r="K380" i="12"/>
  <c r="S234" i="57"/>
  <c r="K423" i="12"/>
  <c r="S309" i="57"/>
  <c r="K498" i="12"/>
  <c r="S119" i="57"/>
  <c r="K318" i="12"/>
  <c r="S225" i="57"/>
  <c r="K414" i="12"/>
  <c r="S112" i="57"/>
  <c r="K311" i="12"/>
  <c r="S188" i="57"/>
  <c r="K377" i="12"/>
  <c r="S156" i="57"/>
  <c r="K350" i="12"/>
  <c r="S143" i="57"/>
  <c r="K342" i="12"/>
  <c r="S303" i="57"/>
  <c r="K492" i="12"/>
  <c r="S216" i="57"/>
  <c r="K405" i="12"/>
  <c r="S250" i="57"/>
  <c r="K439" i="12"/>
  <c r="S248" i="57"/>
  <c r="K437" i="12"/>
  <c r="S71" i="57"/>
  <c r="K280" i="12"/>
  <c r="S43" i="57"/>
  <c r="K198" i="12"/>
  <c r="S210" i="57"/>
  <c r="K399" i="12"/>
  <c r="S238" i="57"/>
  <c r="K427" i="12"/>
  <c r="S304" i="57"/>
  <c r="K493" i="12"/>
  <c r="S291" i="57"/>
  <c r="K480" i="12"/>
  <c r="S253" i="57"/>
  <c r="K442" i="12"/>
  <c r="S145" i="57"/>
  <c r="K344" i="12"/>
  <c r="S92" i="57"/>
  <c r="K296" i="12"/>
  <c r="S214" i="57"/>
  <c r="K403" i="12"/>
  <c r="S151" i="57"/>
  <c r="K230" i="12"/>
  <c r="S54" i="57"/>
  <c r="K263" i="12"/>
  <c r="S44" i="57"/>
  <c r="K199" i="12"/>
  <c r="S242" i="57"/>
  <c r="K431" i="12"/>
  <c r="S298" i="57"/>
  <c r="K487" i="12"/>
  <c r="S37" i="57"/>
  <c r="K251" i="12"/>
  <c r="S169" i="57"/>
  <c r="K223" i="12"/>
  <c r="S114" i="57"/>
  <c r="K313" i="12"/>
  <c r="S51" i="57"/>
  <c r="K260" i="12"/>
  <c r="S26" i="57"/>
  <c r="K207" i="12"/>
  <c r="S96" i="57"/>
  <c r="K300" i="12"/>
  <c r="S318" i="57"/>
  <c r="K507" i="12"/>
  <c r="S144" i="57"/>
  <c r="K343" i="12"/>
  <c r="S293" i="57"/>
  <c r="K482" i="12"/>
  <c r="S127" i="57"/>
  <c r="K326" i="12"/>
  <c r="S56" i="57"/>
  <c r="K265" i="12"/>
  <c r="S39" i="57"/>
  <c r="K253" i="12"/>
  <c r="S320" i="57"/>
  <c r="K509" i="12"/>
  <c r="S100" i="57"/>
  <c r="K304" i="12"/>
  <c r="S203" i="57"/>
  <c r="K392" i="12"/>
  <c r="S152" i="57"/>
  <c r="K346" i="12"/>
  <c r="S228" i="57"/>
  <c r="K417" i="12"/>
  <c r="S50" i="57"/>
  <c r="K259" i="12"/>
  <c r="S271" i="57"/>
  <c r="K460" i="12"/>
  <c r="S162" i="57"/>
  <c r="K356" i="12"/>
  <c r="S18" i="57"/>
  <c r="K238" i="12"/>
  <c r="S289" i="57"/>
  <c r="K478" i="12"/>
  <c r="S103" i="57"/>
  <c r="K307" i="12"/>
  <c r="S24" i="57"/>
  <c r="K205" i="12"/>
  <c r="S219" i="57"/>
  <c r="K408" i="12"/>
  <c r="S200" i="57"/>
  <c r="K389" i="12"/>
  <c r="S182" i="57"/>
  <c r="K371" i="12"/>
  <c r="S180" i="57"/>
  <c r="K369" i="12"/>
  <c r="S235" i="57"/>
  <c r="K424" i="12"/>
  <c r="S288" i="57"/>
  <c r="K477" i="12"/>
  <c r="S128" i="57"/>
  <c r="K327" i="12"/>
  <c r="S75" i="57"/>
  <c r="K284" i="12"/>
  <c r="S125" i="57"/>
  <c r="K324" i="12"/>
  <c r="S245" i="57"/>
  <c r="K434" i="12"/>
  <c r="S255" i="57"/>
  <c r="K444" i="12"/>
  <c r="S133" i="57"/>
  <c r="K332" i="12"/>
  <c r="S237" i="57"/>
  <c r="K426" i="12"/>
  <c r="S316" i="57"/>
  <c r="K505" i="12"/>
  <c r="S196" i="57"/>
  <c r="K385" i="12"/>
  <c r="S178" i="57"/>
  <c r="K367" i="12"/>
  <c r="S290" i="57"/>
  <c r="K479" i="12"/>
  <c r="S120" i="57"/>
  <c r="K319" i="12"/>
  <c r="S220" i="57"/>
  <c r="K409" i="12"/>
  <c r="S280" i="57"/>
  <c r="K469" i="12"/>
  <c r="S211" i="57"/>
  <c r="K400" i="12"/>
  <c r="S98" i="57"/>
  <c r="K302" i="12"/>
  <c r="S111" i="57"/>
  <c r="K310" i="12"/>
  <c r="S296" i="57"/>
  <c r="K485" i="12"/>
  <c r="S36" i="57"/>
  <c r="K250" i="12"/>
  <c r="S158" i="57"/>
  <c r="K352" i="12"/>
  <c r="S82" i="57"/>
  <c r="K291" i="12"/>
  <c r="S159" i="57"/>
  <c r="K353" i="12"/>
  <c r="S52" i="57"/>
  <c r="K261" i="12"/>
  <c r="S241" i="57"/>
  <c r="K430" i="12"/>
  <c r="S32" i="57"/>
  <c r="K246" i="12"/>
  <c r="S189" i="57"/>
  <c r="K378" i="12"/>
  <c r="S33" i="57"/>
  <c r="K247" i="12"/>
  <c r="S258" i="57"/>
  <c r="K447" i="12"/>
  <c r="S83" i="57"/>
  <c r="K292" i="12"/>
  <c r="S297" i="57"/>
  <c r="K486" i="12"/>
  <c r="S102" i="57"/>
  <c r="K306" i="12"/>
  <c r="S154" i="57"/>
  <c r="K348" i="12"/>
  <c r="S194" i="57"/>
  <c r="K383" i="12"/>
  <c r="S279" i="57"/>
  <c r="K468" i="12"/>
  <c r="S66" i="57"/>
  <c r="K275" i="12"/>
  <c r="S97" i="57"/>
  <c r="K301" i="12"/>
  <c r="S184" i="57"/>
  <c r="K373" i="12"/>
  <c r="S171" i="57"/>
  <c r="K225" i="12"/>
  <c r="S249" i="57"/>
  <c r="K438" i="12"/>
  <c r="S148" i="57"/>
  <c r="K227" i="12"/>
  <c r="S163" i="57"/>
  <c r="K357" i="12"/>
  <c r="S95" i="57"/>
  <c r="K299" i="12"/>
  <c r="S146" i="57"/>
  <c r="K345" i="12"/>
  <c r="S53" i="57"/>
  <c r="K262" i="12"/>
  <c r="S167" i="57"/>
  <c r="K221" i="12"/>
  <c r="S129" i="57"/>
  <c r="K328" i="12"/>
  <c r="S23" i="57"/>
  <c r="K204" i="12"/>
  <c r="S202" i="57"/>
  <c r="K391" i="12"/>
  <c r="S87" i="57"/>
  <c r="K217" i="12"/>
  <c r="S55" i="57"/>
  <c r="K264" i="12"/>
  <c r="S40" i="57"/>
  <c r="K254" i="12"/>
  <c r="S45" i="57"/>
  <c r="K200" i="12"/>
  <c r="S115" i="57"/>
  <c r="K314" i="12"/>
  <c r="S277" i="57"/>
  <c r="K466" i="12"/>
  <c r="S275" i="57"/>
  <c r="K464" i="12"/>
  <c r="S173" i="57"/>
  <c r="K362" i="12"/>
  <c r="S77" i="57"/>
  <c r="K286" i="12"/>
  <c r="S28" i="57"/>
  <c r="K242" i="12"/>
  <c r="S281" i="57"/>
  <c r="K470" i="12"/>
  <c r="S62" i="57"/>
  <c r="K271" i="12"/>
  <c r="S110" i="57"/>
  <c r="K309" i="12"/>
  <c r="S186" i="57"/>
  <c r="K375" i="12"/>
  <c r="S122" i="57"/>
  <c r="K321" i="12"/>
  <c r="S244" i="57"/>
  <c r="K433" i="12"/>
  <c r="S68" i="57"/>
  <c r="K277" i="12"/>
  <c r="S132" i="57"/>
  <c r="K331" i="12"/>
  <c r="S284" i="57"/>
  <c r="K473" i="12"/>
  <c r="S113" i="57"/>
  <c r="K312" i="12"/>
  <c r="S134" i="57"/>
  <c r="K333" i="12"/>
  <c r="S312" i="57"/>
  <c r="K501" i="12"/>
  <c r="S160" i="57"/>
  <c r="K354" i="12"/>
  <c r="S63" i="57"/>
  <c r="K272" i="12"/>
  <c r="S22" i="57"/>
  <c r="K203" i="12"/>
  <c r="S65" i="57"/>
  <c r="K274" i="12"/>
  <c r="S91" i="57"/>
  <c r="K295" i="12"/>
  <c r="S172" i="57"/>
  <c r="K361" i="12"/>
  <c r="S236" i="57"/>
  <c r="K425" i="12"/>
  <c r="S282" i="57"/>
  <c r="K471" i="12"/>
  <c r="S218" i="57"/>
  <c r="K407" i="12"/>
  <c r="S278" i="57"/>
  <c r="K467" i="12"/>
  <c r="S38" i="57"/>
  <c r="K252" i="12"/>
  <c r="S30" i="57"/>
  <c r="K244" i="12"/>
  <c r="S21" i="57"/>
  <c r="K241" i="12"/>
  <c r="S179" i="57"/>
  <c r="K368" i="12"/>
  <c r="S319" i="57"/>
  <c r="K508" i="12"/>
  <c r="S187" i="57"/>
  <c r="K376" i="12"/>
  <c r="S251" i="57"/>
  <c r="K440" i="12"/>
  <c r="S58" i="57"/>
  <c r="K267" i="12"/>
  <c r="S283" i="57"/>
  <c r="K472" i="12"/>
  <c r="S226" i="57"/>
  <c r="K415" i="12"/>
  <c r="S99" i="57"/>
  <c r="K303" i="12"/>
  <c r="S47" i="57"/>
  <c r="K202" i="12"/>
  <c r="S269" i="57"/>
  <c r="K458" i="12"/>
  <c r="S49" i="57"/>
  <c r="K258" i="12"/>
  <c r="S124" i="57"/>
  <c r="K323" i="12"/>
  <c r="S299" i="57"/>
  <c r="K488" i="12"/>
  <c r="S147" i="57"/>
  <c r="K226" i="12"/>
  <c r="S311" i="57"/>
  <c r="K500" i="12"/>
  <c r="S117" i="57"/>
  <c r="K316" i="12"/>
  <c r="S101" i="57"/>
  <c r="K305" i="12"/>
  <c r="S85" i="57"/>
  <c r="K215" i="12"/>
  <c r="S273" i="57"/>
  <c r="K462" i="12"/>
  <c r="S181" i="57"/>
  <c r="K370" i="12"/>
  <c r="S247" i="57"/>
  <c r="K436" i="12"/>
  <c r="S174" i="57"/>
  <c r="K363" i="12"/>
  <c r="S80" i="57"/>
  <c r="K289" i="12"/>
  <c r="S195" i="57"/>
  <c r="K384" i="12"/>
  <c r="S294" i="57"/>
  <c r="K483" i="12"/>
  <c r="S177" i="57"/>
  <c r="K366" i="12"/>
  <c r="S287" i="57"/>
  <c r="K476" i="12"/>
  <c r="S243" i="57"/>
  <c r="K432" i="12"/>
  <c r="D209" i="11"/>
  <c r="D422" i="11"/>
  <c r="C208" i="11"/>
  <c r="T243" i="57" l="1"/>
  <c r="L432" i="12"/>
  <c r="T177" i="57"/>
  <c r="L366" i="12"/>
  <c r="T195" i="57"/>
  <c r="L384" i="12"/>
  <c r="T174" i="57"/>
  <c r="L363" i="12"/>
  <c r="T181" i="57"/>
  <c r="L370" i="12"/>
  <c r="T85" i="57"/>
  <c r="L215" i="12"/>
  <c r="T117" i="57"/>
  <c r="L316" i="12"/>
  <c r="T147" i="57"/>
  <c r="L226" i="12"/>
  <c r="T124" i="57"/>
  <c r="L323" i="12"/>
  <c r="T269" i="57"/>
  <c r="L458" i="12"/>
  <c r="T99" i="57"/>
  <c r="L303" i="12"/>
  <c r="T283" i="57"/>
  <c r="L472" i="12"/>
  <c r="T251" i="57"/>
  <c r="L440" i="12"/>
  <c r="T319" i="57"/>
  <c r="L508" i="12"/>
  <c r="T21" i="57"/>
  <c r="L241" i="12"/>
  <c r="T38" i="57"/>
  <c r="L252" i="12"/>
  <c r="T218" i="57"/>
  <c r="L407" i="12"/>
  <c r="T236" i="57"/>
  <c r="L425" i="12"/>
  <c r="T91" i="57"/>
  <c r="L295" i="12"/>
  <c r="T22" i="57"/>
  <c r="L203" i="12"/>
  <c r="T160" i="57"/>
  <c r="L354" i="12"/>
  <c r="T134" i="57"/>
  <c r="L333" i="12"/>
  <c r="T284" i="57"/>
  <c r="L473" i="12"/>
  <c r="T68" i="57"/>
  <c r="L277" i="12"/>
  <c r="T122" i="57"/>
  <c r="L321" i="12"/>
  <c r="T110" i="57"/>
  <c r="L309" i="12"/>
  <c r="T281" i="57"/>
  <c r="L470" i="12"/>
  <c r="T77" i="57"/>
  <c r="L286" i="12"/>
  <c r="T275" i="57"/>
  <c r="L464" i="12"/>
  <c r="T115" i="57"/>
  <c r="L314" i="12"/>
  <c r="T40" i="57"/>
  <c r="L254" i="12"/>
  <c r="T87" i="57"/>
  <c r="L217" i="12"/>
  <c r="T23" i="57"/>
  <c r="L204" i="12"/>
  <c r="T167" i="57"/>
  <c r="L221" i="12"/>
  <c r="T146" i="57"/>
  <c r="L345" i="12"/>
  <c r="T163" i="57"/>
  <c r="L357" i="12"/>
  <c r="T249" i="57"/>
  <c r="L438" i="12"/>
  <c r="T184" i="57"/>
  <c r="L373" i="12"/>
  <c r="T66" i="57"/>
  <c r="L275" i="12"/>
  <c r="T194" i="57"/>
  <c r="L383" i="12"/>
  <c r="T102" i="57"/>
  <c r="L306" i="12"/>
  <c r="T83" i="57"/>
  <c r="L292" i="12"/>
  <c r="T33" i="57"/>
  <c r="L247" i="12"/>
  <c r="T32" i="57"/>
  <c r="L246" i="12"/>
  <c r="T52" i="57"/>
  <c r="L261" i="12"/>
  <c r="T82" i="57"/>
  <c r="L291" i="12"/>
  <c r="T36" i="57"/>
  <c r="L250" i="12"/>
  <c r="T111" i="57"/>
  <c r="L310" i="12"/>
  <c r="T211" i="57"/>
  <c r="L400" i="12"/>
  <c r="T220" i="57"/>
  <c r="L409" i="12"/>
  <c r="T290" i="57"/>
  <c r="L479" i="12"/>
  <c r="T196" i="57"/>
  <c r="L385" i="12"/>
  <c r="T237" i="57"/>
  <c r="L426" i="12"/>
  <c r="T255" i="57"/>
  <c r="L444" i="12"/>
  <c r="T125" i="57"/>
  <c r="L324" i="12"/>
  <c r="T128" i="57"/>
  <c r="L327" i="12"/>
  <c r="T235" i="57"/>
  <c r="L424" i="12"/>
  <c r="T182" i="57"/>
  <c r="L371" i="12"/>
  <c r="T219" i="57"/>
  <c r="L408" i="12"/>
  <c r="T103" i="57"/>
  <c r="L307" i="12"/>
  <c r="T18" i="57"/>
  <c r="L238" i="12"/>
  <c r="T271" i="57"/>
  <c r="L460" i="12"/>
  <c r="T228" i="57"/>
  <c r="L417" i="12"/>
  <c r="T203" i="57"/>
  <c r="L392" i="12"/>
  <c r="T320" i="57"/>
  <c r="L509" i="12"/>
  <c r="T56" i="57"/>
  <c r="L265" i="12"/>
  <c r="T293" i="57"/>
  <c r="L482" i="12"/>
  <c r="T318" i="57"/>
  <c r="L507" i="12"/>
  <c r="T26" i="57"/>
  <c r="L207" i="12"/>
  <c r="T114" i="57"/>
  <c r="L313" i="12"/>
  <c r="T37" i="57"/>
  <c r="L251" i="12"/>
  <c r="T242" i="57"/>
  <c r="L431" i="12"/>
  <c r="T54" i="57"/>
  <c r="L263" i="12"/>
  <c r="T214" i="57"/>
  <c r="L403" i="12"/>
  <c r="T145" i="57"/>
  <c r="L344" i="12"/>
  <c r="T291" i="57"/>
  <c r="L480" i="12"/>
  <c r="T238" i="57"/>
  <c r="L427" i="12"/>
  <c r="T43" i="57"/>
  <c r="L198" i="12"/>
  <c r="T248" i="57"/>
  <c r="L437" i="12"/>
  <c r="T216" i="57"/>
  <c r="L405" i="12"/>
  <c r="T143" i="57"/>
  <c r="L342" i="12"/>
  <c r="T188" i="57"/>
  <c r="L377" i="12"/>
  <c r="T225" i="57"/>
  <c r="L414" i="12"/>
  <c r="T309" i="57"/>
  <c r="L498" i="12"/>
  <c r="T191" i="57"/>
  <c r="L380" i="12"/>
  <c r="T164" i="57"/>
  <c r="L358" i="12"/>
  <c r="T34" i="57"/>
  <c r="L248" i="12"/>
  <c r="T183" i="57"/>
  <c r="L372" i="12"/>
  <c r="T166" i="57"/>
  <c r="L360" i="12"/>
  <c r="T239" i="57"/>
  <c r="L428" i="12"/>
  <c r="T286" i="57"/>
  <c r="L475" i="12"/>
  <c r="T89" i="57"/>
  <c r="L219" i="12"/>
  <c r="T59" i="57"/>
  <c r="L268" i="12"/>
  <c r="T185" i="57"/>
  <c r="L374" i="12"/>
  <c r="T270" i="57"/>
  <c r="L459" i="12"/>
  <c r="T267" i="57"/>
  <c r="L456" i="12"/>
  <c r="T300" i="57"/>
  <c r="L489" i="12"/>
  <c r="T25" i="57"/>
  <c r="L206" i="12"/>
  <c r="T193" i="57"/>
  <c r="L382" i="12"/>
  <c r="T295" i="57"/>
  <c r="L484" i="12"/>
  <c r="T252" i="57"/>
  <c r="L441" i="12"/>
  <c r="T257" i="57"/>
  <c r="L446" i="12"/>
  <c r="T70" i="57"/>
  <c r="L279" i="12"/>
  <c r="T46" i="57"/>
  <c r="L201" i="12"/>
  <c r="T142" i="57"/>
  <c r="L341" i="12"/>
  <c r="T31" i="57"/>
  <c r="L245" i="12"/>
  <c r="T165" i="57"/>
  <c r="L359" i="12"/>
  <c r="T317" i="57"/>
  <c r="L506" i="12"/>
  <c r="T168" i="57"/>
  <c r="L222" i="12"/>
  <c r="T88" i="57"/>
  <c r="L218" i="12"/>
  <c r="T116" i="57"/>
  <c r="L315" i="12"/>
  <c r="T212" i="57"/>
  <c r="L401" i="12"/>
  <c r="T227" i="57"/>
  <c r="L416" i="12"/>
  <c r="T64" i="57"/>
  <c r="L273" i="12"/>
  <c r="T121" i="57"/>
  <c r="L320" i="12"/>
  <c r="T27" i="57"/>
  <c r="L208" i="12"/>
  <c r="T306" i="57"/>
  <c r="L495" i="12"/>
  <c r="T307" i="57"/>
  <c r="L496" i="12"/>
  <c r="T57" i="57"/>
  <c r="L266" i="12"/>
  <c r="T104" i="57"/>
  <c r="L308" i="12"/>
  <c r="T123" i="57"/>
  <c r="L322" i="12"/>
  <c r="T314" i="57"/>
  <c r="L503" i="12"/>
  <c r="T19" i="57"/>
  <c r="L239" i="12"/>
  <c r="T35" i="57"/>
  <c r="L249" i="12"/>
  <c r="T48" i="57"/>
  <c r="L257" i="12"/>
  <c r="T217" i="57"/>
  <c r="L406" i="12"/>
  <c r="T209" i="57"/>
  <c r="L398" i="12"/>
  <c r="T76" i="57"/>
  <c r="L285" i="12"/>
  <c r="T90" i="57"/>
  <c r="L294" i="12"/>
  <c r="T292" i="57"/>
  <c r="L481" i="12"/>
  <c r="T149" i="57"/>
  <c r="L228" i="12"/>
  <c r="T67" i="57"/>
  <c r="L276" i="12"/>
  <c r="T302" i="57"/>
  <c r="L491" i="12"/>
  <c r="T69" i="57"/>
  <c r="L278" i="12"/>
  <c r="T268" i="57"/>
  <c r="L457" i="12"/>
  <c r="T287" i="57"/>
  <c r="L476" i="12"/>
  <c r="T294" i="57"/>
  <c r="L483" i="12"/>
  <c r="T80" i="57"/>
  <c r="L289" i="12"/>
  <c r="T247" i="57"/>
  <c r="L436" i="12"/>
  <c r="T273" i="57"/>
  <c r="L462" i="12"/>
  <c r="T101" i="57"/>
  <c r="L305" i="12"/>
  <c r="T311" i="57"/>
  <c r="L500" i="12"/>
  <c r="T299" i="57"/>
  <c r="L488" i="12"/>
  <c r="T49" i="57"/>
  <c r="L258" i="12"/>
  <c r="T47" i="57"/>
  <c r="L202" i="12"/>
  <c r="T226" i="57"/>
  <c r="L415" i="12"/>
  <c r="T58" i="57"/>
  <c r="L267" i="12"/>
  <c r="T187" i="57"/>
  <c r="L376" i="12"/>
  <c r="T179" i="57"/>
  <c r="L368" i="12"/>
  <c r="T30" i="57"/>
  <c r="L244" i="12"/>
  <c r="T278" i="57"/>
  <c r="L467" i="12"/>
  <c r="T282" i="57"/>
  <c r="L471" i="12"/>
  <c r="T172" i="57"/>
  <c r="L361" i="12"/>
  <c r="T65" i="57"/>
  <c r="L274" i="12"/>
  <c r="T63" i="57"/>
  <c r="L272" i="12"/>
  <c r="T312" i="57"/>
  <c r="L501" i="12"/>
  <c r="T113" i="57"/>
  <c r="L312" i="12"/>
  <c r="T132" i="57"/>
  <c r="L331" i="12"/>
  <c r="T244" i="57"/>
  <c r="L433" i="12"/>
  <c r="T186" i="57"/>
  <c r="L375" i="12"/>
  <c r="T62" i="57"/>
  <c r="L271" i="12"/>
  <c r="T28" i="57"/>
  <c r="L242" i="12"/>
  <c r="T173" i="57"/>
  <c r="L362" i="12"/>
  <c r="T277" i="57"/>
  <c r="L466" i="12"/>
  <c r="T45" i="57"/>
  <c r="L200" i="12"/>
  <c r="T55" i="57"/>
  <c r="L264" i="12"/>
  <c r="T202" i="57"/>
  <c r="L391" i="12"/>
  <c r="T129" i="57"/>
  <c r="L328" i="12"/>
  <c r="T53" i="57"/>
  <c r="L262" i="12"/>
  <c r="T95" i="57"/>
  <c r="L299" i="12"/>
  <c r="T148" i="57"/>
  <c r="L227" i="12"/>
  <c r="T171" i="57"/>
  <c r="L225" i="12"/>
  <c r="T97" i="57"/>
  <c r="L301" i="12"/>
  <c r="T279" i="57"/>
  <c r="L468" i="12"/>
  <c r="T154" i="57"/>
  <c r="L348" i="12"/>
  <c r="T297" i="57"/>
  <c r="L486" i="12"/>
  <c r="T258" i="57"/>
  <c r="L447" i="12"/>
  <c r="T189" i="57"/>
  <c r="L378" i="12"/>
  <c r="T241" i="57"/>
  <c r="L430" i="12"/>
  <c r="T159" i="57"/>
  <c r="L353" i="12"/>
  <c r="T158" i="57"/>
  <c r="L352" i="12"/>
  <c r="T296" i="57"/>
  <c r="L485" i="12"/>
  <c r="T98" i="57"/>
  <c r="L302" i="12"/>
  <c r="T280" i="57"/>
  <c r="L469" i="12"/>
  <c r="T120" i="57"/>
  <c r="L319" i="12"/>
  <c r="T178" i="57"/>
  <c r="L367" i="12"/>
  <c r="T316" i="57"/>
  <c r="L505" i="12"/>
  <c r="T133" i="57"/>
  <c r="L332" i="12"/>
  <c r="T245" i="57"/>
  <c r="L434" i="12"/>
  <c r="T75" i="57"/>
  <c r="L284" i="12"/>
  <c r="T288" i="57"/>
  <c r="L477" i="12"/>
  <c r="T180" i="57"/>
  <c r="L369" i="12"/>
  <c r="T200" i="57"/>
  <c r="L389" i="12"/>
  <c r="T24" i="57"/>
  <c r="L205" i="12"/>
  <c r="T289" i="57"/>
  <c r="L478" i="12"/>
  <c r="T162" i="57"/>
  <c r="L356" i="12"/>
  <c r="T50" i="57"/>
  <c r="L259" i="12"/>
  <c r="T152" i="57"/>
  <c r="L346" i="12"/>
  <c r="T100" i="57"/>
  <c r="L304" i="12"/>
  <c r="T39" i="57"/>
  <c r="L253" i="12"/>
  <c r="T127" i="57"/>
  <c r="L326" i="12"/>
  <c r="T144" i="57"/>
  <c r="L343" i="12"/>
  <c r="T96" i="57"/>
  <c r="L300" i="12"/>
  <c r="T51" i="57"/>
  <c r="L260" i="12"/>
  <c r="T169" i="57"/>
  <c r="L223" i="12"/>
  <c r="T298" i="57"/>
  <c r="L487" i="12"/>
  <c r="T44" i="57"/>
  <c r="L199" i="12"/>
  <c r="T151" i="57"/>
  <c r="L230" i="12"/>
  <c r="T92" i="57"/>
  <c r="L296" i="12"/>
  <c r="T253" i="57"/>
  <c r="L442" i="12"/>
  <c r="T304" i="57"/>
  <c r="L493" i="12"/>
  <c r="T210" i="57"/>
  <c r="L399" i="12"/>
  <c r="T71" i="57"/>
  <c r="L280" i="12"/>
  <c r="T250" i="57"/>
  <c r="L439" i="12"/>
  <c r="T303" i="57"/>
  <c r="L492" i="12"/>
  <c r="T156" i="57"/>
  <c r="L350" i="12"/>
  <c r="T112" i="57"/>
  <c r="L311" i="12"/>
  <c r="T119" i="57"/>
  <c r="L318" i="12"/>
  <c r="T234" i="57"/>
  <c r="L423" i="12"/>
  <c r="T310" i="57"/>
  <c r="L499" i="12"/>
  <c r="T94" i="57"/>
  <c r="L298" i="12"/>
  <c r="T215" i="57"/>
  <c r="L404" i="12"/>
  <c r="T176" i="57"/>
  <c r="L365" i="12"/>
  <c r="T78" i="57"/>
  <c r="L287" i="12"/>
  <c r="T131" i="57"/>
  <c r="L330" i="12"/>
  <c r="T223" i="57"/>
  <c r="L412" i="12"/>
  <c r="T256" i="57"/>
  <c r="L445" i="12"/>
  <c r="T192" i="57"/>
  <c r="L381" i="12"/>
  <c r="T130" i="57"/>
  <c r="L329" i="12"/>
  <c r="T199" i="57"/>
  <c r="L388" i="12"/>
  <c r="T254" i="57"/>
  <c r="L443" i="12"/>
  <c r="T93" i="57"/>
  <c r="L297" i="12"/>
  <c r="T305" i="57"/>
  <c r="L494" i="12"/>
  <c r="T79" i="57"/>
  <c r="L288" i="12"/>
  <c r="T315" i="57"/>
  <c r="L504" i="12"/>
  <c r="T118" i="57"/>
  <c r="L317" i="12"/>
  <c r="T224" i="57"/>
  <c r="L413" i="12"/>
  <c r="T155" i="57"/>
  <c r="L349" i="12"/>
  <c r="T61" i="57"/>
  <c r="L270" i="12"/>
  <c r="T60" i="57"/>
  <c r="L269" i="12"/>
  <c r="T308" i="57"/>
  <c r="L497" i="12"/>
  <c r="T150" i="57"/>
  <c r="L229" i="12"/>
  <c r="T175" i="57"/>
  <c r="L364" i="12"/>
  <c r="T313" i="57"/>
  <c r="L502" i="12"/>
  <c r="T84" i="57"/>
  <c r="L293" i="12"/>
  <c r="T153" i="57"/>
  <c r="L347" i="12"/>
  <c r="T276" i="57"/>
  <c r="L465" i="12"/>
  <c r="T274" i="57"/>
  <c r="L463" i="12"/>
  <c r="T301" i="57"/>
  <c r="L490" i="12"/>
  <c r="T29" i="57"/>
  <c r="L243" i="12"/>
  <c r="T190" i="57"/>
  <c r="L379" i="12"/>
  <c r="T42" i="57"/>
  <c r="L256" i="12"/>
  <c r="T72" i="57"/>
  <c r="L281" i="12"/>
  <c r="T86" i="57"/>
  <c r="L216" i="12"/>
  <c r="T285" i="57"/>
  <c r="L474" i="12"/>
  <c r="T221" i="57"/>
  <c r="L410" i="12"/>
  <c r="T266" i="57"/>
  <c r="L455" i="12"/>
  <c r="T222" i="57"/>
  <c r="L411" i="12"/>
  <c r="T240" i="57"/>
  <c r="L429" i="12"/>
  <c r="T157" i="57"/>
  <c r="L351" i="12"/>
  <c r="T41" i="57"/>
  <c r="L255" i="12"/>
  <c r="T213" i="57"/>
  <c r="L402" i="12"/>
  <c r="T246" i="57"/>
  <c r="L435" i="12"/>
  <c r="T126" i="57"/>
  <c r="L325" i="12"/>
  <c r="T81" i="57"/>
  <c r="L290" i="12"/>
  <c r="T161" i="57"/>
  <c r="L355" i="12"/>
  <c r="T201" i="57"/>
  <c r="L390" i="12"/>
  <c r="T272" i="57"/>
  <c r="L461" i="12"/>
  <c r="T170" i="57"/>
  <c r="L224" i="12"/>
  <c r="T20" i="57"/>
  <c r="L240" i="12"/>
  <c r="D210" i="11"/>
  <c r="C423" i="11"/>
  <c r="C422" i="11"/>
  <c r="C209" i="11"/>
  <c r="D423" i="11"/>
  <c r="U20" i="57" l="1"/>
  <c r="M240" i="12"/>
  <c r="U272" i="57"/>
  <c r="M461" i="12"/>
  <c r="U161" i="57"/>
  <c r="M355" i="12"/>
  <c r="U126" i="57"/>
  <c r="M325" i="12"/>
  <c r="U213" i="57"/>
  <c r="M402" i="12"/>
  <c r="U157" i="57"/>
  <c r="M351" i="12"/>
  <c r="U222" i="57"/>
  <c r="M411" i="12"/>
  <c r="U221" i="57"/>
  <c r="M410" i="12"/>
  <c r="U86" i="57"/>
  <c r="M216" i="12"/>
  <c r="U42" i="57"/>
  <c r="M256" i="12"/>
  <c r="U29" i="57"/>
  <c r="M243" i="12"/>
  <c r="U274" i="57"/>
  <c r="M463" i="12"/>
  <c r="U153" i="57"/>
  <c r="M347" i="12"/>
  <c r="U313" i="57"/>
  <c r="M502" i="12"/>
  <c r="U150" i="57"/>
  <c r="M229" i="12"/>
  <c r="U60" i="57"/>
  <c r="M269" i="12"/>
  <c r="U155" i="57"/>
  <c r="M349" i="12"/>
  <c r="U118" i="57"/>
  <c r="M317" i="12"/>
  <c r="U79" i="57"/>
  <c r="M288" i="12"/>
  <c r="U93" i="57"/>
  <c r="M297" i="12"/>
  <c r="U199" i="57"/>
  <c r="M388" i="12"/>
  <c r="U192" i="57"/>
  <c r="M381" i="12"/>
  <c r="U223" i="57"/>
  <c r="M412" i="12"/>
  <c r="U78" i="57"/>
  <c r="M287" i="12"/>
  <c r="U215" i="57"/>
  <c r="M404" i="12"/>
  <c r="U310" i="57"/>
  <c r="M499" i="12"/>
  <c r="U119" i="57"/>
  <c r="M318" i="12"/>
  <c r="U156" i="57"/>
  <c r="M350" i="12"/>
  <c r="U250" i="57"/>
  <c r="M439" i="12"/>
  <c r="U210" i="57"/>
  <c r="M399" i="12"/>
  <c r="U253" i="57"/>
  <c r="M442" i="12"/>
  <c r="U151" i="57"/>
  <c r="M230" i="12"/>
  <c r="U298" i="57"/>
  <c r="M487" i="12"/>
  <c r="U51" i="57"/>
  <c r="M260" i="12"/>
  <c r="U144" i="57"/>
  <c r="M343" i="12"/>
  <c r="U39" i="57"/>
  <c r="M253" i="12"/>
  <c r="U152" i="57"/>
  <c r="M346" i="12"/>
  <c r="U162" i="57"/>
  <c r="M356" i="12"/>
  <c r="U24" i="57"/>
  <c r="M205" i="12"/>
  <c r="U180" i="57"/>
  <c r="M369" i="12"/>
  <c r="U75" i="57"/>
  <c r="M284" i="12"/>
  <c r="U133" i="57"/>
  <c r="M332" i="12"/>
  <c r="U178" i="57"/>
  <c r="M367" i="12"/>
  <c r="U280" i="57"/>
  <c r="M469" i="12"/>
  <c r="U296" i="57"/>
  <c r="M485" i="12"/>
  <c r="U159" i="57"/>
  <c r="M353" i="12"/>
  <c r="U189" i="57"/>
  <c r="M378" i="12"/>
  <c r="U297" i="57"/>
  <c r="M486" i="12"/>
  <c r="U279" i="57"/>
  <c r="M468" i="12"/>
  <c r="U171" i="57"/>
  <c r="M225" i="12"/>
  <c r="U95" i="57"/>
  <c r="M299" i="12"/>
  <c r="U129" i="57"/>
  <c r="M328" i="12"/>
  <c r="U55" i="57"/>
  <c r="M264" i="12"/>
  <c r="U277" i="57"/>
  <c r="M466" i="12"/>
  <c r="U28" i="57"/>
  <c r="M242" i="12"/>
  <c r="U186" i="57"/>
  <c r="M375" i="12"/>
  <c r="U132" i="57"/>
  <c r="M331" i="12"/>
  <c r="U312" i="57"/>
  <c r="M501" i="12"/>
  <c r="U65" i="57"/>
  <c r="M274" i="12"/>
  <c r="U282" i="57"/>
  <c r="M471" i="12"/>
  <c r="U30" i="57"/>
  <c r="M244" i="12"/>
  <c r="U187" i="57"/>
  <c r="M376" i="12"/>
  <c r="U226" i="57"/>
  <c r="M415" i="12"/>
  <c r="U49" i="57"/>
  <c r="M258" i="12"/>
  <c r="U311" i="57"/>
  <c r="M500" i="12"/>
  <c r="U273" i="57"/>
  <c r="M462" i="12"/>
  <c r="U80" i="57"/>
  <c r="M289" i="12"/>
  <c r="U287" i="57"/>
  <c r="M476" i="12"/>
  <c r="U69" i="57"/>
  <c r="M278" i="12"/>
  <c r="U67" i="57"/>
  <c r="M276" i="12"/>
  <c r="U292" i="57"/>
  <c r="M481" i="12"/>
  <c r="U76" i="57"/>
  <c r="M285" i="12"/>
  <c r="U217" i="57"/>
  <c r="M406" i="12"/>
  <c r="U35" i="57"/>
  <c r="M249" i="12"/>
  <c r="U314" i="57"/>
  <c r="M503" i="12"/>
  <c r="U104" i="57"/>
  <c r="M308" i="12"/>
  <c r="U307" i="57"/>
  <c r="M496" i="12"/>
  <c r="U27" i="57"/>
  <c r="M208" i="12"/>
  <c r="U64" i="57"/>
  <c r="M273" i="12"/>
  <c r="U212" i="57"/>
  <c r="M401" i="12"/>
  <c r="U88" i="57"/>
  <c r="M218" i="12"/>
  <c r="U317" i="57"/>
  <c r="M506" i="12"/>
  <c r="U31" i="57"/>
  <c r="M245" i="12"/>
  <c r="U46" i="57"/>
  <c r="M201" i="12"/>
  <c r="U257" i="57"/>
  <c r="M446" i="12"/>
  <c r="U295" i="57"/>
  <c r="M484" i="12"/>
  <c r="U25" i="57"/>
  <c r="M206" i="12"/>
  <c r="U267" i="57"/>
  <c r="M456" i="12"/>
  <c r="U185" i="57"/>
  <c r="M374" i="12"/>
  <c r="U89" i="57"/>
  <c r="M219" i="12"/>
  <c r="U239" i="57"/>
  <c r="M428" i="12"/>
  <c r="U183" i="57"/>
  <c r="M372" i="12"/>
  <c r="U164" i="57"/>
  <c r="M358" i="12"/>
  <c r="U309" i="57"/>
  <c r="M498" i="12"/>
  <c r="U188" i="57"/>
  <c r="M377" i="12"/>
  <c r="U216" i="57"/>
  <c r="M405" i="12"/>
  <c r="U43" i="57"/>
  <c r="M198" i="12"/>
  <c r="U291" i="57"/>
  <c r="M480" i="12"/>
  <c r="U214" i="57"/>
  <c r="M403" i="12"/>
  <c r="U242" i="57"/>
  <c r="M431" i="12"/>
  <c r="U114" i="57"/>
  <c r="M313" i="12"/>
  <c r="U318" i="57"/>
  <c r="M507" i="12"/>
  <c r="U56" i="57"/>
  <c r="M265" i="12"/>
  <c r="U203" i="57"/>
  <c r="M392" i="12"/>
  <c r="U271" i="57"/>
  <c r="M460" i="12"/>
  <c r="U103" i="57"/>
  <c r="M307" i="12"/>
  <c r="U182" i="57"/>
  <c r="M371" i="12"/>
  <c r="U128" i="57"/>
  <c r="M327" i="12"/>
  <c r="U255" i="57"/>
  <c r="M444" i="12"/>
  <c r="U196" i="57"/>
  <c r="M385" i="12"/>
  <c r="U220" i="57"/>
  <c r="M409" i="12"/>
  <c r="U111" i="57"/>
  <c r="M310" i="12"/>
  <c r="U82" i="57"/>
  <c r="M291" i="12"/>
  <c r="U32" i="57"/>
  <c r="M246" i="12"/>
  <c r="U83" i="57"/>
  <c r="M292" i="12"/>
  <c r="U194" i="57"/>
  <c r="M383" i="12"/>
  <c r="U184" i="57"/>
  <c r="M373" i="12"/>
  <c r="U163" i="57"/>
  <c r="M357" i="12"/>
  <c r="U167" i="57"/>
  <c r="M221" i="12"/>
  <c r="U87" i="57"/>
  <c r="M217" i="12"/>
  <c r="U115" i="57"/>
  <c r="M314" i="12"/>
  <c r="U77" i="57"/>
  <c r="M286" i="12"/>
  <c r="U110" i="57"/>
  <c r="M309" i="12"/>
  <c r="U68" i="57"/>
  <c r="M277" i="12"/>
  <c r="U134" i="57"/>
  <c r="M333" i="12"/>
  <c r="U22" i="57"/>
  <c r="M203" i="12"/>
  <c r="U236" i="57"/>
  <c r="M425" i="12"/>
  <c r="U38" i="57"/>
  <c r="M252" i="12"/>
  <c r="U319" i="57"/>
  <c r="M508" i="12"/>
  <c r="U283" i="57"/>
  <c r="M472" i="12"/>
  <c r="U269" i="57"/>
  <c r="M458" i="12"/>
  <c r="U147" i="57"/>
  <c r="M226" i="12"/>
  <c r="U85" i="57"/>
  <c r="M215" i="12"/>
  <c r="U174" i="57"/>
  <c r="M363" i="12"/>
  <c r="U177" i="57"/>
  <c r="M366" i="12"/>
  <c r="U170" i="57"/>
  <c r="M224" i="12"/>
  <c r="U201" i="57"/>
  <c r="M390" i="12"/>
  <c r="U81" i="57"/>
  <c r="M290" i="12"/>
  <c r="U246" i="57"/>
  <c r="M435" i="12"/>
  <c r="U41" i="57"/>
  <c r="M255" i="12"/>
  <c r="U240" i="57"/>
  <c r="M429" i="12"/>
  <c r="U266" i="57"/>
  <c r="M455" i="12"/>
  <c r="U285" i="57"/>
  <c r="M474" i="12"/>
  <c r="U72" i="57"/>
  <c r="M281" i="12"/>
  <c r="U190" i="57"/>
  <c r="M379" i="12"/>
  <c r="U301" i="57"/>
  <c r="M490" i="12"/>
  <c r="U276" i="57"/>
  <c r="M465" i="12"/>
  <c r="U84" i="57"/>
  <c r="M293" i="12"/>
  <c r="U175" i="57"/>
  <c r="M364" i="12"/>
  <c r="U308" i="57"/>
  <c r="M497" i="12"/>
  <c r="U61" i="57"/>
  <c r="M270" i="12"/>
  <c r="U224" i="57"/>
  <c r="M413" i="12"/>
  <c r="U315" i="57"/>
  <c r="M504" i="12"/>
  <c r="U305" i="57"/>
  <c r="M494" i="12"/>
  <c r="U254" i="57"/>
  <c r="M443" i="12"/>
  <c r="U130" i="57"/>
  <c r="M329" i="12"/>
  <c r="U256" i="57"/>
  <c r="M445" i="12"/>
  <c r="U131" i="57"/>
  <c r="M330" i="12"/>
  <c r="U176" i="57"/>
  <c r="M365" i="12"/>
  <c r="U94" i="57"/>
  <c r="M298" i="12"/>
  <c r="U234" i="57"/>
  <c r="M423" i="12"/>
  <c r="U112" i="57"/>
  <c r="M311" i="12"/>
  <c r="U303" i="57"/>
  <c r="M492" i="12"/>
  <c r="U71" i="57"/>
  <c r="M280" i="12"/>
  <c r="U304" i="57"/>
  <c r="M493" i="12"/>
  <c r="U92" i="57"/>
  <c r="M296" i="12"/>
  <c r="U44" i="57"/>
  <c r="M199" i="12"/>
  <c r="U169" i="57"/>
  <c r="M223" i="12"/>
  <c r="U96" i="57"/>
  <c r="M300" i="12"/>
  <c r="U127" i="57"/>
  <c r="M326" i="12"/>
  <c r="U100" i="57"/>
  <c r="M304" i="12"/>
  <c r="U50" i="57"/>
  <c r="M259" i="12"/>
  <c r="U289" i="57"/>
  <c r="M478" i="12"/>
  <c r="U200" i="57"/>
  <c r="M389" i="12"/>
  <c r="U288" i="57"/>
  <c r="M477" i="12"/>
  <c r="U245" i="57"/>
  <c r="M434" i="12"/>
  <c r="U316" i="57"/>
  <c r="M505" i="12"/>
  <c r="U120" i="57"/>
  <c r="M319" i="12"/>
  <c r="U98" i="57"/>
  <c r="M302" i="12"/>
  <c r="U158" i="57"/>
  <c r="M352" i="12"/>
  <c r="U241" i="57"/>
  <c r="M430" i="12"/>
  <c r="U258" i="57"/>
  <c r="M447" i="12"/>
  <c r="U154" i="57"/>
  <c r="M348" i="12"/>
  <c r="U97" i="57"/>
  <c r="M301" i="12"/>
  <c r="U148" i="57"/>
  <c r="M227" i="12"/>
  <c r="U53" i="57"/>
  <c r="M262" i="12"/>
  <c r="U202" i="57"/>
  <c r="M391" i="12"/>
  <c r="U45" i="57"/>
  <c r="M200" i="12"/>
  <c r="U173" i="57"/>
  <c r="M362" i="12"/>
  <c r="U62" i="57"/>
  <c r="M271" i="12"/>
  <c r="U244" i="57"/>
  <c r="M433" i="12"/>
  <c r="U113" i="57"/>
  <c r="M312" i="12"/>
  <c r="U63" i="57"/>
  <c r="M272" i="12"/>
  <c r="U172" i="57"/>
  <c r="M361" i="12"/>
  <c r="U278" i="57"/>
  <c r="M467" i="12"/>
  <c r="U179" i="57"/>
  <c r="M368" i="12"/>
  <c r="U58" i="57"/>
  <c r="M267" i="12"/>
  <c r="U47" i="57"/>
  <c r="M202" i="12"/>
  <c r="U299" i="57"/>
  <c r="M488" i="12"/>
  <c r="U101" i="57"/>
  <c r="M305" i="12"/>
  <c r="U247" i="57"/>
  <c r="M436" i="12"/>
  <c r="U294" i="57"/>
  <c r="M483" i="12"/>
  <c r="U268" i="57"/>
  <c r="M457" i="12"/>
  <c r="U302" i="57"/>
  <c r="M491" i="12"/>
  <c r="U149" i="57"/>
  <c r="M228" i="12"/>
  <c r="U90" i="57"/>
  <c r="M294" i="12"/>
  <c r="U209" i="57"/>
  <c r="M398" i="12"/>
  <c r="U48" i="57"/>
  <c r="M257" i="12"/>
  <c r="U19" i="57"/>
  <c r="M239" i="12"/>
  <c r="U123" i="57"/>
  <c r="M322" i="12"/>
  <c r="U57" i="57"/>
  <c r="M266" i="12"/>
  <c r="U306" i="57"/>
  <c r="M495" i="12"/>
  <c r="U121" i="57"/>
  <c r="M320" i="12"/>
  <c r="U227" i="57"/>
  <c r="M416" i="12"/>
  <c r="U116" i="57"/>
  <c r="M315" i="12"/>
  <c r="U168" i="57"/>
  <c r="M222" i="12"/>
  <c r="U165" i="57"/>
  <c r="M359" i="12"/>
  <c r="U142" i="57"/>
  <c r="M341" i="12"/>
  <c r="U70" i="57"/>
  <c r="M279" i="12"/>
  <c r="U252" i="57"/>
  <c r="M441" i="12"/>
  <c r="U193" i="57"/>
  <c r="M382" i="12"/>
  <c r="U300" i="57"/>
  <c r="M489" i="12"/>
  <c r="U270" i="57"/>
  <c r="M459" i="12"/>
  <c r="U59" i="57"/>
  <c r="M268" i="12"/>
  <c r="U286" i="57"/>
  <c r="M475" i="12"/>
  <c r="U166" i="57"/>
  <c r="M360" i="12"/>
  <c r="U34" i="57"/>
  <c r="M248" i="12"/>
  <c r="U191" i="57"/>
  <c r="M380" i="12"/>
  <c r="U225" i="57"/>
  <c r="M414" i="12"/>
  <c r="U143" i="57"/>
  <c r="M342" i="12"/>
  <c r="U248" i="57"/>
  <c r="M437" i="12"/>
  <c r="U238" i="57"/>
  <c r="M427" i="12"/>
  <c r="U145" i="57"/>
  <c r="M344" i="12"/>
  <c r="U54" i="57"/>
  <c r="M263" i="12"/>
  <c r="U37" i="57"/>
  <c r="M251" i="12"/>
  <c r="U26" i="57"/>
  <c r="M207" i="12"/>
  <c r="U293" i="57"/>
  <c r="M482" i="12"/>
  <c r="U320" i="57"/>
  <c r="M509" i="12"/>
  <c r="U228" i="57"/>
  <c r="M417" i="12"/>
  <c r="U18" i="57"/>
  <c r="M238" i="12"/>
  <c r="U219" i="57"/>
  <c r="M408" i="12"/>
  <c r="U235" i="57"/>
  <c r="M424" i="12"/>
  <c r="U125" i="57"/>
  <c r="M324" i="12"/>
  <c r="U237" i="57"/>
  <c r="M426" i="12"/>
  <c r="U290" i="57"/>
  <c r="M479" i="12"/>
  <c r="U211" i="57"/>
  <c r="M400" i="12"/>
  <c r="U36" i="57"/>
  <c r="M250" i="12"/>
  <c r="U52" i="57"/>
  <c r="M261" i="12"/>
  <c r="U33" i="57"/>
  <c r="M247" i="12"/>
  <c r="U102" i="57"/>
  <c r="M306" i="12"/>
  <c r="U66" i="57"/>
  <c r="M275" i="12"/>
  <c r="U249" i="57"/>
  <c r="M438" i="12"/>
  <c r="U146" i="57"/>
  <c r="M345" i="12"/>
  <c r="U23" i="57"/>
  <c r="M204" i="12"/>
  <c r="U40" i="57"/>
  <c r="M254" i="12"/>
  <c r="U275" i="57"/>
  <c r="M464" i="12"/>
  <c r="U281" i="57"/>
  <c r="M470" i="12"/>
  <c r="U122" i="57"/>
  <c r="M321" i="12"/>
  <c r="U284" i="57"/>
  <c r="M473" i="12"/>
  <c r="U160" i="57"/>
  <c r="M354" i="12"/>
  <c r="U91" i="57"/>
  <c r="M295" i="12"/>
  <c r="U218" i="57"/>
  <c r="M407" i="12"/>
  <c r="U21" i="57"/>
  <c r="M241" i="12"/>
  <c r="U251" i="57"/>
  <c r="M440" i="12"/>
  <c r="U99" i="57"/>
  <c r="M303" i="12"/>
  <c r="U124" i="57"/>
  <c r="M323" i="12"/>
  <c r="U117" i="57"/>
  <c r="M316" i="12"/>
  <c r="U181" i="57"/>
  <c r="M370" i="12"/>
  <c r="U195" i="57"/>
  <c r="M384" i="12"/>
  <c r="U243" i="57"/>
  <c r="M432" i="12"/>
  <c r="C210" i="11"/>
  <c r="D424" i="11"/>
  <c r="D437" i="11"/>
  <c r="C424" i="11"/>
  <c r="V243" i="57" l="1"/>
  <c r="O432" i="12" s="1"/>
  <c r="N432" i="12"/>
  <c r="V181" i="57"/>
  <c r="O370" i="12" s="1"/>
  <c r="N370" i="12"/>
  <c r="V124" i="57"/>
  <c r="O323" i="12" s="1"/>
  <c r="N323" i="12"/>
  <c r="V251" i="57"/>
  <c r="O440" i="12" s="1"/>
  <c r="N440" i="12"/>
  <c r="V218" i="57"/>
  <c r="O407" i="12" s="1"/>
  <c r="N407" i="12"/>
  <c r="V160" i="57"/>
  <c r="O354" i="12" s="1"/>
  <c r="N354" i="12"/>
  <c r="V122" i="57"/>
  <c r="O321" i="12" s="1"/>
  <c r="N321" i="12"/>
  <c r="V275" i="57"/>
  <c r="O464" i="12" s="1"/>
  <c r="N464" i="12"/>
  <c r="V23" i="57"/>
  <c r="O204" i="12" s="1"/>
  <c r="N204" i="12"/>
  <c r="V249" i="57"/>
  <c r="O438" i="12" s="1"/>
  <c r="N438" i="12"/>
  <c r="V102" i="57"/>
  <c r="O306" i="12" s="1"/>
  <c r="N306" i="12"/>
  <c r="V52" i="57"/>
  <c r="O261" i="12" s="1"/>
  <c r="N261" i="12"/>
  <c r="V211" i="57"/>
  <c r="O400" i="12" s="1"/>
  <c r="N400" i="12"/>
  <c r="V237" i="57"/>
  <c r="O426" i="12" s="1"/>
  <c r="N426" i="12"/>
  <c r="V235" i="57"/>
  <c r="O424" i="12" s="1"/>
  <c r="N424" i="12"/>
  <c r="V18" i="57"/>
  <c r="O238" i="12" s="1"/>
  <c r="N238" i="12"/>
  <c r="V320" i="57"/>
  <c r="O509" i="12" s="1"/>
  <c r="N509" i="12"/>
  <c r="V26" i="57"/>
  <c r="O207" i="12" s="1"/>
  <c r="N207" i="12"/>
  <c r="V54" i="57"/>
  <c r="O263" i="12" s="1"/>
  <c r="N263" i="12"/>
  <c r="V238" i="57"/>
  <c r="O427" i="12" s="1"/>
  <c r="N427" i="12"/>
  <c r="V143" i="57"/>
  <c r="O342" i="12" s="1"/>
  <c r="N342" i="12"/>
  <c r="V191" i="57"/>
  <c r="O380" i="12" s="1"/>
  <c r="N380" i="12"/>
  <c r="V166" i="57"/>
  <c r="O360" i="12" s="1"/>
  <c r="N360" i="12"/>
  <c r="V59" i="57"/>
  <c r="O268" i="12" s="1"/>
  <c r="N268" i="12"/>
  <c r="V300" i="57"/>
  <c r="O489" i="12" s="1"/>
  <c r="N489" i="12"/>
  <c r="V252" i="57"/>
  <c r="O441" i="12" s="1"/>
  <c r="N441" i="12"/>
  <c r="V142" i="57"/>
  <c r="O341" i="12" s="1"/>
  <c r="N341" i="12"/>
  <c r="V168" i="57"/>
  <c r="O222" i="12" s="1"/>
  <c r="N222" i="12"/>
  <c r="V227" i="57"/>
  <c r="O416" i="12" s="1"/>
  <c r="N416" i="12"/>
  <c r="V306" i="57"/>
  <c r="O495" i="12" s="1"/>
  <c r="N495" i="12"/>
  <c r="V123" i="57"/>
  <c r="O322" i="12" s="1"/>
  <c r="N322" i="12"/>
  <c r="V48" i="57"/>
  <c r="O257" i="12" s="1"/>
  <c r="N257" i="12"/>
  <c r="V90" i="57"/>
  <c r="O294" i="12" s="1"/>
  <c r="N294" i="12"/>
  <c r="V302" i="57"/>
  <c r="O491" i="12" s="1"/>
  <c r="N491" i="12"/>
  <c r="V294" i="57"/>
  <c r="O483" i="12" s="1"/>
  <c r="N483" i="12"/>
  <c r="V101" i="57"/>
  <c r="O305" i="12" s="1"/>
  <c r="N305" i="12"/>
  <c r="V47" i="57"/>
  <c r="O202" i="12" s="1"/>
  <c r="N202" i="12"/>
  <c r="V179" i="57"/>
  <c r="O368" i="12" s="1"/>
  <c r="N368" i="12"/>
  <c r="V172" i="57"/>
  <c r="O361" i="12" s="1"/>
  <c r="N361" i="12"/>
  <c r="V113" i="57"/>
  <c r="O312" i="12" s="1"/>
  <c r="N312" i="12"/>
  <c r="V62" i="57"/>
  <c r="O271" i="12" s="1"/>
  <c r="N271" i="12"/>
  <c r="V45" i="57"/>
  <c r="O200" i="12" s="1"/>
  <c r="N200" i="12"/>
  <c r="V53" i="57"/>
  <c r="O262" i="12" s="1"/>
  <c r="N262" i="12"/>
  <c r="V97" i="57"/>
  <c r="O301" i="12" s="1"/>
  <c r="N301" i="12"/>
  <c r="V258" i="57"/>
  <c r="O447" i="12" s="1"/>
  <c r="N447" i="12"/>
  <c r="V158" i="57"/>
  <c r="O352" i="12" s="1"/>
  <c r="N352" i="12"/>
  <c r="V120" i="57"/>
  <c r="O319" i="12" s="1"/>
  <c r="N319" i="12"/>
  <c r="V245" i="57"/>
  <c r="O434" i="12" s="1"/>
  <c r="N434" i="12"/>
  <c r="V200" i="57"/>
  <c r="O389" i="12" s="1"/>
  <c r="N389" i="12"/>
  <c r="V50" i="57"/>
  <c r="O259" i="12" s="1"/>
  <c r="N259" i="12"/>
  <c r="V127" i="57"/>
  <c r="O326" i="12" s="1"/>
  <c r="N326" i="12"/>
  <c r="V169" i="57"/>
  <c r="O223" i="12" s="1"/>
  <c r="N223" i="12"/>
  <c r="V92" i="57"/>
  <c r="O296" i="12" s="1"/>
  <c r="N296" i="12"/>
  <c r="V71" i="57"/>
  <c r="O280" i="12" s="1"/>
  <c r="N280" i="12"/>
  <c r="V112" i="57"/>
  <c r="O311" i="12" s="1"/>
  <c r="N311" i="12"/>
  <c r="V94" i="57"/>
  <c r="O298" i="12" s="1"/>
  <c r="N298" i="12"/>
  <c r="V131" i="57"/>
  <c r="O330" i="12" s="1"/>
  <c r="N330" i="12"/>
  <c r="V130" i="57"/>
  <c r="O329" i="12" s="1"/>
  <c r="N329" i="12"/>
  <c r="V305" i="57"/>
  <c r="O494" i="12" s="1"/>
  <c r="N494" i="12"/>
  <c r="V224" i="57"/>
  <c r="O413" i="12" s="1"/>
  <c r="N413" i="12"/>
  <c r="V308" i="57"/>
  <c r="O497" i="12" s="1"/>
  <c r="N497" i="12"/>
  <c r="V84" i="57"/>
  <c r="O293" i="12" s="1"/>
  <c r="N293" i="12"/>
  <c r="V301" i="57"/>
  <c r="O490" i="12" s="1"/>
  <c r="N490" i="12"/>
  <c r="V72" i="57"/>
  <c r="O281" i="12" s="1"/>
  <c r="N281" i="12"/>
  <c r="V266" i="57"/>
  <c r="O455" i="12" s="1"/>
  <c r="N455" i="12"/>
  <c r="V41" i="57"/>
  <c r="O255" i="12" s="1"/>
  <c r="N255" i="12"/>
  <c r="V81" i="57"/>
  <c r="O290" i="12" s="1"/>
  <c r="N290" i="12"/>
  <c r="V170" i="57"/>
  <c r="O224" i="12" s="1"/>
  <c r="N224" i="12"/>
  <c r="V174" i="57"/>
  <c r="O363" i="12" s="1"/>
  <c r="N363" i="12"/>
  <c r="V147" i="57"/>
  <c r="O226" i="12" s="1"/>
  <c r="N226" i="12"/>
  <c r="V283" i="57"/>
  <c r="O472" i="12" s="1"/>
  <c r="N472" i="12"/>
  <c r="V38" i="57"/>
  <c r="O252" i="12" s="1"/>
  <c r="N252" i="12"/>
  <c r="V22" i="57"/>
  <c r="O203" i="12" s="1"/>
  <c r="N203" i="12"/>
  <c r="V68" i="57"/>
  <c r="O277" i="12" s="1"/>
  <c r="N277" i="12"/>
  <c r="V77" i="57"/>
  <c r="O286" i="12" s="1"/>
  <c r="N286" i="12"/>
  <c r="V87" i="57"/>
  <c r="O217" i="12" s="1"/>
  <c r="N217" i="12"/>
  <c r="V163" i="57"/>
  <c r="O357" i="12" s="1"/>
  <c r="N357" i="12"/>
  <c r="V194" i="57"/>
  <c r="O383" i="12" s="1"/>
  <c r="N383" i="12"/>
  <c r="V32" i="57"/>
  <c r="O246" i="12" s="1"/>
  <c r="N246" i="12"/>
  <c r="V111" i="57"/>
  <c r="O310" i="12" s="1"/>
  <c r="N310" i="12"/>
  <c r="V196" i="57"/>
  <c r="O385" i="12" s="1"/>
  <c r="N385" i="12"/>
  <c r="V128" i="57"/>
  <c r="O327" i="12" s="1"/>
  <c r="N327" i="12"/>
  <c r="V103" i="57"/>
  <c r="O307" i="12" s="1"/>
  <c r="N307" i="12"/>
  <c r="V203" i="57"/>
  <c r="O392" i="12" s="1"/>
  <c r="N392" i="12"/>
  <c r="V318" i="57"/>
  <c r="O507" i="12" s="1"/>
  <c r="N507" i="12"/>
  <c r="V242" i="57"/>
  <c r="O431" i="12" s="1"/>
  <c r="N431" i="12"/>
  <c r="V291" i="57"/>
  <c r="O480" i="12" s="1"/>
  <c r="N480" i="12"/>
  <c r="V216" i="57"/>
  <c r="O405" i="12" s="1"/>
  <c r="N405" i="12"/>
  <c r="V309" i="57"/>
  <c r="O498" i="12" s="1"/>
  <c r="N498" i="12"/>
  <c r="V183" i="57"/>
  <c r="O372" i="12" s="1"/>
  <c r="N372" i="12"/>
  <c r="V89" i="57"/>
  <c r="O219" i="12" s="1"/>
  <c r="N219" i="12"/>
  <c r="V267" i="57"/>
  <c r="O456" i="12" s="1"/>
  <c r="N456" i="12"/>
  <c r="V295" i="57"/>
  <c r="O484" i="12" s="1"/>
  <c r="N484" i="12"/>
  <c r="V46" i="57"/>
  <c r="O201" i="12" s="1"/>
  <c r="N201" i="12"/>
  <c r="V317" i="57"/>
  <c r="O506" i="12" s="1"/>
  <c r="N506" i="12"/>
  <c r="V212" i="57"/>
  <c r="O401" i="12" s="1"/>
  <c r="N401" i="12"/>
  <c r="V27" i="57"/>
  <c r="O208" i="12" s="1"/>
  <c r="N208" i="12"/>
  <c r="V104" i="57"/>
  <c r="O308" i="12" s="1"/>
  <c r="N308" i="12"/>
  <c r="V35" i="57"/>
  <c r="O249" i="12" s="1"/>
  <c r="N249" i="12"/>
  <c r="V76" i="57"/>
  <c r="O285" i="12" s="1"/>
  <c r="N285" i="12"/>
  <c r="V67" i="57"/>
  <c r="O276" i="12" s="1"/>
  <c r="N276" i="12"/>
  <c r="V287" i="57"/>
  <c r="O476" i="12" s="1"/>
  <c r="N476" i="12"/>
  <c r="V273" i="57"/>
  <c r="O462" i="12" s="1"/>
  <c r="N462" i="12"/>
  <c r="V49" i="57"/>
  <c r="O258" i="12" s="1"/>
  <c r="N258" i="12"/>
  <c r="V187" i="57"/>
  <c r="O376" i="12" s="1"/>
  <c r="N376" i="12"/>
  <c r="V282" i="57"/>
  <c r="O471" i="12" s="1"/>
  <c r="N471" i="12"/>
  <c r="V312" i="57"/>
  <c r="O501" i="12" s="1"/>
  <c r="N501" i="12"/>
  <c r="V186" i="57"/>
  <c r="O375" i="12" s="1"/>
  <c r="N375" i="12"/>
  <c r="V277" i="57"/>
  <c r="O466" i="12" s="1"/>
  <c r="N466" i="12"/>
  <c r="V129" i="57"/>
  <c r="O328" i="12" s="1"/>
  <c r="N328" i="12"/>
  <c r="V171" i="57"/>
  <c r="O225" i="12" s="1"/>
  <c r="N225" i="12"/>
  <c r="V297" i="57"/>
  <c r="O486" i="12" s="1"/>
  <c r="N486" i="12"/>
  <c r="V159" i="57"/>
  <c r="O353" i="12" s="1"/>
  <c r="N353" i="12"/>
  <c r="V280" i="57"/>
  <c r="O469" i="12" s="1"/>
  <c r="N469" i="12"/>
  <c r="V133" i="57"/>
  <c r="O332" i="12" s="1"/>
  <c r="N332" i="12"/>
  <c r="V180" i="57"/>
  <c r="O369" i="12" s="1"/>
  <c r="N369" i="12"/>
  <c r="V162" i="57"/>
  <c r="O356" i="12" s="1"/>
  <c r="N356" i="12"/>
  <c r="V39" i="57"/>
  <c r="O253" i="12" s="1"/>
  <c r="N253" i="12"/>
  <c r="V51" i="57"/>
  <c r="O260" i="12" s="1"/>
  <c r="N260" i="12"/>
  <c r="V151" i="57"/>
  <c r="O230" i="12" s="1"/>
  <c r="N230" i="12"/>
  <c r="V210" i="57"/>
  <c r="O399" i="12" s="1"/>
  <c r="N399" i="12"/>
  <c r="V156" i="57"/>
  <c r="O350" i="12" s="1"/>
  <c r="N350" i="12"/>
  <c r="V310" i="57"/>
  <c r="O499" i="12" s="1"/>
  <c r="N499" i="12"/>
  <c r="V78" i="57"/>
  <c r="O287" i="12" s="1"/>
  <c r="N287" i="12"/>
  <c r="V192" i="57"/>
  <c r="O381" i="12" s="1"/>
  <c r="N381" i="12"/>
  <c r="V93" i="57"/>
  <c r="O297" i="12" s="1"/>
  <c r="N297" i="12"/>
  <c r="V118" i="57"/>
  <c r="O317" i="12" s="1"/>
  <c r="N317" i="12"/>
  <c r="V60" i="57"/>
  <c r="O269" i="12" s="1"/>
  <c r="N269" i="12"/>
  <c r="V313" i="57"/>
  <c r="O502" i="12" s="1"/>
  <c r="N502" i="12"/>
  <c r="V274" i="57"/>
  <c r="O463" i="12" s="1"/>
  <c r="N463" i="12"/>
  <c r="V42" i="57"/>
  <c r="O256" i="12" s="1"/>
  <c r="N256" i="12"/>
  <c r="V221" i="57"/>
  <c r="O410" i="12" s="1"/>
  <c r="N410" i="12"/>
  <c r="V157" i="57"/>
  <c r="O351" i="12" s="1"/>
  <c r="N351" i="12"/>
  <c r="V126" i="57"/>
  <c r="O325" i="12" s="1"/>
  <c r="N325" i="12"/>
  <c r="V272" i="57"/>
  <c r="O461" i="12" s="1"/>
  <c r="N461" i="12"/>
  <c r="V195" i="57"/>
  <c r="O384" i="12" s="1"/>
  <c r="N384" i="12"/>
  <c r="V117" i="57"/>
  <c r="O316" i="12" s="1"/>
  <c r="N316" i="12"/>
  <c r="V99" i="57"/>
  <c r="O303" i="12" s="1"/>
  <c r="N303" i="12"/>
  <c r="V21" i="57"/>
  <c r="O241" i="12" s="1"/>
  <c r="N241" i="12"/>
  <c r="V91" i="57"/>
  <c r="O295" i="12" s="1"/>
  <c r="N295" i="12"/>
  <c r="V284" i="57"/>
  <c r="O473" i="12" s="1"/>
  <c r="N473" i="12"/>
  <c r="V281" i="57"/>
  <c r="O470" i="12" s="1"/>
  <c r="N470" i="12"/>
  <c r="V40" i="57"/>
  <c r="O254" i="12" s="1"/>
  <c r="N254" i="12"/>
  <c r="V146" i="57"/>
  <c r="O345" i="12" s="1"/>
  <c r="N345" i="12"/>
  <c r="V66" i="57"/>
  <c r="O275" i="12" s="1"/>
  <c r="N275" i="12"/>
  <c r="V33" i="57"/>
  <c r="O247" i="12" s="1"/>
  <c r="N247" i="12"/>
  <c r="V36" i="57"/>
  <c r="O250" i="12" s="1"/>
  <c r="N250" i="12"/>
  <c r="V290" i="57"/>
  <c r="O479" i="12" s="1"/>
  <c r="N479" i="12"/>
  <c r="V125" i="57"/>
  <c r="O324" i="12" s="1"/>
  <c r="N324" i="12"/>
  <c r="V219" i="57"/>
  <c r="O408" i="12" s="1"/>
  <c r="N408" i="12"/>
  <c r="V228" i="57"/>
  <c r="O417" i="12" s="1"/>
  <c r="N417" i="12"/>
  <c r="V293" i="57"/>
  <c r="O482" i="12" s="1"/>
  <c r="N482" i="12"/>
  <c r="V37" i="57"/>
  <c r="O251" i="12" s="1"/>
  <c r="N251" i="12"/>
  <c r="V145" i="57"/>
  <c r="O344" i="12" s="1"/>
  <c r="N344" i="12"/>
  <c r="V248" i="57"/>
  <c r="O437" i="12" s="1"/>
  <c r="N437" i="12"/>
  <c r="V225" i="57"/>
  <c r="O414" i="12" s="1"/>
  <c r="N414" i="12"/>
  <c r="V34" i="57"/>
  <c r="O248" i="12" s="1"/>
  <c r="N248" i="12"/>
  <c r="V286" i="57"/>
  <c r="O475" i="12" s="1"/>
  <c r="N475" i="12"/>
  <c r="V270" i="57"/>
  <c r="O459" i="12" s="1"/>
  <c r="N459" i="12"/>
  <c r="V193" i="57"/>
  <c r="O382" i="12" s="1"/>
  <c r="N382" i="12"/>
  <c r="V70" i="57"/>
  <c r="O279" i="12" s="1"/>
  <c r="N279" i="12"/>
  <c r="V165" i="57"/>
  <c r="O359" i="12" s="1"/>
  <c r="N359" i="12"/>
  <c r="V116" i="57"/>
  <c r="O315" i="12" s="1"/>
  <c r="N315" i="12"/>
  <c r="V121" i="57"/>
  <c r="O320" i="12" s="1"/>
  <c r="N320" i="12"/>
  <c r="V57" i="57"/>
  <c r="O266" i="12" s="1"/>
  <c r="N266" i="12"/>
  <c r="V19" i="57"/>
  <c r="O239" i="12" s="1"/>
  <c r="N239" i="12"/>
  <c r="V209" i="57"/>
  <c r="O398" i="12" s="1"/>
  <c r="N398" i="12"/>
  <c r="V149" i="57"/>
  <c r="O228" i="12" s="1"/>
  <c r="N228" i="12"/>
  <c r="V268" i="57"/>
  <c r="O457" i="12" s="1"/>
  <c r="N457" i="12"/>
  <c r="V247" i="57"/>
  <c r="O436" i="12" s="1"/>
  <c r="N436" i="12"/>
  <c r="V299" i="57"/>
  <c r="O488" i="12" s="1"/>
  <c r="N488" i="12"/>
  <c r="V58" i="57"/>
  <c r="O267" i="12" s="1"/>
  <c r="N267" i="12"/>
  <c r="V278" i="57"/>
  <c r="O467" i="12" s="1"/>
  <c r="N467" i="12"/>
  <c r="V63" i="57"/>
  <c r="O272" i="12" s="1"/>
  <c r="N272" i="12"/>
  <c r="V244" i="57"/>
  <c r="O433" i="12" s="1"/>
  <c r="N433" i="12"/>
  <c r="V173" i="57"/>
  <c r="O362" i="12" s="1"/>
  <c r="N362" i="12"/>
  <c r="V202" i="57"/>
  <c r="O391" i="12" s="1"/>
  <c r="N391" i="12"/>
  <c r="V148" i="57"/>
  <c r="O227" i="12" s="1"/>
  <c r="N227" i="12"/>
  <c r="V154" i="57"/>
  <c r="O348" i="12" s="1"/>
  <c r="N348" i="12"/>
  <c r="V241" i="57"/>
  <c r="O430" i="12" s="1"/>
  <c r="N430" i="12"/>
  <c r="V98" i="57"/>
  <c r="O302" i="12" s="1"/>
  <c r="N302" i="12"/>
  <c r="V316" i="57"/>
  <c r="O505" i="12" s="1"/>
  <c r="N505" i="12"/>
  <c r="V288" i="57"/>
  <c r="O477" i="12" s="1"/>
  <c r="N477" i="12"/>
  <c r="V289" i="57"/>
  <c r="O478" i="12" s="1"/>
  <c r="N478" i="12"/>
  <c r="V100" i="57"/>
  <c r="O304" i="12" s="1"/>
  <c r="N304" i="12"/>
  <c r="V96" i="57"/>
  <c r="O300" i="12" s="1"/>
  <c r="N300" i="12"/>
  <c r="V44" i="57"/>
  <c r="O199" i="12" s="1"/>
  <c r="N199" i="12"/>
  <c r="V304" i="57"/>
  <c r="O493" i="12" s="1"/>
  <c r="N493" i="12"/>
  <c r="V303" i="57"/>
  <c r="O492" i="12" s="1"/>
  <c r="N492" i="12"/>
  <c r="V234" i="57"/>
  <c r="O423" i="12" s="1"/>
  <c r="N423" i="12"/>
  <c r="V176" i="57"/>
  <c r="O365" i="12" s="1"/>
  <c r="N365" i="12"/>
  <c r="V256" i="57"/>
  <c r="O445" i="12" s="1"/>
  <c r="N445" i="12"/>
  <c r="V254" i="57"/>
  <c r="O443" i="12" s="1"/>
  <c r="N443" i="12"/>
  <c r="V315" i="57"/>
  <c r="O504" i="12" s="1"/>
  <c r="N504" i="12"/>
  <c r="V61" i="57"/>
  <c r="O270" i="12" s="1"/>
  <c r="N270" i="12"/>
  <c r="V175" i="57"/>
  <c r="O364" i="12" s="1"/>
  <c r="N364" i="12"/>
  <c r="V276" i="57"/>
  <c r="O465" i="12" s="1"/>
  <c r="N465" i="12"/>
  <c r="V190" i="57"/>
  <c r="O379" i="12" s="1"/>
  <c r="N379" i="12"/>
  <c r="V285" i="57"/>
  <c r="O474" i="12" s="1"/>
  <c r="N474" i="12"/>
  <c r="V240" i="57"/>
  <c r="O429" i="12" s="1"/>
  <c r="N429" i="12"/>
  <c r="V246" i="57"/>
  <c r="O435" i="12" s="1"/>
  <c r="N435" i="12"/>
  <c r="V201" i="57"/>
  <c r="O390" i="12" s="1"/>
  <c r="N390" i="12"/>
  <c r="V177" i="57"/>
  <c r="O366" i="12" s="1"/>
  <c r="N366" i="12"/>
  <c r="V85" i="57"/>
  <c r="O215" i="12" s="1"/>
  <c r="N215" i="12"/>
  <c r="V269" i="57"/>
  <c r="O458" i="12" s="1"/>
  <c r="N458" i="12"/>
  <c r="V319" i="57"/>
  <c r="O508" i="12" s="1"/>
  <c r="N508" i="12"/>
  <c r="V236" i="57"/>
  <c r="O425" i="12" s="1"/>
  <c r="N425" i="12"/>
  <c r="V134" i="57"/>
  <c r="O333" i="12" s="1"/>
  <c r="N333" i="12"/>
  <c r="V110" i="57"/>
  <c r="O309" i="12" s="1"/>
  <c r="N309" i="12"/>
  <c r="V115" i="57"/>
  <c r="O314" i="12" s="1"/>
  <c r="N314" i="12"/>
  <c r="V167" i="57"/>
  <c r="O221" i="12" s="1"/>
  <c r="N221" i="12"/>
  <c r="V184" i="57"/>
  <c r="O373" i="12" s="1"/>
  <c r="N373" i="12"/>
  <c r="V83" i="57"/>
  <c r="O292" i="12" s="1"/>
  <c r="N292" i="12"/>
  <c r="V82" i="57"/>
  <c r="O291" i="12" s="1"/>
  <c r="N291" i="12"/>
  <c r="V220" i="57"/>
  <c r="O409" i="12" s="1"/>
  <c r="N409" i="12"/>
  <c r="V255" i="57"/>
  <c r="O444" i="12" s="1"/>
  <c r="N444" i="12"/>
  <c r="V182" i="57"/>
  <c r="O371" i="12" s="1"/>
  <c r="N371" i="12"/>
  <c r="V271" i="57"/>
  <c r="O460" i="12" s="1"/>
  <c r="N460" i="12"/>
  <c r="V56" i="57"/>
  <c r="O265" i="12" s="1"/>
  <c r="N265" i="12"/>
  <c r="V114" i="57"/>
  <c r="O313" i="12" s="1"/>
  <c r="N313" i="12"/>
  <c r="V214" i="57"/>
  <c r="O403" i="12" s="1"/>
  <c r="N403" i="12"/>
  <c r="V43" i="57"/>
  <c r="O198" i="12" s="1"/>
  <c r="N198" i="12"/>
  <c r="V188" i="57"/>
  <c r="O377" i="12" s="1"/>
  <c r="N377" i="12"/>
  <c r="V164" i="57"/>
  <c r="O358" i="12" s="1"/>
  <c r="N358" i="12"/>
  <c r="V239" i="57"/>
  <c r="O428" i="12" s="1"/>
  <c r="N428" i="12"/>
  <c r="V185" i="57"/>
  <c r="O374" i="12" s="1"/>
  <c r="N374" i="12"/>
  <c r="V25" i="57"/>
  <c r="O206" i="12" s="1"/>
  <c r="N206" i="12"/>
  <c r="V257" i="57"/>
  <c r="O446" i="12" s="1"/>
  <c r="N446" i="12"/>
  <c r="V31" i="57"/>
  <c r="O245" i="12" s="1"/>
  <c r="N245" i="12"/>
  <c r="V88" i="57"/>
  <c r="O218" i="12" s="1"/>
  <c r="N218" i="12"/>
  <c r="V64" i="57"/>
  <c r="O273" i="12" s="1"/>
  <c r="N273" i="12"/>
  <c r="V307" i="57"/>
  <c r="O496" i="12" s="1"/>
  <c r="N496" i="12"/>
  <c r="V314" i="57"/>
  <c r="O503" i="12" s="1"/>
  <c r="N503" i="12"/>
  <c r="V217" i="57"/>
  <c r="O406" i="12" s="1"/>
  <c r="N406" i="12"/>
  <c r="V292" i="57"/>
  <c r="O481" i="12" s="1"/>
  <c r="N481" i="12"/>
  <c r="V69" i="57"/>
  <c r="O278" i="12" s="1"/>
  <c r="N278" i="12"/>
  <c r="V80" i="57"/>
  <c r="O289" i="12" s="1"/>
  <c r="N289" i="12"/>
  <c r="V311" i="57"/>
  <c r="O500" i="12" s="1"/>
  <c r="N500" i="12"/>
  <c r="V226" i="57"/>
  <c r="O415" i="12" s="1"/>
  <c r="N415" i="12"/>
  <c r="V30" i="57"/>
  <c r="O244" i="12" s="1"/>
  <c r="N244" i="12"/>
  <c r="V65" i="57"/>
  <c r="O274" i="12" s="1"/>
  <c r="N274" i="12"/>
  <c r="V132" i="57"/>
  <c r="O331" i="12" s="1"/>
  <c r="N331" i="12"/>
  <c r="V28" i="57"/>
  <c r="O242" i="12" s="1"/>
  <c r="N242" i="12"/>
  <c r="V55" i="57"/>
  <c r="O264" i="12" s="1"/>
  <c r="N264" i="12"/>
  <c r="V95" i="57"/>
  <c r="O299" i="12" s="1"/>
  <c r="N299" i="12"/>
  <c r="V279" i="57"/>
  <c r="O468" i="12" s="1"/>
  <c r="N468" i="12"/>
  <c r="V189" i="57"/>
  <c r="O378" i="12" s="1"/>
  <c r="N378" i="12"/>
  <c r="V296" i="57"/>
  <c r="O485" i="12" s="1"/>
  <c r="N485" i="12"/>
  <c r="V178" i="57"/>
  <c r="O367" i="12" s="1"/>
  <c r="N367" i="12"/>
  <c r="V75" i="57"/>
  <c r="O284" i="12" s="1"/>
  <c r="N284" i="12"/>
  <c r="V24" i="57"/>
  <c r="O205" i="12" s="1"/>
  <c r="N205" i="12"/>
  <c r="V152" i="57"/>
  <c r="O346" i="12" s="1"/>
  <c r="N346" i="12"/>
  <c r="V144" i="57"/>
  <c r="O343" i="12" s="1"/>
  <c r="N343" i="12"/>
  <c r="V298" i="57"/>
  <c r="O487" i="12" s="1"/>
  <c r="N487" i="12"/>
  <c r="V253" i="57"/>
  <c r="O442" i="12" s="1"/>
  <c r="N442" i="12"/>
  <c r="V250" i="57"/>
  <c r="O439" i="12" s="1"/>
  <c r="N439" i="12"/>
  <c r="V119" i="57"/>
  <c r="O318" i="12" s="1"/>
  <c r="N318" i="12"/>
  <c r="V215" i="57"/>
  <c r="O404" i="12" s="1"/>
  <c r="N404" i="12"/>
  <c r="V223" i="57"/>
  <c r="O412" i="12" s="1"/>
  <c r="N412" i="12"/>
  <c r="V199" i="57"/>
  <c r="O388" i="12" s="1"/>
  <c r="N388" i="12"/>
  <c r="V79" i="57"/>
  <c r="O288" i="12" s="1"/>
  <c r="N288" i="12"/>
  <c r="V155" i="57"/>
  <c r="O349" i="12" s="1"/>
  <c r="N349" i="12"/>
  <c r="V150" i="57"/>
  <c r="O229" i="12" s="1"/>
  <c r="N229" i="12"/>
  <c r="V153" i="57"/>
  <c r="O347" i="12" s="1"/>
  <c r="N347" i="12"/>
  <c r="V29" i="57"/>
  <c r="O243" i="12" s="1"/>
  <c r="N243" i="12"/>
  <c r="V86" i="57"/>
  <c r="O216" i="12" s="1"/>
  <c r="N216" i="12"/>
  <c r="V222" i="57"/>
  <c r="O411" i="12" s="1"/>
  <c r="N411" i="12"/>
  <c r="V213" i="57"/>
  <c r="O402" i="12" s="1"/>
  <c r="N402" i="12"/>
  <c r="V161" i="57"/>
  <c r="O355" i="12" s="1"/>
  <c r="N355" i="12"/>
  <c r="V20" i="57"/>
  <c r="O240" i="12" s="1"/>
  <c r="N240" i="12"/>
  <c r="C437" i="11"/>
  <c r="D438" i="11"/>
  <c r="C438" i="11" l="1"/>
  <c r="D439" i="11"/>
  <c r="D203" i="11" l="1"/>
  <c r="C439" i="11"/>
  <c r="C203" i="11" l="1"/>
  <c r="D204" i="11"/>
  <c r="D205" i="11" l="1"/>
  <c r="C204" i="11"/>
  <c r="D432" i="11" l="1"/>
  <c r="C205" i="11"/>
  <c r="C432" i="11" l="1"/>
  <c r="D433" i="11"/>
  <c r="D434" i="11" l="1"/>
  <c r="C433" i="11"/>
  <c r="C443" i="11" l="1"/>
  <c r="C434" i="11"/>
  <c r="D442" i="11"/>
  <c r="C442" i="11" l="1"/>
  <c r="D427" i="11" l="1"/>
  <c r="D428" i="11" l="1"/>
  <c r="C427" i="11"/>
  <c r="C428" i="11" l="1"/>
  <c r="D429" i="11"/>
  <c r="D457" i="11" l="1"/>
  <c r="C429" i="11"/>
  <c r="C457" i="11" l="1"/>
  <c r="D443" i="11"/>
  <c r="D458" i="11"/>
  <c r="C458" i="11" l="1"/>
  <c r="D444" i="11"/>
  <c r="D459" i="11"/>
  <c r="D452" i="11" l="1"/>
  <c r="C444" i="11"/>
  <c r="C459" i="11"/>
  <c r="C452" i="11" l="1"/>
  <c r="D453" i="11"/>
  <c r="C453" i="11" l="1"/>
  <c r="D454" i="11"/>
  <c r="C454" i="11" l="1"/>
  <c r="D447" i="11"/>
  <c r="D448" i="11" l="1"/>
  <c r="C447" i="11"/>
  <c r="D449" i="11" l="1"/>
  <c r="C448" i="11"/>
  <c r="C449" i="11" l="1"/>
  <c r="D417" i="11"/>
  <c r="D418" i="11" l="1"/>
  <c r="C417" i="11"/>
  <c r="D419" i="11" l="1"/>
  <c r="C418" i="11"/>
  <c r="C419" i="11" l="1"/>
  <c r="C461" i="11" l="1"/>
  <c r="D462" i="11"/>
  <c r="D461" i="11"/>
  <c r="C462" i="11" l="1"/>
  <c r="D463" i="11"/>
  <c r="D464" i="11" l="1"/>
  <c r="C463" i="11"/>
  <c r="C464" i="11" l="1"/>
  <c r="B816" i="11" l="1"/>
  <c r="B796" i="11"/>
  <c r="D302" i="10"/>
  <c r="D796" i="11" s="1"/>
  <c r="D816" i="11" l="1"/>
  <c r="D301" i="10"/>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Jonathan</author>
  </authors>
  <commentList>
    <comment ref="EL8" authorId="0" shapeId="0" xr:uid="{00000000-0006-0000-0000-000001000000}">
      <text>
        <r>
          <rPr>
            <b/>
            <sz val="9"/>
            <color indexed="81"/>
            <rFont val="Tahoma"/>
            <family val="2"/>
          </rPr>
          <t>Jonathan:</t>
        </r>
        <r>
          <rPr>
            <sz val="9"/>
            <color indexed="81"/>
            <rFont val="Tahoma"/>
            <family val="2"/>
          </rPr>
          <t xml:space="preserve">
Appears to be used for feedstock and non-manufacturing industry.</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CLS</author>
  </authors>
  <commentList>
    <comment ref="B4" authorId="0" shapeId="0" xr:uid="{00000000-0006-0000-0E00-000001000000}">
      <text>
        <r>
          <rPr>
            <b/>
            <sz val="8"/>
            <color indexed="81"/>
            <rFont val="Tahoma"/>
            <family val="2"/>
          </rPr>
          <t>Data from AEO2008</t>
        </r>
        <r>
          <rPr>
            <sz val="8"/>
            <color indexed="81"/>
            <rFont val="Tahoma"/>
            <family val="2"/>
          </rPr>
          <t xml:space="preserve">
2006$</t>
        </r>
      </text>
    </comment>
    <comment ref="C4" authorId="0" shapeId="0" xr:uid="{00000000-0006-0000-0E00-000002000000}">
      <text>
        <r>
          <rPr>
            <b/>
            <sz val="8"/>
            <color indexed="81"/>
            <rFont val="Tahoma"/>
            <family val="2"/>
          </rPr>
          <t xml:space="preserve">Data from AEO2011
</t>
        </r>
        <r>
          <rPr>
            <sz val="8"/>
            <color indexed="81"/>
            <rFont val="Tahoma"/>
            <family val="2"/>
          </rPr>
          <t>2009$</t>
        </r>
      </text>
    </comment>
    <comment ref="B57" authorId="0" shapeId="0" xr:uid="{00000000-0006-0000-0E00-000003000000}">
      <text>
        <r>
          <rPr>
            <b/>
            <sz val="8"/>
            <color indexed="81"/>
            <rFont val="Tahoma"/>
            <family val="2"/>
          </rPr>
          <t>Data from AEO2008</t>
        </r>
        <r>
          <rPr>
            <sz val="8"/>
            <color indexed="81"/>
            <rFont val="Tahoma"/>
            <family val="2"/>
          </rPr>
          <t xml:space="preserve">
</t>
        </r>
      </text>
    </comment>
    <comment ref="C57" authorId="0" shapeId="0" xr:uid="{00000000-0006-0000-0E00-000004000000}">
      <text>
        <r>
          <rPr>
            <b/>
            <sz val="8"/>
            <color indexed="81"/>
            <rFont val="Tahoma"/>
            <family val="2"/>
          </rPr>
          <t>Data from AEO2011</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CLS</author>
  </authors>
  <commentList>
    <comment ref="K4" authorId="0" shapeId="0" xr:uid="{00000000-0006-0000-1400-000001000000}">
      <text>
        <r>
          <rPr>
            <b/>
            <sz val="8"/>
            <color indexed="81"/>
            <rFont val="Tahoma"/>
            <family val="2"/>
          </rPr>
          <t>Value for imported Crude</t>
        </r>
        <r>
          <rPr>
            <sz val="8"/>
            <color indexed="81"/>
            <rFont val="Tahoma"/>
            <family val="2"/>
          </rPr>
          <t xml:space="preserve">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CLS</author>
  </authors>
  <commentList>
    <comment ref="K5" authorId="0" shapeId="0" xr:uid="{00000000-0006-0000-1600-000001000000}">
      <text>
        <r>
          <rPr>
            <b/>
            <sz val="8"/>
            <color indexed="81"/>
            <rFont val="Tahoma"/>
            <family val="2"/>
          </rPr>
          <t>Value for imported Crude</t>
        </r>
        <r>
          <rPr>
            <sz val="8"/>
            <color indexed="81"/>
            <rFont val="Tahoma"/>
            <family val="2"/>
          </rPr>
          <t xml:space="preserve">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CLS</author>
  </authors>
  <commentList>
    <comment ref="B4" authorId="0" shapeId="0" xr:uid="{00000000-0006-0000-1900-000001000000}">
      <text>
        <r>
          <rPr>
            <b/>
            <sz val="8"/>
            <color indexed="81"/>
            <rFont val="Tahoma"/>
            <family val="2"/>
          </rPr>
          <t>From AEO2011, in 2010$</t>
        </r>
      </text>
    </comment>
    <comment ref="D4" authorId="0" shapeId="0" xr:uid="{00000000-0006-0000-1900-000002000000}">
      <text>
        <r>
          <rPr>
            <b/>
            <sz val="8"/>
            <color indexed="81"/>
            <rFont val="Tahoma"/>
            <family val="2"/>
          </rPr>
          <t>AEO 2014</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Michael Wang</author>
  </authors>
  <commentList>
    <comment ref="B41" authorId="0" shapeId="0" xr:uid="{00000000-0006-0000-1C00-000001000000}">
      <text>
        <r>
          <rPr>
            <sz val="8"/>
            <color indexed="81"/>
            <rFont val="Tahoma"/>
            <family val="2"/>
          </rPr>
          <t>A NG loss rate of 0.35% is assumed for NG recovery.</t>
        </r>
      </text>
    </comment>
    <comment ref="C41" authorId="0" shapeId="0" xr:uid="{00000000-0006-0000-1C00-000002000000}">
      <text>
        <r>
          <rPr>
            <sz val="8"/>
            <color indexed="81"/>
            <rFont val="Tahoma"/>
            <family val="2"/>
          </rPr>
          <t>A NG loss rate of 0.15% is assumed for NG processing.</t>
        </r>
      </text>
    </comment>
    <comment ref="E41" authorId="0" shapeId="0" xr:uid="{00000000-0006-0000-1C00-000003000000}">
      <text>
        <r>
          <rPr>
            <sz val="8"/>
            <color indexed="81"/>
            <rFont val="Tahoma"/>
            <family val="2"/>
          </rPr>
          <t>CH4 leakage is a function of pipeline transmission distance.</t>
        </r>
      </text>
    </comment>
  </commentList>
</comments>
</file>

<file path=xl/sharedStrings.xml><?xml version="1.0" encoding="utf-8"?>
<sst xmlns="http://schemas.openxmlformats.org/spreadsheetml/2006/main" count="23527" uniqueCount="2579">
  <si>
    <t>MINOILD1</t>
  </si>
  <si>
    <t>MINOILD2</t>
  </si>
  <si>
    <t>MINOILD3</t>
  </si>
  <si>
    <t>Imported Refined Oil Products Transport Costs from PADD to R (M$/PJ)</t>
  </si>
  <si>
    <t>MINOILD4</t>
  </si>
  <si>
    <t>PADD  / R</t>
  </si>
  <si>
    <t>MINOILD5</t>
  </si>
  <si>
    <t>Traded Refined Oil Products Pipeline Transport Costs from R to R (M$/PJ)</t>
  </si>
  <si>
    <t>From / To</t>
  </si>
  <si>
    <t>Traded Refined Oil Products Barge/Vessel Transport Costs from R to R (M$/PJ)</t>
  </si>
  <si>
    <t>Oil</t>
  </si>
  <si>
    <t>Fuel Types</t>
  </si>
  <si>
    <t>Name</t>
  </si>
  <si>
    <t>Description</t>
  </si>
  <si>
    <t>Heat content (MMBtu per bbl)</t>
  </si>
  <si>
    <t>Heating No. 2</t>
  </si>
  <si>
    <t>LS Diesel (500 ppm)</t>
  </si>
  <si>
    <t>Sulfur</t>
  </si>
  <si>
    <t>API Gravity</t>
  </si>
  <si>
    <t>ULS Diesel (15 ppm)</t>
  </si>
  <si>
    <t>Low sulfur-light (FLL)</t>
  </si>
  <si>
    <t>&gt;24</t>
  </si>
  <si>
    <t>Conventional Mogas</t>
  </si>
  <si>
    <t>Medium sulfur-heavy (FMH)</t>
  </si>
  <si>
    <t>0.35-1.1%</t>
  </si>
  <si>
    <t>Reformulated Mogas</t>
  </si>
  <si>
    <t>High sulfur-light (FHL)</t>
  </si>
  <si>
    <t>&gt;1.1%</t>
  </si>
  <si>
    <t>&gt;32</t>
  </si>
  <si>
    <t>High sulfur-heavy (FHH)</t>
  </si>
  <si>
    <t>24-33</t>
  </si>
  <si>
    <t>Other Refined Prod.</t>
  </si>
  <si>
    <t>High sulfur-very heavy (FHV)</t>
  </si>
  <si>
    <t>&gt;0.7</t>
  </si>
  <si>
    <t>&lt; 23</t>
  </si>
  <si>
    <t>Petchem. Feedstocks</t>
  </si>
  <si>
    <t>High Sulfur Fuel Oil</t>
  </si>
  <si>
    <t>Low Sulfur Fuel Oil</t>
  </si>
  <si>
    <t>FLL</t>
  </si>
  <si>
    <t>OILLL</t>
  </si>
  <si>
    <t>Imported Oil-Low Sulfur, Low G</t>
  </si>
  <si>
    <t>FMH</t>
  </si>
  <si>
    <t>OILMH</t>
  </si>
  <si>
    <t>Imported Oil-Medium Sulfur, HG</t>
  </si>
  <si>
    <t>FHL</t>
  </si>
  <si>
    <t>OILHL</t>
  </si>
  <si>
    <t>Imported Oil-High Sulfur, Low G</t>
  </si>
  <si>
    <t>FHH</t>
  </si>
  <si>
    <t>OILHH</t>
  </si>
  <si>
    <t>Imported Oil-High Sulfur, Heavy G</t>
  </si>
  <si>
    <t>FHV</t>
  </si>
  <si>
    <t>OILHV</t>
  </si>
  <si>
    <t>Imported Oil-High Sulfur, Very HG</t>
  </si>
  <si>
    <t>Region Name</t>
  </si>
  <si>
    <t>R</t>
  </si>
  <si>
    <t>OGSM Regions</t>
  </si>
  <si>
    <t>PADD</t>
  </si>
  <si>
    <t>OSGM</t>
  </si>
  <si>
    <t>Imported Natural Gas</t>
  </si>
  <si>
    <t>East North Central</t>
  </si>
  <si>
    <t>Alaska</t>
  </si>
  <si>
    <t>A</t>
  </si>
  <si>
    <t>Canada</t>
  </si>
  <si>
    <t>East South Central</t>
  </si>
  <si>
    <t>Northeast-1</t>
  </si>
  <si>
    <t>2,5</t>
  </si>
  <si>
    <t>NE</t>
  </si>
  <si>
    <t>New England</t>
  </si>
  <si>
    <t>Mid Atlantic</t>
  </si>
  <si>
    <t>Northeast-2</t>
  </si>
  <si>
    <t>3,4</t>
  </si>
  <si>
    <t>GC</t>
  </si>
  <si>
    <t>Mountain</t>
  </si>
  <si>
    <t>Gulf Coast</t>
  </si>
  <si>
    <t>6,7</t>
  </si>
  <si>
    <t>MC</t>
  </si>
  <si>
    <t>West North Central</t>
  </si>
  <si>
    <t>Midcontinent</t>
  </si>
  <si>
    <t>SW</t>
  </si>
  <si>
    <t>Pacific</t>
  </si>
  <si>
    <t>Southwest</t>
  </si>
  <si>
    <t>RM</t>
  </si>
  <si>
    <t>South Atlantic</t>
  </si>
  <si>
    <t>Rocky Mountain</t>
  </si>
  <si>
    <t>WC</t>
  </si>
  <si>
    <t>West Coast</t>
  </si>
  <si>
    <t>G</t>
  </si>
  <si>
    <t>Mexico</t>
  </si>
  <si>
    <t>West South Central</t>
  </si>
  <si>
    <t>Gulf</t>
  </si>
  <si>
    <t>P</t>
  </si>
  <si>
    <t>AT</t>
  </si>
  <si>
    <t>Atlantic</t>
  </si>
  <si>
    <t>Liquefied Natural Gas</t>
  </si>
  <si>
    <t>Types</t>
  </si>
  <si>
    <t>E1</t>
  </si>
  <si>
    <t xml:space="preserve">   Everett, MA</t>
  </si>
  <si>
    <t>E2</t>
  </si>
  <si>
    <t xml:space="preserve">   Cove Point, MD</t>
  </si>
  <si>
    <t>East South Central (CD 6)</t>
  </si>
  <si>
    <t>E5</t>
  </si>
  <si>
    <t xml:space="preserve">   Elba Island, GA</t>
  </si>
  <si>
    <t>PAD District I</t>
  </si>
  <si>
    <t>P1</t>
  </si>
  <si>
    <t>E7</t>
  </si>
  <si>
    <t xml:space="preserve">   Lake Charles, LA</t>
  </si>
  <si>
    <t>PAD District II</t>
  </si>
  <si>
    <t>P2</t>
  </si>
  <si>
    <t>N1</t>
  </si>
  <si>
    <t xml:space="preserve">   New England</t>
  </si>
  <si>
    <t>PAD District III</t>
  </si>
  <si>
    <t>P3</t>
  </si>
  <si>
    <t>N2</t>
  </si>
  <si>
    <t xml:space="preserve">   Middle Atlantic</t>
  </si>
  <si>
    <t>PAD District IV</t>
  </si>
  <si>
    <t>P4</t>
  </si>
  <si>
    <t>N5</t>
  </si>
  <si>
    <t xml:space="preserve">   South Atlantic</t>
  </si>
  <si>
    <t>PAD District V</t>
  </si>
  <si>
    <t>P5</t>
  </si>
  <si>
    <t>N6</t>
  </si>
  <si>
    <t xml:space="preserve">   East South Central</t>
  </si>
  <si>
    <t>South Atlantic (CD 5)</t>
  </si>
  <si>
    <t>N7</t>
  </si>
  <si>
    <t xml:space="preserve">   West South Central</t>
  </si>
  <si>
    <t>N9</t>
  </si>
  <si>
    <t xml:space="preserve">   Washington/Oregon</t>
  </si>
  <si>
    <t xml:space="preserve">   California</t>
  </si>
  <si>
    <t>PADD I</t>
  </si>
  <si>
    <t>PADD II</t>
  </si>
  <si>
    <t>PADD III</t>
  </si>
  <si>
    <t>PADD IV</t>
  </si>
  <si>
    <t>PADD V</t>
  </si>
  <si>
    <t>Fuel</t>
  </si>
  <si>
    <t>P/Q Step#</t>
  </si>
  <si>
    <t>Tech name</t>
  </si>
  <si>
    <t>Price (M$/PJ)</t>
  </si>
  <si>
    <t>Quantity (PJ)</t>
  </si>
  <si>
    <t>PADD 1</t>
  </si>
  <si>
    <t xml:space="preserve">PADD V </t>
  </si>
  <si>
    <t>year</t>
  </si>
  <si>
    <t>step</t>
  </si>
  <si>
    <t>Step Quantity</t>
  </si>
  <si>
    <t>Step Price</t>
  </si>
  <si>
    <t>======</t>
  </si>
  <si>
    <t>=======</t>
  </si>
  <si>
    <t>========</t>
  </si>
  <si>
    <t>* YEAR: 1990</t>
  </si>
  <si>
    <t>MTBE</t>
  </si>
  <si>
    <t>RBOB</t>
  </si>
  <si>
    <t>ARB (UO Resid)</t>
  </si>
  <si>
    <t>NPP (UO Naptha)</t>
  </si>
  <si>
    <t>HGM (UO Hvy Gas Oil)</t>
  </si>
  <si>
    <t>Prices</t>
  </si>
  <si>
    <t>* YEAR: 1991</t>
  </si>
  <si>
    <t>* YEAR: 1992</t>
  </si>
  <si>
    <t>* YEAR: 1993</t>
  </si>
  <si>
    <t>* YEAR: 1994</t>
  </si>
  <si>
    <t>* YEAR: 1995</t>
  </si>
  <si>
    <t>* YEAR: 1996</t>
  </si>
  <si>
    <t>* YEAR: 1997</t>
  </si>
  <si>
    <t>* YEAR: 1998</t>
  </si>
  <si>
    <t>* YEAR: 1999</t>
  </si>
  <si>
    <t>* YEAR: 2000</t>
  </si>
  <si>
    <t>* YEAR: 2001</t>
  </si>
  <si>
    <t>* YEAR: 2002</t>
  </si>
  <si>
    <t>* YEAR: 2003</t>
  </si>
  <si>
    <t>* YEAR: 2004</t>
  </si>
  <si>
    <t>* YEAR: 2005</t>
  </si>
  <si>
    <t>* YEAR: 2006</t>
  </si>
  <si>
    <t>* YEAR: 2007</t>
  </si>
  <si>
    <t>* YEAR: 2008</t>
  </si>
  <si>
    <t>* YEAR: 2009</t>
  </si>
  <si>
    <t>* YEAR: 2010</t>
  </si>
  <si>
    <t>* YEAR: 2011</t>
  </si>
  <si>
    <t>* YEAR: 2012</t>
  </si>
  <si>
    <t>* YEAR: 2013</t>
  </si>
  <si>
    <t>* YEAR: 2014</t>
  </si>
  <si>
    <t>* YEAR: 2015</t>
  </si>
  <si>
    <t>* YEAR: 2016</t>
  </si>
  <si>
    <t>* YEAR: 2017</t>
  </si>
  <si>
    <t>* YEAR: 2018</t>
  </si>
  <si>
    <t>* YEAR: 2019</t>
  </si>
  <si>
    <t>* YEAR: 2020</t>
  </si>
  <si>
    <t>Price ($/bbl)</t>
  </si>
  <si>
    <t>Quantity (thousand bbl/day)</t>
  </si>
  <si>
    <t>YEAR</t>
  </si>
  <si>
    <t>STEP</t>
  </si>
  <si>
    <t>* YEAR:</t>
  </si>
  <si>
    <t>PMMRPT file NEMS   a06iDEF2  d011006a  Years 1990-2030</t>
  </si>
  <si>
    <t>Crude Oil Delivery Prices to PADD Refineries $/Gal:2004</t>
  </si>
  <si>
    <t>Annual Escalation Factor</t>
  </si>
  <si>
    <t>PADD 2</t>
  </si>
  <si>
    <t>PADD 3</t>
  </si>
  <si>
    <t>PADD 4</t>
  </si>
  <si>
    <t>PADD 5</t>
  </si>
  <si>
    <t>Table 10: US Refinery Gate Prices, $/Gal</t>
  </si>
  <si>
    <t>MOGAS</t>
  </si>
  <si>
    <t>TRG</t>
  </si>
  <si>
    <t>RFG</t>
  </si>
  <si>
    <t>TRH</t>
  </si>
  <si>
    <t>DISTILLATE</t>
  </si>
  <si>
    <t>LOW SUL DIESEL</t>
  </si>
  <si>
    <t>U-LOW SUL DIESEL</t>
  </si>
  <si>
    <t>JET FUEL</t>
  </si>
  <si>
    <t>KEROSENE</t>
  </si>
  <si>
    <t>L.P.G</t>
  </si>
  <si>
    <t>PETCHEM FEED</t>
  </si>
  <si>
    <t>LOW SULF  RESID</t>
  </si>
  <si>
    <t>HIGH SULF RESID</t>
  </si>
  <si>
    <t>ASPH. &amp; ROAD OIL</t>
  </si>
  <si>
    <t>PET. COK</t>
  </si>
  <si>
    <t>Table 8: US End-Use Prices, $/Gal</t>
  </si>
  <si>
    <t>E85</t>
  </si>
  <si>
    <t>DISTILLATE-RES</t>
  </si>
  <si>
    <t>DISTILLATE-COM</t>
  </si>
  <si>
    <t>DISTILLATE-IND</t>
  </si>
  <si>
    <t>DISTILLATE-TRN</t>
  </si>
  <si>
    <t>DISTILLATE-ELC</t>
  </si>
  <si>
    <t>KEROSENE-RES</t>
  </si>
  <si>
    <t>KEROSENE-COM</t>
  </si>
  <si>
    <t>KEROSENE-IND</t>
  </si>
  <si>
    <t>L.P.G - RES</t>
  </si>
  <si>
    <t>L.P.G - COM</t>
  </si>
  <si>
    <t>L.P.G - IND</t>
  </si>
  <si>
    <t>L.P.G - TRN</t>
  </si>
  <si>
    <t>LOW SULF  RESID-COM</t>
  </si>
  <si>
    <t>LOW SULF  RESID-IND</t>
  </si>
  <si>
    <t>LOW SULF  RESID-ELC</t>
  </si>
  <si>
    <t>HIGH SULF RESID-TRN</t>
  </si>
  <si>
    <t>HIGH SULF RESID-ELC</t>
  </si>
  <si>
    <t>End-Use Delivery Prices, $/Gal</t>
  </si>
  <si>
    <t>If Refinery Gate &gt; End Use</t>
  </si>
  <si>
    <t>ENC name</t>
  </si>
  <si>
    <t>TRGSLC</t>
  </si>
  <si>
    <t>TRGSLR</t>
  </si>
  <si>
    <t>TETH85</t>
  </si>
  <si>
    <t>RESDSL</t>
  </si>
  <si>
    <t>COMDSL</t>
  </si>
  <si>
    <t>INDDSL</t>
  </si>
  <si>
    <t>ELCDSL</t>
  </si>
  <si>
    <t>TRDSLL</t>
  </si>
  <si>
    <t>TRDSLU</t>
  </si>
  <si>
    <t>TRNJTF</t>
  </si>
  <si>
    <t>RESKER</t>
  </si>
  <si>
    <t>COMKER</t>
  </si>
  <si>
    <t>INDKER</t>
  </si>
  <si>
    <t>RESLPG</t>
  </si>
  <si>
    <t>COMLPG</t>
  </si>
  <si>
    <t>INDLPG</t>
  </si>
  <si>
    <t>TRNLPG</t>
  </si>
  <si>
    <t>METHANOL</t>
  </si>
  <si>
    <t>TRNMTH</t>
  </si>
  <si>
    <t>INDPFS</t>
  </si>
  <si>
    <t>COMRFL</t>
  </si>
  <si>
    <t>INDRFL</t>
  </si>
  <si>
    <t>ELCRFL</t>
  </si>
  <si>
    <t>TRNRFH</t>
  </si>
  <si>
    <t>ELCRFH</t>
  </si>
  <si>
    <t xml:space="preserve"> Table  12.  Petroleum Product Prices</t>
  </si>
  <si>
    <t xml:space="preserve"> (2004 cents per gallon)</t>
  </si>
  <si>
    <t>Crude Oil Prices (2004 dollars per barrel)</t>
  </si>
  <si>
    <t xml:space="preserve">   Imported Crude Oil</t>
  </si>
  <si>
    <t xml:space="preserve">   Foreign Low-Sulfur Light Crude Oil</t>
  </si>
  <si>
    <t>Crude Oil Prices (2004 dollars per gallon)</t>
  </si>
  <si>
    <t>Crude Oil Delivery Cost ($/gal)</t>
  </si>
  <si>
    <t>T</t>
  </si>
  <si>
    <t>able 1</t>
  </si>
  <si>
    <t>D US R</t>
  </si>
  <si>
    <t>efiner</t>
  </si>
  <si>
    <t>y Gate</t>
  </si>
  <si>
    <t>Price</t>
  </si>
  <si>
    <t>s, $/G</t>
  </si>
  <si>
    <t>al:200</t>
  </si>
  <si>
    <t>PAD</t>
  </si>
  <si>
    <t>D , 1</t>
  </si>
  <si>
    <t>NEMS   a06iDEF2</t>
  </si>
  <si>
    <t>d</t>
  </si>
  <si>
    <t>a  Yea</t>
  </si>
  <si>
    <t>rs 199</t>
  </si>
  <si>
    <t>0-2030</t>
  </si>
  <si>
    <t>-----------------</t>
  </si>
  <si>
    <t>-</t>
  </si>
  <si>
    <t>------</t>
  </si>
  <si>
    <t>----------------------------------</t>
  </si>
  <si>
    <t>|</t>
  </si>
  <si>
    <t>D , 2</t>
  </si>
  <si>
    <t>D , 3</t>
  </si>
  <si>
    <t>D , 4</t>
  </si>
  <si>
    <t>D , 5</t>
  </si>
  <si>
    <t>0  US</t>
  </si>
  <si>
    <t>Refine</t>
  </si>
  <si>
    <t>ry Gat</t>
  </si>
  <si>
    <t>e Pric</t>
  </si>
  <si>
    <t>es,</t>
  </si>
  <si>
    <t>$</t>
  </si>
  <si>
    <t>/Gal,</t>
  </si>
  <si>
    <t>Tab</t>
  </si>
  <si>
    <t>le 8</t>
  </si>
  <si>
    <t>US End</t>
  </si>
  <si>
    <t>Use P</t>
  </si>
  <si>
    <t>rices,</t>
  </si>
  <si>
    <t>$/Gal</t>
  </si>
  <si>
    <t>CD  1</t>
  </si>
  <si>
    <t>CD  2</t>
  </si>
  <si>
    <t>CD  3</t>
  </si>
  <si>
    <t>CD  4</t>
  </si>
  <si>
    <t>CD  5</t>
  </si>
  <si>
    <t>CD  6</t>
  </si>
  <si>
    <t>CD  7</t>
  </si>
  <si>
    <t>CD  8</t>
  </si>
  <si>
    <t>CD  9</t>
  </si>
  <si>
    <t>CD 11</t>
  </si>
  <si>
    <t>RESIDENTIAL</t>
  </si>
  <si>
    <t>COMMERCIAL</t>
  </si>
  <si>
    <t>INDUSTRIAL</t>
  </si>
  <si>
    <t>TRANSPORTATION</t>
  </si>
  <si>
    <t>(HWY DIESEL PR)</t>
  </si>
  <si>
    <t>UTILITY</t>
  </si>
  <si>
    <t>rices</t>
  </si>
  <si>
    <t>Data provided by William Brown of EIA</t>
  </si>
  <si>
    <t xml:space="preserve">Category </t>
  </si>
  <si>
    <t>Mode</t>
  </si>
  <si>
    <t xml:space="preserve">From </t>
  </si>
  <si>
    <t xml:space="preserve">To </t>
  </si>
  <si>
    <t>Total Capacity</t>
  </si>
  <si>
    <t>Weighted Average Tariff</t>
  </si>
  <si>
    <t>Convert to 1987</t>
  </si>
  <si>
    <t>Recent Movement (2002)</t>
  </si>
  <si>
    <t>Movement Notes</t>
  </si>
  <si>
    <t>Mb/d</t>
  </si>
  <si>
    <t>$/bbl (FY03)</t>
  </si>
  <si>
    <t>(thousand bbl/day)</t>
  </si>
  <si>
    <t>Crude</t>
  </si>
  <si>
    <t>OGSM</t>
  </si>
  <si>
    <t>From</t>
  </si>
  <si>
    <t>To</t>
  </si>
  <si>
    <t>Pipeline</t>
  </si>
  <si>
    <t>Approximated.</t>
  </si>
  <si>
    <t>OGSM 3 Midcontinent</t>
  </si>
  <si>
    <t>OGSM 4 Permian Basin</t>
  </si>
  <si>
    <t>OGSM 5 Rocky Mountain</t>
  </si>
  <si>
    <t>Tanker or Barge</t>
  </si>
  <si>
    <t>n/a</t>
  </si>
  <si>
    <t>Alaska North</t>
  </si>
  <si>
    <t>Unsure</t>
  </si>
  <si>
    <t>Tanker.</t>
  </si>
  <si>
    <t>Alaska South</t>
  </si>
  <si>
    <t>EXP-IMP Pipeline Tech pairs</t>
  </si>
  <si>
    <t xml:space="preserve">Product </t>
  </si>
  <si>
    <t>PADD or Census District</t>
  </si>
  <si>
    <t>Census District</t>
  </si>
  <si>
    <t>EXP&lt;ent&gt;36</t>
  </si>
  <si>
    <t>EXP&lt;ent&gt;42</t>
  </si>
  <si>
    <t>EXP&lt;ent&gt;46</t>
  </si>
  <si>
    <t>EXP&lt;ent&gt;52</t>
  </si>
  <si>
    <t>EXP&lt;ent&gt;63</t>
  </si>
  <si>
    <t>EXP&lt;ent&gt;64</t>
  </si>
  <si>
    <t xml:space="preserve">Mid Atlantic </t>
  </si>
  <si>
    <t>EXP-IMP Barge/Tanker Tech pairs</t>
  </si>
  <si>
    <t>Tanker or Barge Movements</t>
  </si>
  <si>
    <t>EXP&lt;ent&gt;26</t>
  </si>
  <si>
    <t>EXP&lt;ent&gt;35</t>
  </si>
  <si>
    <t>Middle Atlantic</t>
  </si>
  <si>
    <t>EXP&lt;ent&gt;45</t>
  </si>
  <si>
    <t>EXP&lt;ent&gt;62</t>
  </si>
  <si>
    <t>Minimal Movements.</t>
  </si>
  <si>
    <t>NONE</t>
  </si>
  <si>
    <t>Truck</t>
  </si>
  <si>
    <t xml:space="preserve"> LPG, C4, CC5 Pipeline</t>
  </si>
  <si>
    <t>Barge</t>
  </si>
  <si>
    <r>
      <t xml:space="preserve">Notes:  Recent Movements are from the Energy Information Administration's June 2003 </t>
    </r>
    <r>
      <rPr>
        <i/>
        <sz val="10"/>
        <rFont val="Arial"/>
        <family val="2"/>
      </rPr>
      <t xml:space="preserve">Petroleum Supply Annual </t>
    </r>
    <r>
      <rPr>
        <sz val="10"/>
        <rFont val="Arial"/>
        <family val="2"/>
      </rPr>
      <t>(</t>
    </r>
    <r>
      <rPr>
        <i/>
        <sz val="10"/>
        <rFont val="Arial"/>
        <family val="2"/>
      </rPr>
      <t>PSA</t>
    </r>
    <r>
      <rPr>
        <sz val="10"/>
        <rFont val="Arial"/>
        <family val="2"/>
      </rPr>
      <t xml:space="preserve">). </t>
    </r>
    <r>
      <rPr>
        <i/>
        <sz val="10"/>
        <rFont val="Arial"/>
        <family val="2"/>
      </rPr>
      <t xml:space="preserve"> </t>
    </r>
    <r>
      <rPr>
        <sz val="10"/>
        <rFont val="Arial"/>
        <family val="2"/>
      </rPr>
      <t xml:space="preserve">ICF Assumptions are used to approximate some of the sub-PADD movements not reported in the </t>
    </r>
    <r>
      <rPr>
        <i/>
        <sz val="10"/>
        <rFont val="Arial"/>
        <family val="2"/>
      </rPr>
      <t xml:space="preserve">PSA </t>
    </r>
    <r>
      <rPr>
        <sz val="10"/>
        <rFont val="Arial"/>
        <family val="2"/>
      </rPr>
      <t>and are marked "Approximated" in the Movemen</t>
    </r>
  </si>
  <si>
    <t>Comment</t>
  </si>
  <si>
    <t>CommName</t>
  </si>
  <si>
    <t>CommDesc</t>
  </si>
  <si>
    <t>TechName</t>
  </si>
  <si>
    <t>TechDesc</t>
  </si>
  <si>
    <t>Units</t>
  </si>
  <si>
    <t>CommIN</t>
  </si>
  <si>
    <t>CommOUT</t>
  </si>
  <si>
    <t>Commodities</t>
  </si>
  <si>
    <t>* Crude Oil Supply Commodities - Domestic and Imported</t>
  </si>
  <si>
    <t>OIL</t>
  </si>
  <si>
    <t>Crude Oil-All Sources</t>
  </si>
  <si>
    <t>PJ</t>
  </si>
  <si>
    <t>OILD0</t>
  </si>
  <si>
    <t>Domestic Crude Oil - 0</t>
  </si>
  <si>
    <t>OILIP1</t>
  </si>
  <si>
    <t>OILHH1</t>
  </si>
  <si>
    <t>Imported Imported Oil-High Sulfur, Heavy G, PADD 1</t>
  </si>
  <si>
    <t>OILHH2</t>
  </si>
  <si>
    <t>Imported Imported Oil-High Sulfur, Heavy G, PADD 2</t>
  </si>
  <si>
    <t>OILHH3</t>
  </si>
  <si>
    <t>Imported Imported Oil-High Sulfur, Heavy G, PADD 3</t>
  </si>
  <si>
    <t>OILHH4</t>
  </si>
  <si>
    <t>Imported Imported Oil-High Sulfur, Heavy G, PADD 4</t>
  </si>
  <si>
    <t>OILHH5</t>
  </si>
  <si>
    <t>Imported Imported Oil-High Sulfur, Heavy G, PADD 5</t>
  </si>
  <si>
    <t>OILHL1</t>
  </si>
  <si>
    <t>Imported Imported Oil-High Sulfur, Low G, PADD 1</t>
  </si>
  <si>
    <t>OILHL2</t>
  </si>
  <si>
    <t>Imported Imported Oil-High Sulfur, Low G, PADD 2</t>
  </si>
  <si>
    <t>OILHL3</t>
  </si>
  <si>
    <t>Imported Imported Oil-High Sulfur, Low G, PADD 3</t>
  </si>
  <si>
    <t>OILHL4</t>
  </si>
  <si>
    <t>Imported Imported Oil-High Sulfur, Low G, PADD 4</t>
  </si>
  <si>
    <t>OILHL5</t>
  </si>
  <si>
    <t>Imported Imported Oil-High Sulfur, Low G, PADD 5</t>
  </si>
  <si>
    <t>OILHV1</t>
  </si>
  <si>
    <t>Imported Imported Oil-High Sulfur, Very HG, PADD 1</t>
  </si>
  <si>
    <t>OILHV2</t>
  </si>
  <si>
    <t>Imported Imported Oil-High Sulfur, Very HG, PADD 2</t>
  </si>
  <si>
    <t>OILHV3</t>
  </si>
  <si>
    <t>Imported Imported Oil-High Sulfur, Very HG, PADD 3</t>
  </si>
  <si>
    <t>OILHV4</t>
  </si>
  <si>
    <t>Imported Imported Oil-High Sulfur, Very HG, PADD 4</t>
  </si>
  <si>
    <t>OILHV5</t>
  </si>
  <si>
    <t>Imported Imported Oil-High Sulfur, Very HG, PADD 5</t>
  </si>
  <si>
    <t>OILLL1</t>
  </si>
  <si>
    <t>Imported Imported Oil-Low Sulfur, Low G, PADD 1</t>
  </si>
  <si>
    <t>OILLL2</t>
  </si>
  <si>
    <t>Imported Imported Oil-Low Sulfur, Low G, PADD 2</t>
  </si>
  <si>
    <t>OILLL3</t>
  </si>
  <si>
    <t>Imported Imported Oil-Low Sulfur, Low G, PADD 3</t>
  </si>
  <si>
    <t>OILLL4</t>
  </si>
  <si>
    <t>Imported Imported Oil-Low Sulfur, Low G, PADD 4</t>
  </si>
  <si>
    <t>OILLL5</t>
  </si>
  <si>
    <t>Imported Imported Oil-Low Sulfur, Low G, PADD 5</t>
  </si>
  <si>
    <t>OILMH1</t>
  </si>
  <si>
    <t>Imported Imported Oil-Medium Sulfur, HG, PADD 1</t>
  </si>
  <si>
    <t>OILMH2</t>
  </si>
  <si>
    <t>Imported Imported Oil-Medium Sulfur, HG, PADD 2</t>
  </si>
  <si>
    <t>OILMH3</t>
  </si>
  <si>
    <t>Imported Imported Oil-Medium Sulfur, HG, PADD 3</t>
  </si>
  <si>
    <t>OILMH4</t>
  </si>
  <si>
    <t>Imported Imported Oil-Medium Sulfur, HG, PADD 4</t>
  </si>
  <si>
    <t>OILMH5</t>
  </si>
  <si>
    <t>Imported Imported Oil-Medium Sulfur, HG, PADD 5</t>
  </si>
  <si>
    <t>R1</t>
  </si>
  <si>
    <t>R3</t>
  </si>
  <si>
    <t>R2</t>
  </si>
  <si>
    <t>* Refined Oil Product Commodities</t>
  </si>
  <si>
    <t>GSC</t>
  </si>
  <si>
    <t>Conventional Gasoline</t>
  </si>
  <si>
    <t>GSR</t>
  </si>
  <si>
    <t>Reformulated Gasoline</t>
  </si>
  <si>
    <t>DSH</t>
  </si>
  <si>
    <t>Distillate-Heating Oil No. 2</t>
  </si>
  <si>
    <t>DSL</t>
  </si>
  <si>
    <t>Distillate-Low Sulfur Highway Diesel (500 ppm)</t>
  </si>
  <si>
    <t>DSU</t>
  </si>
  <si>
    <t>Distillate-Ultralow Sulfur Highway Diesel (15 ppm)</t>
  </si>
  <si>
    <t>JTF</t>
  </si>
  <si>
    <t>Jet Fuel</t>
  </si>
  <si>
    <t>KER</t>
  </si>
  <si>
    <t>Kerosene and Other Refined Products</t>
  </si>
  <si>
    <t>LPG</t>
  </si>
  <si>
    <t>MTH</t>
  </si>
  <si>
    <t>Methanol</t>
  </si>
  <si>
    <t>PFS</t>
  </si>
  <si>
    <t>Petrochemical Feedstocks</t>
  </si>
  <si>
    <t>RFH</t>
  </si>
  <si>
    <t>High Sulfur Residual Fuel Oil</t>
  </si>
  <si>
    <t>RFL</t>
  </si>
  <si>
    <t>Low Sulfur Residual Fuel Oil</t>
  </si>
  <si>
    <t>ASP</t>
  </si>
  <si>
    <t>Asphalt</t>
  </si>
  <si>
    <t>PTC</t>
  </si>
  <si>
    <t>Petroleum Coke</t>
  </si>
  <si>
    <t>ETH</t>
  </si>
  <si>
    <t>Ethanol</t>
  </si>
  <si>
    <t>ASPP1</t>
  </si>
  <si>
    <t>Ashpalt, PADD1</t>
  </si>
  <si>
    <t>ASPP2</t>
  </si>
  <si>
    <t>Ashpalt, PADD2</t>
  </si>
  <si>
    <t>ASPP3</t>
  </si>
  <si>
    <t>Ashpalt, PADD3</t>
  </si>
  <si>
    <t>ASPP4</t>
  </si>
  <si>
    <t>Ashpalt, PADD4</t>
  </si>
  <si>
    <t>ASPP5</t>
  </si>
  <si>
    <t>Ashpalt, PADD5</t>
  </si>
  <si>
    <t>* Refined Product Pipeline Trade Commodities</t>
  </si>
  <si>
    <t>* Refined Oil Product Traded by Barge/Vessel</t>
  </si>
  <si>
    <t>* Refined Oil Product End-Use Commodities</t>
  </si>
  <si>
    <t>Asphalt - End Use</t>
  </si>
  <si>
    <t>* Refined Products PADD Capacity and Expansion Material</t>
  </si>
  <si>
    <t>P1R1FLO</t>
  </si>
  <si>
    <t>MAT_ENT,MAT_ENC,MAT,MVO</t>
  </si>
  <si>
    <t>P1R2FLO</t>
  </si>
  <si>
    <t>P1R5FLO</t>
  </si>
  <si>
    <t>P2R4FLO</t>
  </si>
  <si>
    <t>P3R6FLO</t>
  </si>
  <si>
    <t>P4R8FLO</t>
  </si>
  <si>
    <t>P5R9FLO</t>
  </si>
  <si>
    <t>* Refined Products Trade Capacity and Expansion Material</t>
  </si>
  <si>
    <t>R3R6FLO</t>
  </si>
  <si>
    <t>R4R2FLO</t>
  </si>
  <si>
    <t>R4R6FLO</t>
  </si>
  <si>
    <t>R5R2FLO</t>
  </si>
  <si>
    <t>R6R3FLO</t>
  </si>
  <si>
    <t>R6R4FLO</t>
  </si>
  <si>
    <t>R8R4FLO</t>
  </si>
  <si>
    <t>R8R9FLO</t>
  </si>
  <si>
    <t>Technologies</t>
  </si>
  <si>
    <t>*Domestic oil supply and transport technologies</t>
  </si>
  <si>
    <t>PJ/a</t>
  </si>
  <si>
    <t>Domestic crude oil - step 1</t>
  </si>
  <si>
    <t>Domestic crude oil - step 2</t>
  </si>
  <si>
    <t>Domestic crude oil - step 3</t>
  </si>
  <si>
    <t>Domestic crude oil - step 4</t>
  </si>
  <si>
    <t>Domestic crude oil - step 5</t>
  </si>
  <si>
    <t>Domestic crude oil - step 6</t>
  </si>
  <si>
    <t>Domestic crude oil - step 7</t>
  </si>
  <si>
    <t>Domestic crude oil - step 8</t>
  </si>
  <si>
    <t>Domestic crude oil - step 9</t>
  </si>
  <si>
    <t>SCMINOILD</t>
  </si>
  <si>
    <t>Collector: MINOILD</t>
  </si>
  <si>
    <t>R5</t>
  </si>
  <si>
    <t>R4</t>
  </si>
  <si>
    <t>R6</t>
  </si>
  <si>
    <t>R7</t>
  </si>
  <si>
    <t>R8</t>
  </si>
  <si>
    <t>R9</t>
  </si>
  <si>
    <t>*Imported crude supply</t>
  </si>
  <si>
    <t>*Change names on Imported crude supply</t>
  </si>
  <si>
    <t>*Imported crude export from R0</t>
  </si>
  <si>
    <t>*Imported crude imports to demand region</t>
  </si>
  <si>
    <t>R2, R5</t>
  </si>
  <si>
    <t>R3, R4</t>
  </si>
  <si>
    <t>R6, R7</t>
  </si>
  <si>
    <t>*Imported crude delivery to refineries</t>
  </si>
  <si>
    <t>Imported crude delivery charge from PADD 1</t>
  </si>
  <si>
    <t>Imported crude delivery charge from PADD 2</t>
  </si>
  <si>
    <t>Imported crude delivery charge from PADD 3</t>
  </si>
  <si>
    <t>Imported crude delivery charge from PADD 4</t>
  </si>
  <si>
    <t>Imported crude delivery charge from PADD 5</t>
  </si>
  <si>
    <t>*Imported refined products supply</t>
  </si>
  <si>
    <t>IMPASPP1A</t>
  </si>
  <si>
    <t>Imported Asphalt, PADD 1, Step A</t>
  </si>
  <si>
    <t>IMPASPP2A</t>
  </si>
  <si>
    <t>Imported Asphalt, PADD 2, Step A</t>
  </si>
  <si>
    <t>IMPASPP3A</t>
  </si>
  <si>
    <t>Imported Asphalt, PADD 3, Step A</t>
  </si>
  <si>
    <t>IMPASPP4A</t>
  </si>
  <si>
    <t>IMPASPP5A</t>
  </si>
  <si>
    <t>*R0 Export of Imported Refined Products</t>
  </si>
  <si>
    <t>EXPASPP11</t>
  </si>
  <si>
    <t>Export of Imported Asphalt, PADD 1 to R1</t>
  </si>
  <si>
    <t>EXPASPP12</t>
  </si>
  <si>
    <t>Export of Imported Asphalt, PADD 1 to R2</t>
  </si>
  <si>
    <t>EXPASPP15</t>
  </si>
  <si>
    <t>Export of Imported Asphalt, PADD 1 to R5</t>
  </si>
  <si>
    <t>EXPASPP23</t>
  </si>
  <si>
    <t>Export of Imported Asphalt, PADD 2 to R3</t>
  </si>
  <si>
    <t>EXPASPP24</t>
  </si>
  <si>
    <t>Export of Imported Asphalt, PADD 2 to R4</t>
  </si>
  <si>
    <t>EXPASPP36</t>
  </si>
  <si>
    <t>Export of Imported Asphalt, PADD 3 to R6</t>
  </si>
  <si>
    <t>EXPASPP48</t>
  </si>
  <si>
    <t>EXPASPP59</t>
  </si>
  <si>
    <t>*Import of Imported Refined Products</t>
  </si>
  <si>
    <t>IMPASPP11</t>
  </si>
  <si>
    <t>R1 Import of Imported Asphalt, from PADD 1</t>
  </si>
  <si>
    <t>IMPASPP12</t>
  </si>
  <si>
    <t>R2 Import of Imported Asphalt, from PADD 1</t>
  </si>
  <si>
    <t>IMPASPP15</t>
  </si>
  <si>
    <t>R5 Import of Imported Asphalt, from PADD 1</t>
  </si>
  <si>
    <t>IMPASPP24</t>
  </si>
  <si>
    <t>R4 Import of Imported Asphalt, from PADD 2</t>
  </si>
  <si>
    <t>IMPASPP36</t>
  </si>
  <si>
    <t>R6 Import of Imported Asphalt, from PADD 3</t>
  </si>
  <si>
    <t>IMPASPP48</t>
  </si>
  <si>
    <t>R8 Import of Imported Asphalt, from PADD 4</t>
  </si>
  <si>
    <t>IMPASPP59</t>
  </si>
  <si>
    <t>R9 Import of Imported Asphalt, from PADD 5</t>
  </si>
  <si>
    <t>* Imported Refined Products delivery costs to end-use demands</t>
  </si>
  <si>
    <t>Delivery of Imported Asphalt to Industrial Sector</t>
  </si>
  <si>
    <t>* Refinery Products delivery costs to end-use demands</t>
  </si>
  <si>
    <t>* Refined Products Trade Export Pipeline Technologies</t>
  </si>
  <si>
    <t>* Refined Products Trade Import Pipeline Technologies</t>
  </si>
  <si>
    <t>* Refined Product Trade Import Barge/Vessel Technologies</t>
  </si>
  <si>
    <t>* Traded Pipeline Products delivery costs to end-use demands</t>
  </si>
  <si>
    <t>* Traded Barge Products Transfer (dummy)</t>
  </si>
  <si>
    <t>* Traded Barge Products delivery costs to end-use demands (XB)</t>
  </si>
  <si>
    <t>* PADD Imported Products Capacity and Expansion Techs</t>
  </si>
  <si>
    <t>TCH,PRC,PRV</t>
  </si>
  <si>
    <t>*  Traded Refined Products Capacity and Expansion Techs</t>
  </si>
  <si>
    <t>TechData</t>
  </si>
  <si>
    <t>*</t>
  </si>
  <si>
    <t>* Imported Asphalt</t>
  </si>
  <si>
    <t>Imported Asphalt, PADD 4, Step A</t>
  </si>
  <si>
    <t>Imported Asphalt, PADD 5, Step A</t>
  </si>
  <si>
    <t>CUM</t>
  </si>
  <si>
    <t>2005</t>
  </si>
  <si>
    <t>2010</t>
  </si>
  <si>
    <t>*Domestic crude delivery to refineries in PADD</t>
  </si>
  <si>
    <t>*Imported crude delivery to refineries in PADD</t>
  </si>
  <si>
    <t>* Trade Pipeline Products delivery to End-Use demands</t>
  </si>
  <si>
    <t>INDASP</t>
  </si>
  <si>
    <t>Conversion Factors</t>
  </si>
  <si>
    <t>Annual Energy Review 2007</t>
  </si>
  <si>
    <t xml:space="preserve">Tablele A1. Approximate Heat Content of Petroleum Products </t>
  </si>
  <si>
    <t>1 barrel (bbl)</t>
  </si>
  <si>
    <t>U. S. gallons (gal)</t>
  </si>
  <si>
    <t>http://www.eia.doe.gov/emeu/aer/append_a.html</t>
  </si>
  <si>
    <t>MMBTU</t>
  </si>
  <si>
    <t>(Million Btu per Barrel)</t>
  </si>
  <si>
    <t>MMBtu per bbl</t>
  </si>
  <si>
    <t>MMBtu per gal</t>
  </si>
  <si>
    <t>Quad=</t>
  </si>
  <si>
    <t xml:space="preserve"> Asphalt </t>
  </si>
  <si>
    <t>kwh=</t>
  </si>
  <si>
    <t>BTU</t>
  </si>
  <si>
    <t xml:space="preserve"> Aviation Gasoline </t>
  </si>
  <si>
    <t xml:space="preserve"> Butane </t>
  </si>
  <si>
    <t xml:space="preserve"> Butane- Propane Mixture (60 percent-40  percent) </t>
  </si>
  <si>
    <t xml:space="preserve">NIPA Table 1.1.9. Implicit Price Deflators for Gross Domestic Product                                                                                                                                                                                          </t>
  </si>
  <si>
    <t xml:space="preserve"> Distillate Fuel Oil </t>
  </si>
  <si>
    <t xml:space="preserve"> Ethane </t>
  </si>
  <si>
    <t xml:space="preserve"> Ethane- Propane Mixture (70 percent-30  percent) </t>
  </si>
  <si>
    <t>Year</t>
  </si>
  <si>
    <t xml:space="preserve"> Isobutane </t>
  </si>
  <si>
    <t>Deflator</t>
  </si>
  <si>
    <t xml:space="preserve"> Jet Fuel, Kerosene- Type </t>
  </si>
  <si>
    <t xml:space="preserve"> Jet Fuel, Naphtha- Type </t>
  </si>
  <si>
    <t xml:space="preserve"> Kerosene </t>
  </si>
  <si>
    <t xml:space="preserve"> Lubricants </t>
  </si>
  <si>
    <t>Motor Gasoline</t>
  </si>
  <si>
    <t xml:space="preserve">    Conventional  </t>
  </si>
  <si>
    <t xml:space="preserve">    Oxygenated  </t>
  </si>
  <si>
    <t xml:space="preserve">    Reformulated  </t>
  </si>
  <si>
    <t xml:space="preserve">    Fuel Ethanol </t>
  </si>
  <si>
    <t xml:space="preserve"> Natural Gasoline </t>
  </si>
  <si>
    <t xml:space="preserve"> Pentanes Plus </t>
  </si>
  <si>
    <t xml:space="preserve">    Naphtha less than 401° F </t>
  </si>
  <si>
    <t xml:space="preserve">    Other Oils equal to or greater than 401° F </t>
  </si>
  <si>
    <t xml:space="preserve">    Still Gas </t>
  </si>
  <si>
    <t xml:space="preserve"> Petroleum Coke </t>
  </si>
  <si>
    <t xml:space="preserve"> Plant Condensate </t>
  </si>
  <si>
    <t xml:space="preserve"> Propane </t>
  </si>
  <si>
    <t xml:space="preserve"> Residual Fuel Oil </t>
  </si>
  <si>
    <t xml:space="preserve"> Road Oil </t>
  </si>
  <si>
    <t xml:space="preserve"> Special Naphthas </t>
  </si>
  <si>
    <t xml:space="preserve"> Still Gas </t>
  </si>
  <si>
    <t xml:space="preserve"> Unfinished Oils </t>
  </si>
  <si>
    <t xml:space="preserve"> Unfractionated Stream </t>
  </si>
  <si>
    <t xml:space="preserve"> Waxes </t>
  </si>
  <si>
    <t xml:space="preserve"> Miscellaneous </t>
  </si>
  <si>
    <t>Crude-domestic</t>
  </si>
  <si>
    <t>Crude-imported</t>
  </si>
  <si>
    <t>Crude-average</t>
  </si>
  <si>
    <t>MMBtu per cf</t>
  </si>
  <si>
    <t>cf/bblFOE</t>
  </si>
  <si>
    <t>MMBtu per bblFOE</t>
  </si>
  <si>
    <t>Natural gas</t>
  </si>
  <si>
    <t>Table 1B. GREET Production Emissions Factors with Nonroad Sources Excluded, ktonnes/Petajoule</t>
  </si>
  <si>
    <t>Resource</t>
  </si>
  <si>
    <t>Extraction Description</t>
  </si>
  <si>
    <t>VOC</t>
  </si>
  <si>
    <t>CO</t>
  </si>
  <si>
    <t>OC</t>
  </si>
  <si>
    <t>Crude for Use in U.S. Refineries (no oil sands)</t>
  </si>
  <si>
    <t>ktonnes/Petajoule</t>
  </si>
  <si>
    <t>Coal</t>
  </si>
  <si>
    <t>Mining and Cleaning</t>
  </si>
  <si>
    <t>Natural Gas</t>
  </si>
  <si>
    <t>Recovery</t>
  </si>
  <si>
    <t>na</t>
  </si>
  <si>
    <t>Processing: Combustion</t>
  </si>
  <si>
    <t>Processing: Non-Combustion</t>
  </si>
  <si>
    <t>Natural Gas Total</t>
  </si>
  <si>
    <t>Uranium</t>
  </si>
  <si>
    <t>Mining</t>
  </si>
  <si>
    <t>Ore Transportation</t>
  </si>
  <si>
    <t>Enrichment</t>
  </si>
  <si>
    <t>Conversion, Fabrication, &amp; Waste Storage</t>
  </si>
  <si>
    <t>Uranium Total</t>
  </si>
  <si>
    <t>Emissions from natural gas distribution</t>
  </si>
  <si>
    <t>From GREET 1.8</t>
  </si>
  <si>
    <t>Natural Gas as a Processing Fuel (produced in North America)</t>
  </si>
  <si>
    <t>NG Recovery</t>
  </si>
  <si>
    <t>NG Processing</t>
  </si>
  <si>
    <t>NG Processing: Non-Combustion Emissions</t>
  </si>
  <si>
    <t>NG Transmission and Distribution</t>
  </si>
  <si>
    <t>Energy efficiency</t>
  </si>
  <si>
    <t>Urban emission share</t>
  </si>
  <si>
    <t>Loss factor</t>
  </si>
  <si>
    <t>Total emissions: grams/mmBtu of fuel throughput</t>
  </si>
  <si>
    <t>kT/PJ</t>
  </si>
  <si>
    <t xml:space="preserve">     VOC</t>
  </si>
  <si>
    <t xml:space="preserve">     CO</t>
  </si>
  <si>
    <t xml:space="preserve">     NOx</t>
  </si>
  <si>
    <t xml:space="preserve">     PM10</t>
  </si>
  <si>
    <t xml:space="preserve">     PM2.5</t>
  </si>
  <si>
    <t xml:space="preserve">     SOx</t>
  </si>
  <si>
    <t xml:space="preserve">     CH4: combustion</t>
  </si>
  <si>
    <t xml:space="preserve">     N2O</t>
  </si>
  <si>
    <t xml:space="preserve">     CO2</t>
  </si>
  <si>
    <t xml:space="preserve">     CH4: leakage</t>
  </si>
  <si>
    <t xml:space="preserve">     VOC evaporation</t>
  </si>
  <si>
    <t xml:space="preserve">     Misc. Items</t>
  </si>
  <si>
    <t>Distribution emissions (from column F, transposed)</t>
  </si>
  <si>
    <t>CH4</t>
  </si>
  <si>
    <t>CO2</t>
  </si>
  <si>
    <t>(Data in</t>
  </si>
  <si>
    <t>thousand barrels per day. Step</t>
  </si>
  <si>
    <t>quantiti</t>
  </si>
  <si>
    <t>es = individual step widths.)</t>
  </si>
  <si>
    <t>* Refined Product Import Quantities (Step 1)</t>
  </si>
  <si>
    <t>* Refined Product Import Prices (Step 1)</t>
  </si>
  <si>
    <t>Quantities</t>
  </si>
  <si>
    <t>Price (05M$/PJ)</t>
  </si>
  <si>
    <t>Quantity</t>
  </si>
  <si>
    <t>* PADD I</t>
  </si>
  <si>
    <t>Supply curve constants from 2010:</t>
  </si>
  <si>
    <t>Steps</t>
  </si>
  <si>
    <t>Price (87$/bbl)</t>
  </si>
  <si>
    <t>Petroleum Product Prices, Reference case</t>
  </si>
  <si>
    <t>Sector and Fuel</t>
  </si>
  <si>
    <t> Refined Petroleum Product Prices 8/</t>
  </si>
  <si>
    <t>   Motor Gasoline 4/</t>
  </si>
  <si>
    <t>   Jet Fuel 5/</t>
  </si>
  <si>
    <t>   Distillate Fuel Oil</t>
  </si>
  <si>
    <t>   Residual Fuel Oil</t>
  </si>
  <si>
    <t>     Average</t>
  </si>
  <si>
    <t>* PADD II</t>
  </si>
  <si>
    <t>* PADD III</t>
  </si>
  <si>
    <t>* PADD IV</t>
  </si>
  <si>
    <t>* PADD V</t>
  </si>
  <si>
    <t>US Department of Commerce: Bureau of Economic Analysis</t>
  </si>
  <si>
    <t>http://www.bea.gov/national/nipaweb/SelectTable.asp?Selected=Y</t>
  </si>
  <si>
    <t>Imported Asphalt, PADD5, Step A</t>
  </si>
  <si>
    <t>Imported Asphalt, PADD1, Step A</t>
  </si>
  <si>
    <t>Imported Asphalt, PADD2, Step A</t>
  </si>
  <si>
    <t>Imported Asphalt, PADD3, Step A</t>
  </si>
  <si>
    <t>Imported Asphalt, PADD4, Step A</t>
  </si>
  <si>
    <t>* Crude Oil Import Quantities (Step 1)</t>
  </si>
  <si>
    <t>* Crude Oil Import Prices (Step 1)</t>
  </si>
  <si>
    <t>Imported Crude Curves</t>
  </si>
  <si>
    <t>Region</t>
  </si>
  <si>
    <t> Lower 48 Average</t>
  </si>
  <si>
    <t> Lower 48 Onshore</t>
  </si>
  <si>
    <t>   Northeast</t>
  </si>
  <si>
    <t>   Gulf Coast</t>
  </si>
  <si>
    <t>   Midcontinent</t>
  </si>
  <si>
    <t>   Southwest</t>
  </si>
  <si>
    <t>   Rocky Mountain</t>
  </si>
  <si>
    <t>   West Coast</t>
  </si>
  <si>
    <t> Lower 48 Offshore</t>
  </si>
  <si>
    <t>   Gulf</t>
  </si>
  <si>
    <t>   Pacific</t>
  </si>
  <si>
    <t>   Atlantic</t>
  </si>
  <si>
    <t>   United States Total</t>
  </si>
  <si>
    <t>      Lower 48 Onshore</t>
  </si>
  <si>
    <t>         Tight Oil 3/</t>
  </si>
  <si>
    <t>         Carbon Dioxide Enhanced Oil Recovery</t>
  </si>
  <si>
    <t>         Other</t>
  </si>
  <si>
    <t>      Lower 48 Offshore</t>
  </si>
  <si>
    <t>      Alaska</t>
  </si>
  <si>
    <t>Costs to Trade Oil from one region to another</t>
  </si>
  <si>
    <t> Lower 48 Total</t>
  </si>
  <si>
    <t>     Shallow</t>
  </si>
  <si>
    <t>     Deep</t>
  </si>
  <si>
    <t>   - - = Not applicable.</t>
  </si>
  <si>
    <t>   Note:  Oil and Gas Supply Model regions are defined in Appendix F of the Annual Energy Outlook.  Totals may not equal sum of</t>
  </si>
  <si>
    <t>Production 1/</t>
  </si>
  <si>
    <t>(million barrels per day)</t>
  </si>
  <si>
    <t>   1/ Includes lease condensate.</t>
  </si>
  <si>
    <t>components due to independent rounding.  Data for 2009 and 2010</t>
  </si>
  <si>
    <t>may differ slightly from official EIA data</t>
  </si>
  <si>
    <t>reports due to internal conversion factors within the AEO2012 National Energy Modeling System.</t>
  </si>
  <si>
    <t>   Sources:  2009 and 2010:  U.S. Energy Information Administration (EIA), Petroleum Supply</t>
  </si>
  <si>
    <t>Annual 2010, DOE/EIA-0340(2010)/1 (Washington, DC, July 2011); EIA, Petroleum Marketing Monthly, DOE/EIA-0380(2011/08) (Washington, DC, August 2011);</t>
  </si>
  <si>
    <t>and EIA, Office of Energy Analysis.  Projections:  EIA, AEO2012 National Energy Modeling System.</t>
  </si>
  <si>
    <t>Step Price Adjustment</t>
  </si>
  <si>
    <t>Production and Supply</t>
  </si>
  <si>
    <t>Crude Oil</t>
  </si>
  <si>
    <t>Lower 48 Average Wellhead Price 1/</t>
  </si>
  <si>
    <t>(2010 dollars per barrel)</t>
  </si>
  <si>
    <t>Production (million barrels per day) 2/</t>
  </si>
  <si>
    <t>Lower 48 End of Year Reserves 2/</t>
  </si>
  <si>
    <t>(billion barrels)</t>
  </si>
  <si>
    <t>EXPOILD26</t>
  </si>
  <si>
    <t>EXPOILD35</t>
  </si>
  <si>
    <t>EXPOILD46</t>
  </si>
  <si>
    <t>EXPOILD53</t>
  </si>
  <si>
    <t>EXPOILD54</t>
  </si>
  <si>
    <t>OILD2</t>
  </si>
  <si>
    <t>OILD3</t>
  </si>
  <si>
    <t>OILD4</t>
  </si>
  <si>
    <t>OILD5</t>
  </si>
  <si>
    <t>OILD6</t>
  </si>
  <si>
    <t>Export of domestic crude from R2 to R3</t>
  </si>
  <si>
    <t>Export of domestic crude from R2 to R4</t>
  </si>
  <si>
    <t>Export of domestic crude from R2 to R6</t>
  </si>
  <si>
    <t>Export of domestic crude from R5 to R3</t>
  </si>
  <si>
    <t>Export of domestic crude from R5 to R4</t>
  </si>
  <si>
    <t>Export of domestic crude from R5 to R6</t>
  </si>
  <si>
    <t>Export of domestic crude from R3 to R2</t>
  </si>
  <si>
    <t>Export of domestic crude from R3 to R5</t>
  </si>
  <si>
    <t>Export of domestic crude from R3 to R6</t>
  </si>
  <si>
    <t>Export of domestic crude from R4 to R2</t>
  </si>
  <si>
    <t>Export of domestic crude from R4 to R5</t>
  </si>
  <si>
    <t>Export of domestic crude from R4 to R6</t>
  </si>
  <si>
    <t>Export of domestic crude from R6 to R2</t>
  </si>
  <si>
    <t>Export of domestic crude from R6 to R3</t>
  </si>
  <si>
    <t>Export of domestic crude from R6 to R4</t>
  </si>
  <si>
    <t>Export of domestic crude from R6 to R5</t>
  </si>
  <si>
    <t>IMPOILD26</t>
  </si>
  <si>
    <t>IMPOILD35</t>
  </si>
  <si>
    <t>IMPOILD46</t>
  </si>
  <si>
    <t>IMPOILD53</t>
  </si>
  <si>
    <t>IMPOILD54</t>
  </si>
  <si>
    <t>Import of domestic crude from R2 to R3</t>
  </si>
  <si>
    <t>Import of domestic crude from R2 to R4</t>
  </si>
  <si>
    <t>Import of domestic crude from R2 to R6</t>
  </si>
  <si>
    <t>Import of domestic crude from R5 to R3</t>
  </si>
  <si>
    <t>Import of domestic crude from R5 to R4</t>
  </si>
  <si>
    <t>Import of domestic crude from R5 to R6</t>
  </si>
  <si>
    <t>Import of domestic crude from R3 to R2</t>
  </si>
  <si>
    <t>Import of domestic crude from R3 to R5</t>
  </si>
  <si>
    <t>Import of domestic crude from R3 to R6</t>
  </si>
  <si>
    <t>Import of domestic crude from R4 to R2</t>
  </si>
  <si>
    <t>Import of domestic crude from R4 to R5</t>
  </si>
  <si>
    <t>Import of domestic crude from R4 to R6</t>
  </si>
  <si>
    <t>Import of domestic crude from R6 to R2</t>
  </si>
  <si>
    <t>Import of domestic crude from R6 to R3</t>
  </si>
  <si>
    <t>Import of domestic crude from R6 to R4</t>
  </si>
  <si>
    <t>Import of domestic crude from R6 to R5</t>
  </si>
  <si>
    <t>EXPOILD23</t>
  </si>
  <si>
    <t>EXPOILD24</t>
  </si>
  <si>
    <t>EXPOILD56</t>
  </si>
  <si>
    <t>EXPOILD36</t>
  </si>
  <si>
    <t>EXPOILD45</t>
  </si>
  <si>
    <t>EXPOILD62</t>
  </si>
  <si>
    <t>EXPOILD64</t>
  </si>
  <si>
    <t>EXPOILD65</t>
  </si>
  <si>
    <t>IMPOILD23</t>
  </si>
  <si>
    <t>IMPOILD24</t>
  </si>
  <si>
    <t>IMPOILD56</t>
  </si>
  <si>
    <t>IMPOILD36</t>
  </si>
  <si>
    <t>IMPOILD45</t>
  </si>
  <si>
    <t>IMPOILD62</t>
  </si>
  <si>
    <t>IMPOILD64</t>
  </si>
  <si>
    <t>IMPOILD65</t>
  </si>
  <si>
    <t>Domestic Crude Oil - R2</t>
  </si>
  <si>
    <t>Domestic Crude Oil - R3</t>
  </si>
  <si>
    <t>Domestic Crude Oil - R4</t>
  </si>
  <si>
    <t>Domestic Crude Oil - R5</t>
  </si>
  <si>
    <t>Domestic Crude Oil - R6</t>
  </si>
  <si>
    <t>XOILD3</t>
  </si>
  <si>
    <t>Domestic crude delivery charge from R3</t>
  </si>
  <si>
    <t>XOILD4</t>
  </si>
  <si>
    <t>Domestic crude delivery charge from R4</t>
  </si>
  <si>
    <t>XOILD5</t>
  </si>
  <si>
    <t>Domestic crude delivery charge from R5</t>
  </si>
  <si>
    <t>XOILD6</t>
  </si>
  <si>
    <t>Domestic crude delivery charge from R6</t>
  </si>
  <si>
    <t>XOILD23</t>
  </si>
  <si>
    <t>XOILD24</t>
  </si>
  <si>
    <t>XOILD26</t>
  </si>
  <si>
    <t>XOILD53</t>
  </si>
  <si>
    <t>XOILD54</t>
  </si>
  <si>
    <t>XOILD56</t>
  </si>
  <si>
    <t>XOILD57</t>
  </si>
  <si>
    <t>XOILD35</t>
  </si>
  <si>
    <t>XOILD36</t>
  </si>
  <si>
    <t>XOILD37</t>
  </si>
  <si>
    <t>XOILD38</t>
  </si>
  <si>
    <t>XOILD45</t>
  </si>
  <si>
    <t>XOILD46</t>
  </si>
  <si>
    <t>XOILD47</t>
  </si>
  <si>
    <t>XOILD48</t>
  </si>
  <si>
    <t>XOILD62</t>
  </si>
  <si>
    <t>XOILD64</t>
  </si>
  <si>
    <t>XOILD65</t>
  </si>
  <si>
    <t>XOILD72</t>
  </si>
  <si>
    <t>XOILD74</t>
  </si>
  <si>
    <t>XOILD75</t>
  </si>
  <si>
    <t>XOILD83</t>
  </si>
  <si>
    <t>XOILD86</t>
  </si>
  <si>
    <t>XOILD87</t>
  </si>
  <si>
    <t>XOILD92</t>
  </si>
  <si>
    <t>XOILD93</t>
  </si>
  <si>
    <t>XOILD94</t>
  </si>
  <si>
    <t>Delivery of domestic crude from R2 to R3</t>
  </si>
  <si>
    <t>Delivery of domestic crude from R2 to R4</t>
  </si>
  <si>
    <t>Delivery of domestic crude from R2 to R6</t>
  </si>
  <si>
    <t>Delivery of domestic crude from R5 to R3</t>
  </si>
  <si>
    <t>Delivery of domestic crude from R5 to R4</t>
  </si>
  <si>
    <t>Delivery of domestic crude from R5 to R6</t>
  </si>
  <si>
    <t>Delivery of domestic crude from R3 to R2</t>
  </si>
  <si>
    <t>Delivery of domestic crude from R3 to R5</t>
  </si>
  <si>
    <t>Delivery of domestic crude from R3 to R6</t>
  </si>
  <si>
    <t>Delivery of domestic crude from R4 to R2</t>
  </si>
  <si>
    <t>Delivery of domestic crude from R4 to R5</t>
  </si>
  <si>
    <t>Delivery of domestic crude from R4 to R6</t>
  </si>
  <si>
    <t>Delivery of domestic crude from R6 to R2</t>
  </si>
  <si>
    <t>Delivery of domestic crude from R6 to R3</t>
  </si>
  <si>
    <t>Delivery of domestic crude from R6 to R4</t>
  </si>
  <si>
    <t>Delivery of domestic crude from R6 to R5</t>
  </si>
  <si>
    <t>XOILD32</t>
  </si>
  <si>
    <t>XOILD42</t>
  </si>
  <si>
    <t>XOILD63</t>
  </si>
  <si>
    <t>XOILD73</t>
  </si>
  <si>
    <t>XOILD84</t>
  </si>
  <si>
    <t>State</t>
  </si>
  <si>
    <t>MARKAL Region</t>
  </si>
  <si>
    <t>Alabama</t>
  </si>
  <si>
    <t>Arkansas</t>
  </si>
  <si>
    <t>California</t>
  </si>
  <si>
    <t>Colorado</t>
  </si>
  <si>
    <t>Florida</t>
  </si>
  <si>
    <t>Kansas</t>
  </si>
  <si>
    <t>Kentucky</t>
  </si>
  <si>
    <t>Louisiana</t>
  </si>
  <si>
    <t>Michigan</t>
  </si>
  <si>
    <t>Mississippi</t>
  </si>
  <si>
    <t>Montana</t>
  </si>
  <si>
    <t>New Mexico</t>
  </si>
  <si>
    <t>North Dakota</t>
  </si>
  <si>
    <t>Ohio</t>
  </si>
  <si>
    <t>Oklahoma</t>
  </si>
  <si>
    <t>Pennsylvania</t>
  </si>
  <si>
    <t>Texas</t>
  </si>
  <si>
    <t>Utah</t>
  </si>
  <si>
    <t>West Virginia</t>
  </si>
  <si>
    <t>Wyoming</t>
  </si>
  <si>
    <t>Misc*</t>
  </si>
  <si>
    <t>Fed Offshore: California</t>
  </si>
  <si>
    <t>Fed Offshore: Louisianna</t>
  </si>
  <si>
    <t>Fed Offshore: Texas</t>
  </si>
  <si>
    <t>Reserves by Region</t>
  </si>
  <si>
    <t>Reserves PJ</t>
  </si>
  <si>
    <t>Millions Barrels</t>
  </si>
  <si>
    <t>Illinois</t>
  </si>
  <si>
    <t>Indiana</t>
  </si>
  <si>
    <t>Nebraska</t>
  </si>
  <si>
    <t>* Includes Arizona, Missouri, Nevada, New York, South Dakota, Tenessee, Virginia</t>
  </si>
  <si>
    <t>MINOILD6</t>
  </si>
  <si>
    <t>MINOILD7</t>
  </si>
  <si>
    <t>MINOILD8</t>
  </si>
  <si>
    <t>MINOILD9</t>
  </si>
  <si>
    <t xml:space="preserve">[Index numbers, 2009=100]                                                                                                                                                                                                                                 </t>
  </si>
  <si>
    <t>Downloaded on 1/09/2014    Last Revised 12/23/2013</t>
  </si>
  <si>
    <t>To bring to $2005</t>
  </si>
  <si>
    <t>1983</t>
  </si>
  <si>
    <t>1984</t>
  </si>
  <si>
    <t>1985</t>
  </si>
  <si>
    <t>1986</t>
  </si>
  <si>
    <t>1987</t>
  </si>
  <si>
    <t>1988</t>
  </si>
  <si>
    <t>1989</t>
  </si>
  <si>
    <t>1990</t>
  </si>
  <si>
    <t>1991</t>
  </si>
  <si>
    <t>1992</t>
  </si>
  <si>
    <t>1993</t>
  </si>
  <si>
    <t>1994</t>
  </si>
  <si>
    <t>1995</t>
  </si>
  <si>
    <t>1996</t>
  </si>
  <si>
    <t>1997</t>
  </si>
  <si>
    <t>1998</t>
  </si>
  <si>
    <t>1999</t>
  </si>
  <si>
    <t>2000</t>
  </si>
  <si>
    <t>2001</t>
  </si>
  <si>
    <t>2002</t>
  </si>
  <si>
    <t>2003</t>
  </si>
  <si>
    <t>2004</t>
  </si>
  <si>
    <t>2006</t>
  </si>
  <si>
    <t>2007</t>
  </si>
  <si>
    <t>2008</t>
  </si>
  <si>
    <t>2009</t>
  </si>
  <si>
    <t>2011</t>
  </si>
  <si>
    <t>2012</t>
  </si>
  <si>
    <t>- -</t>
  </si>
  <si>
    <t>Wellhead Prices (2012 dollars per barrel)</t>
  </si>
  <si>
    <t>AEO2014 Lower 48 Crude Oil Production and Wellhead Prices by Supply Region, Reference case</t>
  </si>
  <si>
    <t>AEO2014 Oil and Gas Supply, Reference case</t>
  </si>
  <si>
    <t>Growth 2045+</t>
  </si>
  <si>
    <t>Data from EIA U.S. Crude Oil, Natural Gas, and Natural Gas Liquids Proved Reserves, 2011</t>
  </si>
  <si>
    <t>Table 7: Crude oil proved reserves, reserves changes, and production, 2011</t>
  </si>
  <si>
    <t>http://www.eia.gov/naturalgas/crudeoilreserves/pdf/table_7.pdf</t>
  </si>
  <si>
    <t>Proved Reserves as of 12/31/11</t>
  </si>
  <si>
    <t>   Propane</t>
  </si>
  <si>
    <t>   Residual Fuel Oil (2012 dollars per barrel)</t>
  </si>
  <si>
    <t>Crude Oil Prices (2012 dollars per barrel)</t>
  </si>
  <si>
    <t>   Brent Spot</t>
  </si>
  <si>
    <t>   West Texas Intermediate Spot</t>
  </si>
  <si>
    <t>   Average Imported Cost 1/</t>
  </si>
  <si>
    <t>From AEO2014 Appendix 146</t>
  </si>
  <si>
    <t xml:space="preserve">Step 3 Price Starting Point: </t>
  </si>
  <si>
    <t>(2012 dollars per gallon, unless otherwise noted)</t>
  </si>
  <si>
    <t>2010 in 2012$</t>
  </si>
  <si>
    <t>*5% above average price</t>
  </si>
  <si>
    <t>Burnham, A., et al. (2011). "Life-Cycle Greenhouse Gas Emissions of Shale Gas, Natural Gas, Coal, and Petroleum." Environmental Science &amp; Technology.</t>
  </si>
  <si>
    <t>We estimated the average flaring emissions to be 1,063 grams CO2 per million Btu of crude oil and the
vented emissions to be 60 grams CH4 per million Btu of crude oil. We also updated the methane
emissions from surface mined oil sands as emissions from tailing ponds were roughly 110 grams CH4
per million Btu of oil sands.30 Howarth et al. assume that indirect CO2 emissions are about 8% of direct
emissions from fossil fuel combustion for recovery, processing, and transporting oil, while methane
leakage is 130 grams CH4 per million Btu of oil citing NETL.15,31 Howarth et al. did not examine
emissions from oil sands.1</t>
  </si>
  <si>
    <t>NREL LCI Digital Commons</t>
  </si>
  <si>
    <t>kg</t>
  </si>
  <si>
    <t>Inputs</t>
  </si>
  <si>
    <t>Diesel</t>
  </si>
  <si>
    <t>Elc</t>
  </si>
  <si>
    <t>Gasoline</t>
  </si>
  <si>
    <t>NG</t>
  </si>
  <si>
    <t>L</t>
  </si>
  <si>
    <t>kWh</t>
  </si>
  <si>
    <t>m^3</t>
  </si>
  <si>
    <t>Crude oil</t>
  </si>
  <si>
    <t>MJ/kg</t>
  </si>
  <si>
    <t>MJ/L</t>
  </si>
  <si>
    <t>MJ/m3</t>
  </si>
  <si>
    <t>MJ</t>
  </si>
  <si>
    <t>kT/PJ of crude</t>
  </si>
  <si>
    <t>g/mmBTU of crude</t>
  </si>
  <si>
    <t>COMPARISON</t>
  </si>
  <si>
    <t>GREET</t>
  </si>
  <si>
    <t>Burnham</t>
  </si>
  <si>
    <t xml:space="preserve">NOTE: For CO2 and CH4 emissions for crude oil extraction, three sources (i.e., GREET, Burnham etal 2011, NREL LCI Database) was analyzed. All individual calculations are given below. As defaults, the NREL LCI numbers were set due to fact that it includes vented CH4 emissions, as well as emissions associated with fuel and electricity used during the extraction of the crude. We think that the GREET numbers would include that as well, however the version we used were an older version. </t>
  </si>
  <si>
    <t>Outputs</t>
  </si>
  <si>
    <t>CO2 Factor</t>
  </si>
  <si>
    <t>Total CO2</t>
  </si>
  <si>
    <t>kT</t>
  </si>
  <si>
    <t>CH4 Factor</t>
  </si>
  <si>
    <t>Total CH4</t>
  </si>
  <si>
    <t>NREL*</t>
  </si>
  <si>
    <t>*Selected as default</t>
  </si>
  <si>
    <t>*R8</t>
  </si>
  <si>
    <t>*R9</t>
  </si>
  <si>
    <t>Total</t>
  </si>
  <si>
    <t>R0,R1,R2,R3,R4,R5,R6</t>
  </si>
  <si>
    <t>*R1,R2,R3,R4,R5,R6</t>
  </si>
  <si>
    <t>Export of domestic crude from R1 to R2</t>
  </si>
  <si>
    <t>Export of domestic crude from R1 to R3</t>
  </si>
  <si>
    <t>Export of domestic crude from R1 to R4</t>
  </si>
  <si>
    <t>Export of domestic crude from R1 to R5</t>
  </si>
  <si>
    <t>EXPOILD12</t>
  </si>
  <si>
    <t>EXPOILD13</t>
  </si>
  <si>
    <t>EXPOILD14</t>
  </si>
  <si>
    <t>EXPOILD15</t>
  </si>
  <si>
    <t>EXPOILD16</t>
  </si>
  <si>
    <t>Export of domestic crude from R1 to R6</t>
  </si>
  <si>
    <t>Export of domestic crude from R2 to R5</t>
  </si>
  <si>
    <t>EXPOILD25</t>
  </si>
  <si>
    <t>Export of domestic crude from R3 to R4</t>
  </si>
  <si>
    <t>EXPOILD32</t>
  </si>
  <si>
    <t>EXPOILD34</t>
  </si>
  <si>
    <t>Export of domestic crude from R4 to R3</t>
  </si>
  <si>
    <t>EXPOILD42</t>
  </si>
  <si>
    <t>EXPOILD43</t>
  </si>
  <si>
    <t>Export of domestic crude from R5 to R2</t>
  </si>
  <si>
    <t>Import of domestic crude from R2 to R5</t>
  </si>
  <si>
    <t>IMPOILD25</t>
  </si>
  <si>
    <t>Import of domestic crude from R5 to R2</t>
  </si>
  <si>
    <t>IMPOILD52</t>
  </si>
  <si>
    <t>Import of domestic crude from R3 to R4</t>
  </si>
  <si>
    <t>IMPOILD32</t>
  </si>
  <si>
    <t>Import of domestic crude from R4 to R3</t>
  </si>
  <si>
    <t>IMPOILD42</t>
  </si>
  <si>
    <t>IMPOILD43</t>
  </si>
  <si>
    <t>*R0</t>
  </si>
  <si>
    <t>*R7</t>
  </si>
  <si>
    <t>EPAUS9R Crude Reserves</t>
  </si>
  <si>
    <t>NYC MARKAL Crude Reserves</t>
  </si>
  <si>
    <t>Blank</t>
  </si>
  <si>
    <t>* R1 in the NYC model is NE &amp; MA regions in EPAUS9R</t>
  </si>
  <si>
    <t>Delivery of domestic crude from R5 to *R7</t>
  </si>
  <si>
    <t>Delivery of domestic crude from R3 to *R7</t>
  </si>
  <si>
    <t>Delivery of domestic crude from R4 to *R7</t>
  </si>
  <si>
    <t>Delivery of domestic crude from *R7 to R2</t>
  </si>
  <si>
    <t>Delivery of domestic crude from *R7 to R3</t>
  </si>
  <si>
    <t>Delivery of domestic crude from *R7 to R4</t>
  </si>
  <si>
    <t>Delivery of domestic crude from *R7 to R5</t>
  </si>
  <si>
    <t>**R7</t>
  </si>
  <si>
    <t>Delivery of domestic crude from R3 to *R8</t>
  </si>
  <si>
    <t>Delivery of domestic crude from R4 to *R8</t>
  </si>
  <si>
    <t>Delivery of domestic crude from *R8 to R3</t>
  </si>
  <si>
    <t>Delivery of domestic crude from *R8 to R4</t>
  </si>
  <si>
    <t>Delivery of domestic crude from *R8 to R6</t>
  </si>
  <si>
    <t>Delivery of domestic crude from *R8 to *R7</t>
  </si>
  <si>
    <t>Export of Imported Asphalt, PADD 4 to *R8</t>
  </si>
  <si>
    <t>Delivery of domestic crude from *R9 to R2</t>
  </si>
  <si>
    <t>Delivery of domestic crude from *R9 to R3</t>
  </si>
  <si>
    <t>Delivery of domestic crude from *R9 to R4</t>
  </si>
  <si>
    <t>Export of Imported Asphalt, PADD 5 to *R9</t>
  </si>
  <si>
    <t>XOILD25</t>
  </si>
  <si>
    <t>Delivery of domestic crude from R2 to R5</t>
  </si>
  <si>
    <t>*R2</t>
  </si>
  <si>
    <t>*R3</t>
  </si>
  <si>
    <t>*R4</t>
  </si>
  <si>
    <t>*R5</t>
  </si>
  <si>
    <t>*R6</t>
  </si>
  <si>
    <t>* Refined Products Trade Export Tanker/Barge Technologies (NEED BARGE FROM R1 TO R2-R6)</t>
  </si>
  <si>
    <t>*R1</t>
  </si>
  <si>
    <t>*R3,R6</t>
  </si>
  <si>
    <t>*R2,R5,R6</t>
  </si>
  <si>
    <t>*R1,R2,R3,R4,R5</t>
  </si>
  <si>
    <t>* Imported Refined Oil Product Commodities (R0 to R1, NYC Regions 2-6 Import from R1)</t>
  </si>
  <si>
    <t>*R2,R3,R4,R5,R6</t>
  </si>
  <si>
    <t>OILD1</t>
  </si>
  <si>
    <t>Domestic Crude Oil - R1</t>
  </si>
  <si>
    <t>EXPOILD52</t>
  </si>
  <si>
    <t>EXPOILD63</t>
  </si>
  <si>
    <t>IMPOILD63</t>
  </si>
  <si>
    <t>RESRFL</t>
  </si>
  <si>
    <t>IMPOILD34</t>
  </si>
  <si>
    <t>TechData_Boiler</t>
  </si>
  <si>
    <t>IMTEBPVCOA</t>
  </si>
  <si>
    <t>Steam Coal</t>
  </si>
  <si>
    <t>Steam</t>
  </si>
  <si>
    <t>Secondary Steel</t>
  </si>
  <si>
    <t>TechData_CHP</t>
  </si>
  <si>
    <t>IMTECHLRFL</t>
  </si>
  <si>
    <t>Residual Oil</t>
  </si>
  <si>
    <t>IMTEBSTRFL</t>
  </si>
  <si>
    <t>IMTEBHLRFL</t>
  </si>
  <si>
    <t>IMTEREGNGA</t>
  </si>
  <si>
    <t>IMTEMTTNGA</t>
  </si>
  <si>
    <t>IMTECCTNGA</t>
  </si>
  <si>
    <t>IMTEBSTNGA</t>
  </si>
  <si>
    <t>IMTEBOLNGA</t>
  </si>
  <si>
    <t>IMTEBOLDST</t>
  </si>
  <si>
    <t>Distillate Oil</t>
  </si>
  <si>
    <t>TechData_OTR</t>
  </si>
  <si>
    <t>IMTEPRHCOA</t>
  </si>
  <si>
    <t>Process Heat</t>
  </si>
  <si>
    <t>IMTEPRHNGA</t>
  </si>
  <si>
    <t>IMTEPRHELC</t>
  </si>
  <si>
    <t>Electricity</t>
  </si>
  <si>
    <t>IMTEPRHDST</t>
  </si>
  <si>
    <t>IMTEOHTRFL</t>
  </si>
  <si>
    <t>Other Heat</t>
  </si>
  <si>
    <t>IMTEOHTBIO</t>
  </si>
  <si>
    <t>Biomass</t>
  </si>
  <si>
    <t>Renewables</t>
  </si>
  <si>
    <t>IMTEOHTPTC</t>
  </si>
  <si>
    <t>IMTEOHTELC</t>
  </si>
  <si>
    <t>IMTEMDRNGA</t>
  </si>
  <si>
    <t>Machine Drive</t>
  </si>
  <si>
    <t>IMTEMDRELC</t>
  </si>
  <si>
    <t>IMTEFEDBIO</t>
  </si>
  <si>
    <t>Feedstock</t>
  </si>
  <si>
    <t>IMTEFEDPTC</t>
  </si>
  <si>
    <t>IMTEFEDNGA</t>
  </si>
  <si>
    <t>IMTEFEDCOK</t>
  </si>
  <si>
    <t>Coke</t>
  </si>
  <si>
    <t>IMTEFACCOA</t>
  </si>
  <si>
    <t>Facilities</t>
  </si>
  <si>
    <t>IMTEFACNGA</t>
  </si>
  <si>
    <t>IMTEFACELC</t>
  </si>
  <si>
    <t>IMTEFACDST</t>
  </si>
  <si>
    <t>IMTEETCELC</t>
  </si>
  <si>
    <t>Electrochemical</t>
  </si>
  <si>
    <t>IMLEBSTCOA</t>
  </si>
  <si>
    <t>Secondary Aluminum</t>
  </si>
  <si>
    <t>IMLEREGNGA</t>
  </si>
  <si>
    <t>IMLEFCLNGA</t>
  </si>
  <si>
    <t>IMLECCTNGA</t>
  </si>
  <si>
    <t>IMLEPRHNGA</t>
  </si>
  <si>
    <t>IMLEPRHELC</t>
  </si>
  <si>
    <t>IMLEOHTCOA</t>
  </si>
  <si>
    <t>IMLEOHTLPG</t>
  </si>
  <si>
    <t>IMLEMDRELC</t>
  </si>
  <si>
    <t>IMLEETCELC</t>
  </si>
  <si>
    <t>IPLST_CHP</t>
  </si>
  <si>
    <t>IPLEBSTCOA</t>
  </si>
  <si>
    <t>Pulp</t>
  </si>
  <si>
    <t>IPLEBSARFL</t>
  </si>
  <si>
    <t>IPLECCTNGA</t>
  </si>
  <si>
    <t>IPLEBSTNGA</t>
  </si>
  <si>
    <t>IPLST_NGA</t>
  </si>
  <si>
    <t>IPLEBOLNGA</t>
  </si>
  <si>
    <t>IPLEBSADST</t>
  </si>
  <si>
    <t>IPLST_DST</t>
  </si>
  <si>
    <t>IPLEBOLDST</t>
  </si>
  <si>
    <t>IPLPH_RFL</t>
  </si>
  <si>
    <t>IPLEPRHRFL</t>
  </si>
  <si>
    <t>IPLPH_NGA</t>
  </si>
  <si>
    <t>IPLEPRHNGA</t>
  </si>
  <si>
    <t>IPLPH_ELC</t>
  </si>
  <si>
    <t>IPLEPRHELC</t>
  </si>
  <si>
    <t>TechData_IPBIO</t>
  </si>
  <si>
    <t>IPLOH_CHP</t>
  </si>
  <si>
    <t>IPLECSWWOD</t>
  </si>
  <si>
    <t>Hog Fuel</t>
  </si>
  <si>
    <t>IPLECSDWOD</t>
  </si>
  <si>
    <t>IPLOH_BIO</t>
  </si>
  <si>
    <t>IPLEBSWWOD</t>
  </si>
  <si>
    <t>IPLEBSDWOD</t>
  </si>
  <si>
    <t>IPLEBFBWOD</t>
  </si>
  <si>
    <t>IPLEBSTTOM</t>
  </si>
  <si>
    <t>Black Liquor; Hog Fuel</t>
  </si>
  <si>
    <t>IPLEBHLTOM</t>
  </si>
  <si>
    <t>IPLEBASTOM</t>
  </si>
  <si>
    <t>IPLEOHTBIO</t>
  </si>
  <si>
    <t>IPLOH_PTC</t>
  </si>
  <si>
    <t>IPLEOHTPTC</t>
  </si>
  <si>
    <t>IPLOH_OTP</t>
  </si>
  <si>
    <t>IPLEOHTOTP</t>
  </si>
  <si>
    <t>Other Petroleum</t>
  </si>
  <si>
    <t>IPLMD_ELC</t>
  </si>
  <si>
    <t>IPLEMDRELC</t>
  </si>
  <si>
    <t>IMSEBPVCOA</t>
  </si>
  <si>
    <t>Primary Steel</t>
  </si>
  <si>
    <t>IMSECHLRFL</t>
  </si>
  <si>
    <t>IMSEBSTRFL</t>
  </si>
  <si>
    <t>IMSEBHLRFL</t>
  </si>
  <si>
    <t>IMSEREGNGA</t>
  </si>
  <si>
    <t>IMSEMTTNGA</t>
  </si>
  <si>
    <t>IMSECCTNGA</t>
  </si>
  <si>
    <t>IMSEBSTNGA</t>
  </si>
  <si>
    <t>IMSEBOLNGA</t>
  </si>
  <si>
    <t>IMSEBOLDST</t>
  </si>
  <si>
    <t>IMSEPRHCOA</t>
  </si>
  <si>
    <t>IMSEPRHNGA</t>
  </si>
  <si>
    <t>IMSEPRHELC</t>
  </si>
  <si>
    <t>IMSEPRHDST</t>
  </si>
  <si>
    <t>IMSEOHTRFL</t>
  </si>
  <si>
    <t>IMSEOHTBIO</t>
  </si>
  <si>
    <t>IMSEOHTPTC</t>
  </si>
  <si>
    <t>IMSEOHTELC</t>
  </si>
  <si>
    <t>IMSEMDRNGA</t>
  </si>
  <si>
    <t>IMSEMDRELC</t>
  </si>
  <si>
    <t>IMSEFEDBIO</t>
  </si>
  <si>
    <t>IMSEFEDPTC</t>
  </si>
  <si>
    <t>IMSEFEDNGA</t>
  </si>
  <si>
    <t>IMSEFEDCOK</t>
  </si>
  <si>
    <t>IMSEFACCOA</t>
  </si>
  <si>
    <t>IMSEFACNGA</t>
  </si>
  <si>
    <t>IMSEFACELC</t>
  </si>
  <si>
    <t>IMSEFACDST</t>
  </si>
  <si>
    <t>IMSEETCELC</t>
  </si>
  <si>
    <t>IMAECPVCOA</t>
  </si>
  <si>
    <t>Primary Aluminum</t>
  </si>
  <si>
    <t>IMAECCTNGA</t>
  </si>
  <si>
    <t>IMAEBSTNGA</t>
  </si>
  <si>
    <t>IMAEBOLNGA</t>
  </si>
  <si>
    <t>IMAEPRHNGA</t>
  </si>
  <si>
    <t>IMAEPRHELC</t>
  </si>
  <si>
    <t>IMAEOHTPTC</t>
  </si>
  <si>
    <t>IMAEMDRNGA</t>
  </si>
  <si>
    <t>IMAEMDRELC</t>
  </si>
  <si>
    <t>IMAEFEDPTC</t>
  </si>
  <si>
    <t>IMAEFEDNGA</t>
  </si>
  <si>
    <t>IMAEFACNGA</t>
  </si>
  <si>
    <t>IMAEFACELC</t>
  </si>
  <si>
    <t>IMAEFACDST</t>
  </si>
  <si>
    <t>IMAEETCELC</t>
  </si>
  <si>
    <t>ICPECSOCOA</t>
  </si>
  <si>
    <t>Plastics, Fibers, and Resins</t>
  </si>
  <si>
    <t>ICPECPVCOA</t>
  </si>
  <si>
    <t>ICPEBSTCOA</t>
  </si>
  <si>
    <t>ICPEBSOCOA</t>
  </si>
  <si>
    <t>ICPEBPVCOA</t>
  </si>
  <si>
    <t>ICPEBFBCOA</t>
  </si>
  <si>
    <t>ICPECHLRFL</t>
  </si>
  <si>
    <t>ICPEBOLRFL</t>
  </si>
  <si>
    <t>ICPEBHLRFL</t>
  </si>
  <si>
    <t>ICPEREGNGA</t>
  </si>
  <si>
    <t>ICPEMTTNGA</t>
  </si>
  <si>
    <t>ICPECCTNGA</t>
  </si>
  <si>
    <t>ICPEBSTNGA</t>
  </si>
  <si>
    <t>ICPEBOLNGA</t>
  </si>
  <si>
    <t>ICPEBOLLPG</t>
  </si>
  <si>
    <t>ICPEBOLELC</t>
  </si>
  <si>
    <t>ICPEBOLDST</t>
  </si>
  <si>
    <t>ICPEBLLDST</t>
  </si>
  <si>
    <t>ICPEPRHNGA</t>
  </si>
  <si>
    <t>ICPEPRHELC</t>
  </si>
  <si>
    <t>ICPEOHTRFL</t>
  </si>
  <si>
    <t>ICPEOHTOTP</t>
  </si>
  <si>
    <t>ICPEOHTELC</t>
  </si>
  <si>
    <t>ICPEOHTDST</t>
  </si>
  <si>
    <t>ICPEMDRNGA</t>
  </si>
  <si>
    <t>ICPEMDRELC</t>
  </si>
  <si>
    <t>ICPEFEDPFS</t>
  </si>
  <si>
    <t>Petrochemical Feedstock</t>
  </si>
  <si>
    <t>ICPEFEDNGA</t>
  </si>
  <si>
    <t>ICPEFEDLPG</t>
  </si>
  <si>
    <t>ICPEFACNGA</t>
  </si>
  <si>
    <t>ICPEFACELC</t>
  </si>
  <si>
    <t>ICPEETCELC</t>
  </si>
  <si>
    <t>IPBST_CHP</t>
  </si>
  <si>
    <t>IPBECSOCOA</t>
  </si>
  <si>
    <t>Paperboard</t>
  </si>
  <si>
    <t>IPBECPVCOA</t>
  </si>
  <si>
    <t>IPBECFBCOA</t>
  </si>
  <si>
    <t>IPBEBSTCOA</t>
  </si>
  <si>
    <t>IPBST_COA</t>
  </si>
  <si>
    <t>IPBEBSOCOA</t>
  </si>
  <si>
    <t>IPBEBPVCOA</t>
  </si>
  <si>
    <t>IPBEBFBCOA</t>
  </si>
  <si>
    <t>IPBEREGRFL</t>
  </si>
  <si>
    <t>IPBEBSTRFL</t>
  </si>
  <si>
    <t>IPBEBSARFL</t>
  </si>
  <si>
    <t>IPBST_RFL</t>
  </si>
  <si>
    <t>IPBEBASRFL</t>
  </si>
  <si>
    <t>IPBEREGNGA</t>
  </si>
  <si>
    <t>IPBECCTNGA</t>
  </si>
  <si>
    <t>IPBEBSTNGA</t>
  </si>
  <si>
    <t>IPBST_NGA</t>
  </si>
  <si>
    <t>IPBEBOLNGA</t>
  </si>
  <si>
    <t>IPBST_ELC</t>
  </si>
  <si>
    <t>IPBEBOLELC</t>
  </si>
  <si>
    <t>IPBEREGDST</t>
  </si>
  <si>
    <t>IPBECLLDST</t>
  </si>
  <si>
    <t>IPBEBSTDST</t>
  </si>
  <si>
    <t>IPBEBSADST</t>
  </si>
  <si>
    <t>IPBST_DST</t>
  </si>
  <si>
    <t>IPBEBLLDST</t>
  </si>
  <si>
    <t>IPBPH_RFL</t>
  </si>
  <si>
    <t>IPBEPRHRFL</t>
  </si>
  <si>
    <t>IPBPH_NGA</t>
  </si>
  <si>
    <t>IPBEPRHNGA</t>
  </si>
  <si>
    <t>IPBPH_ELC</t>
  </si>
  <si>
    <t>IPBEPRHELC</t>
  </si>
  <si>
    <t>IPBOH_CHP</t>
  </si>
  <si>
    <t>IPBECSWWOD</t>
  </si>
  <si>
    <t>IPBECSDWOD</t>
  </si>
  <si>
    <t>IPBECFBWOD</t>
  </si>
  <si>
    <t>IPBOH_BIO</t>
  </si>
  <si>
    <t>IPBEBSWWOD</t>
  </si>
  <si>
    <t>IPBEBSTWOD</t>
  </si>
  <si>
    <t>IPBEBSDWOD</t>
  </si>
  <si>
    <t>IPBEBOLWOD</t>
  </si>
  <si>
    <t>IPBEBFBWOD</t>
  </si>
  <si>
    <t>IPBECHLTOM</t>
  </si>
  <si>
    <t>IPBEBSTTOM</t>
  </si>
  <si>
    <t>IPBEBHLTOM</t>
  </si>
  <si>
    <t>IPBEBASTOM</t>
  </si>
  <si>
    <t>IPBEOHTBIO</t>
  </si>
  <si>
    <t>IPBOH_PTC</t>
  </si>
  <si>
    <t>IPBEOHTPTC</t>
  </si>
  <si>
    <t>IPBOH_OTP</t>
  </si>
  <si>
    <t>IPBEOHTOTP</t>
  </si>
  <si>
    <t>IPBOH_NGA</t>
  </si>
  <si>
    <t>IPBEOHTNGA</t>
  </si>
  <si>
    <t>IPBOH_ELC</t>
  </si>
  <si>
    <t>IPBEOHTELC</t>
  </si>
  <si>
    <t>IPBMD_NGA</t>
  </si>
  <si>
    <t>IPBEMDRNGA</t>
  </si>
  <si>
    <t>IPBMD_ELC</t>
  </si>
  <si>
    <t>IPBEMDRELC</t>
  </si>
  <si>
    <t>IPBFS_NGA</t>
  </si>
  <si>
    <t>IPBEFEDNGA</t>
  </si>
  <si>
    <t>IPBFA_NGA</t>
  </si>
  <si>
    <t>IPBEFACNGA</t>
  </si>
  <si>
    <t>IPBFA_ELC</t>
  </si>
  <si>
    <t>IPBEFACELC</t>
  </si>
  <si>
    <t>IPBFA_DST</t>
  </si>
  <si>
    <t>IPBEFACDST</t>
  </si>
  <si>
    <t>IPBEC_ELC</t>
  </si>
  <si>
    <t>IPBEETCELC</t>
  </si>
  <si>
    <t>IPAST_CHP</t>
  </si>
  <si>
    <t>IPAECSOCOA</t>
  </si>
  <si>
    <t>Paper</t>
  </si>
  <si>
    <t>IPAECPVCOA</t>
  </si>
  <si>
    <t>IPAECFBCOA</t>
  </si>
  <si>
    <t>IPAEBSTCOA</t>
  </si>
  <si>
    <t>IPAST_COA</t>
  </si>
  <si>
    <t>IPAEBSOCOA</t>
  </si>
  <si>
    <t>IPAEBPVCOA</t>
  </si>
  <si>
    <t>IPAEBOLCOA</t>
  </si>
  <si>
    <t>IPAEBSTRFL</t>
  </si>
  <si>
    <t>IPAST_RFL</t>
  </si>
  <si>
    <t>IPAEBASRFL</t>
  </si>
  <si>
    <t>IPAEREGNGA</t>
  </si>
  <si>
    <t>IPAECCTNGA</t>
  </si>
  <si>
    <t>IPAEBSTNGA</t>
  </si>
  <si>
    <t>IPAST_NGA</t>
  </si>
  <si>
    <t>IPAEBOLNGA</t>
  </si>
  <si>
    <t>IPAST_ELC</t>
  </si>
  <si>
    <t>IPAEBOLELC</t>
  </si>
  <si>
    <t>IPAECLLDST</t>
  </si>
  <si>
    <t>IPAEBSTDST</t>
  </si>
  <si>
    <t>IPAST_DST</t>
  </si>
  <si>
    <t>IPAEBOLDST</t>
  </si>
  <si>
    <t>IPAEBLLDST</t>
  </si>
  <si>
    <t>IPAPH_COA</t>
  </si>
  <si>
    <t>IPAEPRHCOA</t>
  </si>
  <si>
    <t>Grand Total</t>
  </si>
  <si>
    <t>IPAPH_RFL</t>
  </si>
  <si>
    <t>IPAEPRHRFL</t>
  </si>
  <si>
    <t>#REF!</t>
  </si>
  <si>
    <t>IPAPH_NGA</t>
  </si>
  <si>
    <t>IPAEPRHNGA</t>
  </si>
  <si>
    <t>ICPST_LPG</t>
  </si>
  <si>
    <t>IPAPH_ELC</t>
  </si>
  <si>
    <t>IPAEPRHELC</t>
  </si>
  <si>
    <t>IPOOH_CHP</t>
  </si>
  <si>
    <t>IPAOH_CHP</t>
  </si>
  <si>
    <t>IPAEREGWOD</t>
  </si>
  <si>
    <t>IPAECSWWOD</t>
  </si>
  <si>
    <t>IPAECSDWOD</t>
  </si>
  <si>
    <t>IPAECFBWOD</t>
  </si>
  <si>
    <t>IMTST_COA</t>
  </si>
  <si>
    <t>IPAECDSWOD</t>
  </si>
  <si>
    <t>IMTST_RFL</t>
  </si>
  <si>
    <t>IPAOH_BIO</t>
  </si>
  <si>
    <t>IPAEBSWWOD</t>
  </si>
  <si>
    <t>IMTST_CHP</t>
  </si>
  <si>
    <t>IPAEBSTWOD</t>
  </si>
  <si>
    <t>IMTST_NGA</t>
  </si>
  <si>
    <t>IPAEBSDWOD</t>
  </si>
  <si>
    <t>IMTST_DST</t>
  </si>
  <si>
    <t>IPAEBFBWOD</t>
  </si>
  <si>
    <t>IMTPH_COA</t>
  </si>
  <si>
    <t>IPAECHLTOM</t>
  </si>
  <si>
    <t>IPOST_RFL</t>
  </si>
  <si>
    <t>IMTPH_NGA</t>
  </si>
  <si>
    <t>IPAEBSTTOM</t>
  </si>
  <si>
    <t>IPOST_NGA</t>
  </si>
  <si>
    <t>IMTPH_ELC</t>
  </si>
  <si>
    <t>IPAEBOLTOM</t>
  </si>
  <si>
    <t>IPOST_ELC</t>
  </si>
  <si>
    <t>IMTPH_DST</t>
  </si>
  <si>
    <t>IPAEBHLTOM</t>
  </si>
  <si>
    <t>IPOST_DST</t>
  </si>
  <si>
    <t>IMTOH_RFL</t>
  </si>
  <si>
    <t>IPAEBASTOM</t>
  </si>
  <si>
    <t>IPOST_COA</t>
  </si>
  <si>
    <t>IMLPH_NGA</t>
  </si>
  <si>
    <t>IMTOH_BIO</t>
  </si>
  <si>
    <t>IPAECCTBLQ</t>
  </si>
  <si>
    <t>Black Liquor</t>
  </si>
  <si>
    <t>IPOST_CHP</t>
  </si>
  <si>
    <t>IMLPH_ELC</t>
  </si>
  <si>
    <t>IMTOH_PTC</t>
  </si>
  <si>
    <t>IPAEOHTBIO</t>
  </si>
  <si>
    <t>IPOPH_NGA</t>
  </si>
  <si>
    <t>IMTOH_ELC</t>
  </si>
  <si>
    <t>IPAOH_PTC</t>
  </si>
  <si>
    <t>IPAEOHTPTC</t>
  </si>
  <si>
    <t>IPOPH_ELC</t>
  </si>
  <si>
    <t>IMTMD_NGA</t>
  </si>
  <si>
    <t>IPAOH_OTP</t>
  </si>
  <si>
    <t>IPAEOHTOTP</t>
  </si>
  <si>
    <t>IPOPH_DST</t>
  </si>
  <si>
    <t>IMTMD_ELC</t>
  </si>
  <si>
    <t>IPAOH_NGA</t>
  </si>
  <si>
    <t>IPAEOHTNGA</t>
  </si>
  <si>
    <t>IPOOH_PTC</t>
  </si>
  <si>
    <t>IMSPH_COA</t>
  </si>
  <si>
    <t>IMTFS_BIO</t>
  </si>
  <si>
    <t>IPAOH_ELC</t>
  </si>
  <si>
    <t>IPAEOHTELC</t>
  </si>
  <si>
    <t>IPOOH_OTP</t>
  </si>
  <si>
    <t>IMSPH_NGA</t>
  </si>
  <si>
    <t>IMTFS_PTC</t>
  </si>
  <si>
    <t>IPAMD_NGA</t>
  </si>
  <si>
    <t>IPAEMDRNGA</t>
  </si>
  <si>
    <t>IPOOH_NGA</t>
  </si>
  <si>
    <t>IMSPH_ELC</t>
  </si>
  <si>
    <t>IMTFS_NGA</t>
  </si>
  <si>
    <t>IPAMD_ELC</t>
  </si>
  <si>
    <t>IPAEMDRELC</t>
  </si>
  <si>
    <t>IPOOH_ELC</t>
  </si>
  <si>
    <t>IMSPH_DST</t>
  </si>
  <si>
    <t>IMTFS_COK</t>
  </si>
  <si>
    <t>IPAFA_RFL</t>
  </si>
  <si>
    <t>IPAEFACRFL</t>
  </si>
  <si>
    <t>IMAPH_NGA</t>
  </si>
  <si>
    <t>IMTFA_COA</t>
  </si>
  <si>
    <t>IPAFA_NGA</t>
  </si>
  <si>
    <t>IPAEFACNGA</t>
  </si>
  <si>
    <t>IPOOH_BIO</t>
  </si>
  <si>
    <t>IMAPH_ELC</t>
  </si>
  <si>
    <t>IMTFA_NGA</t>
  </si>
  <si>
    <t>IPAFA_ELC</t>
  </si>
  <si>
    <t>IPAEFACELC</t>
  </si>
  <si>
    <t>IPOMD_NGA</t>
  </si>
  <si>
    <t>ICPPH_NGA</t>
  </si>
  <si>
    <t>IMTFA_ELC</t>
  </si>
  <si>
    <t>IPAFA_DST</t>
  </si>
  <si>
    <t>IPAEFACDST</t>
  </si>
  <si>
    <t>IPOMD_ELC</t>
  </si>
  <si>
    <t>ICPPH_ELC</t>
  </si>
  <si>
    <t>IMTFA_DST</t>
  </si>
  <si>
    <t>IPOEBSTCOA</t>
  </si>
  <si>
    <t>Other Pulp and Paper</t>
  </si>
  <si>
    <t>IPOFA_NGA</t>
  </si>
  <si>
    <t>IMTEC_ELC</t>
  </si>
  <si>
    <t>IPOEBSOCOA</t>
  </si>
  <si>
    <t>IPOFA_LPG</t>
  </si>
  <si>
    <t>IMLST_CHP</t>
  </si>
  <si>
    <t>IPOEBASRFL</t>
  </si>
  <si>
    <t>IPOFA_ELC</t>
  </si>
  <si>
    <t>IPOECCTNGA</t>
  </si>
  <si>
    <t>IPOEBSTNGA</t>
  </si>
  <si>
    <t>IMLOH_COA</t>
  </si>
  <si>
    <t>IPOEBOLNGA</t>
  </si>
  <si>
    <t>IMLOH_LPG</t>
  </si>
  <si>
    <t>IPOEBOLELC</t>
  </si>
  <si>
    <t>IMLMD_ELC</t>
  </si>
  <si>
    <t>IPOEBOLDST</t>
  </si>
  <si>
    <t>IMLEC_ELC</t>
  </si>
  <si>
    <t>IPOEBLLDST</t>
  </si>
  <si>
    <t>IPOEPRHNGA</t>
  </si>
  <si>
    <t>IPOEPRHELC</t>
  </si>
  <si>
    <t>INOPH_COA</t>
  </si>
  <si>
    <t>IPOEPRHDST</t>
  </si>
  <si>
    <t>INOPH_NGA</t>
  </si>
  <si>
    <t>IPOEBSWWOD</t>
  </si>
  <si>
    <t>INOPH_LPG</t>
  </si>
  <si>
    <t>IPOEBSTWOD</t>
  </si>
  <si>
    <t>INOPH_ELC</t>
  </si>
  <si>
    <t>IPOEBSDWOD</t>
  </si>
  <si>
    <t>INOPH_DST</t>
  </si>
  <si>
    <t>IPOEBSTTOM</t>
  </si>
  <si>
    <t>IMOPH_NGA</t>
  </si>
  <si>
    <t>IPOEBHLTOM</t>
  </si>
  <si>
    <t>IMOPH_LPG</t>
  </si>
  <si>
    <t>IPOEBASTOM</t>
  </si>
  <si>
    <t>IMOPH_ELC</t>
  </si>
  <si>
    <t>IPOEOHTBIO</t>
  </si>
  <si>
    <t>ICTPH_RFL</t>
  </si>
  <si>
    <t>IMSST_COA</t>
  </si>
  <si>
    <t>IPOEOHTPTC</t>
  </si>
  <si>
    <t>ICTPH_NGA</t>
  </si>
  <si>
    <t>IMSST_RFL</t>
  </si>
  <si>
    <t>IPOEOHTOTP</t>
  </si>
  <si>
    <t>ICTPH_ELC</t>
  </si>
  <si>
    <t>IMSST_CHP</t>
  </si>
  <si>
    <t>IPOEOHTNGA</t>
  </si>
  <si>
    <t>ICTPH_DST</t>
  </si>
  <si>
    <t>IMSST_NGA</t>
  </si>
  <si>
    <t>IPOEOHTELC</t>
  </si>
  <si>
    <t>IOTPH_COA</t>
  </si>
  <si>
    <t>IMSST_DST</t>
  </si>
  <si>
    <t>IPOEMDRNGA</t>
  </si>
  <si>
    <t>IOTPH_RFL</t>
  </si>
  <si>
    <t>IPOEMDRELC</t>
  </si>
  <si>
    <t>IOTPH_NGA</t>
  </si>
  <si>
    <t>IPOEFACNGA</t>
  </si>
  <si>
    <t>IOTPH_LPG</t>
  </si>
  <si>
    <t>IPOEFACLPG</t>
  </si>
  <si>
    <t>IOTPH_ELC</t>
  </si>
  <si>
    <t>IPOEFACELC</t>
  </si>
  <si>
    <t>IOTPH_DST</t>
  </si>
  <si>
    <t>IMSOH_RFL</t>
  </si>
  <si>
    <t>INOEBSTCOA</t>
  </si>
  <si>
    <t>Other Non-Metals</t>
  </si>
  <si>
    <t>ICOPH_COA</t>
  </si>
  <si>
    <t>IMSOH_BIO</t>
  </si>
  <si>
    <t>INOEREGNGA</t>
  </si>
  <si>
    <t>ICOPH_NGA</t>
  </si>
  <si>
    <t>IMSOH_PTC</t>
  </si>
  <si>
    <t>INOEMTTNGA</t>
  </si>
  <si>
    <t>ICOPH_ELC</t>
  </si>
  <si>
    <t>IMSOH_ELC</t>
  </si>
  <si>
    <t>INOECCTNGA</t>
  </si>
  <si>
    <t>ICIPH_COA</t>
  </si>
  <si>
    <t>IMSMD_NGA</t>
  </si>
  <si>
    <t>INOEBSTNGA</t>
  </si>
  <si>
    <t>ICIPH_RFL</t>
  </si>
  <si>
    <t>IMSMD_ELC</t>
  </si>
  <si>
    <t>INOEBOLNGA</t>
  </si>
  <si>
    <t>ICIPH_NGA</t>
  </si>
  <si>
    <t>IMSFS_BIO</t>
  </si>
  <si>
    <t>INOEBASNGA</t>
  </si>
  <si>
    <t>ICIPH_ELC</t>
  </si>
  <si>
    <t>IMSFS_PTC</t>
  </si>
  <si>
    <t>INOEPRHCOA</t>
  </si>
  <si>
    <t>INGPH_NGA</t>
  </si>
  <si>
    <t>IMSFS_NGA</t>
  </si>
  <si>
    <t>INOEPRHNGA</t>
  </si>
  <si>
    <t>INGPH_ELC</t>
  </si>
  <si>
    <t>IMSFS_COK</t>
  </si>
  <si>
    <t>INOEPRHLPG</t>
  </si>
  <si>
    <t>IFDPH_COA</t>
  </si>
  <si>
    <t>IMSFA_COA</t>
  </si>
  <si>
    <t>INOEPRHELC</t>
  </si>
  <si>
    <t>IFDPH_RFL</t>
  </si>
  <si>
    <t>IMSFA_NGA</t>
  </si>
  <si>
    <t>INOEPRHDST</t>
  </si>
  <si>
    <t>IFDPH_NGA</t>
  </si>
  <si>
    <t>IMSFA_ELC</t>
  </si>
  <si>
    <t>INOEOHTRFL</t>
  </si>
  <si>
    <t>IFDPH_LPG</t>
  </si>
  <si>
    <t>IMSFA_DST</t>
  </si>
  <si>
    <t>INOEOHTBIO</t>
  </si>
  <si>
    <t>IFDPH_ELC</t>
  </si>
  <si>
    <t>IMSEC_ELC</t>
  </si>
  <si>
    <t>INOEOHTPTC</t>
  </si>
  <si>
    <t>IFDPH_DST</t>
  </si>
  <si>
    <t>IMAST_CHP</t>
  </si>
  <si>
    <t>INOEOHTOTP</t>
  </si>
  <si>
    <t>INCPH_COA</t>
  </si>
  <si>
    <t>IMAST_NGA</t>
  </si>
  <si>
    <t>INOEOHTNGA</t>
  </si>
  <si>
    <t>INCPH_NGA</t>
  </si>
  <si>
    <t>INOEOHTELC</t>
  </si>
  <si>
    <t>INCPH_ELC</t>
  </si>
  <si>
    <t>INOEMDRNGA</t>
  </si>
  <si>
    <t>ICAPH_COA</t>
  </si>
  <si>
    <t>IMAOH_PTC</t>
  </si>
  <si>
    <t>INOEMDRELC</t>
  </si>
  <si>
    <t>ICAPH_NGA</t>
  </si>
  <si>
    <t>IMAMD_NGA</t>
  </si>
  <si>
    <t>INOEMDRDST</t>
  </si>
  <si>
    <t>ICAPH_ELC</t>
  </si>
  <si>
    <t>IMAMD_ELC</t>
  </si>
  <si>
    <t>INOEFACNGA</t>
  </si>
  <si>
    <t>IMAFS_PTC</t>
  </si>
  <si>
    <t>INOEFACLPG</t>
  </si>
  <si>
    <t>IMAFS_NGA</t>
  </si>
  <si>
    <t>INOEFACELC</t>
  </si>
  <si>
    <t>IMAFA_NGA</t>
  </si>
  <si>
    <t>INOEFACDST</t>
  </si>
  <si>
    <t>IMAFA_ELC</t>
  </si>
  <si>
    <t>INOEETCELC</t>
  </si>
  <si>
    <t>IMAFA_DST</t>
  </si>
  <si>
    <t>IMOECPVCOA</t>
  </si>
  <si>
    <t>Other Metals</t>
  </si>
  <si>
    <t>IMAEC_ELC</t>
  </si>
  <si>
    <t>IMOEBHLRFL</t>
  </si>
  <si>
    <t>ICPST_COA</t>
  </si>
  <si>
    <t>IMOEREGNGA</t>
  </si>
  <si>
    <t>ICPST_RFL</t>
  </si>
  <si>
    <t>IMOEMTTNGA</t>
  </si>
  <si>
    <t>IOTST_RFL</t>
  </si>
  <si>
    <t>ICPMD_NGA</t>
  </si>
  <si>
    <t>ICPST_CHP</t>
  </si>
  <si>
    <t>IMOECCTNGA</t>
  </si>
  <si>
    <t>IOTST_NGA</t>
  </si>
  <si>
    <t>ICPMD_ELC</t>
  </si>
  <si>
    <t>ICPST_NGA</t>
  </si>
  <si>
    <t>IMOEBSTNGA</t>
  </si>
  <si>
    <t>IOTST_ELC</t>
  </si>
  <si>
    <t>ICPST_ELC</t>
  </si>
  <si>
    <t>IMOEBOLNGA</t>
  </si>
  <si>
    <t>IOTST_DST</t>
  </si>
  <si>
    <t>ICPST_DST</t>
  </si>
  <si>
    <t>IMOEBOLELC</t>
  </si>
  <si>
    <t>IOTST_COA</t>
  </si>
  <si>
    <t>IMOEBLLDST</t>
  </si>
  <si>
    <t>IOTST_CHP</t>
  </si>
  <si>
    <t>IMOEPRHNGA</t>
  </si>
  <si>
    <t>ICPOH_RFL</t>
  </si>
  <si>
    <t>IMOEPRHLPG</t>
  </si>
  <si>
    <t>ICPOH_OTP</t>
  </si>
  <si>
    <t>IMOEPRHELC</t>
  </si>
  <si>
    <t>INOMD_NGA</t>
  </si>
  <si>
    <t>ICPOH_ELC</t>
  </si>
  <si>
    <t>IMOEOHTCOA</t>
  </si>
  <si>
    <t>INOMD_ELC</t>
  </si>
  <si>
    <t>ICPOH_DST</t>
  </si>
  <si>
    <t>IMOEOHTRFL</t>
  </si>
  <si>
    <t>INOMD_DST</t>
  </si>
  <si>
    <t>IMOEOHTBIO</t>
  </si>
  <si>
    <t>IMOMD_NGA</t>
  </si>
  <si>
    <t>IMOEOHTPTC</t>
  </si>
  <si>
    <t>IOTOH_RFL</t>
  </si>
  <si>
    <t>IMOMD_ELC</t>
  </si>
  <si>
    <t>ICPFS_PFS</t>
  </si>
  <si>
    <t>IMOEOHTOTP</t>
  </si>
  <si>
    <t>IOTOH_PTC</t>
  </si>
  <si>
    <t>IMOMD_DST</t>
  </si>
  <si>
    <t>ICPFS_NGA</t>
  </si>
  <si>
    <t>IMOEOHTNGA</t>
  </si>
  <si>
    <t>IOTOH_OTP</t>
  </si>
  <si>
    <t>ICTMD_NGA</t>
  </si>
  <si>
    <t>ICPFS_LPG</t>
  </si>
  <si>
    <t>IMOEMDRNGA</t>
  </si>
  <si>
    <t>IOTOH_NGA</t>
  </si>
  <si>
    <t>ICTMD_ELC</t>
  </si>
  <si>
    <t>ICPFA_NGA</t>
  </si>
  <si>
    <t>IMOEMDRELC</t>
  </si>
  <si>
    <t>IOTOH_LPG</t>
  </si>
  <si>
    <t>ICTMD_DST</t>
  </si>
  <si>
    <t>ICPFA_ELC</t>
  </si>
  <si>
    <t>IMOEMDRDST</t>
  </si>
  <si>
    <t>IOTOH_ELC</t>
  </si>
  <si>
    <t>IOTMD_COA</t>
  </si>
  <si>
    <t>ICPEC_ELC</t>
  </si>
  <si>
    <t>IMOEFEDBIO</t>
  </si>
  <si>
    <t>IOTOH_DST</t>
  </si>
  <si>
    <t>IOTMD_NGA</t>
  </si>
  <si>
    <t>IMOEFEDPTC</t>
  </si>
  <si>
    <t>IOTOH_CHP</t>
  </si>
  <si>
    <t>IOTMD_LPG</t>
  </si>
  <si>
    <t>IMOEFEDOTP</t>
  </si>
  <si>
    <t>IOTOH_BIO</t>
  </si>
  <si>
    <t>IOTMD_ELC</t>
  </si>
  <si>
    <t>IMOEFEDNGA</t>
  </si>
  <si>
    <t>IOTMD_DST</t>
  </si>
  <si>
    <t>IMOEFACNGA</t>
  </si>
  <si>
    <t>ICOMD_NGA</t>
  </si>
  <si>
    <t>IMOEFACLPG</t>
  </si>
  <si>
    <t>ICOMD_ELC</t>
  </si>
  <si>
    <t>IMOEFACELC</t>
  </si>
  <si>
    <t>ICIMD_NGA</t>
  </si>
  <si>
    <t>IMOEFACDST</t>
  </si>
  <si>
    <t>ICIMD_ELC</t>
  </si>
  <si>
    <t>IMOEETCELC</t>
  </si>
  <si>
    <t>IOTFS_RFL</t>
  </si>
  <si>
    <t>INGMD_ELC</t>
  </si>
  <si>
    <t>ICTECSOCOA</t>
  </si>
  <si>
    <t>Other Chemicals</t>
  </si>
  <si>
    <t>IOTFS_PTC</t>
  </si>
  <si>
    <t>IFDMD_NGA</t>
  </si>
  <si>
    <t>ICTEBSTCOA</t>
  </si>
  <si>
    <t>IOTFS_OTP</t>
  </si>
  <si>
    <t>IFDMD_ELC</t>
  </si>
  <si>
    <t>ICTEBSOCOA</t>
  </si>
  <si>
    <t>IOTFS_NGA</t>
  </si>
  <si>
    <t>IFDMD_DST</t>
  </si>
  <si>
    <t>ICTEBPVCOA</t>
  </si>
  <si>
    <t>IOTFS_LPG</t>
  </si>
  <si>
    <t>INCMD_ELC</t>
  </si>
  <si>
    <t>ICTEREGRFL</t>
  </si>
  <si>
    <t>IOTFS_DST</t>
  </si>
  <si>
    <t>ICAMD_NGA</t>
  </si>
  <si>
    <t>ICTECCTRFL</t>
  </si>
  <si>
    <t>IOTFS_COK</t>
  </si>
  <si>
    <t>ICAMD_ELC</t>
  </si>
  <si>
    <t>ICTEBSTRFL</t>
  </si>
  <si>
    <t>IOTFS_BIO</t>
  </si>
  <si>
    <t>ICTEBHLRFL</t>
  </si>
  <si>
    <t>IOTFA_RFL</t>
  </si>
  <si>
    <t>ICTEREGNGA</t>
  </si>
  <si>
    <t>IOTFA_NGA</t>
  </si>
  <si>
    <t>ICTEMTTNGA</t>
  </si>
  <si>
    <t>IOTFA_LPG</t>
  </si>
  <si>
    <t>ICTEFCLNGA</t>
  </si>
  <si>
    <t>IOTFA_ELC</t>
  </si>
  <si>
    <t>ICTECCTNGA</t>
  </si>
  <si>
    <t>IOTFA_DST</t>
  </si>
  <si>
    <t>ICTEBSTNGA</t>
  </si>
  <si>
    <t>IOTFA_COA</t>
  </si>
  <si>
    <t>ICTEBOLNGA</t>
  </si>
  <si>
    <t>INOST_NGA</t>
  </si>
  <si>
    <t>ICTEBOLELC</t>
  </si>
  <si>
    <t>INOST_CHP</t>
  </si>
  <si>
    <t>ICTEREGDST</t>
  </si>
  <si>
    <t>ICTECCTDST</t>
  </si>
  <si>
    <t>ICTEBSTDST</t>
  </si>
  <si>
    <t>ICTEBOLDST</t>
  </si>
  <si>
    <t>ICTEBLLDST</t>
  </si>
  <si>
    <t>ICTEPRHRFL</t>
  </si>
  <si>
    <t>INOOH_RFL</t>
  </si>
  <si>
    <t>IMOFS_BIO</t>
  </si>
  <si>
    <t>ICTEPRHNGA</t>
  </si>
  <si>
    <t>INOOH_PTC</t>
  </si>
  <si>
    <t>IMOFS_PTC</t>
  </si>
  <si>
    <t>ICTEPRHELC</t>
  </si>
  <si>
    <t>INOOH_OTP</t>
  </si>
  <si>
    <t>IMOFS_OTP</t>
  </si>
  <si>
    <t>ICTEPRHDST</t>
  </si>
  <si>
    <t>INOOH_NGA</t>
  </si>
  <si>
    <t>IMOFS_NGA</t>
  </si>
  <si>
    <t>ICTEREGBIO</t>
  </si>
  <si>
    <t>INOOH_ELC</t>
  </si>
  <si>
    <t>ICTFS_RFL</t>
  </si>
  <si>
    <t>ICTEOHTBIO</t>
  </si>
  <si>
    <t>INOOH_BIO</t>
  </si>
  <si>
    <t>ICTFS_BIO</t>
  </si>
  <si>
    <t>ICTECCTBIO</t>
  </si>
  <si>
    <t>ICTFS_PTC</t>
  </si>
  <si>
    <t>ICTEBSDBIO</t>
  </si>
  <si>
    <t>ICTFS_OTP</t>
  </si>
  <si>
    <t>ICTEOHTPTC</t>
  </si>
  <si>
    <t>ICTFS_NGA</t>
  </si>
  <si>
    <t>ICTEOHTOTP</t>
  </si>
  <si>
    <t>INOFA_NGA</t>
  </si>
  <si>
    <t>ICTEOHTELC</t>
  </si>
  <si>
    <t>INOFA_LPG</t>
  </si>
  <si>
    <t>ICTEMDRNGA</t>
  </si>
  <si>
    <t>INOFA_ELC</t>
  </si>
  <si>
    <t>ICTEMDRELC</t>
  </si>
  <si>
    <t>INOFA_DST</t>
  </si>
  <si>
    <t>ICTEMDRDST</t>
  </si>
  <si>
    <t>INGST_NGA</t>
  </si>
  <si>
    <t>ICTEFEDRFL</t>
  </si>
  <si>
    <t>INGST_CHP</t>
  </si>
  <si>
    <t>ICTEFEDBIO</t>
  </si>
  <si>
    <t>ICTEFEDPTC</t>
  </si>
  <si>
    <t>ICTEFEDOTP</t>
  </si>
  <si>
    <t>INGOH_RFL</t>
  </si>
  <si>
    <t>ICOFS_PFS</t>
  </si>
  <si>
    <t>ICTEFEDNGA</t>
  </si>
  <si>
    <t>INGOH_NGA</t>
  </si>
  <si>
    <t>ICOFS_NGA</t>
  </si>
  <si>
    <t>ICTEFACCOA</t>
  </si>
  <si>
    <t>INGOH_LPG</t>
  </si>
  <si>
    <t>ICOFS_LPG</t>
  </si>
  <si>
    <t>ICTEFACNGA</t>
  </si>
  <si>
    <t>INGOH_DST</t>
  </si>
  <si>
    <t>ICIFS_PFS</t>
  </si>
  <si>
    <t>ICTEFACELC</t>
  </si>
  <si>
    <t>INGOH_COA</t>
  </si>
  <si>
    <t>ICIFS_NGA</t>
  </si>
  <si>
    <t>ICTEFACDST</t>
  </si>
  <si>
    <t>IFDFS_BIO</t>
  </si>
  <si>
    <t>IOTEREGCOA</t>
  </si>
  <si>
    <t>Other</t>
  </si>
  <si>
    <t>INGFA_NGA</t>
  </si>
  <si>
    <t>IFDFS_NGA</t>
  </si>
  <si>
    <t>IOTECSOCOA</t>
  </si>
  <si>
    <t>INGFA_ELC</t>
  </si>
  <si>
    <t>IFDFS_LPG</t>
  </si>
  <si>
    <t>IOTECPVCOA</t>
  </si>
  <si>
    <t>INCST_DST</t>
  </si>
  <si>
    <t>INCFS_PTC</t>
  </si>
  <si>
    <t>IOTEBSTCOA</t>
  </si>
  <si>
    <t>INCST_CHP</t>
  </si>
  <si>
    <t>INCFS_OTP</t>
  </si>
  <si>
    <t>IOTEBSOCOA</t>
  </si>
  <si>
    <t>ICAFS_PFS</t>
  </si>
  <si>
    <t>IOTEBPVCOA</t>
  </si>
  <si>
    <t>ICAFS_NGA</t>
  </si>
  <si>
    <t>IOTEBOLCOA</t>
  </si>
  <si>
    <t>IOTEREGRFL</t>
  </si>
  <si>
    <t>INCOH_PTC</t>
  </si>
  <si>
    <t>IOTECCTRFL</t>
  </si>
  <si>
    <t>INCOH_OTP</t>
  </si>
  <si>
    <t>IOTEBSTRFL</t>
  </si>
  <si>
    <t>IOTEBOLRFL</t>
  </si>
  <si>
    <t>IOTEBHLRFL</t>
  </si>
  <si>
    <t>IOTEREGNGA</t>
  </si>
  <si>
    <t>INCFA_ELC</t>
  </si>
  <si>
    <t>IOTEMTTNGA</t>
  </si>
  <si>
    <t>INCFA_DST</t>
  </si>
  <si>
    <t>IOTEFCLNGA</t>
  </si>
  <si>
    <t>IOTECCTNGA</t>
  </si>
  <si>
    <t>IOTEBSTNGA</t>
  </si>
  <si>
    <t>IOTEBOLNGA</t>
  </si>
  <si>
    <t>IOTEREGLPG</t>
  </si>
  <si>
    <t>IOTEMTTLPG</t>
  </si>
  <si>
    <t>IOTEFCLLPG</t>
  </si>
  <si>
    <t>IOTECCTLPG</t>
  </si>
  <si>
    <t>IOTEBSTLPG</t>
  </si>
  <si>
    <t>IOTEBOLELC</t>
  </si>
  <si>
    <t>IOTEREGDST</t>
  </si>
  <si>
    <t>IOTECCTDST</t>
  </si>
  <si>
    <t>IOTEBSTDST</t>
  </si>
  <si>
    <t>IOTEBOLDST</t>
  </si>
  <si>
    <t>IOTEBLLDST</t>
  </si>
  <si>
    <t>IOTEPRHCOA</t>
  </si>
  <si>
    <t>INOEC_ELC</t>
  </si>
  <si>
    <t>IOTEPRHRFL</t>
  </si>
  <si>
    <t>IMOST_RFL</t>
  </si>
  <si>
    <t>IOTEPRHNGA</t>
  </si>
  <si>
    <t>IMOST_CHP</t>
  </si>
  <si>
    <t>IOTEPRHLPG</t>
  </si>
  <si>
    <t>IMOST_NGA</t>
  </si>
  <si>
    <t>IOTEPRHELC</t>
  </si>
  <si>
    <t>IMOFA_NGA</t>
  </si>
  <si>
    <t>IMOST_ELC</t>
  </si>
  <si>
    <t>IOTEPRHDST</t>
  </si>
  <si>
    <t>IMOFA_LPG</t>
  </si>
  <si>
    <t>IMOST_DST</t>
  </si>
  <si>
    <t>IOTEOHTRFL</t>
  </si>
  <si>
    <t>IMOFA_ELC</t>
  </si>
  <si>
    <t>IOTEREGWOD</t>
  </si>
  <si>
    <t>IMOFA_DST</t>
  </si>
  <si>
    <t>IOTECSWWOD</t>
  </si>
  <si>
    <t>ICTFA_COA</t>
  </si>
  <si>
    <t>IOTECSDWOD</t>
  </si>
  <si>
    <t>ICTFA_NGA</t>
  </si>
  <si>
    <t>IMOOH_COA</t>
  </si>
  <si>
    <t>IOTECDSWOD</t>
  </si>
  <si>
    <t>ICTFA_ELC</t>
  </si>
  <si>
    <t>IMOOH_RFL</t>
  </si>
  <si>
    <t>IOTECCTWOD</t>
  </si>
  <si>
    <t>ICTFA_DST</t>
  </si>
  <si>
    <t>IMOOH_BIO</t>
  </si>
  <si>
    <t>IOTEBSTWOD</t>
  </si>
  <si>
    <t>IMOOH_PTC</t>
  </si>
  <si>
    <t>IOTEOHTBIO</t>
  </si>
  <si>
    <t>IMOOH_OTP</t>
  </si>
  <si>
    <t>IOTEBSWBIO</t>
  </si>
  <si>
    <t>IMOOH_NGA</t>
  </si>
  <si>
    <t>IOTEBSDBIO</t>
  </si>
  <si>
    <t>IOTEBOLBIO</t>
  </si>
  <si>
    <t>IOTEBFCBIO</t>
  </si>
  <si>
    <t>IOTEBFBBIO</t>
  </si>
  <si>
    <t>ICOFA_NGA</t>
  </si>
  <si>
    <t>IOTEBDSBIO</t>
  </si>
  <si>
    <t>ICOFA_ELC</t>
  </si>
  <si>
    <t>IOTEOHTPTC</t>
  </si>
  <si>
    <t>ICIFA_NGA</t>
  </si>
  <si>
    <t>IOTEOHTOTP</t>
  </si>
  <si>
    <t>ICIFA_ELC</t>
  </si>
  <si>
    <t>IOTEOHTNGA</t>
  </si>
  <si>
    <t>IOTEOHTLPG</t>
  </si>
  <si>
    <t>IOTEOHTELC</t>
  </si>
  <si>
    <t>IFDFA_COA</t>
  </si>
  <si>
    <t>IOTEOHTDST</t>
  </si>
  <si>
    <t>IFDFA_NGA</t>
  </si>
  <si>
    <t>IOTEMDRCOA</t>
  </si>
  <si>
    <t>IFDFA_LPG</t>
  </si>
  <si>
    <t>IMOEC_ELC</t>
  </si>
  <si>
    <t>IOTEMDRNGA</t>
  </si>
  <si>
    <t>IFDFA_ELC</t>
  </si>
  <si>
    <t>ICTST_COA</t>
  </si>
  <si>
    <t>IOTEMDRLPG</t>
  </si>
  <si>
    <t>IFDFA_DST</t>
  </si>
  <si>
    <t>ICTST_RFL</t>
  </si>
  <si>
    <t>IOTEMDRELC</t>
  </si>
  <si>
    <t>ICTST_NGA</t>
  </si>
  <si>
    <t>IOTEMDRDST</t>
  </si>
  <si>
    <t>ICTST_ELC</t>
  </si>
  <si>
    <t>IOTEFEDRFL</t>
  </si>
  <si>
    <t>ETC</t>
  </si>
  <si>
    <t>IMT</t>
  </si>
  <si>
    <t>ICAFA_NGA</t>
  </si>
  <si>
    <t>ICTST_CHP</t>
  </si>
  <si>
    <t>IOTEFEDBIO</t>
  </si>
  <si>
    <t>ICAFA_ELC</t>
  </si>
  <si>
    <t>ICTST_DST</t>
  </si>
  <si>
    <t>IOTEFEDPTC</t>
  </si>
  <si>
    <t>OHT</t>
  </si>
  <si>
    <t>ICAFA_DST</t>
  </si>
  <si>
    <t>IOTEFEDOTP</t>
  </si>
  <si>
    <t>IOTEFEDNGA</t>
  </si>
  <si>
    <t>IOTEFEDLPG</t>
  </si>
  <si>
    <t>IOTEFEDDST</t>
  </si>
  <si>
    <t>ICTOH_BIO</t>
  </si>
  <si>
    <t>IOTEFEDCOK</t>
  </si>
  <si>
    <t>ICTOH_PTC</t>
  </si>
  <si>
    <t>IOTEFACCOA</t>
  </si>
  <si>
    <t>ICTOH_CHP</t>
  </si>
  <si>
    <t>IOTEFACRFL</t>
  </si>
  <si>
    <t>IML</t>
  </si>
  <si>
    <t>ICTOH_OTP</t>
  </si>
  <si>
    <t>IOTEFACNGA</t>
  </si>
  <si>
    <t>ICTOH_ELC</t>
  </si>
  <si>
    <t>IOTEFACLPG</t>
  </si>
  <si>
    <t>IOTEFACELC</t>
  </si>
  <si>
    <t>IOTEFACDST</t>
  </si>
  <si>
    <t>IOTEETCELC</t>
  </si>
  <si>
    <t>ICOECPVCOA</t>
  </si>
  <si>
    <t>Organic Chemicals</t>
  </si>
  <si>
    <t>ICOEBSTCOA</t>
  </si>
  <si>
    <t>ICOEBSOCOA</t>
  </si>
  <si>
    <t>ICOEBSTRFL</t>
  </si>
  <si>
    <t>PRH</t>
  </si>
  <si>
    <t>IPL</t>
  </si>
  <si>
    <t>STM</t>
  </si>
  <si>
    <t>ICOEBSARFL</t>
  </si>
  <si>
    <t>ICOEBHLRFL</t>
  </si>
  <si>
    <t>ICOEREGNGA</t>
  </si>
  <si>
    <t>MDR</t>
  </si>
  <si>
    <t>ICOEFCLNGA</t>
  </si>
  <si>
    <t>FEED</t>
  </si>
  <si>
    <t>ICOECCTNGA</t>
  </si>
  <si>
    <t>FAC</t>
  </si>
  <si>
    <t>ICOEBSTNGA</t>
  </si>
  <si>
    <t>ICOEBOLNGA</t>
  </si>
  <si>
    <t>ICOEBOLELC</t>
  </si>
  <si>
    <t>ICOEBOLDST</t>
  </si>
  <si>
    <t>IMS</t>
  </si>
  <si>
    <t>ICOEBLLDST</t>
  </si>
  <si>
    <t>ICOEPRHCOA</t>
  </si>
  <si>
    <t>ICOEPRHNGA</t>
  </si>
  <si>
    <t>ICOEPRHELC</t>
  </si>
  <si>
    <t>ICOEOHTOTP</t>
  </si>
  <si>
    <t>ICOEOHTNGA</t>
  </si>
  <si>
    <t>ICOEOHTLPG</t>
  </si>
  <si>
    <t>ICOEOHTDST</t>
  </si>
  <si>
    <t>(blank)</t>
  </si>
  <si>
    <t>ICOEMDRNGA</t>
  </si>
  <si>
    <t>IMA</t>
  </si>
  <si>
    <t>IPOSTM</t>
  </si>
  <si>
    <t>ICOEMDRELC</t>
  </si>
  <si>
    <t>IPOPRH</t>
  </si>
  <si>
    <t>ICOEFEDPFS</t>
  </si>
  <si>
    <t>IPOOHT</t>
  </si>
  <si>
    <t>ICOEFEDNGA</t>
  </si>
  <si>
    <t>IPOMDR</t>
  </si>
  <si>
    <t>ICOEFEDLPG</t>
  </si>
  <si>
    <t>IPOFEED</t>
  </si>
  <si>
    <t>ICOEFACNGA</t>
  </si>
  <si>
    <t>IPOFAC</t>
  </si>
  <si>
    <t>ICOEFACELC</t>
  </si>
  <si>
    <t>IPOETC</t>
  </si>
  <si>
    <t>ICIECPVCOA</t>
  </si>
  <si>
    <t>Inorganic Chemicals</t>
  </si>
  <si>
    <t>IFDST_RFL</t>
  </si>
  <si>
    <t>IPLSTM</t>
  </si>
  <si>
    <t>ICIEBSTCOA</t>
  </si>
  <si>
    <t>IFDST_NGA</t>
  </si>
  <si>
    <t>IPLPRH</t>
  </si>
  <si>
    <t>ICIEBPVCOA</t>
  </si>
  <si>
    <t>ICP</t>
  </si>
  <si>
    <t>IFDST_ELC</t>
  </si>
  <si>
    <t>IPLOHT</t>
  </si>
  <si>
    <t>ICIECCTNGA</t>
  </si>
  <si>
    <t>IFDST_DST</t>
  </si>
  <si>
    <t>IPLMDR</t>
  </si>
  <si>
    <t>ICIEBSTNGA</t>
  </si>
  <si>
    <t>IFDST_COA</t>
  </si>
  <si>
    <t>IPLFEED</t>
  </si>
  <si>
    <t>ICIEBOLNGA</t>
  </si>
  <si>
    <t>IFDST_CHP</t>
  </si>
  <si>
    <t>IPLFAC</t>
  </si>
  <si>
    <t>ICIEBOLDST</t>
  </si>
  <si>
    <t>IPLETC</t>
  </si>
  <si>
    <t>ICIEPRHCOA</t>
  </si>
  <si>
    <t>IPBSTM</t>
  </si>
  <si>
    <t>ICIEPRHRFL</t>
  </si>
  <si>
    <t>IPBPRH</t>
  </si>
  <si>
    <t>ICIEPRHNGA</t>
  </si>
  <si>
    <t>IPBOHT</t>
  </si>
  <si>
    <t>ICIEPRHELC</t>
  </si>
  <si>
    <t>IPBMDR</t>
  </si>
  <si>
    <t>ICIEOHTOTP</t>
  </si>
  <si>
    <t>IPB</t>
  </si>
  <si>
    <t>IPBFEED</t>
  </si>
  <si>
    <t>ICIEOHTELC</t>
  </si>
  <si>
    <t>IFDOH_RFL</t>
  </si>
  <si>
    <t>IPBFAC</t>
  </si>
  <si>
    <t>ICIEMDRNGA</t>
  </si>
  <si>
    <t>IFDOH_NGA</t>
  </si>
  <si>
    <t>IPBETC</t>
  </si>
  <si>
    <t>ICIEMDRELC</t>
  </si>
  <si>
    <t>IFDOH_ELC</t>
  </si>
  <si>
    <t>IPASTM</t>
  </si>
  <si>
    <t>ICIEFEDPFS</t>
  </si>
  <si>
    <t>IFDOH_DST</t>
  </si>
  <si>
    <t>IPAPRH</t>
  </si>
  <si>
    <t>ICIEFEDNGA</t>
  </si>
  <si>
    <t>IFDOH_COA</t>
  </si>
  <si>
    <t>IPAOHT</t>
  </si>
  <si>
    <t>ICIEFACNGA</t>
  </si>
  <si>
    <t>IFDOH_CHP</t>
  </si>
  <si>
    <t>IPAMDR</t>
  </si>
  <si>
    <t>ICIEFACELC</t>
  </si>
  <si>
    <t>IFDOH_BIO</t>
  </si>
  <si>
    <t>IPAFEED</t>
  </si>
  <si>
    <t>ICIEETCELC</t>
  </si>
  <si>
    <t>IPAFAC</t>
  </si>
  <si>
    <t>INGEREGNGA</t>
  </si>
  <si>
    <t>Glass</t>
  </si>
  <si>
    <t>IPA</t>
  </si>
  <si>
    <t>ICOST_COA</t>
  </si>
  <si>
    <t>IOTEC_ELC</t>
  </si>
  <si>
    <t>IPAETC</t>
  </si>
  <si>
    <t>INGECCTNGA</t>
  </si>
  <si>
    <t>ICOST_RFL</t>
  </si>
  <si>
    <t>IOTSTM</t>
  </si>
  <si>
    <t>INGEBOLNGA</t>
  </si>
  <si>
    <t>ICOST_CHP</t>
  </si>
  <si>
    <t>IOTPRH</t>
  </si>
  <si>
    <t>INGEPRHNGA</t>
  </si>
  <si>
    <t>ICOST_NGA</t>
  </si>
  <si>
    <t>IOTOHT</t>
  </si>
  <si>
    <t>INGEPRHELC</t>
  </si>
  <si>
    <t>ICOST_ELC</t>
  </si>
  <si>
    <t>IOTMDR</t>
  </si>
  <si>
    <t>INGEOHTCOA</t>
  </si>
  <si>
    <t>ICOST_DST</t>
  </si>
  <si>
    <t>IOTFEED</t>
  </si>
  <si>
    <t>INGEOHTRFL</t>
  </si>
  <si>
    <t>ICIST_COA</t>
  </si>
  <si>
    <t>IOTFAC</t>
  </si>
  <si>
    <t>INGEOHTNGA</t>
  </si>
  <si>
    <t>ICIST_CHP</t>
  </si>
  <si>
    <t>IOTETC</t>
  </si>
  <si>
    <t>INGEOHTLPG</t>
  </si>
  <si>
    <t>ICIST_NGA</t>
  </si>
  <si>
    <t>INOSTM</t>
  </si>
  <si>
    <t>INGEOHTDST</t>
  </si>
  <si>
    <t>IPO</t>
  </si>
  <si>
    <t>ICIST_DST</t>
  </si>
  <si>
    <t>INOPRH</t>
  </si>
  <si>
    <t>INGEMDRELC</t>
  </si>
  <si>
    <t>ICOOH_OTP</t>
  </si>
  <si>
    <t>INOOHT</t>
  </si>
  <si>
    <t>INGEFACNGA</t>
  </si>
  <si>
    <t>ICOOH_NGA</t>
  </si>
  <si>
    <t>INOMDR</t>
  </si>
  <si>
    <t>INGEFACELC</t>
  </si>
  <si>
    <t>ICOOH_LPG</t>
  </si>
  <si>
    <t>INOFEED</t>
  </si>
  <si>
    <t>IFDECSOCOA</t>
  </si>
  <si>
    <t>Food</t>
  </si>
  <si>
    <t>ICOOH_DST</t>
  </si>
  <si>
    <t>INOFAC</t>
  </si>
  <si>
    <t>IFDECPVCOA</t>
  </si>
  <si>
    <t>INOETC</t>
  </si>
  <si>
    <t>IFDECFBCOA</t>
  </si>
  <si>
    <t>INGSTM</t>
  </si>
  <si>
    <t>IFDEBSTCOA</t>
  </si>
  <si>
    <t>INGPRH</t>
  </si>
  <si>
    <t>IFDEBSOCOA</t>
  </si>
  <si>
    <t>INGOHT</t>
  </si>
  <si>
    <t>IFDEBPVCOA</t>
  </si>
  <si>
    <t>INO</t>
  </si>
  <si>
    <t>INGMDR</t>
  </si>
  <si>
    <t>IFDEBOLCOA</t>
  </si>
  <si>
    <t>INGFEED</t>
  </si>
  <si>
    <t>IFDEBFBCOA</t>
  </si>
  <si>
    <t>ICAST_CHP</t>
  </si>
  <si>
    <t>INGFAC</t>
  </si>
  <si>
    <t>IFDEREGRFL</t>
  </si>
  <si>
    <t>ICAST_NGA</t>
  </si>
  <si>
    <t>INGETC</t>
  </si>
  <si>
    <t>IFDECCTRFL</t>
  </si>
  <si>
    <t>INCSTM</t>
  </si>
  <si>
    <t>IFDEBSTRFL</t>
  </si>
  <si>
    <t>INCPRH</t>
  </si>
  <si>
    <t>IFDEBOLRFL</t>
  </si>
  <si>
    <t>INCOHT</t>
  </si>
  <si>
    <t>IFDEBHLRFL</t>
  </si>
  <si>
    <t>INCMDR</t>
  </si>
  <si>
    <t>IFDEREGNGA</t>
  </si>
  <si>
    <t>INCFEED</t>
  </si>
  <si>
    <t>IFDEMTTNGA</t>
  </si>
  <si>
    <t>IMO</t>
  </si>
  <si>
    <t>INCFAC</t>
  </si>
  <si>
    <t>IFDEFCLNGA</t>
  </si>
  <si>
    <t>INCETC</t>
  </si>
  <si>
    <t>IFDECCTNGA</t>
  </si>
  <si>
    <t>ICIOH_OTP</t>
  </si>
  <si>
    <t>IMTSTM</t>
  </si>
  <si>
    <t>IFDEBSTNGA</t>
  </si>
  <si>
    <t>ICIOH_ELC</t>
  </si>
  <si>
    <t>IMTPRH</t>
  </si>
  <si>
    <t>IFDEBOLNGA</t>
  </si>
  <si>
    <t>IMTOHT</t>
  </si>
  <si>
    <t>IFDEBASNGA</t>
  </si>
  <si>
    <t>IMTMDR</t>
  </si>
  <si>
    <t>IFDEREGLPG</t>
  </si>
  <si>
    <t>IMTFEED</t>
  </si>
  <si>
    <t>IFDEMTTLPG</t>
  </si>
  <si>
    <t>IMTFAC</t>
  </si>
  <si>
    <t>IFDEFCLLPG</t>
  </si>
  <si>
    <t>IMTETC</t>
  </si>
  <si>
    <t>IFDECCTLPG</t>
  </si>
  <si>
    <t>ICT</t>
  </si>
  <si>
    <t>IMSSTM</t>
  </si>
  <si>
    <t>IFDEBSTLPG</t>
  </si>
  <si>
    <t>ICIEC_ELC</t>
  </si>
  <si>
    <t>IMSPRH</t>
  </si>
  <si>
    <t>IFDEBOLELC</t>
  </si>
  <si>
    <t>IMSOHT</t>
  </si>
  <si>
    <t>IFDEREGDST</t>
  </si>
  <si>
    <t>IMSMDR</t>
  </si>
  <si>
    <t>IFDECCTDST</t>
  </si>
  <si>
    <t>IMSFEED</t>
  </si>
  <si>
    <t>IFDEBSTDST</t>
  </si>
  <si>
    <t>IMSFAC</t>
  </si>
  <si>
    <t>IFDEBOLDST</t>
  </si>
  <si>
    <t>IMSETC</t>
  </si>
  <si>
    <t>IFDEBLLDST</t>
  </si>
  <si>
    <t>IMOSTM</t>
  </si>
  <si>
    <t>IFDEPRHCOA</t>
  </si>
  <si>
    <t>IMOPRH</t>
  </si>
  <si>
    <t>IFDEPRHRFL</t>
  </si>
  <si>
    <t>IOT</t>
  </si>
  <si>
    <t>IMOOHT</t>
  </si>
  <si>
    <t>IFDEPRHNGA</t>
  </si>
  <si>
    <t>IMOMDR</t>
  </si>
  <si>
    <t>IFDEPRHLPG</t>
  </si>
  <si>
    <t>IMOFEED</t>
  </si>
  <si>
    <t>IFDEPRHELC</t>
  </si>
  <si>
    <t>IMOFAC</t>
  </si>
  <si>
    <t>IFDEPRHDST</t>
  </si>
  <si>
    <t>IMOETC</t>
  </si>
  <si>
    <t>IFDEOHTCOA</t>
  </si>
  <si>
    <t>IMLSTM</t>
  </si>
  <si>
    <t>IFDEOHTRFL</t>
  </si>
  <si>
    <t>IMLPRH</t>
  </si>
  <si>
    <t>IFDEOHTBIO</t>
  </si>
  <si>
    <t>IMLOHT</t>
  </si>
  <si>
    <t>IFDEBSWBIO</t>
  </si>
  <si>
    <t>IMLMDR</t>
  </si>
  <si>
    <t>IFDEBSGBIO</t>
  </si>
  <si>
    <t>ICO</t>
  </si>
  <si>
    <t>IMLFEED</t>
  </si>
  <si>
    <t>IFDEBSDBIO</t>
  </si>
  <si>
    <t>IMLFAC</t>
  </si>
  <si>
    <t>IFDEBOLBIO</t>
  </si>
  <si>
    <t>IMLETC</t>
  </si>
  <si>
    <t>IFDEBFCBIO</t>
  </si>
  <si>
    <t>IMASTM</t>
  </si>
  <si>
    <t>IFDEBFBBIO</t>
  </si>
  <si>
    <t>IMAPRH</t>
  </si>
  <si>
    <t>IFDEBDSBIO</t>
  </si>
  <si>
    <t>IMAOHT</t>
  </si>
  <si>
    <t>IFDEREGAGR</t>
  </si>
  <si>
    <t>Agricultural Residue</t>
  </si>
  <si>
    <t>IMAMDR</t>
  </si>
  <si>
    <t>IFDECSGAGR</t>
  </si>
  <si>
    <t>IMAFEED</t>
  </si>
  <si>
    <t>IFDECSDAGR</t>
  </si>
  <si>
    <t>IMAFAC</t>
  </si>
  <si>
    <t>IFDEBSTAGR</t>
  </si>
  <si>
    <t>ICI</t>
  </si>
  <si>
    <t>IMAETC</t>
  </si>
  <si>
    <t>IFDEOHTNGA</t>
  </si>
  <si>
    <t>IFDSTM</t>
  </si>
  <si>
    <t>IFDEOHTELC</t>
  </si>
  <si>
    <t>IFDPRH</t>
  </si>
  <si>
    <t>IFDEOHTDST</t>
  </si>
  <si>
    <t>IFDOHT</t>
  </si>
  <si>
    <t>IFDEMDRNGA</t>
  </si>
  <si>
    <t>IFDMDR</t>
  </si>
  <si>
    <t>IFDEMDRELC</t>
  </si>
  <si>
    <t>IFDFEED</t>
  </si>
  <si>
    <t>IFDEMDRDST</t>
  </si>
  <si>
    <t>IFDFAC</t>
  </si>
  <si>
    <t>IFDEFEDBIO</t>
  </si>
  <si>
    <t>IFDETC</t>
  </si>
  <si>
    <t>IFDEFEDNGA</t>
  </si>
  <si>
    <t>ICTSTM</t>
  </si>
  <si>
    <t>IFDEFEDLPG</t>
  </si>
  <si>
    <t>ING</t>
  </si>
  <si>
    <t>ICTPRH</t>
  </si>
  <si>
    <t>IFDEFACCOA</t>
  </si>
  <si>
    <t>ICTOHT</t>
  </si>
  <si>
    <t>IFDEFACNGA</t>
  </si>
  <si>
    <t>ICTMDR</t>
  </si>
  <si>
    <t>IFDEFACLPG</t>
  </si>
  <si>
    <t>ICTFEED</t>
  </si>
  <si>
    <t>IFDEFACELC</t>
  </si>
  <si>
    <t>ICTFAC</t>
  </si>
  <si>
    <t>IFDEFACDST</t>
  </si>
  <si>
    <t>ICTETC</t>
  </si>
  <si>
    <t>IFDEETCELC</t>
  </si>
  <si>
    <t>ICPSTM</t>
  </si>
  <si>
    <t>INCEREGNGA</t>
  </si>
  <si>
    <t>Cement</t>
  </si>
  <si>
    <t>ICPPRH</t>
  </si>
  <si>
    <t>INCEBOLDST</t>
  </si>
  <si>
    <t>IFDEC_ELC</t>
  </si>
  <si>
    <t>ICPOHT</t>
  </si>
  <si>
    <t>INCEPRHCOA</t>
  </si>
  <si>
    <t>IFD</t>
  </si>
  <si>
    <t>ICPMDR</t>
  </si>
  <si>
    <t>INCEPRHNGA</t>
  </si>
  <si>
    <t>ICPFEED</t>
  </si>
  <si>
    <t>INCEPRHELC</t>
  </si>
  <si>
    <t>ICPFAC</t>
  </si>
  <si>
    <t>INCEOHTPTC</t>
  </si>
  <si>
    <t>ICPETC</t>
  </si>
  <si>
    <t>INCEOHTOTP</t>
  </si>
  <si>
    <t>ICOSTM</t>
  </si>
  <si>
    <t>INCEMDRELC</t>
  </si>
  <si>
    <t>ICOPRH</t>
  </si>
  <si>
    <t>INCEFEDPTC</t>
  </si>
  <si>
    <t>ICOOHT</t>
  </si>
  <si>
    <t>INCEFEDOTP</t>
  </si>
  <si>
    <t>ICOMDR</t>
  </si>
  <si>
    <t>INCEFACELC</t>
  </si>
  <si>
    <t>ICOFEED</t>
  </si>
  <si>
    <t>INCEFACDST</t>
  </si>
  <si>
    <t>INC</t>
  </si>
  <si>
    <t>ICOFAC</t>
  </si>
  <si>
    <t>ICAEBSTCOA</t>
  </si>
  <si>
    <t>Agricultural Chemicals</t>
  </si>
  <si>
    <t>ICOETC</t>
  </si>
  <si>
    <t>ICAECCTNGA</t>
  </si>
  <si>
    <t>ICISTM</t>
  </si>
  <si>
    <t>ICAEBSTNGA</t>
  </si>
  <si>
    <t>ICIPRH</t>
  </si>
  <si>
    <t>ICAEBSANGA</t>
  </si>
  <si>
    <t>ICIOHT</t>
  </si>
  <si>
    <t>ICAEBOLNGA</t>
  </si>
  <si>
    <t>ICIMDR</t>
  </si>
  <si>
    <t>ICAEPRHCOA</t>
  </si>
  <si>
    <t>ICIFEED</t>
  </si>
  <si>
    <t>ICAEPRHNGA</t>
  </si>
  <si>
    <t>epa.gov/sectors/pdf/energy/report.pdf</t>
  </si>
  <si>
    <t>ICIFAC</t>
  </si>
  <si>
    <t>ICAEPRHELC</t>
  </si>
  <si>
    <r>
      <rPr>
        <i/>
        <sz val="11"/>
        <color theme="1"/>
        <rFont val="Calibri"/>
        <family val="2"/>
        <scheme val="minor"/>
      </rPr>
      <t>Source</t>
    </r>
    <r>
      <rPr>
        <sz val="10"/>
        <rFont val="Arial"/>
        <family val="2"/>
      </rPr>
      <t>: 2007 OPEI Report</t>
    </r>
  </si>
  <si>
    <t>ICAOH_OTP</t>
  </si>
  <si>
    <t>ICIETC</t>
  </si>
  <si>
    <t>ICA</t>
  </si>
  <si>
    <t>ICAEOHTOTP</t>
  </si>
  <si>
    <t>ICASTM</t>
  </si>
  <si>
    <t>ICAEMDRNGA</t>
  </si>
  <si>
    <t>Primary Metals</t>
  </si>
  <si>
    <t>ICAPRH</t>
  </si>
  <si>
    <t>ICAEMDRELC</t>
  </si>
  <si>
    <t>Nonmetallic Mineral Products</t>
  </si>
  <si>
    <t>ICAOHT</t>
  </si>
  <si>
    <t>ICAEFEDPFS</t>
  </si>
  <si>
    <t>Chemicals</t>
  </si>
  <si>
    <t>ICAMDR</t>
  </si>
  <si>
    <t>ICAEFEDNGA</t>
  </si>
  <si>
    <t>ICAFEED</t>
  </si>
  <si>
    <t>ICAEFACNGA</t>
  </si>
  <si>
    <t>ICAFAC</t>
  </si>
  <si>
    <t>ICAEFACELC</t>
  </si>
  <si>
    <t>Feedstocks</t>
  </si>
  <si>
    <t>ICAETC</t>
  </si>
  <si>
    <t>ICAEFACDST</t>
  </si>
  <si>
    <t>Row Labels</t>
  </si>
  <si>
    <t>Demand Adjustment</t>
  </si>
  <si>
    <t>End Use Adjustment</t>
  </si>
  <si>
    <t>End Use Fraction</t>
  </si>
  <si>
    <t>End Use Demand</t>
  </si>
  <si>
    <t>Original Demand</t>
  </si>
  <si>
    <t>End Use</t>
  </si>
  <si>
    <t>MARKAL End Use Identifier</t>
  </si>
  <si>
    <t>Minimum End Use</t>
  </si>
  <si>
    <t>MARKAL Sub-Sector Identifier</t>
  </si>
  <si>
    <t>Sub-sector</t>
  </si>
  <si>
    <t>Sum of Output (%)</t>
  </si>
  <si>
    <t>Output (%)</t>
  </si>
  <si>
    <t>Output (PJ/a)</t>
  </si>
  <si>
    <t>General Industry Category</t>
  </si>
  <si>
    <t>Sum of R9 (Frac)</t>
  </si>
  <si>
    <t>Sum of R8 (Frac)</t>
  </si>
  <si>
    <t>Sum of R7 (Frac)</t>
  </si>
  <si>
    <t>Sum of R6 (Frac)</t>
  </si>
  <si>
    <t>Sum of R5 (Frac)</t>
  </si>
  <si>
    <t>Sum of R4 (Frac)</t>
  </si>
  <si>
    <t>Sum of R3 (Frac)</t>
  </si>
  <si>
    <t>Sum of R2 (Frac)</t>
  </si>
  <si>
    <t>Sum of R1 (Frac)</t>
  </si>
  <si>
    <t>Sub-sector and End Use Identifier</t>
  </si>
  <si>
    <t>Constraint identifier</t>
  </si>
  <si>
    <t>Sum of U.S. (Out)</t>
  </si>
  <si>
    <t>Sum of R9 (Out)</t>
  </si>
  <si>
    <t>Sum of R8 (Out)</t>
  </si>
  <si>
    <t>Sum of R7 (Out)</t>
  </si>
  <si>
    <t>Sum of R6 (Out)</t>
  </si>
  <si>
    <t>Sum of R5 (Out)</t>
  </si>
  <si>
    <t>Sum of R4 (Out)</t>
  </si>
  <si>
    <t>Sum of R3 (Out)</t>
  </si>
  <si>
    <t>Sum of R2 (Out)</t>
  </si>
  <si>
    <t>Sum of R1 (Out)</t>
  </si>
  <si>
    <t>Sum of R9 (%)</t>
  </si>
  <si>
    <t>Sum of R8 (%)</t>
  </si>
  <si>
    <t>Sum of R7 (%)</t>
  </si>
  <si>
    <t>Sum of R6 (%)</t>
  </si>
  <si>
    <t>Sum of R5 (%)</t>
  </si>
  <si>
    <t>Sum of R4 (%)</t>
  </si>
  <si>
    <t>Sum of R3 (%)</t>
  </si>
  <si>
    <t>Sum of R2 (%)</t>
  </si>
  <si>
    <t>Sum of R1 (%)</t>
  </si>
  <si>
    <t>R9 (%)</t>
  </si>
  <si>
    <t>R8 (%)</t>
  </si>
  <si>
    <t>R7 (%)</t>
  </si>
  <si>
    <t>R6 (%)</t>
  </si>
  <si>
    <t>R5 (%)</t>
  </si>
  <si>
    <t>R4 (%)</t>
  </si>
  <si>
    <t>R3 (%)</t>
  </si>
  <si>
    <t>R2 (%)</t>
  </si>
  <si>
    <t>R1 (%)</t>
  </si>
  <si>
    <t>R9 (Out)</t>
  </si>
  <si>
    <t>R8 (Out)</t>
  </si>
  <si>
    <t>R7 (Out)</t>
  </si>
  <si>
    <t>R6 (Out)</t>
  </si>
  <si>
    <t>R5 (Out)</t>
  </si>
  <si>
    <t>R4 (Out)</t>
  </si>
  <si>
    <t>R3 (Out)</t>
  </si>
  <si>
    <t>R2 (Out)</t>
  </si>
  <si>
    <t>R1 (Out)</t>
  </si>
  <si>
    <t>End-Use Commodity</t>
  </si>
  <si>
    <t>MARKAL End-Use Identifier</t>
  </si>
  <si>
    <t>End-Use</t>
  </si>
  <si>
    <t>Sub-Sector</t>
  </si>
  <si>
    <t>Sum of U.S. (ELC)</t>
  </si>
  <si>
    <t>U.S. (ELC)</t>
  </si>
  <si>
    <t>R9 (ELC)</t>
  </si>
  <si>
    <t>R8 (ELC)</t>
  </si>
  <si>
    <t>R7 (ELC)</t>
  </si>
  <si>
    <t>R6 (ELC)</t>
  </si>
  <si>
    <t>R5 (ELC)</t>
  </si>
  <si>
    <t>R4 (ELC)</t>
  </si>
  <si>
    <t>R3 (ELC)</t>
  </si>
  <si>
    <t>R2 (ELC)</t>
  </si>
  <si>
    <t>R1 (ELC)</t>
  </si>
  <si>
    <t>U.S. (Out)</t>
  </si>
  <si>
    <t>R9 (AF)</t>
  </si>
  <si>
    <t>R8 (AF)</t>
  </si>
  <si>
    <t>R7 (AF)</t>
  </si>
  <si>
    <t>R6 (AF)</t>
  </si>
  <si>
    <t>R5 (AF)</t>
  </si>
  <si>
    <t>R4 (AF)</t>
  </si>
  <si>
    <t>R3 (AF)</t>
  </si>
  <si>
    <t>R2 (AF)</t>
  </si>
  <si>
    <t>R1 (AF)</t>
  </si>
  <si>
    <t>R9 (Cap)</t>
  </si>
  <si>
    <t>R8 (Cap)</t>
  </si>
  <si>
    <t>R7 (Cap)</t>
  </si>
  <si>
    <t>R6 (Cap)</t>
  </si>
  <si>
    <t>R5 (Cap)</t>
  </si>
  <si>
    <t>R4 (Cap)</t>
  </si>
  <si>
    <t>R3 (Cap)</t>
  </si>
  <si>
    <t>R2 (Cap)</t>
  </si>
  <si>
    <t>R1 (Cap)</t>
  </si>
  <si>
    <t>% Electricity Output (CHP)</t>
  </si>
  <si>
    <t>% Steam Output (CHP)</t>
  </si>
  <si>
    <t>Sheet</t>
  </si>
  <si>
    <t>Constraint Identifier</t>
  </si>
  <si>
    <t>Technology</t>
  </si>
  <si>
    <t>MARKAL Fuel Type</t>
  </si>
  <si>
    <t>AEO Fuel Type</t>
  </si>
  <si>
    <t>Column Labels</t>
  </si>
  <si>
    <t>Sum of Demand Adjustment</t>
  </si>
  <si>
    <t>Values</t>
  </si>
  <si>
    <t>Output fraction relative to end-use</t>
  </si>
  <si>
    <t>Fraction</t>
  </si>
  <si>
    <t>CHP Electricity Output</t>
  </si>
  <si>
    <t>Output</t>
  </si>
  <si>
    <t>Availability Factor</t>
  </si>
  <si>
    <t>Capacity (CHP - GW, Other - PJ/a)</t>
  </si>
  <si>
    <t>Table P70. Table 95 in pivot form</t>
  </si>
  <si>
    <t>Table 95. 2010 demand adjustments</t>
  </si>
  <si>
    <t>Table P69. Table 94 in pivot form</t>
  </si>
  <si>
    <t>Table 94. 2010 Regional breakdown of demand for each sub-sector</t>
  </si>
  <si>
    <t>Table 93. Fuel Relaxation Percentages</t>
  </si>
  <si>
    <t>Table P68. Table 93 in pivot form</t>
  </si>
  <si>
    <t>Table 92. 2010 Output shares relative to each sub-sector and end-use combination</t>
  </si>
  <si>
    <t>Table P67. 2010 Regional output for each sub-sector, fuel, and end-use combination</t>
  </si>
  <si>
    <t>Table P66. Table 91 in pivot form</t>
  </si>
  <si>
    <t>Table 91. 2010 End use fractions for each sub-sector</t>
  </si>
  <si>
    <t>Table P65. 2010 Regional Output for each sub-sector and end use combination</t>
  </si>
  <si>
    <t>Table 90. 2010 Output for each technology</t>
  </si>
  <si>
    <t>This sheet contains the calculations and analysis needed for determining key fractions that will be used in order to help steer projections in the right direction. Fractions include end use shares for each sub-sector and region, output shares for each sub-sector, fuel, end-use and region, and regional breakdowns of demand.</t>
  </si>
  <si>
    <t>Back to home page</t>
  </si>
  <si>
    <t>R1R2FLO</t>
  </si>
  <si>
    <t>R1R3FLO</t>
  </si>
  <si>
    <t>R1R4FLO</t>
  </si>
  <si>
    <t>R1R5FLO</t>
  </si>
  <si>
    <t>R1R6FLO</t>
  </si>
  <si>
    <t>EXP&lt;ent&gt;12</t>
  </si>
  <si>
    <t>EXP&lt;ent&gt;13</t>
  </si>
  <si>
    <t>EXP&lt;ent&gt;14</t>
  </si>
  <si>
    <t>EXP&lt;ent&gt;15</t>
  </si>
  <si>
    <t>EXP&lt;ent&gt;16</t>
  </si>
  <si>
    <t>P2R1FLO</t>
  </si>
  <si>
    <t>P3R1FLO</t>
  </si>
  <si>
    <t>EXP&lt;ent&gt;24</t>
  </si>
  <si>
    <t>EXP&lt;ent&gt;25</t>
  </si>
  <si>
    <t>EXP&lt;ent&gt;34</t>
  </si>
  <si>
    <t>EXP&lt;ent&gt;43</t>
  </si>
  <si>
    <t>EXP&lt;ent&gt;54</t>
  </si>
  <si>
    <t>NYC Capacity</t>
  </si>
  <si>
    <t>kb/day</t>
  </si>
  <si>
    <t>R2R4FLO</t>
  </si>
  <si>
    <t>R2R6FLO</t>
  </si>
  <si>
    <t>R2R5FLO</t>
  </si>
  <si>
    <t>R4R3FLO</t>
  </si>
  <si>
    <t>R4R5FLO</t>
  </si>
  <si>
    <t>R5R4FLO</t>
  </si>
  <si>
    <t>R6R2FLO</t>
  </si>
  <si>
    <t>R3R4FLO</t>
  </si>
  <si>
    <t>P1R3FLO</t>
  </si>
  <si>
    <t>P1R4FLO</t>
  </si>
  <si>
    <t>P1R6FLO</t>
  </si>
  <si>
    <t>EXPASPP13</t>
  </si>
  <si>
    <t>EXPASPP14</t>
  </si>
  <si>
    <t>EXPASPP16</t>
  </si>
  <si>
    <t>Export of Imported Asphalt, PADD 1 to R6</t>
  </si>
  <si>
    <t>Export of Imported Asphalt, PADD 1 to R4</t>
  </si>
  <si>
    <t>Export of Imported Asphalt, PADD 1 to R3</t>
  </si>
  <si>
    <t>IMPASPP13</t>
  </si>
  <si>
    <t>R3 Import of Imported Asphalt, from PADD 1</t>
  </si>
  <si>
    <t>R4 Import of Imported Asphalt, from PADD 1</t>
  </si>
  <si>
    <t>IMPASPP16</t>
  </si>
  <si>
    <t>R6 Import of Imported Asphalt, from PADD 1</t>
  </si>
  <si>
    <t>EPAUS9R Data</t>
  </si>
  <si>
    <t>NYC MARKAL Data</t>
  </si>
  <si>
    <t>Imported Refined Curves for NYC MARKAL</t>
  </si>
  <si>
    <t>Domestic crude delivery charge from R1</t>
  </si>
  <si>
    <t>XOILD1</t>
  </si>
  <si>
    <t>*R0,R1,R2,R3,R4,R5,R6</t>
  </si>
  <si>
    <t>EXPASPP31</t>
  </si>
  <si>
    <t>Export of Imported Asphalt, PADD 3 to R1</t>
  </si>
  <si>
    <t>IMPASPP21</t>
  </si>
  <si>
    <t>R1 Import of Imported Asphalt, from PADD 2</t>
  </si>
  <si>
    <t>IMPASPP31</t>
  </si>
  <si>
    <t>R1 Import of Imported Asphalt, from PADD 3</t>
  </si>
  <si>
    <t>*Imported crude supply from PADDs</t>
  </si>
  <si>
    <t>*Imported Refined Products from PADD 1 Direct to Regional End Users</t>
  </si>
  <si>
    <t>*Imported Refined Products from PADD 2 Direct to Regional End Users</t>
  </si>
  <si>
    <t>*Imported Refined Products from PADD 3 Direct to Regional End Users</t>
  </si>
  <si>
    <t>R0,R1</t>
  </si>
  <si>
    <t>R1,R2,R3,R4,R5,R6</t>
  </si>
  <si>
    <t>R2,R3,R4,R5,R6</t>
  </si>
  <si>
    <r>
      <t>1</t>
    </r>
    <r>
      <rPr>
        <sz val="10"/>
        <color theme="1"/>
        <rFont val="Arial"/>
        <family val="2"/>
      </rPr>
      <t>Using elemental carbon as a surrogate for black carbon.</t>
    </r>
  </si>
  <si>
    <r>
      <t>2</t>
    </r>
    <r>
      <rPr>
        <sz val="10"/>
        <color theme="1"/>
        <rFont val="Arial"/>
        <family val="2"/>
      </rPr>
      <t>Hg emissions from resource extraction are insignificant.</t>
    </r>
  </si>
  <si>
    <r>
      <t>3</t>
    </r>
    <r>
      <rPr>
        <sz val="10"/>
        <color theme="1"/>
        <rFont val="Arial"/>
        <family val="2"/>
      </rPr>
      <t>Not available.</t>
    </r>
  </si>
  <si>
    <r>
      <t>NO</t>
    </r>
    <r>
      <rPr>
        <b/>
        <vertAlign val="subscript"/>
        <sz val="10"/>
        <color theme="1"/>
        <rFont val="Arial"/>
        <family val="2"/>
      </rPr>
      <t>x</t>
    </r>
  </si>
  <si>
    <r>
      <t>PM</t>
    </r>
    <r>
      <rPr>
        <b/>
        <vertAlign val="subscript"/>
        <sz val="10"/>
        <color theme="1"/>
        <rFont val="Arial"/>
        <family val="2"/>
      </rPr>
      <t>10</t>
    </r>
  </si>
  <si>
    <r>
      <t>PM</t>
    </r>
    <r>
      <rPr>
        <b/>
        <vertAlign val="subscript"/>
        <sz val="10"/>
        <color theme="1"/>
        <rFont val="Arial"/>
        <family val="2"/>
      </rPr>
      <t>2.5</t>
    </r>
  </si>
  <si>
    <r>
      <t>SO</t>
    </r>
    <r>
      <rPr>
        <b/>
        <vertAlign val="subscript"/>
        <sz val="10"/>
        <color theme="1"/>
        <rFont val="Arial"/>
        <family val="2"/>
      </rPr>
      <t>x</t>
    </r>
  </si>
  <si>
    <r>
      <t>CH</t>
    </r>
    <r>
      <rPr>
        <b/>
        <vertAlign val="subscript"/>
        <sz val="10"/>
        <color theme="1"/>
        <rFont val="Arial"/>
        <family val="2"/>
      </rPr>
      <t>4</t>
    </r>
  </si>
  <si>
    <r>
      <t>N</t>
    </r>
    <r>
      <rPr>
        <b/>
        <vertAlign val="subscript"/>
        <sz val="10"/>
        <color theme="1"/>
        <rFont val="Arial"/>
        <family val="2"/>
      </rPr>
      <t>2</t>
    </r>
    <r>
      <rPr>
        <b/>
        <sz val="10"/>
        <color theme="1"/>
        <rFont val="Arial"/>
        <family val="2"/>
      </rPr>
      <t>O</t>
    </r>
  </si>
  <si>
    <r>
      <t>CO</t>
    </r>
    <r>
      <rPr>
        <b/>
        <vertAlign val="subscript"/>
        <sz val="10"/>
        <color theme="1"/>
        <rFont val="Arial"/>
        <family val="2"/>
      </rPr>
      <t>2</t>
    </r>
  </si>
  <si>
    <r>
      <t>BC</t>
    </r>
    <r>
      <rPr>
        <b/>
        <vertAlign val="superscript"/>
        <sz val="10"/>
        <color theme="1"/>
        <rFont val="Arial"/>
        <family val="2"/>
      </rPr>
      <t>1</t>
    </r>
  </si>
  <si>
    <r>
      <t>Hg</t>
    </r>
    <r>
      <rPr>
        <b/>
        <vertAlign val="superscript"/>
        <sz val="10"/>
        <color theme="1"/>
        <rFont val="Arial"/>
        <family val="2"/>
      </rPr>
      <t>2</t>
    </r>
  </si>
  <si>
    <r>
      <t>na</t>
    </r>
    <r>
      <rPr>
        <vertAlign val="superscript"/>
        <sz val="10"/>
        <color theme="1"/>
        <rFont val="Arial"/>
        <family val="2"/>
      </rPr>
      <t>3</t>
    </r>
  </si>
  <si>
    <t>~FI_Comm</t>
  </si>
  <si>
    <t>Unit</t>
  </si>
  <si>
    <t>Csets</t>
  </si>
  <si>
    <t>LimType</t>
  </si>
  <si>
    <t>CTSLvl</t>
  </si>
  <si>
    <t>PeakTS</t>
  </si>
  <si>
    <t>Ctype</t>
  </si>
  <si>
    <t>NRG</t>
  </si>
  <si>
    <t>MAT</t>
  </si>
  <si>
    <t>~FI_Process</t>
  </si>
  <si>
    <t>Tact</t>
  </si>
  <si>
    <t>Tcap</t>
  </si>
  <si>
    <t>Sets</t>
  </si>
  <si>
    <t>PrimaryCG</t>
  </si>
  <si>
    <t>Vintage</t>
  </si>
  <si>
    <t>*GROWTHr</t>
  </si>
  <si>
    <t>*GROWTH_TIDr</t>
  </si>
  <si>
    <t>*DECAYr</t>
  </si>
  <si>
    <t>*GROWTHr~2010-2055</t>
  </si>
  <si>
    <t>*DECAYr~2010-2055</t>
  </si>
  <si>
    <t>COST~2010</t>
  </si>
  <si>
    <t>COST~2015</t>
  </si>
  <si>
    <t>COST~2020</t>
  </si>
  <si>
    <t>COST~2025</t>
  </si>
  <si>
    <t>COST~2030</t>
  </si>
  <si>
    <t>COST~2035</t>
  </si>
  <si>
    <t>COST~2040</t>
  </si>
  <si>
    <t>COST~2045</t>
  </si>
  <si>
    <t>COST~2050</t>
  </si>
  <si>
    <t>COST~2055</t>
  </si>
  <si>
    <t>AFA</t>
  </si>
  <si>
    <t>NCAP_TLIFE</t>
  </si>
  <si>
    <t>ENV_ACT~VOC</t>
  </si>
  <si>
    <t>ENV_ACT~CO</t>
  </si>
  <si>
    <t>ENV_ACT~NOX</t>
  </si>
  <si>
    <t>ENV_ACT~PM10</t>
  </si>
  <si>
    <t>ENV_ACT~PM25</t>
  </si>
  <si>
    <t>ENV_ACT~SO2</t>
  </si>
  <si>
    <t>ENV_ACT~CH4</t>
  </si>
  <si>
    <t>ENV_ACT~N2O</t>
  </si>
  <si>
    <t>ENV_ACT~CO2</t>
  </si>
  <si>
    <t>ENV_ACT~OC</t>
  </si>
  <si>
    <t>ENV_ACT~BC</t>
  </si>
  <si>
    <t>~FI_T</t>
  </si>
  <si>
    <t>MIN</t>
  </si>
  <si>
    <t>PRE</t>
  </si>
  <si>
    <t>EXP</t>
  </si>
  <si>
    <t>IMP</t>
  </si>
  <si>
    <t>*Oil mining</t>
  </si>
  <si>
    <t>EFF</t>
  </si>
  <si>
    <t>* Oil extraction</t>
  </si>
  <si>
    <t>NCAP_FOM~2010</t>
  </si>
  <si>
    <t>NCAP_FOM~2015</t>
  </si>
  <si>
    <t>NCAP_FOM~2020</t>
  </si>
  <si>
    <t>NCAP_FOM~2025</t>
  </si>
  <si>
    <t>NCAP_FOM~2030</t>
  </si>
  <si>
    <t>NCAP_FOM~2035</t>
  </si>
  <si>
    <t>NCAP_FOM~2040</t>
  </si>
  <si>
    <t>NCAP_FOM~2045</t>
  </si>
  <si>
    <t>NCAP_FOM~2050</t>
  </si>
  <si>
    <t>NCAP_FOM~2055</t>
  </si>
  <si>
    <t>*Name change Refined product</t>
  </si>
  <si>
    <t>PJa</t>
  </si>
  <si>
    <t>XIINDASPP1</t>
  </si>
  <si>
    <t>XIINDASPP2</t>
  </si>
  <si>
    <t>XIINDASPP3</t>
  </si>
  <si>
    <t>ACT_BND~LO~2010</t>
  </si>
  <si>
    <t>ACT_BND~UP~2005</t>
  </si>
  <si>
    <t>ACT_BND~UP~2010</t>
  </si>
  <si>
    <t>ACT_BND~UP~2015</t>
  </si>
  <si>
    <t>ACT_BND~UP~2020</t>
  </si>
  <si>
    <t>ACT_BND~UP~2025</t>
  </si>
  <si>
    <t>ACT_BND~UP~2030</t>
  </si>
  <si>
    <t>ACT_BND~UP~2035</t>
  </si>
  <si>
    <t>ACT_BND~UP~2040</t>
  </si>
  <si>
    <t>ACT_BND~UP~2045</t>
  </si>
  <si>
    <t>ACT_BND~UP~2050</t>
  </si>
  <si>
    <t>ACT_BND~UP~2055</t>
  </si>
  <si>
    <t>*ACT_BND~LO~2010</t>
  </si>
  <si>
    <t>*ACT_BND~UP~2005</t>
  </si>
  <si>
    <t>*ACT_BND~UP~2010</t>
  </si>
  <si>
    <t>*ACT_BND~UP~2015</t>
  </si>
  <si>
    <t>*ACT_BND~UP~2020</t>
  </si>
  <si>
    <t>*ACT_BND~UP~2025</t>
  </si>
  <si>
    <t>*ACT_BND~UP~2030</t>
  </si>
  <si>
    <t>*ACT_BND~UP~2035</t>
  </si>
  <si>
    <t>*ACT_BND~UP~2040</t>
  </si>
  <si>
    <t>*ACT_BND~UP~2045</t>
  </si>
  <si>
    <t>*ACT_BND~UP~2050</t>
  </si>
  <si>
    <t>*ACT_BND~UP~2055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</si>
</sst>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9">
    <numFmt numFmtId="44" formatCode="_(&quot;$&quot;* #,##0.00_);_(&quot;$&quot;* \(#,##0.00\);_(&quot;$&quot;* &quot;-&quot;??_);_(@_)"/>
    <numFmt numFmtId="43" formatCode="_(* #,##0.00_);_(* \(#,##0.00\);_(* &quot;-&quot;??_);_(@_)"/>
    <numFmt numFmtId="164" formatCode="_-&quot;$&quot;* #,##0.00_-;\-&quot;$&quot;* #,##0.00_-;_-&quot;$&quot;* &quot;-&quot;??_-;_-@_-"/>
    <numFmt numFmtId="165" formatCode="_-* #,##0.00_-;\-* #,##0.00_-;_-* &quot;-&quot;??_-;_-@_-"/>
    <numFmt numFmtId="166" formatCode="#,##0.0"/>
    <numFmt numFmtId="167" formatCode="0.0"/>
    <numFmt numFmtId="168" formatCode="0.000"/>
    <numFmt numFmtId="169" formatCode="0.0000"/>
    <numFmt numFmtId="170" formatCode="0.00000"/>
    <numFmt numFmtId="171" formatCode="0.0%"/>
    <numFmt numFmtId="172" formatCode="0.00_)"/>
    <numFmt numFmtId="173" formatCode="_(* #,##0_);_(* \(#,##0\);_(* &quot;-&quot;??_);_(@_)"/>
    <numFmt numFmtId="174" formatCode="m\o\n\th\ d\,\ yyyy"/>
    <numFmt numFmtId="175" formatCode="#.00"/>
    <numFmt numFmtId="176" formatCode="#."/>
    <numFmt numFmtId="177" formatCode="yyyy"/>
    <numFmt numFmtId="179" formatCode="&quot;$&quot;#,##0.000"/>
    <numFmt numFmtId="180" formatCode="_(&quot;$&quot;* #,##0.0_);_(&quot;$&quot;* \(#,##0.0\);_(&quot;$&quot;* &quot;-&quot;??_);_(@_)"/>
    <numFmt numFmtId="181" formatCode="\Te\x\t"/>
  </numFmts>
  <fonts count="55">
    <font>
      <sz val="10"/>
      <name val="Arial"/>
    </font>
    <font>
      <sz val="11"/>
      <color theme="1"/>
      <name val="Calibri"/>
      <family val="2"/>
      <scheme val="minor"/>
    </font>
    <font>
      <sz val="11"/>
      <color theme="1"/>
      <name val="Calibri"/>
      <family val="2"/>
      <scheme val="minor"/>
    </font>
    <font>
      <sz val="10"/>
      <name val="Arial"/>
      <family val="2"/>
    </font>
    <font>
      <u/>
      <sz val="10"/>
      <color indexed="12"/>
      <name val="Arial"/>
      <family val="2"/>
    </font>
    <font>
      <b/>
      <sz val="10"/>
      <name val="Arial"/>
      <family val="2"/>
    </font>
    <font>
      <sz val="10"/>
      <name val="Arial"/>
      <family val="2"/>
    </font>
    <font>
      <sz val="10"/>
      <color indexed="8"/>
      <name val="Arial"/>
      <family val="2"/>
    </font>
    <font>
      <b/>
      <sz val="10"/>
      <color indexed="8"/>
      <name val="Arial"/>
      <family val="2"/>
    </font>
    <font>
      <sz val="8"/>
      <name val="Arial"/>
      <family val="2"/>
    </font>
    <font>
      <i/>
      <sz val="10"/>
      <name val="Arial"/>
      <family val="2"/>
    </font>
    <font>
      <b/>
      <sz val="8"/>
      <color indexed="81"/>
      <name val="Tahoma"/>
      <family val="2"/>
    </font>
    <font>
      <sz val="8"/>
      <color indexed="81"/>
      <name val="Tahoma"/>
      <family val="2"/>
    </font>
    <font>
      <sz val="1"/>
      <color indexed="8"/>
      <name val="Courier"/>
      <family val="3"/>
    </font>
    <font>
      <b/>
      <sz val="1"/>
      <color indexed="8"/>
      <name val="Courier"/>
      <family val="3"/>
    </font>
    <font>
      <sz val="10"/>
      <color indexed="8"/>
      <name val="Arial"/>
      <family val="2"/>
    </font>
    <font>
      <b/>
      <sz val="10"/>
      <name val="Arial"/>
      <family val="2"/>
    </font>
    <font>
      <sz val="8"/>
      <name val="Arial"/>
      <family val="2"/>
    </font>
    <font>
      <b/>
      <sz val="12"/>
      <name val="Arial"/>
      <family val="2"/>
    </font>
    <font>
      <sz val="10"/>
      <name val="Times New Roman"/>
      <family val="1"/>
    </font>
    <font>
      <b/>
      <sz val="8"/>
      <name val="Arial"/>
      <family val="2"/>
    </font>
    <font>
      <b/>
      <sz val="10"/>
      <name val="Times New Roman"/>
      <family val="1"/>
    </font>
    <font>
      <sz val="10"/>
      <color indexed="8"/>
      <name val="Courier New"/>
      <family val="3"/>
    </font>
    <font>
      <sz val="10"/>
      <name val="Helvetica"/>
    </font>
    <font>
      <sz val="10"/>
      <name val="Times"/>
    </font>
    <font>
      <sz val="10"/>
      <color indexed="8"/>
      <name val="Arial Unicode MS"/>
      <family val="2"/>
    </font>
    <font>
      <sz val="12"/>
      <name val="Arial"/>
      <family val="2"/>
    </font>
    <font>
      <b/>
      <sz val="11"/>
      <name val="Arial"/>
      <family val="2"/>
    </font>
    <font>
      <sz val="10"/>
      <color indexed="18"/>
      <name val="Arial"/>
      <family val="2"/>
    </font>
    <font>
      <b/>
      <sz val="10"/>
      <color indexed="18"/>
      <name val="Arial"/>
      <family val="2"/>
    </font>
    <font>
      <sz val="10"/>
      <color indexed="10"/>
      <name val="Arial"/>
      <family val="2"/>
    </font>
    <font>
      <b/>
      <sz val="11"/>
      <color theme="1"/>
      <name val="Calibri"/>
      <family val="2"/>
      <scheme val="minor"/>
    </font>
    <font>
      <b/>
      <sz val="10"/>
      <color rgb="FFFF0000"/>
      <name val="Arial"/>
      <family val="2"/>
    </font>
    <font>
      <u/>
      <sz val="10"/>
      <color theme="10"/>
      <name val="Arial"/>
      <family val="2"/>
    </font>
    <font>
      <sz val="11"/>
      <color rgb="FFFF0000"/>
      <name val="Arial"/>
      <family val="2"/>
    </font>
    <font>
      <sz val="10"/>
      <color rgb="FFFF0000"/>
      <name val="Arial"/>
      <family val="2"/>
    </font>
    <font>
      <sz val="9"/>
      <color theme="1"/>
      <name val="Calibri"/>
      <family val="2"/>
      <scheme val="minor"/>
    </font>
    <font>
      <sz val="10"/>
      <color theme="1"/>
      <name val="Calibri"/>
      <family val="2"/>
      <scheme val="minor"/>
    </font>
    <font>
      <sz val="11"/>
      <color rgb="FFFF0000"/>
      <name val="Calibri"/>
      <family val="2"/>
      <scheme val="minor"/>
    </font>
    <font>
      <i/>
      <sz val="11"/>
      <color theme="1"/>
      <name val="Calibri"/>
      <family val="2"/>
      <scheme val="minor"/>
    </font>
    <font>
      <b/>
      <sz val="10"/>
      <name val="Calibri"/>
      <family val="2"/>
      <scheme val="minor"/>
    </font>
    <font>
      <b/>
      <sz val="10"/>
      <color theme="1"/>
      <name val="Arial"/>
      <family val="2"/>
    </font>
    <font>
      <u/>
      <sz val="11"/>
      <color theme="10"/>
      <name val="Calibri"/>
      <family val="2"/>
    </font>
    <font>
      <b/>
      <sz val="9"/>
      <color indexed="81"/>
      <name val="Tahoma"/>
      <family val="2"/>
    </font>
    <font>
      <sz val="9"/>
      <color indexed="81"/>
      <name val="Tahoma"/>
      <family val="2"/>
    </font>
    <font>
      <sz val="10"/>
      <color theme="1"/>
      <name val="Arial"/>
      <family val="2"/>
    </font>
    <font>
      <b/>
      <sz val="11"/>
      <color theme="1"/>
      <name val="Arial"/>
      <family val="2"/>
    </font>
    <font>
      <b/>
      <sz val="14"/>
      <name val="Arial"/>
      <family val="2"/>
    </font>
    <font>
      <vertAlign val="superscript"/>
      <sz val="10"/>
      <color theme="1"/>
      <name val="Arial"/>
      <family val="2"/>
    </font>
    <font>
      <b/>
      <sz val="10"/>
      <color rgb="FF000000"/>
      <name val="Arial"/>
      <family val="2"/>
    </font>
    <font>
      <b/>
      <vertAlign val="subscript"/>
      <sz val="10"/>
      <color theme="1"/>
      <name val="Arial"/>
      <family val="2"/>
    </font>
    <font>
      <b/>
      <vertAlign val="superscript"/>
      <sz val="10"/>
      <color theme="1"/>
      <name val="Arial"/>
      <family val="2"/>
    </font>
    <font>
      <sz val="10"/>
      <color rgb="FF000000"/>
      <name val="Arial"/>
      <family val="2"/>
    </font>
    <font>
      <i/>
      <sz val="10"/>
      <color theme="1"/>
      <name val="Arial"/>
      <family val="2"/>
    </font>
    <font>
      <b/>
      <sz val="10"/>
      <color indexed="12"/>
      <name val="Arial"/>
      <family val="2"/>
    </font>
  </fonts>
  <fills count="12">
    <fill>
      <patternFill patternType="none"/>
    </fill>
    <fill>
      <patternFill patternType="gray125"/>
    </fill>
    <fill>
      <patternFill patternType="solid">
        <fgColor theme="2"/>
        <bgColor indexed="64"/>
      </patternFill>
    </fill>
    <fill>
      <patternFill patternType="solid">
        <fgColor theme="8" tint="0.79998168889431442"/>
        <bgColor indexed="64"/>
      </patternFill>
    </fill>
    <fill>
      <patternFill patternType="solid">
        <fgColor theme="4" tint="0.59999389629810485"/>
        <bgColor indexed="64"/>
      </patternFill>
    </fill>
    <fill>
      <patternFill patternType="solid">
        <fgColor theme="0"/>
        <bgColor indexed="64"/>
      </patternFill>
    </fill>
    <fill>
      <patternFill patternType="solid">
        <fgColor theme="0"/>
        <bgColor indexed="9"/>
      </patternFill>
    </fill>
    <fill>
      <patternFill patternType="solid">
        <fgColor rgb="FFFFFF99"/>
        <bgColor indexed="64"/>
      </patternFill>
    </fill>
    <fill>
      <patternFill patternType="solid">
        <fgColor rgb="FFFFFFCC"/>
        <bgColor indexed="64"/>
      </patternFill>
    </fill>
    <fill>
      <patternFill patternType="solid">
        <fgColor indexed="43"/>
        <bgColor indexed="64"/>
      </patternFill>
    </fill>
    <fill>
      <patternFill patternType="solid">
        <fgColor rgb="FFFF0000"/>
        <bgColor indexed="64"/>
      </patternFill>
    </fill>
    <fill>
      <patternFill patternType="solid">
        <fgColor theme="0" tint="-0.14999847407452621"/>
        <bgColor indexed="64"/>
      </patternFill>
    </fill>
  </fills>
  <borders count="64">
    <border>
      <left/>
      <right/>
      <top/>
      <bottom/>
      <diagonal/>
    </border>
    <border>
      <left/>
      <right/>
      <top style="thin">
        <color indexed="64"/>
      </top>
      <bottom style="double">
        <color indexed="64"/>
      </bottom>
      <diagonal/>
    </border>
    <border>
      <left/>
      <right/>
      <top style="thin">
        <color indexed="64"/>
      </top>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medium">
        <color indexed="64"/>
      </right>
      <top style="medium">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top style="medium">
        <color indexed="64"/>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medium">
        <color indexed="64"/>
      </right>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top/>
      <bottom style="dashed">
        <color theme="0" tint="-0.24994659260841701"/>
      </bottom>
      <diagonal/>
    </border>
    <border>
      <left/>
      <right style="thin">
        <color indexed="64"/>
      </right>
      <top style="thin">
        <color indexed="64"/>
      </top>
      <bottom style="thin">
        <color indexed="64"/>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bottom/>
      <diagonal/>
    </border>
    <border>
      <left style="thin">
        <color indexed="64"/>
      </left>
      <right style="medium">
        <color indexed="64"/>
      </right>
      <top/>
      <bottom/>
      <diagonal/>
    </border>
    <border>
      <left style="medium">
        <color indexed="64"/>
      </left>
      <right style="medium">
        <color indexed="64"/>
      </right>
      <top style="medium">
        <color indexed="64"/>
      </top>
      <bottom style="thin">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style="medium">
        <color indexed="64"/>
      </right>
      <top style="thin">
        <color indexed="64"/>
      </top>
      <bottom/>
      <diagonal/>
    </border>
    <border>
      <left style="medium">
        <color indexed="64"/>
      </left>
      <right/>
      <top style="thin">
        <color indexed="64"/>
      </top>
      <bottom/>
      <diagonal/>
    </border>
    <border>
      <left style="medium">
        <color indexed="64"/>
      </left>
      <right style="medium">
        <color indexed="64"/>
      </right>
      <top style="thin">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diagonal/>
    </border>
    <border>
      <left style="thin">
        <color indexed="64"/>
      </left>
      <right style="thin">
        <color indexed="64"/>
      </right>
      <top style="medium">
        <color indexed="64"/>
      </top>
      <bottom/>
      <diagonal/>
    </border>
    <border>
      <left/>
      <right/>
      <top style="medium">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top style="thin">
        <color indexed="64"/>
      </top>
      <bottom style="medium">
        <color indexed="64"/>
      </bottom>
      <diagonal/>
    </border>
    <border>
      <left style="medium">
        <color indexed="64"/>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top/>
      <bottom style="medium">
        <color indexed="64"/>
      </bottom>
      <diagonal/>
    </border>
    <border>
      <left style="thin">
        <color indexed="64"/>
      </left>
      <right/>
      <top style="medium">
        <color indexed="64"/>
      </top>
      <bottom style="thin">
        <color indexed="64"/>
      </bottom>
      <diagonal/>
    </border>
    <border>
      <left/>
      <right/>
      <top/>
      <bottom style="thick">
        <color theme="4"/>
      </bottom>
      <diagonal/>
    </border>
    <border>
      <left/>
      <right/>
      <top/>
      <bottom style="thin">
        <color theme="0" tint="-0.24994659260841701"/>
      </bottom>
      <diagonal/>
    </border>
  </borders>
  <cellStyleXfs count="53">
    <xf numFmtId="0" fontId="0" fillId="0" borderId="0"/>
    <xf numFmtId="165" fontId="3" fillId="0" borderId="0" applyFont="0" applyFill="0" applyBorder="0" applyAlignment="0" applyProtection="0"/>
    <xf numFmtId="164" fontId="3" fillId="0" borderId="0" applyFont="0" applyFill="0" applyBorder="0" applyAlignment="0" applyProtection="0"/>
    <xf numFmtId="174" fontId="13" fillId="0" borderId="0">
      <protection locked="0"/>
    </xf>
    <xf numFmtId="175" fontId="13" fillId="0" borderId="0">
      <protection locked="0"/>
    </xf>
    <xf numFmtId="176" fontId="14" fillId="0" borderId="0">
      <protection locked="0"/>
    </xf>
    <xf numFmtId="176" fontId="14" fillId="0" borderId="0">
      <protection locked="0"/>
    </xf>
    <xf numFmtId="0" fontId="4" fillId="0" borderId="0" applyNumberFormat="0" applyFill="0" applyBorder="0" applyAlignment="0" applyProtection="0">
      <alignment vertical="top"/>
      <protection locked="0"/>
    </xf>
    <xf numFmtId="0" fontId="6" fillId="0" borderId="0"/>
    <xf numFmtId="0" fontId="15" fillId="0" borderId="0"/>
    <xf numFmtId="0" fontId="3" fillId="0" borderId="0"/>
    <xf numFmtId="0" fontId="3" fillId="0" borderId="0"/>
    <xf numFmtId="0" fontId="15" fillId="0" borderId="0"/>
    <xf numFmtId="0" fontId="6" fillId="0" borderId="0"/>
    <xf numFmtId="177" fontId="3" fillId="0" borderId="0" applyFill="0" applyBorder="0" applyAlignment="0" applyProtection="0">
      <alignment wrapText="1"/>
    </xf>
    <xf numFmtId="0" fontId="16" fillId="0" borderId="0" applyNumberFormat="0" applyFill="0" applyBorder="0">
      <alignment horizontal="center" wrapText="1"/>
    </xf>
    <xf numFmtId="0" fontId="16" fillId="0" borderId="0" applyNumberFormat="0" applyFill="0" applyBorder="0">
      <alignment horizontal="center" wrapText="1"/>
    </xf>
    <xf numFmtId="176" fontId="13" fillId="0" borderId="1">
      <protection locked="0"/>
    </xf>
    <xf numFmtId="0" fontId="6" fillId="0" borderId="0"/>
    <xf numFmtId="9" fontId="6" fillId="0" borderId="0" applyFont="0" applyFill="0" applyBorder="0" applyAlignment="0" applyProtection="0"/>
    <xf numFmtId="43" fontId="6" fillId="0" borderId="0" applyFont="0" applyFill="0" applyBorder="0" applyAlignment="0" applyProtection="0"/>
    <xf numFmtId="9" fontId="3" fillId="0" borderId="0" applyFont="0" applyFill="0" applyBorder="0" applyAlignment="0" applyProtection="0"/>
    <xf numFmtId="0" fontId="36" fillId="0" borderId="29" applyNumberFormat="0" applyFont="0" applyProtection="0">
      <alignment wrapText="1"/>
    </xf>
    <xf numFmtId="0" fontId="2" fillId="0" borderId="0"/>
    <xf numFmtId="0" fontId="3" fillId="0" borderId="0"/>
    <xf numFmtId="0" fontId="42" fillId="0" borderId="0" applyNumberFormat="0" applyFill="0" applyBorder="0" applyAlignment="0" applyProtection="0">
      <alignment vertical="top"/>
      <protection locked="0"/>
    </xf>
    <xf numFmtId="43"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44" fontId="3" fillId="0" borderId="0" applyFont="0" applyFill="0" applyBorder="0" applyAlignment="0" applyProtection="0"/>
    <xf numFmtId="164" fontId="3" fillId="0" borderId="0" applyFont="0" applyFill="0" applyBorder="0" applyAlignment="0" applyProtection="0"/>
    <xf numFmtId="0" fontId="1"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177" fontId="3" fillId="0" borderId="0" applyFill="0" applyBorder="0" applyAlignment="0" applyProtection="0">
      <alignment wrapText="1"/>
    </xf>
    <xf numFmtId="177" fontId="3" fillId="0" borderId="0" applyFill="0" applyBorder="0" applyAlignment="0" applyProtection="0">
      <alignment wrapText="1"/>
    </xf>
    <xf numFmtId="177" fontId="3" fillId="0" borderId="0" applyFill="0" applyBorder="0" applyAlignment="0" applyProtection="0">
      <alignment wrapText="1"/>
    </xf>
    <xf numFmtId="0" fontId="5" fillId="0" borderId="0" applyNumberFormat="0" applyFill="0" applyBorder="0">
      <alignment horizontal="center" wrapText="1"/>
    </xf>
    <xf numFmtId="0" fontId="5" fillId="0" borderId="0" applyNumberFormat="0" applyFill="0" applyBorder="0">
      <alignment horizontal="center" wrapText="1"/>
    </xf>
    <xf numFmtId="0" fontId="5" fillId="0" borderId="0" applyNumberFormat="0" applyFill="0" applyBorder="0">
      <alignment horizontal="center" wrapText="1"/>
    </xf>
    <xf numFmtId="0" fontId="5" fillId="0" borderId="0" applyNumberFormat="0" applyFill="0" applyBorder="0">
      <alignment horizontal="center" wrapText="1"/>
    </xf>
    <xf numFmtId="9"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0" fontId="31" fillId="0" borderId="62" applyNumberFormat="0" applyProtection="0">
      <alignment wrapText="1"/>
    </xf>
    <xf numFmtId="0" fontId="1" fillId="0" borderId="29" applyNumberFormat="0" applyProtection="0">
      <alignment vertical="top"/>
    </xf>
    <xf numFmtId="0" fontId="31" fillId="0" borderId="63" applyNumberFormat="0" applyFill="0" applyProtection="0">
      <alignment wrapText="1"/>
    </xf>
    <xf numFmtId="0" fontId="3" fillId="0" borderId="0"/>
    <xf numFmtId="9" fontId="3" fillId="0" borderId="0" applyFont="0" applyFill="0" applyBorder="0" applyAlignment="0" applyProtection="0"/>
    <xf numFmtId="0" fontId="3" fillId="0" borderId="0"/>
    <xf numFmtId="0" fontId="3" fillId="0" borderId="0"/>
  </cellStyleXfs>
  <cellXfs count="451">
    <xf numFmtId="0" fontId="0" fillId="0" borderId="0" xfId="0"/>
    <xf numFmtId="0" fontId="2" fillId="0" borderId="0" xfId="23"/>
    <xf numFmtId="0" fontId="2" fillId="0" borderId="0" xfId="23" applyAlignment="1">
      <alignment horizontal="left"/>
    </xf>
    <xf numFmtId="0" fontId="2" fillId="0" borderId="0" xfId="23" applyAlignment="1">
      <alignment horizontal="center"/>
    </xf>
    <xf numFmtId="0" fontId="38" fillId="0" borderId="20" xfId="23" applyFont="1" applyBorder="1"/>
    <xf numFmtId="0" fontId="38" fillId="0" borderId="4" xfId="23" applyFont="1" applyBorder="1"/>
    <xf numFmtId="0" fontId="38" fillId="0" borderId="12" xfId="23" applyFont="1" applyBorder="1"/>
    <xf numFmtId="0" fontId="38" fillId="0" borderId="31" xfId="23" applyFont="1" applyBorder="1"/>
    <xf numFmtId="169" fontId="38" fillId="0" borderId="20" xfId="23" applyNumberFormat="1" applyFont="1" applyBorder="1" applyAlignment="1">
      <alignment horizontal="right"/>
    </xf>
    <xf numFmtId="169" fontId="38" fillId="0" borderId="4" xfId="23" applyNumberFormat="1" applyFont="1" applyBorder="1"/>
    <xf numFmtId="169" fontId="38" fillId="0" borderId="12" xfId="23" applyNumberFormat="1" applyFont="1" applyBorder="1"/>
    <xf numFmtId="169" fontId="38" fillId="0" borderId="31" xfId="23" applyNumberFormat="1" applyFont="1" applyBorder="1"/>
    <xf numFmtId="2" fontId="38" fillId="0" borderId="32" xfId="23" applyNumberFormat="1" applyFont="1" applyBorder="1" applyAlignment="1">
      <alignment horizontal="center"/>
    </xf>
    <xf numFmtId="2" fontId="38" fillId="0" borderId="12" xfId="23" applyNumberFormat="1" applyFont="1" applyBorder="1" applyAlignment="1">
      <alignment horizontal="center"/>
    </xf>
    <xf numFmtId="2" fontId="38" fillId="0" borderId="4" xfId="23" applyNumberFormat="1" applyFont="1" applyBorder="1" applyAlignment="1">
      <alignment horizontal="center"/>
    </xf>
    <xf numFmtId="2" fontId="38" fillId="0" borderId="31" xfId="23" applyNumberFormat="1" applyFont="1" applyBorder="1" applyAlignment="1">
      <alignment horizontal="center"/>
    </xf>
    <xf numFmtId="169" fontId="38" fillId="0" borderId="32" xfId="23" applyNumberFormat="1" applyFont="1" applyBorder="1"/>
    <xf numFmtId="9" fontId="38" fillId="0" borderId="32" xfId="23" applyNumberFormat="1" applyFont="1" applyBorder="1" applyAlignment="1">
      <alignment horizontal="center"/>
    </xf>
    <xf numFmtId="9" fontId="38" fillId="0" borderId="33" xfId="23" applyNumberFormat="1" applyFont="1" applyBorder="1" applyAlignment="1">
      <alignment horizontal="center"/>
    </xf>
    <xf numFmtId="0" fontId="2" fillId="0" borderId="34" xfId="23" applyBorder="1"/>
    <xf numFmtId="0" fontId="2" fillId="0" borderId="12" xfId="23" applyBorder="1"/>
    <xf numFmtId="0" fontId="2" fillId="0" borderId="4" xfId="23" applyBorder="1"/>
    <xf numFmtId="0" fontId="2" fillId="0" borderId="31" xfId="23" applyBorder="1"/>
    <xf numFmtId="169" fontId="38" fillId="0" borderId="15" xfId="23" applyNumberFormat="1" applyFont="1" applyBorder="1"/>
    <xf numFmtId="169" fontId="38" fillId="0" borderId="0" xfId="23" applyNumberFormat="1" applyFont="1"/>
    <xf numFmtId="169" fontId="38" fillId="0" borderId="11" xfId="23" applyNumberFormat="1" applyFont="1" applyBorder="1"/>
    <xf numFmtId="169" fontId="38" fillId="0" borderId="23" xfId="23" applyNumberFormat="1" applyFont="1" applyBorder="1"/>
    <xf numFmtId="169" fontId="38" fillId="0" borderId="15" xfId="23" applyNumberFormat="1" applyFont="1" applyBorder="1" applyAlignment="1">
      <alignment horizontal="right"/>
    </xf>
    <xf numFmtId="2" fontId="38" fillId="0" borderId="24" xfId="23" applyNumberFormat="1" applyFont="1" applyBorder="1" applyAlignment="1">
      <alignment horizontal="center"/>
    </xf>
    <xf numFmtId="2" fontId="38" fillId="0" borderId="11" xfId="23" applyNumberFormat="1" applyFont="1" applyBorder="1" applyAlignment="1">
      <alignment horizontal="center"/>
    </xf>
    <xf numFmtId="2" fontId="38" fillId="0" borderId="0" xfId="23" applyNumberFormat="1" applyFont="1" applyAlignment="1">
      <alignment horizontal="center"/>
    </xf>
    <xf numFmtId="2" fontId="38" fillId="0" borderId="23" xfId="23" applyNumberFormat="1" applyFont="1" applyBorder="1" applyAlignment="1">
      <alignment horizontal="center"/>
    </xf>
    <xf numFmtId="169" fontId="38" fillId="0" borderId="24" xfId="23" applyNumberFormat="1" applyFont="1" applyBorder="1"/>
    <xf numFmtId="10" fontId="38" fillId="0" borderId="24" xfId="23" applyNumberFormat="1" applyFont="1" applyBorder="1" applyAlignment="1">
      <alignment horizontal="center"/>
    </xf>
    <xf numFmtId="10" fontId="38" fillId="0" borderId="35" xfId="23" applyNumberFormat="1" applyFont="1" applyBorder="1" applyAlignment="1">
      <alignment horizontal="center"/>
    </xf>
    <xf numFmtId="0" fontId="2" fillId="0" borderId="36" xfId="23" applyBorder="1"/>
    <xf numFmtId="0" fontId="2" fillId="0" borderId="11" xfId="23" applyBorder="1"/>
    <xf numFmtId="0" fontId="2" fillId="0" borderId="23" xfId="23" applyBorder="1"/>
    <xf numFmtId="0" fontId="38" fillId="0" borderId="15" xfId="23" applyFont="1" applyBorder="1"/>
    <xf numFmtId="0" fontId="38" fillId="0" borderId="0" xfId="23" applyFont="1"/>
    <xf numFmtId="0" fontId="38" fillId="0" borderId="11" xfId="23" applyFont="1" applyBorder="1"/>
    <xf numFmtId="0" fontId="38" fillId="0" borderId="23" xfId="23" applyFont="1" applyBorder="1"/>
    <xf numFmtId="9" fontId="38" fillId="0" borderId="24" xfId="23" applyNumberFormat="1" applyFont="1" applyBorder="1" applyAlignment="1">
      <alignment horizontal="center"/>
    </xf>
    <xf numFmtId="9" fontId="38" fillId="0" borderId="35" xfId="23" applyNumberFormat="1" applyFont="1" applyBorder="1" applyAlignment="1">
      <alignment horizontal="center"/>
    </xf>
    <xf numFmtId="1" fontId="38" fillId="0" borderId="24" xfId="23" applyNumberFormat="1" applyFont="1" applyBorder="1" applyAlignment="1">
      <alignment horizontal="center"/>
    </xf>
    <xf numFmtId="1" fontId="38" fillId="0" borderId="11" xfId="23" applyNumberFormat="1" applyFont="1" applyBorder="1" applyAlignment="1">
      <alignment horizontal="center"/>
    </xf>
    <xf numFmtId="1" fontId="38" fillId="0" borderId="0" xfId="23" applyNumberFormat="1" applyFont="1" applyAlignment="1">
      <alignment horizontal="center"/>
    </xf>
    <xf numFmtId="1" fontId="38" fillId="0" borderId="23" xfId="23" applyNumberFormat="1" applyFont="1" applyBorder="1" applyAlignment="1">
      <alignment horizontal="center"/>
    </xf>
    <xf numFmtId="169" fontId="38" fillId="0" borderId="20" xfId="23" applyNumberFormat="1" applyFont="1" applyBorder="1"/>
    <xf numFmtId="10" fontId="38" fillId="0" borderId="32" xfId="23" applyNumberFormat="1" applyFont="1" applyBorder="1" applyAlignment="1">
      <alignment horizontal="center"/>
    </xf>
    <xf numFmtId="10" fontId="38" fillId="0" borderId="33" xfId="23" applyNumberFormat="1" applyFont="1" applyBorder="1" applyAlignment="1">
      <alignment horizontal="center"/>
    </xf>
    <xf numFmtId="0" fontId="2" fillId="0" borderId="37" xfId="23" applyBorder="1" applyAlignment="1">
      <alignment horizontal="left"/>
    </xf>
    <xf numFmtId="0" fontId="2" fillId="0" borderId="23" xfId="23" applyBorder="1" applyAlignment="1">
      <alignment horizontal="left"/>
    </xf>
    <xf numFmtId="0" fontId="2" fillId="0" borderId="20" xfId="23" applyBorder="1" applyAlignment="1">
      <alignment horizontal="left"/>
    </xf>
    <xf numFmtId="0" fontId="2" fillId="0" borderId="15" xfId="23" applyBorder="1" applyAlignment="1">
      <alignment horizontal="left"/>
    </xf>
    <xf numFmtId="0" fontId="38" fillId="2" borderId="32" xfId="23" applyFont="1" applyFill="1" applyBorder="1"/>
    <xf numFmtId="0" fontId="38" fillId="2" borderId="12" xfId="23" applyFont="1" applyFill="1" applyBorder="1"/>
    <xf numFmtId="0" fontId="38" fillId="2" borderId="4" xfId="23" applyFont="1" applyFill="1" applyBorder="1"/>
    <xf numFmtId="0" fontId="2" fillId="2" borderId="37" xfId="23" applyFill="1" applyBorder="1" applyAlignment="1">
      <alignment horizontal="left"/>
    </xf>
    <xf numFmtId="0" fontId="38" fillId="0" borderId="32" xfId="23" applyFont="1" applyBorder="1"/>
    <xf numFmtId="169" fontId="38" fillId="0" borderId="8" xfId="23" applyNumberFormat="1" applyFont="1" applyBorder="1"/>
    <xf numFmtId="169" fontId="38" fillId="0" borderId="38" xfId="23" applyNumberFormat="1" applyFont="1" applyBorder="1"/>
    <xf numFmtId="169" fontId="38" fillId="0" borderId="26" xfId="23" applyNumberFormat="1" applyFont="1" applyBorder="1"/>
    <xf numFmtId="169" fontId="38" fillId="0" borderId="25" xfId="23" applyNumberFormat="1" applyFont="1" applyBorder="1"/>
    <xf numFmtId="0" fontId="2" fillId="0" borderId="39" xfId="23" applyBorder="1"/>
    <xf numFmtId="0" fontId="2" fillId="0" borderId="25" xfId="23" applyBorder="1"/>
    <xf numFmtId="0" fontId="38" fillId="0" borderId="24" xfId="23" applyFont="1" applyBorder="1"/>
    <xf numFmtId="0" fontId="2" fillId="0" borderId="14" xfId="23" applyBorder="1" applyAlignment="1">
      <alignment horizontal="left"/>
    </xf>
    <xf numFmtId="0" fontId="38" fillId="2" borderId="34" xfId="23" applyFont="1" applyFill="1" applyBorder="1"/>
    <xf numFmtId="0" fontId="2" fillId="2" borderId="31" xfId="23" applyFill="1" applyBorder="1" applyAlignment="1">
      <alignment horizontal="left"/>
    </xf>
    <xf numFmtId="0" fontId="38" fillId="0" borderId="34" xfId="23" applyFont="1" applyBorder="1"/>
    <xf numFmtId="0" fontId="2" fillId="0" borderId="31" xfId="23" applyBorder="1" applyAlignment="1">
      <alignment horizontal="center" vertical="center"/>
    </xf>
    <xf numFmtId="0" fontId="38" fillId="0" borderId="36" xfId="23" applyFont="1" applyBorder="1"/>
    <xf numFmtId="0" fontId="2" fillId="0" borderId="23" xfId="23" applyBorder="1" applyAlignment="1">
      <alignment horizontal="center" vertical="center"/>
    </xf>
    <xf numFmtId="0" fontId="2" fillId="0" borderId="31" xfId="23" applyBorder="1" applyAlignment="1">
      <alignment horizontal="left"/>
    </xf>
    <xf numFmtId="0" fontId="2" fillId="0" borderId="23" xfId="23" applyBorder="1" applyAlignment="1">
      <alignment horizontal="left" vertical="center"/>
    </xf>
    <xf numFmtId="10" fontId="38" fillId="0" borderId="32" xfId="23" applyNumberFormat="1" applyFont="1" applyBorder="1"/>
    <xf numFmtId="0" fontId="38" fillId="0" borderId="33" xfId="23" applyFont="1" applyBorder="1"/>
    <xf numFmtId="0" fontId="2" fillId="0" borderId="32" xfId="23" applyBorder="1"/>
    <xf numFmtId="0" fontId="2" fillId="0" borderId="33" xfId="23" applyBorder="1"/>
    <xf numFmtId="10" fontId="38" fillId="0" borderId="24" xfId="23" applyNumberFormat="1" applyFont="1" applyBorder="1"/>
    <xf numFmtId="0" fontId="38" fillId="0" borderId="35" xfId="23" applyFont="1" applyBorder="1"/>
    <xf numFmtId="0" fontId="2" fillId="0" borderId="24" xfId="23" applyBorder="1"/>
    <xf numFmtId="0" fontId="2" fillId="0" borderId="35" xfId="23" applyBorder="1"/>
    <xf numFmtId="1" fontId="38" fillId="0" borderId="32" xfId="23" applyNumberFormat="1" applyFont="1" applyBorder="1"/>
    <xf numFmtId="0" fontId="2" fillId="0" borderId="5" xfId="23" applyBorder="1"/>
    <xf numFmtId="1" fontId="38" fillId="0" borderId="24" xfId="23" applyNumberFormat="1" applyFont="1" applyBorder="1"/>
    <xf numFmtId="0" fontId="2" fillId="0" borderId="3" xfId="23" applyBorder="1"/>
    <xf numFmtId="169" fontId="38" fillId="0" borderId="40" xfId="23" applyNumberFormat="1" applyFont="1" applyBorder="1"/>
    <xf numFmtId="169" fontId="38" fillId="0" borderId="10" xfId="23" applyNumberFormat="1" applyFont="1" applyBorder="1"/>
    <xf numFmtId="169" fontId="38" fillId="0" borderId="2" xfId="23" applyNumberFormat="1" applyFont="1" applyBorder="1"/>
    <xf numFmtId="169" fontId="38" fillId="0" borderId="41" xfId="23" applyNumberFormat="1" applyFont="1" applyBorder="1"/>
    <xf numFmtId="0" fontId="38" fillId="2" borderId="33" xfId="23" applyFont="1" applyFill="1" applyBorder="1"/>
    <xf numFmtId="0" fontId="38" fillId="2" borderId="31" xfId="23" applyFont="1" applyFill="1" applyBorder="1"/>
    <xf numFmtId="0" fontId="2" fillId="0" borderId="31" xfId="23" applyBorder="1" applyAlignment="1">
      <alignment horizontal="left" indent="1"/>
    </xf>
    <xf numFmtId="0" fontId="2" fillId="2" borderId="8" xfId="23" applyFill="1" applyBorder="1"/>
    <xf numFmtId="0" fontId="2" fillId="2" borderId="38" xfId="23" applyFill="1" applyBorder="1"/>
    <xf numFmtId="0" fontId="2" fillId="2" borderId="26" xfId="23" applyFill="1" applyBorder="1"/>
    <xf numFmtId="0" fontId="2" fillId="2" borderId="25" xfId="23" applyFill="1" applyBorder="1"/>
    <xf numFmtId="0" fontId="2" fillId="2" borderId="6" xfId="23" applyFill="1" applyBorder="1" applyAlignment="1">
      <alignment horizontal="left"/>
    </xf>
    <xf numFmtId="0" fontId="2" fillId="0" borderId="23" xfId="23" applyBorder="1" applyAlignment="1">
      <alignment horizontal="left" indent="1"/>
    </xf>
    <xf numFmtId="169" fontId="38" fillId="0" borderId="5" xfId="23" applyNumberFormat="1" applyFont="1" applyBorder="1"/>
    <xf numFmtId="0" fontId="2" fillId="0" borderId="10" xfId="23" applyBorder="1"/>
    <xf numFmtId="0" fontId="2" fillId="0" borderId="7" xfId="23" applyBorder="1" applyAlignment="1">
      <alignment horizontal="left" indent="1"/>
    </xf>
    <xf numFmtId="0" fontId="2" fillId="0" borderId="15" xfId="23" applyBorder="1" applyAlignment="1">
      <alignment horizontal="left" indent="1"/>
    </xf>
    <xf numFmtId="0" fontId="2" fillId="0" borderId="14" xfId="23" applyBorder="1" applyAlignment="1">
      <alignment horizontal="left" indent="1"/>
    </xf>
    <xf numFmtId="0" fontId="2" fillId="0" borderId="7" xfId="23" applyBorder="1" applyAlignment="1">
      <alignment horizontal="left"/>
    </xf>
    <xf numFmtId="169" fontId="2" fillId="0" borderId="0" xfId="23" applyNumberFormat="1"/>
    <xf numFmtId="169" fontId="38" fillId="2" borderId="22" xfId="23" applyNumberFormat="1" applyFont="1" applyFill="1" applyBorder="1"/>
    <xf numFmtId="169" fontId="38" fillId="2" borderId="30" xfId="23" applyNumberFormat="1" applyFont="1" applyFill="1" applyBorder="1"/>
    <xf numFmtId="169" fontId="38" fillId="2" borderId="9" xfId="23" applyNumberFormat="1" applyFont="1" applyFill="1" applyBorder="1"/>
    <xf numFmtId="169" fontId="38" fillId="2" borderId="21" xfId="23" applyNumberFormat="1" applyFont="1" applyFill="1" applyBorder="1"/>
    <xf numFmtId="0" fontId="2" fillId="2" borderId="42" xfId="23" applyFill="1" applyBorder="1" applyAlignment="1">
      <alignment horizontal="left"/>
    </xf>
    <xf numFmtId="0" fontId="38" fillId="0" borderId="3" xfId="23" applyFont="1" applyBorder="1"/>
    <xf numFmtId="0" fontId="3" fillId="0" borderId="0" xfId="24"/>
    <xf numFmtId="0" fontId="42" fillId="0" borderId="0" xfId="25" applyFill="1" applyBorder="1" applyAlignment="1" applyProtection="1"/>
    <xf numFmtId="0" fontId="2" fillId="0" borderId="20" xfId="23" applyBorder="1"/>
    <xf numFmtId="169" fontId="38" fillId="0" borderId="3" xfId="23" applyNumberFormat="1" applyFont="1" applyBorder="1"/>
    <xf numFmtId="0" fontId="2" fillId="0" borderId="43" xfId="23" applyBorder="1"/>
    <xf numFmtId="0" fontId="2" fillId="0" borderId="17" xfId="23" applyBorder="1"/>
    <xf numFmtId="0" fontId="38" fillId="0" borderId="44" xfId="23" applyFont="1" applyBorder="1"/>
    <xf numFmtId="0" fontId="38" fillId="0" borderId="13" xfId="23" applyFont="1" applyBorder="1"/>
    <xf numFmtId="0" fontId="38" fillId="0" borderId="45" xfId="23" applyFont="1" applyBorder="1"/>
    <xf numFmtId="0" fontId="38" fillId="0" borderId="46" xfId="23" applyFont="1" applyBorder="1"/>
    <xf numFmtId="0" fontId="38" fillId="0" borderId="16" xfId="23" applyFont="1" applyBorder="1"/>
    <xf numFmtId="169" fontId="38" fillId="0" borderId="45" xfId="23" applyNumberFormat="1" applyFont="1" applyBorder="1"/>
    <xf numFmtId="0" fontId="38" fillId="0" borderId="19" xfId="23" applyFont="1" applyBorder="1"/>
    <xf numFmtId="0" fontId="38" fillId="0" borderId="47" xfId="23" applyFont="1" applyBorder="1"/>
    <xf numFmtId="0" fontId="38" fillId="0" borderId="18" xfId="23" applyFont="1" applyBorder="1"/>
    <xf numFmtId="0" fontId="38" fillId="0" borderId="48" xfId="23" applyFont="1" applyBorder="1"/>
    <xf numFmtId="0" fontId="38" fillId="0" borderId="17" xfId="23" applyFont="1" applyBorder="1"/>
    <xf numFmtId="9" fontId="38" fillId="0" borderId="13" xfId="23" applyNumberFormat="1" applyFont="1" applyBorder="1" applyAlignment="1">
      <alignment horizontal="center"/>
    </xf>
    <xf numFmtId="9" fontId="38" fillId="0" borderId="49" xfId="23" applyNumberFormat="1" applyFont="1" applyBorder="1" applyAlignment="1">
      <alignment horizontal="center"/>
    </xf>
    <xf numFmtId="0" fontId="2" fillId="0" borderId="50" xfId="23" applyBorder="1"/>
    <xf numFmtId="0" fontId="2" fillId="0" borderId="45" xfId="23" applyBorder="1"/>
    <xf numFmtId="0" fontId="2" fillId="0" borderId="0" xfId="23" applyAlignment="1">
      <alignment vertical="center"/>
    </xf>
    <xf numFmtId="0" fontId="2" fillId="2" borderId="6" xfId="23" applyFill="1" applyBorder="1" applyAlignment="1">
      <alignment horizontal="center" vertical="center" wrapText="1"/>
    </xf>
    <xf numFmtId="0" fontId="2" fillId="2" borderId="51" xfId="23" applyFill="1" applyBorder="1" applyAlignment="1">
      <alignment horizontal="center" vertical="center" wrapText="1"/>
    </xf>
    <xf numFmtId="0" fontId="2" fillId="2" borderId="52" xfId="23" applyFill="1" applyBorder="1" applyAlignment="1">
      <alignment horizontal="center" vertical="center" wrapText="1"/>
    </xf>
    <xf numFmtId="0" fontId="2" fillId="2" borderId="28" xfId="23" applyFill="1" applyBorder="1" applyAlignment="1">
      <alignment horizontal="center" vertical="center" wrapText="1"/>
    </xf>
    <xf numFmtId="0" fontId="2" fillId="2" borderId="27" xfId="23" applyFill="1" applyBorder="1" applyAlignment="1">
      <alignment horizontal="center" vertical="center" wrapText="1"/>
    </xf>
    <xf numFmtId="0" fontId="2" fillId="2" borderId="2" xfId="23" applyFill="1" applyBorder="1" applyAlignment="1">
      <alignment horizontal="center" vertical="center" wrapText="1"/>
    </xf>
    <xf numFmtId="0" fontId="2" fillId="2" borderId="53" xfId="23" applyFill="1" applyBorder="1" applyAlignment="1">
      <alignment horizontal="center" vertical="center" wrapText="1"/>
    </xf>
    <xf numFmtId="0" fontId="2" fillId="2" borderId="54" xfId="23" applyFill="1" applyBorder="1" applyAlignment="1">
      <alignment horizontal="center" vertical="center" wrapText="1"/>
    </xf>
    <xf numFmtId="0" fontId="2" fillId="2" borderId="55" xfId="23" applyFill="1" applyBorder="1" applyAlignment="1">
      <alignment horizontal="center" vertical="center" wrapText="1"/>
    </xf>
    <xf numFmtId="0" fontId="2" fillId="2" borderId="56" xfId="23" applyFill="1" applyBorder="1" applyAlignment="1">
      <alignment horizontal="center" vertical="center" wrapText="1"/>
    </xf>
    <xf numFmtId="0" fontId="2" fillId="2" borderId="57" xfId="23" applyFill="1" applyBorder="1" applyAlignment="1">
      <alignment horizontal="center" vertical="center"/>
    </xf>
    <xf numFmtId="0" fontId="2" fillId="2" borderId="56" xfId="23" applyFill="1" applyBorder="1" applyAlignment="1">
      <alignment horizontal="center" vertical="center"/>
    </xf>
    <xf numFmtId="0" fontId="2" fillId="2" borderId="57" xfId="23" applyFill="1" applyBorder="1" applyAlignment="1">
      <alignment horizontal="center" vertical="center" wrapText="1"/>
    </xf>
    <xf numFmtId="0" fontId="2" fillId="2" borderId="58" xfId="23" applyFill="1" applyBorder="1" applyAlignment="1">
      <alignment horizontal="center" vertical="center"/>
    </xf>
    <xf numFmtId="0" fontId="31" fillId="2" borderId="8" xfId="23" applyFont="1" applyFill="1" applyBorder="1" applyAlignment="1">
      <alignment horizontal="center" vertical="center" wrapText="1"/>
    </xf>
    <xf numFmtId="0" fontId="31" fillId="2" borderId="59" xfId="23" applyFont="1" applyFill="1" applyBorder="1" applyAlignment="1">
      <alignment horizontal="center" vertical="center" wrapText="1"/>
    </xf>
    <xf numFmtId="0" fontId="31" fillId="2" borderId="39" xfId="23" applyFont="1" applyFill="1" applyBorder="1" applyAlignment="1">
      <alignment horizontal="center" vertical="center" wrapText="1"/>
    </xf>
    <xf numFmtId="0" fontId="31" fillId="2" borderId="25" xfId="23" applyFont="1" applyFill="1" applyBorder="1" applyAlignment="1">
      <alignment horizontal="center" vertical="center" wrapText="1"/>
    </xf>
    <xf numFmtId="0" fontId="2" fillId="2" borderId="8" xfId="23" applyFill="1" applyBorder="1" applyAlignment="1">
      <alignment horizontal="center" vertical="center" wrapText="1"/>
    </xf>
    <xf numFmtId="0" fontId="2" fillId="2" borderId="38" xfId="23" applyFill="1" applyBorder="1" applyAlignment="1">
      <alignment horizontal="center" vertical="center" wrapText="1"/>
    </xf>
    <xf numFmtId="0" fontId="2" fillId="2" borderId="26" xfId="23" applyFill="1" applyBorder="1" applyAlignment="1">
      <alignment horizontal="center" vertical="center" wrapText="1"/>
    </xf>
    <xf numFmtId="0" fontId="31" fillId="2" borderId="57" xfId="23" applyFont="1" applyFill="1" applyBorder="1" applyAlignment="1">
      <alignment horizontal="center" vertical="center" wrapText="1"/>
    </xf>
    <xf numFmtId="0" fontId="31" fillId="2" borderId="56" xfId="23" applyFont="1" applyFill="1" applyBorder="1" applyAlignment="1">
      <alignment horizontal="center" vertical="center" wrapText="1"/>
    </xf>
    <xf numFmtId="0" fontId="2" fillId="2" borderId="58" xfId="23" applyFill="1" applyBorder="1" applyAlignment="1">
      <alignment horizontal="center" vertical="center" wrapText="1"/>
    </xf>
    <xf numFmtId="0" fontId="2" fillId="2" borderId="59" xfId="23" applyFill="1" applyBorder="1" applyAlignment="1">
      <alignment horizontal="center" vertical="center" wrapText="1"/>
    </xf>
    <xf numFmtId="0" fontId="31" fillId="2" borderId="55" xfId="23" applyFont="1" applyFill="1" applyBorder="1" applyAlignment="1">
      <alignment horizontal="center" vertical="center" wrapText="1"/>
    </xf>
    <xf numFmtId="0" fontId="31" fillId="2" borderId="54" xfId="23" applyFont="1" applyFill="1" applyBorder="1" applyAlignment="1">
      <alignment horizontal="center" vertical="center" wrapText="1"/>
    </xf>
    <xf numFmtId="0" fontId="31" fillId="2" borderId="55" xfId="23" applyFont="1" applyFill="1" applyBorder="1" applyAlignment="1">
      <alignment horizontal="center" vertical="center"/>
    </xf>
    <xf numFmtId="0" fontId="31" fillId="2" borderId="56" xfId="23" applyFont="1" applyFill="1" applyBorder="1" applyAlignment="1">
      <alignment horizontal="center" vertical="center"/>
    </xf>
    <xf numFmtId="0" fontId="2" fillId="2" borderId="41" xfId="23" applyFill="1" applyBorder="1" applyAlignment="1">
      <alignment horizontal="center" vertical="center"/>
    </xf>
    <xf numFmtId="0" fontId="2" fillId="2" borderId="60" xfId="23" applyFill="1" applyBorder="1" applyAlignment="1">
      <alignment horizontal="center" vertical="center"/>
    </xf>
    <xf numFmtId="0" fontId="2" fillId="2" borderId="54" xfId="23" applyFill="1" applyBorder="1" applyAlignment="1">
      <alignment horizontal="center" vertical="center"/>
    </xf>
    <xf numFmtId="0" fontId="2" fillId="2" borderId="38" xfId="23" applyFill="1" applyBorder="1" applyAlignment="1">
      <alignment horizontal="center" vertical="center"/>
    </xf>
    <xf numFmtId="0" fontId="2" fillId="2" borderId="26" xfId="23" applyFill="1" applyBorder="1" applyAlignment="1">
      <alignment horizontal="center" vertical="center"/>
    </xf>
    <xf numFmtId="0" fontId="2" fillId="2" borderId="25" xfId="23" applyFill="1" applyBorder="1" applyAlignment="1">
      <alignment horizontal="center" vertical="center"/>
    </xf>
    <xf numFmtId="0" fontId="2" fillId="2" borderId="8" xfId="23" applyFill="1" applyBorder="1" applyAlignment="1">
      <alignment horizontal="center" vertical="center"/>
    </xf>
    <xf numFmtId="0" fontId="31" fillId="2" borderId="26" xfId="23" applyFont="1" applyFill="1" applyBorder="1" applyAlignment="1">
      <alignment horizontal="center" vertical="center" wrapText="1"/>
    </xf>
    <xf numFmtId="0" fontId="31" fillId="2" borderId="57" xfId="23" applyFont="1" applyFill="1" applyBorder="1" applyAlignment="1">
      <alignment horizontal="center" vertical="center"/>
    </xf>
    <xf numFmtId="0" fontId="31" fillId="2" borderId="54" xfId="23" applyFont="1" applyFill="1" applyBorder="1" applyAlignment="1">
      <alignment horizontal="center" vertical="center"/>
    </xf>
    <xf numFmtId="0" fontId="31" fillId="2" borderId="38" xfId="23" applyFont="1" applyFill="1" applyBorder="1" applyAlignment="1">
      <alignment horizontal="center" vertical="center"/>
    </xf>
    <xf numFmtId="0" fontId="31" fillId="2" borderId="26" xfId="23" applyFont="1" applyFill="1" applyBorder="1" applyAlignment="1">
      <alignment horizontal="center" vertical="center"/>
    </xf>
    <xf numFmtId="0" fontId="31" fillId="2" borderId="25" xfId="23" applyFont="1" applyFill="1" applyBorder="1" applyAlignment="1">
      <alignment horizontal="center" vertical="center"/>
    </xf>
    <xf numFmtId="0" fontId="2" fillId="2" borderId="24" xfId="23" applyFill="1" applyBorder="1"/>
    <xf numFmtId="0" fontId="2" fillId="2" borderId="0" xfId="23" applyFill="1"/>
    <xf numFmtId="0" fontId="2" fillId="2" borderId="19" xfId="23" applyFill="1" applyBorder="1"/>
    <xf numFmtId="0" fontId="2" fillId="2" borderId="18" xfId="23" applyFill="1" applyBorder="1"/>
    <xf numFmtId="0" fontId="2" fillId="2" borderId="18" xfId="23" applyFill="1" applyBorder="1" applyAlignment="1">
      <alignment horizontal="center" vertical="center"/>
    </xf>
    <xf numFmtId="0" fontId="2" fillId="2" borderId="37" xfId="23" applyFill="1" applyBorder="1"/>
    <xf numFmtId="0" fontId="2" fillId="2" borderId="18" xfId="23" applyFill="1" applyBorder="1" applyAlignment="1">
      <alignment horizontal="center"/>
    </xf>
    <xf numFmtId="0" fontId="2" fillId="2" borderId="17" xfId="23" applyFill="1" applyBorder="1"/>
    <xf numFmtId="0" fontId="2" fillId="2" borderId="61" xfId="23" applyFill="1" applyBorder="1"/>
    <xf numFmtId="0" fontId="39" fillId="0" borderId="0" xfId="23" applyFont="1"/>
    <xf numFmtId="0" fontId="39" fillId="0" borderId="0" xfId="23" applyFont="1" applyAlignment="1">
      <alignment horizontal="left"/>
    </xf>
    <xf numFmtId="0" fontId="2" fillId="0" borderId="0" xfId="23" applyAlignment="1">
      <alignment vertical="top" wrapText="1"/>
    </xf>
    <xf numFmtId="0" fontId="2" fillId="0" borderId="0" xfId="23" applyAlignment="1">
      <alignment horizontal="center" vertical="center"/>
    </xf>
    <xf numFmtId="0" fontId="2" fillId="3" borderId="5" xfId="23" applyFill="1" applyBorder="1" applyAlignment="1">
      <alignment horizontal="center" vertical="center"/>
    </xf>
    <xf numFmtId="0" fontId="2" fillId="3" borderId="4" xfId="23" applyFill="1" applyBorder="1" applyAlignment="1">
      <alignment horizontal="center" vertical="center"/>
    </xf>
    <xf numFmtId="0" fontId="2" fillId="3" borderId="4" xfId="23" applyFill="1" applyBorder="1" applyAlignment="1">
      <alignment horizontal="left" vertical="center"/>
    </xf>
    <xf numFmtId="0" fontId="42" fillId="4" borderId="12" xfId="25" applyFill="1" applyBorder="1" applyAlignment="1" applyProtection="1">
      <alignment horizontal="center" vertical="center"/>
    </xf>
    <xf numFmtId="0" fontId="0" fillId="5" borderId="0" xfId="0" applyFill="1"/>
    <xf numFmtId="0" fontId="5" fillId="5" borderId="0" xfId="0" applyFont="1" applyFill="1" applyAlignment="1">
      <alignment horizontal="center" vertical="center"/>
    </xf>
    <xf numFmtId="0" fontId="0" fillId="5" borderId="0" xfId="0" applyFill="1" applyAlignment="1">
      <alignment vertical="center"/>
    </xf>
    <xf numFmtId="0" fontId="6" fillId="5" borderId="0" xfId="0" applyFont="1" applyFill="1" applyAlignment="1">
      <alignment vertical="center"/>
    </xf>
    <xf numFmtId="0" fontId="5" fillId="5" borderId="0" xfId="0" applyFont="1" applyFill="1" applyAlignment="1">
      <alignment horizontal="center" vertical="center" wrapText="1"/>
    </xf>
    <xf numFmtId="0" fontId="41" fillId="5" borderId="0" xfId="0" applyFont="1" applyFill="1" applyAlignment="1">
      <alignment horizontal="center" vertical="center"/>
    </xf>
    <xf numFmtId="0" fontId="3" fillId="5" borderId="0" xfId="0" applyFont="1" applyFill="1"/>
    <xf numFmtId="0" fontId="5" fillId="5" borderId="0" xfId="0" applyFont="1" applyFill="1"/>
    <xf numFmtId="0" fontId="7" fillId="5" borderId="0" xfId="0" applyFont="1" applyFill="1"/>
    <xf numFmtId="0" fontId="6" fillId="5" borderId="0" xfId="0" applyFont="1" applyFill="1"/>
    <xf numFmtId="0" fontId="0" fillId="5" borderId="0" xfId="0" applyFill="1" applyAlignment="1">
      <alignment horizontal="center"/>
    </xf>
    <xf numFmtId="0" fontId="5" fillId="5" borderId="0" xfId="0" applyFont="1" applyFill="1" applyAlignment="1">
      <alignment horizontal="center"/>
    </xf>
    <xf numFmtId="171" fontId="0" fillId="5" borderId="0" xfId="21" applyNumberFormat="1" applyFont="1" applyFill="1" applyBorder="1"/>
    <xf numFmtId="0" fontId="27" fillId="5" borderId="0" xfId="0" applyFont="1" applyFill="1"/>
    <xf numFmtId="0" fontId="4" fillId="5" borderId="0" xfId="7" applyFill="1" applyBorder="1" applyAlignment="1" applyProtection="1"/>
    <xf numFmtId="0" fontId="3" fillId="5" borderId="0" xfId="0" applyFont="1" applyFill="1" applyAlignment="1">
      <alignment horizontal="center" vertical="center" wrapText="1"/>
    </xf>
    <xf numFmtId="0" fontId="0" fillId="5" borderId="0" xfId="0" applyFill="1" applyAlignment="1">
      <alignment horizontal="center" vertical="center" wrapText="1"/>
    </xf>
    <xf numFmtId="0" fontId="0" fillId="5" borderId="0" xfId="0" applyFill="1" applyAlignment="1">
      <alignment horizontal="left" vertical="center" wrapText="1"/>
    </xf>
    <xf numFmtId="166" fontId="0" fillId="5" borderId="0" xfId="0" applyNumberFormat="1" applyFill="1"/>
    <xf numFmtId="171" fontId="0" fillId="5" borderId="0" xfId="0" applyNumberFormat="1" applyFill="1"/>
    <xf numFmtId="0" fontId="10" fillId="5" borderId="0" xfId="0" applyFont="1" applyFill="1"/>
    <xf numFmtId="2" fontId="0" fillId="5" borderId="0" xfId="0" applyNumberFormat="1" applyFill="1"/>
    <xf numFmtId="168" fontId="0" fillId="5" borderId="0" xfId="0" applyNumberFormat="1" applyFill="1" applyAlignment="1">
      <alignment horizontal="center"/>
    </xf>
    <xf numFmtId="2" fontId="5" fillId="5" borderId="0" xfId="0" applyNumberFormat="1" applyFont="1" applyFill="1"/>
    <xf numFmtId="168" fontId="0" fillId="5" borderId="0" xfId="0" applyNumberFormat="1" applyFill="1"/>
    <xf numFmtId="0" fontId="35" fillId="5" borderId="0" xfId="0" applyFont="1" applyFill="1" applyAlignment="1">
      <alignment wrapText="1"/>
    </xf>
    <xf numFmtId="2" fontId="35" fillId="5" borderId="0" xfId="0" applyNumberFormat="1" applyFont="1" applyFill="1" applyAlignment="1">
      <alignment wrapText="1"/>
    </xf>
    <xf numFmtId="0" fontId="3" fillId="5" borderId="0" xfId="0" applyFont="1" applyFill="1" applyAlignment="1">
      <alignment horizontal="center"/>
    </xf>
    <xf numFmtId="0" fontId="3" fillId="5" borderId="0" xfId="0" applyFont="1" applyFill="1" applyAlignment="1">
      <alignment wrapText="1"/>
    </xf>
    <xf numFmtId="2" fontId="3" fillId="5" borderId="0" xfId="0" applyNumberFormat="1" applyFont="1" applyFill="1"/>
    <xf numFmtId="168" fontId="3" fillId="5" borderId="0" xfId="0" applyNumberFormat="1" applyFont="1" applyFill="1" applyAlignment="1">
      <alignment horizontal="center"/>
    </xf>
    <xf numFmtId="2" fontId="3" fillId="5" borderId="0" xfId="0" applyNumberFormat="1" applyFont="1" applyFill="1" applyAlignment="1">
      <alignment wrapText="1"/>
    </xf>
    <xf numFmtId="168" fontId="3" fillId="5" borderId="0" xfId="0" applyNumberFormat="1" applyFont="1" applyFill="1"/>
    <xf numFmtId="0" fontId="41" fillId="5" borderId="0" xfId="0" applyFont="1" applyFill="1" applyAlignment="1">
      <alignment vertical="center" wrapText="1"/>
    </xf>
    <xf numFmtId="0" fontId="41" fillId="5" borderId="0" xfId="0" applyFont="1" applyFill="1" applyAlignment="1">
      <alignment horizontal="left" vertical="center" wrapText="1"/>
    </xf>
    <xf numFmtId="0" fontId="41" fillId="5" borderId="0" xfId="0" applyFont="1" applyFill="1" applyAlignment="1">
      <alignment wrapText="1"/>
    </xf>
    <xf numFmtId="0" fontId="41" fillId="5" borderId="0" xfId="0" applyFont="1" applyFill="1" applyAlignment="1">
      <alignment horizontal="center" wrapText="1"/>
    </xf>
    <xf numFmtId="2" fontId="41" fillId="5" borderId="0" xfId="0" applyNumberFormat="1" applyFont="1" applyFill="1" applyAlignment="1">
      <alignment wrapText="1"/>
    </xf>
    <xf numFmtId="0" fontId="5" fillId="5" borderId="0" xfId="0" applyFont="1" applyFill="1" applyAlignment="1">
      <alignment horizontal="center" wrapText="1"/>
    </xf>
    <xf numFmtId="0" fontId="0" fillId="5" borderId="0" xfId="0" applyFill="1" applyAlignment="1">
      <alignment horizontal="center" vertical="center"/>
    </xf>
    <xf numFmtId="0" fontId="5" fillId="5" borderId="0" xfId="0" applyFont="1" applyFill="1" applyAlignment="1">
      <alignment horizontal="left"/>
    </xf>
    <xf numFmtId="0" fontId="29" fillId="5" borderId="0" xfId="0" applyFont="1" applyFill="1"/>
    <xf numFmtId="0" fontId="18" fillId="5" borderId="0" xfId="0" applyFont="1" applyFill="1"/>
    <xf numFmtId="0" fontId="6" fillId="5" borderId="0" xfId="0" applyFont="1" applyFill="1" applyAlignment="1">
      <alignment horizontal="right"/>
    </xf>
    <xf numFmtId="44" fontId="0" fillId="5" borderId="0" xfId="0" applyNumberFormat="1" applyFill="1"/>
    <xf numFmtId="180" fontId="0" fillId="5" borderId="0" xfId="0" applyNumberFormat="1" applyFill="1"/>
    <xf numFmtId="44" fontId="5" fillId="5" borderId="0" xfId="0" applyNumberFormat="1" applyFont="1" applyFill="1"/>
    <xf numFmtId="180" fontId="5" fillId="5" borderId="0" xfId="0" applyNumberFormat="1" applyFont="1" applyFill="1"/>
    <xf numFmtId="0" fontId="3" fillId="5" borderId="0" xfId="0" applyFont="1" applyFill="1" applyAlignment="1">
      <alignment horizontal="right"/>
    </xf>
    <xf numFmtId="44" fontId="3" fillId="5" borderId="0" xfId="0" applyNumberFormat="1" applyFont="1" applyFill="1"/>
    <xf numFmtId="180" fontId="3" fillId="5" borderId="0" xfId="0" applyNumberFormat="1" applyFont="1" applyFill="1"/>
    <xf numFmtId="0" fontId="0" fillId="5" borderId="0" xfId="0" quotePrefix="1" applyFill="1"/>
    <xf numFmtId="0" fontId="0" fillId="5" borderId="0" xfId="0" applyFill="1" applyAlignment="1">
      <alignment vertical="center" wrapText="1"/>
    </xf>
    <xf numFmtId="0" fontId="3" fillId="5" borderId="0" xfId="0" quotePrefix="1" applyFont="1" applyFill="1"/>
    <xf numFmtId="0" fontId="3" fillId="5" borderId="0" xfId="0" applyFont="1" applyFill="1" applyAlignment="1">
      <alignment vertical="center" wrapText="1"/>
    </xf>
    <xf numFmtId="3" fontId="3" fillId="5" borderId="0" xfId="0" applyNumberFormat="1" applyFont="1" applyFill="1" applyAlignment="1">
      <alignment horizontal="center"/>
    </xf>
    <xf numFmtId="44" fontId="5" fillId="5" borderId="0" xfId="0" applyNumberFormat="1" applyFont="1" applyFill="1" applyAlignment="1">
      <alignment horizontal="center" wrapText="1"/>
    </xf>
    <xf numFmtId="180" fontId="5" fillId="5" borderId="0" xfId="0" applyNumberFormat="1" applyFont="1" applyFill="1" applyAlignment="1">
      <alignment horizontal="center" wrapText="1"/>
    </xf>
    <xf numFmtId="4" fontId="5" fillId="5" borderId="0" xfId="0" applyNumberFormat="1" applyFont="1" applyFill="1" applyAlignment="1">
      <alignment horizontal="center" wrapText="1"/>
    </xf>
    <xf numFmtId="4" fontId="5" fillId="5" borderId="0" xfId="0" applyNumberFormat="1" applyFont="1" applyFill="1"/>
    <xf numFmtId="0" fontId="29" fillId="5" borderId="0" xfId="0" applyFont="1" applyFill="1" applyAlignment="1">
      <alignment vertical="center" wrapText="1"/>
    </xf>
    <xf numFmtId="0" fontId="29" fillId="5" borderId="0" xfId="0" applyFont="1" applyFill="1" applyAlignment="1">
      <alignment horizontal="center" vertical="center" wrapText="1"/>
    </xf>
    <xf numFmtId="0" fontId="28" fillId="5" borderId="0" xfId="0" applyFont="1" applyFill="1" applyAlignment="1">
      <alignment horizontal="left" wrapText="1"/>
    </xf>
    <xf numFmtId="0" fontId="28" fillId="5" borderId="0" xfId="0" applyFont="1" applyFill="1" applyAlignment="1">
      <alignment horizontal="center" wrapText="1"/>
    </xf>
    <xf numFmtId="168" fontId="3" fillId="5" borderId="0" xfId="0" applyNumberFormat="1" applyFont="1" applyFill="1" applyAlignment="1">
      <alignment horizontal="left"/>
    </xf>
    <xf numFmtId="4" fontId="3" fillId="5" borderId="0" xfId="0" applyNumberFormat="1" applyFont="1" applyFill="1"/>
    <xf numFmtId="167" fontId="3" fillId="5" borderId="0" xfId="0" applyNumberFormat="1" applyFont="1" applyFill="1"/>
    <xf numFmtId="0" fontId="5" fillId="5" borderId="0" xfId="0" applyFont="1" applyFill="1" applyAlignment="1">
      <alignment horizontal="left" wrapText="1"/>
    </xf>
    <xf numFmtId="171" fontId="32" fillId="5" borderId="0" xfId="21" applyNumberFormat="1" applyFont="1" applyFill="1" applyBorder="1"/>
    <xf numFmtId="2" fontId="5" fillId="5" borderId="0" xfId="0" applyNumberFormat="1" applyFont="1" applyFill="1" applyAlignment="1">
      <alignment wrapText="1"/>
    </xf>
    <xf numFmtId="168" fontId="3" fillId="5" borderId="0" xfId="0" applyNumberFormat="1" applyFont="1" applyFill="1" applyAlignment="1">
      <alignment wrapText="1"/>
    </xf>
    <xf numFmtId="171" fontId="3" fillId="5" borderId="0" xfId="21" applyNumberFormat="1" applyFont="1" applyFill="1" applyBorder="1"/>
    <xf numFmtId="168" fontId="41" fillId="5" borderId="0" xfId="0" applyNumberFormat="1" applyFont="1" applyFill="1" applyAlignment="1">
      <alignment wrapText="1"/>
    </xf>
    <xf numFmtId="179" fontId="0" fillId="5" borderId="0" xfId="0" applyNumberFormat="1" applyFill="1" applyAlignment="1">
      <alignment horizontal="center"/>
    </xf>
    <xf numFmtId="0" fontId="6" fillId="5" borderId="0" xfId="0" applyFont="1" applyFill="1" applyAlignment="1">
      <alignment horizontal="center" vertical="top" wrapText="1"/>
    </xf>
    <xf numFmtId="168" fontId="32" fillId="5" borderId="0" xfId="0" applyNumberFormat="1" applyFont="1" applyFill="1" applyAlignment="1">
      <alignment horizontal="center"/>
    </xf>
    <xf numFmtId="179" fontId="0" fillId="5" borderId="0" xfId="0" applyNumberFormat="1" applyFill="1"/>
    <xf numFmtId="0" fontId="18" fillId="5" borderId="0" xfId="0" applyFont="1" applyFill="1" applyAlignment="1">
      <alignment horizontal="left"/>
    </xf>
    <xf numFmtId="0" fontId="0" fillId="5" borderId="0" xfId="0" applyFill="1" applyAlignment="1">
      <alignment horizontal="left"/>
    </xf>
    <xf numFmtId="172" fontId="0" fillId="5" borderId="0" xfId="0" applyNumberFormat="1" applyFill="1"/>
    <xf numFmtId="168" fontId="0" fillId="5" borderId="0" xfId="0" applyNumberFormat="1" applyFill="1" applyAlignment="1">
      <alignment horizontal="right"/>
    </xf>
    <xf numFmtId="173" fontId="3" fillId="5" borderId="0" xfId="1" applyNumberFormat="1" applyFill="1" applyBorder="1" applyAlignment="1">
      <alignment horizontal="center"/>
    </xf>
    <xf numFmtId="164" fontId="3" fillId="5" borderId="0" xfId="2" applyFill="1" applyBorder="1"/>
    <xf numFmtId="165" fontId="3" fillId="5" borderId="0" xfId="1" applyFill="1" applyBorder="1"/>
    <xf numFmtId="173" fontId="5" fillId="5" borderId="0" xfId="1" applyNumberFormat="1" applyFont="1" applyFill="1" applyBorder="1" applyAlignment="1">
      <alignment horizontal="center" wrapText="1"/>
    </xf>
    <xf numFmtId="164" fontId="5" fillId="5" borderId="0" xfId="2" applyFont="1" applyFill="1" applyBorder="1" applyAlignment="1">
      <alignment horizontal="center" wrapText="1"/>
    </xf>
    <xf numFmtId="165" fontId="5" fillId="5" borderId="0" xfId="1" applyFont="1" applyFill="1" applyBorder="1" applyAlignment="1">
      <alignment horizontal="center" wrapText="1"/>
    </xf>
    <xf numFmtId="173" fontId="5" fillId="5" borderId="0" xfId="1" applyNumberFormat="1" applyFont="1" applyFill="1" applyBorder="1" applyAlignment="1">
      <alignment horizontal="center"/>
    </xf>
    <xf numFmtId="164" fontId="5" fillId="5" borderId="0" xfId="2" applyFont="1" applyFill="1" applyBorder="1" applyAlignment="1">
      <alignment horizontal="center"/>
    </xf>
    <xf numFmtId="165" fontId="5" fillId="5" borderId="0" xfId="1" applyFont="1" applyFill="1" applyBorder="1" applyAlignment="1">
      <alignment horizontal="center"/>
    </xf>
    <xf numFmtId="173" fontId="3" fillId="5" borderId="0" xfId="1" applyNumberFormat="1" applyFont="1" applyFill="1" applyBorder="1" applyAlignment="1">
      <alignment horizontal="center"/>
    </xf>
    <xf numFmtId="0" fontId="18" fillId="5" borderId="0" xfId="0" applyFont="1" applyFill="1" applyAlignment="1">
      <alignment horizontal="center"/>
    </xf>
    <xf numFmtId="173" fontId="3" fillId="5" borderId="0" xfId="1" applyNumberFormat="1" applyFill="1" applyBorder="1" applyAlignment="1">
      <alignment horizontal="center" vertical="center"/>
    </xf>
    <xf numFmtId="164" fontId="3" fillId="5" borderId="0" xfId="2" applyFill="1" applyBorder="1" applyAlignment="1">
      <alignment horizontal="center" vertical="center"/>
    </xf>
    <xf numFmtId="165" fontId="3" fillId="5" borderId="0" xfId="1" applyFill="1" applyBorder="1" applyAlignment="1">
      <alignment horizontal="center" vertical="center"/>
    </xf>
    <xf numFmtId="173" fontId="34" fillId="5" borderId="0" xfId="1" applyNumberFormat="1" applyFont="1" applyFill="1" applyBorder="1" applyAlignment="1">
      <alignment horizontal="center" vertical="center"/>
    </xf>
    <xf numFmtId="164" fontId="34" fillId="5" borderId="0" xfId="2" applyFont="1" applyFill="1" applyBorder="1" applyAlignment="1">
      <alignment vertical="center"/>
    </xf>
    <xf numFmtId="164" fontId="3" fillId="5" borderId="0" xfId="2" applyFill="1" applyBorder="1" applyAlignment="1">
      <alignment vertical="center"/>
    </xf>
    <xf numFmtId="165" fontId="3" fillId="5" borderId="0" xfId="1" applyFill="1" applyBorder="1" applyAlignment="1">
      <alignment vertical="center"/>
    </xf>
    <xf numFmtId="173" fontId="3" fillId="5" borderId="0" xfId="1" applyNumberFormat="1" applyFont="1" applyFill="1" applyBorder="1" applyAlignment="1">
      <alignment horizontal="center" vertical="center"/>
    </xf>
    <xf numFmtId="165" fontId="3" fillId="5" borderId="0" xfId="1" applyFont="1" applyFill="1" applyBorder="1" applyAlignment="1">
      <alignment horizontal="right" vertical="center"/>
    </xf>
    <xf numFmtId="0" fontId="0" fillId="5" borderId="0" xfId="0" applyFill="1" applyAlignment="1">
      <alignment horizontal="center" vertical="center" textRotation="90"/>
    </xf>
    <xf numFmtId="0" fontId="5" fillId="5" borderId="0" xfId="0" applyFont="1" applyFill="1" applyAlignment="1">
      <alignment horizontal="center" vertical="center" textRotation="90"/>
    </xf>
    <xf numFmtId="173" fontId="5" fillId="5" borderId="0" xfId="1" applyNumberFormat="1" applyFont="1" applyFill="1" applyBorder="1" applyAlignment="1">
      <alignment horizontal="left" vertical="center"/>
    </xf>
    <xf numFmtId="173" fontId="46" fillId="5" borderId="0" xfId="1" applyNumberFormat="1" applyFont="1" applyFill="1" applyBorder="1" applyAlignment="1">
      <alignment horizontal="center" vertical="center"/>
    </xf>
    <xf numFmtId="164" fontId="34" fillId="5" borderId="0" xfId="2" applyFont="1" applyFill="1" applyBorder="1" applyAlignment="1">
      <alignment horizontal="center" vertical="center"/>
    </xf>
    <xf numFmtId="165" fontId="3" fillId="5" borderId="0" xfId="1" applyFont="1" applyFill="1" applyBorder="1" applyAlignment="1">
      <alignment horizontal="right"/>
    </xf>
    <xf numFmtId="0" fontId="0" fillId="5" borderId="0" xfId="0" applyFill="1" applyAlignment="1">
      <alignment vertical="center" textRotation="90"/>
    </xf>
    <xf numFmtId="0" fontId="30" fillId="5" borderId="0" xfId="0" applyFont="1" applyFill="1" applyAlignment="1">
      <alignment horizontal="center"/>
    </xf>
    <xf numFmtId="0" fontId="48" fillId="5" borderId="0" xfId="0" applyFont="1" applyFill="1"/>
    <xf numFmtId="0" fontId="45" fillId="5" borderId="0" xfId="0" applyFont="1" applyFill="1"/>
    <xf numFmtId="0" fontId="41" fillId="5" borderId="0" xfId="0" applyFont="1" applyFill="1"/>
    <xf numFmtId="0" fontId="49" fillId="5" borderId="0" xfId="0" applyFont="1" applyFill="1" applyAlignment="1">
      <alignment horizontal="center" vertical="center"/>
    </xf>
    <xf numFmtId="0" fontId="41" fillId="5" borderId="0" xfId="0" applyFont="1" applyFill="1" applyAlignment="1">
      <alignment horizontal="center" vertical="center" wrapText="1"/>
    </xf>
    <xf numFmtId="0" fontId="52" fillId="5" borderId="0" xfId="0" applyFont="1" applyFill="1" applyAlignment="1">
      <alignment horizontal="center" vertical="center" wrapText="1"/>
    </xf>
    <xf numFmtId="0" fontId="52" fillId="5" borderId="0" xfId="0" applyFont="1" applyFill="1" applyAlignment="1">
      <alignment vertical="center" wrapText="1"/>
    </xf>
    <xf numFmtId="0" fontId="52" fillId="5" borderId="0" xfId="0" applyFont="1" applyFill="1" applyAlignment="1">
      <alignment vertical="center"/>
    </xf>
    <xf numFmtId="170" fontId="45" fillId="5" borderId="0" xfId="0" applyNumberFormat="1" applyFont="1" applyFill="1" applyAlignment="1">
      <alignment horizontal="right" vertical="center"/>
    </xf>
    <xf numFmtId="4" fontId="45" fillId="5" borderId="0" xfId="0" applyNumberFormat="1" applyFont="1" applyFill="1" applyAlignment="1">
      <alignment horizontal="right" vertical="center"/>
    </xf>
    <xf numFmtId="2" fontId="45" fillId="5" borderId="0" xfId="0" applyNumberFormat="1" applyFont="1" applyFill="1" applyAlignment="1">
      <alignment horizontal="right" vertical="center"/>
    </xf>
    <xf numFmtId="0" fontId="45" fillId="5" borderId="0" xfId="0" applyFont="1" applyFill="1" applyAlignment="1">
      <alignment horizontal="right" vertical="center" wrapText="1"/>
    </xf>
    <xf numFmtId="0" fontId="52" fillId="5" borderId="0" xfId="0" applyFont="1" applyFill="1" applyAlignment="1">
      <alignment horizontal="right" vertical="center" wrapText="1"/>
    </xf>
    <xf numFmtId="2" fontId="52" fillId="5" borderId="0" xfId="0" applyNumberFormat="1" applyFont="1" applyFill="1" applyAlignment="1">
      <alignment horizontal="right" vertical="center" wrapText="1"/>
    </xf>
    <xf numFmtId="0" fontId="3" fillId="5" borderId="0" xfId="18" applyFont="1" applyFill="1"/>
    <xf numFmtId="0" fontId="5" fillId="5" borderId="0" xfId="0" applyFont="1" applyFill="1" applyAlignment="1">
      <alignment horizontal="right" textRotation="90"/>
    </xf>
    <xf numFmtId="0" fontId="5" fillId="5" borderId="0" xfId="0" applyFont="1" applyFill="1" applyAlignment="1">
      <alignment horizontal="right" textRotation="90" wrapText="1"/>
    </xf>
    <xf numFmtId="171" fontId="3" fillId="5" borderId="0" xfId="19" applyNumberFormat="1" applyFont="1" applyFill="1" applyBorder="1"/>
    <xf numFmtId="168" fontId="3" fillId="6" borderId="0" xfId="0" applyNumberFormat="1" applyFont="1" applyFill="1"/>
    <xf numFmtId="3" fontId="3" fillId="5" borderId="0" xfId="20" applyNumberFormat="1" applyFont="1" applyFill="1" applyBorder="1"/>
    <xf numFmtId="3" fontId="3" fillId="5" borderId="0" xfId="0" applyNumberFormat="1" applyFont="1" applyFill="1"/>
    <xf numFmtId="0" fontId="53" fillId="5" borderId="0" xfId="0" applyFont="1" applyFill="1"/>
    <xf numFmtId="0" fontId="45" fillId="5" borderId="0" xfId="0" applyFont="1" applyFill="1" applyAlignment="1">
      <alignment horizontal="center"/>
    </xf>
    <xf numFmtId="11" fontId="45" fillId="5" borderId="0" xfId="0" applyNumberFormat="1" applyFont="1" applyFill="1"/>
    <xf numFmtId="4" fontId="45" fillId="5" borderId="0" xfId="0" applyNumberFormat="1" applyFont="1" applyFill="1"/>
    <xf numFmtId="168" fontId="45" fillId="5" borderId="0" xfId="0" applyNumberFormat="1" applyFont="1" applyFill="1"/>
    <xf numFmtId="0" fontId="3" fillId="5" borderId="0" xfId="0" applyFont="1" applyFill="1" applyAlignment="1">
      <alignment vertical="top" wrapText="1"/>
    </xf>
    <xf numFmtId="10" fontId="3" fillId="5" borderId="0" xfId="0" applyNumberFormat="1" applyFont="1" applyFill="1" applyAlignment="1">
      <alignment horizontal="center"/>
    </xf>
    <xf numFmtId="0" fontId="6" fillId="5" borderId="0" xfId="0" applyFont="1" applyFill="1" applyAlignment="1">
      <alignment horizontal="center"/>
    </xf>
    <xf numFmtId="0" fontId="6" fillId="5" borderId="0" xfId="0" applyFont="1" applyFill="1" applyAlignment="1">
      <alignment horizontal="left" indent="1"/>
    </xf>
    <xf numFmtId="0" fontId="6" fillId="5" borderId="0" xfId="0" applyFont="1" applyFill="1" applyAlignment="1">
      <alignment horizontal="left" vertical="center" indent="1"/>
    </xf>
    <xf numFmtId="0" fontId="0" fillId="5" borderId="0" xfId="0" applyFill="1" applyAlignment="1">
      <alignment horizontal="left" vertical="center" indent="1"/>
    </xf>
    <xf numFmtId="0" fontId="16" fillId="5" borderId="0" xfId="0" applyFont="1" applyFill="1"/>
    <xf numFmtId="0" fontId="16" fillId="5" borderId="0" xfId="0" applyFont="1" applyFill="1" applyAlignment="1">
      <alignment wrapText="1"/>
    </xf>
    <xf numFmtId="0" fontId="3" fillId="5" borderId="0" xfId="0" applyFont="1" applyFill="1" applyAlignment="1">
      <alignment horizontal="justify"/>
    </xf>
    <xf numFmtId="0" fontId="19" fillId="5" borderId="0" xfId="0" applyFont="1" applyFill="1" applyAlignment="1">
      <alignment vertical="top" wrapText="1"/>
    </xf>
    <xf numFmtId="0" fontId="19" fillId="5" borderId="0" xfId="10" applyFont="1" applyFill="1" applyAlignment="1">
      <alignment vertical="top" wrapText="1"/>
    </xf>
    <xf numFmtId="168" fontId="19" fillId="5" borderId="0" xfId="0" applyNumberFormat="1" applyFont="1" applyFill="1" applyAlignment="1">
      <alignment vertical="top" wrapText="1"/>
    </xf>
    <xf numFmtId="0" fontId="9" fillId="5" borderId="0" xfId="11" applyFont="1" applyFill="1"/>
    <xf numFmtId="0" fontId="6" fillId="5" borderId="0" xfId="10" applyFont="1" applyFill="1"/>
    <xf numFmtId="0" fontId="15" fillId="5" borderId="0" xfId="12" applyFill="1" applyAlignment="1">
      <alignment horizontal="center"/>
    </xf>
    <xf numFmtId="0" fontId="15" fillId="5" borderId="0" xfId="12" applyFill="1" applyAlignment="1">
      <alignment horizontal="right" wrapText="1"/>
    </xf>
    <xf numFmtId="168" fontId="9" fillId="5" borderId="0" xfId="11" applyNumberFormat="1" applyFont="1" applyFill="1"/>
    <xf numFmtId="0" fontId="7" fillId="5" borderId="0" xfId="9" applyFont="1" applyFill="1" applyAlignment="1">
      <alignment horizontal="right" wrapText="1"/>
    </xf>
    <xf numFmtId="0" fontId="21" fillId="5" borderId="0" xfId="0" applyFont="1" applyFill="1" applyAlignment="1">
      <alignment vertical="top" wrapText="1"/>
    </xf>
    <xf numFmtId="0" fontId="22" fillId="5" borderId="0" xfId="0" applyFont="1" applyFill="1"/>
    <xf numFmtId="0" fontId="22" fillId="5" borderId="0" xfId="0" applyFont="1" applyFill="1" applyAlignment="1">
      <alignment vertical="top"/>
    </xf>
    <xf numFmtId="3" fontId="19" fillId="5" borderId="0" xfId="0" applyNumberFormat="1" applyFont="1" applyFill="1" applyAlignment="1">
      <alignment vertical="top" wrapText="1"/>
    </xf>
    <xf numFmtId="0" fontId="25" fillId="5" borderId="0" xfId="0" applyFont="1" applyFill="1"/>
    <xf numFmtId="14" fontId="0" fillId="5" borderId="0" xfId="0" applyNumberFormat="1" applyFill="1"/>
    <xf numFmtId="0" fontId="26" fillId="5" borderId="0" xfId="0" applyFont="1" applyFill="1"/>
    <xf numFmtId="0" fontId="19" fillId="5" borderId="0" xfId="0" applyFont="1" applyFill="1"/>
    <xf numFmtId="0" fontId="20" fillId="5" borderId="0" xfId="11" applyFont="1" applyFill="1"/>
    <xf numFmtId="0" fontId="33" fillId="5" borderId="0" xfId="7" applyFont="1" applyFill="1" applyBorder="1" applyAlignment="1" applyProtection="1"/>
    <xf numFmtId="0" fontId="19" fillId="5" borderId="0" xfId="0" applyFont="1" applyFill="1" applyAlignment="1">
      <alignment horizontal="center" wrapText="1"/>
    </xf>
    <xf numFmtId="168" fontId="37" fillId="5" borderId="0" xfId="22" applyNumberFormat="1" applyFont="1" applyFill="1" applyBorder="1" applyAlignment="1">
      <alignment horizontal="right" wrapText="1"/>
    </xf>
    <xf numFmtId="0" fontId="23" fillId="5" borderId="0" xfId="0" applyFont="1" applyFill="1"/>
    <xf numFmtId="0" fontId="23" fillId="5" borderId="0" xfId="0" applyFont="1" applyFill="1" applyAlignment="1">
      <alignment horizontal="center"/>
    </xf>
    <xf numFmtId="3" fontId="23" fillId="5" borderId="0" xfId="0" applyNumberFormat="1" applyFont="1" applyFill="1" applyAlignment="1">
      <alignment horizontal="center"/>
    </xf>
    <xf numFmtId="0" fontId="24" fillId="5" borderId="0" xfId="0" applyFont="1" applyFill="1"/>
    <xf numFmtId="0" fontId="5" fillId="0" borderId="0" xfId="0" applyFont="1" applyAlignment="1">
      <alignment vertical="center"/>
    </xf>
    <xf numFmtId="0" fontId="3" fillId="0" borderId="0" xfId="0" applyFont="1" applyAlignment="1">
      <alignment vertical="center"/>
    </xf>
    <xf numFmtId="0" fontId="0" fillId="0" borderId="0" xfId="0" applyAlignment="1">
      <alignment vertical="center"/>
    </xf>
    <xf numFmtId="0" fontId="41" fillId="0" borderId="0" xfId="0" applyFont="1" applyAlignment="1">
      <alignment vertical="center"/>
    </xf>
    <xf numFmtId="0" fontId="7" fillId="0" borderId="0" xfId="0" applyFont="1" applyAlignment="1">
      <alignment vertical="center"/>
    </xf>
    <xf numFmtId="0" fontId="6" fillId="0" borderId="0" xfId="0" applyFont="1" applyAlignment="1">
      <alignment vertical="center"/>
    </xf>
    <xf numFmtId="181" fontId="54" fillId="0" borderId="0" xfId="0" applyNumberFormat="1" applyFont="1"/>
    <xf numFmtId="181" fontId="5" fillId="7" borderId="2" xfId="0" applyNumberFormat="1" applyFont="1" applyFill="1" applyBorder="1" applyAlignment="1">
      <alignment horizontal="left"/>
    </xf>
    <xf numFmtId="0" fontId="5" fillId="7" borderId="0" xfId="0" applyFont="1" applyFill="1" applyAlignment="1">
      <alignment vertical="center"/>
    </xf>
    <xf numFmtId="0" fontId="8" fillId="7" borderId="0" xfId="0" applyFont="1" applyFill="1" applyAlignment="1">
      <alignment vertical="center"/>
    </xf>
    <xf numFmtId="0" fontId="41" fillId="7" borderId="0" xfId="0" applyFont="1" applyFill="1" applyAlignment="1">
      <alignment vertical="center"/>
    </xf>
    <xf numFmtId="0" fontId="0" fillId="7" borderId="0" xfId="0" applyFill="1" applyAlignment="1">
      <alignment vertical="center"/>
    </xf>
    <xf numFmtId="0" fontId="3" fillId="8" borderId="0" xfId="0" applyFont="1" applyFill="1" applyAlignment="1">
      <alignment vertical="center"/>
    </xf>
    <xf numFmtId="0" fontId="6" fillId="8" borderId="0" xfId="0" applyFont="1" applyFill="1" applyAlignment="1">
      <alignment vertical="center"/>
    </xf>
    <xf numFmtId="0" fontId="3" fillId="7" borderId="0" xfId="0" applyFont="1" applyFill="1" applyAlignment="1">
      <alignment vertical="center"/>
    </xf>
    <xf numFmtId="0" fontId="0" fillId="8" borderId="0" xfId="0" applyFill="1" applyAlignment="1">
      <alignment vertical="center"/>
    </xf>
    <xf numFmtId="0" fontId="45" fillId="7" borderId="0" xfId="0" applyFont="1" applyFill="1" applyAlignment="1">
      <alignment horizontal="left" vertical="center"/>
    </xf>
    <xf numFmtId="0" fontId="3" fillId="0" borderId="0" xfId="0" applyFont="1" applyAlignment="1">
      <alignment horizontal="center" vertical="center"/>
    </xf>
    <xf numFmtId="0" fontId="5" fillId="0" borderId="0" xfId="0" applyFont="1" applyAlignment="1">
      <alignment horizontal="center" vertical="center"/>
    </xf>
    <xf numFmtId="0" fontId="3" fillId="0" borderId="0" xfId="8" applyFont="1" applyAlignment="1">
      <alignment vertical="center"/>
    </xf>
    <xf numFmtId="0" fontId="3" fillId="0" borderId="0" xfId="8" applyFont="1" applyAlignment="1">
      <alignment horizontal="center" vertical="center"/>
    </xf>
    <xf numFmtId="0" fontId="5" fillId="0" borderId="0" xfId="8" applyFont="1" applyAlignment="1">
      <alignment horizontal="center" vertical="center"/>
    </xf>
    <xf numFmtId="181" fontId="5" fillId="9" borderId="21" xfId="0" applyNumberFormat="1" applyFont="1" applyFill="1" applyBorder="1"/>
    <xf numFmtId="0" fontId="40" fillId="0" borderId="0" xfId="0" applyFont="1" applyAlignment="1">
      <alignment horizontal="center" vertical="center"/>
    </xf>
    <xf numFmtId="0" fontId="40" fillId="0" borderId="0" xfId="0" applyFont="1" applyAlignment="1">
      <alignment horizontal="center" vertical="center" wrapText="1"/>
    </xf>
    <xf numFmtId="2" fontId="3" fillId="0" borderId="0" xfId="13" applyNumberFormat="1" applyFont="1" applyAlignment="1">
      <alignment horizontal="center" vertical="center"/>
    </xf>
    <xf numFmtId="166" fontId="3" fillId="0" borderId="0" xfId="0" applyNumberFormat="1" applyFont="1" applyAlignment="1">
      <alignment horizontal="center" vertical="center"/>
    </xf>
    <xf numFmtId="4" fontId="3" fillId="0" borderId="0" xfId="0" applyNumberFormat="1" applyFont="1" applyAlignment="1">
      <alignment horizontal="center" vertical="center"/>
    </xf>
    <xf numFmtId="168" fontId="3" fillId="7" borderId="0" xfId="0" applyNumberFormat="1" applyFont="1" applyFill="1" applyAlignment="1">
      <alignment horizontal="center" vertical="top"/>
    </xf>
    <xf numFmtId="0" fontId="0" fillId="8" borderId="0" xfId="0" applyFill="1"/>
    <xf numFmtId="181" fontId="5" fillId="0" borderId="0" xfId="0" applyNumberFormat="1" applyFont="1" applyAlignment="1">
      <alignment horizontal="left"/>
    </xf>
    <xf numFmtId="168" fontId="3" fillId="0" borderId="0" xfId="0" applyNumberFormat="1" applyFont="1" applyAlignment="1">
      <alignment horizontal="center" vertical="top"/>
    </xf>
    <xf numFmtId="0" fontId="3" fillId="0" borderId="0" xfId="0" applyFont="1" applyAlignment="1">
      <alignment horizontal="center" vertical="top"/>
    </xf>
    <xf numFmtId="0" fontId="5" fillId="0" borderId="0" xfId="0" applyFont="1" applyAlignment="1">
      <alignment vertical="top"/>
    </xf>
    <xf numFmtId="0" fontId="5" fillId="8" borderId="0" xfId="0" applyFont="1" applyFill="1" applyAlignment="1">
      <alignment horizontal="center" vertical="center"/>
    </xf>
    <xf numFmtId="0" fontId="5" fillId="8" borderId="0" xfId="0" applyFont="1" applyFill="1" applyAlignment="1">
      <alignment vertical="center"/>
    </xf>
    <xf numFmtId="0" fontId="3" fillId="10" borderId="0" xfId="0" applyFont="1" applyFill="1" applyAlignment="1">
      <alignment horizontal="center" vertical="center"/>
    </xf>
    <xf numFmtId="166" fontId="3" fillId="7" borderId="0" xfId="0" applyNumberFormat="1" applyFont="1" applyFill="1" applyAlignment="1">
      <alignment horizontal="center" vertical="center"/>
    </xf>
    <xf numFmtId="181" fontId="5" fillId="7" borderId="0" xfId="0" applyNumberFormat="1" applyFont="1" applyFill="1" applyAlignment="1">
      <alignment horizontal="left"/>
    </xf>
    <xf numFmtId="168" fontId="3" fillId="8" borderId="0" xfId="0" applyNumberFormat="1" applyFont="1" applyFill="1" applyAlignment="1">
      <alignment horizontal="center" vertical="center"/>
    </xf>
    <xf numFmtId="4" fontId="3" fillId="8" borderId="0" xfId="0" applyNumberFormat="1" applyFont="1" applyFill="1" applyAlignment="1">
      <alignment horizontal="center" vertical="center"/>
    </xf>
    <xf numFmtId="166" fontId="3" fillId="8" borderId="0" xfId="0" applyNumberFormat="1" applyFont="1" applyFill="1" applyAlignment="1">
      <alignment horizontal="center" vertical="center"/>
    </xf>
    <xf numFmtId="2" fontId="3" fillId="8" borderId="0" xfId="13" applyNumberFormat="1" applyFont="1" applyFill="1" applyAlignment="1">
      <alignment horizontal="center" vertical="center"/>
    </xf>
    <xf numFmtId="49" fontId="10" fillId="0" borderId="0" xfId="0" applyNumberFormat="1" applyFont="1" applyAlignment="1">
      <alignment horizontal="center" vertical="top"/>
    </xf>
    <xf numFmtId="0" fontId="5" fillId="7" borderId="0" xfId="0" applyFont="1" applyFill="1" applyAlignment="1">
      <alignment horizontal="center" vertical="top"/>
    </xf>
    <xf numFmtId="0" fontId="3" fillId="0" borderId="0" xfId="0" applyFont="1" applyAlignment="1">
      <alignment vertical="top"/>
    </xf>
    <xf numFmtId="0" fontId="54" fillId="0" borderId="0" xfId="0" applyFont="1" applyAlignment="1">
      <alignment horizontal="left"/>
    </xf>
    <xf numFmtId="181" fontId="5" fillId="10" borderId="2" xfId="0" applyNumberFormat="1" applyFont="1" applyFill="1" applyBorder="1" applyAlignment="1">
      <alignment horizontal="left"/>
    </xf>
    <xf numFmtId="0" fontId="5" fillId="7" borderId="0" xfId="0" applyFont="1" applyFill="1" applyAlignment="1">
      <alignment horizontal="center" vertical="center"/>
    </xf>
    <xf numFmtId="2" fontId="3" fillId="8" borderId="0" xfId="0" applyNumberFormat="1" applyFont="1" applyFill="1" applyAlignment="1">
      <alignment horizontal="center" vertical="center"/>
    </xf>
    <xf numFmtId="0" fontId="3" fillId="7" borderId="0" xfId="0" applyFont="1" applyFill="1" applyAlignment="1">
      <alignment horizontal="center" vertical="center"/>
    </xf>
    <xf numFmtId="0" fontId="3" fillId="8" borderId="0" xfId="0" applyFont="1" applyFill="1" applyAlignment="1">
      <alignment horizontal="center" vertical="center"/>
    </xf>
    <xf numFmtId="167" fontId="3" fillId="8" borderId="0" xfId="0" applyNumberFormat="1" applyFont="1" applyFill="1" applyAlignment="1">
      <alignment horizontal="center" vertical="center"/>
    </xf>
    <xf numFmtId="2" fontId="3" fillId="7" borderId="0" xfId="0" applyNumberFormat="1" applyFont="1" applyFill="1" applyAlignment="1">
      <alignment horizontal="center" vertical="center"/>
    </xf>
    <xf numFmtId="0" fontId="3" fillId="7" borderId="0" xfId="0" applyFont="1" applyFill="1" applyAlignment="1">
      <alignment horizontal="center" vertical="top"/>
    </xf>
    <xf numFmtId="0" fontId="3" fillId="7" borderId="0" xfId="0" applyFont="1" applyFill="1" applyAlignment="1">
      <alignment vertical="top"/>
    </xf>
    <xf numFmtId="0" fontId="5" fillId="7" borderId="0" xfId="0" applyFont="1" applyFill="1" applyAlignment="1">
      <alignment vertical="top"/>
    </xf>
    <xf numFmtId="168" fontId="3" fillId="8" borderId="0" xfId="0" applyNumberFormat="1" applyFont="1" applyFill="1" applyAlignment="1">
      <alignment horizontal="center" vertical="top"/>
    </xf>
    <xf numFmtId="0" fontId="3" fillId="8" borderId="0" xfId="0" applyFont="1" applyFill="1" applyAlignment="1">
      <alignment horizontal="center" vertical="top"/>
    </xf>
    <xf numFmtId="0" fontId="3" fillId="8" borderId="0" xfId="0" applyFont="1" applyFill="1" applyAlignment="1">
      <alignment vertical="top"/>
    </xf>
    <xf numFmtId="168" fontId="5" fillId="7" borderId="0" xfId="0" applyNumberFormat="1" applyFont="1" applyFill="1" applyAlignment="1">
      <alignment horizontal="center" vertical="top"/>
    </xf>
    <xf numFmtId="2" fontId="3" fillId="0" borderId="0" xfId="0" applyNumberFormat="1" applyFont="1" applyAlignment="1">
      <alignment horizontal="center" vertical="center"/>
    </xf>
    <xf numFmtId="2" fontId="35" fillId="8" borderId="0" xfId="0" applyNumberFormat="1" applyFont="1" applyFill="1" applyAlignment="1">
      <alignment horizontal="center" vertical="center"/>
    </xf>
    <xf numFmtId="0" fontId="35" fillId="11" borderId="0" xfId="0" applyFont="1" applyFill="1" applyAlignment="1">
      <alignment horizontal="center" vertical="center"/>
    </xf>
    <xf numFmtId="0" fontId="31" fillId="2" borderId="16" xfId="23" applyFont="1" applyFill="1" applyBorder="1" applyAlignment="1">
      <alignment horizontal="center"/>
    </xf>
    <xf numFmtId="0" fontId="31" fillId="2" borderId="46" xfId="23" applyFont="1" applyFill="1" applyBorder="1" applyAlignment="1">
      <alignment horizontal="center"/>
    </xf>
    <xf numFmtId="0" fontId="31" fillId="2" borderId="13" xfId="23" applyFont="1" applyFill="1" applyBorder="1" applyAlignment="1">
      <alignment horizontal="center"/>
    </xf>
    <xf numFmtId="0" fontId="2" fillId="0" borderId="0" xfId="23" applyAlignment="1">
      <alignment horizontal="left" vertical="top" wrapText="1"/>
    </xf>
    <xf numFmtId="0" fontId="31" fillId="2" borderId="16" xfId="23" applyFont="1" applyFill="1" applyBorder="1" applyAlignment="1">
      <alignment horizontal="center" vertical="center"/>
    </xf>
    <xf numFmtId="0" fontId="31" fillId="2" borderId="46" xfId="23" applyFont="1" applyFill="1" applyBorder="1" applyAlignment="1">
      <alignment horizontal="center" vertical="center"/>
    </xf>
    <xf numFmtId="0" fontId="31" fillId="2" borderId="13" xfId="23" applyFont="1" applyFill="1" applyBorder="1" applyAlignment="1">
      <alignment horizontal="center" vertical="center"/>
    </xf>
    <xf numFmtId="0" fontId="31" fillId="2" borderId="17" xfId="23" applyFont="1" applyFill="1" applyBorder="1" applyAlignment="1">
      <alignment horizontal="center"/>
    </xf>
    <xf numFmtId="0" fontId="31" fillId="2" borderId="18" xfId="23" applyFont="1" applyFill="1" applyBorder="1" applyAlignment="1">
      <alignment horizontal="center"/>
    </xf>
    <xf numFmtId="0" fontId="31" fillId="2" borderId="19" xfId="23" applyFont="1" applyFill="1" applyBorder="1" applyAlignment="1">
      <alignment horizontal="center"/>
    </xf>
    <xf numFmtId="0" fontId="41" fillId="5" borderId="0" xfId="0" applyFont="1" applyFill="1" applyAlignment="1">
      <alignment horizontal="left" vertical="center" wrapText="1"/>
    </xf>
    <xf numFmtId="0" fontId="5" fillId="5" borderId="0" xfId="0" applyFont="1" applyFill="1" applyAlignment="1">
      <alignment horizontal="center"/>
    </xf>
    <xf numFmtId="0" fontId="47" fillId="5" borderId="0" xfId="0" applyFont="1" applyFill="1" applyAlignment="1">
      <alignment horizontal="center" vertical="center" wrapText="1"/>
    </xf>
    <xf numFmtId="0" fontId="5" fillId="5" borderId="0" xfId="0" applyFont="1" applyFill="1" applyAlignment="1">
      <alignment horizontal="center" vertical="center" wrapText="1"/>
    </xf>
    <xf numFmtId="0" fontId="5" fillId="5" borderId="0" xfId="0" applyFont="1" applyFill="1" applyAlignment="1">
      <alignment horizontal="center" wrapText="1"/>
    </xf>
    <xf numFmtId="0" fontId="3" fillId="5" borderId="0" xfId="0" applyFont="1" applyFill="1" applyAlignment="1">
      <alignment horizontal="left" vertical="center" wrapText="1"/>
    </xf>
    <xf numFmtId="0" fontId="18" fillId="5" borderId="0" xfId="0" applyFont="1" applyFill="1" applyAlignment="1">
      <alignment horizontal="center"/>
    </xf>
    <xf numFmtId="0" fontId="27" fillId="5" borderId="0" xfId="0" applyFont="1" applyFill="1" applyAlignment="1">
      <alignment horizontal="center"/>
    </xf>
    <xf numFmtId="0" fontId="0" fillId="5" borderId="0" xfId="0" applyFill="1" applyAlignment="1">
      <alignment horizontal="center" vertical="center" textRotation="90"/>
    </xf>
    <xf numFmtId="0" fontId="0" fillId="5" borderId="0" xfId="0" applyFill="1" applyAlignment="1">
      <alignment horizontal="left" vertical="center" wrapText="1"/>
    </xf>
    <xf numFmtId="0" fontId="52" fillId="5" borderId="0" xfId="0" applyFont="1" applyFill="1" applyAlignment="1">
      <alignment horizontal="center" vertical="center" wrapText="1"/>
    </xf>
    <xf numFmtId="0" fontId="45" fillId="5" borderId="0" xfId="0" applyFont="1" applyFill="1" applyAlignment="1">
      <alignment horizontal="left" wrapText="1"/>
    </xf>
    <xf numFmtId="0" fontId="35" fillId="5" borderId="0" xfId="0" applyFont="1" applyFill="1" applyAlignment="1">
      <alignment wrapText="1"/>
    </xf>
  </cellXfs>
  <cellStyles count="53">
    <cellStyle name="Body: normal cell" xfId="22" xr:uid="{00000000-0005-0000-0000-000000000000}"/>
    <cellStyle name="Comma 2" xfId="26" xr:uid="{BE9868BD-138F-41CE-8CF3-712B183ABAEB}"/>
    <cellStyle name="Comma 2 4" xfId="20" xr:uid="{00000000-0005-0000-0000-000001000000}"/>
    <cellStyle name="Comma 2 4 2" xfId="44" xr:uid="{528DD0AF-62DC-4548-9A53-4EE91D1689E9}"/>
    <cellStyle name="Comma 3" xfId="27" xr:uid="{73C4BC1E-FE03-4DF8-BB0F-2B57D7C48349}"/>
    <cellStyle name="Comma 4" xfId="28" xr:uid="{F5AAF8FF-5727-4846-B903-2D1D753F9271}"/>
    <cellStyle name="Comma 4 2" xfId="29" xr:uid="{AFE65B75-BF3A-4B21-95A9-6A6922EA96D8}"/>
    <cellStyle name="Comma 5" xfId="45" xr:uid="{253D64FD-4A4F-4FD1-A74E-B773F723D3DB}"/>
    <cellStyle name="Comma_Existing Product transportation capasities" xfId="1" xr:uid="{00000000-0005-0000-0000-000002000000}"/>
    <cellStyle name="Currency 2" xfId="30" xr:uid="{C1711B22-3F05-4219-B479-EE2206B362D7}"/>
    <cellStyle name="Currency 3" xfId="31" xr:uid="{6B6BF7BE-0831-46D6-86F9-5E1D15C1EFCB}"/>
    <cellStyle name="Currency_Existing Product transportation capasities" xfId="2" xr:uid="{00000000-0005-0000-0000-000003000000}"/>
    <cellStyle name="Date" xfId="3" xr:uid="{00000000-0005-0000-0000-000004000000}"/>
    <cellStyle name="Fixed" xfId="4" xr:uid="{00000000-0005-0000-0000-000005000000}"/>
    <cellStyle name="header-top" xfId="48" xr:uid="{E195CE63-97E2-4FFE-BB53-FCB534897D59}"/>
    <cellStyle name="Heading1" xfId="5" xr:uid="{00000000-0005-0000-0000-000006000000}"/>
    <cellStyle name="Heading2" xfId="6" xr:uid="{00000000-0005-0000-0000-000007000000}"/>
    <cellStyle name="Hyperlink" xfId="7" builtinId="8"/>
    <cellStyle name="Hyperlink 2" xfId="25" xr:uid="{00000000-0005-0000-0000-000009000000}"/>
    <cellStyle name="Last Header Row" xfId="46" xr:uid="{1CCE3780-3516-4A55-B008-A05F9453D0DF}"/>
    <cellStyle name="Normal" xfId="0" builtinId="0"/>
    <cellStyle name="Normal 10" xfId="51" xr:uid="{B2F6872A-F75F-4C55-AB20-B40FFCB3097A}"/>
    <cellStyle name="Normal 10 2" xfId="52" xr:uid="{51AFC965-70A1-4E55-B83C-1A6B67A4FC0D}"/>
    <cellStyle name="Normal 2" xfId="23" xr:uid="{00000000-0005-0000-0000-00000B000000}"/>
    <cellStyle name="Normal 2 2" xfId="24" xr:uid="{00000000-0005-0000-0000-00000C000000}"/>
    <cellStyle name="Normal 3" xfId="32" xr:uid="{D3F57640-F8B5-4973-9767-B9148DFD2028}"/>
    <cellStyle name="Normal 4" xfId="49" xr:uid="{82481551-9EFF-43E9-B200-C284A7AB8691}"/>
    <cellStyle name="normal cell" xfId="47" xr:uid="{4203D41F-56AD-4F95-A132-4CD3D86E0FAE}"/>
    <cellStyle name="Normal_Commodities" xfId="8" xr:uid="{00000000-0005-0000-0000-00000D000000}"/>
    <cellStyle name="Normal_Conv" xfId="9" xr:uid="{00000000-0005-0000-0000-00000E000000}"/>
    <cellStyle name="Normal_conversion factors" xfId="10" xr:uid="{00000000-0005-0000-0000-00000F000000}"/>
    <cellStyle name="Normal_EPAUS9r_08_SRC_Coal_v0.1a" xfId="11" xr:uid="{00000000-0005-0000-0000-000010000000}"/>
    <cellStyle name="Normal_Fuel trans V1" xfId="18" xr:uid="{00000000-0005-0000-0000-000011000000}"/>
    <cellStyle name="Normal_Sheet1" xfId="12" xr:uid="{00000000-0005-0000-0000-000012000000}"/>
    <cellStyle name="Normal_Tech_RC" xfId="13" xr:uid="{00000000-0005-0000-0000-000013000000}"/>
    <cellStyle name="Percent" xfId="21" builtinId="5"/>
    <cellStyle name="Percent 2" xfId="33" xr:uid="{550B748C-8DF5-49FD-947E-F481FFB8E368}"/>
    <cellStyle name="Percent 2 2" xfId="50" xr:uid="{59845B95-C55A-4809-B5B2-A00AE3E04B17}"/>
    <cellStyle name="Percent 3" xfId="34" xr:uid="{695982F1-8768-4490-BECE-607F86E31849}"/>
    <cellStyle name="Percent 3 2" xfId="35" xr:uid="{71F01C74-ADC0-413E-914A-F2E710BDF5DF}"/>
    <cellStyle name="Percent 4 2" xfId="19" xr:uid="{00000000-0005-0000-0000-000015000000}"/>
    <cellStyle name="Percent 4 2 2" xfId="43" xr:uid="{A1F5961F-E0A4-4881-A329-4AC062E61975}"/>
    <cellStyle name="Style 29" xfId="14" xr:uid="{00000000-0005-0000-0000-000016000000}"/>
    <cellStyle name="Style 29 2" xfId="36" xr:uid="{6C3AA713-C741-4369-9ABA-3D5C77CFFB62}"/>
    <cellStyle name="Style 29 3" xfId="37" xr:uid="{B60CCDB7-D717-423D-A510-7F1FED0DA019}"/>
    <cellStyle name="Style 29 3 2" xfId="38" xr:uid="{22DB6712-C87B-44E4-BEFF-B728B2692548}"/>
    <cellStyle name="Style 35" xfId="15" xr:uid="{00000000-0005-0000-0000-000017000000}"/>
    <cellStyle name="Style 35 2" xfId="40" xr:uid="{892D691D-6F90-424F-A97A-1FFB5B193DBF}"/>
    <cellStyle name="Style 35 3" xfId="39" xr:uid="{B51707BF-8C1A-42A2-AA55-1190931A8F14}"/>
    <cellStyle name="Style 36" xfId="16" xr:uid="{00000000-0005-0000-0000-000018000000}"/>
    <cellStyle name="Style 36 2" xfId="42" xr:uid="{0A3F80E6-1599-4705-BD5F-71080AC03102}"/>
    <cellStyle name="Style 36 3" xfId="41" xr:uid="{06B40ED7-5A45-4547-99AB-F1603C789C06}"/>
    <cellStyle name="Total" xfId="17" builtinId="25" customBuiltin="1"/>
  </cellStyles>
  <dxfs count="335">
    <dxf>
      <fill>
        <patternFill>
          <bgColor rgb="FFFF0000"/>
        </patternFill>
      </fill>
    </dxf>
    <dxf>
      <fill>
        <patternFill>
          <bgColor rgb="FF92D050"/>
        </patternFill>
      </fill>
    </dxf>
    <dxf>
      <fill>
        <patternFill>
          <bgColor rgb="FFFF0000"/>
        </patternFill>
      </fill>
    </dxf>
    <dxf>
      <fill>
        <patternFill>
          <bgColor rgb="FF92D050"/>
        </patternFill>
      </fill>
    </dxf>
    <dxf>
      <border>
        <bottom style="thin">
          <color indexed="64"/>
        </bottom>
      </border>
    </dxf>
    <dxf>
      <border>
        <bottom style="thin">
          <color indexed="64"/>
        </bottom>
      </border>
    </dxf>
    <dxf>
      <border>
        <top style="thin">
          <color indexed="64"/>
        </top>
      </border>
    </dxf>
    <dxf>
      <border>
        <top style="thin">
          <color indexed="64"/>
        </top>
      </border>
    </dxf>
    <dxf>
      <font>
        <color rgb="FFFF0000"/>
      </font>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border>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border>
        <bottom style="thin">
          <color indexed="64"/>
        </bottom>
      </border>
    </dxf>
    <dxf>
      <border>
        <bottom style="thin">
          <color indexed="64"/>
        </bottom>
      </border>
    </dxf>
    <dxf>
      <fill>
        <patternFill patternType="solid">
          <bgColor theme="2"/>
        </patternFill>
      </fill>
    </dxf>
    <dxf>
      <fill>
        <patternFill patternType="solid">
          <bgColor theme="2"/>
        </patternFill>
      </fill>
    </dxf>
    <dxf>
      <border>
        <bottom style="thin">
          <color indexed="64"/>
        </bottom>
      </border>
    </dxf>
    <dxf>
      <border>
        <bottom style="thin">
          <color indexed="64"/>
        </bottom>
      </border>
    </dxf>
    <dxf>
      <fill>
        <patternFill patternType="solid">
          <bgColor theme="2"/>
        </patternFill>
      </fill>
    </dxf>
    <dxf>
      <border>
        <right style="thin">
          <color indexed="64"/>
        </right>
      </border>
    </dxf>
    <dxf>
      <border>
        <right style="thin">
          <color indexed="64"/>
        </right>
      </border>
    </dxf>
    <dxf>
      <border>
        <left style="thin">
          <color indexed="64"/>
        </left>
      </border>
    </dxf>
    <dxf>
      <border>
        <bottom style="thin">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bottom style="medium">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readingOrder="0"/>
    </dxf>
    <dxf>
      <alignment vertical="center" readingOrder="0"/>
    </dxf>
    <dxf>
      <alignment horizontal="center" readingOrder="0"/>
    </dxf>
    <dxf>
      <alignment wrapText="1" readingOrder="0"/>
    </dxf>
    <dxf>
      <alignment vertical="center" readingOrder="0"/>
    </dxf>
    <dxf>
      <alignment horizontal="center" readingOrder="0"/>
    </dxf>
    <dxf>
      <font>
        <color rgb="FFFF0000"/>
      </font>
    </dxf>
    <dxf>
      <border>
        <top style="thin">
          <color indexed="64"/>
        </top>
      </border>
    </dxf>
    <dxf>
      <border>
        <bottom style="thin">
          <color indexed="64"/>
        </bottom>
      </border>
    </dxf>
    <dxf>
      <border>
        <bottom style="thin">
          <color indexed="64"/>
        </bottom>
      </border>
    </dxf>
    <dxf>
      <border>
        <bottom style="thin">
          <color indexed="64"/>
        </bottom>
      </border>
    </dxf>
    <dxf>
      <border>
        <bottom style="medium">
          <color indexed="64"/>
        </bottom>
      </border>
    </dxf>
    <dxf>
      <border>
        <bottom style="medium">
          <color indexed="64"/>
        </bottom>
      </border>
    </dxf>
    <dxf>
      <border>
        <right style="thin">
          <color indexed="64"/>
        </right>
      </border>
    </dxf>
    <dxf>
      <border>
        <left style="thin">
          <color indexed="64"/>
        </left>
      </border>
    </dxf>
    <dxf>
      <border>
        <top style="thin">
          <color indexed="64"/>
        </top>
      </border>
    </dxf>
    <dxf>
      <border>
        <bottom style="thin">
          <color indexed="64"/>
        </bottom>
      </border>
    </dxf>
    <dxf>
      <border>
        <left style="medium">
          <color indexed="64"/>
        </left>
        <top style="medium">
          <color indexed="64"/>
        </top>
        <bottom style="medium">
          <color indexed="64"/>
        </bottom>
      </border>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alignment horizontal="center" readingOrder="0"/>
    </dxf>
    <dxf>
      <alignment vertical="center" readingOrder="0"/>
    </dxf>
    <dxf>
      <alignment horizontal="center" readingOrder="0"/>
    </dxf>
    <dxf>
      <alignment wrapText="1" readingOrder="0"/>
    </dxf>
    <dxf>
      <alignment vertical="center" readingOrder="0"/>
    </dxf>
    <dxf>
      <alignment horizontal="center" readingOrder="0"/>
    </dxf>
    <dxf>
      <border>
        <top style="thin">
          <color indexed="64"/>
        </top>
      </border>
    </dxf>
    <dxf>
      <border>
        <top style="thin">
          <color indexed="64"/>
        </top>
      </border>
    </dxf>
    <dxf>
      <alignment horizontal="center"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border>
        <left style="thin">
          <color indexed="64"/>
        </left>
      </border>
    </dxf>
    <dxf>
      <border>
        <left style="thin">
          <color indexed="64"/>
        </left>
      </border>
    </dxf>
    <dxf>
      <font>
        <color rgb="FFFF0000"/>
      </font>
    </dxf>
    <dxf>
      <border>
        <left style="thin">
          <color indexed="64"/>
        </left>
      </border>
    </dxf>
    <dxf>
      <alignment horizontal="left" readingOrder="0"/>
    </dxf>
    <dxf>
      <alignment horizontal="left" readingOrder="0"/>
    </dxf>
    <dxf>
      <alignment horizontal="left" readingOrder="0"/>
    </dxf>
    <dxf>
      <alignment horizontal="left" readingOrder="0"/>
    </dxf>
    <dxf>
      <alignment horizontal="general" indent="0" readingOrder="0"/>
    </dxf>
    <dxf>
      <alignment horizontal="general" indent="0" readingOrder="0"/>
    </dxf>
    <dxf>
      <alignment horizontal="general" indent="0" readingOrder="0"/>
    </dxf>
    <dxf>
      <alignment horizontal="general" indent="0" readingOrder="0"/>
    </dxf>
    <dxf>
      <alignment horizontal="general" indent="0" readingOrder="0"/>
    </dxf>
    <dxf>
      <alignment horizontal="general" indent="0" readingOrder="0"/>
    </dxf>
    <dxf>
      <alignment horizontal="general" indent="0" readingOrder="0"/>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fill>
        <patternFill patternType="solid">
          <bgColor theme="2"/>
        </patternFill>
      </fill>
    </dxf>
    <dxf>
      <fill>
        <patternFill patternType="solid">
          <bgColor theme="2"/>
        </patternFill>
      </fill>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readingOrder="0"/>
    </dxf>
    <dxf>
      <alignment horizontal="left" readingOrder="0"/>
    </dxf>
    <dxf>
      <alignment horizontal="left" readingOrder="0"/>
    </dxf>
    <dxf>
      <fill>
        <patternFill patternType="solid">
          <bgColor theme="2"/>
        </patternFill>
      </fill>
    </dxf>
    <dxf>
      <fill>
        <patternFill patternType="solid">
          <bgColor theme="2"/>
        </patternFill>
      </fill>
    </dxf>
    <dxf>
      <alignment horizontal="center" readingOrder="0"/>
    </dxf>
    <dxf>
      <alignment horizontal="center" readingOrder="0"/>
    </dxf>
    <dxf>
      <alignment horizontal="center" readingOrder="0"/>
    </dxf>
    <dxf>
      <alignment wrapText="1" readingOrder="0"/>
    </dxf>
    <dxf>
      <alignment vertical="center" readingOrder="0"/>
    </dxf>
    <dxf>
      <alignment vertical="center" readingOrder="0"/>
    </dxf>
    <dxf>
      <alignment horizontal="center" readingOrder="0"/>
    </dxf>
    <dxf>
      <alignment horizontal="center" readingOrder="0"/>
    </dxf>
    <dxf>
      <alignment vertical="center" readingOrder="0"/>
    </dxf>
    <dxf>
      <border>
        <top style="thin">
          <color indexed="64"/>
        </top>
      </border>
    </dxf>
    <dxf>
      <font>
        <color rgb="FFFF0000"/>
      </font>
    </dxf>
    <dxf>
      <border>
        <bottom style="thin">
          <color indexed="64"/>
        </bottom>
      </border>
    </dxf>
    <dxf>
      <border>
        <bottom style="thin">
          <color indexed="64"/>
        </bottom>
      </border>
    </dxf>
    <dxf>
      <border>
        <bottom style="thin">
          <color indexed="64"/>
        </bottom>
      </border>
    </dxf>
    <dxf>
      <border>
        <bottom style="medium">
          <color indexed="64"/>
        </bottom>
      </border>
    </dxf>
    <dxf>
      <border>
        <bottom style="medium">
          <color indexed="64"/>
        </bottom>
      </border>
    </dxf>
    <dxf>
      <border>
        <right style="thin">
          <color indexed="64"/>
        </right>
      </border>
    </dxf>
    <dxf>
      <border>
        <left style="thin">
          <color indexed="64"/>
        </left>
      </border>
    </dxf>
    <dxf>
      <alignment vertical="center" readingOrder="0"/>
    </dxf>
    <dxf>
      <border>
        <bottom style="thin">
          <color indexed="64"/>
        </bottom>
      </border>
    </dxf>
    <dxf>
      <fill>
        <patternFill patternType="solid">
          <bgColor theme="2"/>
        </patternFill>
      </fill>
    </dxf>
    <dxf>
      <fill>
        <patternFill patternType="solid">
          <bgColor theme="2"/>
        </patternFill>
      </fill>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left style="medium">
          <color indexed="64"/>
        </left>
        <right style="medium">
          <color indexed="64"/>
        </right>
        <top style="medium">
          <color indexed="64"/>
        </top>
        <bottom style="medium">
          <color indexed="64"/>
        </bottom>
      </border>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alignment horizontal="center" readingOrder="0"/>
    </dxf>
    <dxf>
      <alignment vertical="center" readingOrder="0"/>
    </dxf>
    <dxf>
      <alignment horizontal="center" readingOrder="0"/>
    </dxf>
    <dxf>
      <alignment wrapText="1" readingOrder="0"/>
    </dxf>
    <dxf>
      <alignment vertical="center" readingOrder="0"/>
    </dxf>
    <dxf>
      <alignment horizontal="center" readingOrder="0"/>
    </dxf>
    <dxf>
      <border>
        <bottom style="thin">
          <color indexed="64"/>
        </bottom>
      </border>
    </dxf>
    <dxf>
      <border>
        <bottom style="thin">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top style="medium">
          <color indexed="64"/>
        </top>
      </border>
    </dxf>
    <dxf>
      <border>
        <left style="medium">
          <color indexed="64"/>
        </left>
        <top style="medium">
          <color indexed="64"/>
        </top>
      </border>
    </dxf>
    <dxf>
      <fill>
        <patternFill patternType="solid">
          <bgColor theme="2"/>
        </patternFill>
      </fill>
    </dxf>
    <dxf>
      <fill>
        <patternFill patternType="solid">
          <bgColor theme="2"/>
        </patternFill>
      </fill>
    </dxf>
    <dxf>
      <border>
        <right style="thin">
          <color indexed="64"/>
        </right>
      </border>
    </dxf>
    <dxf>
      <border>
        <right style="thin">
          <color indexed="64"/>
        </right>
      </border>
    </dxf>
    <dxf>
      <border>
        <left style="thin">
          <color indexed="64"/>
        </left>
      </border>
    </dxf>
    <dxf>
      <border>
        <top style="thin">
          <color indexed="64"/>
        </top>
      </border>
    </dxf>
    <dxf>
      <border>
        <bottom style="thin">
          <color indexed="64"/>
        </bottom>
      </border>
    </dxf>
    <dxf>
      <border>
        <top style="thin">
          <color indexed="64"/>
        </top>
      </border>
    </dxf>
    <dxf>
      <border>
        <top style="thin">
          <color indexed="64"/>
        </top>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ont>
        <color rgb="FFFF0000"/>
      </font>
    </dxf>
    <dxf>
      <alignment wrapText="1" readingOrder="0"/>
    </dxf>
    <dxf>
      <alignment vertical="center" readingOrder="0"/>
    </dxf>
    <dxf>
      <alignment horizontal="center" readingOrder="0"/>
    </dxf>
    <dxf>
      <numFmt numFmtId="169" formatCode="0.0000"/>
    </dxf>
    <dxf>
      <numFmt numFmtId="169" formatCode="0.0000"/>
    </dxf>
    <dxf>
      <numFmt numFmtId="169" formatCode="0.0000"/>
    </dxf>
    <dxf>
      <numFmt numFmtId="169" formatCode="0.0000"/>
    </dxf>
    <dxf>
      <numFmt numFmtId="169" formatCode="0.0000"/>
    </dxf>
    <dxf>
      <numFmt numFmtId="169" formatCode="0.0000"/>
    </dxf>
    <dxf>
      <numFmt numFmtId="169" formatCode="0.0000"/>
    </dxf>
    <dxf>
      <numFmt numFmtId="169" formatCode="0.0000"/>
    </dxf>
    <dxf>
      <numFmt numFmtId="169" formatCode="0.0000"/>
    </dxf>
    <dxf>
      <numFmt numFmtId="169" formatCode="0.0000"/>
    </dxf>
    <dxf>
      <numFmt numFmtId="169" formatCode="0.0000"/>
    </dxf>
    <dxf>
      <numFmt numFmtId="169" formatCode="0.0000"/>
    </dxf>
    <dxf>
      <numFmt numFmtId="169" formatCode="0.0000"/>
    </dxf>
    <dxf>
      <numFmt numFmtId="169" formatCode="0.0000"/>
    </dxf>
    <dxf>
      <numFmt numFmtId="169" formatCode="0.0000"/>
    </dxf>
    <dxf>
      <numFmt numFmtId="169" formatCode="0.0000"/>
    </dxf>
    <dxf>
      <numFmt numFmtId="169" formatCode="0.0000"/>
    </dxf>
    <dxf>
      <numFmt numFmtId="169" formatCode="0.0000"/>
    </dxf>
    <dxf>
      <numFmt numFmtId="169" formatCode="0.0000"/>
    </dxf>
    <dxf>
      <numFmt numFmtId="169" formatCode="0.0000"/>
    </dxf>
    <dxf>
      <numFmt numFmtId="169" formatCode="0.0000"/>
    </dxf>
    <dxf>
      <numFmt numFmtId="169" formatCode="0.0000"/>
    </dxf>
    <dxf>
      <alignment wrapText="1" readingOrder="0"/>
    </dxf>
    <dxf>
      <alignment wrapText="1" readingOrder="0"/>
    </dxf>
    <dxf>
      <alignment vertical="center" readingOrder="0"/>
    </dxf>
    <dxf>
      <alignment vertical="center" readingOrder="0"/>
    </dxf>
    <dxf>
      <alignment horizontal="center" readingOrder="0"/>
    </dxf>
    <dxf>
      <alignment horizontal="center" readingOrder="0"/>
    </dxf>
    <dxf>
      <font>
        <color rgb="FFFF0000"/>
      </font>
    </dxf>
    <dxf>
      <border>
        <top style="thin">
          <color indexed="64"/>
        </top>
      </border>
    </dxf>
    <dxf>
      <border>
        <top style="thin">
          <color indexed="64"/>
        </top>
      </border>
    </dxf>
    <dxf>
      <border>
        <bottom style="thin">
          <color indexed="64"/>
        </bottom>
      </border>
    </dxf>
    <dxf>
      <border>
        <bottom style="thin">
          <color indexed="64"/>
        </bottom>
      </border>
    </dxf>
    <dxf>
      <border>
        <bottom style="thin">
          <color indexed="64"/>
        </bottom>
      </border>
    </dxf>
    <dxf>
      <alignment horizontal="center" readingOrder="0"/>
    </dxf>
    <dxf>
      <border>
        <bottom style="thin">
          <color indexed="64"/>
        </bottom>
      </border>
    </dxf>
    <dxf>
      <fill>
        <patternFill patternType="solid">
          <bgColor theme="2"/>
        </patternFill>
      </fill>
    </dxf>
    <dxf>
      <fill>
        <patternFill patternType="solid">
          <bgColor theme="2"/>
        </patternFill>
      </fill>
    </dxf>
    <dxf>
      <border>
        <bottom style="thin">
          <color indexed="64"/>
        </bottom>
      </border>
    </dxf>
    <dxf>
      <border>
        <bottom style="thin">
          <color indexed="64"/>
        </bottom>
      </border>
    </dxf>
    <dxf>
      <border>
        <right style="thin">
          <color indexed="64"/>
        </right>
      </border>
    </dxf>
    <dxf>
      <border>
        <left style="thin">
          <color indexed="64"/>
        </left>
      </border>
    </dxf>
    <dxf>
      <fill>
        <patternFill patternType="solid">
          <bgColor theme="2"/>
        </patternFill>
      </fill>
    </dxf>
    <dxf>
      <fill>
        <patternFill patternType="solid">
          <bgColor theme="2"/>
        </patternFill>
      </fill>
    </dxf>
    <dxf>
      <fill>
        <patternFill patternType="solid">
          <bgColor theme="2"/>
        </patternFill>
      </fill>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2"/>
        </patternFill>
      </fill>
    </dxf>
    <dxf>
      <fill>
        <patternFill patternType="solid">
          <bgColor theme="2"/>
        </patternFill>
      </fill>
    </dxf>
    <dxf>
      <alignment vertical="center" readingOrder="0"/>
    </dxf>
    <dxf>
      <alignment horizontal="center" readingOrder="0"/>
    </dxf>
    <dxf>
      <alignment wrapText="1" readingOrder="0"/>
    </dxf>
    <dxf>
      <alignment vertical="center" readingOrder="0"/>
    </dxf>
    <dxf>
      <alignment horizontal="center" readingOrder="0"/>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mruColors>
      <color rgb="FFFFFF99"/>
      <color rgb="FFFFFFCC"/>
      <color rgb="FF99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pivotCacheDefinition" Target="pivotCache/pivotCacheDefinition2.xml"/><Relationship Id="rId21" Type="http://schemas.openxmlformats.org/officeDocument/2006/relationships/externalLink" Target="externalLinks/externalLink1.xml"/><Relationship Id="rId34"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pivotCacheDefinition" Target="pivotCache/pivotCacheDefinition1.xml"/><Relationship Id="rId33"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pivotCacheDefinition" Target="pivotCache/pivotCacheDefinition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4.xml"/><Relationship Id="rId32" Type="http://schemas.openxmlformats.org/officeDocument/2006/relationships/sharedStrings" Target="sharedStrings.xml"/><Relationship Id="rId37" Type="http://schemas.openxmlformats.org/officeDocument/2006/relationships/customXml" Target="../customXml/item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3.xml"/><Relationship Id="rId28" Type="http://schemas.openxmlformats.org/officeDocument/2006/relationships/pivotCacheDefinition" Target="pivotCache/pivotCacheDefinition4.xml"/><Relationship Id="rId36"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2.xml"/><Relationship Id="rId27" Type="http://schemas.openxmlformats.org/officeDocument/2006/relationships/pivotCacheDefinition" Target="pivotCache/pivotCacheDefinition3.xml"/><Relationship Id="rId30" Type="http://schemas.openxmlformats.org/officeDocument/2006/relationships/theme" Target="theme/theme1.xml"/><Relationship Id="rId35" Type="http://schemas.openxmlformats.org/officeDocument/2006/relationships/customXml" Target="../customXml/item2.xml"/><Relationship Id="rId8" Type="http://schemas.openxmlformats.org/officeDocument/2006/relationships/worksheet" Target="worksheets/sheet8.xml"/><Relationship Id="rId3" Type="http://schemas.openxmlformats.org/officeDocument/2006/relationships/worksheet" Target="worksheets/sheet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marker>
            <c:symbol val="none"/>
          </c:marker>
          <c:val>
            <c:numRef>
              <c:f>DelivOIL!$H$6:$R$6</c:f>
              <c:numCache>
                <c:formatCode>0.000</c:formatCode>
                <c:ptCount val="11"/>
                <c:pt idx="0">
                  <c:v>1</c:v>
                </c:pt>
                <c:pt idx="1">
                  <c:v>1</c:v>
                </c:pt>
                <c:pt idx="2">
                  <c:v>0.99894088069057307</c:v>
                </c:pt>
                <c:pt idx="3">
                  <c:v>1.0091219866990524</c:v>
                </c:pt>
                <c:pt idx="4">
                  <c:v>1.0474027122826346</c:v>
                </c:pt>
                <c:pt idx="5">
                  <c:v>1.0294247264650762</c:v>
                </c:pt>
                <c:pt idx="6">
                  <c:v>1.0048485324802101</c:v>
                </c:pt>
                <c:pt idx="7">
                  <c:v>1.0048485324802101</c:v>
                </c:pt>
                <c:pt idx="8">
                  <c:v>1.0048485324802101</c:v>
                </c:pt>
                <c:pt idx="9">
                  <c:v>1.0048485324802101</c:v>
                </c:pt>
                <c:pt idx="10">
                  <c:v>1.0048485324802101</c:v>
                </c:pt>
              </c:numCache>
            </c:numRef>
          </c:val>
          <c:smooth val="0"/>
          <c:extLst>
            <c:ext xmlns:c16="http://schemas.microsoft.com/office/drawing/2014/chart" uri="{C3380CC4-5D6E-409C-BE32-E72D297353CC}">
              <c16:uniqueId val="{00000000-CF13-4F43-A6E0-15A3ED56009B}"/>
            </c:ext>
          </c:extLst>
        </c:ser>
        <c:ser>
          <c:idx val="1"/>
          <c:order val="1"/>
          <c:marker>
            <c:symbol val="none"/>
          </c:marker>
          <c:val>
            <c:numRef>
              <c:f>DelivOIL!$H$7:$R$7</c:f>
              <c:numCache>
                <c:formatCode>0.000</c:formatCode>
                <c:ptCount val="11"/>
                <c:pt idx="0">
                  <c:v>1</c:v>
                </c:pt>
                <c:pt idx="1">
                  <c:v>1</c:v>
                </c:pt>
                <c:pt idx="2">
                  <c:v>0.97808286362230512</c:v>
                </c:pt>
                <c:pt idx="3">
                  <c:v>1.0030540522067106</c:v>
                </c:pt>
                <c:pt idx="4">
                  <c:v>1.0306245973949955</c:v>
                </c:pt>
                <c:pt idx="5">
                  <c:v>1.0124452923985474</c:v>
                </c:pt>
                <c:pt idx="6">
                  <c:v>1.0029571562298618</c:v>
                </c:pt>
                <c:pt idx="7">
                  <c:v>1.0029571562298618</c:v>
                </c:pt>
                <c:pt idx="8">
                  <c:v>1.0029571562298618</c:v>
                </c:pt>
                <c:pt idx="9">
                  <c:v>1.0029571562298618</c:v>
                </c:pt>
                <c:pt idx="10">
                  <c:v>1.0029571562298618</c:v>
                </c:pt>
              </c:numCache>
            </c:numRef>
          </c:val>
          <c:smooth val="0"/>
          <c:extLst>
            <c:ext xmlns:c16="http://schemas.microsoft.com/office/drawing/2014/chart" uri="{C3380CC4-5D6E-409C-BE32-E72D297353CC}">
              <c16:uniqueId val="{00000001-CF13-4F43-A6E0-15A3ED56009B}"/>
            </c:ext>
          </c:extLst>
        </c:ser>
        <c:ser>
          <c:idx val="2"/>
          <c:order val="2"/>
          <c:marker>
            <c:symbol val="none"/>
          </c:marker>
          <c:val>
            <c:numRef>
              <c:f>DelivOIL!$H$8:$R$8</c:f>
              <c:numCache>
                <c:formatCode>0.000</c:formatCode>
                <c:ptCount val="11"/>
                <c:pt idx="0">
                  <c:v>1</c:v>
                </c:pt>
                <c:pt idx="1">
                  <c:v>1</c:v>
                </c:pt>
                <c:pt idx="2">
                  <c:v>0.97808286362230512</c:v>
                </c:pt>
                <c:pt idx="3">
                  <c:v>1.0030540522067106</c:v>
                </c:pt>
                <c:pt idx="4">
                  <c:v>1.0306245973949955</c:v>
                </c:pt>
                <c:pt idx="5">
                  <c:v>1.0124452923985474</c:v>
                </c:pt>
                <c:pt idx="6">
                  <c:v>1.0029571562298618</c:v>
                </c:pt>
                <c:pt idx="7">
                  <c:v>1.0029571562298618</c:v>
                </c:pt>
                <c:pt idx="8">
                  <c:v>1.0029571562298618</c:v>
                </c:pt>
                <c:pt idx="9">
                  <c:v>1.0029571562298618</c:v>
                </c:pt>
                <c:pt idx="10">
                  <c:v>1.0029571562298618</c:v>
                </c:pt>
              </c:numCache>
            </c:numRef>
          </c:val>
          <c:smooth val="0"/>
          <c:extLst>
            <c:ext xmlns:c16="http://schemas.microsoft.com/office/drawing/2014/chart" uri="{C3380CC4-5D6E-409C-BE32-E72D297353CC}">
              <c16:uniqueId val="{00000002-CF13-4F43-A6E0-15A3ED56009B}"/>
            </c:ext>
          </c:extLst>
        </c:ser>
        <c:ser>
          <c:idx val="3"/>
          <c:order val="3"/>
          <c:marker>
            <c:symbol val="none"/>
          </c:marker>
          <c:val>
            <c:numRef>
              <c:f>DelivOIL!$H$9:$R$9</c:f>
              <c:numCache>
                <c:formatCode>0.000</c:formatCode>
                <c:ptCount val="11"/>
                <c:pt idx="0">
                  <c:v>1</c:v>
                </c:pt>
                <c:pt idx="1">
                  <c:v>1</c:v>
                </c:pt>
                <c:pt idx="2">
                  <c:v>0.99894088069057307</c:v>
                </c:pt>
                <c:pt idx="3">
                  <c:v>1.0091219866990524</c:v>
                </c:pt>
                <c:pt idx="4">
                  <c:v>1.0474027122826346</c:v>
                </c:pt>
                <c:pt idx="5">
                  <c:v>1.0294247264650762</c:v>
                </c:pt>
                <c:pt idx="6">
                  <c:v>1.0048485324802101</c:v>
                </c:pt>
                <c:pt idx="7">
                  <c:v>1.0048485324802101</c:v>
                </c:pt>
                <c:pt idx="8">
                  <c:v>1.0048485324802101</c:v>
                </c:pt>
                <c:pt idx="9">
                  <c:v>1.0048485324802101</c:v>
                </c:pt>
                <c:pt idx="10">
                  <c:v>1.0048485324802101</c:v>
                </c:pt>
              </c:numCache>
            </c:numRef>
          </c:val>
          <c:smooth val="0"/>
          <c:extLst>
            <c:ext xmlns:c16="http://schemas.microsoft.com/office/drawing/2014/chart" uri="{C3380CC4-5D6E-409C-BE32-E72D297353CC}">
              <c16:uniqueId val="{00000003-CF13-4F43-A6E0-15A3ED56009B}"/>
            </c:ext>
          </c:extLst>
        </c:ser>
        <c:ser>
          <c:idx val="4"/>
          <c:order val="4"/>
          <c:marker>
            <c:symbol val="none"/>
          </c:marker>
          <c:val>
            <c:numRef>
              <c:f>DelivOIL!$H$10:$R$10</c:f>
              <c:numCache>
                <c:formatCode>0.000</c:formatCode>
                <c:ptCount val="11"/>
                <c:pt idx="0">
                  <c:v>1</c:v>
                </c:pt>
                <c:pt idx="1">
                  <c:v>1</c:v>
                </c:pt>
                <c:pt idx="2">
                  <c:v>0.97808286362230512</c:v>
                </c:pt>
                <c:pt idx="3">
                  <c:v>1.0030540522067106</c:v>
                </c:pt>
                <c:pt idx="4">
                  <c:v>1.0306245973949955</c:v>
                </c:pt>
                <c:pt idx="5">
                  <c:v>1.0124452923985474</c:v>
                </c:pt>
                <c:pt idx="6">
                  <c:v>1.0029571562298618</c:v>
                </c:pt>
                <c:pt idx="7">
                  <c:v>1.0029571562298618</c:v>
                </c:pt>
                <c:pt idx="8">
                  <c:v>1.0029571562298618</c:v>
                </c:pt>
                <c:pt idx="9">
                  <c:v>1.0029571562298618</c:v>
                </c:pt>
                <c:pt idx="10">
                  <c:v>1.0029571562298618</c:v>
                </c:pt>
              </c:numCache>
            </c:numRef>
          </c:val>
          <c:smooth val="0"/>
          <c:extLst>
            <c:ext xmlns:c16="http://schemas.microsoft.com/office/drawing/2014/chart" uri="{C3380CC4-5D6E-409C-BE32-E72D297353CC}">
              <c16:uniqueId val="{00000004-CF13-4F43-A6E0-15A3ED56009B}"/>
            </c:ext>
          </c:extLst>
        </c:ser>
        <c:ser>
          <c:idx val="5"/>
          <c:order val="5"/>
          <c:marker>
            <c:symbol val="none"/>
          </c:marker>
          <c:val>
            <c:numRef>
              <c:f>DelivOIL!$H$11:$R$11</c:f>
              <c:numCache>
                <c:formatCode>0.000</c:formatCode>
                <c:ptCount val="11"/>
                <c:pt idx="0">
                  <c:v>1</c:v>
                </c:pt>
                <c:pt idx="1">
                  <c:v>1</c:v>
                </c:pt>
                <c:pt idx="2">
                  <c:v>0.97855069794122851</c:v>
                </c:pt>
                <c:pt idx="3">
                  <c:v>1.0061752605892629</c:v>
                </c:pt>
                <c:pt idx="4">
                  <c:v>1.0343466495554283</c:v>
                </c:pt>
                <c:pt idx="5">
                  <c:v>1.0204801989003049</c:v>
                </c:pt>
                <c:pt idx="6">
                  <c:v>1.0094577988052018</c:v>
                </c:pt>
                <c:pt idx="7">
                  <c:v>1.0094577988052018</c:v>
                </c:pt>
                <c:pt idx="8">
                  <c:v>1.0094577988052018</c:v>
                </c:pt>
                <c:pt idx="9">
                  <c:v>1.0094577988052018</c:v>
                </c:pt>
                <c:pt idx="10">
                  <c:v>1.0094577988052018</c:v>
                </c:pt>
              </c:numCache>
            </c:numRef>
          </c:val>
          <c:smooth val="0"/>
          <c:extLst>
            <c:ext xmlns:c16="http://schemas.microsoft.com/office/drawing/2014/chart" uri="{C3380CC4-5D6E-409C-BE32-E72D297353CC}">
              <c16:uniqueId val="{00000005-CF13-4F43-A6E0-15A3ED56009B}"/>
            </c:ext>
          </c:extLst>
        </c:ser>
        <c:ser>
          <c:idx val="6"/>
          <c:order val="6"/>
          <c:marker>
            <c:symbol val="none"/>
          </c:marker>
          <c:val>
            <c:numRef>
              <c:f>DelivOIL!$H$12:$R$12</c:f>
              <c:numCache>
                <c:formatCode>0.000</c:formatCode>
                <c:ptCount val="11"/>
                <c:pt idx="0">
                  <c:v>1</c:v>
                </c:pt>
                <c:pt idx="1">
                  <c:v>1</c:v>
                </c:pt>
                <c:pt idx="2">
                  <c:v>0.9818410280065758</c:v>
                </c:pt>
                <c:pt idx="3">
                  <c:v>1.0236140951217125</c:v>
                </c:pt>
                <c:pt idx="4">
                  <c:v>0.99774621723105594</c:v>
                </c:pt>
                <c:pt idx="5">
                  <c:v>0.98780614662011257</c:v>
                </c:pt>
                <c:pt idx="6">
                  <c:v>0.993959644470926</c:v>
                </c:pt>
                <c:pt idx="7">
                  <c:v>0.993959644470926</c:v>
                </c:pt>
                <c:pt idx="8">
                  <c:v>0.993959644470926</c:v>
                </c:pt>
                <c:pt idx="9">
                  <c:v>0.993959644470926</c:v>
                </c:pt>
                <c:pt idx="10">
                  <c:v>0.993959644470926</c:v>
                </c:pt>
              </c:numCache>
            </c:numRef>
          </c:val>
          <c:smooth val="0"/>
          <c:extLst>
            <c:ext xmlns:c16="http://schemas.microsoft.com/office/drawing/2014/chart" uri="{C3380CC4-5D6E-409C-BE32-E72D297353CC}">
              <c16:uniqueId val="{00000006-CF13-4F43-A6E0-15A3ED56009B}"/>
            </c:ext>
          </c:extLst>
        </c:ser>
        <c:ser>
          <c:idx val="7"/>
          <c:order val="7"/>
          <c:marker>
            <c:symbol val="none"/>
          </c:marker>
          <c:val>
            <c:numRef>
              <c:f>DelivOIL!$H$13:$R$13</c:f>
              <c:numCache>
                <c:formatCode>0.000</c:formatCode>
                <c:ptCount val="11"/>
                <c:pt idx="0">
                  <c:v>1</c:v>
                </c:pt>
                <c:pt idx="1">
                  <c:v>1</c:v>
                </c:pt>
                <c:pt idx="2">
                  <c:v>1.0099205895969323</c:v>
                </c:pt>
                <c:pt idx="3">
                  <c:v>1.0114600426251472</c:v>
                </c:pt>
                <c:pt idx="4">
                  <c:v>0.99450003739669668</c:v>
                </c:pt>
                <c:pt idx="5">
                  <c:v>1.0005985318882773</c:v>
                </c:pt>
                <c:pt idx="6">
                  <c:v>0.999138098407652</c:v>
                </c:pt>
                <c:pt idx="7">
                  <c:v>0.999138098407652</c:v>
                </c:pt>
                <c:pt idx="8">
                  <c:v>0.999138098407652</c:v>
                </c:pt>
                <c:pt idx="9">
                  <c:v>0.999138098407652</c:v>
                </c:pt>
                <c:pt idx="10">
                  <c:v>0.999138098407652</c:v>
                </c:pt>
              </c:numCache>
            </c:numRef>
          </c:val>
          <c:smooth val="0"/>
          <c:extLst>
            <c:ext xmlns:c16="http://schemas.microsoft.com/office/drawing/2014/chart" uri="{C3380CC4-5D6E-409C-BE32-E72D297353CC}">
              <c16:uniqueId val="{00000007-CF13-4F43-A6E0-15A3ED56009B}"/>
            </c:ext>
          </c:extLst>
        </c:ser>
        <c:dLbls>
          <c:showLegendKey val="0"/>
          <c:showVal val="0"/>
          <c:showCatName val="0"/>
          <c:showSerName val="0"/>
          <c:showPercent val="0"/>
          <c:showBubbleSize val="0"/>
        </c:dLbls>
        <c:smooth val="0"/>
        <c:axId val="511740648"/>
        <c:axId val="511741040"/>
      </c:lineChart>
      <c:catAx>
        <c:axId val="511740648"/>
        <c:scaling>
          <c:orientation val="minMax"/>
        </c:scaling>
        <c:delete val="0"/>
        <c:axPos val="b"/>
        <c:majorTickMark val="out"/>
        <c:minorTickMark val="none"/>
        <c:tickLblPos val="nextTo"/>
        <c:crossAx val="511741040"/>
        <c:crosses val="autoZero"/>
        <c:auto val="1"/>
        <c:lblAlgn val="ctr"/>
        <c:lblOffset val="100"/>
        <c:noMultiLvlLbl val="0"/>
      </c:catAx>
      <c:valAx>
        <c:axId val="511741040"/>
        <c:scaling>
          <c:orientation val="minMax"/>
        </c:scaling>
        <c:delete val="0"/>
        <c:axPos val="l"/>
        <c:majorGridlines/>
        <c:numFmt formatCode="0.000" sourceLinked="1"/>
        <c:majorTickMark val="out"/>
        <c:minorTickMark val="none"/>
        <c:tickLblPos val="nextTo"/>
        <c:crossAx val="511740648"/>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gif"/></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2028825" cy="857250"/>
    <xdr:pic>
      <xdr:nvPicPr>
        <xdr:cNvPr id="2" name="Picture 1" descr="epa-rtp_logo.gif">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028825" cy="857250"/>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xdr:from>
      <xdr:col>9</xdr:col>
      <xdr:colOff>419100</xdr:colOff>
      <xdr:row>14</xdr:row>
      <xdr:rowOff>88900</xdr:rowOff>
    </xdr:from>
    <xdr:to>
      <xdr:col>16</xdr:col>
      <xdr:colOff>25400</xdr:colOff>
      <xdr:row>30</xdr:row>
      <xdr:rowOff>152400</xdr:rowOff>
    </xdr:to>
    <xdr:graphicFrame macro="">
      <xdr:nvGraphicFramePr>
        <xdr:cNvPr id="4" name="Chart 3">
          <a:extLst>
            <a:ext uri="{FF2B5EF4-FFF2-40B4-BE49-F238E27FC236}">
              <a16:creationId xmlns:a16="http://schemas.microsoft.com/office/drawing/2014/main" id="{00000000-0008-0000-1A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Aa.ad.epa.gov\ord\RTP\USERS\A-D\bkalduns\Net%20MyDocuments\BKalduns%20Documents\MARKAL\Workbooks%20in%20Development\NYC_INDV2.0_TEST_bk12116.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V2626umcec001\nrml_appcd\Documents%20and%20Settings\Owner\My%20Documents\MARKAL\EPA%20national%20model\Supply%20&amp;%20Ups\coal\CMM_SUPPLY_data.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2626umcec001\nrml_appcd\EMODEL\China\Anhui\Scen4\MODEL.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V2626umcec001\nrml_appcd\Documents%20and%20Settings\Evelyn\My%20Documents\MARKAL\EPA%20national%20model\from%20EPA\EPA%20CD\EPA%20CD\all%20files\MARKAL-coal2002BU.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ractions05"/>
      <sheetName val="ANSv6.1-Home"/>
      <sheetName val="ReadMe"/>
      <sheetName val="Info"/>
      <sheetName val="Commodities"/>
      <sheetName val="CommData_DMD"/>
      <sheetName val="EPAUAS9R_IND_DMD"/>
      <sheetName val="Constraints"/>
      <sheetName val="ConstrData"/>
      <sheetName val="Technologies"/>
      <sheetName val="TechData_R0"/>
      <sheetName val="zzzTechData_H2OIND"/>
      <sheetName val="TechData_H2OLITE"/>
      <sheetName val="TechData_H2OAPP"/>
      <sheetName val="TechData_DMDH2O"/>
      <sheetName val="TechData_TRDH2O"/>
      <sheetName val="TechData_X&amp;ZZH2O"/>
      <sheetName val="xxxTechData_X&amp;ZZ"/>
      <sheetName val="TechData_EmisLITE"/>
      <sheetName val="zzzTechData_Emis"/>
      <sheetName val="H2O_Demand"/>
      <sheetName val="NYC WWTP Info"/>
      <sheetName val="xxxTechData_Boilers"/>
      <sheetName val="xxxTechData_CHP"/>
      <sheetName val="TechData_OTR"/>
      <sheetName val="xxxTechData_IPBIO"/>
      <sheetName val="NAICS"/>
      <sheetName val="BoilerName"/>
      <sheetName val="4b-MARKAL Data"/>
      <sheetName val="4b-References"/>
      <sheetName val="TechInfo"/>
      <sheetName val="CHPData"/>
      <sheetName val="BiomassCHPforIPSupdated"/>
      <sheetName val="AEOEnergy"/>
      <sheetName val="RegionalDiv"/>
      <sheetName val="MECS2006"/>
      <sheetName val="CHP2008"/>
      <sheetName val="Energy2005"/>
      <sheetName val="EndUse2005"/>
      <sheetName val="MECS2010"/>
      <sheetName val="Energy2010"/>
      <sheetName val="Boiler2011"/>
      <sheetName val="CHP2012"/>
      <sheetName val="EndUse2010"/>
      <sheetName val="ChemFeed"/>
      <sheetName val="ChemFuel"/>
      <sheetName val="Demand"/>
      <sheetName val="EmissionsSummary"/>
      <sheetName val="EmissionsUpdate"/>
      <sheetName val="RTI-OC"/>
      <sheetName val="BoilerMACT"/>
      <sheetName val="Filter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ow r="10">
          <cell r="B10" t="str">
            <v>IFDEBOLELC</v>
          </cell>
        </row>
      </sheetData>
      <sheetData sheetId="23">
        <row r="10">
          <cell r="B10" t="str">
            <v>IFDEBSTRFL</v>
          </cell>
        </row>
      </sheetData>
      <sheetData sheetId="24">
        <row r="10">
          <cell r="B10" t="str">
            <v>IFDEFEDNGA</v>
          </cell>
        </row>
      </sheetData>
      <sheetData sheetId="25">
        <row r="12">
          <cell r="B12" t="str">
            <v>IPLEBASTOM</v>
          </cell>
        </row>
      </sheetData>
      <sheetData sheetId="26"/>
      <sheetData sheetId="27"/>
      <sheetData sheetId="28"/>
      <sheetData sheetId="29"/>
      <sheetData sheetId="30">
        <row r="27">
          <cell r="J27">
            <v>0.82958333333333345</v>
          </cell>
        </row>
        <row r="28">
          <cell r="J28">
            <v>0.78299999999999981</v>
          </cell>
        </row>
        <row r="29">
          <cell r="J29">
            <v>0.82212499999999988</v>
          </cell>
        </row>
        <row r="31">
          <cell r="J31">
            <v>0.75419999999999987</v>
          </cell>
        </row>
        <row r="32">
          <cell r="J32">
            <v>0.73866666666666658</v>
          </cell>
        </row>
        <row r="33">
          <cell r="J33">
            <v>0.70829999999999993</v>
          </cell>
        </row>
        <row r="34">
          <cell r="J34">
            <v>0.5635</v>
          </cell>
        </row>
        <row r="35">
          <cell r="J35">
            <v>0.57833333333333337</v>
          </cell>
        </row>
        <row r="36">
          <cell r="J36">
            <v>0.80949999999999989</v>
          </cell>
        </row>
        <row r="37">
          <cell r="J37">
            <v>0.60899999999999999</v>
          </cell>
        </row>
      </sheetData>
      <sheetData sheetId="31">
        <row r="40">
          <cell r="B40">
            <v>0.99</v>
          </cell>
        </row>
        <row r="66">
          <cell r="C66">
            <v>41.505459998403332</v>
          </cell>
          <cell r="D66">
            <v>50.173501777256696</v>
          </cell>
        </row>
        <row r="81">
          <cell r="B81">
            <v>0.95</v>
          </cell>
        </row>
        <row r="91">
          <cell r="C91">
            <v>497.18802277206038</v>
          </cell>
          <cell r="D91">
            <v>513.95061874134979</v>
          </cell>
          <cell r="E91">
            <v>509.17059156911409</v>
          </cell>
          <cell r="F91">
            <v>478.42700413196377</v>
          </cell>
        </row>
        <row r="107">
          <cell r="B107">
            <v>0.94499999999999995</v>
          </cell>
          <cell r="C107">
            <v>0.94499999999999995</v>
          </cell>
          <cell r="D107">
            <v>0.94499999999999995</v>
          </cell>
          <cell r="E107">
            <v>0.91200000000000003</v>
          </cell>
          <cell r="F107">
            <v>0.91200000000000003</v>
          </cell>
        </row>
        <row r="117">
          <cell r="B117">
            <v>752.50896057347666</v>
          </cell>
          <cell r="D117">
            <v>605.04854368932035</v>
          </cell>
          <cell r="F117">
            <v>567.209130296946</v>
          </cell>
        </row>
        <row r="141">
          <cell r="C141">
            <v>833.3739837398374</v>
          </cell>
          <cell r="D141">
            <v>963.26462765957444</v>
          </cell>
        </row>
        <row r="154">
          <cell r="B154">
            <v>0.89</v>
          </cell>
        </row>
        <row r="163">
          <cell r="C163">
            <v>3609.3962778029959</v>
          </cell>
          <cell r="D163">
            <v>3406.9562247395684</v>
          </cell>
        </row>
      </sheetData>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um2025curves"/>
    </sheetNames>
    <sheetDataSet>
      <sheetData sheetId="0"/>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DEL"/>
    </sheetNames>
    <sheetDataSet>
      <sheetData sheetId="0"/>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ITEMS"/>
      <sheetName val="M-TID"/>
      <sheetName val="M-TS"/>
      <sheetName val="MARKAL data"/>
      <sheetName val="energy carriers"/>
      <sheetName val="Summary"/>
      <sheetName val="CUM"/>
      <sheetName val="Res-Sulfur"/>
      <sheetName val="Reserves"/>
      <sheetName val="Steps"/>
      <sheetName val="Period Averages"/>
      <sheetName val="Coal Supply Curves"/>
      <sheetName val="Supply Curve Mapping"/>
      <sheetName val="Key to Supply Curve Report"/>
    </sheetNames>
    <sheetDataSet>
      <sheetData sheetId="0" refreshError="1"/>
      <sheetData sheetId="1" refreshError="1"/>
      <sheetData sheetId="2" refreshError="1"/>
      <sheetData sheetId="3" refreshError="1"/>
      <sheetData sheetId="4" refreshError="1"/>
      <sheetData sheetId="5"/>
      <sheetData sheetId="6" refreshError="1"/>
      <sheetData sheetId="7"/>
      <sheetData sheetId="8"/>
      <sheetData sheetId="9">
        <row r="5">
          <cell r="Y5">
            <v>1000000</v>
          </cell>
        </row>
        <row r="6">
          <cell r="Y6">
            <v>1.0550559999999999E-6</v>
          </cell>
        </row>
      </sheetData>
      <sheetData sheetId="10" refreshError="1"/>
      <sheetData sheetId="11" refreshError="1"/>
      <sheetData sheetId="12"/>
      <sheetData sheetId="13" refreshError="1"/>
    </sheetDataSet>
  </externalBook>
</externalLink>
</file>

<file path=xl/pivotCache/_rels/pivotCacheDefinition1.xml.rels><?xml version="1.0" encoding="UTF-8" standalone="yes"?>
<Relationships xmlns="http://schemas.openxmlformats.org/package/2006/relationships"><Relationship Id="rId2" Type="http://schemas.microsoft.com/office/2006/relationships/xlExternalLinkPath/xlPathMissing" Target="NYC_Oil_bk12216.xlsx" TargetMode="External"/><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2" Type="http://schemas.microsoft.com/office/2006/relationships/xlExternalLinkPath/xlPathMissing" Target="NYC_Oil_bk12216.xlsx" TargetMode="External"/><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2" Type="http://schemas.microsoft.com/office/2006/relationships/xlExternalLinkPath/xlPathMissing" Target="NYC_Oil_bk12216.xlsx" TargetMode="External"/><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2" Type="http://schemas.microsoft.com/office/2006/relationships/xlExternalLinkPath/xlPathMissing" Target="NYC_Oil_bk12216.xlsx" TargetMode="External"/><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2" Type="http://schemas.microsoft.com/office/2006/relationships/xlExternalLinkPath/xlPathMissing" Target="NYC_Oil_bk12216.xlsx" TargetMode="External"/><Relationship Id="rId1" Type="http://schemas.openxmlformats.org/officeDocument/2006/relationships/pivotCacheRecords" Target="pivotCacheRecords5.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onathan Witt" refreshedDate="41884.688863310184" createdVersion="3" refreshedVersion="5" minRefreshableVersion="3" recordCount="590" xr:uid="{00000000-000A-0000-FFFF-FFFF3D000000}">
  <cacheSource type="worksheet">
    <worksheetSource ref="A7:AU597" sheet="Fractions10" r:id="rId2"/>
  </cacheSource>
  <cacheFields count="47">
    <cacheField name="Sub-Sector" numFmtId="0">
      <sharedItems count="19">
        <s v="Agricultural Chemicals"/>
        <s v="Cement"/>
        <s v="Food"/>
        <s v="Glass"/>
        <s v="Inorganic Chemicals"/>
        <s v="Organic Chemicals"/>
        <s v="Other"/>
        <s v="Other Chemicals"/>
        <s v="Other Metals"/>
        <s v="Other Non-Metals"/>
        <s v="Other Pulp and Paper"/>
        <s v="Paper"/>
        <s v="Paperboard"/>
        <s v="Plastics, Fibers, and Resins"/>
        <s v="Primary Aluminum"/>
        <s v="Primary Steel"/>
        <s v="Pulp"/>
        <s v="Secondary Aluminum"/>
        <s v="Secondary Steel"/>
      </sharedItems>
    </cacheField>
    <cacheField name="End-Use" numFmtId="0">
      <sharedItems count="7">
        <s v="Facilities"/>
        <s v="Feedstock"/>
        <s v="Machine Drive"/>
        <s v="Other Heat"/>
        <s v="Process Heat"/>
        <s v="Steam"/>
        <s v="Electrochemical"/>
      </sharedItems>
    </cacheField>
    <cacheField name="AEO Fuel Type" numFmtId="0">
      <sharedItems/>
    </cacheField>
    <cacheField name="MARKAL Fuel Type" numFmtId="0">
      <sharedItems/>
    </cacheField>
    <cacheField name="Technology" numFmtId="0">
      <sharedItems/>
    </cacheField>
    <cacheField name="Constraint Identifier" numFmtId="0">
      <sharedItems count="764">
        <s v="ICAFA_DST"/>
        <s v="ICAFA_ELC"/>
        <s v="ICAFA_NGA"/>
        <s v="ICAFS_NGA"/>
        <s v="ICAFS_PFS"/>
        <s v="ICAMD_ELC"/>
        <s v="ICAMD_NGA"/>
        <s v="ICAOH_OTP"/>
        <s v="ICAPH_ELC"/>
        <s v="ICAPH_NGA"/>
        <s v="ICAPH_COA"/>
        <s v="ICAST_NGA"/>
        <s v="ICAST_CHP"/>
        <s v="INCFA_DST"/>
        <s v="INCFA_ELC"/>
        <s v="INCFS_OTP"/>
        <s v="INCFS_PTC"/>
        <s v="INCMD_ELC"/>
        <s v="INCOH_OTP"/>
        <s v="INCOH_PTC"/>
        <s v="INCPH_ELC"/>
        <s v="INCPH_NGA"/>
        <s v="INCPH_COA"/>
        <s v="INCST_DST"/>
        <s v="INCST_CHP"/>
        <s v="IFDEC_ELC"/>
        <s v="IFDFA_DST"/>
        <s v="IFDFA_ELC"/>
        <s v="IFDFA_LPG"/>
        <s v="IFDFA_NGA"/>
        <s v="IFDFA_COA"/>
        <s v="IFDFS_LPG"/>
        <s v="IFDFS_NGA"/>
        <s v="IFDFS_BIO"/>
        <s v="IFDMD_DST"/>
        <s v="IFDMD_ELC"/>
        <s v="IFDMD_NGA"/>
        <s v="IFDOH_DST"/>
        <s v="IFDOH_ELC"/>
        <s v="IFDOH_NGA"/>
        <s v="IFDOH_CHP"/>
        <s v="IFDOH_BIO"/>
        <s v="IFDOH_RFL"/>
        <s v="IFDOH_COA"/>
        <s v="IFDPH_DST"/>
        <s v="IFDPH_ELC"/>
        <s v="IFDPH_LPG"/>
        <s v="IFDPH_NGA"/>
        <s v="IFDPH_RFL"/>
        <s v="IFDPH_COA"/>
        <s v="IFDST_DST"/>
        <s v="IFDST_CHP"/>
        <s v="IFDST_ELC"/>
        <s v="IFDST_NGA"/>
        <s v="IFDST_RFL"/>
        <s v="IFDST_COA"/>
        <e v="#REF!"/>
        <s v="INGFA_ELC"/>
        <s v="INGFA_NGA"/>
        <s v="INGMD_ELC"/>
        <s v="INGOH_DST"/>
        <s v="INGOH_LPG"/>
        <s v="INGOH_NGA"/>
        <s v="INGOH_RFL"/>
        <s v="INGOH_COA"/>
        <s v="INGPH_ELC"/>
        <s v="INGPH_NGA"/>
        <s v="INGST_NGA"/>
        <s v="INGST_CHP"/>
        <s v="ICIEC_ELC"/>
        <s v="ICIFA_ELC"/>
        <s v="ICIFA_NGA"/>
        <s v="ICIFS_NGA"/>
        <s v="ICIFS_PFS"/>
        <s v="ICIMD_ELC"/>
        <s v="ICIMD_NGA"/>
        <s v="ICIOH_ELC"/>
        <s v="ICIOH_OTP"/>
        <s v="ICIPH_ELC"/>
        <s v="ICIPH_NGA"/>
        <s v="ICIPH_RFL"/>
        <s v="ICIPH_COA"/>
        <s v="ICIST_DST"/>
        <s v="ICIST_NGA"/>
        <s v="ICIST_CHP"/>
        <s v="ICIST_COA"/>
        <s v="ICOFA_ELC"/>
        <s v="ICOFA_NGA"/>
        <s v="ICOFS_LPG"/>
        <s v="ICOFS_NGA"/>
        <s v="ICOFS_PFS"/>
        <s v="ICOMD_ELC"/>
        <s v="ICOMD_NGA"/>
        <s v="ICOOH_DST"/>
        <s v="ICOOH_LPG"/>
        <s v="ICOOH_NGA"/>
        <s v="ICOOH_OTP"/>
        <s v="ICOPH_ELC"/>
        <s v="ICOPH_NGA"/>
        <s v="ICOPH_COA"/>
        <s v="ICOST_DST"/>
        <s v="ICOST_ELC"/>
        <s v="ICOST_NGA"/>
        <s v="ICOST_CHP"/>
        <s v="ICOST_RFL"/>
        <s v="ICOST_COA"/>
        <s v="IOTEC_ELC"/>
        <s v="IOTFA_DST"/>
        <s v="IOTFA_ELC"/>
        <s v="IOTFA_LPG"/>
        <s v="IOTFA_NGA"/>
        <s v="IOTFA_RFL"/>
        <s v="IOTFA_COA"/>
        <s v="IOTFS_COK"/>
        <s v="IOTFS_DST"/>
        <s v="IOTFS_LPG"/>
        <s v="IOTFS_NGA"/>
        <s v="IOTFS_OTP"/>
        <s v="IOTFS_PTC"/>
        <s v="IOTFS_BIO"/>
        <s v="IOTFS_RFL"/>
        <s v="IOTMD_DST"/>
        <s v="IOTMD_ELC"/>
        <s v="IOTMD_LPG"/>
        <s v="IOTMD_NGA"/>
        <s v="IOTMD_COA"/>
        <s v="IOTOH_DST"/>
        <s v="IOTOH_ELC"/>
        <s v="IOTOH_LPG"/>
        <s v="IOTOH_NGA"/>
        <s v="IOTOH_OTP"/>
        <s v="IOTOH_PTC"/>
        <s v="IOTOH_BIO"/>
        <s v="IOTOH_CHP"/>
        <s v="IOTOH_RFL"/>
        <s v="IOTPH_DST"/>
        <s v="IOTPH_ELC"/>
        <s v="IOTPH_LPG"/>
        <s v="IOTPH_NGA"/>
        <s v="IOTPH_RFL"/>
        <s v="IOTPH_COA"/>
        <s v="IOTST_DST"/>
        <s v="IOTST_CHP"/>
        <s v="IOTST_ELC"/>
        <s v="IOTST_NGA"/>
        <s v="IOTST_RFL"/>
        <s v="IOTST_COA"/>
        <s v="ICTFA_DST"/>
        <s v="ICTFA_ELC"/>
        <s v="ICTFA_NGA"/>
        <s v="ICTFA_COA"/>
        <s v="ICTFS_NGA"/>
        <s v="ICTFS_OTP"/>
        <s v="ICTFS_PTC"/>
        <s v="ICTFS_BIO"/>
        <s v="ICTFS_RFL"/>
        <s v="ICTMD_DST"/>
        <s v="ICTMD_ELC"/>
        <s v="ICTMD_NGA"/>
        <s v="ICTOH_ELC"/>
        <s v="ICTOH_OTP"/>
        <s v="ICTOH_PTC"/>
        <s v="ICTOH_BIO"/>
        <s v="ICTOH_CHP"/>
        <s v="ICTPH_DST"/>
        <s v="ICTPH_ELC"/>
        <s v="ICTPH_NGA"/>
        <s v="ICTPH_RFL"/>
        <s v="ICTST_DST"/>
        <s v="ICTST_CHP"/>
        <s v="ICTST_ELC"/>
        <s v="ICTST_NGA"/>
        <s v="ICTST_RFL"/>
        <s v="ICTST_COA"/>
        <s v="IMOEC_ELC"/>
        <s v="IMOFA_DST"/>
        <s v="IMOFA_ELC"/>
        <s v="IMOFA_LPG"/>
        <s v="IMOFA_NGA"/>
        <s v="IMOFS_NGA"/>
        <s v="IMOFS_OTP"/>
        <s v="IMOFS_PTC"/>
        <s v="IMOFS_BIO"/>
        <s v="IMOMD_DST"/>
        <s v="IMOMD_ELC"/>
        <s v="IMOMD_NGA"/>
        <s v="IMOOH_NGA"/>
        <s v="IMOOH_OTP"/>
        <s v="IMOOH_PTC"/>
        <s v="IMOOH_BIO"/>
        <s v="IMOOH_RFL"/>
        <s v="IMOOH_COA"/>
        <s v="IMOPH_ELC"/>
        <s v="IMOPH_LPG"/>
        <s v="IMOPH_NGA"/>
        <s v="IMOST_DST"/>
        <s v="IMOST_ELC"/>
        <s v="IMOST_NGA"/>
        <s v="IMOST_CHP"/>
        <s v="IMOST_RFL"/>
        <s v="INOEC_ELC"/>
        <s v="INOFA_DST"/>
        <s v="INOFA_ELC"/>
        <s v="INOFA_LPG"/>
        <s v="INOFA_NGA"/>
        <s v="INOMD_DST"/>
        <s v="INOMD_ELC"/>
        <s v="INOMD_NGA"/>
        <s v="INOOH_ELC"/>
        <s v="INOOH_NGA"/>
        <s v="INOOH_OTP"/>
        <s v="INOOH_PTC"/>
        <s v="INOOH_BIO"/>
        <s v="INOOH_RFL"/>
        <s v="INOPH_DST"/>
        <s v="INOPH_ELC"/>
        <s v="INOPH_LPG"/>
        <s v="INOPH_NGA"/>
        <s v="INOPH_COA"/>
        <s v="INOST_NGA"/>
        <s v="INOST_CHP"/>
        <s v="IPOFA_ELC"/>
        <s v="IPOFA_LPG"/>
        <s v="IPOFA_NGA"/>
        <s v="IPOMD_ELC"/>
        <s v="IPOMD_NGA"/>
        <s v="IPOOH_ELC"/>
        <s v="IPOOH_NGA"/>
        <s v="IPOOH_OTP"/>
        <s v="IPOOH_PTC"/>
        <s v="IPOOH_BIO"/>
        <s v="IPOOH_CHP"/>
        <s v="IPOPH_DST"/>
        <s v="IPOPH_ELC"/>
        <s v="IPOPH_NGA"/>
        <s v="IPOST_DST"/>
        <s v="IPOST_ELC"/>
        <s v="IPOST_NGA"/>
        <s v="IPOST_CHP"/>
        <s v="IPOST_RFL"/>
        <s v="IPOST_COA"/>
        <s v="IPAFA_DST"/>
        <s v="IPAFA_ELC"/>
        <s v="IPAFA_NGA"/>
        <s v="IPAFA_RFL"/>
        <s v="IPAMD_ELC"/>
        <s v="IPAMD_NGA"/>
        <s v="IPAOH_ELC"/>
        <s v="IPAOH_NGA"/>
        <s v="IPAOH_OTP"/>
        <s v="IPAOH_PTC"/>
        <s v="IPAOH_BIO"/>
        <s v="IPAOH_CHP"/>
        <s v="IPAPH_ELC"/>
        <s v="IPAPH_NGA"/>
        <s v="IPAPH_RFL"/>
        <s v="IPAPH_COA"/>
        <s v="IPAST_DST"/>
        <s v="IPAST_CHP"/>
        <s v="IPAST_ELC"/>
        <s v="IPAST_NGA"/>
        <s v="IPAST_RFL"/>
        <s v="IPAST_COA"/>
        <s v="IPBEC_ELC"/>
        <s v="IPBFA_DST"/>
        <s v="IPBFA_ELC"/>
        <s v="IPBFA_NGA"/>
        <s v="IPBFS_NGA"/>
        <s v="IPBMD_ELC"/>
        <s v="IPBMD_NGA"/>
        <s v="IPBOH_ELC"/>
        <s v="IPBOH_NGA"/>
        <s v="IPBOH_OTP"/>
        <s v="IPBOH_PTC"/>
        <s v="IPBOH_BIO"/>
        <s v="IPBOH_CHP"/>
        <s v="IPBPH_ELC"/>
        <s v="IPBPH_NGA"/>
        <s v="IPBPH_RFL"/>
        <s v="IPBST_DST"/>
        <s v="IPBST_CHP"/>
        <s v="IPBST_ELC"/>
        <s v="IPBST_NGA"/>
        <s v="IPBST_RFL"/>
        <s v="IPBST_COA"/>
        <s v="ICPEC_ELC"/>
        <s v="ICPFA_ELC"/>
        <s v="ICPFA_NGA"/>
        <s v="ICPFS_LPG"/>
        <s v="ICPFS_NGA"/>
        <s v="ICPFS_PFS"/>
        <s v="ICPMD_ELC"/>
        <s v="ICPMD_NGA"/>
        <s v="ICPOH_DST"/>
        <s v="ICPOH_ELC"/>
        <s v="ICPOH_OTP"/>
        <s v="ICPOH_RFL"/>
        <s v="ICPPH_ELC"/>
        <s v="ICPPH_NGA"/>
        <s v="ICPST_DST"/>
        <s v="ICPST_ELC"/>
        <s v="ICPST_LPG"/>
        <s v="ICPST_NGA"/>
        <s v="ICPST_CHP"/>
        <s v="ICPST_RFL"/>
        <s v="ICPST_COA"/>
        <s v="IMAEC_ELC"/>
        <s v="IMAFA_DST"/>
        <s v="IMAFA_ELC"/>
        <s v="IMAFA_NGA"/>
        <s v="IMAFS_NGA"/>
        <s v="IMAFS_PTC"/>
        <s v="IMAMD_ELC"/>
        <s v="IMAMD_NGA"/>
        <s v="IMAOH_PTC"/>
        <s v="IMAPH_ELC"/>
        <s v="IMAPH_NGA"/>
        <s v="IMAST_NGA"/>
        <s v="IMAST_CHP"/>
        <s v="IMSEC_ELC"/>
        <s v="IMSFA_DST"/>
        <s v="IMSFA_ELC"/>
        <s v="IMSFA_NGA"/>
        <s v="IMSFA_COA"/>
        <s v="IMSFS_COK"/>
        <s v="IMSFS_NGA"/>
        <s v="IMSFS_PTC"/>
        <s v="IMSFS_BIO"/>
        <s v="IMSMD_ELC"/>
        <s v="IMSMD_NGA"/>
        <s v="IMSOH_ELC"/>
        <s v="IMSOH_PTC"/>
        <s v="IMSOH_BIO"/>
        <s v="IMSOH_RFL"/>
        <s v="IMSPH_DST"/>
        <s v="IMSPH_ELC"/>
        <s v="IMSPH_NGA"/>
        <s v="IMSPH_COA"/>
        <s v="IMSST_DST"/>
        <s v="IMSST_NGA"/>
        <s v="IMSST_CHP"/>
        <s v="IMSST_RFL"/>
        <s v="IMSST_COA"/>
        <s v="IPLMD_ELC"/>
        <s v="IPLOH_OTP"/>
        <s v="IPLOH_PTC"/>
        <s v="IPLOH_BIO"/>
        <s v="IPLOH_CHP"/>
        <s v="IPLPH_ELC"/>
        <s v="IPLPH_NGA"/>
        <s v="IPLPH_RFL"/>
        <s v="IPLST_DST"/>
        <s v="IPLST_CHP"/>
        <s v="IPLST_NGA"/>
        <s v="IMLEC_ELC"/>
        <s v="IMLMD_ELC"/>
        <s v="IMLOH_LPG"/>
        <s v="IMLOH_COA"/>
        <s v="IMLPH_ELC"/>
        <s v="IMLPH_NGA"/>
        <s v="IMLST_CHP"/>
        <s v="IMTEC_ELC"/>
        <s v="IMTFA_DST"/>
        <s v="IMTFA_ELC"/>
        <s v="IMTFA_NGA"/>
        <s v="IMTFA_COA"/>
        <s v="IMTFS_COK"/>
        <s v="IMTFS_NGA"/>
        <s v="IMTFS_PTC"/>
        <s v="IMTFS_BIO"/>
        <s v="IMTMD_ELC"/>
        <s v="IMTMD_NGA"/>
        <s v="IMTOH_ELC"/>
        <s v="IMTOH_PTC"/>
        <s v="IMTOH_BIO"/>
        <s v="IMTOH_RFL"/>
        <s v="IMTPH_DST"/>
        <s v="IMTPH_ELC"/>
        <s v="IMTPH_NGA"/>
        <s v="IMTPH_COA"/>
        <s v="IMTST_DST"/>
        <s v="IMTST_NGA"/>
        <s v="IMTST_CHP"/>
        <s v="IMTST_RFL"/>
        <s v="IMTST_COA"/>
        <s v="S_ICPMDNGA" u="1"/>
        <s v="S_IPOFALPG" u="1"/>
        <s v="S_IFDFACOA" u="1"/>
        <s v="S_ICOSTRFL" u="1"/>
        <s v="S_IFDFAELC" u="1"/>
        <s v="S_ICOPHCOA" u="1"/>
        <s v="S_ICOPHELC" u="1"/>
        <s v="S_IMSFSBIO" u="1"/>
        <s v="S_ICPSTRFL" u="1"/>
        <s v="S_ICOOHLPG" u="1"/>
        <s v="S_IOTFSNGA" u="1"/>
        <s v="S_ICPPHELC" u="1"/>
        <s v="S_ICPOHRFL" u="1"/>
        <s v="S_ICTFADST" u="1"/>
        <s v="S_IMTFSBIO" u="1"/>
        <s v="S_IOTFARFL" u="1"/>
        <s v="S_ICTSTNGA" u="1"/>
        <s v="S_IOTFALPG" u="1"/>
        <s v="S_ICOSTCHP" u="1"/>
        <s v="S_IOTECELC" u="1"/>
        <s v="S_ICTMDNGA" u="1"/>
        <s v="S_IMAFADST" u="1"/>
        <s v="S_IMASTNGA" u="1"/>
        <s v="S_ICPSTCHP" u="1"/>
        <s v="S_IOTFSRFL" u="1"/>
        <s v="S_IOTFSLPG" u="1"/>
        <s v="S_ICOFAELC" u="1"/>
        <s v="S_IMAMDNGA" u="1"/>
        <s v="S_ICTSTRFL" u="1"/>
        <s v="S_ICTPHELC" u="1"/>
        <s v="S_IOTFSBIO" u="1"/>
        <s v="S_ICPFAELC" u="1"/>
        <s v="S_ICIOHOTP" u="1"/>
        <s v="S_IMOFSOTP" u="1"/>
        <s v="S_IMAPHELC" u="1"/>
        <s v="S_ICTOHBIO" u="1"/>
        <s v="S_INCFADST" u="1"/>
        <s v="S_ICTSTCHP" u="1"/>
        <s v="S_ICTOHCHP" u="1"/>
        <s v="S_ICTFSPTC" u="1"/>
        <s v="S_IMASTCHP" u="1"/>
        <s v="S_IPAFADST" u="1"/>
        <s v="S_ICAFSPFS" u="1"/>
        <s v="S_ICTFACOA" u="1"/>
        <s v="S_ICTFAELC" u="1"/>
        <s v="S_IPASTNGA" u="1"/>
        <s v="S_IMAFSPTC" u="1"/>
        <s v="S_IPBFADST" u="1"/>
        <s v="S_IPAOHNGA" u="1"/>
        <s v="S_IPBSTNGA" u="1"/>
        <s v="S_INCPHCOA" u="1"/>
        <s v="S_IPAMDNGA" u="1"/>
        <s v="S_INCPHELC" u="1"/>
        <s v="S_IMAFAELC" u="1"/>
        <s v="S_IPBOHNGA" u="1"/>
        <s v="S_INGSTNGA" u="1"/>
        <s v="S_ICOOHOTP" u="1"/>
        <s v="S_IPBMDNGA" u="1"/>
        <s v="S_INGOHNGA" u="1"/>
        <s v="S_IPASTRFL" u="1"/>
        <s v="S_ICPOHOTP" u="1"/>
        <s v="S_IPAPHCOA" u="1"/>
        <s v="S_IPAPHELC" u="1"/>
        <s v="S_INCSTCHP" u="1"/>
        <s v="S_IPBSTRFL" u="1"/>
        <s v="S_INCFSPTC" u="1"/>
        <s v="S_IPBPHELC" u="1"/>
        <s v="S_INOPHDST" u="1"/>
        <s v="S_INGPHELC" u="1"/>
        <s v="S_IPAOHBIO" u="1"/>
        <s v="S_INGOHRFL" u="1"/>
        <s v="S_IOTFSOTP" u="1"/>
        <s v="S_INCFAELC" u="1"/>
        <s v="S_IPASTCHP" u="1"/>
        <s v="S_ICAPHNGA" u="1"/>
        <s v="S_INGOHLPG" u="1"/>
        <s v="S_IPBOHBIO" u="1"/>
        <s v="S_IPBSTCHP" u="1"/>
        <s v="S_IMSPHDST" u="1"/>
        <s v="S_ICTOHOTP" u="1"/>
        <s v="S_IMOFADST" u="1"/>
        <s v="S_INGSTCHP" u="1"/>
        <s v="S_ICIFSPFS" u="1"/>
        <s v="S_IPAFAELC" u="1"/>
        <s v="S_IMOSTNGA" u="1"/>
        <s v="S_IMTPHDST" u="1"/>
        <s v="S_IMLPHELC" u="1"/>
        <s v="S_IMOOHNGA" u="1"/>
        <s v="S_ICISTDST" u="1"/>
        <s v="S_IPBFAELC" u="1"/>
        <s v="S_IMLOHLPG" u="1"/>
        <s v="S_IMOMDNGA" u="1"/>
        <s v="S_IPOPHDST" u="1"/>
        <s v="S_INOFADST" u="1"/>
        <s v="S_INGFAELC" u="1"/>
        <s v="S_INOSTNGA" u="1"/>
        <s v="S_IFDSTDST" u="1"/>
        <s v="S_ICAMDELC" u="1"/>
        <s v="S_ICAFANGA" u="1"/>
        <s v="S_INOOHNGA" u="1"/>
        <s v="S_IFDOHDST" u="1"/>
        <s v="S_IMLSTCHP" u="1"/>
        <s v="S_IMOSTRFL" u="1"/>
        <s v="S_INOMDNGA" u="1"/>
        <s v="S_IPLSTNGA" u="1"/>
        <s v="S_IFDMDDST" u="1"/>
        <s v="S_IMSFSCOK" u="1"/>
        <s v="S_IMOPHELC" u="1"/>
        <s v="S_IMOOHRFL" u="1"/>
        <s v="S_IMSFADST" u="1"/>
        <s v="S_IMSSTNGA" u="1"/>
        <s v="S_IOTPHDST" u="1"/>
        <s v="S_IMTFSCOK" u="1"/>
        <s v="S_IMTFADST" u="1"/>
        <s v="S_ICAFSNGA" u="1"/>
        <s v="S_INCOHOTP" u="1"/>
        <s v="S_IMTSTNGA" u="1"/>
        <s v="S_IMSMDNGA" u="1"/>
        <s v="S_IMOOHBIO" u="1"/>
        <s v="S_INOPHCOA" u="1"/>
        <s v="S_INOPHELC" u="1"/>
        <s v="S_INOOHRFL" u="1"/>
        <s v="S_IMOSTCHP" u="1"/>
        <s v="S_ICOFSPFS" u="1"/>
        <s v="S_ICIPHNGA" u="1"/>
        <s v="S_IMTMDNGA" u="1"/>
        <s v="S_IPOSTNGA" u="1"/>
        <s v="S_IMOFSPTC" u="1"/>
        <s v="S_IPLPHELC" u="1"/>
        <s v="S_ICPFSPFS" u="1"/>
        <s v="S_IPOOHNGA" u="1"/>
        <s v="S_IMSSTRFL" u="1"/>
        <s v="S_ICOSTDST" u="1"/>
        <s v="S_IPAOHOTP" u="1"/>
        <s v="S_IFDPHNGA" u="1"/>
        <s v="S_IMSPHCOA" u="1"/>
        <s v="S_INOOHBIO" u="1"/>
        <s v="S_IMSPHELC" u="1"/>
        <s v="S_IPOMDNGA" u="1"/>
        <s v="S_IMSOHRFL" u="1"/>
        <s v="S_ICOOHDST" u="1"/>
        <s v="S_IMOFAELC" u="1"/>
        <s v="S_INOSTCHP" u="1"/>
        <s v="S_IMTSTRFL" u="1"/>
        <s v="S_ICPSTDST" u="1"/>
        <s v="S_IPBOHOTP" u="1"/>
        <s v="S_IMTPHCOA" u="1"/>
        <s v="S_IMTPHELC" u="1"/>
        <s v="S_IMTOHRFL" u="1"/>
        <s v="S_IOTFSCOK" u="1"/>
        <s v="S_IPLOHBIO" u="1"/>
        <s v="S_ICPOHDST" u="1"/>
        <s v="S_IOTFADST" u="1"/>
        <s v="S_ICIPHRFL" u="1"/>
        <s v="S_IPLSTCHP" u="1"/>
        <s v="S_ICISTCOA" u="1"/>
        <s v="S_IPOSTRFL" u="1"/>
        <s v="S_IOTSTNGA" u="1"/>
        <s v="S_IMSOHBIO" u="1"/>
        <s v="S_IPOPHELC" u="1"/>
        <s v="S_IMSSTCHP" u="1"/>
        <s v="S_ICIOHELC" u="1"/>
        <s v="S_IOTOHNGA" u="1"/>
        <s v="S_INOFAELC" u="1"/>
        <s v="S_IFDPHRFL" u="1"/>
        <s v="S_IFDSTCOA" u="1"/>
        <s v="S_IMTOHBIO" u="1"/>
        <s v="S_ICIMDELC" u="1"/>
        <s v="S_IOTMDNGA" u="1"/>
        <s v="S_IFDSTELC" u="1"/>
        <s v="S_ICIFANGA" u="1"/>
        <s v="S_IMSFSPTC" u="1"/>
        <s v="S_IFDPHLPG" u="1"/>
        <s v="S_IMTSTCHP" u="1"/>
        <s v="S_IFDOHCOA" u="1"/>
        <s v="S_IFDOHELC" u="1"/>
        <s v="S_IOTFSDST" u="1"/>
        <s v="S_IMTFSPTC" u="1"/>
        <s v="S_IPOOHBIO" u="1"/>
        <s v="S_IFDMDELC" u="1"/>
        <s v="S_IFDFANGA" u="1"/>
        <s v="S_IMSFACOA" u="1"/>
        <s v="S_IMSFAELC" u="1"/>
        <s v="S_IPOSTCHP" u="1"/>
        <s v="S_ICTSTDST" u="1"/>
        <s v="S_ICOPHNGA" u="1"/>
        <s v="S_IOTSTRFL" u="1"/>
        <s v="S_IOTPHCOA" u="1"/>
        <s v="S_IOTPHELC" u="1"/>
        <s v="S_IOTOHRFL" u="1"/>
        <s v="S_IMTFACOA" u="1"/>
        <s v="S_ICIFSNGA" u="1"/>
        <s v="S_IMTFAELC" u="1"/>
        <s v="S_ICPPHNGA" u="1"/>
        <s v="S_ICTMDDST" u="1"/>
        <s v="S_IOTOHLPG" u="1"/>
        <s v="S_IOTMDLPG" u="1"/>
        <s v="S_IFDFSNGA" u="1"/>
        <s v="S_IPOFAELC" u="1"/>
        <s v="S_IOTOHBIO" u="1"/>
        <s v="S_ICIECELC" u="1"/>
        <s v="S_IMOOHOTP" u="1"/>
        <s v="S_IOTSTCHP" u="1"/>
        <s v="S_IFDFALPG" u="1"/>
        <s v="S_ICOSTCOA" u="1"/>
        <s v="S_ICOSTELC" u="1"/>
        <s v="S_IOTOHCHP" u="1"/>
        <s v="S_IOTFSPTC" u="1"/>
        <s v="S_IFDECELC" u="1"/>
        <s v="S_ICPSTCOA" u="1"/>
        <s v="S_ICPSTELC" u="1"/>
        <s v="S_ICOMDELC" u="1"/>
        <s v="S_ICOFANGA" u="1"/>
        <s v="S_ICPOHELC" u="1"/>
        <s v="S_IOTFACOA" u="1"/>
        <s v="S_INOOHOTP" u="1"/>
        <s v="S_IOTFAELC" u="1"/>
        <s v="S_ICTPHNGA" u="1"/>
        <s v="S_ICTOHPTC" u="1"/>
        <s v="S_IFDFSLPG" u="1"/>
        <s v="S_ICPMDELC" u="1"/>
        <s v="S_ICPFANGA" u="1"/>
        <s v="S_INCSTDST" u="1"/>
        <s v="S_IPLOHOTP" u="1"/>
        <s v="S_IFDFSBIO" u="1"/>
        <s v="S_IMAPHNGA" u="1"/>
        <s v="S_ICOFSNGA" u="1"/>
        <s v="S_IMAOHPTC" u="1"/>
        <s v="S_ICPFSNGA" u="1"/>
        <s v="S_ICTPHRFL" u="1"/>
        <s v="S_IPASTDST" u="1"/>
        <s v="S_ICTSTCOA" u="1"/>
        <s v="S_ICTSTELC" u="1"/>
        <s v="S_ICTOHELC" u="1"/>
        <s v="S_IPBSTDST" u="1"/>
        <s v="S_IPOOHOTP" u="1"/>
        <s v="S_ICTMDELC" u="1"/>
        <s v="S_ICTFANGA" u="1"/>
        <s v="S_ICPECELC" u="1"/>
        <s v="S_ICOFSLPG" u="1"/>
        <s v="S_INGOHDST" u="1"/>
        <s v="S_INCPHNGA" u="1"/>
        <s v="S_INCOHPTC" u="1"/>
        <s v="S_IMAMDELC" u="1"/>
        <s v="S_IMAFANGA" u="1"/>
        <s v="S_ICPFSLPG" u="1"/>
        <s v="S_ICTFSNGA" u="1"/>
        <s v="S_IOTOHOTP" u="1"/>
        <s v="S_IPAPHNGA" u="1"/>
        <s v="S_IPAOHPTC" u="1"/>
        <s v="S_IMAFSNGA" u="1"/>
        <s v="S_IPBPHNGA" u="1"/>
        <s v="S_IPBOHPTC" u="1"/>
        <s v="S_ICTFSRFL" u="1"/>
        <s v="S_INGPHNGA" u="1"/>
        <s v="S_INCMDELC" u="1"/>
        <s v="S_IMAECELC" u="1"/>
        <s v="S_IMOSTDST" u="1"/>
        <s v="S_IPAPHRFL" u="1"/>
        <s v="S_IPASTCOA" u="1"/>
        <s v="S_IPASTELC" u="1"/>
        <s v="S_ICTFSBIO" u="1"/>
        <s v="S_IPAOHELC" u="1"/>
        <s v="S_IPBPHRFL" u="1"/>
        <s v="S_IMOMDDST" u="1"/>
        <s v="S_IPBSTCOA" u="1"/>
        <s v="S_IPBSTELC" u="1"/>
        <s v="S_IPAMDELC" u="1"/>
        <s v="S_IPAFANGA" u="1"/>
        <s v="S_IPBOHELC" u="1"/>
        <s v="S_IMLPHNGA" u="1"/>
        <s v="S_ICAFADST" u="1"/>
        <s v="S_IPBMDELC" u="1"/>
        <s v="S_IPBFANGA" u="1"/>
        <s v="S_INGOHCOA" u="1"/>
        <s v="S_ICASTNGA" u="1"/>
        <s v="S_INOMDDST" u="1"/>
        <s v="S_IPLSTDST" u="1"/>
        <s v="S_INGMDELC" u="1"/>
        <s v="S_INGFANGA" u="1"/>
        <s v="S_ICAMDNGA" u="1"/>
        <s v="S_IMSSTDST" u="1"/>
        <s v="S_IPAFARFL" u="1"/>
        <s v="S_IPBFSNGA" u="1"/>
        <s v="S_IMTSTDST" u="1"/>
        <s v="S_IMOPHNGA" u="1"/>
        <s v="S_IMOOHPTC" u="1"/>
        <s v="S_IMLOHCOA" u="1"/>
        <s v="S_ICAPHCOA" u="1"/>
        <s v="S_ICAPHELC" u="1"/>
        <s v="S_IPOSTDST" u="1"/>
        <s v="S_IMLMDELC" u="1"/>
        <s v="S_IPBECELC" u="1"/>
        <s v="S_INOPHNGA" u="1"/>
        <s v="S_IFDPHDST" u="1"/>
        <s v="S_INOOHPTC" u="1"/>
        <s v="S_IMOSTELC" u="1"/>
        <s v="S_IPLPHNGA" u="1"/>
        <s v="S_IPLOHPTC" u="1"/>
        <s v="S_IMOPHLPG" u="1"/>
        <s v="S_ICASTCHP" u="1"/>
        <s v="S_IMOOHCOA" u="1"/>
        <s v="S_IMSPHNGA" u="1"/>
        <s v="S_IOTSTDST" u="1"/>
        <s v="S_IMSOHPTC" u="1"/>
        <s v="S_IMOMDELC" u="1"/>
        <s v="S_IMOFANGA" u="1"/>
        <s v="S_IOTOHDST" u="1"/>
        <s v="S_IMTPHNGA" u="1"/>
        <s v="S_IMTOHPTC" u="1"/>
        <s v="S_IOTMDDST" u="1"/>
        <s v="S_ICTFSOTP" u="1"/>
        <s v="S_INOPHLPG" u="1"/>
        <s v="S_IMLECELC" u="1"/>
        <s v="S_ICAFAELC" u="1"/>
        <s v="S_ICISTNGA" u="1"/>
        <s v="S_INOOHELC" u="1"/>
        <s v="S_IPLPHRFL" u="1"/>
        <s v="S_IPOPHNGA" u="1"/>
        <s v="S_IPOOHPTC" u="1"/>
        <s v="S_INOMDELC" u="1"/>
        <s v="S_INOFANGA" u="1"/>
        <s v="S_IFDFADST" u="1"/>
        <s v="S_IMOFSNGA" u="1"/>
        <s v="S_ICIMDNGA" u="1"/>
        <s v="S_IFDSTNGA" u="1"/>
        <s v="S_IMSSTCOA" u="1"/>
        <s v="S_IPLMDELC" u="1"/>
        <s v="S_IFDOHNGA" u="1"/>
        <s v="S_IMOFALPG" u="1"/>
        <s v="S_IMSOHELC" u="1"/>
        <s v="S_IMTSTCOA" u="1"/>
        <s v="S_IFDMDNGA" u="1"/>
        <s v="S_IMSMDELC" u="1"/>
        <s v="S_IMSFANGA" u="1"/>
        <s v="S_IMOECELC" u="1"/>
        <s v="S_IMTOHELC" u="1"/>
        <s v="S_ICIPHCOA" u="1"/>
        <s v="S_ICIPHELC" u="1"/>
        <s v="S_IOTPHNGA" u="1"/>
        <s v="S_IOTOHPTC" u="1"/>
        <s v="S_IPOSTCOA" u="1"/>
        <s v="S_IMTMDELC" u="1"/>
        <s v="S_IPOSTELC" u="1"/>
        <s v="S_IMTFANGA" u="1"/>
        <s v="S_IFDSTRFL" u="1"/>
        <s v="S_INOFALPG" u="1"/>
        <s v="S_IPOOHELC" u="1"/>
        <s v="S_IFDPHCOA" u="1"/>
        <s v="S_IFDPHELC" u="1"/>
        <s v="S_IFDOHRFL" u="1"/>
        <s v="S_INOECELC" u="1"/>
        <s v="S_IPOMDELC" u="1"/>
        <s v="S_IPOFANGA" u="1"/>
        <s v="S_IMSFSNGA" u="1"/>
        <s v="S_INCFSOTP" u="1"/>
        <s v="S_IMOFSBIO" u="1"/>
        <s v="S_ICISTCHP" u="1"/>
        <s v="S_IMTFSNGA" u="1"/>
        <s v="S_ICOSTNGA" u="1"/>
        <s v="S_ICTPHDST" u="1"/>
        <s v="S_IOTPHRFL" u="1"/>
        <s v="S_IOTSTCOA" u="1"/>
        <s v="S_IFDOHBIO" u="1"/>
        <s v="S_IOTSTELC" u="1"/>
        <s v="S_ICOOHNGA" u="1"/>
        <s v="S_IMSECELC" u="1"/>
        <s v="S_IOTPHLPG" u="1"/>
        <s v="S_ICAOHOTP" u="1"/>
        <s v="S_IFDSTCHP" u="1"/>
        <s v="S_ICPSTNGA" u="1"/>
        <s v="S_IOTOHELC" u="1"/>
        <s v="S_ICOMDNGA" u="1"/>
        <s v="S_IFDOHCHP" u="1"/>
        <s v="S_IOTMDCOA" u="1"/>
        <s v="S_IMTECELC" u="1"/>
        <s v="S_IOTMDELC" u="1"/>
        <s v="S_ICIFAELC" u="1"/>
        <s v="S_IOTFANGA" u="1"/>
      </sharedItems>
    </cacheField>
    <cacheField name="Sheet" numFmtId="0">
      <sharedItems/>
    </cacheField>
    <cacheField name="% Steam Output (CHP)" numFmtId="0">
      <sharedItems containsSemiMixedTypes="0" containsString="0" containsNumber="1" minValue="0.31721749874010363" maxValue="1"/>
    </cacheField>
    <cacheField name="% Electricity Output (CHP)" numFmtId="0">
      <sharedItems containsSemiMixedTypes="0" containsString="0" containsNumber="1" minValue="0" maxValue="0.68278250125989637"/>
    </cacheField>
    <cacheField name="R1 (Cap)" numFmtId="164">
      <sharedItems containsSemiMixedTypes="0" containsString="0" containsNumber="1" minValue="0" maxValue="32.494369388274151"/>
    </cacheField>
    <cacheField name="R2 (Cap)" numFmtId="164">
      <sharedItems containsSemiMixedTypes="0" containsString="0" containsNumber="1" minValue="0" maxValue="89.44606648439526"/>
    </cacheField>
    <cacheField name="R3 (Cap)" numFmtId="164">
      <sharedItems containsSemiMixedTypes="0" containsString="0" containsNumber="1" minValue="0" maxValue="100.48033937309904"/>
    </cacheField>
    <cacheField name="R4 (Cap)" numFmtId="164">
      <sharedItems containsSemiMixedTypes="0" containsString="0" containsNumber="1" minValue="0" maxValue="69.388617350400025"/>
    </cacheField>
    <cacheField name="R5 (Cap)" numFmtId="164">
      <sharedItems containsSemiMixedTypes="0" containsString="0" containsNumber="1" minValue="0" maxValue="270.89648076900465"/>
    </cacheField>
    <cacheField name="R6 (Cap)" numFmtId="164">
      <sharedItems containsSemiMixedTypes="0" containsString="0" containsNumber="1" minValue="0" maxValue="236.12574185924154"/>
    </cacheField>
    <cacheField name="R7 (Cap)" numFmtId="164">
      <sharedItems containsSemiMixedTypes="0" containsString="0" containsNumber="1" minValue="0" maxValue="820.3013844579699"/>
    </cacheField>
    <cacheField name="R8 (Cap)" numFmtId="164">
      <sharedItems containsSemiMixedTypes="0" containsString="0" containsNumber="1" minValue="0" maxValue="48.614057397634554"/>
    </cacheField>
    <cacheField name="R9 (Cap)" numFmtId="164">
      <sharedItems containsSemiMixedTypes="0" containsString="0" containsNumber="1" minValue="0" maxValue="33.052945040407124"/>
    </cacheField>
    <cacheField name="R1 (AF)" numFmtId="0">
      <sharedItems containsSemiMixedTypes="0" containsString="0" containsNumber="1" minValue="-5.4956039718945242E-17" maxValue="1"/>
    </cacheField>
    <cacheField name="R2 (AF)" numFmtId="0">
      <sharedItems containsSemiMixedTypes="0" containsString="0" containsNumber="1" minValue="-5.4956039718945242E-17" maxValue="1"/>
    </cacheField>
    <cacheField name="R3 (AF)" numFmtId="0">
      <sharedItems containsSemiMixedTypes="0" containsString="0" containsNumber="1" minValue="-5.4956039718945242E-17" maxValue="1"/>
    </cacheField>
    <cacheField name="R4 (AF)" numFmtId="0">
      <sharedItems containsSemiMixedTypes="0" containsString="0" containsNumber="1" minValue="-5.4956039718945242E-17" maxValue="1"/>
    </cacheField>
    <cacheField name="R5 (AF)" numFmtId="0">
      <sharedItems containsSemiMixedTypes="0" containsString="0" containsNumber="1" minValue="-5.4956039718945242E-17" maxValue="1"/>
    </cacheField>
    <cacheField name="R6 (AF)" numFmtId="0">
      <sharedItems containsSemiMixedTypes="0" containsString="0" containsNumber="1" minValue="-5.4956039718945242E-17" maxValue="1"/>
    </cacheField>
    <cacheField name="R7 (AF)" numFmtId="0">
      <sharedItems containsSemiMixedTypes="0" containsString="0" containsNumber="1" minValue="-5.4956039718945242E-17" maxValue="1"/>
    </cacheField>
    <cacheField name="R8 (AF)" numFmtId="0">
      <sharedItems containsSemiMixedTypes="0" containsString="0" containsNumber="1" minValue="-5.4956039718945242E-17" maxValue="1"/>
    </cacheField>
    <cacheField name="R9 (AF)" numFmtId="0">
      <sharedItems containsSemiMixedTypes="0" containsString="0" containsNumber="1" minValue="-5.4956039718945242E-17" maxValue="1"/>
    </cacheField>
    <cacheField name="R1 (Out)" numFmtId="164">
      <sharedItems containsSemiMixedTypes="0" containsString="0" containsNumber="1" minValue="-6.6040718692496739E-17" maxValue="32.494369388274151"/>
    </cacheField>
    <cacheField name="R2 (Out)" numFmtId="164">
      <sharedItems containsSemiMixedTypes="0" containsString="0" containsNumber="1" minValue="0" maxValue="89.44606648439526"/>
    </cacheField>
    <cacheField name="R3 (Out)" numFmtId="164">
      <sharedItems containsSemiMixedTypes="0" containsString="0" containsNumber="1" minValue="-1.1771670333224905E-15" maxValue="100.48033937309904"/>
    </cacheField>
    <cacheField name="R4 (Out)" numFmtId="164">
      <sharedItems containsSemiMixedTypes="0" containsString="0" containsNumber="1" minValue="0" maxValue="69.388617350400011"/>
    </cacheField>
    <cacheField name="R5 (Out)" numFmtId="164">
      <sharedItems containsSemiMixedTypes="0" containsString="0" containsNumber="1" minValue="-1.6401410123012564E-15" maxValue="270.89648076900465"/>
    </cacheField>
    <cacheField name="R6 (Out)" numFmtId="164">
      <sharedItems containsSemiMixedTypes="0" containsString="0" containsNumber="1" minValue="0" maxValue="236.12574185924154"/>
    </cacheField>
    <cacheField name="R7 (Out)" numFmtId="164">
      <sharedItems containsSemiMixedTypes="0" containsString="0" containsNumber="1" minValue="0" maxValue="820.3013844579699"/>
    </cacheField>
    <cacheField name="R8 (Out)" numFmtId="164">
      <sharedItems containsSemiMixedTypes="0" containsString="0" containsNumber="1" minValue="0" maxValue="48.614057397634554"/>
    </cacheField>
    <cacheField name="R9 (Out)" numFmtId="164">
      <sharedItems containsSemiMixedTypes="0" containsString="0" containsNumber="1" minValue="-9.9489913874410677E-18" maxValue="42.563867080213399"/>
    </cacheField>
    <cacheField name="U.S. (Out)" numFmtId="164">
      <sharedItems containsSemiMixedTypes="0" containsString="0" containsNumber="1" minValue="-2.2594582585462108E-15" maxValue="1327.323607086216"/>
    </cacheField>
    <cacheField name="R1 (ELC)" numFmtId="0">
      <sharedItems containsSemiMixedTypes="0" containsString="0" containsNumber="1" minValue="0" maxValue="4.2605585809313204"/>
    </cacheField>
    <cacheField name="R2 (ELC)" numFmtId="0">
      <sharedItems containsSemiMixedTypes="0" containsString="0" containsNumber="1" minValue="0" maxValue="12.752849596728568"/>
    </cacheField>
    <cacheField name="R3 (ELC)" numFmtId="0">
      <sharedItems containsSemiMixedTypes="0" containsString="0" containsNumber="1" minValue="-1.5548516232804622E-16" maxValue="36.879284657950734"/>
    </cacheField>
    <cacheField name="R4 (ELC)" numFmtId="0">
      <sharedItems containsSemiMixedTypes="0" containsString="0" containsNumber="1" minValue="0" maxValue="1.9291888026940984"/>
    </cacheField>
    <cacheField name="R5 (ELC)" numFmtId="0">
      <sharedItems containsSemiMixedTypes="0" containsString="0" containsNumber="1" minValue="-2.1663670857208214E-16" maxValue="13.576957459432043"/>
    </cacheField>
    <cacheField name="R6 (ELC)" numFmtId="0">
      <sharedItems containsSemiMixedTypes="0" containsString="0" containsNumber="1" minValue="0" maxValue="8.8508323000739715"/>
    </cacheField>
    <cacheField name="R7 (ELC)" numFmtId="0">
      <sharedItems containsSemiMixedTypes="0" containsString="0" containsNumber="1" minValue="0" maxValue="47.190513545774657"/>
    </cacheField>
    <cacheField name="R8 (ELC)" numFmtId="0">
      <sharedItems containsSemiMixedTypes="0" containsString="0" containsNumber="1" minValue="0" maxValue="1.3362624690427729"/>
    </cacheField>
    <cacheField name="R9 (ELC)" numFmtId="0">
      <sharedItems containsSemiMixedTypes="0" containsString="0" containsNumber="1" minValue="0" maxValue="43.543666535515612"/>
    </cacheField>
    <cacheField name="U.S. (ELC)" numFmtId="0">
      <sharedItems containsSemiMixedTypes="0" containsString="0" containsNumber="1" minValue="-2.9843872972890036E-16" maxValue="85.640350838245553"/>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onathan Witt" refreshedDate="41884.688683680557" createdVersion="3" refreshedVersion="5" minRefreshableVersion="3" recordCount="152" xr:uid="{00000000-000A-0000-FFFF-FFFF3E000000}">
  <cacheSource type="worksheet">
    <worksheetSource ref="BJ7:CF159" sheet="Fractions10" r:id="rId2"/>
  </cacheSource>
  <cacheFields count="23">
    <cacheField name="Sub-Sector" numFmtId="0">
      <sharedItems/>
    </cacheField>
    <cacheField name="MARKAL Sub-Sector Identifier" numFmtId="0">
      <sharedItems/>
    </cacheField>
    <cacheField name="End-Use" numFmtId="0">
      <sharedItems/>
    </cacheField>
    <cacheField name="MARKAL End-Use Identifier" numFmtId="0">
      <sharedItems containsBlank="1"/>
    </cacheField>
    <cacheField name="End-Use Commodity" numFmtId="0">
      <sharedItems containsBlank="1" count="134">
        <s v="ICAETC"/>
        <s v="ICAFAC"/>
        <s v="ICAFEED"/>
        <s v="ICAMDR"/>
        <s v="ICAOHT"/>
        <s v="ICAPRH"/>
        <s v="ICASTM"/>
        <m/>
        <s v="INCETC"/>
        <s v="INCFAC"/>
        <s v="INCFEED"/>
        <s v="INCMDR"/>
        <s v="INCOHT"/>
        <s v="INCPRH"/>
        <s v="INCSTM"/>
        <s v="IFDETC"/>
        <s v="IFDFAC"/>
        <s v="IFDFEED"/>
        <s v="IFDMDR"/>
        <s v="IFDOHT"/>
        <s v="IFDPRH"/>
        <s v="IFDSTM"/>
        <s v="INGETC"/>
        <s v="INGFAC"/>
        <s v="INGFEED"/>
        <s v="INGMDR"/>
        <s v="INGOHT"/>
        <s v="INGPRH"/>
        <s v="INGSTM"/>
        <s v="ICIETC"/>
        <s v="ICIFAC"/>
        <s v="ICIFEED"/>
        <s v="ICIMDR"/>
        <s v="ICIOHT"/>
        <s v="ICIPRH"/>
        <s v="ICISTM"/>
        <s v="ICOETC"/>
        <s v="ICOFAC"/>
        <s v="ICOFEED"/>
        <s v="ICOMDR"/>
        <s v="ICOOHT"/>
        <s v="ICOPRH"/>
        <s v="ICOSTM"/>
        <s v="IOTETC"/>
        <s v="IOTFAC"/>
        <s v="IOTFEED"/>
        <s v="IOTMDR"/>
        <s v="IOTOHT"/>
        <s v="IOTPRH"/>
        <s v="IOTSTM"/>
        <s v="ICTETC"/>
        <s v="ICTFAC"/>
        <s v="ICTFEED"/>
        <s v="ICTMDR"/>
        <s v="ICTOHT"/>
        <s v="ICTPRH"/>
        <s v="ICTSTM"/>
        <s v="IMOETC"/>
        <s v="IMOFAC"/>
        <s v="IMOFEED"/>
        <s v="IMOMDR"/>
        <s v="IMOOHT"/>
        <s v="IMOPRH"/>
        <s v="IMOSTM"/>
        <s v="INOETC"/>
        <s v="INOFAC"/>
        <s v="INOFEED"/>
        <s v="INOMDR"/>
        <s v="INOOHT"/>
        <s v="INOPRH"/>
        <s v="INOSTM"/>
        <s v="IPOETC"/>
        <s v="IPOFAC"/>
        <s v="IPOFEED"/>
        <s v="IPOMDR"/>
        <s v="IPOOHT"/>
        <s v="IPOPRH"/>
        <s v="IPOSTM"/>
        <s v="IPAETC"/>
        <s v="IPAFAC"/>
        <s v="IPAFEED"/>
        <s v="IPAMDR"/>
        <s v="IPAOHT"/>
        <s v="IPAPRH"/>
        <s v="IPASTM"/>
        <s v="IPBETC"/>
        <s v="IPBFAC"/>
        <s v="IPBFEED"/>
        <s v="IPBMDR"/>
        <s v="IPBOHT"/>
        <s v="IPBPRH"/>
        <s v="IPBSTM"/>
        <s v="ICPETC"/>
        <s v="ICPFAC"/>
        <s v="ICPFEED"/>
        <s v="ICPMDR"/>
        <s v="ICPOHT"/>
        <s v="ICPPRH"/>
        <s v="ICPSTM"/>
        <s v="IMAETC"/>
        <s v="IMAFAC"/>
        <s v="IMAFEED"/>
        <s v="IMAMDR"/>
        <s v="IMAOHT"/>
        <s v="IMAPRH"/>
        <s v="IMASTM"/>
        <s v="IMSETC"/>
        <s v="IMSFAC"/>
        <s v="IMSFEED"/>
        <s v="IMSMDR"/>
        <s v="IMSOHT"/>
        <s v="IMSPRH"/>
        <s v="IMSSTM"/>
        <s v="IPLETC"/>
        <s v="IPLFAC"/>
        <s v="IPLFEED"/>
        <s v="IPLMDR"/>
        <s v="IPLOHT"/>
        <s v="IPLPRH"/>
        <s v="IPLSTM"/>
        <s v="IMLETC"/>
        <s v="IMLFAC"/>
        <s v="IMLFEED"/>
        <s v="IMLMDR"/>
        <s v="IMLOHT"/>
        <s v="IMLPRH"/>
        <s v="IMLSTM"/>
        <s v="IMTETC"/>
        <s v="IMTFAC"/>
        <s v="IMTFEED"/>
        <s v="IMTMDR"/>
        <s v="IMTOHT"/>
        <s v="IMTPRH"/>
        <s v="IMTSTM"/>
      </sharedItems>
    </cacheField>
    <cacheField name="R1 (Out)" numFmtId="164">
      <sharedItems containsSemiMixedTypes="0" containsString="0" containsNumber="1" minValue="0" maxValue="76.931488421479614"/>
    </cacheField>
    <cacheField name="R2 (Out)" numFmtId="164">
      <sharedItems containsSemiMixedTypes="0" containsString="0" containsNumber="1" minValue="0" maxValue="215.33157369883469"/>
    </cacheField>
    <cacheField name="R3 (Out)" numFmtId="164">
      <sharedItems containsSemiMixedTypes="0" containsString="0" containsNumber="1" minValue="0" maxValue="463.98795361137593"/>
    </cacheField>
    <cacheField name="R4 (Out)" numFmtId="164">
      <sharedItems containsSemiMixedTypes="0" containsString="0" containsNumber="1" minValue="0" maxValue="299.56349041084445"/>
    </cacheField>
    <cacheField name="R5 (Out)" numFmtId="164">
      <sharedItems containsSemiMixedTypes="0" containsString="0" containsNumber="1" minValue="0" maxValue="526.64109896173318"/>
    </cacheField>
    <cacheField name="R6 (Out)" numFmtId="164">
      <sharedItems containsSemiMixedTypes="0" containsString="0" containsNumber="1" minValue="0" maxValue="451.64789720574146"/>
    </cacheField>
    <cacheField name="R7 (Out)" numFmtId="164">
      <sharedItems containsSemiMixedTypes="0" containsString="0" containsNumber="1" minValue="0" maxValue="1692.4694615261481"/>
    </cacheField>
    <cacheField name="R8 (Out)" numFmtId="164">
      <sharedItems containsSemiMixedTypes="0" containsString="0" containsNumber="1" minValue="0" maxValue="176.90818507978867"/>
    </cacheField>
    <cacheField name="R9 (Out)" numFmtId="164">
      <sharedItems containsSemiMixedTypes="0" containsString="0" containsNumber="1" minValue="0" maxValue="125.43957647223664"/>
    </cacheField>
    <cacheField name="R1 (%)" numFmtId="164">
      <sharedItems containsString="0" containsBlank="1" containsNumber="1" minValue="0" maxValue="0.80292904679953936"/>
    </cacheField>
    <cacheField name="R2 (%)" numFmtId="0">
      <sharedItems containsString="0" containsBlank="1" containsNumber="1" minValue="0" maxValue="0.76149054753535028"/>
    </cacheField>
    <cacheField name="R3 (%)" numFmtId="0">
      <sharedItems containsString="0" containsBlank="1" containsNumber="1" minValue="0" maxValue="0.76880329507625866"/>
    </cacheField>
    <cacheField name="R4 (%)" numFmtId="0">
      <sharedItems containsString="0" containsBlank="1" containsNumber="1" minValue="0" maxValue="0.87107025722798148"/>
    </cacheField>
    <cacheField name="R5 (%)" numFmtId="0">
      <sharedItems containsString="0" containsBlank="1" containsNumber="1" minValue="0" maxValue="0.89167300699096219"/>
    </cacheField>
    <cacheField name="R6 (%)" numFmtId="0">
      <sharedItems containsString="0" containsBlank="1" containsNumber="1" minValue="0" maxValue="0.90617556932614396"/>
    </cacheField>
    <cacheField name="R7 (%)" numFmtId="0">
      <sharedItems containsString="0" containsBlank="1" containsNumber="1" minValue="0" maxValue="0.89774263640809471"/>
    </cacheField>
    <cacheField name="R8 (%)" numFmtId="0">
      <sharedItems containsString="0" containsBlank="1" containsNumber="1" minValue="0" maxValue="0.83022890159364438"/>
    </cacheField>
    <cacheField name="R9 (%)" numFmtId="0">
      <sharedItems containsString="0" containsBlank="1" containsNumber="1" minValue="0" maxValue="0.75239330040565988"/>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onathan Witt" refreshedDate="41884.689251967589" createdVersion="5" refreshedVersion="5" minRefreshableVersion="3" recordCount="169" xr:uid="{00000000-000A-0000-FFFF-FFFF3F000000}">
  <cacheSource type="worksheet">
    <worksheetSource ref="EX7:FG176" sheet="Fractions10" r:id="rId2"/>
  </cacheSource>
  <cacheFields count="10">
    <cacheField name="MARKAL Sub-Sector Identifier" numFmtId="0">
      <sharedItems count="19">
        <s v="ICA"/>
        <s v="INC"/>
        <s v="IFD"/>
        <s v="ING"/>
        <s v="ICI"/>
        <s v="ICO"/>
        <s v="IOT"/>
        <s v="ICT"/>
        <s v="IMO"/>
        <s v="INO"/>
        <s v="IPO"/>
        <s v="IPA"/>
        <s v="IPB"/>
        <s v="ICP"/>
        <s v="IMA"/>
        <s v="IMS"/>
        <s v="IPL"/>
        <s v="IML"/>
        <s v="IMT"/>
      </sharedItems>
    </cacheField>
    <cacheField name="Minimum End Use" numFmtId="0">
      <sharedItems/>
    </cacheField>
    <cacheField name="MARKAL End Use Identifier" numFmtId="0">
      <sharedItems/>
    </cacheField>
    <cacheField name="End Use" numFmtId="0">
      <sharedItems/>
    </cacheField>
    <cacheField name="Region" numFmtId="0">
      <sharedItems count="9">
        <s v="R3"/>
        <s v="R4"/>
        <s v="R5"/>
        <s v="R6"/>
        <s v="R7"/>
        <s v="R8"/>
        <s v="R9"/>
        <s v="R1"/>
        <s v="R2"/>
      </sharedItems>
    </cacheField>
    <cacheField name="Original Demand" numFmtId="164">
      <sharedItems containsSemiMixedTypes="0" containsString="0" containsNumber="1" minValue="0.23632363503940876" maxValue="1692.4694615261481"/>
    </cacheField>
    <cacheField name="End Use Demand" numFmtId="164">
      <sharedItems containsSemiMixedTypes="0" containsString="0" containsNumber="1" minValue="1.5468746399930667E-2" maxValue="584.45196341800511"/>
    </cacheField>
    <cacheField name="End Use Fraction" numFmtId="164">
      <sharedItems containsSemiMixedTypes="0" containsString="0" containsNumber="1" minValue="6.6238412970125388E-4" maxValue="0.77563968837871733"/>
    </cacheField>
    <cacheField name="End Use Adjustment" numFmtId="0">
      <sharedItems containsSemiMixedTypes="0" containsString="0" containsNumber="1" minValue="0" maxValue="0.02"/>
    </cacheField>
    <cacheField name="Demand Adjustment" numFmtId="0">
      <sharedItems containsSemiMixedTypes="0" containsString="0" containsNumber="1" minValue="0" maxValue="4.8401814194860435"/>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onathan Witt" refreshedDate="41884.689013888892" createdVersion="3" refreshedVersion="5" minRefreshableVersion="3" recordCount="373" xr:uid="{00000000-000A-0000-FFFF-FFFF40000000}">
  <cacheSource type="worksheet">
    <worksheetSource ref="DE7:DX380" sheet="Fractions10" r:id="rId2"/>
  </cacheSource>
  <cacheFields count="20">
    <cacheField name="Constraint identifier" numFmtId="0">
      <sharedItems count="373">
        <s v="ICAOH_OTP"/>
        <s v="INCOH_OTP"/>
        <s v="INCOH_PTC"/>
        <s v="IFDOH_DST"/>
        <s v="IFDOH_ELC"/>
        <s v="IFDOH_NGA"/>
        <s v="IFDOH_CHP"/>
        <s v="IFDOH_BIO"/>
        <s v="IFDOH_RFL"/>
        <s v="IFDOH_COA"/>
        <s v="INGOH_DST"/>
        <s v="INGOH_LPG"/>
        <s v="INGOH_NGA"/>
        <s v="INGOH_RFL"/>
        <s v="INGOH_COA"/>
        <s v="ICIOH_ELC"/>
        <s v="ICIOH_OTP"/>
        <s v="ICOOH_DST"/>
        <s v="ICOOH_LPG"/>
        <s v="ICOOH_NGA"/>
        <s v="ICOOH_OTP"/>
        <s v="IOTOH_DST"/>
        <s v="IOTOH_ELC"/>
        <s v="IOTOH_LPG"/>
        <s v="IOTOH_NGA"/>
        <s v="IOTOH_OTP"/>
        <s v="IOTOH_CHP"/>
        <s v="IOTOH_PTC"/>
        <s v="IOTOH_BIO"/>
        <s v="IOTOH_RFL"/>
        <s v="ICTOH_ELC"/>
        <s v="ICTOH_OTP"/>
        <s v="ICTOH_CHP"/>
        <s v="ICTOH_PTC"/>
        <s v="ICTOH_BIO"/>
        <s v="IMOOH_NGA"/>
        <s v="IMOOH_OTP"/>
        <s v="IMOOH_PTC"/>
        <s v="IMOOH_BIO"/>
        <s v="IMOOH_RFL"/>
        <s v="IMOOH_COA"/>
        <s v="INOOH_ELC"/>
        <s v="INOOH_NGA"/>
        <s v="INOOH_OTP"/>
        <s v="INOOH_PTC"/>
        <s v="INOOH_BIO"/>
        <s v="INOOH_RFL"/>
        <s v="IPOOH_ELC"/>
        <s v="IPOOH_NGA"/>
        <s v="IPOOH_OTP"/>
        <s v="IPOOH_PTC"/>
        <s v="IPOOH_BIO"/>
        <s v="IPOOH_CHP"/>
        <s v="IPAOH_ELC"/>
        <s v="IPAOH_NGA"/>
        <s v="IPAOH_OTP"/>
        <s v="IPAOH_PTC"/>
        <s v="IPAOH_BIO"/>
        <s v="IPAOH_CHP"/>
        <s v="IPBOH_ELC"/>
        <s v="IPBOH_NGA"/>
        <s v="IPBOH_OTP"/>
        <s v="IPBOH_PTC"/>
        <s v="IPBOH_BIO"/>
        <s v="IPBOH_CHP"/>
        <s v="ICPOH_DST"/>
        <s v="ICPOH_ELC"/>
        <s v="ICPOH_OTP"/>
        <s v="ICPOH_RFL"/>
        <s v="IMAOH_PTC"/>
        <s v="IMSOH_ELC"/>
        <s v="IMSOH_PTC"/>
        <s v="IMSOH_BIO"/>
        <s v="IMSOH_RFL"/>
        <s v="IPLOH_OTP"/>
        <s v="IPLOH_PTC"/>
        <s v="IPLOH_BIO"/>
        <s v="IPLOH_CHP"/>
        <s v="IMLOH_LPG"/>
        <s v="IMLOH_COA"/>
        <s v="IMTOH_ELC"/>
        <s v="IMTOH_PTC"/>
        <s v="IMTOH_BIO"/>
        <s v="IMTOH_RFL"/>
        <s v="ICAST_NGA"/>
        <s v="ICAST_CHP"/>
        <s v="INCST_DST"/>
        <s v="INCST_CHP"/>
        <s v="IFDST_DST"/>
        <s v="IFDST_CHP"/>
        <s v="IFDST_ELC"/>
        <s v="IFDST_NGA"/>
        <s v="IFDST_RFL"/>
        <s v="IFDST_COA"/>
        <s v="INGST_NGA"/>
        <s v="INGST_CHP"/>
        <s v="ICIST_DST"/>
        <s v="ICIST_NGA"/>
        <s v="ICIST_CHP"/>
        <s v="ICIST_COA"/>
        <s v="ICOST_DST"/>
        <s v="ICOST_ELC"/>
        <s v="ICOST_NGA"/>
        <s v="ICOST_CHP"/>
        <s v="ICOST_RFL"/>
        <s v="ICOST_COA"/>
        <s v="IOTST_DST"/>
        <s v="IOTST_CHP"/>
        <s v="IOTST_ELC"/>
        <s v="IOTST_NGA"/>
        <s v="IOTST_RFL"/>
        <s v="IOTST_COA"/>
        <s v="ICTST_DST"/>
        <s v="ICTST_CHP"/>
        <s v="ICTST_ELC"/>
        <s v="ICTST_NGA"/>
        <s v="ICTST_RFL"/>
        <s v="ICTST_COA"/>
        <s v="IMOST_DST"/>
        <s v="IMOST_ELC"/>
        <s v="IMOST_NGA"/>
        <s v="IMOST_CHP"/>
        <s v="IMOST_RFL"/>
        <s v="INOST_NGA"/>
        <s v="INOST_CHP"/>
        <s v="IPOST_DST"/>
        <s v="IPOST_ELC"/>
        <s v="IPOST_NGA"/>
        <s v="IPOST_CHP"/>
        <s v="IPOST_RFL"/>
        <s v="IPOST_COA"/>
        <s v="IPAST_DST"/>
        <s v="IPAST_CHP"/>
        <s v="IPAST_ELC"/>
        <s v="IPAST_NGA"/>
        <s v="IPAST_RFL"/>
        <s v="IPAST_COA"/>
        <s v="IPBST_DST"/>
        <s v="IPBST_CHP"/>
        <s v="IPBST_ELC"/>
        <s v="IPBST_NGA"/>
        <s v="IPBST_RFL"/>
        <s v="IPBST_COA"/>
        <s v="ICPST_DST"/>
        <s v="ICPST_ELC"/>
        <s v="ICPST_LPG"/>
        <s v="ICPST_NGA"/>
        <s v="ICPST_CHP"/>
        <s v="ICPST_RFL"/>
        <s v="ICPST_COA"/>
        <s v="IMAST_NGA"/>
        <s v="IMAST_CHP"/>
        <s v="IMSST_DST"/>
        <s v="IMSST_NGA"/>
        <s v="IMSST_CHP"/>
        <s v="IMSST_RFL"/>
        <s v="IMSST_COA"/>
        <s v="IPLST_DST"/>
        <s v="IPLST_CHP"/>
        <s v="IPLST_NGA"/>
        <s v="IMLST_CHP"/>
        <s v="IMTST_DST"/>
        <s v="IMTST_NGA"/>
        <s v="IMTST_CHP"/>
        <s v="IMTST_RFL"/>
        <s v="IMTST_COA"/>
        <s v="ICAFA_DST"/>
        <s v="ICAFA_ELC"/>
        <s v="ICAFA_NGA"/>
        <s v="INCFA_DST"/>
        <s v="INCFA_ELC"/>
        <s v="IFDFA_DST"/>
        <s v="IFDFA_ELC"/>
        <s v="IFDFA_LPG"/>
        <s v="IFDFA_NGA"/>
        <s v="IFDFA_COA"/>
        <s v="INGFA_ELC"/>
        <s v="INGFA_NGA"/>
        <s v="ICIFA_ELC"/>
        <s v="ICIFA_NGA"/>
        <s v="ICOFA_ELC"/>
        <s v="ICOFA_NGA"/>
        <s v="IOTFA_DST"/>
        <s v="IOTFA_ELC"/>
        <s v="IOTFA_LPG"/>
        <s v="IOTFA_NGA"/>
        <s v="IOTFA_RFL"/>
        <s v="IOTFA_COA"/>
        <s v="ICTFA_DST"/>
        <s v="ICTFA_ELC"/>
        <s v="ICTFA_NGA"/>
        <s v="ICTFA_COA"/>
        <s v="IMOFA_DST"/>
        <s v="IMOFA_ELC"/>
        <s v="IMOFA_LPG"/>
        <s v="IMOFA_NGA"/>
        <s v="INOFA_DST"/>
        <s v="INOFA_ELC"/>
        <s v="INOFA_LPG"/>
        <s v="INOFA_NGA"/>
        <s v="IPOFA_ELC"/>
        <s v="IPOFA_LPG"/>
        <s v="IPOFA_NGA"/>
        <s v="IPAFA_DST"/>
        <s v="IPAFA_ELC"/>
        <s v="IPAFA_NGA"/>
        <s v="IPAFA_RFL"/>
        <s v="IPBFA_DST"/>
        <s v="IPBFA_ELC"/>
        <s v="IPBFA_NGA"/>
        <s v="ICPFA_ELC"/>
        <s v="ICPFA_NGA"/>
        <s v="IMAFA_DST"/>
        <s v="IMAFA_ELC"/>
        <s v="IMAFA_NGA"/>
        <s v="IMSFA_DST"/>
        <s v="IMSFA_ELC"/>
        <s v="IMSFA_NGA"/>
        <s v="IMSFA_COA"/>
        <s v="IMTFA_DST"/>
        <s v="IMTFA_ELC"/>
        <s v="IMTFA_NGA"/>
        <s v="IMTFA_COA"/>
        <s v="ICAFS_NGA"/>
        <s v="ICAFS_PFS"/>
        <s v="INCFS_OTP"/>
        <s v="INCFS_PTC"/>
        <s v="IFDFS_LPG"/>
        <s v="IFDFS_NGA"/>
        <s v="IFDFS_BIO"/>
        <s v="ICIFS_NGA"/>
        <s v="ICIFS_PFS"/>
        <s v="ICOFS_LPG"/>
        <s v="ICOFS_NGA"/>
        <s v="ICOFS_PFS"/>
        <s v="IOTFS_COK"/>
        <s v="IOTFS_DST"/>
        <s v="IOTFS_LPG"/>
        <s v="IOTFS_NGA"/>
        <s v="IOTFS_OTP"/>
        <s v="IOTFS_PTC"/>
        <s v="IOTFS_BIO"/>
        <s v="IOTFS_RFL"/>
        <s v="ICTFS_NGA"/>
        <s v="ICTFS_OTP"/>
        <s v="ICTFS_PTC"/>
        <s v="ICTFS_BIO"/>
        <s v="ICTFS_RFL"/>
        <s v="IMOFS_NGA"/>
        <s v="IMOFS_OTP"/>
        <s v="IMOFS_PTC"/>
        <s v="IMOFS_BIO"/>
        <s v="IPBFS_NGA"/>
        <s v="ICPFS_LPG"/>
        <s v="ICPFS_NGA"/>
        <s v="ICPFS_PFS"/>
        <s v="IMAFS_NGA"/>
        <s v="IMAFS_PTC"/>
        <s v="IMSFS_COK"/>
        <s v="IMSFS_NGA"/>
        <s v="IMSFS_PTC"/>
        <s v="IMSFS_BIO"/>
        <s v="IMTFS_COK"/>
        <s v="IMTFS_NGA"/>
        <s v="IMTFS_PTC"/>
        <s v="IMTFS_BIO"/>
        <s v="ICAMD_ELC"/>
        <s v="ICAMD_NGA"/>
        <s v="INCMD_ELC"/>
        <s v="IFDMD_DST"/>
        <s v="IFDMD_ELC"/>
        <s v="IFDMD_NGA"/>
        <s v="INGMD_ELC"/>
        <s v="ICIMD_ELC"/>
        <s v="ICIMD_NGA"/>
        <s v="ICOMD_ELC"/>
        <s v="ICOMD_NGA"/>
        <s v="IOTMD_DST"/>
        <s v="IOTMD_ELC"/>
        <s v="IOTMD_LPG"/>
        <s v="IOTMD_NGA"/>
        <s v="IOTMD_COA"/>
        <s v="ICTMD_DST"/>
        <s v="ICTMD_ELC"/>
        <s v="ICTMD_NGA"/>
        <s v="IMOMD_DST"/>
        <s v="IMOMD_ELC"/>
        <s v="IMOMD_NGA"/>
        <s v="INOMD_DST"/>
        <s v="INOMD_ELC"/>
        <s v="INOMD_NGA"/>
        <s v="IPOMD_ELC"/>
        <s v="IPOMD_NGA"/>
        <s v="IPAMD_ELC"/>
        <s v="IPAMD_NGA"/>
        <s v="IPBMD_ELC"/>
        <s v="IPBMD_NGA"/>
        <s v="ICPMD_ELC"/>
        <s v="ICPMD_NGA"/>
        <s v="IMAMD_ELC"/>
        <s v="IMAMD_NGA"/>
        <s v="IMSMD_ELC"/>
        <s v="IMSMD_NGA"/>
        <s v="IPLMD_ELC"/>
        <s v="IMLMD_ELC"/>
        <s v="IMTMD_ELC"/>
        <s v="IMTMD_NGA"/>
        <s v="ICAPH_ELC"/>
        <s v="ICAPH_NGA"/>
        <s v="ICAPH_COA"/>
        <s v="INCPH_ELC"/>
        <s v="INCPH_NGA"/>
        <s v="INCPH_COA"/>
        <s v="IFDPH_DST"/>
        <s v="IFDPH_ELC"/>
        <s v="IFDPH_LPG"/>
        <s v="IFDPH_NGA"/>
        <s v="IFDPH_RFL"/>
        <s v="IFDPH_COA"/>
        <s v="INGPH_ELC"/>
        <s v="INGPH_NGA"/>
        <s v="ICIPH_ELC"/>
        <s v="ICIPH_NGA"/>
        <s v="ICIPH_RFL"/>
        <s v="ICIPH_COA"/>
        <s v="ICOPH_ELC"/>
        <s v="ICOPH_NGA"/>
        <s v="ICOPH_COA"/>
        <s v="IOTPH_DST"/>
        <s v="IOTPH_ELC"/>
        <s v="IOTPH_LPG"/>
        <s v="IOTPH_NGA"/>
        <s v="IOTPH_RFL"/>
        <s v="IOTPH_COA"/>
        <s v="ICTPH_DST"/>
        <s v="ICTPH_ELC"/>
        <s v="ICTPH_NGA"/>
        <s v="ICTPH_RFL"/>
        <s v="IMOPH_ELC"/>
        <s v="IMOPH_LPG"/>
        <s v="IMOPH_NGA"/>
        <s v="INOPH_DST"/>
        <s v="INOPH_ELC"/>
        <s v="INOPH_LPG"/>
        <s v="INOPH_NGA"/>
        <s v="INOPH_COA"/>
        <s v="IPOPH_DST"/>
        <s v="IPOPH_ELC"/>
        <s v="IPOPH_NGA"/>
        <s v="IPAPH_ELC"/>
        <s v="IPAPH_NGA"/>
        <s v="IPAPH_RFL"/>
        <s v="IPAPH_COA"/>
        <s v="IPBPH_ELC"/>
        <s v="IPBPH_NGA"/>
        <s v="IPBPH_RFL"/>
        <s v="ICPPH_ELC"/>
        <s v="ICPPH_NGA"/>
        <s v="IMAPH_ELC"/>
        <s v="IMAPH_NGA"/>
        <s v="IMSPH_DST"/>
        <s v="IMSPH_ELC"/>
        <s v="IMSPH_NGA"/>
        <s v="IMSPH_COA"/>
        <s v="IPLPH_ELC"/>
        <s v="IPLPH_NGA"/>
        <s v="IPLPH_RFL"/>
        <s v="IMLPH_ELC"/>
        <s v="IMLPH_NGA"/>
        <s v="IMTPH_DST"/>
        <s v="IMTPH_ELC"/>
        <s v="IMTPH_NGA"/>
        <s v="IMTPH_COA"/>
      </sharedItems>
    </cacheField>
    <cacheField name="Sub-sector and End Use Identifier" numFmtId="0">
      <sharedItems/>
    </cacheField>
    <cacheField name="R1 (Fuel)" numFmtId="164">
      <sharedItems containsSemiMixedTypes="0" containsString="0" containsNumber="1" minValue="-6.6040718692496739E-17" maxValue="32.494369388274151"/>
    </cacheField>
    <cacheField name="R2 (Fuel)" numFmtId="164">
      <sharedItems containsSemiMixedTypes="0" containsString="0" containsNumber="1" minValue="0" maxValue="89.44606648439526"/>
    </cacheField>
    <cacheField name="R3 (Fuel)" numFmtId="164">
      <sharedItems containsSemiMixedTypes="0" containsString="0" containsNumber="1" minValue="-7.111500999108398E-16" maxValue="100.48033937309904"/>
    </cacheField>
    <cacheField name="R4 (Fuel)" numFmtId="164">
      <sharedItems containsSemiMixedTypes="0" containsString="0" containsNumber="1" minValue="0" maxValue="92.533589319106028"/>
    </cacheField>
    <cacheField name="R5 (Fuel)" numFmtId="164">
      <sharedItems containsSemiMixedTypes="0" containsString="0" containsNumber="1" minValue="-4.4113348367226244E-16" maxValue="270.89648076900465"/>
    </cacheField>
    <cacheField name="R6 (Fuel)" numFmtId="164">
      <sharedItems containsSemiMixedTypes="0" containsString="0" containsNumber="1" minValue="0" maxValue="236.12574185924154"/>
    </cacheField>
    <cacheField name="R7 (Fuel)" numFmtId="164">
      <sharedItems containsSemiMixedTypes="0" containsString="0" containsNumber="1" minValue="0" maxValue="820.3013844579699"/>
    </cacheField>
    <cacheField name="R8 (Fuel)" numFmtId="164">
      <sharedItems containsSemiMixedTypes="0" containsString="0" containsNumber="1" minValue="0" maxValue="48.614057397634554"/>
    </cacheField>
    <cacheField name="R9 (Fuel)" numFmtId="164">
      <sharedItems containsSemiMixedTypes="0" containsString="0" containsNumber="1" minValue="-9.9489913874410677E-18" maxValue="50.265611735770278"/>
    </cacheField>
    <cacheField name="R1 (Frac)" numFmtId="164">
      <sharedItems containsSemiMixedTypes="0" containsString="0" containsNumber="1" minValue="-2.7811445570540912E-16" maxValue="1"/>
    </cacheField>
    <cacheField name="R2 (Frac)" numFmtId="164">
      <sharedItems containsSemiMixedTypes="0" containsString="0" containsNumber="1" minValue="0" maxValue="1"/>
    </cacheField>
    <cacheField name="R3 (Frac)" numFmtId="164">
      <sharedItems containsSemiMixedTypes="0" containsString="0" containsNumber="1" minValue="-6.6148257127128562E-16" maxValue="1.0000000000000007"/>
    </cacheField>
    <cacheField name="R4 (Frac)" numFmtId="164">
      <sharedItems containsSemiMixedTypes="0" containsString="0" containsNumber="1" minValue="0" maxValue="1"/>
    </cacheField>
    <cacheField name="R5 (Frac)" numFmtId="164">
      <sharedItems containsSemiMixedTypes="0" containsString="0" containsNumber="1" minValue="-8.1519827992101612E-16" maxValue="1"/>
    </cacheField>
    <cacheField name="R6 (Frac)" numFmtId="164">
      <sharedItems containsSemiMixedTypes="0" containsString="0" containsNumber="1" minValue="0" maxValue="1"/>
    </cacheField>
    <cacheField name="R7 (Frac)" numFmtId="164">
      <sharedItems containsSemiMixedTypes="0" containsString="0" containsNumber="1" minValue="0" maxValue="1"/>
    </cacheField>
    <cacheField name="R8 (Frac)" numFmtId="164">
      <sharedItems containsSemiMixedTypes="0" containsString="0" containsNumber="1" minValue="0" maxValue="1"/>
    </cacheField>
    <cacheField name="R9 (Frac)" numFmtId="164">
      <sharedItems containsSemiMixedTypes="0" containsString="0" containsNumber="1" minValue="-2.4110606286013729E-17" maxValue="1"/>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onathan Witt" refreshedDate="41884.689144328702" createdVersion="3" refreshedVersion="5" minRefreshableVersion="3" recordCount="171" xr:uid="{00000000-000A-0000-FFFF-FFFF41000000}">
  <cacheSource type="worksheet">
    <worksheetSource ref="EO7:ER178" sheet="Fractions10" r:id="rId2"/>
  </cacheSource>
  <cacheFields count="4">
    <cacheField name="Sub-sector" numFmtId="0">
      <sharedItems count="19">
        <s v="Agricultural Chemicals"/>
        <s v="Cement"/>
        <s v="Food"/>
        <s v="Glass"/>
        <s v="Inorganic Chemicals"/>
        <s v="Organic Chemicals"/>
        <s v="Other"/>
        <s v="Other Chemicals"/>
        <s v="Other Metals"/>
        <s v="Other Non-Metals"/>
        <s v="Other Pulp and Paper"/>
        <s v="Paper"/>
        <s v="Paperboard"/>
        <s v="Plastics, Fibers, and Resins"/>
        <s v="Primary Aluminum"/>
        <s v="Primary Steel"/>
        <s v="Pulp"/>
        <s v="Secondary Aluminum"/>
        <s v="Secondary Steel"/>
      </sharedItems>
    </cacheField>
    <cacheField name="Region" numFmtId="0">
      <sharedItems count="9">
        <s v="R1"/>
        <s v="R2"/>
        <s v="R3"/>
        <s v="R4"/>
        <s v="R5"/>
        <s v="R6"/>
        <s v="R7"/>
        <s v="R8"/>
        <s v="R9"/>
      </sharedItems>
    </cacheField>
    <cacheField name="Output (PJ/a)" numFmtId="0">
      <sharedItems containsSemiMixedTypes="0" containsString="0" containsNumber="1" minValue="0" maxValue="1692.4694615261481"/>
    </cacheField>
    <cacheField name="Output (%)" numFmtId="10">
      <sharedItems containsSemiMixedTypes="0" containsString="0" containsNumber="1" minValue="0" maxValue="0.58053089665091706"/>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590">
  <r>
    <x v="0"/>
    <x v="0"/>
    <s v="Distillate Oil"/>
    <s v="Distillate Oil"/>
    <s v="ICAEFACDST"/>
    <x v="0"/>
    <s v="TechData_OTR"/>
    <n v="1"/>
    <n v="0"/>
    <n v="0"/>
    <n v="0"/>
    <n v="0"/>
    <n v="0"/>
    <n v="2.696709218706173"/>
    <n v="2.3505748876399122"/>
    <n v="8.1659027068407344"/>
    <n v="0"/>
    <n v="0"/>
    <n v="1"/>
    <n v="1"/>
    <n v="1"/>
    <n v="1"/>
    <n v="1"/>
    <n v="1"/>
    <n v="1"/>
    <n v="1"/>
    <n v="1"/>
    <n v="0"/>
    <n v="0"/>
    <n v="0"/>
    <n v="0"/>
    <n v="2.696709218706173"/>
    <n v="2.3505748876399122"/>
    <n v="8.1659027068407344"/>
    <n v="0"/>
    <n v="0"/>
    <n v="13.21318681318682"/>
    <n v="0"/>
    <n v="0"/>
    <n v="0"/>
    <n v="0"/>
    <n v="0"/>
    <n v="0"/>
    <n v="0"/>
    <n v="0"/>
    <n v="0"/>
    <n v="0"/>
  </r>
  <r>
    <x v="0"/>
    <x v="0"/>
    <s v="Electricity"/>
    <s v="Electricity"/>
    <s v="ICAEFACELC"/>
    <x v="1"/>
    <s v="TechData_OTR"/>
    <n v="1"/>
    <n v="0"/>
    <n v="0"/>
    <n v="0"/>
    <n v="0.19048719943173875"/>
    <n v="0.12902150952692693"/>
    <n v="0.16302313989192954"/>
    <n v="0.14209841241912938"/>
    <n v="0.49365022008560533"/>
    <n v="9.8186774651898234E-2"/>
    <n v="6.1567579827434611E-2"/>
    <n v="1"/>
    <n v="1"/>
    <n v="1"/>
    <n v="1"/>
    <n v="1"/>
    <n v="1"/>
    <n v="1"/>
    <n v="1"/>
    <n v="1"/>
    <n v="0"/>
    <n v="0"/>
    <n v="0.19048719943173875"/>
    <n v="0.12902150952692693"/>
    <n v="0.16302313989192954"/>
    <n v="0.14209841241912938"/>
    <n v="0.49365022008560533"/>
    <n v="9.8186774651898234E-2"/>
    <n v="6.1567579827434611E-2"/>
    <n v="1.2780348358346627"/>
    <n v="0"/>
    <n v="0"/>
    <n v="0"/>
    <n v="0"/>
    <n v="0"/>
    <n v="0"/>
    <n v="0"/>
    <n v="0"/>
    <n v="0"/>
    <n v="0"/>
  </r>
  <r>
    <x v="0"/>
    <x v="0"/>
    <s v="Natural Gas"/>
    <s v="Natural Gas"/>
    <s v="ICAEFACNGA"/>
    <x v="2"/>
    <s v="TechData_OTR"/>
    <n v="1"/>
    <n v="0"/>
    <n v="0"/>
    <n v="0"/>
    <n v="9.2681708387868489E-2"/>
    <n v="6.2775524851066827E-2"/>
    <n v="0.12691047509344414"/>
    <n v="0.11062096486480834"/>
    <n v="0.38429749299748883"/>
    <n v="1.0919510503868942E-2"/>
    <n v="6.8470304377236668E-3"/>
    <n v="1"/>
    <n v="1"/>
    <n v="1"/>
    <n v="1"/>
    <n v="1"/>
    <n v="1"/>
    <n v="1"/>
    <n v="1"/>
    <n v="1"/>
    <n v="0"/>
    <n v="0"/>
    <n v="9.2681708387868489E-2"/>
    <n v="6.2775524851066827E-2"/>
    <n v="0.12691047509344414"/>
    <n v="0.11062096486480834"/>
    <n v="0.38429749299748883"/>
    <n v="1.0919510503868942E-2"/>
    <n v="6.8470304377236668E-3"/>
    <n v="0.79505270713626919"/>
    <n v="0"/>
    <n v="0"/>
    <n v="0"/>
    <n v="0"/>
    <n v="0"/>
    <n v="0"/>
    <n v="0"/>
    <n v="0"/>
    <n v="0"/>
    <n v="0"/>
  </r>
  <r>
    <x v="0"/>
    <x v="1"/>
    <s v="Natural Gas"/>
    <s v="Natural Gas"/>
    <s v="ICAEFEDNGA"/>
    <x v="3"/>
    <s v="TechData_OTR"/>
    <n v="1"/>
    <n v="0"/>
    <n v="0"/>
    <n v="0"/>
    <n v="27.641561400806346"/>
    <n v="18.722286790148743"/>
    <n v="39.00397483585008"/>
    <n v="33.99764540104006"/>
    <n v="118.10790035509548"/>
    <n v="0"/>
    <n v="0"/>
    <n v="1"/>
    <n v="1"/>
    <n v="1"/>
    <n v="1"/>
    <n v="1"/>
    <n v="1"/>
    <n v="1"/>
    <n v="1"/>
    <n v="1"/>
    <n v="0"/>
    <n v="0"/>
    <n v="27.641561400806346"/>
    <n v="18.722286790148743"/>
    <n v="39.00397483585008"/>
    <n v="33.99764540104006"/>
    <n v="118.10790035509548"/>
    <n v="0"/>
    <n v="0"/>
    <n v="237.47336878294072"/>
    <n v="0"/>
    <n v="0"/>
    <n v="0"/>
    <n v="0"/>
    <n v="0"/>
    <n v="0"/>
    <n v="0"/>
    <n v="0"/>
    <n v="0"/>
    <n v="0"/>
  </r>
  <r>
    <x v="0"/>
    <x v="1"/>
    <s v="Petrochemical Feedstock"/>
    <s v="Petrochemical Feedstock"/>
    <s v="ICAEFEDPFS"/>
    <x v="4"/>
    <s v="TechData_OTR"/>
    <n v="1"/>
    <n v="0"/>
    <n v="0"/>
    <n v="0"/>
    <n v="1.592976897357451"/>
    <n v="1.0789611299431703"/>
    <n v="0"/>
    <n v="0"/>
    <n v="0"/>
    <n v="0"/>
    <n v="0"/>
    <n v="1"/>
    <n v="1"/>
    <n v="1"/>
    <n v="1"/>
    <n v="1"/>
    <n v="1"/>
    <n v="1"/>
    <n v="1"/>
    <n v="1"/>
    <n v="0"/>
    <n v="0"/>
    <n v="1.592976897357451"/>
    <n v="1.0789611299431703"/>
    <n v="0"/>
    <n v="0"/>
    <n v="0"/>
    <n v="0"/>
    <n v="0"/>
    <n v="2.6719380273006212"/>
    <n v="0"/>
    <n v="0"/>
    <n v="0"/>
    <n v="0"/>
    <n v="0"/>
    <n v="0"/>
    <n v="0"/>
    <n v="0"/>
    <n v="0"/>
    <n v="0"/>
  </r>
  <r>
    <x v="0"/>
    <x v="2"/>
    <s v="Electricity"/>
    <s v="Electricity"/>
    <s v="ICAEMDRELC"/>
    <x v="5"/>
    <s v="TechData_OTR"/>
    <n v="1"/>
    <n v="0"/>
    <n v="0"/>
    <n v="0"/>
    <n v="2.6668207920443425"/>
    <n v="1.806301133376977"/>
    <n v="2.2823239584870136"/>
    <n v="1.9893777738678113"/>
    <n v="6.9111030811984744"/>
    <n v="1.3746148451265752"/>
    <n v="0.86194611758408457"/>
    <n v="1"/>
    <n v="1"/>
    <n v="1"/>
    <n v="1"/>
    <n v="1"/>
    <n v="1"/>
    <n v="1"/>
    <n v="1"/>
    <n v="1"/>
    <n v="0"/>
    <n v="0"/>
    <n v="2.6668207920443425"/>
    <n v="1.806301133376977"/>
    <n v="2.2823239584870136"/>
    <n v="1.9893777738678113"/>
    <n v="6.9111030811984744"/>
    <n v="1.3746148451265752"/>
    <n v="0.86194611758408457"/>
    <n v="17.89248770168528"/>
    <n v="0"/>
    <n v="0"/>
    <n v="0"/>
    <n v="0"/>
    <n v="0"/>
    <n v="0"/>
    <n v="0"/>
    <n v="0"/>
    <n v="0"/>
    <n v="0"/>
  </r>
  <r>
    <x v="0"/>
    <x v="2"/>
    <s v="Natural Gas"/>
    <s v="Natural Gas"/>
    <s v="ICAEMDRNGA"/>
    <x v="6"/>
    <s v="TechData_OTR"/>
    <n v="1"/>
    <n v="0"/>
    <n v="0"/>
    <n v="0"/>
    <n v="0.27804512516360547"/>
    <n v="0.18832657455320048"/>
    <n v="0.38073142528033238"/>
    <n v="0.33186289459442503"/>
    <n v="1.1528924789924664"/>
    <n v="3.2758531511606827E-2"/>
    <n v="2.0541091313171E-2"/>
    <n v="1"/>
    <n v="1"/>
    <n v="1"/>
    <n v="1"/>
    <n v="1"/>
    <n v="1"/>
    <n v="1"/>
    <n v="1"/>
    <n v="1"/>
    <n v="0"/>
    <n v="0"/>
    <n v="0.27804512516360547"/>
    <n v="0.18832657455320048"/>
    <n v="0.38073142528033238"/>
    <n v="0.33186289459442503"/>
    <n v="1.1528924789924664"/>
    <n v="3.2758531511606827E-2"/>
    <n v="2.0541091313171E-2"/>
    <n v="2.3851581214088076"/>
    <n v="0"/>
    <n v="0"/>
    <n v="0"/>
    <n v="0"/>
    <n v="0"/>
    <n v="0"/>
    <n v="0"/>
    <n v="0"/>
    <n v="0"/>
    <n v="0"/>
  </r>
  <r>
    <x v="0"/>
    <x v="3"/>
    <s v="Other Petroleum"/>
    <s v="Other Petroleum"/>
    <s v="ICAEOHTOTP"/>
    <x v="7"/>
    <s v="TechData_OTR"/>
    <n v="1"/>
    <n v="0"/>
    <n v="0"/>
    <n v="0"/>
    <n v="0.36588093453079751"/>
    <n v="0.24781985677311991"/>
    <n v="0"/>
    <n v="0"/>
    <n v="0"/>
    <n v="0"/>
    <n v="0"/>
    <n v="1"/>
    <n v="1"/>
    <n v="1"/>
    <n v="1"/>
    <n v="1"/>
    <n v="1"/>
    <n v="1"/>
    <n v="1"/>
    <n v="1"/>
    <n v="0"/>
    <n v="0"/>
    <n v="0.36588093453079751"/>
    <n v="0.24781985677311991"/>
    <n v="0"/>
    <n v="0"/>
    <n v="0"/>
    <n v="0"/>
    <n v="0"/>
    <n v="0.61370079130391741"/>
    <n v="0"/>
    <n v="0"/>
    <n v="0"/>
    <n v="0"/>
    <n v="0"/>
    <n v="0"/>
    <n v="0"/>
    <n v="0"/>
    <n v="0"/>
    <n v="0"/>
  </r>
  <r>
    <x v="0"/>
    <x v="4"/>
    <s v="Electricity"/>
    <s v="Electricity"/>
    <s v="ICAEPRHELC"/>
    <x v="8"/>
    <s v="TechData_OTR"/>
    <n v="1"/>
    <n v="0"/>
    <n v="0"/>
    <n v="0"/>
    <n v="0.19048719943173875"/>
    <n v="0.12902150952692693"/>
    <n v="0.16302313989192954"/>
    <n v="0.14209841241912938"/>
    <n v="0.49365022008560533"/>
    <n v="9.8186774651898234E-2"/>
    <n v="6.1567579827434611E-2"/>
    <n v="1"/>
    <n v="1"/>
    <n v="1"/>
    <n v="1"/>
    <n v="1"/>
    <n v="1"/>
    <n v="1"/>
    <n v="1"/>
    <n v="1"/>
    <n v="0"/>
    <n v="0"/>
    <n v="0.19048719943173875"/>
    <n v="0.12902150952692693"/>
    <n v="0.16302313989192954"/>
    <n v="0.14209841241912938"/>
    <n v="0.49365022008560533"/>
    <n v="9.8186774651898234E-2"/>
    <n v="6.1567579827434611E-2"/>
    <n v="1.2780348358346627"/>
    <n v="0"/>
    <n v="0"/>
    <n v="0"/>
    <n v="0"/>
    <n v="0"/>
    <n v="0"/>
    <n v="0"/>
    <n v="0"/>
    <n v="0"/>
    <n v="0"/>
  </r>
  <r>
    <x v="0"/>
    <x v="4"/>
    <s v="Natural Gas"/>
    <s v="Natural Gas"/>
    <s v="ICAEPRHNGA"/>
    <x v="9"/>
    <s v="TechData_OTR"/>
    <n v="1"/>
    <n v="0"/>
    <n v="0"/>
    <n v="0"/>
    <n v="11.492531840095692"/>
    <n v="7.7841650815322865"/>
    <n v="15.736898911587071"/>
    <n v="13.716999643236234"/>
    <n v="47.65288913168861"/>
    <n v="1.3540193024797487"/>
    <n v="0.84903177427773469"/>
    <n v="1"/>
    <n v="1"/>
    <n v="1"/>
    <n v="1"/>
    <n v="1"/>
    <n v="1"/>
    <n v="1"/>
    <n v="1"/>
    <n v="1"/>
    <n v="0"/>
    <n v="0"/>
    <n v="11.492531840095692"/>
    <n v="7.7841650815322865"/>
    <n v="15.736898911587071"/>
    <n v="13.716999643236234"/>
    <n v="47.65288913168861"/>
    <n v="1.3540193024797487"/>
    <n v="0.84903177427773469"/>
    <n v="98.58653568489737"/>
    <n v="0"/>
    <n v="0"/>
    <n v="0"/>
    <n v="0"/>
    <n v="0"/>
    <n v="0"/>
    <n v="0"/>
    <n v="0"/>
    <n v="0"/>
    <n v="0"/>
  </r>
  <r>
    <x v="0"/>
    <x v="4"/>
    <s v="Steam Coal"/>
    <s v="Steam Coal"/>
    <s v="ICAEPRHCOA"/>
    <x v="10"/>
    <s v="TechData_OTR"/>
    <n v="1"/>
    <n v="0"/>
    <n v="0"/>
    <n v="0"/>
    <n v="0"/>
    <n v="0"/>
    <n v="0.32428122390354136"/>
    <n v="0.28265832153995119"/>
    <n v="0.98195567608213818"/>
    <n v="0"/>
    <n v="0"/>
    <n v="1"/>
    <n v="1"/>
    <n v="1"/>
    <n v="1"/>
    <n v="1"/>
    <n v="1"/>
    <n v="1"/>
    <n v="1"/>
    <n v="1"/>
    <n v="0"/>
    <n v="0"/>
    <n v="0"/>
    <n v="0"/>
    <n v="0.32428122390354136"/>
    <n v="0.28265832153995119"/>
    <n v="0.98195567608213818"/>
    <n v="0"/>
    <n v="0"/>
    <n v="1.5888952215256307"/>
    <n v="0"/>
    <n v="0"/>
    <n v="0"/>
    <n v="0"/>
    <n v="0"/>
    <n v="0"/>
    <n v="0"/>
    <n v="0"/>
    <n v="0"/>
    <n v="0"/>
  </r>
  <r>
    <x v="0"/>
    <x v="5"/>
    <s v="Natural Gas"/>
    <s v="Natural Gas"/>
    <s v="ICAEBOLNGA"/>
    <x v="11"/>
    <s v="TechData_Boiler"/>
    <n v="1"/>
    <n v="0"/>
    <n v="0"/>
    <n v="0"/>
    <n v="2.6662593000000001"/>
    <n v="27.93518886"/>
    <n v="2.6542449599999998"/>
    <n v="2.9019251999999995"/>
    <n v="16.529883479999995"/>
    <n v="3.6394208399999997"/>
    <n v="0"/>
    <n v="0.34553441513374078"/>
    <n v="0.34553441513374078"/>
    <n v="0.34553441513374078"/>
    <n v="0.34553441513374078"/>
    <n v="0.34553441513374078"/>
    <n v="0.34553441513374078"/>
    <n v="0.34553441513374078"/>
    <n v="0.34553441513374078"/>
    <n v="0.34553441513374078"/>
    <n v="0"/>
    <n v="0"/>
    <n v="0.92128434782039714"/>
    <n v="9.6525691443906911"/>
    <n v="0.91713297987527909"/>
    <n v="1.0027150267438636"/>
    <n v="5.7116436204906824"/>
    <n v="1.2575451513749474"/>
    <n v="0"/>
    <n v="19.462890270695862"/>
    <n v="0"/>
    <n v="0"/>
    <n v="0"/>
    <n v="0"/>
    <n v="0"/>
    <n v="0"/>
    <n v="0"/>
    <n v="0"/>
    <n v="0"/>
    <n v="0"/>
  </r>
  <r>
    <x v="0"/>
    <x v="5"/>
    <s v="Natural Gas"/>
    <s v="Natural Gas"/>
    <s v="ICAEBSANGA"/>
    <x v="12"/>
    <s v="TechData_CHP"/>
    <n v="0.91317837324206397"/>
    <n v="8.6821626757936074E-2"/>
    <n v="0"/>
    <n v="0"/>
    <n v="0"/>
    <n v="0"/>
    <n v="0"/>
    <n v="0.17188433011649978"/>
    <n v="0.15242684020851868"/>
    <n v="0"/>
    <n v="0"/>
    <n v="1"/>
    <n v="1"/>
    <n v="1"/>
    <n v="1"/>
    <n v="1"/>
    <n v="1"/>
    <n v="1"/>
    <n v="1"/>
    <n v="1"/>
    <n v="0"/>
    <n v="0"/>
    <n v="0"/>
    <n v="0"/>
    <n v="0"/>
    <n v="4.9499237661966138"/>
    <n v="4.3895871045546402"/>
    <n v="0"/>
    <n v="0"/>
    <n v="9.3395108707512549"/>
    <n v="0"/>
    <n v="0"/>
    <n v="0"/>
    <n v="0"/>
    <n v="0"/>
    <n v="0.47062046835732424"/>
    <n v="0.41734572826120564"/>
    <n v="0"/>
    <n v="0"/>
    <n v="0.88796619661852993"/>
  </r>
  <r>
    <x v="0"/>
    <x v="5"/>
    <s v="Natural Gas"/>
    <s v="Natural Gas"/>
    <s v="ICAEBSTNGA"/>
    <x v="12"/>
    <s v="TechData_CHP"/>
    <n v="0.91317837324206397"/>
    <n v="8.6821626757936074E-2"/>
    <n v="0"/>
    <n v="0"/>
    <n v="0"/>
    <n v="0"/>
    <n v="0"/>
    <n v="0"/>
    <n v="5.58401310129178E-2"/>
    <n v="0"/>
    <n v="0"/>
    <n v="0.16438356164383561"/>
    <n v="0.16438356164383561"/>
    <n v="0.16438356164383561"/>
    <n v="0.16438356164383561"/>
    <n v="0.16438356164383561"/>
    <n v="0.16438356164383561"/>
    <n v="0.16438356164383561"/>
    <n v="0.16438356164383561"/>
    <n v="0.16438356164383561"/>
    <n v="0"/>
    <n v="0"/>
    <n v="0"/>
    <n v="0"/>
    <n v="0"/>
    <n v="0"/>
    <n v="0.26434252800000002"/>
    <n v="0"/>
    <n v="0"/>
    <n v="0.26434252800000002"/>
    <n v="0"/>
    <n v="0"/>
    <n v="0"/>
    <n v="0"/>
    <n v="0"/>
    <n v="0"/>
    <n v="2.5132711170965875E-2"/>
    <n v="0"/>
    <n v="0"/>
    <n v="2.5132711170965875E-2"/>
  </r>
  <r>
    <x v="0"/>
    <x v="5"/>
    <s v="Natural Gas"/>
    <s v="Natural Gas"/>
    <s v="ICAECCTNGA"/>
    <x v="12"/>
    <s v="TechData_CHP"/>
    <n v="0.51728585667103122"/>
    <n v="0.48271414332896873"/>
    <n v="0"/>
    <n v="0"/>
    <n v="0"/>
    <n v="0"/>
    <n v="0"/>
    <n v="6.2968198380566803E-2"/>
    <n v="0"/>
    <n v="0"/>
    <n v="0"/>
    <n v="0.95"/>
    <n v="0.95"/>
    <n v="0.95"/>
    <n v="0.95"/>
    <n v="0.95"/>
    <n v="0.95"/>
    <n v="0.95"/>
    <n v="0.95"/>
    <n v="0.95"/>
    <n v="0"/>
    <n v="0"/>
    <n v="0"/>
    <n v="0"/>
    <n v="0"/>
    <n v="0.97584779288524126"/>
    <n v="0"/>
    <n v="0"/>
    <n v="0"/>
    <n v="0.97584779288524126"/>
    <n v="0"/>
    <n v="0"/>
    <n v="0"/>
    <n v="0"/>
    <n v="0"/>
    <n v="0.91062905603783539"/>
    <n v="0"/>
    <n v="0"/>
    <n v="0"/>
    <n v="0.91062905603783539"/>
  </r>
  <r>
    <x v="0"/>
    <x v="5"/>
    <s v="Steam Coal"/>
    <s v="Steam Coal"/>
    <s v="ICAEBSTCOA"/>
    <x v="12"/>
    <s v="TechData_CHP"/>
    <n v="0.88332652522877819"/>
    <n v="0.11667347477122178"/>
    <n v="0"/>
    <n v="0"/>
    <n v="0"/>
    <n v="0.12856392620012924"/>
    <n v="0"/>
    <n v="0"/>
    <n v="0"/>
    <n v="0"/>
    <n v="0"/>
    <n v="0"/>
    <n v="0"/>
    <n v="0"/>
    <n v="0"/>
    <n v="0"/>
    <n v="0"/>
    <n v="0"/>
    <n v="0"/>
    <n v="0"/>
    <n v="0"/>
    <n v="0"/>
    <n v="0"/>
    <n v="0"/>
    <n v="0"/>
    <n v="0"/>
    <n v="0"/>
    <n v="0"/>
    <n v="0"/>
    <n v="0"/>
    <n v="0"/>
    <n v="0"/>
    <n v="0"/>
    <n v="0"/>
    <n v="0"/>
    <n v="0"/>
    <n v="0"/>
    <n v="0"/>
    <n v="0"/>
    <n v="0"/>
  </r>
  <r>
    <x v="1"/>
    <x v="0"/>
    <s v="Distillate Oil"/>
    <s v="Distillate Oil"/>
    <s v="INCEFACDST"/>
    <x v="13"/>
    <s v="TechData_OTR"/>
    <n v="1"/>
    <n v="0"/>
    <n v="0.23054268601481484"/>
    <n v="0.63460645056289322"/>
    <n v="0.51579137437156486"/>
    <n v="0.3493577622061434"/>
    <n v="0.17657024646290415"/>
    <n v="0.15390668907166088"/>
    <n v="0.53467220104314317"/>
    <n v="0"/>
    <n v="0"/>
    <n v="1"/>
    <n v="1"/>
    <n v="1"/>
    <n v="1"/>
    <n v="1"/>
    <n v="1"/>
    <n v="1"/>
    <n v="1"/>
    <n v="1"/>
    <n v="0.23054268601481484"/>
    <n v="0.63460645056289322"/>
    <n v="0.51579137437156486"/>
    <n v="0.3493577622061434"/>
    <n v="0.17657024646290415"/>
    <n v="0.15390668907166088"/>
    <n v="0.53467220104314317"/>
    <n v="0"/>
    <n v="0"/>
    <n v="2.5954474097331244"/>
    <n v="0"/>
    <n v="0"/>
    <n v="0"/>
    <n v="0"/>
    <n v="0"/>
    <n v="0"/>
    <n v="0"/>
    <n v="0"/>
    <n v="0"/>
    <n v="0"/>
  </r>
  <r>
    <x v="1"/>
    <x v="0"/>
    <s v="Electricity"/>
    <s v="Electricity"/>
    <s v="INCEFACELC"/>
    <x v="14"/>
    <s v="TechData_OTR"/>
    <n v="1"/>
    <n v="0"/>
    <n v="5.1425833676495655E-2"/>
    <n v="0.14155801834711618"/>
    <n v="0.34516386386465564"/>
    <n v="0.23378769220618006"/>
    <n v="0.17067488265645728"/>
    <n v="0.1487680207937426"/>
    <n v="0.51682045531878495"/>
    <n v="0.23721997502796063"/>
    <n v="0.14874772901926309"/>
    <n v="1"/>
    <n v="1"/>
    <n v="1"/>
    <n v="1"/>
    <n v="1"/>
    <n v="1"/>
    <n v="1"/>
    <n v="1"/>
    <n v="1"/>
    <n v="5.1425833676495655E-2"/>
    <n v="0.14155801834711618"/>
    <n v="0.34516386386465564"/>
    <n v="0.23378769220618006"/>
    <n v="0.17067488265645728"/>
    <n v="0.1487680207937426"/>
    <n v="0.51682045531878495"/>
    <n v="0.23721997502796063"/>
    <n v="0.14874772901926309"/>
    <n v="1.9941664709106561"/>
    <n v="0"/>
    <n v="0"/>
    <n v="0"/>
    <n v="0"/>
    <n v="0"/>
    <n v="0"/>
    <n v="0"/>
    <n v="0"/>
    <n v="0"/>
    <n v="0"/>
  </r>
  <r>
    <x v="1"/>
    <x v="1"/>
    <s v="Other Petroleum"/>
    <s v="Other Petroleum"/>
    <s v="INCEFEDOTP"/>
    <x v="15"/>
    <s v="TechData_OTR"/>
    <n v="1"/>
    <n v="0"/>
    <n v="0"/>
    <n v="0"/>
    <n v="0"/>
    <n v="0"/>
    <n v="2.4639776316077222E-2"/>
    <n v="2.1477154097253207E-2"/>
    <n v="7.4611684018323562E-2"/>
    <n v="0"/>
    <n v="0"/>
    <n v="1"/>
    <n v="1"/>
    <n v="1"/>
    <n v="1"/>
    <n v="1"/>
    <n v="1"/>
    <n v="1"/>
    <n v="1"/>
    <n v="1"/>
    <n v="0"/>
    <n v="0"/>
    <n v="0"/>
    <n v="0"/>
    <n v="2.4639776316077222E-2"/>
    <n v="2.1477154097253207E-2"/>
    <n v="7.4611684018323562E-2"/>
    <n v="0"/>
    <n v="0"/>
    <n v="0.12072861443165399"/>
    <n v="0"/>
    <n v="0"/>
    <n v="0"/>
    <n v="0"/>
    <n v="0"/>
    <n v="0"/>
    <n v="0"/>
    <n v="0"/>
    <n v="0"/>
    <n v="0"/>
  </r>
  <r>
    <x v="1"/>
    <x v="1"/>
    <s v="Petroleum Coke"/>
    <s v="Petroleum Coke"/>
    <s v="INCEFEDPTC"/>
    <x v="16"/>
    <s v="TechData_OTR"/>
    <n v="1"/>
    <n v="0"/>
    <n v="0"/>
    <n v="0"/>
    <n v="0"/>
    <n v="0"/>
    <n v="0.21489116393693578"/>
    <n v="0.18730895048751978"/>
    <n v="0.65071173602865795"/>
    <n v="0"/>
    <n v="0"/>
    <n v="1"/>
    <n v="1"/>
    <n v="1"/>
    <n v="1"/>
    <n v="1"/>
    <n v="1"/>
    <n v="1"/>
    <n v="1"/>
    <n v="1"/>
    <n v="0"/>
    <n v="0"/>
    <n v="0"/>
    <n v="0"/>
    <n v="0.21489116393693578"/>
    <n v="0.18730895048751978"/>
    <n v="0.65071173602865795"/>
    <n v="0"/>
    <n v="0"/>
    <n v="1.0529118504531136"/>
    <n v="0"/>
    <n v="0"/>
    <n v="0"/>
    <n v="0"/>
    <n v="0"/>
    <n v="0"/>
    <n v="0"/>
    <n v="0"/>
    <n v="0"/>
    <n v="0"/>
  </r>
  <r>
    <x v="1"/>
    <x v="2"/>
    <s v="Electricity"/>
    <s v="Electricity"/>
    <s v="INCEMDRELC"/>
    <x v="17"/>
    <s v="TechData_OTR"/>
    <n v="1"/>
    <n v="0"/>
    <n v="0.56568417044145214"/>
    <n v="1.5571382018182778"/>
    <n v="3.7968025025112118"/>
    <n v="2.5716646142679807"/>
    <n v="1.87742370922103"/>
    <n v="1.6364482287311684"/>
    <n v="5.6850250085066341"/>
    <n v="2.6094197253075668"/>
    <n v="1.6362250192118939"/>
    <n v="1"/>
    <n v="1"/>
    <n v="1"/>
    <n v="1"/>
    <n v="1"/>
    <n v="1"/>
    <n v="1"/>
    <n v="1"/>
    <n v="1"/>
    <n v="0.56568417044145214"/>
    <n v="1.5571382018182778"/>
    <n v="3.7968025025112118"/>
    <n v="2.5716646142679807"/>
    <n v="1.87742370922103"/>
    <n v="1.6364482287311684"/>
    <n v="5.6850250085066341"/>
    <n v="2.6094197253075668"/>
    <n v="1.6362250192118939"/>
    <n v="21.935831180017217"/>
    <n v="0"/>
    <n v="0"/>
    <n v="0"/>
    <n v="0"/>
    <n v="0"/>
    <n v="0"/>
    <n v="0"/>
    <n v="0"/>
    <n v="0"/>
    <n v="0"/>
  </r>
  <r>
    <x v="1"/>
    <x v="3"/>
    <s v="Other Petroleum"/>
    <s v="Other Petroleum"/>
    <s v="INCEOHTOTP"/>
    <x v="18"/>
    <s v="TechData_OTR"/>
    <n v="1"/>
    <n v="0"/>
    <n v="0.16085723185265216"/>
    <n v="0.44278584030561763"/>
    <n v="2.1593078695080341"/>
    <n v="1.4625505634415852"/>
    <n v="0.44351597368938994"/>
    <n v="0.38658877375055772"/>
    <n v="1.343010312329824"/>
    <n v="0.44520676627078398"/>
    <n v="0.27916492031913992"/>
    <n v="1"/>
    <n v="1"/>
    <n v="1"/>
    <n v="1"/>
    <n v="1"/>
    <n v="1"/>
    <n v="1"/>
    <n v="1"/>
    <n v="1"/>
    <n v="0.16085723185265216"/>
    <n v="0.44278584030561763"/>
    <n v="2.1593078695080341"/>
    <n v="1.4625505634415852"/>
    <n v="0.44351597368938994"/>
    <n v="0.38658877375055772"/>
    <n v="1.343010312329824"/>
    <n v="0.44520676627078398"/>
    <n v="0.27916492031913992"/>
    <n v="7.1229882514675849"/>
    <n v="0"/>
    <n v="0"/>
    <n v="0"/>
    <n v="0"/>
    <n v="0"/>
    <n v="0"/>
    <n v="0"/>
    <n v="0"/>
    <n v="0"/>
    <n v="0"/>
  </r>
  <r>
    <x v="1"/>
    <x v="3"/>
    <s v="Petroleum Coke"/>
    <s v="Petroleum Coke"/>
    <s v="INCEOHTPTC"/>
    <x v="19"/>
    <s v="TechData_OTR"/>
    <n v="1"/>
    <n v="0"/>
    <n v="0"/>
    <n v="5.2645592522655669"/>
    <n v="18.831996501283182"/>
    <n v="12.755359012310219"/>
    <n v="3.8680409508648435"/>
    <n v="3.3715611087753556"/>
    <n v="11.712811248515843"/>
    <n v="3.8827868796074929"/>
    <n v="2.4346842231111872"/>
    <n v="1"/>
    <n v="1"/>
    <n v="1"/>
    <n v="1"/>
    <n v="1"/>
    <n v="1"/>
    <n v="1"/>
    <n v="1"/>
    <n v="1"/>
    <n v="0"/>
    <n v="5.2645592522655669"/>
    <n v="18.831996501283182"/>
    <n v="12.755359012310219"/>
    <n v="3.8680409508648435"/>
    <n v="3.3715611087753556"/>
    <n v="11.712811248515843"/>
    <n v="3.8827868796074929"/>
    <n v="2.4346842231111872"/>
    <n v="62.121799176733688"/>
    <n v="0"/>
    <n v="0"/>
    <n v="0"/>
    <n v="0"/>
    <n v="0"/>
    <n v="0"/>
    <n v="0"/>
    <n v="0"/>
    <n v="0"/>
    <n v="0"/>
  </r>
  <r>
    <x v="1"/>
    <x v="4"/>
    <s v="Electricity"/>
    <s v="Electricity"/>
    <s v="INCEPRHELC"/>
    <x v="20"/>
    <s v="TechData_OTR"/>
    <n v="1"/>
    <n v="0"/>
    <n v="0.15427750102948698"/>
    <n v="0.42467405504134859"/>
    <n v="1.0354915915939669"/>
    <n v="0.70136307661854025"/>
    <n v="0.51202464796937186"/>
    <n v="0.44630406238122777"/>
    <n v="1.5504613659563551"/>
    <n v="0.71165992508388198"/>
    <n v="0.44624318705778931"/>
    <n v="1"/>
    <n v="1"/>
    <n v="1"/>
    <n v="1"/>
    <n v="1"/>
    <n v="1"/>
    <n v="1"/>
    <n v="1"/>
    <n v="1"/>
    <n v="0.15427750102948698"/>
    <n v="0.42467405504134859"/>
    <n v="1.0354915915939669"/>
    <n v="0.70136307661854025"/>
    <n v="0.51202464796937186"/>
    <n v="0.44630406238122777"/>
    <n v="1.5504613659563551"/>
    <n v="0.71165992508388198"/>
    <n v="0.44624318705778931"/>
    <n v="5.9824994127319693"/>
    <n v="0"/>
    <n v="0"/>
    <n v="0"/>
    <n v="0"/>
    <n v="0"/>
    <n v="0"/>
    <n v="0"/>
    <n v="0"/>
    <n v="0"/>
    <n v="0"/>
  </r>
  <r>
    <x v="1"/>
    <x v="4"/>
    <s v="Natural Gas"/>
    <s v="Natural Gas"/>
    <s v="INCEPRHNGA"/>
    <x v="21"/>
    <s v="TechData_OTR"/>
    <n v="1"/>
    <n v="0"/>
    <n v="0"/>
    <n v="0"/>
    <n v="0.68624095601715829"/>
    <n v="0.46480731675759435"/>
    <n v="1.0571402187179706"/>
    <n v="0.92145168399907229"/>
    <n v="3.2011253247693436"/>
    <n v="0.70744686578801352"/>
    <n v="0.44360140698673906"/>
    <n v="1"/>
    <n v="1"/>
    <n v="1"/>
    <n v="1"/>
    <n v="1"/>
    <n v="1"/>
    <n v="1"/>
    <n v="1"/>
    <n v="1"/>
    <n v="0"/>
    <n v="0"/>
    <n v="0.68624095601715829"/>
    <n v="0.46480731675759435"/>
    <n v="1.0571402187179706"/>
    <n v="0.92145168399907229"/>
    <n v="3.2011253247693436"/>
    <n v="0.70744686578801352"/>
    <n v="0.44360140698673906"/>
    <n v="7.4818137730358911"/>
    <n v="0"/>
    <n v="0"/>
    <n v="0"/>
    <n v="0"/>
    <n v="0"/>
    <n v="0"/>
    <n v="0"/>
    <n v="0"/>
    <n v="0"/>
    <n v="0"/>
  </r>
  <r>
    <x v="1"/>
    <x v="4"/>
    <s v="Steam Coal"/>
    <s v="Steam Coal"/>
    <s v="INCEPRHCOA"/>
    <x v="22"/>
    <s v="TechData_OTR"/>
    <n v="1"/>
    <n v="0"/>
    <n v="3.9547091212858589"/>
    <n v="10.88598368419566"/>
    <n v="16.134296896752211"/>
    <n v="10.928142925008208"/>
    <n v="9.799287242580748"/>
    <n v="8.5415061992600361"/>
    <n v="29.673212693540613"/>
    <n v="17.169415940237062"/>
    <n v="10.766005811257568"/>
    <n v="1"/>
    <n v="1"/>
    <n v="1"/>
    <n v="1"/>
    <n v="1"/>
    <n v="1"/>
    <n v="1"/>
    <n v="1"/>
    <n v="1"/>
    <n v="3.9547091212858589"/>
    <n v="10.88598368419566"/>
    <n v="16.134296896752211"/>
    <n v="10.928142925008208"/>
    <n v="9.799287242580748"/>
    <n v="8.5415061992600361"/>
    <n v="29.673212693540613"/>
    <n v="17.169415940237062"/>
    <n v="10.766005811257568"/>
    <n v="117.85256051411795"/>
    <n v="0"/>
    <n v="0"/>
    <n v="0"/>
    <n v="0"/>
    <n v="0"/>
    <n v="0"/>
    <n v="0"/>
    <n v="0"/>
    <n v="0"/>
    <n v="0"/>
  </r>
  <r>
    <x v="1"/>
    <x v="5"/>
    <s v="Distillate Oil"/>
    <s v="Distillate Oil"/>
    <s v="INCEBOLDST"/>
    <x v="23"/>
    <s v="TechData_Boiler"/>
    <n v="1"/>
    <n v="0"/>
    <n v="0"/>
    <n v="0.17657383079999997"/>
    <n v="0"/>
    <n v="0"/>
    <n v="0"/>
    <n v="0"/>
    <n v="0"/>
    <n v="0"/>
    <n v="0"/>
    <n v="0"/>
    <n v="0"/>
    <n v="0"/>
    <n v="0"/>
    <n v="0"/>
    <n v="0"/>
    <n v="0"/>
    <n v="0"/>
    <n v="0"/>
    <n v="0"/>
    <n v="0"/>
    <n v="0"/>
    <n v="0"/>
    <n v="0"/>
    <n v="0"/>
    <n v="0"/>
    <n v="0"/>
    <n v="0"/>
    <n v="0"/>
    <n v="0"/>
    <n v="0"/>
    <n v="0"/>
    <n v="0"/>
    <n v="0"/>
    <n v="0"/>
    <n v="0"/>
    <n v="0"/>
    <n v="0"/>
    <n v="0"/>
  </r>
  <r>
    <x v="1"/>
    <x v="5"/>
    <s v="Natural Gas"/>
    <s v="Natural Gas"/>
    <s v="INCEREGNGA"/>
    <x v="24"/>
    <s v="TechData_CHP"/>
    <n v="0.47746597824073655"/>
    <n v="0.52253402175926345"/>
    <n v="0"/>
    <n v="7.7666666666666672E-4"/>
    <n v="2.6685659999999996E-2"/>
    <n v="0"/>
    <n v="0"/>
    <n v="0"/>
    <n v="0"/>
    <n v="0"/>
    <n v="0"/>
    <n v="5.067797728880612E-17"/>
    <n v="5.067797728880612E-17"/>
    <n v="5.067797728880612E-17"/>
    <n v="5.067797728880612E-17"/>
    <n v="5.067797728880612E-17"/>
    <n v="5.067797728880612E-17"/>
    <n v="5.067797728880612E-17"/>
    <n v="5.067797728880612E-17"/>
    <n v="5.067797728880612E-17"/>
    <n v="0"/>
    <n v="5.9265639808539997E-19"/>
    <n v="2.0363210904890515E-17"/>
    <n v="0"/>
    <n v="0"/>
    <n v="0"/>
    <n v="0"/>
    <n v="0"/>
    <n v="0"/>
    <n v="2.0955867302975916E-17"/>
    <n v="0"/>
    <n v="6.485972725302368E-19"/>
    <n v="2.2285295654509746E-17"/>
    <n v="0"/>
    <n v="0"/>
    <n v="0"/>
    <n v="0"/>
    <n v="0"/>
    <n v="0"/>
    <n v="2.2933892927039983E-17"/>
  </r>
  <r>
    <x v="2"/>
    <x v="6"/>
    <s v="Electricity"/>
    <s v="Electricity"/>
    <s v="IFDEETCELC"/>
    <x v="25"/>
    <s v="TechData_OTR"/>
    <n v="1"/>
    <n v="0"/>
    <n v="2.6212304315162603E-2"/>
    <n v="7.215365488303023E-2"/>
    <n v="0.27611826095195274"/>
    <n v="0.18702146360620517"/>
    <n v="6.6082615752975929E-2"/>
    <n v="5.7600625243914176E-2"/>
    <n v="0.20010470803049471"/>
    <n v="0.10328035823296604"/>
    <n v="6.4761488730613354E-2"/>
    <n v="1"/>
    <n v="1"/>
    <n v="1"/>
    <n v="1"/>
    <n v="1"/>
    <n v="1"/>
    <n v="1"/>
    <n v="1"/>
    <n v="1"/>
    <n v="2.6212304315162603E-2"/>
    <n v="7.215365488303023E-2"/>
    <n v="0.27611826095195274"/>
    <n v="0.18702146360620517"/>
    <n v="6.6082615752975929E-2"/>
    <n v="5.7600625243914176E-2"/>
    <n v="0.20010470803049471"/>
    <n v="0.10328035823296604"/>
    <n v="6.4761488730613354E-2"/>
    <n v="1.0533354797473149"/>
    <n v="0"/>
    <n v="0"/>
    <n v="0"/>
    <n v="0"/>
    <n v="0"/>
    <n v="0"/>
    <n v="0"/>
    <n v="0"/>
    <n v="0"/>
    <n v="0"/>
  </r>
  <r>
    <x v="2"/>
    <x v="0"/>
    <s v="Distillate Oil"/>
    <s v="Distillate Oil"/>
    <s v="IFDEFACDST"/>
    <x v="26"/>
    <s v="TechData_OTR"/>
    <n v="1"/>
    <n v="0"/>
    <n v="0.34728213132666452"/>
    <n v="0.95595086755850878"/>
    <n v="0.77697163552677562"/>
    <n v="0.5262613633583979"/>
    <n v="0.53195954797344003"/>
    <n v="0.46368023145875886"/>
    <n v="1.6108262183381481"/>
    <n v="2.9369313013355374"/>
    <n v="1.8415896945767669"/>
    <n v="1"/>
    <n v="1"/>
    <n v="1"/>
    <n v="1"/>
    <n v="1"/>
    <n v="1"/>
    <n v="1"/>
    <n v="1"/>
    <n v="1"/>
    <n v="0.34728213132666452"/>
    <n v="0.95595086755850878"/>
    <n v="0.77697163552677562"/>
    <n v="0.5262613633583979"/>
    <n v="0.53195954797344003"/>
    <n v="0.46368023145875886"/>
    <n v="1.6108262183381481"/>
    <n v="2.9369313013355374"/>
    <n v="1.8415896945767669"/>
    <n v="9.9914529914529968"/>
    <n v="0"/>
    <n v="0"/>
    <n v="0"/>
    <n v="0"/>
    <n v="0"/>
    <n v="0"/>
    <n v="0"/>
    <n v="0"/>
    <n v="0"/>
    <n v="0"/>
  </r>
  <r>
    <x v="2"/>
    <x v="0"/>
    <s v="Electricity"/>
    <s v="Electricity"/>
    <s v="IFDEFACELC"/>
    <x v="27"/>
    <s v="TechData_OTR"/>
    <n v="1"/>
    <n v="0"/>
    <n v="1.2581906071278048"/>
    <n v="3.4633754343854508"/>
    <n v="13.253676525693733"/>
    <n v="8.9770302530978476"/>
    <n v="3.1719655561428444"/>
    <n v="2.7648300117078803"/>
    <n v="9.6050259854637456"/>
    <n v="4.9574571951823696"/>
    <n v="3.108551459069441"/>
    <n v="1"/>
    <n v="1"/>
    <n v="1"/>
    <n v="1"/>
    <n v="1"/>
    <n v="1"/>
    <n v="1"/>
    <n v="1"/>
    <n v="1"/>
    <n v="1.2581906071278048"/>
    <n v="3.4633754343854508"/>
    <n v="13.253676525693733"/>
    <n v="8.9770302530978476"/>
    <n v="3.1719655561428444"/>
    <n v="2.7648300117078803"/>
    <n v="9.6050259854637456"/>
    <n v="4.9574571951823696"/>
    <n v="3.108551459069441"/>
    <n v="50.560103027871122"/>
    <n v="0"/>
    <n v="0"/>
    <n v="0"/>
    <n v="0"/>
    <n v="0"/>
    <n v="0"/>
    <n v="0"/>
    <n v="0"/>
    <n v="0"/>
    <n v="0"/>
  </r>
  <r>
    <x v="2"/>
    <x v="0"/>
    <s v="LPG"/>
    <s v="LPG"/>
    <s v="IFDEFACLPG"/>
    <x v="28"/>
    <s v="TechData_OTR"/>
    <n v="1"/>
    <n v="0"/>
    <n v="0.10003826432157566"/>
    <n v="0.27537168469316808"/>
    <n v="0"/>
    <n v="0"/>
    <n v="0.15323653326262257"/>
    <n v="0.13356795922139969"/>
    <n v="0.46401540554546533"/>
    <n v="0.23073106323846596"/>
    <n v="0.14467888577627783"/>
    <n v="1"/>
    <n v="1"/>
    <n v="1"/>
    <n v="1"/>
    <n v="1"/>
    <n v="1"/>
    <n v="1"/>
    <n v="1"/>
    <n v="1"/>
    <n v="0.10003826432157566"/>
    <n v="0.27537168469316808"/>
    <n v="0"/>
    <n v="0"/>
    <n v="0.15323653326262257"/>
    <n v="0.13356795922139969"/>
    <n v="0.46401540554546533"/>
    <n v="0.23073106323846596"/>
    <n v="0.14467888577627783"/>
    <n v="1.5016397960589751"/>
    <n v="0"/>
    <n v="0"/>
    <n v="0"/>
    <n v="0"/>
    <n v="0"/>
    <n v="0"/>
    <n v="0"/>
    <n v="0"/>
    <n v="0"/>
    <n v="0"/>
  </r>
  <r>
    <x v="2"/>
    <x v="0"/>
    <s v="Natural Gas"/>
    <s v="Natural Gas"/>
    <s v="IFDEFACNGA"/>
    <x v="29"/>
    <s v="TechData_OTR"/>
    <n v="1"/>
    <n v="0"/>
    <n v="1.5994266192244877"/>
    <n v="4.4026833698668515"/>
    <n v="16.038832080420637"/>
    <n v="10.863482334970902"/>
    <n v="3.2155835769447472"/>
    <n v="2.8028494702517648"/>
    <n v="9.7371056741682569"/>
    <n v="8.3001655975198005"/>
    <n v="5.20458187793571"/>
    <n v="1"/>
    <n v="1"/>
    <n v="1"/>
    <n v="1"/>
    <n v="1"/>
    <n v="1"/>
    <n v="1"/>
    <n v="1"/>
    <n v="1"/>
    <n v="1.5994266192244877"/>
    <n v="4.4026833698668515"/>
    <n v="16.038832080420637"/>
    <n v="10.863482334970902"/>
    <n v="3.2155835769447472"/>
    <n v="2.8028494702517648"/>
    <n v="9.7371056741682569"/>
    <n v="8.3001655975198005"/>
    <n v="5.20458187793571"/>
    <n v="62.164710601303156"/>
    <n v="0"/>
    <n v="0"/>
    <n v="0"/>
    <n v="0"/>
    <n v="0"/>
    <n v="0"/>
    <n v="0"/>
    <n v="0"/>
    <n v="0"/>
    <n v="0"/>
  </r>
  <r>
    <x v="2"/>
    <x v="0"/>
    <s v="Steam Coal"/>
    <s v="Steam Coal"/>
    <s v="IFDEFACCOA"/>
    <x v="30"/>
    <s v="TechData_OTR"/>
    <n v="1"/>
    <n v="0"/>
    <n v="1.4201578664393994E-3"/>
    <n v="3.9092168068266724E-3"/>
    <n v="0.46070969593762284"/>
    <n v="0.31204963168595751"/>
    <n v="1.7402946331757266E-2"/>
    <n v="1.5169202646920933E-2"/>
    <n v="5.2697845793578953E-2"/>
    <n v="6.5509840002164643E-2"/>
    <n v="4.1077653463156769E-2"/>
    <n v="1"/>
    <n v="1"/>
    <n v="1"/>
    <n v="1"/>
    <n v="1"/>
    <n v="1"/>
    <n v="1"/>
    <n v="1"/>
    <n v="1"/>
    <n v="1.4201578664393994E-3"/>
    <n v="3.9092168068266724E-3"/>
    <n v="0.46070969593762284"/>
    <n v="0.31204963168595751"/>
    <n v="1.7402946331757266E-2"/>
    <n v="1.5169202646920933E-2"/>
    <n v="5.2697845793578953E-2"/>
    <n v="6.5509840002164643E-2"/>
    <n v="4.1077653463156769E-2"/>
    <n v="0.96994619053442488"/>
    <n v="0"/>
    <n v="0"/>
    <n v="0"/>
    <n v="0"/>
    <n v="0"/>
    <n v="0"/>
    <n v="0"/>
    <n v="0"/>
    <n v="0"/>
    <n v="0"/>
  </r>
  <r>
    <x v="2"/>
    <x v="1"/>
    <s v="LPG"/>
    <s v="LPG"/>
    <s v="IFDEFEDLPG"/>
    <x v="31"/>
    <s v="TechData_OTR"/>
    <n v="1"/>
    <n v="0"/>
    <n v="0"/>
    <n v="0"/>
    <n v="0.44762967532056602"/>
    <n v="0.30319022270892154"/>
    <n v="0"/>
    <n v="0"/>
    <n v="0"/>
    <n v="0"/>
    <n v="0"/>
    <n v="1"/>
    <n v="1"/>
    <n v="1"/>
    <n v="1"/>
    <n v="1"/>
    <n v="1"/>
    <n v="1"/>
    <n v="1"/>
    <n v="1"/>
    <n v="0"/>
    <n v="0"/>
    <n v="0.44762967532056602"/>
    <n v="0.30319022270892154"/>
    <n v="0"/>
    <n v="0"/>
    <n v="0"/>
    <n v="0"/>
    <n v="0"/>
    <n v="0.75081989802948756"/>
    <n v="0"/>
    <n v="0"/>
    <n v="0"/>
    <n v="0"/>
    <n v="0"/>
    <n v="0"/>
    <n v="0"/>
    <n v="0"/>
    <n v="0"/>
    <n v="0"/>
  </r>
  <r>
    <x v="2"/>
    <x v="1"/>
    <s v="Natural Gas"/>
    <s v="Natural Gas"/>
    <s v="IFDEFEDNGA"/>
    <x v="32"/>
    <s v="TechData_OTR"/>
    <n v="1"/>
    <n v="0"/>
    <n v="0"/>
    <n v="0"/>
    <n v="1.4799177329981752"/>
    <n v="1.0023834696331717"/>
    <n v="0"/>
    <n v="0"/>
    <n v="0"/>
    <n v="0.76282474301015324"/>
    <n v="0.47832585830551999"/>
    <n v="1"/>
    <n v="1"/>
    <n v="1"/>
    <n v="1"/>
    <n v="1"/>
    <n v="1"/>
    <n v="1"/>
    <n v="1"/>
    <n v="1"/>
    <n v="0"/>
    <n v="0"/>
    <n v="1.4799177329981752"/>
    <n v="1.0023834696331717"/>
    <n v="0"/>
    <n v="0"/>
    <n v="0"/>
    <n v="0.76282474301015324"/>
    <n v="0.47832585830551999"/>
    <n v="3.7234518039470199"/>
    <n v="0"/>
    <n v="0"/>
    <n v="0"/>
    <n v="0"/>
    <n v="0"/>
    <n v="0"/>
    <n v="0"/>
    <n v="0"/>
    <n v="0"/>
    <n v="0"/>
  </r>
  <r>
    <x v="2"/>
    <x v="1"/>
    <s v="Renewables"/>
    <s v="Biomass"/>
    <s v="IFDEFEDBIO"/>
    <x v="33"/>
    <s v="TechData_OTR"/>
    <n v="1"/>
    <n v="0"/>
    <n v="0"/>
    <n v="0"/>
    <n v="0.60357172678826432"/>
    <n v="0.40881348211485419"/>
    <n v="0"/>
    <n v="0"/>
    <n v="0"/>
    <n v="0"/>
    <n v="0"/>
    <n v="1"/>
    <n v="1"/>
    <n v="1"/>
    <n v="1"/>
    <n v="1"/>
    <n v="1"/>
    <n v="1"/>
    <n v="1"/>
    <n v="1"/>
    <n v="0"/>
    <n v="0"/>
    <n v="0.60357172678826432"/>
    <n v="0.40881348211485419"/>
    <n v="0"/>
    <n v="0"/>
    <n v="0"/>
    <n v="0"/>
    <n v="0"/>
    <n v="1.0123852089031184"/>
    <n v="0"/>
    <n v="0"/>
    <n v="0"/>
    <n v="0"/>
    <n v="0"/>
    <n v="0"/>
    <n v="0"/>
    <n v="0"/>
    <n v="0"/>
    <n v="0"/>
  </r>
  <r>
    <x v="2"/>
    <x v="2"/>
    <s v="Distillate Oil"/>
    <s v="Distillate Oil"/>
    <s v="IFDEMDRDST"/>
    <x v="34"/>
    <s v="TechData_OTR"/>
    <n v="1"/>
    <n v="0"/>
    <n v="2.9866263294093153E-2"/>
    <n v="8.2211774610031749E-2"/>
    <n v="6.6819560655302701E-2"/>
    <n v="4.5258477248822225E-2"/>
    <n v="4.5748521125715841E-2"/>
    <n v="3.9876499905453264E-2"/>
    <n v="0.13853105477708075"/>
    <n v="0.25257609191485619"/>
    <n v="0.15837671373360196"/>
    <n v="1"/>
    <n v="1"/>
    <n v="1"/>
    <n v="1"/>
    <n v="1"/>
    <n v="1"/>
    <n v="1"/>
    <n v="1"/>
    <n v="1"/>
    <n v="2.9866263294093153E-2"/>
    <n v="8.2211774610031749E-2"/>
    <n v="6.6819560655302701E-2"/>
    <n v="4.5258477248822225E-2"/>
    <n v="4.5748521125715841E-2"/>
    <n v="3.9876499905453264E-2"/>
    <n v="0.13853105477708075"/>
    <n v="0.25257609191485619"/>
    <n v="0.15837671373360196"/>
    <n v="0.85926495726495788"/>
    <n v="0"/>
    <n v="0"/>
    <n v="0"/>
    <n v="0"/>
    <n v="0"/>
    <n v="0"/>
    <n v="0"/>
    <n v="0"/>
    <n v="0"/>
    <n v="0"/>
  </r>
  <r>
    <x v="2"/>
    <x v="2"/>
    <s v="Electricity"/>
    <s v="Electricity"/>
    <s v="IFDEMDRELC"/>
    <x v="35"/>
    <s v="TechData_OTR"/>
    <n v="1"/>
    <n v="0"/>
    <n v="4.5588439664930807"/>
    <n v="12.548963657256619"/>
    <n v="48.022487944763633"/>
    <n v="32.526772950391205"/>
    <n v="11.493088531757575"/>
    <n v="10.017900742421554"/>
    <n v="34.802210820663646"/>
    <n v="17.962519903877457"/>
    <n v="11.263318120028277"/>
    <n v="1"/>
    <n v="1"/>
    <n v="1"/>
    <n v="1"/>
    <n v="1"/>
    <n v="1"/>
    <n v="1"/>
    <n v="1"/>
    <n v="1"/>
    <n v="4.5588439664930807"/>
    <n v="12.548963657256619"/>
    <n v="48.022487944763633"/>
    <n v="32.526772950391205"/>
    <n v="11.493088531757575"/>
    <n v="10.017900742421554"/>
    <n v="34.802210820663646"/>
    <n v="17.962519903877457"/>
    <n v="11.263318120028277"/>
    <n v="183.19610663765306"/>
    <n v="0"/>
    <n v="0"/>
    <n v="0"/>
    <n v="0"/>
    <n v="0"/>
    <n v="0"/>
    <n v="0"/>
    <n v="0"/>
    <n v="0"/>
    <n v="0"/>
  </r>
  <r>
    <x v="2"/>
    <x v="2"/>
    <s v="Natural Gas"/>
    <s v="Natural Gas"/>
    <s v="IFDEMDRNGA"/>
    <x v="36"/>
    <s v="TechData_OTR"/>
    <n v="1"/>
    <n v="0"/>
    <n v="0.18297440523928141"/>
    <n v="0.50366697751276779"/>
    <n v="1.8348423900001212"/>
    <n v="1.2427823791206711"/>
    <n v="0.36786276120247913"/>
    <n v="0.32064597939680189"/>
    <n v="1.1139248891248485"/>
    <n v="0.94953894435626529"/>
    <n v="0.59540416683584529"/>
    <n v="1"/>
    <n v="1"/>
    <n v="1"/>
    <n v="1"/>
    <n v="1"/>
    <n v="1"/>
    <n v="1"/>
    <n v="1"/>
    <n v="1"/>
    <n v="0.18297440523928141"/>
    <n v="0.50366697751276779"/>
    <n v="1.8348423900001212"/>
    <n v="1.2427823791206711"/>
    <n v="0.36786276120247913"/>
    <n v="0.32064597939680189"/>
    <n v="1.1139248891248485"/>
    <n v="0.94953894435626529"/>
    <n v="0.59540416683584529"/>
    <n v="7.1116428927890816"/>
    <n v="0"/>
    <n v="0"/>
    <n v="0"/>
    <n v="0"/>
    <n v="0"/>
    <n v="0"/>
    <n v="0"/>
    <n v="0"/>
    <n v="0"/>
    <n v="0"/>
  </r>
  <r>
    <x v="2"/>
    <x v="3"/>
    <s v="Distillate Oil"/>
    <s v="Distillate Oil"/>
    <s v="IFDEOHTDST"/>
    <x v="37"/>
    <s v="TechData_OTR"/>
    <n v="1"/>
    <n v="0"/>
    <n v="6.945642626533291E-2"/>
    <n v="0.19119017351170173"/>
    <n v="0.15539432710535508"/>
    <n v="0.10525227267167958"/>
    <n v="0.10639190959468799"/>
    <n v="9.2736046291751764E-2"/>
    <n v="0.32216524366762961"/>
    <n v="0.58738626026710739"/>
    <n v="0.3683179389153533"/>
    <n v="1"/>
    <n v="1"/>
    <n v="1"/>
    <n v="1"/>
    <n v="1"/>
    <n v="1"/>
    <n v="1"/>
    <n v="1"/>
    <n v="1"/>
    <n v="6.945642626533291E-2"/>
    <n v="0.19119017351170173"/>
    <n v="0.15539432710535508"/>
    <n v="0.10525227267167958"/>
    <n v="0.10639190959468799"/>
    <n v="9.2736046291751764E-2"/>
    <n v="0.32216524366762961"/>
    <n v="0.58738626026710739"/>
    <n v="0.3683179389153533"/>
    <n v="1.9982905982905994"/>
    <n v="0"/>
    <n v="0"/>
    <n v="0"/>
    <n v="0"/>
    <n v="0"/>
    <n v="0"/>
    <n v="0"/>
    <n v="0"/>
    <n v="0"/>
    <n v="0"/>
  </r>
  <r>
    <x v="2"/>
    <x v="3"/>
    <s v="Electricity"/>
    <s v="Electricity"/>
    <s v="IFDEOHTELC"/>
    <x v="38"/>
    <s v="TechData_OTR"/>
    <n v="1"/>
    <n v="0"/>
    <n v="0.13106152157581302"/>
    <n v="0.36076827441515114"/>
    <n v="1.3805913047597638"/>
    <n v="0.93510731803102576"/>
    <n v="0.33041307876487963"/>
    <n v="0.28800312621957086"/>
    <n v="1.0005235401524735"/>
    <n v="0.5164017911648302"/>
    <n v="0.3238074436530668"/>
    <n v="1"/>
    <n v="1"/>
    <n v="1"/>
    <n v="1"/>
    <n v="1"/>
    <n v="1"/>
    <n v="1"/>
    <n v="1"/>
    <n v="1"/>
    <n v="0.13106152157581302"/>
    <n v="0.36076827441515114"/>
    <n v="1.3805913047597638"/>
    <n v="0.93510731803102576"/>
    <n v="0.33041307876487963"/>
    <n v="0.28800312621957086"/>
    <n v="1.0005235401524735"/>
    <n v="0.5164017911648302"/>
    <n v="0.3238074436530668"/>
    <n v="5.266677398736574"/>
    <n v="0"/>
    <n v="0"/>
    <n v="0"/>
    <n v="0"/>
    <n v="0"/>
    <n v="0"/>
    <n v="0"/>
    <n v="0"/>
    <n v="0"/>
    <n v="0"/>
  </r>
  <r>
    <x v="2"/>
    <x v="3"/>
    <s v="Natural Gas"/>
    <s v="Natural Gas"/>
    <s v="IFDEOHTNGA"/>
    <x v="39"/>
    <s v="TechData_OTR"/>
    <n v="1"/>
    <n v="0"/>
    <n v="0.22391972669142832"/>
    <n v="0.61637567178135921"/>
    <n v="2.2454364912588893"/>
    <n v="1.5208875268959263"/>
    <n v="0.45018170077226466"/>
    <n v="0.3923989258352471"/>
    <n v="1.3631947943835561"/>
    <n v="1.1620231836527724"/>
    <n v="0.72864146291099952"/>
    <n v="1"/>
    <n v="1"/>
    <n v="1"/>
    <n v="1"/>
    <n v="1"/>
    <n v="1"/>
    <n v="1"/>
    <n v="1"/>
    <n v="1"/>
    <n v="0.22391972669142832"/>
    <n v="0.61637567178135921"/>
    <n v="2.2454364912588893"/>
    <n v="1.5208875268959263"/>
    <n v="0.45018170077226466"/>
    <n v="0.3923989258352471"/>
    <n v="1.3631947943835561"/>
    <n v="1.1620231836527724"/>
    <n v="0.72864146291099952"/>
    <n v="8.7030594841824431"/>
    <n v="0"/>
    <n v="0"/>
    <n v="0"/>
    <n v="0"/>
    <n v="0"/>
    <n v="0"/>
    <n v="0"/>
    <n v="0"/>
    <n v="0"/>
    <n v="0"/>
  </r>
  <r>
    <x v="2"/>
    <x v="3"/>
    <s v="Renewables"/>
    <s v="Agricultural Residue"/>
    <s v="IFDEBSTAGR"/>
    <x v="40"/>
    <s v="TechData_CHP"/>
    <n v="0.88809077041162798"/>
    <n v="0.11190922958837206"/>
    <n v="0"/>
    <n v="0.15427671144015509"/>
    <n v="0.15427671144015509"/>
    <n v="1.8551537422730986"/>
    <n v="0.12337464529455577"/>
    <n v="5.7589337895502725E-2"/>
    <n v="0.19211868605339608"/>
    <n v="5.0467816011235947E-3"/>
    <n v="0.75805206484028087"/>
    <n v="0"/>
    <n v="4.7815252642591087E-2"/>
    <n v="0.99"/>
    <n v="8.3697228346854669E-2"/>
    <n v="5.5155628902277688E-2"/>
    <n v="0.99"/>
    <n v="0.64919752143401388"/>
    <n v="0.99"/>
    <n v="4.771446658847945E-2"/>
    <n v="0"/>
    <n v="0.20660022552131679"/>
    <n v="4.2775936957805856"/>
    <n v="4.3486549244506785"/>
    <n v="0.1905810527222255"/>
    <n v="1.5967658788315486"/>
    <n v="3.4930952193288438"/>
    <n v="0.13993091348282916"/>
    <n v="1.0130084585814745"/>
    <n v="15.266230368699501"/>
    <n v="0"/>
    <n v="2.6033906489263708E-2"/>
    <n v="0.5390239724763779"/>
    <n v="0.54797847084413731"/>
    <n v="2.4015314081464664E-2"/>
    <n v="0.20121010744229978"/>
    <n v="0.44016851418547087"/>
    <n v="1.7632838044474203E-2"/>
    <n v="0.12765023570035833"/>
    <n v="1.9237133592638469"/>
  </r>
  <r>
    <x v="2"/>
    <x v="3"/>
    <s v="Renewables"/>
    <s v="Agricultural Residue"/>
    <s v="IFDECSDAGR"/>
    <x v="40"/>
    <s v="TechData_CHP"/>
    <n v="0.88332652522877819"/>
    <n v="0.11667347477122178"/>
    <n v="0"/>
    <n v="0"/>
    <n v="0"/>
    <n v="9.2894300868807053E-2"/>
    <n v="0"/>
    <n v="0"/>
    <n v="0"/>
    <n v="0"/>
    <n v="0"/>
    <n v="0"/>
    <n v="0"/>
    <n v="0"/>
    <n v="7.8790666046736929E-2"/>
    <n v="0"/>
    <n v="0"/>
    <n v="0"/>
    <n v="0"/>
    <n v="0"/>
    <n v="0"/>
    <n v="0"/>
    <n v="0"/>
    <n v="0.20388802602178069"/>
    <n v="0"/>
    <n v="0"/>
    <n v="0"/>
    <n v="0"/>
    <n v="0"/>
    <n v="0.20388802602178069"/>
    <n v="0"/>
    <n v="0"/>
    <n v="0"/>
    <n v="2.6930386194443053E-2"/>
    <n v="0"/>
    <n v="0"/>
    <n v="0"/>
    <n v="0"/>
    <n v="0"/>
    <n v="2.6930386194443053E-2"/>
  </r>
  <r>
    <x v="2"/>
    <x v="3"/>
    <s v="Renewables"/>
    <s v="Agricultural Residue"/>
    <s v="IFDECSGAGR"/>
    <x v="40"/>
    <s v="TechData_CHP"/>
    <n v="0.88332652522877819"/>
    <n v="0.11667347477122178"/>
    <n v="0"/>
    <n v="0"/>
    <n v="0"/>
    <n v="0"/>
    <n v="0.60314615805521443"/>
    <n v="0"/>
    <n v="0.21332428566117845"/>
    <n v="0"/>
    <n v="0"/>
    <n v="0"/>
    <n v="0"/>
    <n v="0"/>
    <n v="0"/>
    <n v="4.1540209553880054E-2"/>
    <n v="0"/>
    <n v="0.6557550721555695"/>
    <n v="0"/>
    <n v="0"/>
    <n v="0"/>
    <n v="0"/>
    <n v="0"/>
    <n v="0"/>
    <n v="0.69794166913487854"/>
    <n v="0"/>
    <n v="3.8968154406342741"/>
    <n v="0"/>
    <n v="0"/>
    <n v="4.5947571097691524"/>
    <n v="0"/>
    <n v="0"/>
    <n v="0"/>
    <n v="0"/>
    <n v="9.2187064918606718E-2"/>
    <n v="0"/>
    <n v="0.51470773832269612"/>
    <n v="0"/>
    <n v="0"/>
    <n v="0.60689480324130285"/>
  </r>
  <r>
    <x v="2"/>
    <x v="3"/>
    <s v="Renewables"/>
    <s v="Agricultural Residue"/>
    <s v="IFDEREGAGR"/>
    <x v="40"/>
    <s v="TechData_CHP"/>
    <n v="0.53535953986266316"/>
    <n v="0.46464046013733679"/>
    <n v="1.3113E-4"/>
    <n v="1.1960666666666669E-3"/>
    <n v="6.4896000000000007E-3"/>
    <n v="0"/>
    <n v="0"/>
    <n v="0"/>
    <n v="0"/>
    <n v="0"/>
    <n v="0"/>
    <n v="0.94499999999999995"/>
    <n v="4.5641832067927858E-2"/>
    <n v="0.91200000000000003"/>
    <n v="0"/>
    <n v="0"/>
    <n v="0"/>
    <n v="0"/>
    <n v="0"/>
    <n v="0"/>
    <n v="2.0921172611519149E-3"/>
    <n v="9.2165972256677336E-4"/>
    <n v="9.9922874794147742E-2"/>
    <n v="0"/>
    <n v="0"/>
    <n v="0"/>
    <n v="0"/>
    <n v="0"/>
    <n v="0"/>
    <n v="0.10293665177786643"/>
    <n v="1.8157560564480849E-3"/>
    <n v="7.9991177086959748E-4"/>
    <n v="8.6723420553052294E-2"/>
    <n v="0"/>
    <n v="0"/>
    <n v="0"/>
    <n v="0"/>
    <n v="0"/>
    <n v="0"/>
    <n v="8.9339088380369983E-2"/>
  </r>
  <r>
    <x v="2"/>
    <x v="3"/>
    <s v="Renewables"/>
    <s v="Biomass"/>
    <s v="IFDEBDSBIO"/>
    <x v="41"/>
    <s v="TechData_Boiler"/>
    <n v="1"/>
    <n v="0"/>
    <n v="0"/>
    <n v="0"/>
    <n v="0"/>
    <n v="1.84836"/>
    <n v="0"/>
    <n v="0"/>
    <n v="0"/>
    <n v="0"/>
    <n v="0"/>
    <n v="0"/>
    <n v="0"/>
    <n v="0"/>
    <n v="8.4542654895812794E-2"/>
    <n v="0"/>
    <n v="0"/>
    <n v="0"/>
    <n v="0"/>
    <n v="0"/>
    <n v="0"/>
    <n v="0"/>
    <n v="0"/>
    <n v="0.15626526160322454"/>
    <n v="0"/>
    <n v="0"/>
    <n v="0"/>
    <n v="0"/>
    <n v="0"/>
    <n v="0.15626526160322454"/>
    <n v="0"/>
    <n v="0"/>
    <n v="0"/>
    <n v="0"/>
    <n v="0"/>
    <n v="0"/>
    <n v="0"/>
    <n v="0"/>
    <n v="0"/>
    <n v="0"/>
  </r>
  <r>
    <x v="2"/>
    <x v="3"/>
    <s v="Renewables"/>
    <s v="Biomass"/>
    <s v="IFDEBFBBIO"/>
    <x v="41"/>
    <s v="TechData_Boiler"/>
    <n v="1"/>
    <n v="0"/>
    <n v="0"/>
    <n v="0"/>
    <n v="0"/>
    <n v="0.46486253999999994"/>
    <n v="0"/>
    <n v="0"/>
    <n v="0"/>
    <n v="0"/>
    <n v="0"/>
    <n v="0"/>
    <n v="0"/>
    <n v="0"/>
    <n v="6.6591817212455287E-2"/>
    <n v="0"/>
    <n v="0"/>
    <n v="0"/>
    <n v="0"/>
    <n v="0"/>
    <n v="0"/>
    <n v="0"/>
    <n v="0"/>
    <n v="3.0956041292597679E-2"/>
    <n v="0"/>
    <n v="0"/>
    <n v="0"/>
    <n v="0"/>
    <n v="0"/>
    <n v="3.0956041292597679E-2"/>
    <n v="0"/>
    <n v="0"/>
    <n v="0"/>
    <n v="0"/>
    <n v="0"/>
    <n v="0"/>
    <n v="0"/>
    <n v="0"/>
    <n v="0"/>
    <n v="0"/>
  </r>
  <r>
    <x v="2"/>
    <x v="3"/>
    <s v="Renewables"/>
    <s v="Biomass"/>
    <s v="IFDEBFCBIO"/>
    <x v="41"/>
    <s v="TechData_Boiler"/>
    <n v="1"/>
    <n v="0"/>
    <n v="0"/>
    <n v="0"/>
    <n v="0"/>
    <n v="0"/>
    <n v="6.5154689999999986"/>
    <n v="0"/>
    <n v="0"/>
    <n v="0"/>
    <n v="0"/>
    <n v="0"/>
    <n v="0"/>
    <n v="0"/>
    <n v="0"/>
    <n v="2.6327520530465737E-2"/>
    <n v="0"/>
    <n v="0"/>
    <n v="0"/>
    <n v="0"/>
    <n v="0"/>
    <n v="0"/>
    <n v="0"/>
    <n v="0"/>
    <n v="0.17153614386311303"/>
    <n v="0"/>
    <n v="0"/>
    <n v="0"/>
    <n v="0"/>
    <n v="0.17153614386311303"/>
    <n v="0"/>
    <n v="0"/>
    <n v="0"/>
    <n v="0"/>
    <n v="0"/>
    <n v="0"/>
    <n v="0"/>
    <n v="0"/>
    <n v="0"/>
    <n v="0"/>
  </r>
  <r>
    <x v="2"/>
    <x v="3"/>
    <s v="Renewables"/>
    <s v="Biomass"/>
    <s v="IFDEBOLBIO"/>
    <x v="41"/>
    <s v="TechData_Boiler"/>
    <n v="1"/>
    <n v="0"/>
    <n v="0"/>
    <n v="2.2180319999999996E-3"/>
    <n v="1.2037444500000001"/>
    <n v="0"/>
    <n v="0.52585841999999994"/>
    <n v="0"/>
    <n v="0"/>
    <n v="5.8186372799999997E-2"/>
    <n v="0.19045501440000001"/>
    <n v="0"/>
    <n v="0"/>
    <n v="0"/>
    <n v="0"/>
    <n v="0"/>
    <n v="0"/>
    <n v="0"/>
    <n v="0"/>
    <n v="0"/>
    <n v="0"/>
    <n v="0"/>
    <n v="0"/>
    <n v="0"/>
    <n v="0"/>
    <n v="0"/>
    <n v="0"/>
    <n v="0"/>
    <n v="0"/>
    <n v="0"/>
    <n v="0"/>
    <n v="0"/>
    <n v="0"/>
    <n v="0"/>
    <n v="0"/>
    <n v="0"/>
    <n v="0"/>
    <n v="0"/>
    <n v="0"/>
    <n v="0"/>
  </r>
  <r>
    <x v="2"/>
    <x v="3"/>
    <s v="Renewables"/>
    <s v="Biomass"/>
    <s v="IFDEBSDBIO"/>
    <x v="41"/>
    <s v="TechData_Boiler"/>
    <n v="1"/>
    <n v="0"/>
    <n v="0"/>
    <n v="0"/>
    <n v="1.0591102799999998"/>
    <n v="0"/>
    <n v="0"/>
    <n v="0"/>
    <n v="0"/>
    <n v="0"/>
    <n v="0"/>
    <n v="0"/>
    <n v="0"/>
    <n v="0.68493150684931503"/>
    <n v="0"/>
    <n v="0"/>
    <n v="0"/>
    <n v="0"/>
    <n v="0"/>
    <n v="0"/>
    <n v="0"/>
    <n v="0"/>
    <n v="0.7254179999999999"/>
    <n v="0"/>
    <n v="0"/>
    <n v="0"/>
    <n v="0"/>
    <n v="0"/>
    <n v="0"/>
    <n v="0.7254179999999999"/>
    <n v="0"/>
    <n v="0"/>
    <n v="0"/>
    <n v="0"/>
    <n v="0"/>
    <n v="0"/>
    <n v="0"/>
    <n v="0"/>
    <n v="0"/>
    <n v="0"/>
  </r>
  <r>
    <x v="2"/>
    <x v="3"/>
    <s v="Renewables"/>
    <s v="Biomass"/>
    <s v="IFDEBSGBIO"/>
    <x v="41"/>
    <s v="TechData_Boiler"/>
    <n v="1"/>
    <n v="0"/>
    <n v="0"/>
    <n v="0"/>
    <n v="0"/>
    <n v="0"/>
    <n v="46.06852464"/>
    <n v="0"/>
    <n v="0"/>
    <n v="0"/>
    <n v="0"/>
    <n v="0"/>
    <n v="0"/>
    <n v="0"/>
    <n v="0"/>
    <n v="3.0507448874240443E-2"/>
    <n v="0"/>
    <n v="0"/>
    <n v="0"/>
    <n v="0"/>
    <n v="0"/>
    <n v="0"/>
    <n v="0"/>
    <n v="0"/>
    <n v="1.4054331601664862"/>
    <n v="0"/>
    <n v="0"/>
    <n v="0"/>
    <n v="0"/>
    <n v="1.4054331601664862"/>
    <n v="0"/>
    <n v="0"/>
    <n v="0"/>
    <n v="0"/>
    <n v="0"/>
    <n v="0"/>
    <n v="0"/>
    <n v="0"/>
    <n v="0"/>
    <n v="0"/>
  </r>
  <r>
    <x v="2"/>
    <x v="3"/>
    <s v="Renewables"/>
    <s v="Biomass"/>
    <s v="IFDEBSWBIO"/>
    <x v="41"/>
    <s v="TechData_Boiler"/>
    <n v="1"/>
    <n v="0"/>
    <n v="0"/>
    <n v="0"/>
    <n v="0"/>
    <n v="0"/>
    <n v="0.96114719999999998"/>
    <n v="0"/>
    <n v="0"/>
    <n v="0"/>
    <n v="0"/>
    <n v="0"/>
    <n v="0"/>
    <n v="0"/>
    <n v="0"/>
    <n v="5.3308712865976153E-2"/>
    <n v="0"/>
    <n v="0"/>
    <n v="0"/>
    <n v="0"/>
    <n v="0"/>
    <n v="0"/>
    <n v="0"/>
    <n v="0"/>
    <n v="5.1237520106736954E-2"/>
    <n v="0"/>
    <n v="0"/>
    <n v="0"/>
    <n v="0"/>
    <n v="5.1237520106736954E-2"/>
    <n v="0"/>
    <n v="0"/>
    <n v="0"/>
    <n v="0"/>
    <n v="0"/>
    <n v="0"/>
    <n v="0"/>
    <n v="0"/>
    <n v="0"/>
    <n v="0"/>
  </r>
  <r>
    <x v="2"/>
    <x v="3"/>
    <s v="Renewables"/>
    <s v="Biomass"/>
    <s v="IFDEOHTBIO"/>
    <x v="41"/>
    <s v="TechData_OTR"/>
    <n v="1"/>
    <n v="0"/>
    <n v="0.12959496197258127"/>
    <n v="0"/>
    <n v="3.519094975978545"/>
    <n v="0"/>
    <n v="5.3290705182007514E-15"/>
    <n v="2.2208912680700799E-2"/>
    <n v="0"/>
    <n v="2.72354052735938"/>
    <n v="0"/>
    <n v="1"/>
    <n v="1"/>
    <n v="1"/>
    <n v="1"/>
    <n v="1"/>
    <n v="1"/>
    <n v="1"/>
    <n v="1"/>
    <n v="1"/>
    <n v="0.12959496197258127"/>
    <n v="0"/>
    <n v="3.519094975978545"/>
    <n v="0"/>
    <n v="5.3290705182007514E-15"/>
    <n v="2.2208912680700799E-2"/>
    <n v="0"/>
    <n v="2.72354052735938"/>
    <n v="0"/>
    <n v="6.3944393779912119"/>
    <n v="0"/>
    <n v="0"/>
    <n v="0"/>
    <n v="0"/>
    <n v="0"/>
    <n v="0"/>
    <n v="0"/>
    <n v="0"/>
    <n v="0"/>
    <n v="0"/>
  </r>
  <r>
    <x v="2"/>
    <x v="3"/>
    <s v="Residual Oil"/>
    <s v="Residual Oil"/>
    <s v="IFDEOHTRFL"/>
    <x v="42"/>
    <s v="TechData_OTR"/>
    <n v="1"/>
    <n v="0"/>
    <n v="2.6993181105503441E-2"/>
    <n v="7.4303145967788822E-2"/>
    <n v="6.0391636020816916E-2"/>
    <n v="4.0904691052475364E-2"/>
    <n v="4.1347593567208386E-2"/>
    <n v="3.6040450497681654E-2"/>
    <n v="0.12520461008169453"/>
    <n v="0"/>
    <n v="0"/>
    <n v="1"/>
    <n v="1"/>
    <n v="1"/>
    <n v="1"/>
    <n v="1"/>
    <n v="1"/>
    <n v="1"/>
    <n v="1"/>
    <n v="1"/>
    <n v="2.6993181105503441E-2"/>
    <n v="7.4303145967788822E-2"/>
    <n v="6.0391636020816916E-2"/>
    <n v="4.0904691052475364E-2"/>
    <n v="4.1347593567208386E-2"/>
    <n v="3.6040450497681654E-2"/>
    <n v="0.12520461008169453"/>
    <n v="0"/>
    <n v="0"/>
    <n v="0.40518530829316912"/>
    <n v="0"/>
    <n v="0"/>
    <n v="0"/>
    <n v="0"/>
    <n v="0"/>
    <n v="0"/>
    <n v="0"/>
    <n v="0"/>
    <n v="0"/>
    <n v="0"/>
  </r>
  <r>
    <x v="2"/>
    <x v="3"/>
    <s v="Steam Coal"/>
    <s v="Steam Coal"/>
    <s v="IFDEOHTCOA"/>
    <x v="43"/>
    <s v="TechData_OTR"/>
    <n v="1"/>
    <n v="0"/>
    <n v="1.4201578664393994E-3"/>
    <n v="3.9092168068266724E-3"/>
    <n v="0.46070969593762284"/>
    <n v="0.31204963168595751"/>
    <n v="1.7402946331757266E-2"/>
    <n v="1.5169202646920933E-2"/>
    <n v="5.2697845793578953E-2"/>
    <n v="6.5509840002164643E-2"/>
    <n v="4.1077653463156769E-2"/>
    <n v="1"/>
    <n v="1"/>
    <n v="1"/>
    <n v="1"/>
    <n v="1"/>
    <n v="1"/>
    <n v="1"/>
    <n v="1"/>
    <n v="1"/>
    <n v="1.4201578664393994E-3"/>
    <n v="3.9092168068266724E-3"/>
    <n v="0.46070969593762284"/>
    <n v="0.31204963168595751"/>
    <n v="1.7402946331757266E-2"/>
    <n v="1.5169202646920933E-2"/>
    <n v="5.2697845793578953E-2"/>
    <n v="6.5509840002164643E-2"/>
    <n v="4.1077653463156769E-2"/>
    <n v="0.96994619053442488"/>
    <n v="0"/>
    <n v="0"/>
    <n v="0"/>
    <n v="0"/>
    <n v="0"/>
    <n v="0"/>
    <n v="0"/>
    <n v="0"/>
    <n v="0"/>
    <n v="0"/>
  </r>
  <r>
    <x v="2"/>
    <x v="4"/>
    <s v="Distillate Oil"/>
    <s v="Distillate Oil"/>
    <s v="IFDEPRHDST"/>
    <x v="44"/>
    <s v="TechData_OTR"/>
    <n v="1"/>
    <n v="0"/>
    <n v="7.4318376103906209E-2"/>
    <n v="0.20457348565752087"/>
    <n v="0.16627193000272997"/>
    <n v="0.11261993175869715"/>
    <n v="0.11383934326631616"/>
    <n v="9.9227569532174389E-2"/>
    <n v="0.34471681072436372"/>
    <n v="0.628503298485805"/>
    <n v="0.39410019463942808"/>
    <n v="1"/>
    <n v="1"/>
    <n v="1"/>
    <n v="1"/>
    <n v="1"/>
    <n v="1"/>
    <n v="1"/>
    <n v="1"/>
    <n v="1"/>
    <n v="7.4318376103906209E-2"/>
    <n v="0.20457348565752087"/>
    <n v="0.16627193000272997"/>
    <n v="0.11261993175869715"/>
    <n v="0.11383934326631616"/>
    <n v="9.9227569532174389E-2"/>
    <n v="0.34471681072436372"/>
    <n v="0.628503298485805"/>
    <n v="0.39410019463942808"/>
    <n v="2.1381709401709417"/>
    <n v="0"/>
    <n v="0"/>
    <n v="0"/>
    <n v="0"/>
    <n v="0"/>
    <n v="0"/>
    <n v="0"/>
    <n v="0"/>
    <n v="0"/>
    <n v="0"/>
  </r>
  <r>
    <x v="2"/>
    <x v="4"/>
    <s v="Electricity"/>
    <s v="Electricity"/>
    <s v="IFDEPRHELC"/>
    <x v="45"/>
    <s v="TechData_OTR"/>
    <n v="1"/>
    <n v="0"/>
    <n v="0.604979983593953"/>
    <n v="1.6653063547003377"/>
    <n v="6.3728094627710705"/>
    <n v="4.3164553800312158"/>
    <n v="1.5251867715786847"/>
    <n v="1.3294224306295395"/>
    <n v="4.6184166613438187"/>
    <n v="2.3837106680168567"/>
    <n v="1.4946951599025564"/>
    <n v="1"/>
    <n v="1"/>
    <n v="1"/>
    <n v="1"/>
    <n v="1"/>
    <n v="1"/>
    <n v="1"/>
    <n v="1"/>
    <n v="1"/>
    <n v="0.604979983593953"/>
    <n v="1.6653063547003377"/>
    <n v="6.3728094627710705"/>
    <n v="4.3164553800312158"/>
    <n v="1.5251867715786847"/>
    <n v="1.3294224306295395"/>
    <n v="4.6184166613438187"/>
    <n v="2.3837106680168567"/>
    <n v="1.4946951599025564"/>
    <n v="24.310982872568029"/>
    <n v="0"/>
    <n v="0"/>
    <n v="0"/>
    <n v="0"/>
    <n v="0"/>
    <n v="0"/>
    <n v="0"/>
    <n v="0"/>
    <n v="0"/>
    <n v="0"/>
  </r>
  <r>
    <x v="2"/>
    <x v="4"/>
    <s v="LPG"/>
    <s v="LPG"/>
    <s v="IFDEPRHLPG"/>
    <x v="46"/>
    <s v="TechData_OTR"/>
    <n v="1"/>
    <n v="0"/>
    <n v="5.0019132160787828E-2"/>
    <n v="0.13768584234658404"/>
    <n v="0"/>
    <n v="0"/>
    <n v="7.6618266631311285E-2"/>
    <n v="6.6783979610699845E-2"/>
    <n v="0.23200770277273267"/>
    <n v="0.11536553161923298"/>
    <n v="7.2339442888138913E-2"/>
    <n v="1"/>
    <n v="1"/>
    <n v="1"/>
    <n v="1"/>
    <n v="1"/>
    <n v="1"/>
    <n v="1"/>
    <n v="1"/>
    <n v="1"/>
    <n v="5.0019132160787828E-2"/>
    <n v="0.13768584234658404"/>
    <n v="0"/>
    <n v="0"/>
    <n v="7.6618266631311285E-2"/>
    <n v="6.6783979610699845E-2"/>
    <n v="0.23200770277273267"/>
    <n v="0.11536553161923298"/>
    <n v="7.2339442888138913E-2"/>
    <n v="0.75081989802948756"/>
    <n v="0"/>
    <n v="0"/>
    <n v="0"/>
    <n v="0"/>
    <n v="0"/>
    <n v="0"/>
    <n v="0"/>
    <n v="0"/>
    <n v="0"/>
    <n v="0"/>
  </r>
  <r>
    <x v="2"/>
    <x v="4"/>
    <s v="Natural Gas"/>
    <s v="Natural Gas"/>
    <s v="IFDEPRHNGA"/>
    <x v="47"/>
    <s v="TechData_OTR"/>
    <n v="1"/>
    <n v="0"/>
    <n v="5.830869683044793"/>
    <n v="16.050422493186591"/>
    <n v="58.471166232381478"/>
    <n v="39.603911200369922"/>
    <n v="11.722731488109771"/>
    <n v="10.218068028749833"/>
    <n v="35.497592445747792"/>
    <n v="30.259083702318186"/>
    <n v="18.973823694202423"/>
    <n v="1"/>
    <n v="1"/>
    <n v="1"/>
    <n v="1"/>
    <n v="1"/>
    <n v="1"/>
    <n v="1"/>
    <n v="1"/>
    <n v="1"/>
    <n v="5.830869683044793"/>
    <n v="16.050422493186591"/>
    <n v="58.471166232381478"/>
    <n v="39.603911200369922"/>
    <n v="11.722731488109771"/>
    <n v="10.218068028749833"/>
    <n v="35.497592445747792"/>
    <n v="30.259083702318186"/>
    <n v="18.973823694202423"/>
    <n v="226.62766896811075"/>
    <n v="0"/>
    <n v="0"/>
    <n v="0"/>
    <n v="0"/>
    <n v="0"/>
    <n v="0"/>
    <n v="0"/>
    <n v="0"/>
    <n v="0"/>
    <n v="0"/>
  </r>
  <r>
    <x v="2"/>
    <x v="4"/>
    <s v="Residual Oil"/>
    <s v="Residual Oil"/>
    <s v="IFDEPRHRFL"/>
    <x v="48"/>
    <s v="TechData_OTR"/>
    <n v="1"/>
    <n v="0"/>
    <n v="2.6993181105503441E-2"/>
    <n v="7.4303145967788822E-2"/>
    <n v="6.0391636020816916E-2"/>
    <n v="4.0904691052475364E-2"/>
    <n v="4.1347593567208386E-2"/>
    <n v="3.6040450497681654E-2"/>
    <n v="0.12520461008169453"/>
    <n v="0"/>
    <n v="0"/>
    <n v="1"/>
    <n v="1"/>
    <n v="1"/>
    <n v="1"/>
    <n v="1"/>
    <n v="1"/>
    <n v="1"/>
    <n v="1"/>
    <n v="1"/>
    <n v="2.6993181105503441E-2"/>
    <n v="7.4303145967788822E-2"/>
    <n v="6.0391636020816916E-2"/>
    <n v="4.0904691052475364E-2"/>
    <n v="4.1347593567208386E-2"/>
    <n v="3.6040450497681654E-2"/>
    <n v="0.12520461008169453"/>
    <n v="0"/>
    <n v="0"/>
    <n v="0.40518530829316912"/>
    <n v="0"/>
    <n v="0"/>
    <n v="0"/>
    <n v="0"/>
    <n v="0"/>
    <n v="0"/>
    <n v="0"/>
    <n v="0"/>
    <n v="0"/>
    <n v="0"/>
  </r>
  <r>
    <x v="2"/>
    <x v="4"/>
    <s v="Steam Coal"/>
    <s v="Steam Coal"/>
    <s v="IFDEPRHCOA"/>
    <x v="49"/>
    <s v="TechData_OTR"/>
    <n v="1"/>
    <n v="0"/>
    <n v="2.5562841595909186E-2"/>
    <n v="7.0365902522880094E-2"/>
    <n v="8.29277452687721"/>
    <n v="5.6168933703472348"/>
    <n v="0.31325303397163073"/>
    <n v="0.27304564764457673"/>
    <n v="0.94856122428442102"/>
    <n v="1.1791771200389636"/>
    <n v="0.73939776233682175"/>
    <n v="1"/>
    <n v="1"/>
    <n v="1"/>
    <n v="1"/>
    <n v="1"/>
    <n v="1"/>
    <n v="1"/>
    <n v="1"/>
    <n v="1"/>
    <n v="2.5562841595909186E-2"/>
    <n v="7.0365902522880094E-2"/>
    <n v="8.29277452687721"/>
    <n v="5.6168933703472348"/>
    <n v="0.31325303397163073"/>
    <n v="0.27304564764457673"/>
    <n v="0.94856122428442102"/>
    <n v="1.1791771200389636"/>
    <n v="0.73939776233682175"/>
    <n v="17.459031429619646"/>
    <n v="0"/>
    <n v="0"/>
    <n v="0"/>
    <n v="0"/>
    <n v="0"/>
    <n v="0"/>
    <n v="0"/>
    <n v="0"/>
    <n v="0"/>
    <n v="0"/>
  </r>
  <r>
    <x v="2"/>
    <x v="5"/>
    <s v="Distillate Oil"/>
    <s v="Distillate Oil"/>
    <s v="IFDEBLLDST"/>
    <x v="50"/>
    <s v="TechData_Boiler"/>
    <n v="1"/>
    <n v="0"/>
    <n v="0"/>
    <n v="0.42512280000000002"/>
    <n v="0.92186955000000004"/>
    <n v="1.8529808999999997"/>
    <n v="0.13030937999999997"/>
    <n v="0"/>
    <n v="0"/>
    <n v="0"/>
    <n v="0"/>
    <n v="0.16974485447877743"/>
    <n v="0.16974485447877743"/>
    <n v="0.16974485447877743"/>
    <n v="0.16974485447877743"/>
    <n v="0.16974485447877743"/>
    <n v="0.16974485447877743"/>
    <n v="0.16974485447877743"/>
    <n v="0.16974485447877743"/>
    <n v="0.16974485447877743"/>
    <n v="0"/>
    <n v="7.2162407821610403E-2"/>
    <n v="0.15648261261316604"/>
    <n v="0.31453397322245397"/>
    <n v="2.2119346745319707E-2"/>
    <n v="0"/>
    <n v="0"/>
    <n v="0"/>
    <n v="0"/>
    <n v="0.56529834040255011"/>
    <n v="0"/>
    <n v="0"/>
    <n v="0"/>
    <n v="0"/>
    <n v="0"/>
    <n v="0"/>
    <n v="0"/>
    <n v="0"/>
    <n v="0"/>
    <n v="0"/>
  </r>
  <r>
    <x v="2"/>
    <x v="5"/>
    <s v="Distillate Oil"/>
    <s v="Distillate Oil"/>
    <s v="IFDEBOLDST"/>
    <x v="50"/>
    <s v="TechData_Boiler"/>
    <n v="1"/>
    <n v="0"/>
    <n v="0"/>
    <n v="1.8662381511984005"/>
    <n v="22.30669237319999"/>
    <n v="5.5774632671999997"/>
    <n v="10.2386680416102"/>
    <n v="0"/>
    <n v="0.81131913840000003"/>
    <n v="4.8057359999999997E-3"/>
    <n v="1.44021253824"/>
    <n v="1.0221502825820963E-3"/>
    <n v="1.0221502825820963E-3"/>
    <n v="1.0221502825820963E-3"/>
    <n v="1.0221502825820963E-3"/>
    <n v="1.0221502825820963E-3"/>
    <n v="1.0221502825820963E-3"/>
    <n v="1.0221502825820963E-3"/>
    <n v="1.0221502825820963E-3"/>
    <n v="1.0221502825820963E-3"/>
    <n v="0"/>
    <n v="1.9075758536129339E-3"/>
    <n v="2.2800791912738261E-2"/>
    <n v="5.7010056546597417E-3"/>
    <n v="1.0465457431996145E-2"/>
    <n v="0"/>
    <n v="8.2929008657982295E-4"/>
    <n v="4.9121844104149531E-6"/>
    <n v="1.472113652940294E-3"/>
    <n v="4.3181146776937615E-2"/>
    <n v="0"/>
    <n v="0"/>
    <n v="0"/>
    <n v="0"/>
    <n v="0"/>
    <n v="0"/>
    <n v="0"/>
    <n v="0"/>
    <n v="0"/>
    <n v="0"/>
  </r>
  <r>
    <x v="2"/>
    <x v="5"/>
    <s v="Distillate Oil"/>
    <s v="Distillate Oil"/>
    <s v="IFDEBSTDST"/>
    <x v="51"/>
    <s v="TechData_CHP"/>
    <n v="0.88782287047481423"/>
    <n v="0.1121771295251858"/>
    <n v="4.827188760392731E-2"/>
    <n v="0"/>
    <n v="0"/>
    <n v="0"/>
    <n v="0"/>
    <n v="0"/>
    <n v="0"/>
    <n v="0"/>
    <n v="6.7980237034836631E-3"/>
    <n v="0.22889859868925344"/>
    <n v="0.22889859868925344"/>
    <n v="0.22889859868925344"/>
    <n v="0.22889859868925344"/>
    <n v="0.22889859868925344"/>
    <n v="0.22889859868925344"/>
    <n v="0.22889859868925344"/>
    <n v="0.22889859868925344"/>
    <n v="0.22889859868925344"/>
    <n v="0.30936441060334385"/>
    <n v="0"/>
    <n v="0"/>
    <n v="0"/>
    <n v="0"/>
    <n v="0"/>
    <n v="0"/>
    <n v="0"/>
    <n v="4.3567109153707158E-2"/>
    <n v="0.352931519757051"/>
    <n v="3.9088440625745902E-2"/>
    <n v="0"/>
    <n v="0"/>
    <n v="0"/>
    <n v="0"/>
    <n v="0"/>
    <n v="0"/>
    <n v="0"/>
    <n v="5.5047390747656536E-3"/>
    <n v="4.4593179700511555E-2"/>
  </r>
  <r>
    <x v="2"/>
    <x v="5"/>
    <s v="Distillate Oil"/>
    <s v="Distillate Oil"/>
    <s v="IFDECCTDST"/>
    <x v="51"/>
    <s v="TechData_CHP"/>
    <n v="0.5040028421789835"/>
    <n v="0.49599715782101655"/>
    <n v="0"/>
    <n v="0"/>
    <n v="0"/>
    <n v="0"/>
    <n v="1.0321400338962871E-2"/>
    <n v="0"/>
    <n v="0"/>
    <n v="0"/>
    <n v="7.7224511362976783E-2"/>
    <n v="0.21965017045938462"/>
    <n v="0.21965017045938462"/>
    <n v="0.21965017045938462"/>
    <n v="0.21965017045938462"/>
    <n v="0.21965017045938462"/>
    <n v="0.21965017045938462"/>
    <n v="0.21965017045938462"/>
    <n v="0.21965017045938462"/>
    <n v="0.21965017045938462"/>
    <n v="0"/>
    <n v="0"/>
    <n v="0"/>
    <n v="0"/>
    <n v="3.60337748469984E-2"/>
    <n v="0"/>
    <n v="0"/>
    <n v="0"/>
    <n v="0.2696039843177509"/>
    <n v="0.30563775916474928"/>
    <n v="0"/>
    <n v="0"/>
    <n v="0"/>
    <n v="0"/>
    <n v="3.5461406988111059E-2"/>
    <n v="0"/>
    <n v="0"/>
    <n v="0"/>
    <n v="0.26532153941968878"/>
    <n v="0.30078294640779984"/>
  </r>
  <r>
    <x v="2"/>
    <x v="5"/>
    <s v="Distillate Oil"/>
    <s v="Distillate Oil"/>
    <s v="IFDEREGDST"/>
    <x v="51"/>
    <s v="TechData_CHP"/>
    <n v="0.48901213487462869"/>
    <n v="0.51098786512537131"/>
    <n v="0"/>
    <n v="2.7014508872622409E-3"/>
    <n v="0"/>
    <n v="0"/>
    <n v="3.3814324413050774E-2"/>
    <n v="0"/>
    <n v="0"/>
    <n v="0"/>
    <n v="3.6493398949325517E-2"/>
    <n v="0.21159809588719825"/>
    <n v="0.21159809588719825"/>
    <n v="0.21159809588719825"/>
    <n v="0.21159809588719825"/>
    <n v="0.21159809588719825"/>
    <n v="0.21159809588719825"/>
    <n v="0.21159809588719825"/>
    <n v="0.21159809588719825"/>
    <n v="0.21159809588719825"/>
    <n v="0"/>
    <n v="8.8152589628735685E-3"/>
    <n v="0"/>
    <n v="0"/>
    <n v="0.1103414567931489"/>
    <n v="0"/>
    <n v="0"/>
    <n v="0"/>
    <n v="0.1190836982047766"/>
    <n v="0.23824041396079906"/>
    <n v="0"/>
    <n v="9.2114081363664033E-3"/>
    <n v="0"/>
    <n v="0"/>
    <n v="0.11530009466127028"/>
    <n v="0"/>
    <n v="0"/>
    <n v="0"/>
    <n v="0.12443520390857664"/>
    <n v="0.24894670670621333"/>
  </r>
  <r>
    <x v="2"/>
    <x v="5"/>
    <s v="Electricity"/>
    <s v="Electricity"/>
    <s v="IFDEBOLELC"/>
    <x v="52"/>
    <s v="TechData_Boiler"/>
    <n v="1"/>
    <n v="0"/>
    <n v="0.18348613020613821"/>
    <n v="0.50507558418121157"/>
    <n v="1.9328278266636691"/>
    <n v="1.309150245243436"/>
    <n v="0.46257831027083146"/>
    <n v="0.40320437670739923"/>
    <n v="1.4007329562134629"/>
    <n v="0.72296250763076231"/>
    <n v="0.4533304211142935"/>
    <n v="1"/>
    <n v="1"/>
    <n v="1"/>
    <n v="1"/>
    <n v="1"/>
    <n v="1"/>
    <n v="1"/>
    <n v="1"/>
    <n v="1"/>
    <n v="0.18348613020613821"/>
    <n v="0.50507558418121157"/>
    <n v="1.9328278266636691"/>
    <n v="1.309150245243436"/>
    <n v="0.46257831027083146"/>
    <n v="0.40320437670739923"/>
    <n v="1.4007329562134629"/>
    <n v="0.72296250763076231"/>
    <n v="0.4533304211142935"/>
    <n v="7.3733483582312047"/>
    <n v="0"/>
    <n v="0"/>
    <n v="0"/>
    <n v="0"/>
    <n v="0"/>
    <n v="0"/>
    <n v="0"/>
    <n v="0"/>
    <n v="0"/>
    <n v="0"/>
  </r>
  <r>
    <x v="2"/>
    <x v="5"/>
    <s v="LPG"/>
    <s v="LPG"/>
    <s v="IFDEBSTLPG"/>
    <x v="51"/>
    <s v="TechData_CHP"/>
    <n v="0.90240466805629471"/>
    <n v="9.7595331943705288E-2"/>
    <n v="0"/>
    <n v="7.6694892133595522E-5"/>
    <n v="2.5942038403079242E-3"/>
    <n v="3.5064928529818526E-3"/>
    <n v="5.9709620929053128E-4"/>
    <n v="3.6639928350837444E-4"/>
    <n v="1.2347567805193675E-3"/>
    <n v="1.1359882670205227E-4"/>
    <n v="2.5783094656638486E-4"/>
    <n v="0.32287180241469959"/>
    <n v="0.32287180241469959"/>
    <n v="0.32287180241469959"/>
    <n v="0.32287180241469959"/>
    <n v="0.32287180241469959"/>
    <n v="0.32287180241469959"/>
    <n v="0.32287180241469959"/>
    <n v="0.32287180241469959"/>
    <n v="0.32287180241469959"/>
    <n v="0"/>
    <n v="7.0470036956835557E-4"/>
    <n v="2.3836481858742223E-2"/>
    <n v="3.2218922807542454E-2"/>
    <n v="5.4863356300436763E-3"/>
    <n v="3.3666089528904776E-3"/>
    <n v="1.1345391268604142E-2"/>
    <n v="1.0437870493385992E-3"/>
    <n v="2.3690438603785596E-3"/>
    <n v="8.0371271797108498E-2"/>
    <n v="0"/>
    <n v="7.6213553545785771E-5"/>
    <n v="2.5779225681365086E-3"/>
    <n v="3.4844860377811842E-3"/>
    <n v="5.9334882223291831E-4"/>
    <n v="3.6409975470284172E-4"/>
    <n v="1.2270074237044648E-3"/>
    <n v="1.1288587832569412E-4"/>
    <n v="2.5621279468871177E-4"/>
    <n v="8.6921768331181086E-3"/>
  </r>
  <r>
    <x v="2"/>
    <x v="5"/>
    <s v="LPG"/>
    <s v="LPG"/>
    <s v="IFDECCTLPG"/>
    <x v="51"/>
    <s v="TechData_CHP"/>
    <n v="0.49431060550593198"/>
    <n v="0.50568939449406802"/>
    <n v="1.6939201393670544E-3"/>
    <n v="1.712198304602985E-3"/>
    <n v="9.2384933307476213E-5"/>
    <n v="5.118624683252061E-5"/>
    <n v="8.1274052433640102E-3"/>
    <n v="4.3723640598680446E-5"/>
    <n v="6.4919142324172487E-5"/>
    <n v="6.2969855717853382E-4"/>
    <n v="2.6066003725318296E-2"/>
    <n v="0.37210158562058382"/>
    <n v="0.37210158562058382"/>
    <n v="0.37210158562058382"/>
    <n v="0.37210158562058382"/>
    <n v="0.37210158562058382"/>
    <n v="0.37210158562058382"/>
    <n v="0.37210158562058382"/>
    <n v="0.37210158562058382"/>
    <n v="0.37210158562058382"/>
    <n v="9.8256431546048257E-3"/>
    <n v="9.931666292859893E-3"/>
    <n v="5.3588204452212904E-4"/>
    <n v="2.9690761926226073E-4"/>
    <n v="4.7143299048323546E-2"/>
    <n v="2.536205101754998E-4"/>
    <n v="3.7656576101555031E-4"/>
    <n v="3.6525885571663881E-3"/>
    <n v="0.15119676844226959"/>
    <n v="0.22321294143019971"/>
    <n v="1.0051824666560327E-2"/>
    <n v="1.0160288405734387E-2"/>
    <n v="5.482177877556921E-4"/>
    <n v="3.037422878105862E-4"/>
    <n v="4.8228514793444824E-2"/>
    <n v="2.5945873059036773E-4"/>
    <n v="3.8523412112562155E-4"/>
    <n v="3.7366693638282988E-3"/>
    <n v="0.15467724429010574"/>
    <n v="0.22835119444695584"/>
  </r>
  <r>
    <x v="2"/>
    <x v="5"/>
    <s v="LPG"/>
    <s v="LPG"/>
    <s v="IFDEFCLLPG"/>
    <x v="51"/>
    <s v="TechData_CHP"/>
    <n v="0.35322635092009225"/>
    <n v="0.64677364907990775"/>
    <n v="8.8092349820847867E-6"/>
    <n v="0"/>
    <n v="0"/>
    <n v="0"/>
    <n v="0"/>
    <n v="0"/>
    <n v="0"/>
    <n v="0"/>
    <n v="1.5893489491818829E-6"/>
    <n v="0.348600432844547"/>
    <n v="0.348600432844547"/>
    <n v="0.348600432844547"/>
    <n v="0.348600432844547"/>
    <n v="0.348600432844547"/>
    <n v="0.348600432844547"/>
    <n v="0.348600432844547"/>
    <n v="0.348600432844547"/>
    <n v="0.348600432844547"/>
    <n v="3.4207853095083297E-5"/>
    <n v="0"/>
    <n v="0"/>
    <n v="0"/>
    <n v="0"/>
    <n v="0"/>
    <n v="0"/>
    <n v="0"/>
    <n v="6.171729495354217E-6"/>
    <n v="4.0379582590437516E-5"/>
    <n v="6.2636147942715507E-5"/>
    <n v="0"/>
    <n v="0"/>
    <n v="0"/>
    <n v="0"/>
    <n v="0"/>
    <n v="0"/>
    <n v="0"/>
    <n v="1.1300719769197967E-5"/>
    <n v="7.3936867711913476E-5"/>
  </r>
  <r>
    <x v="2"/>
    <x v="5"/>
    <s v="LPG"/>
    <s v="LPG"/>
    <s v="IFDEMTTLPG"/>
    <x v="51"/>
    <s v="TechData_CHP"/>
    <n v="0.58829817280395214"/>
    <n v="0.41170182719604786"/>
    <n v="0"/>
    <n v="2.5554182480921714E-6"/>
    <n v="1.5332509488553029E-6"/>
    <n v="0"/>
    <n v="0"/>
    <n v="0"/>
    <n v="0"/>
    <n v="0"/>
    <n v="5.7988642131552452E-6"/>
    <n v="0.38581059140660551"/>
    <n v="0.38581059140660551"/>
    <n v="0.38581059140660551"/>
    <n v="0.38581059140660551"/>
    <n v="0.38581059140660551"/>
    <n v="0.38581059140660551"/>
    <n v="0.38581059140660551"/>
    <n v="0.38581059140660551"/>
    <n v="0.38581059140660551"/>
    <n v="0"/>
    <n v="1.8291117687685875E-5"/>
    <n v="1.0974670612611524E-5"/>
    <n v="0"/>
    <n v="0"/>
    <n v="0"/>
    <n v="0"/>
    <n v="0"/>
    <n v="4.1506985346496899E-5"/>
    <n v="7.0772773646794298E-5"/>
    <n v="0"/>
    <n v="1.2800458885646966E-5"/>
    <n v="7.6802753313881812E-6"/>
    <n v="0"/>
    <n v="0"/>
    <n v="0"/>
    <n v="0"/>
    <n v="0"/>
    <n v="2.9047347924106211E-5"/>
    <n v="4.9528082141141359E-5"/>
  </r>
  <r>
    <x v="2"/>
    <x v="5"/>
    <s v="LPG"/>
    <s v="LPG"/>
    <s v="IFDEREGLPG"/>
    <x v="51"/>
    <s v="TechData_CHP"/>
    <n v="0.53168611646901609"/>
    <n v="0.46831388353098397"/>
    <n v="6.6351483896283587E-5"/>
    <n v="1.5208188655084877E-4"/>
    <n v="1.5450654043569441E-4"/>
    <n v="6.6993359047252366E-5"/>
    <n v="0"/>
    <n v="0"/>
    <n v="3.6522224123100707E-5"/>
    <n v="0"/>
    <n v="2.6538906276407035E-4"/>
    <n v="0.36160101692181812"/>
    <n v="0.36160101692181812"/>
    <n v="0.36160101692181812"/>
    <n v="0.36160101692181812"/>
    <n v="0.36160101692181812"/>
    <n v="0.36160101692181812"/>
    <n v="0.36160101692181812"/>
    <n v="0.36160101692181812"/>
    <n v="0.36160101692181812"/>
    <n v="4.0229275386777078E-4"/>
    <n v="9.2208097485177237E-4"/>
    <n v="9.3678178681907444E-4"/>
    <n v="4.0618447876914838E-4"/>
    <n v="0"/>
    <n v="0"/>
    <n v="2.2143628532595729E-4"/>
    <n v="0"/>
    <n v="1.6090687146143011E-3"/>
    <n v="4.4978449942480242E-3"/>
    <n v="3.5434305324985653E-4"/>
    <n v="8.1217716409571431E-4"/>
    <n v="8.2512577067056188E-4"/>
    <n v="3.5777091932674818E-4"/>
    <n v="0"/>
    <n v="0"/>
    <n v="1.9504305928536936E-4"/>
    <n v="0"/>
    <n v="1.4172821054904202E-3"/>
    <n v="3.9617420721186703E-3"/>
  </r>
  <r>
    <x v="2"/>
    <x v="5"/>
    <s v="Natural Gas"/>
    <s v="Natural Gas"/>
    <s v="IFDEBASNGA"/>
    <x v="53"/>
    <s v="TechData_Boiler"/>
    <n v="1"/>
    <n v="0"/>
    <n v="0"/>
    <n v="0.97843485125284058"/>
    <n v="11.341518022065294"/>
    <n v="23.14497196870602"/>
    <n v="2.1671068066501165"/>
    <n v="3.0998798235167477"/>
    <n v="0.3509418311469073"/>
    <n v="0.99261506648838915"/>
    <n v="0"/>
    <n v="1"/>
    <n v="1"/>
    <n v="1"/>
    <n v="1"/>
    <n v="1"/>
    <n v="1"/>
    <n v="1"/>
    <n v="1"/>
    <n v="1"/>
    <n v="0"/>
    <n v="0.97843485125284058"/>
    <n v="11.341518022065294"/>
    <n v="23.14497196870602"/>
    <n v="2.1671068066501165"/>
    <n v="3.0998798235167477"/>
    <n v="0.3509418311469073"/>
    <n v="0.99261506648838915"/>
    <n v="0"/>
    <n v="42.075468369826311"/>
    <n v="0"/>
    <n v="0"/>
    <n v="0"/>
    <n v="0"/>
    <n v="0"/>
    <n v="0"/>
    <n v="0"/>
    <n v="0"/>
    <n v="0"/>
    <n v="0"/>
  </r>
  <r>
    <x v="2"/>
    <x v="5"/>
    <s v="Natural Gas"/>
    <s v="Natural Gas"/>
    <s v="IFDEBOLNGA"/>
    <x v="53"/>
    <s v="TechData_Boiler"/>
    <n v="1"/>
    <n v="0"/>
    <n v="0"/>
    <n v="2.9333473199999993"/>
    <n v="34.001866810199992"/>
    <n v="69.388617350400025"/>
    <n v="6.4969853999999998"/>
    <n v="9.2934385574999983"/>
    <n v="1.0521234791999998"/>
    <n v="2.9758595999999997"/>
    <n v="0"/>
    <n v="0.99999999999999989"/>
    <n v="0.99999999999999989"/>
    <n v="0.99999999999999989"/>
    <n v="0.99999999999999989"/>
    <n v="0.99999999999999989"/>
    <n v="0.99999999999999989"/>
    <n v="0.99999999999999989"/>
    <n v="0.99999999999999989"/>
    <n v="0.99999999999999989"/>
    <n v="0"/>
    <n v="2.9333473199999989"/>
    <n v="34.001866810199985"/>
    <n v="69.388617350400011"/>
    <n v="6.4969853999999989"/>
    <n v="9.2934385574999965"/>
    <n v="1.0521234791999996"/>
    <n v="2.9758595999999993"/>
    <n v="0"/>
    <n v="126.14223851729999"/>
    <n v="0"/>
    <n v="0"/>
    <n v="0"/>
    <n v="0"/>
    <n v="0"/>
    <n v="0"/>
    <n v="0"/>
    <n v="0"/>
    <n v="0"/>
    <n v="0"/>
  </r>
  <r>
    <x v="2"/>
    <x v="5"/>
    <s v="Natural Gas"/>
    <s v="Natural Gas"/>
    <s v="IFDEBSTNGA"/>
    <x v="51"/>
    <s v="TechData_CHP"/>
    <n v="0.90240466805629471"/>
    <n v="9.7595331943705288E-2"/>
    <n v="0"/>
    <n v="2.1590042664593842E-2"/>
    <n v="0.73028294368468172"/>
    <n v="0.98709742191304983"/>
    <n v="0.16808593473205877"/>
    <n v="0.10314345510054197"/>
    <n v="0.34759096505896486"/>
    <n v="3.1978707406914379E-2"/>
    <n v="7.2580858799884448E-2"/>
    <n v="0.32288035930421127"/>
    <n v="0.32288035930421127"/>
    <n v="0.32288035930421127"/>
    <n v="0.32288035930421127"/>
    <n v="0.32288035930421127"/>
    <n v="0.32288035930421127"/>
    <n v="0.32288035930421127"/>
    <n v="0.32288035930421127"/>
    <n v="0.32288035930421127"/>
    <n v="0"/>
    <n v="0.1983823673661215"/>
    <n v="6.7102812841056787"/>
    <n v="9.0700480041774831"/>
    <n v="1.5444752088321316"/>
    <n v="0.94774443566629762"/>
    <n v="3.1938759730454422"/>
    <n v="0.29383970097918954"/>
    <n v="0.66691681984492934"/>
    <n v="22.625563794017275"/>
    <n v="0"/>
    <n v="2.1455111747789527E-2"/>
    <n v="0.72571890698272912"/>
    <n v="0.98092837620142059"/>
    <n v="0.16703545096842543"/>
    <n v="0.10249884123037561"/>
    <n v="0.34541863180715443"/>
    <n v="3.1778850631470942E-2"/>
    <n v="7.2127251460035444E-2"/>
    <n v="2.4469614210294015"/>
  </r>
  <r>
    <x v="2"/>
    <x v="5"/>
    <s v="Natural Gas"/>
    <s v="Natural Gas"/>
    <s v="IFDECCTNGA"/>
    <x v="51"/>
    <s v="TechData_CHP"/>
    <n v="0.49431060550593198"/>
    <n v="0.50568939449406802"/>
    <n v="0.47684802810133292"/>
    <n v="0.48199343422025459"/>
    <n v="2.6006877331539446E-2"/>
    <n v="1.4409215818825909E-2"/>
    <n v="2.2879101994304674"/>
    <n v="1.23084502724448E-2"/>
    <n v="1.8275102989730421E-2"/>
    <n v="0.17726367867675069"/>
    <n v="7.3377263709400191"/>
    <n v="0.37211144721930961"/>
    <n v="0.37211144721930961"/>
    <n v="0.37211144721930961"/>
    <n v="0.37211144721930961"/>
    <n v="0.37211144721930961"/>
    <n v="0.37211144721930961"/>
    <n v="0.37211144721930961"/>
    <n v="0.37211144721930961"/>
    <n v="0.37211144721930961"/>
    <n v="2.7660470095952703"/>
    <n v="2.7958939091726176"/>
    <n v="0.15085780171566285"/>
    <n v="8.358337662624564E-2"/>
    <n v="13.271455038946556"/>
    <n v="7.1397489477744297E-2"/>
    <n v="0.10600818498938472"/>
    <n v="1.0282514331997772"/>
    <n v="42.563867080213399"/>
    <n v="62.837361323936662"/>
    <n v="2.8297200623335081"/>
    <n v="2.8602540229782445"/>
    <n v="0.15433047471481826"/>
    <n v="8.5507425179831731E-2"/>
    <n v="13.576957459432043"/>
    <n v="7.3041024854086062E-2"/>
    <n v="0.1084484416914939"/>
    <n v="1.0519212795571162"/>
    <n v="43.543666535515612"/>
    <n v="64.283846726256755"/>
  </r>
  <r>
    <x v="2"/>
    <x v="5"/>
    <s v="Natural Gas"/>
    <s v="Natural Gas"/>
    <s v="IFDEFCLNGA"/>
    <x v="51"/>
    <s v="TechData_CHP"/>
    <n v="0.35322635092009225"/>
    <n v="0.64677364907990775"/>
    <n v="2.4798490983512483E-3"/>
    <n v="0"/>
    <n v="0"/>
    <n v="0"/>
    <n v="0"/>
    <n v="0"/>
    <n v="0"/>
    <n v="0"/>
    <n v="4.4741065105081816E-4"/>
    <n v="0.34860967160545853"/>
    <n v="0.34860967160545853"/>
    <n v="0.34860967160545853"/>
    <n v="0.34860967160545853"/>
    <n v="0.34860967160545853"/>
    <n v="0.34860967160545853"/>
    <n v="0.34860967160545853"/>
    <n v="0.34860967160545853"/>
    <n v="0.34860967160545853"/>
    <n v="9.6299578836205948E-3"/>
    <n v="0"/>
    <n v="0"/>
    <n v="0"/>
    <n v="0"/>
    <n v="0"/>
    <n v="0"/>
    <n v="0"/>
    <n v="1.7374225428342506E-3"/>
    <n v="1.1367380426454845E-2"/>
    <n v="1.7632894557983086E-2"/>
    <n v="0"/>
    <n v="0"/>
    <n v="0"/>
    <n v="0"/>
    <n v="0"/>
    <n v="0"/>
    <n v="0"/>
    <n v="3.1813003619223499E-3"/>
    <n v="2.0814194919905438E-2"/>
  </r>
  <r>
    <x v="2"/>
    <x v="5"/>
    <s v="Natural Gas"/>
    <s v="Natural Gas"/>
    <s v="IFDEMTTNGA"/>
    <x v="51"/>
    <s v="TechData_CHP"/>
    <n v="0.58829817280395214"/>
    <n v="0.41170182719604786"/>
    <n v="0"/>
    <n v="7.1936458175190794E-4"/>
    <n v="4.3161874905114477E-4"/>
    <n v="0"/>
    <n v="0"/>
    <n v="0"/>
    <n v="0"/>
    <n v="0"/>
    <n v="1.6324128280945371E-3"/>
    <n v="0.38582081632738957"/>
    <n v="0.38582081632738957"/>
    <n v="0.38582081632738957"/>
    <n v="0.38582081632738957"/>
    <n v="0.38582081632738957"/>
    <n v="0.38582081632738957"/>
    <n v="0.38582081632738957"/>
    <n v="0.38582081632738957"/>
    <n v="0.38582081632738957"/>
    <n v="0"/>
    <n v="5.1491887692326323E-3"/>
    <n v="3.0895132615395794E-3"/>
    <n v="0"/>
    <n v="0"/>
    <n v="0"/>
    <n v="0"/>
    <n v="0"/>
    <n v="1.1684759042077175E-2"/>
    <n v="1.9923461072849386E-2"/>
    <n v="0"/>
    <n v="3.6034965309622016E-3"/>
    <n v="2.1620979185773214E-3"/>
    <n v="0"/>
    <n v="0"/>
    <n v="0"/>
    <n v="0"/>
    <n v="0"/>
    <n v="8.1772082089601166E-3"/>
    <n v="1.3942802658499639E-2"/>
  </r>
  <r>
    <x v="2"/>
    <x v="5"/>
    <s v="Natural Gas"/>
    <s v="Natural Gas"/>
    <s v="IFDEREGNGA"/>
    <x v="51"/>
    <s v="TechData_CHP"/>
    <n v="0.53168611646901609"/>
    <n v="0.46831388353098397"/>
    <n v="1.8678315182770383E-2"/>
    <n v="4.2811904780115824E-2"/>
    <n v="4.349445845956431E-2"/>
    <n v="1.8859006640952747E-2"/>
    <n v="0"/>
    <n v="0"/>
    <n v="1.0281211109210231E-2"/>
    <n v="0"/>
    <n v="7.4708510937235947E-2"/>
    <n v="0.36161060022988645"/>
    <n v="0.36161060022988645"/>
    <n v="0.36161060022988645"/>
    <n v="0.36161060022988645"/>
    <n v="0.36161060022988645"/>
    <n v="0.36161060022988645"/>
    <n v="0.36161060022988645"/>
    <n v="0.36161060022988645"/>
    <n v="0.36161060022988645"/>
    <n v="0.11325066983490989"/>
    <n v="0.2595778498121139"/>
    <n v="0.26371632058099392"/>
    <n v="0.11434624127550082"/>
    <n v="0"/>
    <n v="0"/>
    <n v="6.2337209402388807E-2"/>
    <n v="0"/>
    <n v="0.45297388031096236"/>
    <n v="1.2662021712168698"/>
    <n v="9.9752202211137897E-2"/>
    <n v="0.2286384901893854"/>
    <n v="0.23228369223175735"/>
    <n v="0.10071719132809311"/>
    <n v="0"/>
    <n v="0"/>
    <n v="5.4907171203929885E-2"/>
    <n v="0"/>
    <n v="0.39898344240269057"/>
    <n v="1.1152821895669942"/>
  </r>
  <r>
    <x v="2"/>
    <x v="5"/>
    <s v="Residual Oil"/>
    <s v="Residual Oil"/>
    <s v="IFDEBHLRFL"/>
    <x v="54"/>
    <s v="TechData_Boiler"/>
    <n v="1"/>
    <n v="0"/>
    <n v="0"/>
    <n v="0"/>
    <n v="6.6166667099999996"/>
    <n v="3.0331587599999996"/>
    <n v="0.50272619460000001"/>
    <n v="0"/>
    <n v="0"/>
    <n v="0"/>
    <n v="0"/>
    <n v="0.16041951818657224"/>
    <n v="0.16041951818657224"/>
    <n v="0.16041951818657224"/>
    <n v="0.16041951818657224"/>
    <n v="0.16041951818657224"/>
    <n v="0.16041951818657224"/>
    <n v="0.16041951818657224"/>
    <n v="0.16041951818657224"/>
    <n v="0.16041951818657224"/>
    <n v="0"/>
    <n v="0"/>
    <n v="1.0614424856193321"/>
    <n v="0.48657786686258087"/>
    <n v="8.0647093917500953E-2"/>
    <n v="0"/>
    <n v="0"/>
    <n v="0"/>
    <n v="0"/>
    <n v="1.628667446399414"/>
    <n v="0"/>
    <n v="0"/>
    <n v="0"/>
    <n v="0"/>
    <n v="0"/>
    <n v="0"/>
    <n v="0"/>
    <n v="0"/>
    <n v="0"/>
    <n v="0"/>
  </r>
  <r>
    <x v="2"/>
    <x v="5"/>
    <s v="Residual Oil"/>
    <s v="Residual Oil"/>
    <s v="IFDEBOLRFL"/>
    <x v="54"/>
    <s v="TechData_Boiler"/>
    <n v="1"/>
    <n v="0"/>
    <n v="0"/>
    <n v="0"/>
    <n v="0"/>
    <n v="0"/>
    <n v="0.92418"/>
    <n v="0"/>
    <n v="0"/>
    <n v="0"/>
    <n v="0"/>
    <n v="1.2248792353426617E-2"/>
    <n v="1.2248792353426617E-2"/>
    <n v="1.2248792353426617E-2"/>
    <n v="1.2248792353426617E-2"/>
    <n v="1.2248792353426617E-2"/>
    <n v="1.2248792353426617E-2"/>
    <n v="1.2248792353426617E-2"/>
    <n v="1.2248792353426617E-2"/>
    <n v="1.2248792353426617E-2"/>
    <n v="0"/>
    <n v="0"/>
    <n v="0"/>
    <n v="0"/>
    <n v="1.1320088917189811E-2"/>
    <n v="0"/>
    <n v="0"/>
    <n v="0"/>
    <n v="0"/>
    <n v="1.1320088917189811E-2"/>
    <n v="0"/>
    <n v="0"/>
    <n v="0"/>
    <n v="0"/>
    <n v="0"/>
    <n v="0"/>
    <n v="0"/>
    <n v="0"/>
    <n v="0"/>
    <n v="0"/>
  </r>
  <r>
    <x v="2"/>
    <x v="5"/>
    <s v="Residual Oil"/>
    <s v="Residual Oil"/>
    <s v="IFDEBSTRFL"/>
    <x v="51"/>
    <s v="TechData_CHP"/>
    <n v="0.88782287047481423"/>
    <n v="0.1121771295251858"/>
    <n v="3.9151582212160592E-2"/>
    <n v="0"/>
    <n v="0"/>
    <n v="0"/>
    <n v="0"/>
    <n v="0"/>
    <n v="0"/>
    <n v="0"/>
    <n v="5.5136311654301945E-3"/>
    <n v="0.2288985986892535"/>
    <n v="0.2288985986892535"/>
    <n v="0.2288985986892535"/>
    <n v="0.2288985986892535"/>
    <n v="0.2288985986892535"/>
    <n v="0.2288985986892535"/>
    <n v="0.2288985986892535"/>
    <n v="0.2288985986892535"/>
    <n v="0.2288985986892535"/>
    <n v="0.2509142848241967"/>
    <n v="0"/>
    <n v="0"/>
    <n v="0"/>
    <n v="0"/>
    <n v="0"/>
    <n v="0"/>
    <n v="0"/>
    <n v="3.5335706566377703E-2"/>
    <n v="0.28624999139057439"/>
    <n v="3.170322050094309E-2"/>
    <n v="0"/>
    <n v="0"/>
    <n v="0"/>
    <n v="0"/>
    <n v="0"/>
    <n v="0"/>
    <n v="0"/>
    <n v="4.464694776606294E-3"/>
    <n v="3.6167915277549381E-2"/>
  </r>
  <r>
    <x v="2"/>
    <x v="5"/>
    <s v="Residual Oil"/>
    <s v="Residual Oil"/>
    <s v="IFDECCTRFL"/>
    <x v="51"/>
    <s v="TechData_CHP"/>
    <n v="0.5040028421789835"/>
    <n v="0.49599715782101655"/>
    <n v="0"/>
    <n v="0"/>
    <n v="0"/>
    <n v="0"/>
    <n v="8.3713145264004626E-3"/>
    <n v="0"/>
    <n v="0"/>
    <n v="0"/>
    <n v="6.2634008229160945E-2"/>
    <n v="0.21965017045938467"/>
    <n v="0.21965017045938467"/>
    <n v="0.21965017045938467"/>
    <n v="0.21965017045938467"/>
    <n v="0.21965017045938467"/>
    <n v="0.21965017045938467"/>
    <n v="0.21965017045938467"/>
    <n v="0.21965017045938467"/>
    <n v="0.21965017045938467"/>
    <n v="0"/>
    <n v="0"/>
    <n v="0"/>
    <n v="0"/>
    <n v="2.9225691564254558E-2"/>
    <n v="0"/>
    <n v="0"/>
    <n v="0"/>
    <n v="0.21866604105789539"/>
    <n v="0.24789173262214995"/>
    <n v="0"/>
    <n v="0"/>
    <n v="0"/>
    <n v="0"/>
    <n v="2.8761464694431409E-2"/>
    <n v="0"/>
    <n v="0"/>
    <n v="0"/>
    <n v="0.21519270488195757"/>
    <n v="0.24395416957638899"/>
  </r>
  <r>
    <x v="2"/>
    <x v="5"/>
    <s v="Residual Oil"/>
    <s v="Residual Oil"/>
    <s v="IFDEREGRFL"/>
    <x v="51"/>
    <s v="TechData_CHP"/>
    <n v="0.48901213487462869"/>
    <n v="0.51098786512537131"/>
    <n v="0"/>
    <n v="2.1910491127377597E-3"/>
    <n v="0"/>
    <n v="0"/>
    <n v="2.7425575586949236E-2"/>
    <n v="0"/>
    <n v="0"/>
    <n v="0"/>
    <n v="2.9598476050674484E-2"/>
    <n v="0.2115980958871983"/>
    <n v="0.2115980958871983"/>
    <n v="0.2115980958871983"/>
    <n v="0.2115980958871983"/>
    <n v="0.2115980958871983"/>
    <n v="0.2115980958871983"/>
    <n v="0.2115980958871983"/>
    <n v="0.2115980958871983"/>
    <n v="0.2115980958871983"/>
    <n v="0"/>
    <n v="7.1497377280591553E-3"/>
    <n v="0"/>
    <n v="0"/>
    <n v="8.9493964944827753E-2"/>
    <n v="0"/>
    <n v="0"/>
    <n v="0"/>
    <n v="9.6584480777857862E-2"/>
    <n v="0.19322818345074477"/>
    <n v="0"/>
    <n v="7.4710399953651944E-3"/>
    <n v="0"/>
    <n v="0"/>
    <n v="9.3515736783273379E-2"/>
    <n v="0"/>
    <n v="0"/>
    <n v="0"/>
    <n v="0.10092489350918284"/>
    <n v="0.20191167028782142"/>
  </r>
  <r>
    <x v="2"/>
    <x v="5"/>
    <s v="Steam Coal"/>
    <s v="Steam Coal"/>
    <s v="IFDEBFBCOA"/>
    <x v="55"/>
    <s v="TechData_Boiler"/>
    <n v="1"/>
    <n v="0"/>
    <n v="0"/>
    <n v="0"/>
    <n v="2.9804804999999996"/>
    <n v="9.2048328000000001"/>
    <n v="0"/>
    <n v="0"/>
    <n v="0"/>
    <n v="0"/>
    <n v="0"/>
    <n v="0.2907427897403484"/>
    <n v="0.2907427897403484"/>
    <n v="0.2907427897403484"/>
    <n v="0.2907427897403484"/>
    <n v="0.2907427897403484"/>
    <n v="0.2907427897403484"/>
    <n v="0.2907427897403484"/>
    <n v="0.2907427897403484"/>
    <n v="0.2907427897403484"/>
    <n v="0"/>
    <n v="0"/>
    <n v="0.86655321533670837"/>
    <n v="2.6762387673654624"/>
    <n v="0"/>
    <n v="0"/>
    <n v="0"/>
    <n v="0"/>
    <n v="0"/>
    <n v="3.5427919827021706"/>
    <n v="0"/>
    <n v="0"/>
    <n v="0"/>
    <n v="0"/>
    <n v="0"/>
    <n v="0"/>
    <n v="0"/>
    <n v="0"/>
    <n v="0"/>
    <n v="0"/>
  </r>
  <r>
    <x v="2"/>
    <x v="5"/>
    <s v="Steam Coal"/>
    <s v="Steam Coal"/>
    <s v="IFDEBOLCOA"/>
    <x v="55"/>
    <s v="TechData_Boiler"/>
    <n v="1"/>
    <n v="0"/>
    <n v="0"/>
    <n v="0"/>
    <n v="9.2418E-2"/>
    <n v="0.19685033999999998"/>
    <n v="0"/>
    <n v="0"/>
    <n v="0"/>
    <n v="0.49390027559999999"/>
    <n v="1.2014339999999999E-3"/>
    <n v="8.4873515968795371E-4"/>
    <n v="8.4873515968795371E-4"/>
    <n v="8.4873515968795371E-4"/>
    <n v="8.4873515968795371E-4"/>
    <n v="8.4873515968795371E-4"/>
    <n v="8.4873515968795371E-4"/>
    <n v="8.4873515968795371E-4"/>
    <n v="8.4873515968795371E-4"/>
    <n v="8.4873515968795371E-4"/>
    <n v="0"/>
    <n v="0"/>
    <n v="7.8438405988041305E-5"/>
    <n v="1.6707380475452797E-4"/>
    <n v="0"/>
    <n v="0"/>
    <n v="0"/>
    <n v="4.1919052928129035E-4"/>
    <n v="1.0196992778445369E-6"/>
    <n v="6.6572243930170406E-4"/>
    <n v="0"/>
    <n v="0"/>
    <n v="0"/>
    <n v="0"/>
    <n v="0"/>
    <n v="0"/>
    <n v="0"/>
    <n v="0"/>
    <n v="0"/>
    <n v="0"/>
  </r>
  <r>
    <x v="2"/>
    <x v="5"/>
    <s v="Steam Coal"/>
    <s v="Steam Coal"/>
    <s v="IFDEBPVCOA"/>
    <x v="55"/>
    <s v="TechData_Boiler"/>
    <n v="1"/>
    <n v="0"/>
    <n v="0"/>
    <n v="0"/>
    <n v="5.2401005999999999"/>
    <n v="4.3658263199999991"/>
    <n v="0"/>
    <n v="0"/>
    <n v="0"/>
    <n v="2.4768024"/>
    <n v="0"/>
    <n v="0.26628163512490044"/>
    <n v="0.26628163512490044"/>
    <n v="0.26628163512490044"/>
    <n v="0.26628163512490044"/>
    <n v="0.26628163512490044"/>
    <n v="0.26628163512490044"/>
    <n v="0.26628163512490044"/>
    <n v="0.26628163512490044"/>
    <n v="0.26628163512490044"/>
    <n v="0"/>
    <n v="0"/>
    <n v="1.3953425559869719"/>
    <n v="1.1625393711609266"/>
    <n v="0"/>
    <n v="0"/>
    <n v="0"/>
    <n v="0.65952699295327766"/>
    <n v="0"/>
    <n v="3.2174089201011764"/>
    <n v="0"/>
    <n v="0"/>
    <n v="0"/>
    <n v="0"/>
    <n v="0"/>
    <n v="0"/>
    <n v="0"/>
    <n v="0"/>
    <n v="0"/>
    <n v="0"/>
  </r>
  <r>
    <x v="2"/>
    <x v="5"/>
    <s v="Steam Coal"/>
    <s v="Steam Coal"/>
    <s v="IFDEBSOCOA"/>
    <x v="55"/>
    <s v="TechData_Boiler"/>
    <n v="1"/>
    <n v="0"/>
    <n v="0"/>
    <n v="2.8095072000000001"/>
    <n v="14.33495598"/>
    <n v="18.32233059"/>
    <n v="4.4480783399999995"/>
    <n v="8.2274200319999995"/>
    <n v="0"/>
    <n v="0"/>
    <n v="0"/>
    <n v="0.26120729003853727"/>
    <n v="0.26120729003853727"/>
    <n v="0.26120729003853727"/>
    <n v="0.26120729003853727"/>
    <n v="0.26120729003853727"/>
    <n v="0.26120729003853727"/>
    <n v="0.26120729003853727"/>
    <n v="0.26120729003853727"/>
    <n v="0.26120729003853727"/>
    <n v="0"/>
    <n v="0.73386376205575876"/>
    <n v="3.744395004357524"/>
    <n v="4.7859263206040934"/>
    <n v="1.1618704890705152"/>
    <n v="2.1490620905674955"/>
    <n v="0"/>
    <n v="0"/>
    <n v="0"/>
    <n v="12.575117666655386"/>
    <n v="0"/>
    <n v="0"/>
    <n v="0"/>
    <n v="0"/>
    <n v="0"/>
    <n v="0"/>
    <n v="0"/>
    <n v="0"/>
    <n v="0"/>
    <n v="0"/>
  </r>
  <r>
    <x v="2"/>
    <x v="5"/>
    <s v="Steam Coal"/>
    <s v="Steam Coal"/>
    <s v="IFDEBSTCOA"/>
    <x v="51"/>
    <s v="TechData_CHP"/>
    <n v="0.88567074537450385"/>
    <n v="0.1143292546254962"/>
    <n v="0"/>
    <n v="0"/>
    <n v="3.0455499273284734"/>
    <n v="0.39415777790173206"/>
    <n v="3.3812127268366612"/>
    <n v="0"/>
    <n v="0"/>
    <n v="7.4866139264153544E-2"/>
    <n v="0.6777780673638486"/>
    <n v="0.29742014319708993"/>
    <n v="0.29742014319708993"/>
    <n v="0.29742014319708993"/>
    <n v="0.29742014319708993"/>
    <n v="0.29742014319708993"/>
    <n v="0.29742014319708993"/>
    <n v="0.29742014319708993"/>
    <n v="0.29742014319708993"/>
    <n v="0.29742014319708993"/>
    <n v="0"/>
    <n v="0"/>
    <n v="25.299678862109118"/>
    <n v="3.2743069198881103"/>
    <n v="28.088062318676819"/>
    <n v="0"/>
    <n v="0"/>
    <n v="0.62192028573654012"/>
    <n v="5.6303681940056087"/>
    <n v="62.914336580416204"/>
    <n v="0"/>
    <n v="0"/>
    <n v="3.2658789303764042"/>
    <n v="0.42267295326280568"/>
    <n v="3.6258251111262814"/>
    <n v="0"/>
    <n v="0"/>
    <n v="8.0282297994011556E-2"/>
    <n v="0.72681163090192025"/>
    <n v="8.1214709236614215"/>
  </r>
  <r>
    <x v="2"/>
    <x v="5"/>
    <s v="Steam Coal"/>
    <s v="Steam Coal"/>
    <s v="IFDECFBCOA"/>
    <x v="56"/>
    <s v="TechData_CHP"/>
    <n v="0.88601390461942942"/>
    <n v="0.11398609538057063"/>
    <n v="0"/>
    <n v="0"/>
    <n v="0"/>
    <n v="1.9250104215154527"/>
    <n v="0"/>
    <n v="0"/>
    <n v="0"/>
    <n v="0"/>
    <n v="0"/>
    <n v="0.27879383346821113"/>
    <n v="0.27879383346821113"/>
    <n v="0.27879383346821113"/>
    <n v="0.27879383346821113"/>
    <n v="0.27879383346821113"/>
    <n v="0.27879383346821113"/>
    <n v="0.27879383346821113"/>
    <n v="0.27879383346821113"/>
    <n v="0.27879383346821113"/>
    <n v="0"/>
    <n v="0"/>
    <n v="0"/>
    <n v="14.995584313298927"/>
    <n v="0"/>
    <n v="0"/>
    <n v="0"/>
    <n v="0"/>
    <n v="0"/>
    <n v="14.995584313298927"/>
    <n v="0"/>
    <n v="0"/>
    <n v="0"/>
    <n v="1.9291888026940984"/>
    <n v="0"/>
    <n v="0"/>
    <n v="0"/>
    <n v="0"/>
    <n v="0"/>
    <n v="1.9291888026940984"/>
  </r>
  <r>
    <x v="2"/>
    <x v="5"/>
    <s v="Steam Coal"/>
    <s v="Steam Coal"/>
    <s v="IFDECPVCOA"/>
    <x v="51"/>
    <s v="TechData_CHP"/>
    <n v="0.90515046348995953"/>
    <n v="9.4849536510040508E-2"/>
    <n v="0"/>
    <n v="0"/>
    <n v="0.27709585557037564"/>
    <n v="0.15083143013012329"/>
    <n v="0"/>
    <n v="8.1945914599646563E-2"/>
    <n v="0"/>
    <n v="0.29817607892107112"/>
    <n v="0"/>
    <n v="0.27293853912306176"/>
    <n v="0.27293853912306176"/>
    <n v="0.27293853912306176"/>
    <n v="0.27293853912306176"/>
    <n v="0.27293853912306176"/>
    <n v="0.27293853912306176"/>
    <n v="0.27293853912306176"/>
    <n v="0.27293853912306176"/>
    <n v="0.27293853912306176"/>
    <n v="0"/>
    <n v="0"/>
    <n v="2.1588490556618587"/>
    <n v="1.1751250838100107"/>
    <n v="0"/>
    <n v="0.63843921441785612"/>
    <n v="0"/>
    <n v="2.3230847140412094"/>
    <n v="0"/>
    <n v="6.295498067930934"/>
    <n v="0"/>
    <n v="0"/>
    <n v="0.22622297682438"/>
    <n v="0.12313982485403478"/>
    <n v="0"/>
    <n v="6.6901212582806943E-2"/>
    <n v="0"/>
    <n v="0.24343301725858627"/>
    <n v="0"/>
    <n v="0.65969703151980796"/>
  </r>
  <r>
    <x v="2"/>
    <x v="5"/>
    <s v="Steam Coal"/>
    <s v="Steam Coal"/>
    <s v="IFDECSOCOA"/>
    <x v="51"/>
    <s v="TechData_CHP"/>
    <n v="0.90210545168774126"/>
    <n v="9.7894548312258772E-2"/>
    <n v="0"/>
    <n v="5.9048704590495639E-2"/>
    <n v="0.17381599724645549"/>
    <n v="0.86418153747103665"/>
    <n v="0"/>
    <n v="8.1945914599646563E-2"/>
    <n v="0"/>
    <n v="0.17317818793635384"/>
    <n v="0"/>
    <n v="0.25688961429625568"/>
    <n v="0.25688961429625568"/>
    <n v="0.25688961429625568"/>
    <n v="0.25688961429625568"/>
    <n v="0.25688961429625568"/>
    <n v="0.25688961429625568"/>
    <n v="0.25688961429625568"/>
    <n v="0.25688961429625568"/>
    <n v="0.25688961429625568"/>
    <n v="0"/>
    <n v="0.43153977968987589"/>
    <n v="1.2702821794059256"/>
    <n v="6.3156120507398104"/>
    <n v="0"/>
    <n v="0.59887718414924906"/>
    <n v="0"/>
    <n v="1.2656209410083312"/>
    <n v="0"/>
    <n v="9.8819321349931908"/>
    <n v="0"/>
    <n v="4.6829771101012115E-2"/>
    <n v="0.1378482969473275"/>
    <n v="0.68535667073724837"/>
    <n v="0"/>
    <n v="6.4988867240657694E-2"/>
    <n v="0"/>
    <n v="0.13734246935626865"/>
    <n v="0"/>
    <n v="1.0723660753825144"/>
  </r>
  <r>
    <x v="3"/>
    <x v="0"/>
    <s v="Electricity"/>
    <s v="Electricity"/>
    <s v="INGEFACELC"/>
    <x v="57"/>
    <s v="TechData_OTR"/>
    <n v="1"/>
    <n v="0"/>
    <n v="0.37294259199249696"/>
    <n v="1.02658548253782"/>
    <n v="1.7879605422443103"/>
    <n v="1.211028188892084"/>
    <n v="0.73448448181904291"/>
    <n v="0.64021021115260501"/>
    <n v="2.2240917843920252"/>
    <n v="0.86016527136786403"/>
    <n v="0.539362803162453"/>
    <n v="1"/>
    <n v="1"/>
    <n v="1"/>
    <n v="1"/>
    <n v="1"/>
    <n v="1"/>
    <n v="1"/>
    <n v="1"/>
    <n v="1"/>
    <n v="0.37294259199249696"/>
    <n v="1.02658548253782"/>
    <n v="1.7879605422443103"/>
    <n v="1.211028188892084"/>
    <n v="0.73448448181904291"/>
    <n v="0.64021021115260501"/>
    <n v="2.2240917843920252"/>
    <n v="0.86016527136786403"/>
    <n v="0.539362803162453"/>
    <n v="9.3968313575606999"/>
    <n v="0"/>
    <n v="0"/>
    <n v="0"/>
    <n v="0"/>
    <n v="0"/>
    <n v="0"/>
    <n v="0"/>
    <n v="0"/>
    <n v="0"/>
    <n v="0"/>
  </r>
  <r>
    <x v="3"/>
    <x v="0"/>
    <s v="Natural Gas"/>
    <s v="Natural Gas"/>
    <s v="INGEFACNGA"/>
    <x v="58"/>
    <s v="TechData_OTR"/>
    <n v="1"/>
    <n v="0"/>
    <n v="0.49795301370342876"/>
    <n v="1.3706971148636744"/>
    <n v="1.8853432049352552"/>
    <n v="1.2769877818706121"/>
    <n v="0.80675911546644286"/>
    <n v="0.70320808192284001"/>
    <n v="2.4429465361180513"/>
    <n v="0.88345601535384799"/>
    <n v="0.55396716046700056"/>
    <n v="1"/>
    <n v="1"/>
    <n v="1"/>
    <n v="1"/>
    <n v="1"/>
    <n v="1"/>
    <n v="1"/>
    <n v="1"/>
    <n v="1"/>
    <n v="0.49795301370342876"/>
    <n v="1.3706971148636744"/>
    <n v="1.8853432049352552"/>
    <n v="1.2769877818706121"/>
    <n v="0.80675911546644286"/>
    <n v="0.70320808192284001"/>
    <n v="2.4429465361180513"/>
    <n v="0.88345601535384799"/>
    <n v="0.55396716046700056"/>
    <n v="10.421318024701153"/>
    <n v="0"/>
    <n v="0"/>
    <n v="0"/>
    <n v="0"/>
    <n v="0"/>
    <n v="0"/>
    <n v="0"/>
    <n v="0"/>
    <n v="0"/>
    <n v="0"/>
  </r>
  <r>
    <x v="3"/>
    <x v="2"/>
    <s v="Electricity"/>
    <s v="Electricity"/>
    <s v="INGEMDRELC"/>
    <x v="59"/>
    <s v="TechData_OTR"/>
    <n v="1"/>
    <n v="0"/>
    <n v="0.95899523655213514"/>
    <n v="2.6397912408115372"/>
    <n v="4.5976128229139412"/>
    <n v="3.1140724857225015"/>
    <n v="1.8886743818203962"/>
    <n v="1.6462548286781273"/>
    <n v="5.7190931598652073"/>
    <n v="2.2118535549459364"/>
    <n v="1.3869329224177365"/>
    <n v="1"/>
    <n v="1"/>
    <n v="1"/>
    <n v="1"/>
    <n v="1"/>
    <n v="1"/>
    <n v="1"/>
    <n v="1"/>
    <n v="1"/>
    <n v="0.95899523655213514"/>
    <n v="2.6397912408115372"/>
    <n v="4.5976128229139412"/>
    <n v="3.1140724857225015"/>
    <n v="1.8886743818203962"/>
    <n v="1.6462548286781273"/>
    <n v="5.7190931598652073"/>
    <n v="2.2118535549459364"/>
    <n v="1.3869329224177365"/>
    <n v="24.163280633727517"/>
    <n v="0"/>
    <n v="0"/>
    <n v="0"/>
    <n v="0"/>
    <n v="0"/>
    <n v="0"/>
    <n v="0"/>
    <n v="0"/>
    <n v="0"/>
    <n v="0"/>
  </r>
  <r>
    <x v="3"/>
    <x v="3"/>
    <s v="Distillate Oil"/>
    <s v="Distillate Oil"/>
    <s v="INGEOHTDST"/>
    <x v="60"/>
    <s v="TechData_OTR"/>
    <n v="1"/>
    <n v="0"/>
    <n v="1.3868583455578707"/>
    <n v="3.8175544291674051"/>
    <n v="5.5474436879025086"/>
    <n v="3.7574155153941993"/>
    <n v="2.3496717693370841"/>
    <n v="2.0480812009275708"/>
    <n v="7.1150389253397455"/>
    <n v="2.6171092224432893"/>
    <n v="1.6410466841501188"/>
    <n v="1"/>
    <n v="1"/>
    <n v="1"/>
    <n v="1"/>
    <n v="1"/>
    <n v="1"/>
    <n v="1"/>
    <n v="1"/>
    <n v="1"/>
    <n v="1.3868583455578707"/>
    <n v="3.8175544291674051"/>
    <n v="5.5474436879025086"/>
    <n v="3.7574155153941993"/>
    <n v="2.3496717693370841"/>
    <n v="2.0480812009275708"/>
    <n v="7.1150389253397455"/>
    <n v="2.6171092224432893"/>
    <n v="1.6410466841501188"/>
    <n v="30.280219780219795"/>
    <n v="0"/>
    <n v="0"/>
    <n v="0"/>
    <n v="0"/>
    <n v="0"/>
    <n v="0"/>
    <n v="0"/>
    <n v="0"/>
    <n v="0"/>
    <n v="0"/>
  </r>
  <r>
    <x v="3"/>
    <x v="3"/>
    <s v="LPG"/>
    <s v="LPG"/>
    <s v="INGEOHTLPG"/>
    <x v="61"/>
    <s v="TechData_OTR"/>
    <n v="1"/>
    <n v="0"/>
    <n v="1.659602183921792"/>
    <n v="4.568326453945085"/>
    <n v="6.6384210681032325"/>
    <n v="4.4963604359617921"/>
    <n v="2.8117654642822254"/>
    <n v="2.4508631647894057"/>
    <n v="8.5143044183308554"/>
    <n v="3.1317979915112431"/>
    <n v="1.9637799849252928"/>
    <n v="1"/>
    <n v="1"/>
    <n v="1"/>
    <n v="1"/>
    <n v="1"/>
    <n v="1"/>
    <n v="1"/>
    <n v="1"/>
    <n v="1"/>
    <n v="1.659602183921792"/>
    <n v="4.568326453945085"/>
    <n v="6.6384210681032325"/>
    <n v="4.4963604359617921"/>
    <n v="2.8117654642822254"/>
    <n v="2.4508631647894057"/>
    <n v="8.5143044183308554"/>
    <n v="3.1317979915112431"/>
    <n v="1.9637799849252928"/>
    <n v="36.235221165770923"/>
    <n v="0"/>
    <n v="0"/>
    <n v="0"/>
    <n v="0"/>
    <n v="0"/>
    <n v="0"/>
    <n v="0"/>
    <n v="0"/>
    <n v="0"/>
    <n v="0"/>
  </r>
  <r>
    <x v="3"/>
    <x v="3"/>
    <s v="Natural Gas"/>
    <s v="Natural Gas"/>
    <s v="INGEOHTNGA"/>
    <x v="62"/>
    <s v="TechData_OTR"/>
    <n v="1"/>
    <n v="0"/>
    <n v="7.1136144814775537E-2"/>
    <n v="0.19581387355195348"/>
    <n v="0.26933474356217929"/>
    <n v="0.18242682598151599"/>
    <n v="0.11525130220949183"/>
    <n v="0.10045829741754858"/>
    <n v="0.34899236230257874"/>
    <n v="0.12620800219340686"/>
    <n v="7.913816578100008E-2"/>
    <n v="1"/>
    <n v="1"/>
    <n v="1"/>
    <n v="1"/>
    <n v="1"/>
    <n v="1"/>
    <n v="1"/>
    <n v="1"/>
    <n v="1"/>
    <n v="7.1136144814775537E-2"/>
    <n v="0.19581387355195348"/>
    <n v="0.26933474356217929"/>
    <n v="0.18242682598151599"/>
    <n v="0.11525130220949183"/>
    <n v="0.10045829741754858"/>
    <n v="0.34899236230257874"/>
    <n v="0.12620800219340686"/>
    <n v="7.913816578100008E-2"/>
    <n v="1.4887597178144505"/>
    <n v="0"/>
    <n v="0"/>
    <n v="0"/>
    <n v="0"/>
    <n v="0"/>
    <n v="0"/>
    <n v="0"/>
    <n v="0"/>
    <n v="0"/>
    <n v="0"/>
  </r>
  <r>
    <x v="3"/>
    <x v="3"/>
    <s v="Residual Oil"/>
    <s v="Residual Oil"/>
    <s v="INGEOHTRFL"/>
    <x v="63"/>
    <s v="TechData_OTR"/>
    <n v="1"/>
    <n v="0"/>
    <n v="3.4664592245157139E-2"/>
    <n v="9.5419959857219391E-2"/>
    <n v="0.13865862657138037"/>
    <n v="9.391678476317164E-2"/>
    <n v="5.8730160910026544E-2"/>
    <n v="5.1191889887332032E-2"/>
    <n v="0.17784074627759561"/>
    <n v="6.5414773143643509E-2"/>
    <n v="4.1018042212846384E-2"/>
    <n v="1"/>
    <n v="1"/>
    <n v="1"/>
    <n v="1"/>
    <n v="1"/>
    <n v="1"/>
    <n v="1"/>
    <n v="1"/>
    <n v="1"/>
    <n v="3.4664592245157139E-2"/>
    <n v="9.5419959857219391E-2"/>
    <n v="0.13865862657138037"/>
    <n v="9.391678476317164E-2"/>
    <n v="5.8730160910026544E-2"/>
    <n v="5.1191889887332032E-2"/>
    <n v="0.17784074627759561"/>
    <n v="6.5414773143643509E-2"/>
    <n v="4.1018042212846384E-2"/>
    <n v="0.7568555758683726"/>
    <n v="0"/>
    <n v="0"/>
    <n v="0"/>
    <n v="0"/>
    <n v="0"/>
    <n v="0"/>
    <n v="0"/>
    <n v="0"/>
    <n v="0"/>
    <n v="0"/>
  </r>
  <r>
    <x v="3"/>
    <x v="3"/>
    <s v="Steam Coal"/>
    <s v="Steam Coal"/>
    <s v="INGEOHTCOA"/>
    <x v="64"/>
    <s v="TechData_OTR"/>
    <n v="1"/>
    <n v="0"/>
    <n v="1.197811113072512E-2"/>
    <n v="3.297171001394892E-2"/>
    <n v="4.7912533531610867E-2"/>
    <n v="3.2452298211897289E-2"/>
    <n v="2.0293802654030822E-2"/>
    <n v="1.7689005014849754E-2"/>
    <n v="6.1451645166307467E-2"/>
    <n v="2.2603624377413561E-2"/>
    <n v="1.4173502013683385E-2"/>
    <n v="1"/>
    <n v="1"/>
    <n v="1"/>
    <n v="1"/>
    <n v="1"/>
    <n v="1"/>
    <n v="1"/>
    <n v="1"/>
    <n v="1"/>
    <n v="1.197811113072512E-2"/>
    <n v="3.297171001394892E-2"/>
    <n v="4.7912533531610867E-2"/>
    <n v="3.2452298211897289E-2"/>
    <n v="2.0293802654030822E-2"/>
    <n v="1.7689005014849754E-2"/>
    <n v="6.1451645166307467E-2"/>
    <n v="2.2603624377413561E-2"/>
    <n v="1.4173502013683385E-2"/>
    <n v="0.26152623211446718"/>
    <n v="0"/>
    <n v="0"/>
    <n v="0"/>
    <n v="0"/>
    <n v="0"/>
    <n v="0"/>
    <n v="0"/>
    <n v="0"/>
    <n v="0"/>
    <n v="0"/>
  </r>
  <r>
    <x v="3"/>
    <x v="4"/>
    <s v="Electricity"/>
    <s v="Electricity"/>
    <s v="INGEPRHELC"/>
    <x v="65"/>
    <s v="TechData_OTR"/>
    <n v="1"/>
    <n v="0"/>
    <n v="1.0122727496939203"/>
    <n v="2.7864463097455117"/>
    <n v="4.8530357575202707"/>
    <n v="3.2870765127070847"/>
    <n v="1.9936007363659736"/>
    <n v="1.7377134302713566"/>
    <n v="6.0368205576354965"/>
    <n v="2.3347343079984881"/>
    <n v="1.4639847514409441"/>
    <n v="1"/>
    <n v="1"/>
    <n v="1"/>
    <n v="1"/>
    <n v="1"/>
    <n v="1"/>
    <n v="1"/>
    <n v="1"/>
    <n v="1"/>
    <n v="1.0122727496939203"/>
    <n v="2.7864463097455117"/>
    <n v="4.8530357575202707"/>
    <n v="3.2870765127070847"/>
    <n v="1.9936007363659736"/>
    <n v="1.7377134302713566"/>
    <n v="6.0368205576354965"/>
    <n v="2.3347343079984881"/>
    <n v="1.4639847514409441"/>
    <n v="25.505685113379045"/>
    <n v="0"/>
    <n v="0"/>
    <n v="0"/>
    <n v="0"/>
    <n v="0"/>
    <n v="0"/>
    <n v="0"/>
    <n v="0"/>
    <n v="0"/>
    <n v="0"/>
  </r>
  <r>
    <x v="3"/>
    <x v="4"/>
    <s v="Natural Gas"/>
    <s v="Natural Gas"/>
    <s v="INGEPRHNGA"/>
    <x v="66"/>
    <s v="TechData_OTR"/>
    <n v="1"/>
    <n v="0"/>
    <n v="9.4611072603651465"/>
    <n v="26.043245182409816"/>
    <n v="35.821520893769851"/>
    <n v="24.262767855541629"/>
    <n v="15.328423193862415"/>
    <n v="13.360953556533961"/>
    <n v="46.415984186242973"/>
    <n v="16.785664291723112"/>
    <n v="10.525376048873012"/>
    <n v="1"/>
    <n v="1"/>
    <n v="1"/>
    <n v="1"/>
    <n v="1"/>
    <n v="1"/>
    <n v="1"/>
    <n v="1"/>
    <n v="1"/>
    <n v="9.4611072603651465"/>
    <n v="26.043245182409816"/>
    <n v="35.821520893769851"/>
    <n v="24.262767855541629"/>
    <n v="15.328423193862415"/>
    <n v="13.360953556533961"/>
    <n v="46.415984186242973"/>
    <n v="16.785664291723112"/>
    <n v="10.525376048873012"/>
    <n v="198.00504246932192"/>
    <n v="0"/>
    <n v="0"/>
    <n v="0"/>
    <n v="0"/>
    <n v="0"/>
    <n v="0"/>
    <n v="0"/>
    <n v="0"/>
    <n v="0"/>
    <n v="0"/>
  </r>
  <r>
    <x v="3"/>
    <x v="5"/>
    <s v="Natural Gas"/>
    <s v="Natural Gas"/>
    <s v="INGEBOLNGA"/>
    <x v="67"/>
    <s v="TechData_Boiler"/>
    <n v="1"/>
    <n v="0"/>
    <n v="0"/>
    <n v="0.34194659999999999"/>
    <n v="0.1155225"/>
    <n v="0"/>
    <n v="3.3687470015999996"/>
    <n v="0"/>
    <n v="3.6967199999999998E-4"/>
    <n v="0"/>
    <n v="0"/>
    <n v="0"/>
    <n v="0"/>
    <n v="0"/>
    <n v="0"/>
    <n v="0"/>
    <n v="0"/>
    <n v="0"/>
    <n v="0"/>
    <n v="0"/>
    <n v="0"/>
    <n v="0"/>
    <n v="0"/>
    <n v="0"/>
    <n v="0"/>
    <n v="0"/>
    <n v="0"/>
    <n v="0"/>
    <n v="0"/>
    <n v="0"/>
    <n v="0"/>
    <n v="0"/>
    <n v="0"/>
    <n v="0"/>
    <n v="0"/>
    <n v="0"/>
    <n v="0"/>
    <n v="0"/>
    <n v="0"/>
    <n v="0"/>
  </r>
  <r>
    <x v="3"/>
    <x v="5"/>
    <s v="Natural Gas"/>
    <s v="Natural Gas"/>
    <s v="INGECCTNGA"/>
    <x v="68"/>
    <s v="TechData_CHP"/>
    <n v="0.49060269678639434"/>
    <n v="0.50939730321360566"/>
    <n v="0"/>
    <n v="0"/>
    <n v="0"/>
    <n v="0"/>
    <n v="0"/>
    <n v="0"/>
    <n v="0.23704833829175884"/>
    <n v="0"/>
    <n v="0"/>
    <n v="0.28528400846024116"/>
    <n v="0.28528400846024116"/>
    <n v="0.28528400846024116"/>
    <n v="0.28528400846024116"/>
    <n v="0.28528400846024116"/>
    <n v="0.28528400846024116"/>
    <n v="0.28528400846024116"/>
    <n v="0.28528400846024116"/>
    <n v="0.28528400846024116"/>
    <n v="0"/>
    <n v="0"/>
    <n v="0"/>
    <n v="0"/>
    <n v="0"/>
    <n v="0"/>
    <n v="1.0462871255071842"/>
    <n v="0"/>
    <n v="0"/>
    <n v="1.0462871255071842"/>
    <n v="0"/>
    <n v="0"/>
    <n v="0"/>
    <n v="0"/>
    <n v="0"/>
    <n v="0"/>
    <n v="1.0863695687195329"/>
    <n v="0"/>
    <n v="0"/>
    <n v="1.0863695687195329"/>
  </r>
  <r>
    <x v="3"/>
    <x v="5"/>
    <s v="Natural Gas"/>
    <s v="Natural Gas"/>
    <s v="INGEREGNGA"/>
    <x v="68"/>
    <s v="TechData_CHP"/>
    <n v="0.67811158798283255"/>
    <n v="0.32188841201716739"/>
    <n v="0"/>
    <n v="0"/>
    <n v="0"/>
    <n v="0"/>
    <n v="0"/>
    <n v="0"/>
    <n v="1.7086666666666667E-3"/>
    <n v="0"/>
    <n v="0"/>
    <n v="0.28378251367887142"/>
    <n v="0.28378251367887142"/>
    <n v="0.28378251367887142"/>
    <n v="0.28378251367887142"/>
    <n v="0.28378251367887142"/>
    <n v="0.28378251367887142"/>
    <n v="0.28378251367887142"/>
    <n v="0.28378251367887142"/>
    <n v="0.28378251367887142"/>
    <n v="0"/>
    <n v="0"/>
    <n v="0"/>
    <n v="0"/>
    <n v="0"/>
    <n v="0"/>
    <n v="1.036933132046202E-2"/>
    <n v="0"/>
    <n v="0"/>
    <n v="1.036933132046202E-2"/>
    <n v="0"/>
    <n v="0"/>
    <n v="0"/>
    <n v="0"/>
    <n v="0"/>
    <n v="0"/>
    <n v="4.9221509432572893E-3"/>
    <n v="0"/>
    <n v="0"/>
    <n v="4.9221509432572893E-3"/>
  </r>
  <r>
    <x v="4"/>
    <x v="6"/>
    <s v="Electricity"/>
    <s v="Electricity"/>
    <s v="ICIEETCELC"/>
    <x v="69"/>
    <s v="TechData_OTR"/>
    <n v="1"/>
    <n v="0"/>
    <n v="1.8982444718727445"/>
    <n v="5.2252283835991449"/>
    <n v="9.2433132839007648"/>
    <n v="6.2607158721262897"/>
    <n v="9.492757260592354"/>
    <n v="8.2743206707007779"/>
    <n v="28.745009536788029"/>
    <n v="5.150781621083186"/>
    <n v="3.229774679471979"/>
    <n v="1"/>
    <n v="1"/>
    <n v="1"/>
    <n v="1"/>
    <n v="1"/>
    <n v="1"/>
    <n v="1"/>
    <n v="1"/>
    <n v="1"/>
    <n v="1.8982444718727445"/>
    <n v="5.2252283835991449"/>
    <n v="9.2433132839007648"/>
    <n v="6.2607158721262897"/>
    <n v="9.492757260592354"/>
    <n v="8.2743206707007779"/>
    <n v="28.745009536788029"/>
    <n v="5.150781621083186"/>
    <n v="3.229774679471979"/>
    <n v="77.520145780135266"/>
    <n v="0"/>
    <n v="0"/>
    <n v="0"/>
    <n v="0"/>
    <n v="0"/>
    <n v="0"/>
    <n v="0"/>
    <n v="0"/>
    <n v="0"/>
    <n v="0"/>
  </r>
  <r>
    <x v="4"/>
    <x v="0"/>
    <s v="Electricity"/>
    <s v="Electricity"/>
    <s v="ICIEFACELC"/>
    <x v="70"/>
    <s v="TechData_OTR"/>
    <n v="1"/>
    <n v="0"/>
    <n v="0.18982444718727448"/>
    <n v="0.52252283835991453"/>
    <n v="0.92433132839007659"/>
    <n v="0.62607158721262912"/>
    <n v="0.9492757260592356"/>
    <n v="0.82743206707007799"/>
    <n v="2.8745009536788033"/>
    <n v="0.51507816210831858"/>
    <n v="0.32297746794719795"/>
    <n v="1"/>
    <n v="1"/>
    <n v="1"/>
    <n v="1"/>
    <n v="1"/>
    <n v="1"/>
    <n v="1"/>
    <n v="1"/>
    <n v="1"/>
    <n v="0.18982444718727448"/>
    <n v="0.52252283835991453"/>
    <n v="0.92433132839007659"/>
    <n v="0.62607158721262912"/>
    <n v="0.9492757260592356"/>
    <n v="0.82743206707007799"/>
    <n v="2.8745009536788033"/>
    <n v="0.51507816210831858"/>
    <n v="0.32297746794719795"/>
    <n v="7.7520145780135286"/>
    <n v="0"/>
    <n v="0"/>
    <n v="0"/>
    <n v="0"/>
    <n v="0"/>
    <n v="0"/>
    <n v="0"/>
    <n v="0"/>
    <n v="0"/>
    <n v="0"/>
  </r>
  <r>
    <x v="4"/>
    <x v="0"/>
    <s v="Natural Gas"/>
    <s v="Natural Gas"/>
    <s v="ICIEFACNGA"/>
    <x v="71"/>
    <s v="TechData_OTR"/>
    <n v="1"/>
    <n v="0"/>
    <n v="8.1941218327495884E-3"/>
    <n v="2.2555660566160696E-2"/>
    <n v="6.4164259653139738E-2"/>
    <n v="4.3459978743046267E-2"/>
    <n v="0.24161801988944176"/>
    <n v="0.21060529849261592"/>
    <n v="0.73164330397598842"/>
    <n v="0.11339491677094671"/>
    <n v="7.1103777622515005E-2"/>
    <n v="1"/>
    <n v="1"/>
    <n v="1"/>
    <n v="1"/>
    <n v="1"/>
    <n v="1"/>
    <n v="1"/>
    <n v="1"/>
    <n v="1"/>
    <n v="8.1941218327495884E-3"/>
    <n v="2.2555660566160696E-2"/>
    <n v="6.4164259653139738E-2"/>
    <n v="4.3459978743046267E-2"/>
    <n v="0.24161801988944176"/>
    <n v="0.21060529849261592"/>
    <n v="0.73164330397598842"/>
    <n v="0.11339491677094671"/>
    <n v="7.1103777622515005E-2"/>
    <n v="1.5067393375466041"/>
    <n v="0"/>
    <n v="0"/>
    <n v="0"/>
    <n v="0"/>
    <n v="0"/>
    <n v="0"/>
    <n v="0"/>
    <n v="0"/>
    <n v="0"/>
    <n v="0"/>
  </r>
  <r>
    <x v="4"/>
    <x v="1"/>
    <s v="Natural Gas"/>
    <s v="Natural Gas"/>
    <s v="ICIEFEDNGA"/>
    <x v="72"/>
    <s v="TechData_OTR"/>
    <n v="1"/>
    <n v="0"/>
    <n v="0"/>
    <n v="0"/>
    <n v="3.3709221220495542"/>
    <n v="2.2832057061157003"/>
    <n v="24.464031553846791"/>
    <n v="21.32396693793045"/>
    <n v="74.079511465326149"/>
    <n v="6.9501776865670202"/>
    <n v="4.3580779697634888"/>
    <n v="1"/>
    <n v="1"/>
    <n v="1"/>
    <n v="1"/>
    <n v="1"/>
    <n v="1"/>
    <n v="1"/>
    <n v="1"/>
    <n v="1"/>
    <n v="0"/>
    <n v="0"/>
    <n v="3.3709221220495542"/>
    <n v="2.2832057061157003"/>
    <n v="24.464031553846791"/>
    <n v="21.32396693793045"/>
    <n v="74.079511465326149"/>
    <n v="6.9501776865670202"/>
    <n v="4.3580779697634888"/>
    <n v="136.82989344159915"/>
    <n v="0"/>
    <n v="0"/>
    <n v="0"/>
    <n v="0"/>
    <n v="0"/>
    <n v="0"/>
    <n v="0"/>
    <n v="0"/>
    <n v="0"/>
    <n v="0"/>
  </r>
  <r>
    <x v="4"/>
    <x v="1"/>
    <s v="Petrochemical Feedstock"/>
    <s v="Petrochemical Feedstock"/>
    <s v="ICIEFEDPFS"/>
    <x v="73"/>
    <s v="TechData_OTR"/>
    <n v="1"/>
    <n v="0"/>
    <n v="0"/>
    <n v="0"/>
    <n v="0.79648844867872548"/>
    <n v="0.53948056497158514"/>
    <n v="1.0906437654907157"/>
    <n v="0.95065490514898487"/>
    <n v="3.302577383961542"/>
    <n v="1.6422023538916635"/>
    <n v="1.0297356734089578"/>
    <n v="1"/>
    <n v="1"/>
    <n v="1"/>
    <n v="1"/>
    <n v="1"/>
    <n v="1"/>
    <n v="1"/>
    <n v="1"/>
    <n v="1"/>
    <n v="0"/>
    <n v="0"/>
    <n v="0.79648844867872548"/>
    <n v="0.53948056497158514"/>
    <n v="1.0906437654907157"/>
    <n v="0.95065490514898487"/>
    <n v="3.302577383961542"/>
    <n v="1.6422023538916635"/>
    <n v="1.0297356734089578"/>
    <n v="9.3517830955521735"/>
    <n v="0"/>
    <n v="0"/>
    <n v="0"/>
    <n v="0"/>
    <n v="0"/>
    <n v="0"/>
    <n v="0"/>
    <n v="0"/>
    <n v="0"/>
    <n v="0"/>
  </r>
  <r>
    <x v="4"/>
    <x v="2"/>
    <s v="Electricity"/>
    <s v="Electricity"/>
    <s v="ICIEMDRELC"/>
    <x v="74"/>
    <s v="TechData_OTR"/>
    <n v="1"/>
    <n v="0"/>
    <n v="3.4484774572354859"/>
    <n v="9.4924982302051149"/>
    <n v="16.792019132419725"/>
    <n v="11.37363383436276"/>
    <n v="17.245175690076113"/>
    <n v="15.031682551773082"/>
    <n v="52.220100658498254"/>
    <n v="9.3572532783011209"/>
    <n v="5.8674240010407619"/>
    <n v="1"/>
    <n v="1"/>
    <n v="1"/>
    <n v="1"/>
    <n v="1"/>
    <n v="1"/>
    <n v="1"/>
    <n v="1"/>
    <n v="1"/>
    <n v="3.4484774572354859"/>
    <n v="9.4924982302051149"/>
    <n v="16.792019132419725"/>
    <n v="11.37363383436276"/>
    <n v="17.245175690076113"/>
    <n v="15.031682551773082"/>
    <n v="52.220100658498254"/>
    <n v="9.3572532783011209"/>
    <n v="5.8674240010407619"/>
    <n v="140.82826483391244"/>
    <n v="0"/>
    <n v="0"/>
    <n v="0"/>
    <n v="0"/>
    <n v="0"/>
    <n v="0"/>
    <n v="0"/>
    <n v="0"/>
    <n v="0"/>
    <n v="0"/>
  </r>
  <r>
    <x v="4"/>
    <x v="2"/>
    <s v="Natural Gas"/>
    <s v="Natural Gas"/>
    <s v="ICIEMDRNGA"/>
    <x v="75"/>
    <s v="TechData_OTR"/>
    <n v="1"/>
    <n v="0"/>
    <n v="0.1433971320731178"/>
    <n v="0.39472405990781217"/>
    <n v="1.1228745439299455"/>
    <n v="0.76054962800330972"/>
    <n v="4.2283153480652311"/>
    <n v="3.6855927236207786"/>
    <n v="12.803757819579797"/>
    <n v="1.9844110434915676"/>
    <n v="1.2443161083940126"/>
    <n v="1"/>
    <n v="1"/>
    <n v="1"/>
    <n v="1"/>
    <n v="1"/>
    <n v="1"/>
    <n v="1"/>
    <n v="1"/>
    <n v="1"/>
    <n v="0.1433971320731178"/>
    <n v="0.39472405990781217"/>
    <n v="1.1228745439299455"/>
    <n v="0.76054962800330972"/>
    <n v="4.2283153480652311"/>
    <n v="3.6855927236207786"/>
    <n v="12.803757819579797"/>
    <n v="1.9844110434915676"/>
    <n v="1.2443161083940126"/>
    <n v="26.367938407065576"/>
    <n v="0"/>
    <n v="0"/>
    <n v="0"/>
    <n v="0"/>
    <n v="0"/>
    <n v="0"/>
    <n v="0"/>
    <n v="0"/>
    <n v="0"/>
    <n v="0"/>
  </r>
  <r>
    <x v="4"/>
    <x v="3"/>
    <s v="Electricity"/>
    <s v="Electricity"/>
    <s v="ICIEOHTELC"/>
    <x v="76"/>
    <s v="TechData_OTR"/>
    <n v="1"/>
    <n v="0"/>
    <n v="3.1637407864545747E-2"/>
    <n v="8.7087139726652427E-2"/>
    <n v="0.1540552213983461"/>
    <n v="0.10434526453543817"/>
    <n v="0.1582126210098726"/>
    <n v="0.13790534451167966"/>
    <n v="0.47908349227980052"/>
    <n v="8.584636035138643E-2"/>
    <n v="5.3829577991199654E-2"/>
    <n v="1"/>
    <n v="1"/>
    <n v="1"/>
    <n v="1"/>
    <n v="1"/>
    <n v="1"/>
    <n v="1"/>
    <n v="1"/>
    <n v="1"/>
    <n v="3.1637407864545747E-2"/>
    <n v="8.7087139726652427E-2"/>
    <n v="0.1540552213983461"/>
    <n v="0.10434526453543817"/>
    <n v="0.1582126210098726"/>
    <n v="0.13790534451167966"/>
    <n v="0.47908349227980052"/>
    <n v="8.584636035138643E-2"/>
    <n v="5.3829577991199654E-2"/>
    <n v="1.2920024296689212"/>
    <n v="0"/>
    <n v="0"/>
    <n v="0"/>
    <n v="0"/>
    <n v="0"/>
    <n v="0"/>
    <n v="0"/>
    <n v="0"/>
    <n v="0"/>
    <n v="0"/>
  </r>
  <r>
    <x v="4"/>
    <x v="3"/>
    <s v="Other Petroleum"/>
    <s v="Other Petroleum"/>
    <s v="ICIEOHTOTP"/>
    <x v="77"/>
    <s v="TechData_OTR"/>
    <n v="1"/>
    <n v="0"/>
    <n v="0.32707477324960438"/>
    <n v="0.90032680935823028"/>
    <n v="8.2323210269429428"/>
    <n v="5.5759467773951972"/>
    <n v="1.8787737638563589"/>
    <n v="1.6376249979952526"/>
    <n v="5.6891131077071497"/>
    <n v="0.75437444563984957"/>
    <n v="0.47302713696798526"/>
    <n v="1"/>
    <n v="1"/>
    <n v="1"/>
    <n v="1"/>
    <n v="1"/>
    <n v="1"/>
    <n v="1"/>
    <n v="1"/>
    <n v="1"/>
    <n v="0.32707477324960438"/>
    <n v="0.90032680935823028"/>
    <n v="8.2323210269429428"/>
    <n v="5.5759467773951972"/>
    <n v="1.8787737638563589"/>
    <n v="1.6376249979952526"/>
    <n v="5.6891131077071497"/>
    <n v="0.75437444563984957"/>
    <n v="0.47302713696798526"/>
    <n v="25.468582839112575"/>
    <n v="0"/>
    <n v="0"/>
    <n v="0"/>
    <n v="0"/>
    <n v="0"/>
    <n v="0"/>
    <n v="0"/>
    <n v="0"/>
    <n v="0"/>
    <n v="0"/>
  </r>
  <r>
    <x v="4"/>
    <x v="4"/>
    <s v="Electricity"/>
    <s v="Electricity"/>
    <s v="ICIEPRHELC"/>
    <x v="78"/>
    <s v="TechData_OTR"/>
    <n v="1"/>
    <n v="0"/>
    <n v="0.2214618550518202"/>
    <n v="0.60960997808656703"/>
    <n v="1.0783865497884226"/>
    <n v="0.73041685174806725"/>
    <n v="1.1074883470691081"/>
    <n v="0.96533741158175757"/>
    <n v="3.3535844459586035"/>
    <n v="0.60092452245970507"/>
    <n v="0.37680704593839759"/>
    <n v="1"/>
    <n v="1"/>
    <n v="1"/>
    <n v="1"/>
    <n v="1"/>
    <n v="1"/>
    <n v="1"/>
    <n v="1"/>
    <n v="1"/>
    <n v="0.2214618550518202"/>
    <n v="0.60960997808656703"/>
    <n v="1.0783865497884226"/>
    <n v="0.73041685174806725"/>
    <n v="1.1074883470691081"/>
    <n v="0.96533741158175757"/>
    <n v="3.3535844459586035"/>
    <n v="0.60092452245970507"/>
    <n v="0.37680704593839759"/>
    <n v="9.0440170076824487"/>
    <n v="0"/>
    <n v="0"/>
    <n v="0"/>
    <n v="0"/>
    <n v="0"/>
    <n v="0"/>
    <n v="0"/>
    <n v="0"/>
    <n v="0"/>
    <n v="0"/>
  </r>
  <r>
    <x v="4"/>
    <x v="4"/>
    <s v="Natural Gas"/>
    <s v="Natural Gas"/>
    <s v="ICIEPRHNGA"/>
    <x v="79"/>
    <s v="TechData_OTR"/>
    <n v="1"/>
    <n v="0"/>
    <n v="0.25811483773161198"/>
    <n v="0.71050330783406179"/>
    <n v="2.0211741790739013"/>
    <n v="1.3689893304059573"/>
    <n v="7.6109676265174144"/>
    <n v="6.6340669025174002"/>
    <n v="23.046764075243633"/>
    <n v="3.5719398782848208"/>
    <n v="2.2397689951092223"/>
    <n v="1"/>
    <n v="1"/>
    <n v="1"/>
    <n v="1"/>
    <n v="1"/>
    <n v="1"/>
    <n v="1"/>
    <n v="1"/>
    <n v="1"/>
    <n v="0.25811483773161198"/>
    <n v="0.71050330783406179"/>
    <n v="2.0211741790739013"/>
    <n v="1.3689893304059573"/>
    <n v="7.6109676265174144"/>
    <n v="6.6340669025174002"/>
    <n v="23.046764075243633"/>
    <n v="3.5719398782848208"/>
    <n v="2.2397689951092223"/>
    <n v="47.462289132718027"/>
    <n v="0"/>
    <n v="0"/>
    <n v="0"/>
    <n v="0"/>
    <n v="0"/>
    <n v="0"/>
    <n v="0"/>
    <n v="0"/>
    <n v="0"/>
    <n v="0"/>
  </r>
  <r>
    <x v="4"/>
    <x v="4"/>
    <s v="Residual Oil"/>
    <s v="Residual Oil"/>
    <s v="ICIEPRHRFL"/>
    <x v="80"/>
    <s v="TechData_OTR"/>
    <n v="1"/>
    <n v="0"/>
    <n v="1.6919122194808009"/>
    <n v="4.6572651114149908"/>
    <n v="0"/>
    <n v="0"/>
    <n v="0"/>
    <n v="0"/>
    <n v="0"/>
    <n v="0"/>
    <n v="0"/>
    <n v="1"/>
    <n v="1"/>
    <n v="1"/>
    <n v="1"/>
    <n v="1"/>
    <n v="1"/>
    <n v="1"/>
    <n v="1"/>
    <n v="1"/>
    <n v="1.6919122194808009"/>
    <n v="4.6572651114149908"/>
    <n v="0"/>
    <n v="0"/>
    <n v="0"/>
    <n v="0"/>
    <n v="0"/>
    <n v="0"/>
    <n v="0"/>
    <n v="6.3491773308957917"/>
    <n v="0"/>
    <n v="0"/>
    <n v="0"/>
    <n v="0"/>
    <n v="0"/>
    <n v="0"/>
    <n v="0"/>
    <n v="0"/>
    <n v="0"/>
    <n v="0"/>
  </r>
  <r>
    <x v="4"/>
    <x v="4"/>
    <s v="Steam Coal"/>
    <s v="Steam Coal"/>
    <s v="ICIEPRHCOA"/>
    <x v="81"/>
    <s v="TechData_OTR"/>
    <n v="1"/>
    <n v="0"/>
    <n v="0"/>
    <n v="0"/>
    <n v="0"/>
    <n v="0"/>
    <n v="9.2651778258154655E-2"/>
    <n v="8.0759520439986021E-2"/>
    <n v="0.28055876459489654"/>
    <n v="1.6740898155246668"/>
    <n v="1.0497305642335566"/>
    <n v="1"/>
    <n v="1"/>
    <n v="1"/>
    <n v="1"/>
    <n v="1"/>
    <n v="1"/>
    <n v="1"/>
    <n v="1"/>
    <n v="1"/>
    <n v="0"/>
    <n v="0"/>
    <n v="0"/>
    <n v="0"/>
    <n v="9.2651778258154655E-2"/>
    <n v="8.0759520439986021E-2"/>
    <n v="0.28055876459489654"/>
    <n v="1.6740898155246668"/>
    <n v="1.0497305642335566"/>
    <n v="3.1777904430512609"/>
    <n v="0"/>
    <n v="0"/>
    <n v="0"/>
    <n v="0"/>
    <n v="0"/>
    <n v="0"/>
    <n v="0"/>
    <n v="0"/>
    <n v="0"/>
    <n v="0"/>
  </r>
  <r>
    <x v="4"/>
    <x v="5"/>
    <s v="Distillate Oil"/>
    <s v="Distillate Oil"/>
    <s v="ICIEBOLDST"/>
    <x v="82"/>
    <s v="TechData_Boiler"/>
    <n v="1"/>
    <n v="0"/>
    <n v="0"/>
    <n v="0"/>
    <n v="0"/>
    <n v="0"/>
    <n v="7.7400074999999999E-2"/>
    <n v="0"/>
    <n v="0"/>
    <n v="0"/>
    <n v="0"/>
    <n v="0"/>
    <n v="0"/>
    <n v="0"/>
    <n v="0"/>
    <n v="0"/>
    <n v="0"/>
    <n v="0"/>
    <n v="0"/>
    <n v="0"/>
    <n v="0"/>
    <n v="0"/>
    <n v="0"/>
    <n v="0"/>
    <n v="0"/>
    <n v="0"/>
    <n v="0"/>
    <n v="0"/>
    <n v="0"/>
    <n v="0"/>
    <n v="0"/>
    <n v="0"/>
    <n v="0"/>
    <n v="0"/>
    <n v="0"/>
    <n v="0"/>
    <n v="0"/>
    <n v="0"/>
    <n v="0"/>
    <n v="0"/>
  </r>
  <r>
    <x v="4"/>
    <x v="5"/>
    <s v="Natural Gas"/>
    <s v="Natural Gas"/>
    <s v="ICIEBOLNGA"/>
    <x v="83"/>
    <s v="TechData_Boiler"/>
    <n v="1"/>
    <n v="0"/>
    <n v="0"/>
    <n v="0.46393835999999999"/>
    <n v="6.0995879999999998"/>
    <n v="5.8660588041599997"/>
    <n v="2.6559389819399999"/>
    <n v="5.5448027460000002"/>
    <n v="20.331959999999999"/>
    <n v="0"/>
    <n v="0.73333682999999983"/>
    <n v="0.22115617713850541"/>
    <n v="0.22115617713850541"/>
    <n v="0.22115617713850541"/>
    <n v="0.22115617713850541"/>
    <n v="0.22115617713850541"/>
    <n v="0.22115617713850541"/>
    <n v="0.22115617713850541"/>
    <n v="0.22115617713850541"/>
    <n v="0.22115617713850541"/>
    <n v="0"/>
    <n v="0.10260283412550769"/>
    <n v="1.348961564199902"/>
    <n v="1.2973151399976981"/>
    <n v="0.58737731195898435"/>
    <n v="1.2262673782924474"/>
    <n v="4.4965385473330066"/>
    <n v="0"/>
    <n v="0.16218196987767"/>
    <n v="9.2212447457852154"/>
    <n v="0"/>
    <n v="0"/>
    <n v="0"/>
    <n v="0"/>
    <n v="0"/>
    <n v="0"/>
    <n v="0"/>
    <n v="0"/>
    <n v="0"/>
    <n v="0"/>
  </r>
  <r>
    <x v="4"/>
    <x v="5"/>
    <s v="Natural Gas"/>
    <s v="Natural Gas"/>
    <s v="ICIEBSTNGA"/>
    <x v="84"/>
    <s v="TechData_CHP"/>
    <n v="0.88423254584500766"/>
    <n v="0.11576745415499237"/>
    <n v="0"/>
    <n v="0"/>
    <n v="0"/>
    <n v="0"/>
    <n v="0"/>
    <n v="0.21427321033354874"/>
    <n v="1.6092963027124978"/>
    <n v="0"/>
    <n v="0"/>
    <n v="8.3328864996117663E-2"/>
    <n v="8.3328864996117663E-2"/>
    <n v="8.3328864996117663E-2"/>
    <n v="8.3328864996117663E-2"/>
    <n v="8.3328864996117663E-2"/>
    <n v="8.3328864996117663E-2"/>
    <n v="8.3328864996117663E-2"/>
    <n v="8.3328864996117663E-2"/>
    <n v="8.3328864996117663E-2"/>
    <n v="0"/>
    <n v="0"/>
    <n v="0"/>
    <n v="0"/>
    <n v="0"/>
    <n v="0.49789348751926077"/>
    <n v="3.7394228954804838"/>
    <n v="0"/>
    <n v="0"/>
    <n v="4.2373163829997447"/>
    <n v="0"/>
    <n v="0"/>
    <n v="0"/>
    <n v="0"/>
    <n v="0"/>
    <n v="6.5186315253045066E-2"/>
    <n v="0.48958101650167835"/>
    <n v="0"/>
    <n v="0"/>
    <n v="0.55476733175472337"/>
  </r>
  <r>
    <x v="4"/>
    <x v="5"/>
    <s v="Natural Gas"/>
    <s v="Natural Gas"/>
    <s v="ICIECCTNGA"/>
    <x v="84"/>
    <s v="TechData_CHP"/>
    <n v="0.49148745416618422"/>
    <n v="0.50851254583381578"/>
    <n v="0.89782058128003672"/>
    <n v="0.88893126859409577"/>
    <n v="0"/>
    <n v="9.6893508276756427E-2"/>
    <n v="2.0771360642815369"/>
    <n v="7.0647246963562754E-2"/>
    <n v="13.095792411486398"/>
    <n v="0.26667938057822876"/>
    <n v="0.2232045788396024"/>
    <n v="7.9962042167991701E-2"/>
    <n v="7.9962042167991701E-2"/>
    <n v="7.9962042167991701E-2"/>
    <n v="7.9962042167991701E-2"/>
    <n v="7.9962042167991701E-2"/>
    <n v="7.9962042167991701E-2"/>
    <n v="7.9962042167991701E-2"/>
    <n v="7.9962042167991701E-2"/>
    <n v="7.9962042167991701E-2"/>
    <n v="1.1127368669517117"/>
    <n v="1.1017196702492194"/>
    <n v="0"/>
    <n v="0.12008744405716491"/>
    <n v="2.5743516294823423"/>
    <n v="8.7558469792395024E-2"/>
    <n v="16.230604780112753"/>
    <n v="0.33051590107476586"/>
    <n v="0.27663429523207567"/>
    <n v="21.834209056952425"/>
    <n v="1.1512819956243154"/>
    <n v="1.1398831639844706"/>
    <n v="0"/>
    <n v="0.12424726487430729"/>
    <n v="2.663526993177046"/>
    <n v="9.059148917438932E-2"/>
    <n v="16.792831815330391"/>
    <n v="0.34196494919534126"/>
    <n v="0.28621688822567887"/>
    <n v="22.590544559585936"/>
  </r>
  <r>
    <x v="4"/>
    <x v="5"/>
    <s v="Steam Coal"/>
    <s v="Steam Coal"/>
    <s v="ICIEBPVCOA"/>
    <x v="85"/>
    <s v="TechData_Boiler"/>
    <n v="1"/>
    <n v="0"/>
    <n v="0"/>
    <n v="0"/>
    <n v="3.8261051999999998"/>
    <n v="0"/>
    <n v="22.707102599999999"/>
    <n v="3.8630723999999996"/>
    <n v="0"/>
    <n v="0"/>
    <n v="0"/>
    <n v="2.1682274698050692E-2"/>
    <n v="2.1682274698050692E-2"/>
    <n v="2.1682274698050692E-2"/>
    <n v="2.1682274698050692E-2"/>
    <n v="2.1682274698050692E-2"/>
    <n v="2.1682274698050692E-2"/>
    <n v="2.1682274698050692E-2"/>
    <n v="2.1682274698050692E-2"/>
    <n v="2.1682274698050692E-2"/>
    <n v="0"/>
    <n v="0"/>
    <n v="8.2958663970040175E-2"/>
    <n v="0"/>
    <n v="0.49234163617002102"/>
    <n v="8.3760196955257951E-2"/>
    <n v="0"/>
    <n v="0"/>
    <n v="0"/>
    <n v="0.65906049709531911"/>
    <n v="0"/>
    <n v="0"/>
    <n v="0"/>
    <n v="0"/>
    <n v="0"/>
    <n v="0"/>
    <n v="0"/>
    <n v="0"/>
    <n v="0"/>
    <n v="0"/>
  </r>
  <r>
    <x v="4"/>
    <x v="5"/>
    <s v="Steam Coal"/>
    <s v="Steam Coal"/>
    <s v="ICIEBSTCOA"/>
    <x v="84"/>
    <s v="TechData_CHP"/>
    <n v="0.88407718648632827"/>
    <n v="0.11592281351367174"/>
    <n v="0"/>
    <n v="2.6168497191011234E-3"/>
    <n v="7.1180421638841362E-2"/>
    <n v="0"/>
    <n v="2.6603395809276638"/>
    <n v="0"/>
    <n v="2.7426970922694238"/>
    <n v="0"/>
    <n v="0"/>
    <n v="0.13910502980543615"/>
    <n v="0.13910502980543615"/>
    <n v="0.13910502980543615"/>
    <n v="0.13910502980543615"/>
    <n v="0.13910502980543615"/>
    <n v="0.13910502980543615"/>
    <n v="0.13910502980543615"/>
    <n v="0.13910502980543615"/>
    <n v="0.13910502980543615"/>
    <n v="0"/>
    <n v="1.0148886765914583E-2"/>
    <n v="0.27605790041729994"/>
    <n v="0"/>
    <n v="10.317552807346431"/>
    <n v="0"/>
    <n v="10.636958637505129"/>
    <n v="0"/>
    <n v="0"/>
    <n v="21.240718232034773"/>
    <n v="0"/>
    <n v="1.3307520269947393E-3"/>
    <n v="3.619752777043897E-2"/>
    <n v="0"/>
    <n v="1.3528680168266922"/>
    <n v="0"/>
    <n v="1.3947494532562692"/>
    <n v="0"/>
    <n v="0"/>
    <n v="2.7851457498803951"/>
  </r>
  <r>
    <x v="4"/>
    <x v="5"/>
    <s v="Steam Coal"/>
    <s v="Steam Coal"/>
    <s v="ICIECPVCOA"/>
    <x v="84"/>
    <s v="TechData_CHP"/>
    <n v="0.88332652522877819"/>
    <n v="0.11667347477122178"/>
    <n v="0"/>
    <n v="0"/>
    <n v="0"/>
    <n v="0"/>
    <n v="0"/>
    <n v="0"/>
    <n v="0"/>
    <n v="0.40607860146291663"/>
    <n v="0"/>
    <n v="0.13794373602771448"/>
    <n v="0.13794373602771448"/>
    <n v="0.13794373602771448"/>
    <n v="0.13794373602771448"/>
    <n v="0.13794373602771448"/>
    <n v="0.13794373602771448"/>
    <n v="0.13794373602771448"/>
    <n v="0.13794373602771448"/>
    <n v="0.13794373602771448"/>
    <n v="0"/>
    <n v="0"/>
    <n v="0"/>
    <n v="0"/>
    <n v="0"/>
    <n v="0"/>
    <n v="0"/>
    <n v="1.5604144656160206"/>
    <n v="0"/>
    <n v="1.5604144656160206"/>
    <n v="0"/>
    <n v="0"/>
    <n v="0"/>
    <n v="0"/>
    <n v="0"/>
    <n v="0"/>
    <n v="0"/>
    <n v="0.20610609167379831"/>
    <n v="0"/>
    <n v="0.20610609167379831"/>
  </r>
  <r>
    <x v="5"/>
    <x v="0"/>
    <s v="Electricity"/>
    <s v="Electricity"/>
    <s v="ICOEFACELC"/>
    <x v="86"/>
    <s v="TechData_OTR"/>
    <n v="1"/>
    <n v="0"/>
    <n v="0.10331819713068111"/>
    <n v="0.28440023621241878"/>
    <n v="2.696785070606639"/>
    <n v="1.8265966517295276"/>
    <n v="1.2924621068286009"/>
    <n v="1.1265689865498618"/>
    <n v="3.9137033178921699"/>
    <n v="0.15886399494239714"/>
    <n v="9.9614960619669485E-2"/>
    <n v="1"/>
    <n v="1"/>
    <n v="1"/>
    <n v="1"/>
    <n v="1"/>
    <n v="1"/>
    <n v="1"/>
    <n v="1"/>
    <n v="1"/>
    <n v="0.10331819713068111"/>
    <n v="0.28440023621241878"/>
    <n v="2.696785070606639"/>
    <n v="1.8265966517295276"/>
    <n v="1.2924621068286009"/>
    <n v="1.1265689865498618"/>
    <n v="3.9137033178921699"/>
    <n v="0.15886399494239714"/>
    <n v="9.9614960619669485E-2"/>
    <n v="11.502313522511965"/>
    <n v="0"/>
    <n v="0"/>
    <n v="0"/>
    <n v="0"/>
    <n v="0"/>
    <n v="0"/>
    <n v="0"/>
    <n v="0"/>
    <n v="0"/>
    <n v="0"/>
  </r>
  <r>
    <x v="5"/>
    <x v="0"/>
    <s v="Natural Gas"/>
    <s v="Natural Gas"/>
    <s v="ICOEFACNGA"/>
    <x v="87"/>
    <s v="TechData_OTR"/>
    <n v="1"/>
    <n v="0"/>
    <n v="4.1368382068250338E-2"/>
    <n v="0.11387323780974329"/>
    <n v="1.0597337086679444"/>
    <n v="0.7177828389350831"/>
    <n v="1.0170440015116784"/>
    <n v="0.88650199027581478"/>
    <n v="3.0797100062961027"/>
    <n v="3.816527943099824E-2"/>
    <n v="2.3931368520199222E-2"/>
    <n v="1"/>
    <n v="1"/>
    <n v="1"/>
    <n v="1"/>
    <n v="1"/>
    <n v="1"/>
    <n v="1"/>
    <n v="1"/>
    <n v="1"/>
    <n v="4.1368382068250338E-2"/>
    <n v="0.11387323780974329"/>
    <n v="1.0597337086679444"/>
    <n v="0.7177828389350831"/>
    <n v="1.0170440015116784"/>
    <n v="0.88650199027581478"/>
    <n v="3.0797100062961027"/>
    <n v="3.816527943099824E-2"/>
    <n v="2.3931368520199222E-2"/>
    <n v="6.9781108135158147"/>
    <n v="0"/>
    <n v="0"/>
    <n v="0"/>
    <n v="0"/>
    <n v="0"/>
    <n v="0"/>
    <n v="0"/>
    <n v="0"/>
    <n v="0"/>
    <n v="0"/>
  </r>
  <r>
    <x v="5"/>
    <x v="1"/>
    <s v="LPG"/>
    <s v="LPG"/>
    <s v="ICOEFEDLPG"/>
    <x v="88"/>
    <s v="TechData_OTR"/>
    <n v="1"/>
    <n v="0"/>
    <n v="0"/>
    <n v="0"/>
    <n v="0"/>
    <n v="0"/>
    <n v="270.89648076900465"/>
    <n v="236.12574185924154"/>
    <n v="820.3013844579699"/>
    <n v="0"/>
    <n v="0"/>
    <n v="1"/>
    <n v="1"/>
    <n v="1"/>
    <n v="1"/>
    <n v="1"/>
    <n v="1"/>
    <n v="1"/>
    <n v="1"/>
    <n v="1"/>
    <n v="0"/>
    <n v="0"/>
    <n v="0"/>
    <n v="0"/>
    <n v="270.89648076900465"/>
    <n v="236.12574185924154"/>
    <n v="820.3013844579699"/>
    <n v="0"/>
    <n v="0"/>
    <n v="1327.323607086216"/>
    <n v="0"/>
    <n v="0"/>
    <n v="0"/>
    <n v="0"/>
    <n v="0"/>
    <n v="0"/>
    <n v="0"/>
    <n v="0"/>
    <n v="0"/>
    <n v="0"/>
  </r>
  <r>
    <x v="5"/>
    <x v="1"/>
    <s v="Natural Gas"/>
    <s v="Natural Gas"/>
    <s v="ICOEFEDNGA"/>
    <x v="89"/>
    <s v="TechData_OTR"/>
    <n v="1"/>
    <n v="0"/>
    <n v="0"/>
    <n v="0"/>
    <n v="0"/>
    <n v="0"/>
    <n v="21.925311298258926"/>
    <n v="19.111102444371635"/>
    <n v="66.392014992509303"/>
    <n v="0.69501776865670206"/>
    <n v="0.43580779697634892"/>
    <n v="1"/>
    <n v="1"/>
    <n v="1"/>
    <n v="1"/>
    <n v="1"/>
    <n v="1"/>
    <n v="1"/>
    <n v="1"/>
    <n v="1"/>
    <n v="0"/>
    <n v="0"/>
    <n v="0"/>
    <n v="0"/>
    <n v="21.925311298258926"/>
    <n v="19.111102444371635"/>
    <n v="66.392014992509303"/>
    <n v="0.69501776865670206"/>
    <n v="0.43580779697634892"/>
    <n v="108.55925430077291"/>
    <n v="0"/>
    <n v="0"/>
    <n v="0"/>
    <n v="0"/>
    <n v="0"/>
    <n v="0"/>
    <n v="0"/>
    <n v="0"/>
    <n v="0"/>
    <n v="0"/>
  </r>
  <r>
    <x v="5"/>
    <x v="1"/>
    <s v="Petrochemical Feedstock"/>
    <s v="Petrochemical Feedstock"/>
    <s v="ICOEFEDPFS"/>
    <x v="90"/>
    <s v="TechData_OTR"/>
    <n v="1"/>
    <n v="0"/>
    <n v="0"/>
    <n v="0"/>
    <n v="0.79648844867872548"/>
    <n v="0.53948056497158514"/>
    <n v="123.36449883045654"/>
    <n v="107.53013004356467"/>
    <n v="373.55992553435095"/>
    <n v="0.82110117694583173"/>
    <n v="0.51486783670447889"/>
    <n v="1"/>
    <n v="1"/>
    <n v="1"/>
    <n v="1"/>
    <n v="1"/>
    <n v="1"/>
    <n v="1"/>
    <n v="1"/>
    <n v="1"/>
    <n v="0"/>
    <n v="0"/>
    <n v="0.79648844867872548"/>
    <n v="0.53948056497158514"/>
    <n v="123.36449883045654"/>
    <n v="107.53013004356467"/>
    <n v="373.55992553435095"/>
    <n v="0.82110117694583173"/>
    <n v="0.51486783670447889"/>
    <n v="607.12649243567284"/>
    <n v="0"/>
    <n v="0"/>
    <n v="0"/>
    <n v="0"/>
    <n v="0"/>
    <n v="0"/>
    <n v="0"/>
    <n v="0"/>
    <n v="0"/>
    <n v="0"/>
  </r>
  <r>
    <x v="5"/>
    <x v="2"/>
    <s v="Electricity"/>
    <s v="Electricity"/>
    <s v="ICOEMDRELC"/>
    <x v="91"/>
    <s v="TechData_OTR"/>
    <n v="1"/>
    <n v="0"/>
    <n v="0.78636627816129512"/>
    <n v="2.1646017978389649"/>
    <n v="20.52553081517275"/>
    <n v="13.90243007149696"/>
    <n v="9.8370727019732414"/>
    <n v="8.5744417309628371"/>
    <n v="29.787630808401516"/>
    <n v="1.2091315170615782"/>
    <n v="0.75818053360526216"/>
    <n v="1"/>
    <n v="1"/>
    <n v="1"/>
    <n v="1"/>
    <n v="1"/>
    <n v="1"/>
    <n v="1"/>
    <n v="1"/>
    <n v="1"/>
    <n v="0.78636627816129512"/>
    <n v="2.1646017978389649"/>
    <n v="20.52553081517275"/>
    <n v="13.90243007149696"/>
    <n v="9.8370727019732414"/>
    <n v="8.5744417309628371"/>
    <n v="29.787630808401516"/>
    <n v="1.2091315170615782"/>
    <n v="0.75818053360526216"/>
    <n v="87.545386254674398"/>
    <n v="0"/>
    <n v="0"/>
    <n v="0"/>
    <n v="0"/>
    <n v="0"/>
    <n v="0"/>
    <n v="0"/>
    <n v="0"/>
    <n v="0"/>
    <n v="0"/>
  </r>
  <r>
    <x v="5"/>
    <x v="2"/>
    <s v="Natural Gas"/>
    <s v="Natural Gas"/>
    <s v="ICOEMDRNGA"/>
    <x v="92"/>
    <s v="TechData_OTR"/>
    <n v="1"/>
    <n v="0"/>
    <n v="0.12640338965298714"/>
    <n v="0.34794600441866003"/>
    <n v="3.2380752209298298"/>
    <n v="2.1932253411905318"/>
    <n v="3.107634449063462"/>
    <n v="2.7087560813983234"/>
    <n v="9.4102250192380925"/>
    <n v="0.11661613159471686"/>
    <n v="7.3123626033942069E-2"/>
    <n v="1"/>
    <n v="1"/>
    <n v="1"/>
    <n v="1"/>
    <n v="1"/>
    <n v="1"/>
    <n v="1"/>
    <n v="1"/>
    <n v="1"/>
    <n v="0.12640338965298714"/>
    <n v="0.34794600441866003"/>
    <n v="3.2380752209298298"/>
    <n v="2.1932253411905318"/>
    <n v="3.107634449063462"/>
    <n v="2.7087560813983234"/>
    <n v="9.4102250192380925"/>
    <n v="0.11661613159471686"/>
    <n v="7.3123626033942069E-2"/>
    <n v="21.322005263520548"/>
    <n v="0"/>
    <n v="0"/>
    <n v="0"/>
    <n v="0"/>
    <n v="0"/>
    <n v="0"/>
    <n v="0"/>
    <n v="0"/>
    <n v="0"/>
    <n v="0"/>
  </r>
  <r>
    <x v="5"/>
    <x v="3"/>
    <s v="Distillate Oil"/>
    <s v="Distillate Oil"/>
    <s v="ICOEOHTDST"/>
    <x v="93"/>
    <s v="TechData_OTR"/>
    <n v="1"/>
    <n v="0"/>
    <n v="0"/>
    <n v="0"/>
    <n v="0"/>
    <n v="0"/>
    <n v="2.696709218706173"/>
    <n v="2.3505748876399122"/>
    <n v="8.1659027068407344"/>
    <n v="0"/>
    <n v="0"/>
    <n v="1"/>
    <n v="1"/>
    <n v="1"/>
    <n v="1"/>
    <n v="1"/>
    <n v="1"/>
    <n v="1"/>
    <n v="1"/>
    <n v="1"/>
    <n v="0"/>
    <n v="0"/>
    <n v="0"/>
    <n v="0"/>
    <n v="2.696709218706173"/>
    <n v="2.3505748876399122"/>
    <n v="8.1659027068407344"/>
    <n v="0"/>
    <n v="0"/>
    <n v="13.21318681318682"/>
    <n v="0"/>
    <n v="0"/>
    <n v="0"/>
    <n v="0"/>
    <n v="0"/>
    <n v="0"/>
    <n v="0"/>
    <n v="0"/>
    <n v="0"/>
    <n v="0"/>
  </r>
  <r>
    <x v="5"/>
    <x v="3"/>
    <s v="LPG"/>
    <s v="LPG"/>
    <s v="ICOEOHTLPG"/>
    <x v="94"/>
    <s v="TechData_OTR"/>
    <n v="1"/>
    <n v="0"/>
    <n v="0"/>
    <n v="0"/>
    <n v="0"/>
    <n v="0"/>
    <n v="3.1979798246112536"/>
    <n v="2.7875052359248627"/>
    <n v="9.6837997679053629"/>
    <n v="0"/>
    <n v="0"/>
    <n v="1"/>
    <n v="1"/>
    <n v="1"/>
    <n v="1"/>
    <n v="1"/>
    <n v="1"/>
    <n v="1"/>
    <n v="1"/>
    <n v="1"/>
    <n v="0"/>
    <n v="0"/>
    <n v="0"/>
    <n v="0"/>
    <n v="3.1979798246112536"/>
    <n v="2.7875052359248627"/>
    <n v="9.6837997679053629"/>
    <n v="0"/>
    <n v="0"/>
    <n v="15.66928482844148"/>
    <n v="0"/>
    <n v="0"/>
    <n v="0"/>
    <n v="0"/>
    <n v="0"/>
    <n v="0"/>
    <n v="0"/>
    <n v="0"/>
    <n v="0"/>
    <n v="0"/>
  </r>
  <r>
    <x v="5"/>
    <x v="3"/>
    <s v="Natural Gas"/>
    <s v="Natural Gas"/>
    <s v="ICOEOHTNGA"/>
    <x v="95"/>
    <s v="TechData_OTR"/>
    <n v="1"/>
    <n v="0"/>
    <n v="1.3789460689416781E-2"/>
    <n v="3.7957745936581098E-2"/>
    <n v="0.35324456955598149"/>
    <n v="0.23926094631169439"/>
    <n v="0.3390146671705595"/>
    <n v="0.29550066342527165"/>
    <n v="1.026570002098701"/>
    <n v="1.2721759810332748E-2"/>
    <n v="7.9771228400664085E-3"/>
    <n v="1"/>
    <n v="1"/>
    <n v="1"/>
    <n v="1"/>
    <n v="1"/>
    <n v="1"/>
    <n v="1"/>
    <n v="1"/>
    <n v="1"/>
    <n v="1.3789460689416781E-2"/>
    <n v="3.7957745936581098E-2"/>
    <n v="0.35324456955598149"/>
    <n v="0.23926094631169439"/>
    <n v="0.3390146671705595"/>
    <n v="0.29550066342527165"/>
    <n v="1.026570002098701"/>
    <n v="1.2721759810332748E-2"/>
    <n v="7.9771228400664085E-3"/>
    <n v="2.3260369378386052"/>
    <n v="0"/>
    <n v="0"/>
    <n v="0"/>
    <n v="0"/>
    <n v="0"/>
    <n v="0"/>
    <n v="0"/>
    <n v="0"/>
    <n v="0"/>
    <n v="0"/>
  </r>
  <r>
    <x v="5"/>
    <x v="3"/>
    <s v="Other Petroleum"/>
    <s v="Other Petroleum"/>
    <s v="ICOEOHTOTP"/>
    <x v="96"/>
    <s v="TechData_OTR"/>
    <n v="1"/>
    <n v="0"/>
    <n v="0.32707477324960438"/>
    <n v="0.90032680935823028"/>
    <n v="4.2076307471041714"/>
    <n v="2.849928352890879"/>
    <n v="28.306858042102476"/>
    <n v="24.67354996979514"/>
    <n v="85.715970822787725"/>
    <n v="0.56578083422988712"/>
    <n v="0.35477035272598889"/>
    <n v="1"/>
    <n v="1"/>
    <n v="1"/>
    <n v="1"/>
    <n v="1"/>
    <n v="1"/>
    <n v="1"/>
    <n v="1"/>
    <n v="1"/>
    <n v="0.32707477324960438"/>
    <n v="0.90032680935823028"/>
    <n v="4.2076307471041714"/>
    <n v="2.849928352890879"/>
    <n v="28.306858042102476"/>
    <n v="24.67354996979514"/>
    <n v="85.715970822787725"/>
    <n v="0.56578083422988712"/>
    <n v="0.35477035272598889"/>
    <n v="147.9018907042441"/>
    <n v="0"/>
    <n v="0"/>
    <n v="0"/>
    <n v="0"/>
    <n v="0"/>
    <n v="0"/>
    <n v="0"/>
    <n v="0"/>
    <n v="0"/>
    <n v="0"/>
  </r>
  <r>
    <x v="5"/>
    <x v="4"/>
    <s v="Electricity"/>
    <s v="Electricity"/>
    <s v="ICOEPRHELC"/>
    <x v="97"/>
    <s v="TechData_OTR"/>
    <n v="1"/>
    <n v="0"/>
    <n v="0.1090580969712745"/>
    <n v="0.3002002493353309"/>
    <n v="2.8466064634181185"/>
    <n v="1.9280742434922791"/>
    <n v="1.3642655572079676"/>
    <n v="1.1891561524692986"/>
    <n v="4.1311312799972901"/>
    <n v="0.16768977243919697"/>
    <n v="0.10514912509854001"/>
    <n v="1"/>
    <n v="1"/>
    <n v="1"/>
    <n v="1"/>
    <n v="1"/>
    <n v="1"/>
    <n v="1"/>
    <n v="1"/>
    <n v="1"/>
    <n v="0.1090580969712745"/>
    <n v="0.3002002493353309"/>
    <n v="2.8466064634181185"/>
    <n v="1.9280742434922791"/>
    <n v="1.3642655572079676"/>
    <n v="1.1891561524692986"/>
    <n v="4.1311312799972901"/>
    <n v="0.16768977243919697"/>
    <n v="0.10514912509854001"/>
    <n v="12.141330940429297"/>
    <n v="0"/>
    <n v="0"/>
    <n v="0"/>
    <n v="0"/>
    <n v="0"/>
    <n v="0"/>
    <n v="0"/>
    <n v="0"/>
    <n v="0"/>
    <n v="0"/>
  </r>
  <r>
    <x v="5"/>
    <x v="4"/>
    <s v="Natural Gas"/>
    <s v="Natural Gas"/>
    <s v="ICOEPRHNGA"/>
    <x v="98"/>
    <s v="TechData_OTR"/>
    <n v="1"/>
    <n v="0"/>
    <n v="1.854682462726557"/>
    <n v="5.1053168284701576"/>
    <n v="47.511394605279506"/>
    <n v="32.180597278922896"/>
    <n v="45.597472734440252"/>
    <n v="39.744839230699036"/>
    <n v="138.07366528227527"/>
    <n v="1.7110766944897546"/>
    <n v="1.0729230219889319"/>
    <n v="1"/>
    <n v="1"/>
    <n v="1"/>
    <n v="1"/>
    <n v="1"/>
    <n v="1"/>
    <n v="1"/>
    <n v="1"/>
    <n v="1"/>
    <n v="1.854682462726557"/>
    <n v="5.1053168284701576"/>
    <n v="47.511394605279506"/>
    <n v="32.180597278922896"/>
    <n v="45.597472734440252"/>
    <n v="39.744839230699036"/>
    <n v="138.07366528227527"/>
    <n v="1.7110766944897546"/>
    <n v="1.0729230219889319"/>
    <n v="312.85196813929235"/>
    <n v="0"/>
    <n v="0"/>
    <n v="0"/>
    <n v="0"/>
    <n v="0"/>
    <n v="0"/>
    <n v="0"/>
    <n v="0"/>
    <n v="0"/>
    <n v="0"/>
  </r>
  <r>
    <x v="5"/>
    <x v="4"/>
    <s v="Steam Coal"/>
    <s v="Steam Coal"/>
    <s v="ICOEPRHCOA"/>
    <x v="99"/>
    <s v="TechData_OTR"/>
    <n v="1"/>
    <n v="0"/>
    <n v="0"/>
    <n v="0"/>
    <n v="1.5393299548192365"/>
    <n v="1.0426247801599131"/>
    <n v="0.5945155771564925"/>
    <n v="0.51820692282324377"/>
    <n v="1.8002520728172531"/>
    <n v="0"/>
    <n v="0"/>
    <n v="1"/>
    <n v="1"/>
    <n v="1"/>
    <n v="1"/>
    <n v="1"/>
    <n v="1"/>
    <n v="1"/>
    <n v="1"/>
    <n v="1"/>
    <n v="0"/>
    <n v="0"/>
    <n v="1.5393299548192365"/>
    <n v="1.0426247801599131"/>
    <n v="0.5945155771564925"/>
    <n v="0.51820692282324377"/>
    <n v="1.8002520728172531"/>
    <n v="0"/>
    <n v="0"/>
    <n v="5.4949293077761387"/>
    <n v="0"/>
    <n v="0"/>
    <n v="0"/>
    <n v="0"/>
    <n v="0"/>
    <n v="0"/>
    <n v="0"/>
    <n v="0"/>
    <n v="0"/>
    <n v="0"/>
  </r>
  <r>
    <x v="5"/>
    <x v="5"/>
    <s v="Distillate Oil"/>
    <s v="Distillate Oil"/>
    <s v="ICOEBLLDST"/>
    <x v="100"/>
    <s v="TechData_Boiler"/>
    <n v="1"/>
    <n v="0"/>
    <n v="0"/>
    <n v="0"/>
    <n v="0"/>
    <n v="0"/>
    <n v="9.6946481999999996"/>
    <n v="3.69672"/>
    <n v="0"/>
    <n v="0"/>
    <n v="0"/>
    <n v="0"/>
    <n v="0"/>
    <n v="0"/>
    <n v="0"/>
    <n v="0"/>
    <n v="0"/>
    <n v="0"/>
    <n v="0"/>
    <n v="0"/>
    <n v="0"/>
    <n v="0"/>
    <n v="0"/>
    <n v="0"/>
    <n v="0"/>
    <n v="0"/>
    <n v="0"/>
    <n v="0"/>
    <n v="0"/>
    <n v="0"/>
    <n v="0"/>
    <n v="0"/>
    <n v="0"/>
    <n v="0"/>
    <n v="0"/>
    <n v="0"/>
    <n v="0"/>
    <n v="0"/>
    <n v="0"/>
    <n v="0"/>
  </r>
  <r>
    <x v="5"/>
    <x v="5"/>
    <s v="Distillate Oil"/>
    <s v="Distillate Oil"/>
    <s v="ICOEBOLDST"/>
    <x v="100"/>
    <s v="TechData_Boiler"/>
    <n v="1"/>
    <n v="0"/>
    <n v="0"/>
    <n v="2.3104499999999997E-2"/>
    <n v="0"/>
    <n v="0"/>
    <n v="0"/>
    <n v="0"/>
    <n v="0"/>
    <n v="0"/>
    <n v="0"/>
    <n v="0"/>
    <n v="0"/>
    <n v="0"/>
    <n v="0"/>
    <n v="0"/>
    <n v="0"/>
    <n v="0"/>
    <n v="0"/>
    <n v="0"/>
    <n v="0"/>
    <n v="0"/>
    <n v="0"/>
    <n v="0"/>
    <n v="0"/>
    <n v="0"/>
    <n v="0"/>
    <n v="0"/>
    <n v="0"/>
    <n v="0"/>
    <n v="0"/>
    <n v="0"/>
    <n v="0"/>
    <n v="0"/>
    <n v="0"/>
    <n v="0"/>
    <n v="0"/>
    <n v="0"/>
    <n v="0"/>
    <n v="0"/>
  </r>
  <r>
    <x v="5"/>
    <x v="5"/>
    <s v="Electricity"/>
    <s v="Electricity"/>
    <s v="ICOEBOLELC"/>
    <x v="101"/>
    <s v="TechData_Boiler"/>
    <n v="1"/>
    <n v="0"/>
    <n v="2.295959936237358E-2"/>
    <n v="6.3200052491648617E-2"/>
    <n v="0.59928557124591975"/>
    <n v="0.40591036705100608"/>
    <n v="0.28721380151746689"/>
    <n v="0.25034866367774705"/>
    <n v="0.86971184842048221"/>
    <n v="3.5303109987199363E-2"/>
    <n v="2.2136657915482107E-2"/>
    <n v="1"/>
    <n v="1"/>
    <n v="1"/>
    <n v="1"/>
    <n v="1"/>
    <n v="1"/>
    <n v="1"/>
    <n v="1"/>
    <n v="1"/>
    <n v="2.295959936237358E-2"/>
    <n v="6.3200052491648617E-2"/>
    <n v="0.59928557124591975"/>
    <n v="0.40591036705100608"/>
    <n v="0.28721380151746689"/>
    <n v="0.25034866367774705"/>
    <n v="0.86971184842048221"/>
    <n v="3.5303109987199363E-2"/>
    <n v="2.2136657915482107E-2"/>
    <n v="2.5560696716693254"/>
    <n v="0"/>
    <n v="0"/>
    <n v="0"/>
    <n v="0"/>
    <n v="0"/>
    <n v="0"/>
    <n v="0"/>
    <n v="0"/>
    <n v="0"/>
    <n v="0"/>
  </r>
  <r>
    <x v="5"/>
    <x v="5"/>
    <s v="Natural Gas"/>
    <s v="Natural Gas"/>
    <s v="ICOEBOLNGA"/>
    <x v="102"/>
    <s v="TechData_Boiler"/>
    <n v="1"/>
    <n v="0"/>
    <n v="0"/>
    <n v="8.5394231999999999"/>
    <n v="10.821962963999997"/>
    <n v="6.3765647459999997"/>
    <n v="11.789265202799999"/>
    <n v="10.107109733999998"/>
    <n v="286.73562471000014"/>
    <n v="0"/>
    <n v="0"/>
    <n v="0.2980154833024643"/>
    <n v="0.2980154833024643"/>
    <n v="0.2980154833024643"/>
    <n v="0.2980154833024643"/>
    <n v="0.2980154833024643"/>
    <n v="0.2980154833024643"/>
    <n v="0.2980154833024643"/>
    <n v="0.2980154833024643"/>
    <n v="0.2980154833024643"/>
    <n v="0"/>
    <n v="2.5448803320722764"/>
    <n v="3.2251125229978284"/>
    <n v="1.9003150245886453"/>
    <n v="3.5133835671933666"/>
    <n v="3.0120751921690507"/>
    <n v="85.451655777984712"/>
    <n v="0"/>
    <n v="0"/>
    <n v="99.647422417005885"/>
    <n v="0"/>
    <n v="0"/>
    <n v="0"/>
    <n v="0"/>
    <n v="0"/>
    <n v="0"/>
    <n v="0"/>
    <n v="0"/>
    <n v="0"/>
    <n v="0"/>
  </r>
  <r>
    <x v="5"/>
    <x v="5"/>
    <s v="Natural Gas"/>
    <s v="Natural Gas"/>
    <s v="ICOEBSTNGA"/>
    <x v="103"/>
    <s v="TechData_CHP"/>
    <n v="0.8967480198971931"/>
    <n v="0.10325198010280685"/>
    <n v="0"/>
    <n v="0"/>
    <n v="2.3035735158201089E-2"/>
    <n v="0.13821441094920653"/>
    <n v="0.11678127742544921"/>
    <n v="0"/>
    <n v="0.10881819718377049"/>
    <n v="2.3035735158201089E-2"/>
    <n v="0"/>
    <n v="0.48098135509441969"/>
    <n v="0.48098135509441969"/>
    <n v="0.48098135509441969"/>
    <n v="0.48098135509441969"/>
    <n v="0.48098135509441969"/>
    <n v="0.48098135509441969"/>
    <n v="0.48098135509441969"/>
    <n v="0.48098135509441969"/>
    <n v="0.48098135509441969"/>
    <n v="0"/>
    <n v="0"/>
    <n v="0.31333387647891164"/>
    <n v="1.8800032588734701"/>
    <n v="1.5884680955297426"/>
    <n v="0"/>
    <n v="1.4801536534812316"/>
    <n v="0.31333387647891164"/>
    <n v="0"/>
    <n v="5.5752927608422675"/>
    <n v="0"/>
    <n v="0"/>
    <n v="3.6077406876733255E-2"/>
    <n v="0.21646444126039954"/>
    <n v="0.18289694825574696"/>
    <n v="0"/>
    <n v="0.17042557350264562"/>
    <n v="3.6077406876733255E-2"/>
    <n v="0"/>
    <n v="0.64194177677225861"/>
  </r>
  <r>
    <x v="5"/>
    <x v="5"/>
    <s v="Natural Gas"/>
    <s v="Natural Gas"/>
    <s v="ICOECCTNGA"/>
    <x v="103"/>
    <s v="TechData_CHP"/>
    <n v="0.49273011568648462"/>
    <n v="0.50726988431351538"/>
    <n v="0"/>
    <n v="8.2347826086956542E-3"/>
    <n v="4.0774133713769585"/>
    <n v="0.14495102708769139"/>
    <n v="0"/>
    <n v="0"/>
    <n v="5.2174339258016129"/>
    <n v="0"/>
    <n v="2.0456178531907048E-2"/>
    <n v="0.56539512423379679"/>
    <n v="0.56539512423379679"/>
    <n v="0.56539512423379679"/>
    <n v="0.56539512423379679"/>
    <n v="0.56539512423379679"/>
    <n v="0.56539512423379679"/>
    <n v="0.56539512423379679"/>
    <n v="0.56539512423379679"/>
    <n v="0.56539512423379679"/>
    <n v="0"/>
    <n v="7.2346897503633947E-2"/>
    <n v="35.822221578437023"/>
    <n v="1.2734710311218191"/>
    <n v="0"/>
    <n v="0"/>
    <n v="45.837901909318319"/>
    <n v="0"/>
    <n v="0.17971829031663183"/>
    <n v="83.185659706697436"/>
    <n v="0"/>
    <n v="7.4481752096641332E-2"/>
    <n v="36.879284657950734"/>
    <n v="1.3110493596149755"/>
    <n v="0"/>
    <n v="0"/>
    <n v="47.190513545774657"/>
    <n v="0"/>
    <n v="0.18502152280853826"/>
    <n v="85.640350838245553"/>
  </r>
  <r>
    <x v="5"/>
    <x v="5"/>
    <s v="Natural Gas"/>
    <s v="Natural Gas"/>
    <s v="ICOEFCLNGA"/>
    <x v="103"/>
    <s v="TechData_CHP"/>
    <n v="0.31911030413073083"/>
    <n v="0.68088969586926917"/>
    <n v="0"/>
    <n v="5.8746666666666656E-4"/>
    <n v="0"/>
    <n v="0"/>
    <n v="0"/>
    <n v="0"/>
    <n v="0"/>
    <n v="0"/>
    <n v="0"/>
    <n v="0.52968595849271505"/>
    <n v="0.52968595849271505"/>
    <n v="0.52968595849271505"/>
    <n v="0.52968595849271505"/>
    <n v="0.52968595849271505"/>
    <n v="0.52968595849271505"/>
    <n v="0.52968595849271505"/>
    <n v="0.52968595849271505"/>
    <n v="0.52968595849271505"/>
    <n v="0"/>
    <n v="3.1314762666878565E-3"/>
    <n v="0"/>
    <n v="0"/>
    <n v="0"/>
    <n v="0"/>
    <n v="0"/>
    <n v="0"/>
    <n v="0"/>
    <n v="3.1314762666878565E-3"/>
    <n v="0"/>
    <n v="6.6816705548105046E-3"/>
    <n v="0"/>
    <n v="0"/>
    <n v="0"/>
    <n v="0"/>
    <n v="0"/>
    <n v="0"/>
    <n v="0"/>
    <n v="6.6816705548105046E-3"/>
  </r>
  <r>
    <x v="5"/>
    <x v="5"/>
    <s v="Natural Gas"/>
    <s v="Natural Gas"/>
    <s v="ICOEREGNGA"/>
    <x v="103"/>
    <s v="TechData_CHP"/>
    <n v="0.6141288216087859"/>
    <n v="0.38587117839121404"/>
    <n v="0"/>
    <n v="2.5267499999999999E-3"/>
    <n v="0"/>
    <n v="0"/>
    <n v="0"/>
    <n v="0"/>
    <n v="0"/>
    <n v="0"/>
    <n v="0"/>
    <n v="0.56241936042203999"/>
    <n v="0.56241936042203999"/>
    <n v="0.56241936042203999"/>
    <n v="0.56241936042203999"/>
    <n v="0.56241936042203999"/>
    <n v="0.56241936042203999"/>
    <n v="0.56241936042203999"/>
    <n v="0.56241936042203999"/>
    <n v="0.56241936042203999"/>
    <n v="0"/>
    <n v="2.752254707258062E-2"/>
    <n v="0"/>
    <n v="0"/>
    <n v="0"/>
    <n v="0"/>
    <n v="0"/>
    <n v="0"/>
    <n v="0"/>
    <n v="2.752254707258062E-2"/>
    <n v="0"/>
    <n v="1.7293045526512719E-2"/>
    <n v="0"/>
    <n v="0"/>
    <n v="0"/>
    <n v="0"/>
    <n v="0"/>
    <n v="0"/>
    <n v="0"/>
    <n v="1.7293045526512719E-2"/>
  </r>
  <r>
    <x v="5"/>
    <x v="5"/>
    <s v="Residual Oil"/>
    <s v="Residual Oil"/>
    <s v="ICOEBHLRFL"/>
    <x v="104"/>
    <s v="TechData_Boiler"/>
    <n v="1"/>
    <n v="0"/>
    <n v="0"/>
    <n v="0"/>
    <n v="0"/>
    <n v="0"/>
    <n v="2.4200577480000001"/>
    <n v="0.73010219999999992"/>
    <n v="8.8296157199999996"/>
    <n v="0"/>
    <n v="0"/>
    <n v="0.42902798781859014"/>
    <n v="0.42902798781859014"/>
    <n v="0.42902798781859014"/>
    <n v="0.42902798781859014"/>
    <n v="0.42902798781859014"/>
    <n v="0.42902798781859014"/>
    <n v="0.42902798781859014"/>
    <n v="0.42902798781859014"/>
    <n v="0.42902798781859014"/>
    <n v="0"/>
    <n v="0"/>
    <n v="0"/>
    <n v="0"/>
    <n v="1.0382725060292286"/>
    <n v="0.31323427776792584"/>
    <n v="3.7881522655629918"/>
    <n v="0"/>
    <n v="0"/>
    <n v="5.1396590493601462"/>
    <n v="0"/>
    <n v="0"/>
    <n v="0"/>
    <n v="0"/>
    <n v="0"/>
    <n v="0"/>
    <n v="0"/>
    <n v="0"/>
    <n v="0"/>
    <n v="0"/>
  </r>
  <r>
    <x v="5"/>
    <x v="5"/>
    <s v="Residual Oil"/>
    <s v="Residual Oil"/>
    <s v="ICOEBSARFL"/>
    <x v="103"/>
    <s v="TechData_CHP"/>
    <n v="0.91317837324206397"/>
    <n v="8.6821626757936074E-2"/>
    <n v="0"/>
    <n v="0.10869895490459165"/>
    <n v="0"/>
    <n v="0"/>
    <n v="0"/>
    <n v="0"/>
    <n v="0"/>
    <n v="0"/>
    <n v="0"/>
    <n v="1"/>
    <n v="1"/>
    <n v="1"/>
    <n v="1"/>
    <n v="1"/>
    <n v="1"/>
    <n v="1"/>
    <n v="1"/>
    <n v="1"/>
    <n v="0"/>
    <n v="3.1303117618592196"/>
    <n v="0"/>
    <n v="0"/>
    <n v="0"/>
    <n v="0"/>
    <n v="0"/>
    <n v="0"/>
    <n v="0"/>
    <n v="3.1303117618592196"/>
    <n v="0"/>
    <n v="0.2976184800119831"/>
    <n v="0"/>
    <n v="0"/>
    <n v="0"/>
    <n v="0"/>
    <n v="0"/>
    <n v="0"/>
    <n v="0"/>
    <n v="0.2976184800119831"/>
  </r>
  <r>
    <x v="5"/>
    <x v="5"/>
    <s v="Residual Oil"/>
    <s v="Residual Oil"/>
    <s v="ICOEBSTRFL"/>
    <x v="103"/>
    <s v="TechData_CHP"/>
    <n v="0.91317837324206397"/>
    <n v="8.6821626757936074E-2"/>
    <n v="0"/>
    <n v="5.1830404105952445E-2"/>
    <n v="0"/>
    <n v="0"/>
    <n v="0"/>
    <n v="0"/>
    <n v="0"/>
    <n v="0"/>
    <n v="0"/>
    <n v="0.98999999999999988"/>
    <n v="0.98999999999999988"/>
    <n v="0.98999999999999988"/>
    <n v="0.98999999999999988"/>
    <n v="0.98999999999999988"/>
    <n v="0.98999999999999988"/>
    <n v="0.98999999999999988"/>
    <n v="0.98999999999999988"/>
    <n v="0.98999999999999988"/>
    <n v="0"/>
    <n v="1.477685507646463"/>
    <n v="0"/>
    <n v="0"/>
    <n v="0"/>
    <n v="0"/>
    <n v="0"/>
    <n v="0"/>
    <n v="0"/>
    <n v="1.477685507646463"/>
    <n v="0"/>
    <n v="0.14049288000000001"/>
    <n v="0"/>
    <n v="0"/>
    <n v="0"/>
    <n v="0"/>
    <n v="0"/>
    <n v="0"/>
    <n v="0"/>
    <n v="0.14049288000000001"/>
  </r>
  <r>
    <x v="5"/>
    <x v="5"/>
    <s v="Steam Coal"/>
    <s v="Steam Coal"/>
    <s v="ICOEBSOCOA"/>
    <x v="105"/>
    <s v="TechData_Boiler"/>
    <n v="1"/>
    <n v="0"/>
    <n v="0"/>
    <n v="0"/>
    <n v="6.6263705999999996"/>
    <n v="2.6246711999999999"/>
    <n v="0"/>
    <n v="1.2846101999999999"/>
    <n v="0"/>
    <n v="0"/>
    <n v="0"/>
    <n v="0.35003837972428292"/>
    <n v="0.35003837972428292"/>
    <n v="0.35003837972428292"/>
    <n v="0.35003837972428292"/>
    <n v="0.35003837972428292"/>
    <n v="0.35003837972428292"/>
    <n v="0.35003837972428292"/>
    <n v="0.35003837972428292"/>
    <n v="0.35003837972428292"/>
    <n v="0"/>
    <n v="0"/>
    <n v="2.3194840282766243"/>
    <n v="0.91873565415698932"/>
    <n v="0"/>
    <n v="0.44966287298528701"/>
    <n v="0"/>
    <n v="0"/>
    <n v="0"/>
    <n v="3.6878825554189008"/>
    <n v="0"/>
    <n v="0"/>
    <n v="0"/>
    <n v="0"/>
    <n v="0"/>
    <n v="0"/>
    <n v="0"/>
    <n v="0"/>
    <n v="0"/>
    <n v="0"/>
  </r>
  <r>
    <x v="5"/>
    <x v="5"/>
    <s v="Steam Coal"/>
    <s v="Steam Coal"/>
    <s v="ICOEBSTCOA"/>
    <x v="103"/>
    <s v="TechData_CHP"/>
    <n v="0.88452569699892736"/>
    <n v="0.11547430300107267"/>
    <n v="0"/>
    <n v="2.3343744121367358"/>
    <n v="0"/>
    <n v="0.21960905789181032"/>
    <n v="0.59996498893393646"/>
    <n v="0"/>
    <n v="0"/>
    <n v="0"/>
    <n v="0"/>
    <n v="0.34136338455375592"/>
    <n v="0.34136338455375592"/>
    <n v="0.34136338455375592"/>
    <n v="0.34136338455375592"/>
    <n v="0.34136338455375592"/>
    <n v="0.34136338455375592"/>
    <n v="0.34136338455375592"/>
    <n v="0.34136338455375592"/>
    <n v="0.34136338455375592"/>
    <n v="0"/>
    <n v="22.22821103425526"/>
    <n v="0"/>
    <n v="2.0911454728399437"/>
    <n v="5.7129431842003058"/>
    <n v="0"/>
    <n v="0"/>
    <n v="0"/>
    <n v="0"/>
    <n v="30.03229969129551"/>
    <n v="0"/>
    <n v="2.9018797134443135"/>
    <n v="0"/>
    <n v="0.27299779618537623"/>
    <n v="0.74582133059392508"/>
    <n v="0"/>
    <n v="0"/>
    <n v="0"/>
    <n v="0"/>
    <n v="3.9206988402236149"/>
  </r>
  <r>
    <x v="5"/>
    <x v="5"/>
    <s v="Steam Coal"/>
    <s v="Steam Coal"/>
    <s v="ICOECPVCOA"/>
    <x v="103"/>
    <s v="TechData_CHP"/>
    <n v="0.88332652522877819"/>
    <n v="0.11667347477122177"/>
    <n v="0"/>
    <n v="0"/>
    <n v="0"/>
    <n v="0"/>
    <n v="0.10715969383516952"/>
    <n v="0"/>
    <n v="0"/>
    <n v="0"/>
    <n v="0"/>
    <n v="0.3227687552858261"/>
    <n v="0.3227687552858261"/>
    <n v="0.3227687552858261"/>
    <n v="0.3227687552858261"/>
    <n v="0.3227687552858261"/>
    <n v="0.3227687552858261"/>
    <n v="0.3227687552858261"/>
    <n v="0.3227687552858261"/>
    <n v="0.3227687552858261"/>
    <n v="0"/>
    <n v="0"/>
    <n v="0"/>
    <n v="0"/>
    <n v="0.96349802877083635"/>
    <n v="0"/>
    <n v="0"/>
    <n v="0"/>
    <n v="0"/>
    <n v="0.96349802877083635"/>
    <n v="0"/>
    <n v="0"/>
    <n v="0"/>
    <n v="0"/>
    <n v="0.12726286343863738"/>
    <n v="0"/>
    <n v="0"/>
    <n v="0"/>
    <n v="0"/>
    <n v="0.12726286343863738"/>
  </r>
  <r>
    <x v="6"/>
    <x v="6"/>
    <s v="Electricity"/>
    <s v="Electricity"/>
    <s v="IOTEETCELC"/>
    <x v="106"/>
    <s v="TechData_OTR"/>
    <n v="1"/>
    <n v="0"/>
    <n v="0.52203697683094341"/>
    <n v="1.4369921625185693"/>
    <n v="3.2678985586167504"/>
    <n v="2.2134253969369375"/>
    <n v="1.4013987333665723"/>
    <n v="1.2215231243219784"/>
    <n v="4.243574216597116"/>
    <n v="1.5810636099500879"/>
    <n v="0.99139889626644417"/>
    <n v="1"/>
    <n v="1"/>
    <n v="1"/>
    <n v="1"/>
    <n v="1"/>
    <n v="1"/>
    <n v="1"/>
    <n v="1"/>
    <n v="1"/>
    <n v="0.52203697683094341"/>
    <n v="1.4369921625185693"/>
    <n v="3.2678985586167504"/>
    <n v="2.2134253969369375"/>
    <n v="1.4013987333665723"/>
    <n v="1.2215231243219784"/>
    <n v="4.243574216597116"/>
    <n v="1.5810636099500879"/>
    <n v="0.99139889626644417"/>
    <n v="16.879311675405397"/>
    <n v="0"/>
    <n v="0"/>
    <n v="0"/>
    <n v="0"/>
    <n v="0"/>
    <n v="0"/>
    <n v="0"/>
    <n v="0"/>
    <n v="0"/>
    <n v="0"/>
  </r>
  <r>
    <x v="6"/>
    <x v="0"/>
    <s v="Distillate Oil"/>
    <s v="Distillate Oil"/>
    <s v="IOTEFACDST"/>
    <x v="107"/>
    <s v="TechData_OTR"/>
    <n v="1"/>
    <n v="0"/>
    <n v="0.48553364664097953"/>
    <n v="1.3365107757263217"/>
    <n v="0.93109773006943419"/>
    <n v="0.63065463195968108"/>
    <n v="0.53123596040394905"/>
    <n v="0.46304951949394796"/>
    <n v="1.6086351234839626"/>
    <n v="2.0797185367509385"/>
    <n v="1.3040782476454782"/>
    <n v="1"/>
    <n v="1"/>
    <n v="1"/>
    <n v="1"/>
    <n v="1"/>
    <n v="1"/>
    <n v="1"/>
    <n v="1"/>
    <n v="1"/>
    <n v="0.48553364664097953"/>
    <n v="1.3365107757263217"/>
    <n v="0.93109773006943419"/>
    <n v="0.63065463195968108"/>
    <n v="0.53123596040394905"/>
    <n v="0.46304951949394796"/>
    <n v="1.6086351234839626"/>
    <n v="2.0797185367509385"/>
    <n v="1.3040782476454782"/>
    <n v="9.3705141721746923"/>
    <n v="0"/>
    <n v="0"/>
    <n v="0"/>
    <n v="0"/>
    <n v="0"/>
    <n v="0"/>
    <n v="0"/>
    <n v="0"/>
    <n v="0"/>
    <n v="0"/>
  </r>
  <r>
    <x v="6"/>
    <x v="0"/>
    <s v="Electricity"/>
    <s v="Electricity"/>
    <s v="IOTEFACELC"/>
    <x v="108"/>
    <s v="TechData_OTR"/>
    <n v="1"/>
    <n v="0"/>
    <n v="10.641522989246154"/>
    <n v="29.292532543647756"/>
    <n v="66.614855233341444"/>
    <n v="45.119825399099113"/>
    <n v="28.566974180164738"/>
    <n v="24.90027907271725"/>
    <n v="86.503628261402753"/>
    <n v="32.229373587444094"/>
    <n v="20.209285193123669"/>
    <n v="1"/>
    <n v="1"/>
    <n v="1"/>
    <n v="1"/>
    <n v="1"/>
    <n v="1"/>
    <n v="1"/>
    <n v="1"/>
    <n v="1"/>
    <n v="10.641522989246154"/>
    <n v="29.292532543647756"/>
    <n v="66.614855233341444"/>
    <n v="45.119825399099113"/>
    <n v="28.566974180164738"/>
    <n v="24.90027907271725"/>
    <n v="86.503628261402753"/>
    <n v="32.229373587444094"/>
    <n v="20.209285193123669"/>
    <n v="344.07827646018694"/>
    <n v="0"/>
    <n v="0"/>
    <n v="0"/>
    <n v="0"/>
    <n v="0"/>
    <n v="0"/>
    <n v="0"/>
    <n v="0"/>
    <n v="0"/>
    <n v="0"/>
  </r>
  <r>
    <x v="6"/>
    <x v="0"/>
    <s v="LPG"/>
    <s v="LPG"/>
    <s v="IOTEFACLPG"/>
    <x v="109"/>
    <s v="TechData_OTR"/>
    <n v="1"/>
    <n v="0"/>
    <n v="0.27401785444605503"/>
    <n v="0.75427896242041692"/>
    <n v="7.3566964030945217"/>
    <n v="4.9828653993031464"/>
    <n v="2.3085416858912491"/>
    <n v="2.0122303421832606"/>
    <n v="6.9904929574566861"/>
    <n v="1.8960074326986989"/>
    <n v="1.1888830179007182"/>
    <n v="1"/>
    <n v="1"/>
    <n v="1"/>
    <n v="1"/>
    <n v="1"/>
    <n v="1"/>
    <n v="1"/>
    <n v="1"/>
    <n v="1"/>
    <n v="0.27401785444605503"/>
    <n v="0.75427896242041692"/>
    <n v="7.3566964030945217"/>
    <n v="4.9828653993031464"/>
    <n v="2.3085416858912491"/>
    <n v="2.0122303421832606"/>
    <n v="6.9904929574566861"/>
    <n v="1.8960074326986989"/>
    <n v="1.1888830179007182"/>
    <n v="27.764014055394753"/>
    <n v="0"/>
    <n v="0"/>
    <n v="0"/>
    <n v="0"/>
    <n v="0"/>
    <n v="0"/>
    <n v="0"/>
    <n v="0"/>
    <n v="0"/>
    <n v="0"/>
  </r>
  <r>
    <x v="6"/>
    <x v="0"/>
    <s v="Natural Gas"/>
    <s v="Natural Gas"/>
    <s v="IOTEFACNGA"/>
    <x v="110"/>
    <s v="TechData_OTR"/>
    <n v="1"/>
    <n v="0"/>
    <n v="9.2667813403406178"/>
    <n v="25.508331303809427"/>
    <n v="61.556284097321786"/>
    <n v="41.69353488737115"/>
    <n v="18.36525983427115"/>
    <n v="16.007999035257971"/>
    <n v="55.611826426158125"/>
    <n v="18.729061953948026"/>
    <n v="11.743974899173153"/>
    <n v="1"/>
    <n v="1"/>
    <n v="1"/>
    <n v="1"/>
    <n v="1"/>
    <n v="1"/>
    <n v="1"/>
    <n v="1"/>
    <n v="1"/>
    <n v="9.2667813403406178"/>
    <n v="25.508331303809427"/>
    <n v="61.556284097321786"/>
    <n v="41.69353488737115"/>
    <n v="18.36525983427115"/>
    <n v="16.007999035257971"/>
    <n v="55.611826426158125"/>
    <n v="18.729061953948026"/>
    <n v="11.743974899173153"/>
    <n v="258.48305377765138"/>
    <n v="0"/>
    <n v="0"/>
    <n v="0"/>
    <n v="0"/>
    <n v="0"/>
    <n v="0"/>
    <n v="0"/>
    <n v="0"/>
    <n v="0"/>
    <n v="0"/>
  </r>
  <r>
    <x v="6"/>
    <x v="0"/>
    <s v="Residual Oil"/>
    <s v="Residual Oil"/>
    <s v="IOTEFACRFL"/>
    <x v="111"/>
    <s v="TechData_OTR"/>
    <n v="1"/>
    <n v="0"/>
    <n v="0.16841657486860231"/>
    <n v="0.46359416835481571"/>
    <n v="0"/>
    <n v="0"/>
    <n v="9.6741377856191191E-2"/>
    <n v="8.4324202182075758E-2"/>
    <n v="0.29294247737929663"/>
    <n v="0"/>
    <n v="0"/>
    <n v="1"/>
    <n v="1"/>
    <n v="1"/>
    <n v="1"/>
    <n v="1"/>
    <n v="1"/>
    <n v="1"/>
    <n v="1"/>
    <n v="1"/>
    <n v="0.16841657486860231"/>
    <n v="0.46359416835481571"/>
    <n v="0"/>
    <n v="0"/>
    <n v="9.6741377856191191E-2"/>
    <n v="8.4324202182075758E-2"/>
    <n v="0.29294247737929663"/>
    <n v="0"/>
    <n v="0"/>
    <n v="1.1060188006409815"/>
    <n v="0"/>
    <n v="0"/>
    <n v="0"/>
    <n v="0"/>
    <n v="0"/>
    <n v="0"/>
    <n v="0"/>
    <n v="0"/>
    <n v="0"/>
    <n v="0"/>
  </r>
  <r>
    <x v="6"/>
    <x v="0"/>
    <s v="Steam Coal"/>
    <s v="Steam Coal"/>
    <s v="IOTEFACCOA"/>
    <x v="112"/>
    <s v="TechData_OTR"/>
    <n v="1"/>
    <n v="0"/>
    <n v="0.25802344100051522"/>
    <n v="0.71025172338296949"/>
    <n v="1.5875031031097457"/>
    <n v="1.0752535989448377"/>
    <n v="0.64225678079049853"/>
    <n v="0.5598203357894509"/>
    <n v="1.9448171676663768"/>
    <n v="0"/>
    <n v="0"/>
    <n v="1"/>
    <n v="1"/>
    <n v="1"/>
    <n v="1"/>
    <n v="1"/>
    <n v="1"/>
    <n v="1"/>
    <n v="1"/>
    <n v="1"/>
    <n v="0.25802344100051522"/>
    <n v="0.71025172338296949"/>
    <n v="1.5875031031097457"/>
    <n v="1.0752535989448377"/>
    <n v="0.64225678079049853"/>
    <n v="0.5598203357894509"/>
    <n v="1.9448171676663768"/>
    <n v="0"/>
    <n v="0"/>
    <n v="6.7779261506843937"/>
    <n v="0"/>
    <n v="0"/>
    <n v="0"/>
    <n v="0"/>
    <n v="0"/>
    <n v="0"/>
    <n v="0"/>
    <n v="0"/>
    <n v="0"/>
    <n v="0"/>
  </r>
  <r>
    <x v="6"/>
    <x v="1"/>
    <s v="Coke"/>
    <s v="Coke"/>
    <s v="IOTEFEDCOK"/>
    <x v="113"/>
    <s v="TechData_OTR"/>
    <n v="1"/>
    <n v="0"/>
    <n v="0"/>
    <n v="0"/>
    <n v="0.8727703713351026"/>
    <n v="0.59114812499715508"/>
    <n v="0.29877444104201978"/>
    <n v="0.26042544494988917"/>
    <n v="0.90471861034034873"/>
    <n v="0"/>
    <n v="0"/>
    <n v="1"/>
    <n v="1"/>
    <n v="1"/>
    <n v="1"/>
    <n v="1"/>
    <n v="1"/>
    <n v="1"/>
    <n v="1"/>
    <n v="1"/>
    <n v="0"/>
    <n v="0"/>
    <n v="0.8727703713351026"/>
    <n v="0.59114812499715508"/>
    <n v="0.29877444104201978"/>
    <n v="0.26042544494988917"/>
    <n v="0.90471861034034873"/>
    <n v="0"/>
    <n v="0"/>
    <n v="2.9278369926645151"/>
    <n v="0"/>
    <n v="0"/>
    <n v="0"/>
    <n v="0"/>
    <n v="0"/>
    <n v="0"/>
    <n v="0"/>
    <n v="0"/>
    <n v="0"/>
    <n v="0"/>
  </r>
  <r>
    <x v="6"/>
    <x v="1"/>
    <s v="Distillate Oil"/>
    <s v="Distillate Oil"/>
    <s v="IOTEFEDDST"/>
    <x v="114"/>
    <s v="TechData_OTR"/>
    <n v="1"/>
    <n v="0"/>
    <n v="0.21482386651380481"/>
    <n v="0.5913378289336052"/>
    <n v="0.48062378066441269"/>
    <n v="0.32553791478299726"/>
    <n v="0.32906273204450326"/>
    <n v="0.28682610236082262"/>
    <n v="0.99643455648949442"/>
    <n v="0"/>
    <n v="0"/>
    <n v="1"/>
    <n v="1"/>
    <n v="1"/>
    <n v="1"/>
    <n v="1"/>
    <n v="1"/>
    <n v="1"/>
    <n v="1"/>
    <n v="1"/>
    <n v="0.21482386651380481"/>
    <n v="0.5913378289336052"/>
    <n v="0.48062378066441269"/>
    <n v="0.32553791478299726"/>
    <n v="0.32906273204450326"/>
    <n v="0.28682610236082262"/>
    <n v="0.99643455648949442"/>
    <n v="0"/>
    <n v="0"/>
    <n v="3.22464678178964"/>
    <n v="0"/>
    <n v="0"/>
    <n v="0"/>
    <n v="0"/>
    <n v="0"/>
    <n v="0"/>
    <n v="0"/>
    <n v="0"/>
    <n v="0"/>
    <n v="0"/>
  </r>
  <r>
    <x v="6"/>
    <x v="1"/>
    <s v="LPG"/>
    <s v="LPG"/>
    <s v="IOTEFEDLPG"/>
    <x v="115"/>
    <s v="TechData_OTR"/>
    <n v="1"/>
    <n v="0"/>
    <n v="0"/>
    <n v="0"/>
    <n v="0"/>
    <n v="0"/>
    <n v="1.0793181908062981"/>
    <n v="0.9407830171246413"/>
    <n v="3.2682824216680602"/>
    <n v="0"/>
    <n v="0"/>
    <n v="1"/>
    <n v="1"/>
    <n v="1"/>
    <n v="1"/>
    <n v="1"/>
    <n v="1"/>
    <n v="1"/>
    <n v="1"/>
    <n v="1"/>
    <n v="0"/>
    <n v="0"/>
    <n v="0"/>
    <n v="0"/>
    <n v="1.0793181908062981"/>
    <n v="0.9407830171246413"/>
    <n v="3.2682824216680602"/>
    <n v="0"/>
    <n v="0"/>
    <n v="5.2883836295990001"/>
    <n v="0"/>
    <n v="0"/>
    <n v="0"/>
    <n v="0"/>
    <n v="0"/>
    <n v="0"/>
    <n v="0"/>
    <n v="0"/>
    <n v="0"/>
    <n v="0"/>
  </r>
  <r>
    <x v="6"/>
    <x v="1"/>
    <s v="Natural Gas"/>
    <s v="Natural Gas"/>
    <s v="IOTEFEDNGA"/>
    <x v="116"/>
    <s v="TechData_OTR"/>
    <n v="1"/>
    <n v="0"/>
    <n v="0"/>
    <n v="0"/>
    <n v="3.1805833857237262"/>
    <n v="2.1542847541805217"/>
    <n v="0.8166039898359585"/>
    <n v="0.71178932394345951"/>
    <n v="2.4727577911487679"/>
    <n v="0"/>
    <n v="0"/>
    <n v="1"/>
    <n v="1"/>
    <n v="1"/>
    <n v="1"/>
    <n v="1"/>
    <n v="1"/>
    <n v="1"/>
    <n v="1"/>
    <n v="1"/>
    <n v="0"/>
    <n v="0"/>
    <n v="3.1805833857237262"/>
    <n v="2.1542847541805217"/>
    <n v="0.8166039898359585"/>
    <n v="0.71178932394345951"/>
    <n v="2.4727577911487679"/>
    <n v="0"/>
    <n v="0"/>
    <n v="9.3360192448324337"/>
    <n v="0"/>
    <n v="0"/>
    <n v="0"/>
    <n v="0"/>
    <n v="0"/>
    <n v="0"/>
    <n v="0"/>
    <n v="0"/>
    <n v="0"/>
    <n v="0"/>
  </r>
  <r>
    <x v="6"/>
    <x v="1"/>
    <s v="Other Petroleum"/>
    <s v="Other Petroleum"/>
    <s v="IOTEFEDOTP"/>
    <x v="117"/>
    <s v="TechData_OTR"/>
    <n v="1"/>
    <n v="0"/>
    <n v="0"/>
    <n v="0"/>
    <n v="4.01940044733536E-3"/>
    <n v="2.7224354951695868E-3"/>
    <n v="3.3022957554517986E-2"/>
    <n v="2.8784317643446418E-2"/>
    <n v="9.9996787422154343E-2"/>
    <n v="0"/>
    <n v="0"/>
    <n v="1"/>
    <n v="1"/>
    <n v="1"/>
    <n v="1"/>
    <n v="1"/>
    <n v="1"/>
    <n v="1"/>
    <n v="1"/>
    <n v="1"/>
    <n v="0"/>
    <n v="0"/>
    <n v="4.01940044733536E-3"/>
    <n v="2.7224354951695868E-3"/>
    <n v="3.3022957554517986E-2"/>
    <n v="2.8784317643446418E-2"/>
    <n v="9.9996787422154343E-2"/>
    <n v="0"/>
    <n v="0"/>
    <n v="0.1685458985626237"/>
    <n v="0"/>
    <n v="0"/>
    <n v="0"/>
    <n v="0"/>
    <n v="0"/>
    <n v="0"/>
    <n v="0"/>
    <n v="0"/>
    <n v="0"/>
    <n v="0"/>
  </r>
  <r>
    <x v="6"/>
    <x v="1"/>
    <s v="Petroleum Coke"/>
    <s v="Petroleum Coke"/>
    <s v="IOTEFEDPTC"/>
    <x v="118"/>
    <s v="TechData_OTR"/>
    <n v="1"/>
    <n v="0"/>
    <n v="0"/>
    <n v="0.16735231431487405"/>
    <n v="9.2916319402799388E-2"/>
    <n v="6.2934432469995194E-2"/>
    <n v="0.86116156775197827"/>
    <n v="0.75062774336848959"/>
    <n v="2.6076825518870663"/>
    <n v="0"/>
    <n v="0"/>
    <n v="1"/>
    <n v="1"/>
    <n v="1"/>
    <n v="1"/>
    <n v="1"/>
    <n v="1"/>
    <n v="1"/>
    <n v="1"/>
    <n v="1"/>
    <n v="0"/>
    <n v="0.16735231431487405"/>
    <n v="9.2916319402799388E-2"/>
    <n v="6.2934432469995194E-2"/>
    <n v="0.86116156775197827"/>
    <n v="0.75062774336848959"/>
    <n v="2.6076825518870663"/>
    <n v="0"/>
    <n v="0"/>
    <n v="4.5426749291952024"/>
    <n v="0"/>
    <n v="0"/>
    <n v="0"/>
    <n v="0"/>
    <n v="0"/>
    <n v="0"/>
    <n v="0"/>
    <n v="0"/>
    <n v="0"/>
    <n v="0"/>
  </r>
  <r>
    <x v="6"/>
    <x v="1"/>
    <s v="Renewables"/>
    <s v="Biomass"/>
    <s v="IOTEFEDBIO"/>
    <x v="119"/>
    <s v="TechData_OTR"/>
    <n v="1"/>
    <n v="0"/>
    <n v="0.15572788736680584"/>
    <n v="0.4286664806584064"/>
    <n v="0.11078909838039874"/>
    <n v="7.5040090645506041E-2"/>
    <n v="1.1053541701960603"/>
    <n v="0.96347716557200247"/>
    <n v="3.3471219469306739"/>
    <n v="0"/>
    <n v="0"/>
    <n v="1"/>
    <n v="1"/>
    <n v="1"/>
    <n v="1"/>
    <n v="1"/>
    <n v="1"/>
    <n v="1"/>
    <n v="1"/>
    <n v="1"/>
    <n v="0.15572788736680584"/>
    <n v="0.4286664806584064"/>
    <n v="0.11078909838039874"/>
    <n v="7.5040090645506041E-2"/>
    <n v="1.1053541701960603"/>
    <n v="0.96347716557200247"/>
    <n v="3.3471219469306739"/>
    <n v="0"/>
    <n v="0"/>
    <n v="6.1861768397498533"/>
    <n v="0"/>
    <n v="0"/>
    <n v="0"/>
    <n v="0"/>
    <n v="0"/>
    <n v="0"/>
    <n v="0"/>
    <n v="0"/>
    <n v="0"/>
    <n v="0"/>
  </r>
  <r>
    <x v="6"/>
    <x v="1"/>
    <s v="Residual Oil"/>
    <s v="Residual Oil"/>
    <s v="IOTEFEDRFL"/>
    <x v="120"/>
    <s v="TechData_OTR"/>
    <n v="1"/>
    <n v="0"/>
    <n v="0"/>
    <n v="0"/>
    <n v="0"/>
    <n v="0"/>
    <n v="0.14511206678428679"/>
    <n v="0.12648630327311364"/>
    <n v="0.43941371606894497"/>
    <n v="0"/>
    <n v="0"/>
    <n v="1"/>
    <n v="1"/>
    <n v="1"/>
    <n v="1"/>
    <n v="1"/>
    <n v="1"/>
    <n v="1"/>
    <n v="1"/>
    <n v="1"/>
    <n v="0"/>
    <n v="0"/>
    <n v="0"/>
    <n v="0"/>
    <n v="0.14511206678428679"/>
    <n v="0.12648630327311364"/>
    <n v="0.43941371606894497"/>
    <n v="0"/>
    <n v="0"/>
    <n v="0.71101208612634537"/>
    <n v="0"/>
    <n v="0"/>
    <n v="0"/>
    <n v="0"/>
    <n v="0"/>
    <n v="0"/>
    <n v="0"/>
    <n v="0"/>
    <n v="0"/>
    <n v="0"/>
  </r>
  <r>
    <x v="6"/>
    <x v="2"/>
    <s v="Distillate Oil"/>
    <s v="Distillate Oil"/>
    <s v="IOTEMDRDST"/>
    <x v="121"/>
    <s v="TechData_OTR"/>
    <n v="1"/>
    <n v="0"/>
    <n v="0.51882738241064674"/>
    <n v="1.4281572289189839"/>
    <n v="0.99494443155990975"/>
    <n v="0.67389952100834505"/>
    <n v="0.56766356911736271"/>
    <n v="0.49480148654496153"/>
    <n v="1.7189415319514345"/>
    <n v="2.2223278078424316"/>
    <n v="1.393500756055454"/>
    <n v="1"/>
    <n v="1"/>
    <n v="1"/>
    <n v="1"/>
    <n v="1"/>
    <n v="1"/>
    <n v="1"/>
    <n v="1"/>
    <n v="1"/>
    <n v="0.51882738241064674"/>
    <n v="1.4281572289189839"/>
    <n v="0.99494443155990975"/>
    <n v="0.67389952100834505"/>
    <n v="0.56766356911736271"/>
    <n v="0.49480148654496153"/>
    <n v="1.7189415319514345"/>
    <n v="2.2223278078424316"/>
    <n v="1.393500756055454"/>
    <n v="10.01306371540953"/>
    <n v="0"/>
    <n v="0"/>
    <n v="0"/>
    <n v="0"/>
    <n v="0"/>
    <n v="0"/>
    <n v="0"/>
    <n v="0"/>
    <n v="0"/>
    <n v="0"/>
  </r>
  <r>
    <x v="6"/>
    <x v="2"/>
    <s v="Electricity"/>
    <s v="Electricity"/>
    <s v="IOTEMDRELC"/>
    <x v="122"/>
    <s v="TechData_OTR"/>
    <n v="1"/>
    <n v="0"/>
    <n v="16.051432336835745"/>
    <n v="44.184192861686348"/>
    <n v="100.48033937309904"/>
    <n v="68.057723051048669"/>
    <n v="43.089777053945099"/>
    <n v="37.559017173383168"/>
    <n v="130.48011429678456"/>
    <n v="48.614057397634554"/>
    <n v="30.483228216586394"/>
    <n v="1"/>
    <n v="1"/>
    <n v="1"/>
    <n v="1"/>
    <n v="1"/>
    <n v="1"/>
    <n v="1"/>
    <n v="1"/>
    <n v="1"/>
    <n v="16.051432336835745"/>
    <n v="44.184192861686348"/>
    <n v="100.48033937309904"/>
    <n v="68.057723051048669"/>
    <n v="43.089777053945099"/>
    <n v="37.559017173383168"/>
    <n v="130.48011429678456"/>
    <n v="48.614057397634554"/>
    <n v="30.483228216586394"/>
    <n v="518.99988176100362"/>
    <n v="0"/>
    <n v="0"/>
    <n v="0"/>
    <n v="0"/>
    <n v="0"/>
    <n v="0"/>
    <n v="0"/>
    <n v="0"/>
    <n v="0"/>
    <n v="0"/>
  </r>
  <r>
    <x v="6"/>
    <x v="2"/>
    <s v="LPG"/>
    <s v="LPG"/>
    <s v="IOTEMDRLPG"/>
    <x v="123"/>
    <s v="TechData_OTR"/>
    <n v="1"/>
    <n v="0"/>
    <n v="5.8718111667011789E-2"/>
    <n v="0.16163120623294647"/>
    <n v="1.5764349435202545"/>
    <n v="1.0677568712792456"/>
    <n v="0.49468750411955337"/>
    <n v="0.43119221618212727"/>
    <n v="1.4979627765978611"/>
    <n v="0.406287307006864"/>
    <n v="0.25476064669301102"/>
    <n v="1"/>
    <n v="1"/>
    <n v="1"/>
    <n v="1"/>
    <n v="1"/>
    <n v="1"/>
    <n v="1"/>
    <n v="1"/>
    <n v="1"/>
    <n v="5.8718111667011789E-2"/>
    <n v="0.16163120623294647"/>
    <n v="1.5764349435202545"/>
    <n v="1.0677568712792456"/>
    <n v="0.49468750411955337"/>
    <n v="0.43119221618212727"/>
    <n v="1.4979627765978611"/>
    <n v="0.406287307006864"/>
    <n v="0.25476064669301102"/>
    <n v="5.9494315832988756"/>
    <n v="0"/>
    <n v="0"/>
    <n v="0"/>
    <n v="0"/>
    <n v="0"/>
    <n v="0"/>
    <n v="0"/>
    <n v="0"/>
    <n v="0"/>
    <n v="0"/>
  </r>
  <r>
    <x v="6"/>
    <x v="2"/>
    <s v="Natural Gas"/>
    <s v="Natural Gas"/>
    <s v="IOTEMDRNGA"/>
    <x v="124"/>
    <s v="TechData_OTR"/>
    <n v="1"/>
    <n v="0"/>
    <n v="0.56265995420324577"/>
    <n v="1.5488135519851469"/>
    <n v="3.7375713010886664"/>
    <n v="2.5315459131614073"/>
    <n v="1.1151009048090792"/>
    <n v="0.97197286449976616"/>
    <n v="3.3766360250549345"/>
    <n v="1.1371902232551008"/>
    <n v="0.71307006567287246"/>
    <n v="1"/>
    <n v="1"/>
    <n v="1"/>
    <n v="1"/>
    <n v="1"/>
    <n v="1"/>
    <n v="1"/>
    <n v="1"/>
    <n v="1"/>
    <n v="0.56265995420324577"/>
    <n v="1.5488135519851469"/>
    <n v="3.7375713010886664"/>
    <n v="2.5315459131614073"/>
    <n v="1.1151009048090792"/>
    <n v="0.97197286449976616"/>
    <n v="3.3766360250549345"/>
    <n v="1.1371902232551008"/>
    <n v="0.71307006567287246"/>
    <n v="15.694560803730218"/>
    <n v="0"/>
    <n v="0"/>
    <n v="0"/>
    <n v="0"/>
    <n v="0"/>
    <n v="0"/>
    <n v="0"/>
    <n v="0"/>
    <n v="0"/>
    <n v="0"/>
  </r>
  <r>
    <x v="6"/>
    <x v="2"/>
    <s v="Steam Coal"/>
    <s v="Steam Coal"/>
    <s v="IOTEMDRCOA"/>
    <x v="125"/>
    <s v="TechData_OTR"/>
    <n v="1"/>
    <n v="0"/>
    <n v="8.6007813666838406E-2"/>
    <n v="0.23675057446098982"/>
    <n v="0.52916770103658195"/>
    <n v="0.35841786631494593"/>
    <n v="0.21408559359683282"/>
    <n v="0.18660677859648364"/>
    <n v="0.6482723892221256"/>
    <n v="0"/>
    <n v="0"/>
    <n v="1"/>
    <n v="1"/>
    <n v="1"/>
    <n v="1"/>
    <n v="1"/>
    <n v="1"/>
    <n v="1"/>
    <n v="1"/>
    <n v="1"/>
    <n v="8.6007813666838406E-2"/>
    <n v="0.23675057446098982"/>
    <n v="0.52916770103658195"/>
    <n v="0.35841786631494593"/>
    <n v="0.21408559359683282"/>
    <n v="0.18660677859648364"/>
    <n v="0.6482723892221256"/>
    <n v="0"/>
    <n v="0"/>
    <n v="2.2593087168947981"/>
    <n v="0"/>
    <n v="0"/>
    <n v="0"/>
    <n v="0"/>
    <n v="0"/>
    <n v="0"/>
    <n v="0"/>
    <n v="0"/>
    <n v="0"/>
    <n v="0"/>
  </r>
  <r>
    <x v="6"/>
    <x v="3"/>
    <s v="Distillate Oil"/>
    <s v="Distillate Oil"/>
    <s v="IOTEOHTDST"/>
    <x v="126"/>
    <s v="TechData_OTR"/>
    <n v="1"/>
    <n v="0"/>
    <n v="6.9361949520139937E-2"/>
    <n v="0.19093011081804595"/>
    <n v="0.13301396143849059"/>
    <n v="9.0093518851383017E-2"/>
    <n v="7.5890851486278429E-2"/>
    <n v="6.614993135627828E-2"/>
    <n v="0.22980501764056607"/>
    <n v="0.29710264810727693"/>
    <n v="0.1862968925207826"/>
    <n v="1"/>
    <n v="1"/>
    <n v="1"/>
    <n v="1"/>
    <n v="1"/>
    <n v="1"/>
    <n v="1"/>
    <n v="1"/>
    <n v="1"/>
    <n v="6.9361949520139937E-2"/>
    <n v="0.19093011081804595"/>
    <n v="0.13301396143849059"/>
    <n v="9.0093518851383017E-2"/>
    <n v="7.5890851486278429E-2"/>
    <n v="6.614993135627828E-2"/>
    <n v="0.22980501764056607"/>
    <n v="0.29710264810727693"/>
    <n v="0.1862968925207826"/>
    <n v="1.3386448817392416"/>
    <n v="0"/>
    <n v="0"/>
    <n v="0"/>
    <n v="0"/>
    <n v="0"/>
    <n v="0"/>
    <n v="0"/>
    <n v="0"/>
    <n v="0"/>
    <n v="0"/>
  </r>
  <r>
    <x v="6"/>
    <x v="3"/>
    <s v="Electricity"/>
    <s v="Electricity"/>
    <s v="IOTEOHTELC"/>
    <x v="127"/>
    <s v="TechData_OTR"/>
    <n v="1"/>
    <n v="0"/>
    <n v="1.0842306441873439"/>
    <n v="2.984522183692413"/>
    <n v="6.7871739294347897"/>
    <n v="4.5971142859459473"/>
    <n v="2.9105973692998037"/>
    <n v="2.5370095658994933"/>
    <n v="8.8135772190863175"/>
    <n v="3.283747497588644"/>
    <n v="2.0590592460918455"/>
    <n v="1"/>
    <n v="1"/>
    <n v="1"/>
    <n v="1"/>
    <n v="1"/>
    <n v="1"/>
    <n v="1"/>
    <n v="1"/>
    <n v="1"/>
    <n v="1.0842306441873439"/>
    <n v="2.984522183692413"/>
    <n v="6.7871739294347897"/>
    <n v="4.5971142859459473"/>
    <n v="2.9105973692998037"/>
    <n v="2.5370095658994933"/>
    <n v="8.8135772190863175"/>
    <n v="3.283747497588644"/>
    <n v="2.0590592460918455"/>
    <n v="35.057031941226597"/>
    <n v="0"/>
    <n v="0"/>
    <n v="0"/>
    <n v="0"/>
    <n v="0"/>
    <n v="0"/>
    <n v="0"/>
    <n v="0"/>
    <n v="0"/>
    <n v="0"/>
  </r>
  <r>
    <x v="6"/>
    <x v="3"/>
    <s v="LPG"/>
    <s v="LPG"/>
    <s v="IOTEOHTLPG"/>
    <x v="128"/>
    <s v="TechData_OTR"/>
    <n v="1"/>
    <n v="0"/>
    <n v="3.914540777800786E-2"/>
    <n v="0.10775413748863097"/>
    <n v="1.0509566290135028"/>
    <n v="0.71183791418616371"/>
    <n v="0.32979166941303556"/>
    <n v="0.28746147745475148"/>
    <n v="0.99864185106524073"/>
    <n v="0.27085820467124266"/>
    <n v="0.169840431128674"/>
    <n v="1"/>
    <n v="1"/>
    <n v="1"/>
    <n v="1"/>
    <n v="1"/>
    <n v="1"/>
    <n v="1"/>
    <n v="1"/>
    <n v="1"/>
    <n v="3.914540777800786E-2"/>
    <n v="0.10775413748863097"/>
    <n v="1.0509566290135028"/>
    <n v="0.71183791418616371"/>
    <n v="0.32979166941303556"/>
    <n v="0.28746147745475148"/>
    <n v="0.99864185106524073"/>
    <n v="0.27085820467124266"/>
    <n v="0.169840431128674"/>
    <n v="3.9662877221992496"/>
    <n v="0"/>
    <n v="0"/>
    <n v="0"/>
    <n v="0"/>
    <n v="0"/>
    <n v="0"/>
    <n v="0"/>
    <n v="0"/>
    <n v="0"/>
    <n v="0"/>
  </r>
  <r>
    <x v="6"/>
    <x v="3"/>
    <s v="Natural Gas"/>
    <s v="Natural Gas"/>
    <s v="IOTEOHTNGA"/>
    <x v="129"/>
    <s v="TechData_OTR"/>
    <n v="1"/>
    <n v="0"/>
    <n v="1.1880488897872588"/>
    <n v="3.2702988851037733"/>
    <n v="7.8918312945284343"/>
    <n v="5.3453249855604046"/>
    <n v="2.3545204915732247"/>
    <n v="2.0523075686228172"/>
    <n v="7.1297213366869396"/>
    <n v="2.4011617889676962"/>
    <n v="1.5056378075863017"/>
    <n v="1"/>
    <n v="1"/>
    <n v="1"/>
    <n v="1"/>
    <n v="1"/>
    <n v="1"/>
    <n v="1"/>
    <n v="1"/>
    <n v="1"/>
    <n v="1.1880488897872588"/>
    <n v="3.2702988851037733"/>
    <n v="7.8918312945284343"/>
    <n v="5.3453249855604046"/>
    <n v="2.3545204915732247"/>
    <n v="2.0523075686228172"/>
    <n v="7.1297213366869396"/>
    <n v="2.4011617889676962"/>
    <n v="1.5056378075863017"/>
    <n v="33.138853048416848"/>
    <n v="0"/>
    <n v="0"/>
    <n v="0"/>
    <n v="0"/>
    <n v="0"/>
    <n v="0"/>
    <n v="0"/>
    <n v="0"/>
    <n v="0"/>
    <n v="0"/>
  </r>
  <r>
    <x v="6"/>
    <x v="3"/>
    <s v="Other Petroleum"/>
    <s v="Other Petroleum"/>
    <s v="IOTEOHTOTP"/>
    <x v="130"/>
    <s v="TechData_OTR"/>
    <n v="1"/>
    <n v="0"/>
    <n v="0"/>
    <n v="0"/>
    <n v="4.01940044733536E-3"/>
    <n v="2.7224354951695868E-3"/>
    <n v="0"/>
    <n v="0"/>
    <n v="0"/>
    <n v="0"/>
    <n v="0"/>
    <n v="1"/>
    <n v="1"/>
    <n v="1"/>
    <n v="1"/>
    <n v="1"/>
    <n v="1"/>
    <n v="1"/>
    <n v="1"/>
    <n v="1"/>
    <n v="0"/>
    <n v="0"/>
    <n v="4.01940044733536E-3"/>
    <n v="2.7224354951695868E-3"/>
    <n v="0"/>
    <n v="0"/>
    <n v="0"/>
    <n v="0"/>
    <n v="0"/>
    <n v="6.7418359425049472E-3"/>
    <n v="0"/>
    <n v="0"/>
    <n v="0"/>
    <n v="0"/>
    <n v="0"/>
    <n v="0"/>
    <n v="0"/>
    <n v="0"/>
    <n v="0"/>
    <n v="0"/>
  </r>
  <r>
    <x v="6"/>
    <x v="3"/>
    <s v="Petroleum Coke"/>
    <s v="Petroleum Coke"/>
    <s v="IOTEOHTPTC"/>
    <x v="131"/>
    <s v="TechData_OTR"/>
    <n v="1"/>
    <n v="0"/>
    <n v="0"/>
    <n v="0.78727736837772433"/>
    <n v="0.33977160960623287"/>
    <n v="0.23013539018142376"/>
    <n v="0.40691550524634501"/>
    <n v="0.3546861342663663"/>
    <n v="1.232180467473917"/>
    <n v="0.40293221070292418"/>
    <n v="0.25265684849560732"/>
    <n v="1"/>
    <n v="1"/>
    <n v="1"/>
    <n v="1"/>
    <n v="1"/>
    <n v="1"/>
    <n v="1"/>
    <n v="1"/>
    <n v="1"/>
    <n v="0"/>
    <n v="0.78727736837772433"/>
    <n v="0.33977160960623287"/>
    <n v="0.23013539018142376"/>
    <n v="0.40691550524634501"/>
    <n v="0.3546861342663663"/>
    <n v="1.232180467473917"/>
    <n v="0.40293221070292418"/>
    <n v="0.25265684849560732"/>
    <n v="4.0065555343505403"/>
    <n v="0"/>
    <n v="0"/>
    <n v="0"/>
    <n v="0"/>
    <n v="0"/>
    <n v="0"/>
    <n v="0"/>
    <n v="0"/>
    <n v="0"/>
    <n v="0"/>
  </r>
  <r>
    <x v="6"/>
    <x v="3"/>
    <s v="Renewables"/>
    <s v="Biomass"/>
    <s v="IOTEBDSBIO"/>
    <x v="132"/>
    <s v="TechData_Boiler"/>
    <n v="1"/>
    <n v="0"/>
    <n v="0"/>
    <n v="0"/>
    <n v="0"/>
    <n v="0.55450799999999989"/>
    <n v="1.8206345999999998"/>
    <n v="0.52678259999999988"/>
    <n v="0.36967199999999995"/>
    <n v="0"/>
    <n v="4.2161091599999994"/>
    <n v="0"/>
    <n v="0"/>
    <n v="0"/>
    <n v="0.77863308763777983"/>
    <n v="0.16032352686835147"/>
    <n v="0.23484447161165703"/>
    <n v="0.59451978284074514"/>
    <n v="0"/>
    <n v="3.3183786376041337E-2"/>
    <n v="0"/>
    <n v="0"/>
    <n v="0"/>
    <n v="0.43175827615984991"/>
    <n v="0.29189056021055027"/>
    <n v="0.12371198135121485"/>
    <n v="0.21977731716230389"/>
    <n v="0"/>
    <n v="0.13990646570351106"/>
    <n v="1.2070446005874298"/>
    <n v="0"/>
    <n v="0"/>
    <n v="0"/>
    <n v="0"/>
    <n v="0"/>
    <n v="0"/>
    <n v="0"/>
    <n v="0"/>
    <n v="0"/>
    <n v="0"/>
  </r>
  <r>
    <x v="6"/>
    <x v="3"/>
    <s v="Renewables"/>
    <s v="Biomass"/>
    <s v="IOTEBFBBIO"/>
    <x v="132"/>
    <s v="TechData_Boiler"/>
    <n v="1"/>
    <n v="0"/>
    <n v="0"/>
    <n v="0"/>
    <n v="0"/>
    <n v="0"/>
    <n v="2.8355690759999996"/>
    <n v="0"/>
    <n v="0"/>
    <n v="0"/>
    <n v="0"/>
    <n v="0"/>
    <n v="0"/>
    <n v="0"/>
    <n v="0"/>
    <n v="0.21949377201121223"/>
    <n v="0"/>
    <n v="0"/>
    <n v="0"/>
    <n v="0"/>
    <n v="0"/>
    <n v="0"/>
    <n v="0"/>
    <n v="0"/>
    <n v="0.62238975228958759"/>
    <n v="0"/>
    <n v="0"/>
    <n v="0"/>
    <n v="0"/>
    <n v="0.62238975228958759"/>
    <n v="0"/>
    <n v="0"/>
    <n v="0"/>
    <n v="0"/>
    <n v="0"/>
    <n v="0"/>
    <n v="0"/>
    <n v="0"/>
    <n v="0"/>
    <n v="0"/>
  </r>
  <r>
    <x v="6"/>
    <x v="3"/>
    <s v="Renewables"/>
    <s v="Biomass"/>
    <s v="IOTEBFCBIO"/>
    <x v="132"/>
    <s v="TechData_Boiler"/>
    <n v="1"/>
    <n v="0"/>
    <n v="0"/>
    <n v="0"/>
    <n v="0"/>
    <n v="0"/>
    <n v="0"/>
    <n v="1.0628069999999998"/>
    <n v="3.1225269660000001"/>
    <n v="0.25507367999999997"/>
    <n v="1.0628069999999998"/>
    <n v="0"/>
    <n v="0"/>
    <n v="0"/>
    <n v="0"/>
    <n v="0"/>
    <n v="0.2494048288515798"/>
    <n v="0.6698653985947195"/>
    <n v="0.3211565907976785"/>
    <n v="3.477371537718546E-2"/>
    <n v="0"/>
    <n v="0"/>
    <n v="0"/>
    <n v="0"/>
    <n v="0"/>
    <n v="0.26506919793726091"/>
    <n v="2.0916727707023504"/>
    <n v="8.1918593471017986E-2"/>
    <n v="3.6957748118880342E-2"/>
    <n v="2.4756183102295095"/>
    <n v="0"/>
    <n v="0"/>
    <n v="0"/>
    <n v="0"/>
    <n v="0"/>
    <n v="0"/>
    <n v="0"/>
    <n v="0"/>
    <n v="0"/>
    <n v="0"/>
  </r>
  <r>
    <x v="6"/>
    <x v="3"/>
    <s v="Renewables"/>
    <s v="Biomass"/>
    <s v="IOTEBOLBIO"/>
    <x v="132"/>
    <s v="TechData_Boiler"/>
    <n v="1"/>
    <n v="0"/>
    <n v="0"/>
    <n v="1.6173149999999998"/>
    <n v="0.10443233999999998"/>
    <n v="0.12384011999999998"/>
    <n v="4.0233252119999993E-2"/>
    <n v="8.3176199999999992E-2"/>
    <n v="1.70233956"/>
    <n v="0"/>
    <n v="0"/>
    <n v="0"/>
    <n v="0.10176125244618395"/>
    <n v="0.36125840240834867"/>
    <n v="0.47042415711449204"/>
    <n v="0.20090471944825389"/>
    <n v="0.23579037295564845"/>
    <n v="5.7429363025767233E-2"/>
    <n v="0"/>
    <n v="0"/>
    <n v="0"/>
    <n v="0.16457999999999998"/>
    <n v="3.7727060308165479E-2"/>
    <n v="5.8257384067957538E-2"/>
    <n v="8.0830502296594647E-3"/>
    <n v="1.9612147219033604E-2"/>
    <n v="9.7764276584364859E-2"/>
    <n v="0"/>
    <n v="0"/>
    <n v="0.38602391840918088"/>
    <n v="0"/>
    <n v="0"/>
    <n v="0"/>
    <n v="0"/>
    <n v="0"/>
    <n v="0"/>
    <n v="0"/>
    <n v="0"/>
    <n v="0"/>
    <n v="0"/>
  </r>
  <r>
    <x v="6"/>
    <x v="3"/>
    <s v="Renewables"/>
    <s v="Biomass"/>
    <s v="IOTEBSDBIO"/>
    <x v="132"/>
    <s v="TechData_Boiler"/>
    <n v="1"/>
    <n v="0"/>
    <n v="0"/>
    <n v="2.9148637199999996"/>
    <n v="1.3499866932"/>
    <n v="1.7559419999999999"/>
    <n v="23.024945520169776"/>
    <n v="14.776121479369774"/>
    <n v="23.999106239999996"/>
    <n v="5.3102920710000001"/>
    <n v="10.789339409999997"/>
    <n v="0"/>
    <n v="0.94864758239880942"/>
    <n v="0.18595132655446109"/>
    <n v="0.72311010866667691"/>
    <n v="0.1982074982784536"/>
    <n v="0.23460765971753167"/>
    <n v="0.6683923457958223"/>
    <n v="0.31977106967541913"/>
    <n v="3.396577332765046E-2"/>
    <n v="0"/>
    <n v="2.7651784209999999"/>
    <n v="0.25103181643141026"/>
    <n v="1.2697394104323818"/>
    <n v="4.5637168495505387"/>
    <n v="3.4665912799768948"/>
    <n v="16.040818916756756"/>
    <n v="1.6980777758325667"/>
    <n v="0.36646825675514583"/>
    <n v="30.421622726735688"/>
    <n v="0"/>
    <n v="0"/>
    <n v="0"/>
    <n v="0"/>
    <n v="0"/>
    <n v="0"/>
    <n v="0"/>
    <n v="0"/>
    <n v="0"/>
    <n v="0"/>
  </r>
  <r>
    <x v="6"/>
    <x v="3"/>
    <s v="Renewables"/>
    <s v="Biomass"/>
    <s v="IOTEBSWBIO"/>
    <x v="132"/>
    <s v="TechData_Boiler"/>
    <n v="1"/>
    <n v="0"/>
    <n v="0"/>
    <n v="0"/>
    <n v="0"/>
    <n v="0.15711059999999999"/>
    <n v="19.780501793999992"/>
    <n v="15.527887523999997"/>
    <n v="14.899907213999999"/>
    <n v="2.6986056"/>
    <n v="12.769764731999999"/>
    <n v="0"/>
    <n v="0"/>
    <n v="0"/>
    <n v="0.77863308763777983"/>
    <n v="0.21602481950856064"/>
    <n v="0.24756016101553657"/>
    <n v="0.66963185291765259"/>
    <n v="0.32702040495550128"/>
    <n v="3.4577030204720999E-2"/>
    <n v="0"/>
    <n v="0"/>
    <n v="0"/>
    <n v="0.12233151157862417"/>
    <n v="4.273079329837608"/>
    <n v="3.8440863356725807"/>
    <n v="9.9774524760119174"/>
    <n v="0.88249909612718347"/>
    <n v="0.44154054084554489"/>
    <n v="19.540989290073458"/>
    <n v="0"/>
    <n v="0"/>
    <n v="0"/>
    <n v="0"/>
    <n v="0"/>
    <n v="0"/>
    <n v="0"/>
    <n v="0"/>
    <n v="0"/>
    <n v="0"/>
  </r>
  <r>
    <x v="6"/>
    <x v="3"/>
    <s v="Renewables"/>
    <s v="Biomass"/>
    <s v="IOTEOHTBIO"/>
    <x v="132"/>
    <s v="TechData_OTR"/>
    <n v="1"/>
    <n v="0"/>
    <n v="3.3764133874989E-2"/>
    <n v="10.807014348326776"/>
    <n v="1.6317649176025739E-2"/>
    <n v="1.1052331783455216E-2"/>
    <n v="6.9051176875777998E-2"/>
    <n v="6.0188158663981639E-2"/>
    <n v="0.20909380523818299"/>
    <n v="4.5743194026766076E-2"/>
    <n v="2.868306612361593E-2"/>
    <n v="1"/>
    <n v="1"/>
    <n v="1"/>
    <n v="1"/>
    <n v="1"/>
    <n v="1"/>
    <n v="1"/>
    <n v="1"/>
    <n v="1"/>
    <n v="3.3764133874989E-2"/>
    <n v="10.807014348326776"/>
    <n v="1.6317649176025739E-2"/>
    <n v="1.1052331783455216E-2"/>
    <n v="6.9051176875777998E-2"/>
    <n v="6.0188158663981639E-2"/>
    <n v="0.20909380523818299"/>
    <n v="4.5743194026766076E-2"/>
    <n v="2.868306612361593E-2"/>
    <n v="11.280907864089571"/>
    <n v="0"/>
    <n v="0"/>
    <n v="0"/>
    <n v="0"/>
    <n v="0"/>
    <n v="0"/>
    <n v="0"/>
    <n v="0"/>
    <n v="0"/>
    <n v="0"/>
  </r>
  <r>
    <x v="6"/>
    <x v="3"/>
    <s v="Renewables"/>
    <s v="Hog Fuel"/>
    <s v="IOTEBSTWOD"/>
    <x v="133"/>
    <s v="TechData_CHP"/>
    <n v="0.89580616523093071"/>
    <n v="0.10419383476906929"/>
    <n v="0.25105565833748433"/>
    <n v="0.15030216434280433"/>
    <n v="0.33377960912478732"/>
    <n v="5.9988754176664633E-2"/>
    <n v="0.25652847272751572"/>
    <n v="0.24908831416633084"/>
    <n v="0.14574219995708271"/>
    <n v="0.5196850951928037"/>
    <n v="3.7669010164800008"/>
    <n v="0.58996643446970398"/>
    <n v="0.98999999999999988"/>
    <n v="0.36294323202664702"/>
    <n v="0.80388304633689078"/>
    <n v="0.20041608439614333"/>
    <n v="0.25458314945061677"/>
    <n v="0.68745511529441039"/>
    <n v="0.32598296091219425"/>
    <n v="3.527152856574306E-2"/>
    <n v="4.184253341721127"/>
    <n v="4.2035970932709184"/>
    <n v="3.422308516821678"/>
    <n v="1.3623332812683804"/>
    <n v="1.4524085687689898"/>
    <n v="1.7914457547432421"/>
    <n v="2.8304163397720963"/>
    <n v="4.7858139953812664"/>
    <n v="3.7534371095269812"/>
    <n v="27.786014001274683"/>
    <n v="0.48668274258508493"/>
    <n v="0.4889326708966113"/>
    <n v="0.39805871177340307"/>
    <n v="0.15845696794494493"/>
    <n v="0.16893388804986012"/>
    <n v="0.20836829462917278"/>
    <n v="0.32921400173425025"/>
    <n v="0.5566520214132562"/>
    <n v="0.43657324674175368"/>
    <n v="3.2318725457683373"/>
  </r>
  <r>
    <x v="6"/>
    <x v="3"/>
    <s v="Renewables"/>
    <s v="Hog Fuel"/>
    <s v="IOTECCTWOD"/>
    <x v="133"/>
    <s v="TechData_CHP"/>
    <n v="0.58825038798913276"/>
    <n v="0.41174961201086724"/>
    <n v="0"/>
    <n v="0"/>
    <n v="5.2900353599842839E-2"/>
    <n v="0"/>
    <n v="5.2707973957970833E-2"/>
    <n v="0"/>
    <n v="0"/>
    <n v="0"/>
    <n v="0"/>
    <n v="0"/>
    <n v="0"/>
    <n v="0.34827885901546934"/>
    <n v="0"/>
    <n v="0.21197787066139404"/>
    <n v="0"/>
    <n v="0"/>
    <n v="0"/>
    <n v="0"/>
    <n v="0"/>
    <n v="0"/>
    <n v="0.34178619497188201"/>
    <n v="0"/>
    <n v="0.20726963242818289"/>
    <n v="0"/>
    <n v="0"/>
    <n v="0"/>
    <n v="0"/>
    <n v="0.54905582740006487"/>
    <n v="0"/>
    <n v="0"/>
    <n v="0.23923542770862205"/>
    <n v="0"/>
    <n v="0.14507970156326694"/>
    <n v="0"/>
    <n v="0"/>
    <n v="0"/>
    <n v="0"/>
    <n v="0.38431512927188899"/>
  </r>
  <r>
    <x v="6"/>
    <x v="3"/>
    <s v="Renewables"/>
    <s v="Hog Fuel"/>
    <s v="IOTECDSWOD"/>
    <x v="133"/>
    <s v="TechData_CHP"/>
    <n v="0.9197508368680285"/>
    <n v="8.0249163131971557E-2"/>
    <n v="0"/>
    <n v="0"/>
    <n v="4.1078502403447063E-2"/>
    <n v="0"/>
    <n v="0"/>
    <n v="0"/>
    <n v="0"/>
    <n v="0"/>
    <n v="0"/>
    <n v="0"/>
    <n v="0"/>
    <n v="0.34869736281145053"/>
    <n v="0"/>
    <n v="0"/>
    <n v="0"/>
    <n v="0"/>
    <n v="0"/>
    <n v="0"/>
    <n v="0"/>
    <n v="0"/>
    <n v="0.41547037654708496"/>
    <n v="0"/>
    <n v="0"/>
    <n v="0"/>
    <n v="0"/>
    <n v="0"/>
    <n v="0"/>
    <n v="0.41547037654708496"/>
    <n v="0"/>
    <n v="0"/>
    <n v="3.6250198083606272E-2"/>
    <n v="0"/>
    <n v="0"/>
    <n v="0"/>
    <n v="0"/>
    <n v="0"/>
    <n v="0"/>
    <n v="3.6250198083606272E-2"/>
  </r>
  <r>
    <x v="6"/>
    <x v="3"/>
    <s v="Renewables"/>
    <s v="Hog Fuel"/>
    <s v="IOTECSDWOD"/>
    <x v="133"/>
    <s v="TechData_CHP"/>
    <n v="0.90331937371837012"/>
    <n v="9.6680626281629864E-2"/>
    <n v="0"/>
    <n v="0"/>
    <n v="2.5352111568090287E-2"/>
    <n v="0"/>
    <n v="2.4068682137059153E-2"/>
    <n v="0"/>
    <n v="0.23185181860927967"/>
    <n v="0"/>
    <n v="0"/>
    <n v="0"/>
    <n v="0"/>
    <n v="0.33480303678487805"/>
    <n v="0"/>
    <n v="0.21396468559909995"/>
    <n v="0"/>
    <n v="0.6658621567816343"/>
    <n v="0"/>
    <n v="0"/>
    <n v="0"/>
    <n v="0"/>
    <n v="0.24179730589440679"/>
    <n v="0"/>
    <n v="0.14670413095499962"/>
    <n v="0"/>
    <n v="4.3978738891582871"/>
    <n v="0"/>
    <n v="0"/>
    <n v="4.7863753260076933"/>
    <n v="0"/>
    <n v="0"/>
    <n v="2.5879124977530275E-2"/>
    <n v="0"/>
    <n v="1.5701475769801888E-2"/>
    <n v="0"/>
    <n v="0.47069642729041328"/>
    <n v="0"/>
    <n v="0"/>
    <n v="0.51227702803774544"/>
  </r>
  <r>
    <x v="6"/>
    <x v="3"/>
    <s v="Renewables"/>
    <s v="Hog Fuel"/>
    <s v="IOTECSWWOD"/>
    <x v="133"/>
    <s v="TechData_CHP"/>
    <n v="0.91420244812187557"/>
    <n v="8.5797551878124392E-2"/>
    <n v="0"/>
    <n v="0"/>
    <n v="0"/>
    <n v="0"/>
    <n v="0"/>
    <n v="3.1449496441794525E-2"/>
    <n v="6.5401534461333288E-2"/>
    <n v="0"/>
    <n v="8.1058140456165273E-2"/>
    <n v="0"/>
    <n v="0"/>
    <n v="0"/>
    <n v="0"/>
    <n v="0"/>
    <n v="0.24658669519223989"/>
    <n v="0.63863440123715598"/>
    <n v="0"/>
    <n v="3.5627806632063698E-2"/>
    <n v="0"/>
    <n v="0"/>
    <n v="0"/>
    <n v="0"/>
    <n v="0"/>
    <n v="0.22357967632210618"/>
    <n v="1.2041739663161692"/>
    <n v="0"/>
    <n v="8.325967472015898E-2"/>
    <n v="1.5110133173584346"/>
    <n v="0"/>
    <n v="0"/>
    <n v="0"/>
    <n v="0"/>
    <n v="0"/>
    <n v="2.0982867544873239E-2"/>
    <n v="0.11301126851885768"/>
    <n v="0"/>
    <n v="7.813888789987445E-3"/>
    <n v="0.14180802485371838"/>
  </r>
  <r>
    <x v="6"/>
    <x v="3"/>
    <s v="Renewables"/>
    <s v="Hog Fuel"/>
    <s v="IOTEREGWOD"/>
    <x v="133"/>
    <s v="TechData_CHP"/>
    <n v="0.50865199144007467"/>
    <n v="0.49134800855992528"/>
    <n v="1.2547333333333334E-3"/>
    <n v="1.2753599999999999E-2"/>
    <n v="4.1849999999999998E-4"/>
    <n v="0"/>
    <n v="7.9489199999999999E-3"/>
    <n v="0"/>
    <n v="0"/>
    <n v="9.009333333333334E-4"/>
    <n v="4.7430000000000004E-4"/>
    <n v="0.56314977835744462"/>
    <n v="0.91561733157696656"/>
    <n v="0.34644581238907218"/>
    <n v="0"/>
    <n v="0.20349875583493829"/>
    <n v="0"/>
    <n v="0"/>
    <n v="0.31116555359800352"/>
    <n v="3.3668277267300192E-2"/>
    <n v="1.1334508937520445E-2"/>
    <n v="0.18731568837467394"/>
    <n v="2.3257237864010068E-3"/>
    <n v="0"/>
    <n v="2.594760276218987E-2"/>
    <n v="0"/>
    <n v="0"/>
    <n v="4.496882352332688E-3"/>
    <n v="2.5615413787443667E-4"/>
    <n v="0.23167656035099241"/>
    <n v="1.0948916918005348E-2"/>
    <n v="0.18094334044452606"/>
    <n v="2.2466042994804874E-3"/>
    <n v="0"/>
    <n v="2.5064883571989379E-2"/>
    <n v="0"/>
    <n v="0"/>
    <n v="4.3439015785456687E-3"/>
    <n v="2.4743995432448219E-4"/>
    <n v="0.2237950867668714"/>
  </r>
  <r>
    <x v="6"/>
    <x v="3"/>
    <s v="Residual Oil"/>
    <s v="Residual Oil"/>
    <s v="IOTEOHTRFL"/>
    <x v="134"/>
    <s v="TechData_OTR"/>
    <n v="1"/>
    <n v="0"/>
    <n v="0.16841657486860231"/>
    <n v="0.46359416835481571"/>
    <n v="0"/>
    <n v="0"/>
    <n v="9.6741377856191191E-2"/>
    <n v="8.4324202182075758E-2"/>
    <n v="0.29294247737929663"/>
    <n v="0"/>
    <n v="0"/>
    <n v="1"/>
    <n v="1"/>
    <n v="1"/>
    <n v="1"/>
    <n v="1"/>
    <n v="1"/>
    <n v="1"/>
    <n v="1"/>
    <n v="1"/>
    <n v="0.16841657486860231"/>
    <n v="0.46359416835481571"/>
    <n v="0"/>
    <n v="0"/>
    <n v="9.6741377856191191E-2"/>
    <n v="8.4324202182075758E-2"/>
    <n v="0.29294247737929663"/>
    <n v="0"/>
    <n v="0"/>
    <n v="1.1060188006409815"/>
    <n v="0"/>
    <n v="0"/>
    <n v="0"/>
    <n v="0"/>
    <n v="0"/>
    <n v="0"/>
    <n v="0"/>
    <n v="0"/>
    <n v="0"/>
    <n v="0"/>
  </r>
  <r>
    <x v="6"/>
    <x v="4"/>
    <s v="Distillate Oil"/>
    <s v="Distillate Oil"/>
    <s v="IOTEPRHDST"/>
    <x v="135"/>
    <s v="TechData_OTR"/>
    <n v="1"/>
    <n v="0"/>
    <n v="0.29132018798458775"/>
    <n v="0.80190646543579303"/>
    <n v="0.55865863804166049"/>
    <n v="0.37839277917580866"/>
    <n v="0.31874157624236943"/>
    <n v="0.27782971169636878"/>
    <n v="0.96518107409037757"/>
    <n v="1.2478311220505631"/>
    <n v="0.78244694858728692"/>
    <n v="1"/>
    <n v="1"/>
    <n v="1"/>
    <n v="1"/>
    <n v="1"/>
    <n v="1"/>
    <n v="1"/>
    <n v="1"/>
    <n v="1"/>
    <n v="0.29132018798458775"/>
    <n v="0.80190646543579303"/>
    <n v="0.55865863804166049"/>
    <n v="0.37839277917580866"/>
    <n v="0.31874157624236943"/>
    <n v="0.27782971169636878"/>
    <n v="0.96518107409037757"/>
    <n v="1.2478311220505631"/>
    <n v="0.78244694858728692"/>
    <n v="5.6223085033048159"/>
    <n v="0"/>
    <n v="0"/>
    <n v="0"/>
    <n v="0"/>
    <n v="0"/>
    <n v="0"/>
    <n v="0"/>
    <n v="0"/>
    <n v="0"/>
    <n v="0"/>
  </r>
  <r>
    <x v="6"/>
    <x v="4"/>
    <s v="Electricity"/>
    <s v="Electricity"/>
    <s v="IOTEPRHELC"/>
    <x v="136"/>
    <s v="TechData_OTR"/>
    <n v="1"/>
    <n v="0"/>
    <n v="6.2965690743916864"/>
    <n v="17.33233623714705"/>
    <n v="39.41588415316204"/>
    <n v="26.697315556900911"/>
    <n v="16.903024722452194"/>
    <n v="14.73344814566817"/>
    <n v="51.18403362787906"/>
    <n v="19.070059541551831"/>
    <n v="11.957795918044496"/>
    <n v="1"/>
    <n v="1"/>
    <n v="1"/>
    <n v="1"/>
    <n v="1"/>
    <n v="1"/>
    <n v="1"/>
    <n v="1"/>
    <n v="1"/>
    <n v="6.2965690743916864"/>
    <n v="17.33233623714705"/>
    <n v="39.41588415316204"/>
    <n v="26.697315556900911"/>
    <n v="16.903024722452194"/>
    <n v="14.73344814566817"/>
    <n v="51.18403362787906"/>
    <n v="19.070059541551831"/>
    <n v="11.957795918044496"/>
    <n v="203.59046697719745"/>
    <n v="0"/>
    <n v="0"/>
    <n v="0"/>
    <n v="0"/>
    <n v="0"/>
    <n v="0"/>
    <n v="0"/>
    <n v="0"/>
    <n v="0"/>
    <n v="0"/>
  </r>
  <r>
    <x v="6"/>
    <x v="4"/>
    <s v="LPG"/>
    <s v="LPG"/>
    <s v="IOTEPRHLPG"/>
    <x v="137"/>
    <s v="TechData_OTR"/>
    <n v="1"/>
    <n v="0"/>
    <n v="7.8290815556015719E-2"/>
    <n v="0.21550827497726194"/>
    <n v="2.1019132580270057"/>
    <n v="1.4236758283723274"/>
    <n v="0.65958333882607112"/>
    <n v="0.57492295490950296"/>
    <n v="1.9972837021304815"/>
    <n v="0.54171640934248533"/>
    <n v="0.339680862257348"/>
    <n v="1"/>
    <n v="1"/>
    <n v="1"/>
    <n v="1"/>
    <n v="1"/>
    <n v="1"/>
    <n v="1"/>
    <n v="1"/>
    <n v="1"/>
    <n v="7.8290815556015719E-2"/>
    <n v="0.21550827497726194"/>
    <n v="2.1019132580270057"/>
    <n v="1.4236758283723274"/>
    <n v="0.65958333882607112"/>
    <n v="0.57492295490950296"/>
    <n v="1.9972837021304815"/>
    <n v="0.54171640934248533"/>
    <n v="0.339680862257348"/>
    <n v="7.9325754443984993"/>
    <n v="0"/>
    <n v="0"/>
    <n v="0"/>
    <n v="0"/>
    <n v="0"/>
    <n v="0"/>
    <n v="0"/>
    <n v="0"/>
    <n v="0"/>
    <n v="0"/>
  </r>
  <r>
    <x v="6"/>
    <x v="4"/>
    <s v="Natural Gas"/>
    <s v="Natural Gas"/>
    <s v="IOTEPRHNGA"/>
    <x v="138"/>
    <s v="TechData_OTR"/>
    <n v="1"/>
    <n v="0"/>
    <n v="14.475187673167961"/>
    <n v="39.845321616104371"/>
    <n v="96.154072492534439"/>
    <n v="65.127439624067961"/>
    <n v="28.687477669328167"/>
    <n v="25.005315416100402"/>
    <n v="86.868524766193673"/>
    <n v="29.255755236782406"/>
    <n v="18.3446910476315"/>
    <n v="1"/>
    <n v="1"/>
    <n v="1"/>
    <n v="1"/>
    <n v="1"/>
    <n v="1"/>
    <n v="1"/>
    <n v="1"/>
    <n v="1"/>
    <n v="14.475187673167961"/>
    <n v="39.845321616104371"/>
    <n v="96.154072492534439"/>
    <n v="65.127439624067961"/>
    <n v="28.687477669328167"/>
    <n v="25.005315416100402"/>
    <n v="86.868524766193673"/>
    <n v="29.255755236782406"/>
    <n v="18.3446910476315"/>
    <n v="403.76378554191086"/>
    <n v="0"/>
    <n v="0"/>
    <n v="0"/>
    <n v="0"/>
    <n v="0"/>
    <n v="0"/>
    <n v="0"/>
    <n v="0"/>
    <n v="0"/>
    <n v="0"/>
  </r>
  <r>
    <x v="6"/>
    <x v="4"/>
    <s v="Residual Oil"/>
    <s v="Residual Oil"/>
    <s v="IOTEPRHRFL"/>
    <x v="139"/>
    <s v="TechData_OTR"/>
    <n v="1"/>
    <n v="0"/>
    <n v="0.16841657486860231"/>
    <n v="0.46359416835481571"/>
    <n v="0"/>
    <n v="0"/>
    <n v="9.6741377856191191E-2"/>
    <n v="8.4324202182075758E-2"/>
    <n v="0.29294247737929663"/>
    <n v="0"/>
    <n v="0"/>
    <n v="1"/>
    <n v="1"/>
    <n v="1"/>
    <n v="1"/>
    <n v="1"/>
    <n v="1"/>
    <n v="1"/>
    <n v="1"/>
    <n v="1"/>
    <n v="0.16841657486860231"/>
    <n v="0.46359416835481571"/>
    <n v="0"/>
    <n v="0"/>
    <n v="9.6741377856191191E-2"/>
    <n v="8.4324202182075758E-2"/>
    <n v="0.29294247737929663"/>
    <n v="0"/>
    <n v="0"/>
    <n v="1.1060188006409815"/>
    <n v="0"/>
    <n v="0"/>
    <n v="0"/>
    <n v="0"/>
    <n v="0"/>
    <n v="0"/>
    <n v="0"/>
    <n v="0"/>
    <n v="0"/>
    <n v="0"/>
  </r>
  <r>
    <x v="6"/>
    <x v="4"/>
    <s v="Steam Coal"/>
    <s v="Steam Coal"/>
    <s v="IOTEPRHCOA"/>
    <x v="140"/>
    <s v="TechData_OTR"/>
    <n v="1"/>
    <n v="0"/>
    <n v="0.43003906833419203"/>
    <n v="1.1837528723049493"/>
    <n v="2.6458385051829101"/>
    <n v="1.7920893315747297"/>
    <n v="1.0704279679841642"/>
    <n v="0.93303389298241823"/>
    <n v="3.2413619461106284"/>
    <n v="0"/>
    <n v="0"/>
    <n v="1"/>
    <n v="1"/>
    <n v="1"/>
    <n v="1"/>
    <n v="1"/>
    <n v="1"/>
    <n v="1"/>
    <n v="1"/>
    <n v="1"/>
    <n v="0.43003906833419203"/>
    <n v="1.1837528723049493"/>
    <n v="2.6458385051829101"/>
    <n v="1.7920893315747297"/>
    <n v="1.0704279679841642"/>
    <n v="0.93303389298241823"/>
    <n v="3.2413619461106284"/>
    <n v="0"/>
    <n v="0"/>
    <n v="11.296543584473991"/>
    <n v="0"/>
    <n v="0"/>
    <n v="0"/>
    <n v="0"/>
    <n v="0"/>
    <n v="0"/>
    <n v="0"/>
    <n v="0"/>
    <n v="0"/>
    <n v="0"/>
  </r>
  <r>
    <x v="6"/>
    <x v="5"/>
    <s v="Distillate Oil"/>
    <s v="Distillate Oil"/>
    <s v="IOTEBLLDST"/>
    <x v="141"/>
    <s v="TechData_Boiler"/>
    <n v="1"/>
    <n v="0"/>
    <n v="1.009943904"/>
    <n v="1.284841245"/>
    <n v="1.2125241600000001"/>
    <n v="3.7752753000000006"/>
    <n v="9.1986369406782753"/>
    <n v="0.1155225"/>
    <n v="0"/>
    <n v="0"/>
    <n v="0.49351211999999994"/>
    <n v="4.5665032295984419E-2"/>
    <n v="4.5665032295984419E-2"/>
    <n v="4.5665032295984419E-2"/>
    <n v="4.5665032295984419E-2"/>
    <n v="4.5665032295984419E-2"/>
    <n v="4.5665032295984419E-2"/>
    <n v="4.5665032295984419E-2"/>
    <n v="4.5665032295984419E-2"/>
    <n v="4.5665032295984419E-2"/>
    <n v="4.6119120993292587E-2"/>
    <n v="5.8672316948137827E-2"/>
    <n v="5.5369954926061379E-2"/>
    <n v="0.1723980685007323"/>
    <n v="0.42005605297510873"/>
    <n v="5.2753386934128602E-3"/>
    <n v="0"/>
    <n v="0"/>
    <n v="2.2536246898259737E-2"/>
    <n v="0.78042709993500547"/>
    <n v="0"/>
    <n v="0"/>
    <n v="0"/>
    <n v="0"/>
    <n v="0"/>
    <n v="0"/>
    <n v="0"/>
    <n v="0"/>
    <n v="0"/>
    <n v="0"/>
  </r>
  <r>
    <x v="6"/>
    <x v="5"/>
    <s v="Distillate Oil"/>
    <s v="Distillate Oil"/>
    <s v="IOTEBOLDST"/>
    <x v="141"/>
    <s v="TechData_Boiler"/>
    <n v="1"/>
    <n v="0"/>
    <n v="1.851224958"/>
    <n v="0.32346299999999995"/>
    <n v="0.16912493999999997"/>
    <n v="0"/>
    <n v="2.2714496039999998"/>
    <n v="0"/>
    <n v="0"/>
    <n v="0"/>
    <n v="0"/>
    <n v="7.5418533678439205E-3"/>
    <n v="7.5418533678439205E-3"/>
    <n v="7.5418533678439205E-3"/>
    <n v="7.5418533678439205E-3"/>
    <n v="7.5418533678439205E-3"/>
    <n v="7.5418533678439205E-3"/>
    <n v="7.5418533678439205E-3"/>
    <n v="7.5418533678439205E-3"/>
    <n v="7.5418533678439205E-3"/>
    <n v="1.396166718412902E-2"/>
    <n v="2.4395105159228975E-3"/>
    <n v="1.2755154983254008E-3"/>
    <n v="0"/>
    <n v="1.7130939845815138E-2"/>
    <n v="0"/>
    <n v="0"/>
    <n v="0"/>
    <n v="0"/>
    <n v="3.480763304419246E-2"/>
    <n v="0"/>
    <n v="0"/>
    <n v="0"/>
    <n v="0"/>
    <n v="0"/>
    <n v="0"/>
    <n v="0"/>
    <n v="0"/>
    <n v="0"/>
    <n v="0"/>
  </r>
  <r>
    <x v="6"/>
    <x v="5"/>
    <s v="Distillate Oil"/>
    <s v="Distillate Oil"/>
    <s v="IOTEBSTDST"/>
    <x v="142"/>
    <s v="TechData_CHP"/>
    <n v="0.91339282653754761"/>
    <n v="8.6607173462452419E-2"/>
    <n v="1.8746643954944825E-2"/>
    <n v="1.4671286573435081E-2"/>
    <n v="0"/>
    <n v="0"/>
    <n v="1.5928226877060263E-3"/>
    <n v="0"/>
    <n v="0"/>
    <n v="0"/>
    <n v="0"/>
    <n v="0.17180395833246009"/>
    <n v="0.17180395833246009"/>
    <n v="0.17180395833246009"/>
    <n v="0.17180395833246009"/>
    <n v="0.17180395833246009"/>
    <n v="0.17180395833246009"/>
    <n v="0.17180395833246009"/>
    <n v="0.17180395833246009"/>
    <n v="0.17180395833246009"/>
    <n v="9.2772850391023287E-2"/>
    <n v="7.2604839436453003E-2"/>
    <n v="0"/>
    <n v="0"/>
    <n v="7.8825149323327875E-3"/>
    <n v="0"/>
    <n v="0"/>
    <n v="0"/>
    <n v="0"/>
    <n v="0.17326020475980908"/>
    <n v="8.7966470865328238E-3"/>
    <n v="6.8843325025039499E-3"/>
    <n v="0"/>
    <n v="0"/>
    <n v="7.4741372849708215E-4"/>
    <n v="0"/>
    <n v="0"/>
    <n v="0"/>
    <n v="0"/>
    <n v="1.6428393317533856E-2"/>
  </r>
  <r>
    <x v="6"/>
    <x v="5"/>
    <s v="Distillate Oil"/>
    <s v="Distillate Oil"/>
    <s v="IOTECCTDST"/>
    <x v="142"/>
    <s v="TechData_CHP"/>
    <n v="0.49060269678639434"/>
    <n v="0.50939730321360566"/>
    <n v="0.11239198251937964"/>
    <n v="0"/>
    <n v="0"/>
    <n v="0"/>
    <n v="0"/>
    <n v="0"/>
    <n v="0"/>
    <n v="0"/>
    <n v="0"/>
    <n v="0.16486238425842129"/>
    <n v="0.16486238425842129"/>
    <n v="0.16486238425842129"/>
    <n v="0.16486238425842129"/>
    <n v="0.16486238425842129"/>
    <n v="0.16486238425842129"/>
    <n v="0.16486238425842129"/>
    <n v="0.16486238425842129"/>
    <n v="0.16486238425842129"/>
    <n v="0.2866773929908854"/>
    <n v="0"/>
    <n v="0"/>
    <n v="0"/>
    <n v="0"/>
    <n v="0"/>
    <n v="0"/>
    <n v="0"/>
    <n v="0"/>
    <n v="0.2866773929908854"/>
    <n v="0.29765978018144862"/>
    <n v="0"/>
    <n v="0"/>
    <n v="0"/>
    <n v="0"/>
    <n v="0"/>
    <n v="0"/>
    <n v="0"/>
    <n v="0"/>
    <n v="0.29765978018144862"/>
  </r>
  <r>
    <x v="6"/>
    <x v="5"/>
    <s v="Distillate Oil"/>
    <s v="Distillate Oil"/>
    <s v="IOTEREGDST"/>
    <x v="142"/>
    <s v="TechData_CHP"/>
    <n v="0.55237317003689779"/>
    <n v="0.44762682996310221"/>
    <n v="2.6381501981905539E-3"/>
    <n v="2.016473378086087E-2"/>
    <n v="1.0307397186626748E-2"/>
    <n v="2.733330241553384E-3"/>
    <n v="6.5953754954763849E-4"/>
    <n v="0"/>
    <n v="3.2799962898640606E-3"/>
    <n v="0"/>
    <n v="3.6223554854916372E-3"/>
    <n v="0.16109205612071359"/>
    <n v="0.16109205612071359"/>
    <n v="0.16109205612071359"/>
    <n v="0.16109205612071359"/>
    <n v="0.16109205612071359"/>
    <n v="0.16109205612071359"/>
    <n v="0.16109205612071359"/>
    <n v="0.16109205612071359"/>
    <n v="0.16109205612071359"/>
    <n v="7.4030865217505539E-3"/>
    <n v="5.658558370564639E-2"/>
    <n v="2.8924264144999386E-2"/>
    <n v="7.67017749202294E-3"/>
    <n v="1.8507716304376385E-3"/>
    <n v="0"/>
    <n v="9.2042129904275263E-3"/>
    <n v="0"/>
    <n v="1.0164929612432688E-2"/>
    <n v="0.12180302609771712"/>
    <n v="5.9992416928077996E-3"/>
    <n v="4.5855278333084691E-2"/>
    <n v="2.3439365578484979E-2"/>
    <n v="6.2156842914351199E-3"/>
    <n v="1.4998104232019499E-3"/>
    <n v="0"/>
    <n v="7.4588211497221436E-3"/>
    <n v="0"/>
    <n v="8.237357398997799E-3"/>
    <n v="9.870555886773448E-2"/>
  </r>
  <r>
    <x v="6"/>
    <x v="5"/>
    <s v="Electricity"/>
    <s v="Electricity"/>
    <s v="IOTEBOLELC"/>
    <x v="143"/>
    <s v="TechData_Boiler"/>
    <n v="1"/>
    <n v="0"/>
    <n v="0.36141021472911461"/>
    <n v="0.99484072789747091"/>
    <n v="2.2623913098115964"/>
    <n v="1.5323714286486489"/>
    <n v="0.9701991230999345"/>
    <n v="0.84566985529983107"/>
    <n v="2.9378590730287724"/>
    <n v="1.0945824991962145"/>
    <n v="0.68635308203061518"/>
    <n v="1"/>
    <n v="1"/>
    <n v="1"/>
    <n v="1"/>
    <n v="1"/>
    <n v="1"/>
    <n v="1"/>
    <n v="1"/>
    <n v="1"/>
    <n v="0.36141021472911461"/>
    <n v="0.99484072789747091"/>
    <n v="2.2623913098115964"/>
    <n v="1.5323714286486489"/>
    <n v="0.9701991230999345"/>
    <n v="0.84566985529983107"/>
    <n v="2.9378590730287724"/>
    <n v="1.0945824991962145"/>
    <n v="0.68635308203061518"/>
    <n v="11.685677313742199"/>
    <n v="0"/>
    <n v="0"/>
    <n v="0"/>
    <n v="0"/>
    <n v="0"/>
    <n v="0"/>
    <n v="0"/>
    <n v="0"/>
    <n v="0"/>
    <n v="0"/>
  </r>
  <r>
    <x v="6"/>
    <x v="5"/>
    <s v="LPG"/>
    <s v="LPG"/>
    <s v="IOTEBSTLPG"/>
    <x v="142"/>
    <s v="TechData_CHP"/>
    <n v="0.89746611460637016"/>
    <n v="0.10253388539362981"/>
    <n v="2.6270651729367023E-3"/>
    <n v="3.7722664989361775E-4"/>
    <n v="0"/>
    <n v="0"/>
    <n v="2.6829887663348084E-3"/>
    <n v="0"/>
    <n v="1.4035508698284106E-3"/>
    <n v="0"/>
    <n v="2.7826485084350662E-4"/>
    <n v="0.27705037565608104"/>
    <n v="0.27705037565608104"/>
    <n v="0.27705037565608104"/>
    <n v="0.27705037565608104"/>
    <n v="0.27705037565608104"/>
    <n v="0.27705037565608104"/>
    <n v="0.27705037565608104"/>
    <n v="0.27705037565608104"/>
    <n v="0.27705037565608104"/>
    <n v="2.059938512993028E-2"/>
    <n v="2.9579155943609448E-3"/>
    <n v="0"/>
    <n v="0"/>
    <n v="2.1037894098084063E-2"/>
    <n v="0"/>
    <n v="1.1005545357188099E-2"/>
    <n v="0"/>
    <n v="2.1819347649606672E-3"/>
    <n v="5.7782674944524048E-2"/>
    <n v="2.3534426088252913E-3"/>
    <n v="3.379365233073535E-4"/>
    <n v="0"/>
    <n v="0"/>
    <n v="2.4035414677716026E-3"/>
    <n v="0"/>
    <n v="1.2573637132174678E-3"/>
    <n v="0"/>
    <n v="2.4928211270124501E-4"/>
    <n v="6.6015664258229599E-3"/>
  </r>
  <r>
    <x v="6"/>
    <x v="5"/>
    <s v="LPG"/>
    <s v="LPG"/>
    <s v="IOTECCTLPG"/>
    <x v="142"/>
    <s v="TechData_CHP"/>
    <n v="0.49706941581455599"/>
    <n v="0.50293058418544401"/>
    <n v="1.2582588298858582E-2"/>
    <n v="3.7662633446956209E-2"/>
    <n v="3.7145448414259569E-2"/>
    <n v="7.6619578893278534E-5"/>
    <n v="1.7623004784328961E-2"/>
    <n v="0"/>
    <n v="9.923308916304897E-3"/>
    <n v="3.8906585500369383E-3"/>
    <n v="1.1923327266986262E-2"/>
    <n v="0.32262190855333445"/>
    <n v="0.32262190855333445"/>
    <n v="0.32262190855333445"/>
    <n v="0.32262190855333445"/>
    <n v="0.32262190855333445"/>
    <n v="0.32262190855333445"/>
    <n v="0.32262190855333445"/>
    <n v="0.32262190855333445"/>
    <n v="0.32262190855333445"/>
    <n v="6.3633746279073297E-2"/>
    <n v="0.19047070475815839"/>
    <n v="0.1878551521891422"/>
    <n v="3.8748711532957098E-4"/>
    <n v="8.9124573457005835E-2"/>
    <n v="0"/>
    <n v="5.0185010176824564E-2"/>
    <n v="1.9676172592726127E-2"/>
    <n v="6.0299674763942435E-2"/>
    <n v="0.66163252133220229"/>
    <n v="6.4384080315217584E-2"/>
    <n v="0.19271663024621086"/>
    <n v="0.19007023652402333"/>
    <n v="3.9205614965805521E-4"/>
    <n v="9.0175481266650634E-2"/>
    <n v="0"/>
    <n v="5.0776764135090302E-2"/>
    <n v="1.9908183166685169E-2"/>
    <n v="6.1010695267833398E-2"/>
    <n v="0.6694341270713694"/>
  </r>
  <r>
    <x v="6"/>
    <x v="5"/>
    <s v="LPG"/>
    <s v="LPG"/>
    <s v="IOTEFCLLPG"/>
    <x v="142"/>
    <s v="TechData_CHP"/>
    <n v="0.31721749874010363"/>
    <n v="0.68278250125989637"/>
    <n v="0"/>
    <n v="1.7434678648711947E-5"/>
    <n v="0"/>
    <n v="0"/>
    <n v="0"/>
    <n v="0"/>
    <n v="0"/>
    <n v="0"/>
    <n v="2.835256679949569E-5"/>
    <n v="0.30224578801312402"/>
    <n v="0.30224578801312402"/>
    <n v="0.30224578801312402"/>
    <n v="0.30224578801312402"/>
    <n v="0.30224578801312402"/>
    <n v="0.30224578801312402"/>
    <n v="0.30224578801312402"/>
    <n v="0.30224578801312402"/>
    <n v="0.30224578801312402"/>
    <n v="0"/>
    <n v="5.2715453585472336E-5"/>
    <n v="0"/>
    <n v="0"/>
    <n v="0"/>
    <n v="0"/>
    <n v="0"/>
    <n v="0"/>
    <n v="8.5726754663082892E-5"/>
    <n v="1.3844220824855524E-4"/>
    <n v="0"/>
    <n v="1.1346533339772659E-4"/>
    <n v="0"/>
    <n v="0"/>
    <n v="0"/>
    <n v="0"/>
    <n v="0"/>
    <n v="0"/>
    <n v="1.8451922799413124E-4"/>
    <n v="2.9798456139185786E-4"/>
  </r>
  <r>
    <x v="6"/>
    <x v="5"/>
    <s v="LPG"/>
    <s v="LPG"/>
    <s v="IOTEMTTLPG"/>
    <x v="142"/>
    <s v="TechData_CHP"/>
    <n v="0.60795647034078149"/>
    <n v="0.39204352965921851"/>
    <n v="1.074723334383628E-5"/>
    <n v="1.8091176128791073E-5"/>
    <n v="1.1831740882061986E-5"/>
    <n v="3.8030595692342104E-6"/>
    <n v="0"/>
    <n v="0"/>
    <n v="0"/>
    <n v="0"/>
    <n v="4.9889348489224643E-5"/>
    <n v="0.3345079788684574"/>
    <n v="0.3345079788684574"/>
    <n v="0.3345079788684574"/>
    <n v="0.3345079788684574"/>
    <n v="0.3345079788684574"/>
    <n v="0.3345079788684574"/>
    <n v="0.3345079788684574"/>
    <n v="0.3345079788684574"/>
    <n v="0.3345079788684574"/>
    <n v="6.8925869190696097E-5"/>
    <n v="1.1602521313767178E-4"/>
    <n v="7.5881205724720436E-5"/>
    <n v="2.4390387554374425E-5"/>
    <n v="0"/>
    <n v="0"/>
    <n v="0"/>
    <n v="0"/>
    <n v="3.1995831838428287E-4"/>
    <n v="6.0518099399174566E-4"/>
    <n v="4.4447164164900345E-5"/>
    <n v="7.481939301091559E-5"/>
    <n v="4.8932344959568335E-5"/>
    <n v="1.5728253737004111E-5"/>
    <n v="0"/>
    <n v="0"/>
    <n v="0"/>
    <n v="0"/>
    <n v="2.0632659508153603E-4"/>
    <n v="3.9025375095392439E-4"/>
  </r>
  <r>
    <x v="6"/>
    <x v="5"/>
    <s v="LPG"/>
    <s v="LPG"/>
    <s v="IOTEREGLPG"/>
    <x v="142"/>
    <s v="TechData_CHP"/>
    <n v="0.54469400474371632"/>
    <n v="0.45530599525628362"/>
    <n v="4.7326327012958198E-4"/>
    <n v="1.0119507500008433E-3"/>
    <n v="9.2401194091844632E-4"/>
    <n v="1.2460430946352735E-6"/>
    <n v="2.9596953465676204E-4"/>
    <n v="0"/>
    <n v="6.2302154731763673E-6"/>
    <n v="3.8334061752518873E-5"/>
    <n v="9.1269475823317506E-4"/>
    <n v="0.31440372341515532"/>
    <n v="0.31440372341515532"/>
    <n v="0.31440372341515532"/>
    <n v="0.31440372341515532"/>
    <n v="0.31440372341515532"/>
    <n v="0.31440372341515532"/>
    <n v="0.31440372341515532"/>
    <n v="0.31440372341515532"/>
    <n v="0.31440372341515532"/>
    <n v="2.5559342816765776E-3"/>
    <n v="5.4652025131535931E-3"/>
    <n v="4.9902748544701546E-3"/>
    <n v="6.72945580829176E-6"/>
    <n v="1.5984309954033707E-3"/>
    <n v="0"/>
    <n v="3.3647279041458802E-5"/>
    <n v="2.070292557509114E-4"/>
    <n v="4.9291545921912733E-3"/>
    <n v="1.9786403227495634E-2"/>
    <n v="2.1364879947154101E-3"/>
    <n v="4.568325422820335E-3"/>
    <n v="4.1713366393411749E-3"/>
    <n v="5.6251061102996371E-6"/>
    <n v="1.3361175428267271E-3"/>
    <n v="0"/>
    <n v="2.8125530551498191E-5"/>
    <n v="1.7305433971351932E-4"/>
    <n v="4.1202466298957711E-3"/>
    <n v="1.6539319205974738E-2"/>
  </r>
  <r>
    <x v="6"/>
    <x v="5"/>
    <s v="Natural Gas"/>
    <s v="Natural Gas"/>
    <s v="IOTEBOLNGA"/>
    <x v="144"/>
    <s v="TechData_Boiler"/>
    <n v="1"/>
    <n v="0"/>
    <n v="5.3075657400000003"/>
    <n v="20.034337072800003"/>
    <n v="89.290534563775054"/>
    <n v="30.593703531599999"/>
    <n v="52.959243528389976"/>
    <n v="36.306499995809659"/>
    <n v="38.807305571935032"/>
    <n v="1.04848221"/>
    <n v="33.052945040407124"/>
    <n v="0.30853352954063917"/>
    <n v="0.30853352954063917"/>
    <n v="0.30853352954063917"/>
    <n v="0.30853352954063917"/>
    <n v="0.30853352954063917"/>
    <n v="0.30853352954063917"/>
    <n v="0.30853352954063917"/>
    <n v="0.30853352954063917"/>
    <n v="0.30853352954063917"/>
    <n v="1.6375619910311745"/>
    <n v="6.1812647290778626"/>
    <n v="27.549123783531954"/>
    <n v="9.4391833323244647"/>
    <n v="16.339702327616411"/>
    <n v="11.201772588974356"/>
    <n v="11.973354960071228"/>
    <n v="0.32349191691186963"/>
    <n v="10.197941795029575"/>
    <n v="94.843397424568892"/>
    <n v="0"/>
    <n v="0"/>
    <n v="0"/>
    <n v="0"/>
    <n v="0"/>
    <n v="0"/>
    <n v="0"/>
    <n v="0"/>
    <n v="0"/>
    <n v="0"/>
  </r>
  <r>
    <x v="6"/>
    <x v="5"/>
    <s v="Natural Gas"/>
    <s v="Natural Gas"/>
    <s v="IOTEBSTNGA"/>
    <x v="142"/>
    <s v="TechData_CHP"/>
    <n v="0.89746611460637016"/>
    <n v="0.10253388539362981"/>
    <n v="0.17383982904725409"/>
    <n v="2.4962082024127582E-2"/>
    <n v="0"/>
    <n v="0"/>
    <n v="0.17754044067127683"/>
    <n v="0"/>
    <n v="9.2876661676933037E-2"/>
    <n v="0"/>
    <n v="1.8413518857021662E-2"/>
    <n v="0.27705650330175041"/>
    <n v="0.27705650330175041"/>
    <n v="0.27705650330175041"/>
    <n v="0.27705650330175041"/>
    <n v="0.27705650330175041"/>
    <n v="0.27705650330175041"/>
    <n v="0.27705650330175041"/>
    <n v="0.27705650330175041"/>
    <n v="0.27705650330175041"/>
    <n v="1.3631457752839833"/>
    <n v="0.19573740287234398"/>
    <n v="0"/>
    <n v="0"/>
    <n v="1.3921637116734753"/>
    <n v="0"/>
    <n v="0.72828206102858506"/>
    <n v="0"/>
    <n v="0.14438756972798297"/>
    <n v="3.8237165205863706"/>
    <n v="0.15573694696994916"/>
    <n v="2.2362645348634993E-2"/>
    <n v="0"/>
    <n v="0"/>
    <n v="0.15905219388088665"/>
    <n v="0"/>
    <n v="8.3204912324175498E-2"/>
    <n v="0"/>
    <n v="1.649601949957416E-2"/>
    <n v="0.43685271802322045"/>
  </r>
  <r>
    <x v="6"/>
    <x v="5"/>
    <s v="Natural Gas"/>
    <s v="Natural Gas"/>
    <s v="IOTECCTNGA"/>
    <x v="142"/>
    <s v="TechData_CHP"/>
    <n v="0.49706941581455599"/>
    <n v="0.50293058418544401"/>
    <n v="0.83262304315061575"/>
    <n v="2.4922357569718407"/>
    <n v="2.4580122597415537"/>
    <n v="5.0701195515415048E-3"/>
    <n v="1.1661606916215255"/>
    <n v="0"/>
    <n v="0.65665151491660378"/>
    <n v="0.25745513441662726"/>
    <n v="0.78899800245545593"/>
    <n v="0.32262904412474852"/>
    <n v="0.32262904412474852"/>
    <n v="0.32262904412474852"/>
    <n v="0.32262904412474852"/>
    <n v="0.32262904412474852"/>
    <n v="0.32262904412474852"/>
    <n v="0.32262904412474852"/>
    <n v="0.32262904412474852"/>
    <n v="0.32262904412474852"/>
    <n v="4.2109059012532395"/>
    <n v="12.604227498479961"/>
    <n v="12.431145660745536"/>
    <n v="2.5641611189210777E-2"/>
    <n v="5.8977384526581602"/>
    <n v="0"/>
    <n v="3.3209478910962824"/>
    <n v="1.302053016357382"/>
    <n v="3.9902767187956618"/>
    <n v="43.782936750575431"/>
    <n v="4.2605585809313204"/>
    <n v="12.752849596728568"/>
    <n v="12.577726873434441"/>
    <n v="2.5943962924600744E-2"/>
    <n v="5.9672813313360678"/>
    <n v="0"/>
    <n v="3.3601066768138952"/>
    <n v="1.317406107321925"/>
    <n v="4.0373278608518879"/>
    <n v="44.299200990342705"/>
  </r>
  <r>
    <x v="6"/>
    <x v="5"/>
    <s v="Natural Gas"/>
    <s v="Natural Gas"/>
    <s v="IOTEFCLNGA"/>
    <x v="142"/>
    <s v="TechData_CHP"/>
    <n v="0.31721749874010363"/>
    <n v="0.68278250125989637"/>
    <n v="0"/>
    <n v="1.1711333333333334E-3"/>
    <n v="0"/>
    <n v="0"/>
    <n v="0"/>
    <n v="0"/>
    <n v="0"/>
    <n v="0"/>
    <n v="1.9045166666666667E-3"/>
    <n v="0.3022524729168698"/>
    <n v="0.3022524729168698"/>
    <n v="0.3022524729168698"/>
    <n v="0.3022524729168698"/>
    <n v="0.3022524729168698"/>
    <n v="0.3022524729168698"/>
    <n v="0.3022524729168698"/>
    <n v="0.3022524729168698"/>
    <n v="0.3022524729168698"/>
    <n v="0"/>
    <n v="3.5411143262425206E-3"/>
    <n v="0"/>
    <n v="0"/>
    <n v="0"/>
    <n v="0"/>
    <n v="0"/>
    <n v="0"/>
    <n v="5.7586195021070621E-3"/>
    <n v="9.2997338283495826E-3"/>
    <n v="0"/>
    <n v="7.6219341824520026E-3"/>
    <n v="0"/>
    <n v="0"/>
    <n v="0"/>
    <n v="0"/>
    <n v="0"/>
    <n v="0"/>
    <n v="1.2394917187951455E-2"/>
    <n v="2.0016851370403457E-2"/>
  </r>
  <r>
    <x v="6"/>
    <x v="5"/>
    <s v="Natural Gas"/>
    <s v="Natural Gas"/>
    <s v="IOTEMTTNGA"/>
    <x v="142"/>
    <s v="TechData_CHP"/>
    <n v="0.60795647034078149"/>
    <n v="0.39204352965921851"/>
    <n v="7.2192000000000003E-4"/>
    <n v="1.2152320000000001E-3"/>
    <n v="7.9476923076923084E-4"/>
    <n v="2.554615384615385E-4"/>
    <n v="0"/>
    <n v="0"/>
    <n v="0"/>
    <n v="0"/>
    <n v="3.3511990769230769E-3"/>
    <n v="0.33451537732934461"/>
    <n v="0.33451537732934461"/>
    <n v="0.33451537732934461"/>
    <n v="0.33451537732934461"/>
    <n v="0.33451537732934461"/>
    <n v="0.33451537732934461"/>
    <n v="0.33451537732934461"/>
    <n v="0.33451537732934461"/>
    <n v="0.33451537732934461"/>
    <n v="4.6300347666391999E-3"/>
    <n v="7.7938918571759871E-3"/>
    <n v="5.0972533936123566E-3"/>
    <n v="1.6384028765182577E-3"/>
    <n v="0"/>
    <n v="0"/>
    <n v="0"/>
    <n v="0"/>
    <n v="2.1492919209999777E-2"/>
    <n v="4.0652502103945581E-2"/>
    <n v="2.9856992414944725E-3"/>
    <n v="5.0259270565156961E-3"/>
    <n v="3.2869873247324331E-3"/>
    <n v="1.0565316400925678E-3"/>
    <n v="0"/>
    <n v="0"/>
    <n v="0"/>
    <n v="0"/>
    <n v="1.3859807931718485E-2"/>
    <n v="2.6214953194553657E-2"/>
  </r>
  <r>
    <x v="6"/>
    <x v="5"/>
    <s v="Natural Gas"/>
    <s v="Natural Gas"/>
    <s v="IOTEREGNGA"/>
    <x v="142"/>
    <s v="TechData_CHP"/>
    <n v="0.54469400474371632"/>
    <n v="0.45530599525628362"/>
    <n v="3.1790341666666666E-2"/>
    <n v="6.7975400000000005E-2"/>
    <n v="6.2068318333333337E-2"/>
    <n v="8.3700000000000002E-5"/>
    <n v="1.9881053999999999E-2"/>
    <n v="0"/>
    <n v="4.1849999999999998E-4"/>
    <n v="2.575E-3"/>
    <n v="6.1308113333333338E-2"/>
    <n v="0.31441067722133464"/>
    <n v="0.31441067722133464"/>
    <n v="0.31441067722133464"/>
    <n v="0.31441067722133464"/>
    <n v="0.31441067722133464"/>
    <n v="0.31441067722133464"/>
    <n v="0.31441067722133464"/>
    <n v="0.31441067722133464"/>
    <n v="0.31441067722133464"/>
    <n v="0.17169264202771861"/>
    <n v="0.36712018201202046"/>
    <n v="0.33521733338403836"/>
    <n v="4.5204528747761857E-4"/>
    <n v="0.10737319917309507"/>
    <n v="0"/>
    <n v="2.2602264373880925E-3"/>
    <n v="1.3907008545458397E-2"/>
    <n v="0.33111163341071792"/>
    <n v="1.3291342702779145"/>
    <n v="0.14351670584917167"/>
    <n v="0.30687325065804166"/>
    <n v="0.28020587756494436"/>
    <n v="3.7786156580289461E-4"/>
    <n v="8.9752523228816009E-2"/>
    <n v="0"/>
    <n v="1.8893078290144727E-3"/>
    <n v="1.1624773380435527E-2"/>
    <n v="0.2767739510221584"/>
    <n v="1.1110142510983849"/>
  </r>
  <r>
    <x v="6"/>
    <x v="5"/>
    <s v="Residual Oil"/>
    <s v="Residual Oil"/>
    <s v="IOTEBHLRFL"/>
    <x v="145"/>
    <s v="TechData_Boiler"/>
    <n v="1"/>
    <n v="0"/>
    <n v="16.633946148000003"/>
    <n v="2.9435133000000002"/>
    <n v="3.9370067999999998"/>
    <n v="7.7769746999999985"/>
    <n v="19.792290757514994"/>
    <n v="6.1424061835799986"/>
    <n v="2.1163721999999998"/>
    <n v="0"/>
    <n v="2.1256139999999997"/>
    <n v="1.4462875346605427E-2"/>
    <n v="1.4462875346605427E-2"/>
    <n v="1.4462875346605427E-2"/>
    <n v="1.4462875346605427E-2"/>
    <n v="1.4462875346605427E-2"/>
    <n v="1.4462875346605427E-2"/>
    <n v="1.4462875346605427E-2"/>
    <n v="1.4462875346605427E-2"/>
    <n v="1.4462875346605427E-2"/>
    <n v="0.24057468966067155"/>
    <n v="4.2571665938975184E-2"/>
    <n v="5.6940438587137918E-2"/>
    <n v="0.11247741565980411"/>
    <n v="0.28625343404971004"/>
    <n v="8.8836854961335893E-2"/>
    <n v="3.0608827315621086E-2"/>
    <n v="0"/>
    <n v="3.0742490316999344E-2"/>
    <n v="0.88900581649025512"/>
    <n v="0"/>
    <n v="0"/>
    <n v="0"/>
    <n v="0"/>
    <n v="0"/>
    <n v="0"/>
    <n v="0"/>
    <n v="0"/>
    <n v="0"/>
    <n v="0"/>
  </r>
  <r>
    <x v="6"/>
    <x v="5"/>
    <s v="Residual Oil"/>
    <s v="Residual Oil"/>
    <s v="IOTEBOLRFL"/>
    <x v="145"/>
    <s v="TechData_Boiler"/>
    <n v="1"/>
    <n v="0"/>
    <n v="2.95968645"/>
    <n v="0"/>
    <n v="0"/>
    <n v="0.24768023999999997"/>
    <n v="0.57299159999999993"/>
    <n v="0"/>
    <n v="0"/>
    <n v="0"/>
    <n v="0"/>
    <n v="1.6708476139225413E-3"/>
    <n v="1.6708476139225413E-3"/>
    <n v="1.6708476139225413E-3"/>
    <n v="1.6708476139225413E-3"/>
    <n v="1.6708476139225413E-3"/>
    <n v="1.6708476139225413E-3"/>
    <n v="1.6708476139225413E-3"/>
    <n v="1.6708476139225413E-3"/>
    <n v="1.6708476139225413E-3"/>
    <n v="4.9451850429413765E-3"/>
    <n v="0"/>
    <n v="0"/>
    <n v="4.1383593801976233E-4"/>
    <n v="9.5738164765765915E-4"/>
    <n v="0"/>
    <n v="0"/>
    <n v="0"/>
    <n v="0"/>
    <n v="6.3164026286187981E-3"/>
    <n v="0"/>
    <n v="0"/>
    <n v="0"/>
    <n v="0"/>
    <n v="0"/>
    <n v="0"/>
    <n v="0"/>
    <n v="0"/>
    <n v="0"/>
    <n v="0"/>
  </r>
  <r>
    <x v="6"/>
    <x v="5"/>
    <s v="Residual Oil"/>
    <s v="Residual Oil"/>
    <s v="IOTEBSTRFL"/>
    <x v="142"/>
    <s v="TechData_CHP"/>
    <n v="0.91317837324206397"/>
    <n v="8.6821626757936074E-2"/>
    <n v="7.7444514769864263E-3"/>
    <n v="6.0608750689458996E-3"/>
    <n v="0"/>
    <n v="0"/>
    <n v="4.364536126550933E-2"/>
    <n v="0"/>
    <n v="0"/>
    <n v="0"/>
    <n v="0"/>
    <n v="0.1122946878944118"/>
    <n v="0.1122946878944118"/>
    <n v="0.1122946878944118"/>
    <n v="0.1122946878944118"/>
    <n v="0.1122946878944118"/>
    <n v="0.1122946878944118"/>
    <n v="0.1122946878944118"/>
    <n v="0.1122946878944118"/>
    <n v="0.1122946878944118"/>
    <n v="2.5044484677962046E-2"/>
    <n v="1.9600031487100732E-2"/>
    <n v="0"/>
    <n v="0"/>
    <n v="0.14114306025757573"/>
    <n v="0"/>
    <n v="0"/>
    <n v="0"/>
    <n v="0"/>
    <n v="0.18578757642263849"/>
    <n v="2.3811370973833633E-3"/>
    <n v="1.8634985979521972E-3"/>
    <n v="0"/>
    <n v="0"/>
    <n v="1.341936083489329E-2"/>
    <n v="0"/>
    <n v="0"/>
    <n v="0"/>
    <n v="0"/>
    <n v="1.7663996530228848E-2"/>
  </r>
  <r>
    <x v="6"/>
    <x v="5"/>
    <s v="Residual Oil"/>
    <s v="Residual Oil"/>
    <s v="IOTECCTRFL"/>
    <x v="142"/>
    <s v="TechData_CHP"/>
    <n v="0.49060269678639434"/>
    <n v="0.50939730321360566"/>
    <n v="4.6430404136098828E-2"/>
    <n v="0"/>
    <n v="0"/>
    <n v="0"/>
    <n v="0"/>
    <n v="0"/>
    <n v="0"/>
    <n v="0"/>
    <n v="0"/>
    <n v="0.10775752878756686"/>
    <n v="0.10775752878756686"/>
    <n v="0.10775752878756686"/>
    <n v="0.10775752878756686"/>
    <n v="0.10775752878756686"/>
    <n v="0.10775752878756686"/>
    <n v="0.10775752878756686"/>
    <n v="0.10775752878756686"/>
    <n v="0.10775752878756686"/>
    <n v="7.7408138732274603E-2"/>
    <n v="0"/>
    <n v="0"/>
    <n v="0"/>
    <n v="0"/>
    <n v="0"/>
    <n v="0"/>
    <n v="0"/>
    <n v="0"/>
    <n v="7.7408138732274603E-2"/>
    <n v="8.0373584114588739E-2"/>
    <n v="0"/>
    <n v="0"/>
    <n v="0"/>
    <n v="0"/>
    <n v="0"/>
    <n v="0"/>
    <n v="0"/>
    <n v="0"/>
    <n v="8.0373584114588739E-2"/>
  </r>
  <r>
    <x v="6"/>
    <x v="5"/>
    <s v="Residual Oil"/>
    <s v="Residual Oil"/>
    <s v="IOTEREGRFL"/>
    <x v="142"/>
    <s v="TechData_CHP"/>
    <n v="0.55237317003689779"/>
    <n v="0.44762682996310221"/>
    <n v="1.0898498018094463E-3"/>
    <n v="8.3302804858057956E-3"/>
    <n v="4.2581028133732539E-3"/>
    <n v="1.1291697584466165E-3"/>
    <n v="2.7246245045236156E-4"/>
    <n v="0"/>
    <n v="1.3550037101359397E-3"/>
    <n v="0"/>
    <n v="1.4964361811750301E-3"/>
    <n v="0.10529316285797576"/>
    <n v="0.10529316285797576"/>
    <n v="0.10529316285797576"/>
    <n v="0.10529316285797576"/>
    <n v="0.10529316285797576"/>
    <n v="0.10529316285797576"/>
    <n v="0.10529316285797576"/>
    <n v="0.10529316285797576"/>
    <n v="0.10529316285797576"/>
    <n v="1.9989687451250088E-3"/>
    <n v="1.5279142411737629E-2"/>
    <n v="7.8100802728321688E-3"/>
    <n v="2.071088191535769E-3"/>
    <n v="4.9974218628125221E-4"/>
    <n v="0"/>
    <n v="2.4853058298429233E-3"/>
    <n v="0"/>
    <n v="2.7447168869294586E-3"/>
    <n v="3.2889044524284212E-2"/>
    <n v="1.6199049684398272E-3"/>
    <n v="1.2381763730240634E-2"/>
    <n v="6.3290573545628503E-3"/>
    <n v="1.6783484282722188E-3"/>
    <n v="4.0497624210995679E-4"/>
    <n v="0"/>
    <n v="2.0140181139266626E-3"/>
    <n v="0"/>
    <n v="2.2242371387450966E-3"/>
    <n v="2.6652305976297249E-2"/>
  </r>
  <r>
    <x v="6"/>
    <x v="5"/>
    <s v="Steam Coal"/>
    <s v="Steam Coal"/>
    <s v="IOTEBOLCOA"/>
    <x v="146"/>
    <s v="TechData_Boiler"/>
    <n v="1"/>
    <n v="0"/>
    <n v="0"/>
    <n v="0"/>
    <n v="2.9148637199999996"/>
    <n v="0"/>
    <n v="1.3955117999999997"/>
    <n v="0"/>
    <n v="0"/>
    <n v="0"/>
    <n v="0"/>
    <n v="1.0689137748518651E-2"/>
    <n v="1.0689137748518651E-2"/>
    <n v="1.0689137748518651E-2"/>
    <n v="1.0689137748518651E-2"/>
    <n v="1.0689137748518651E-2"/>
    <n v="1.0689137748518651E-2"/>
    <n v="1.0689137748518651E-2"/>
    <n v="1.0689137748518651E-2"/>
    <n v="1.0689137748518651E-2"/>
    <n v="0"/>
    <n v="0"/>
    <n v="3.1157379821239495E-2"/>
    <n v="0"/>
    <n v="1.4916817859883207E-2"/>
    <n v="0"/>
    <n v="0"/>
    <n v="0"/>
    <n v="0"/>
    <n v="4.6074197681122704E-2"/>
    <n v="0"/>
    <n v="0"/>
    <n v="0"/>
    <n v="0"/>
    <n v="0"/>
    <n v="0"/>
    <n v="0"/>
    <n v="0"/>
    <n v="0"/>
    <n v="0"/>
  </r>
  <r>
    <x v="6"/>
    <x v="5"/>
    <s v="Steam Coal"/>
    <s v="Steam Coal"/>
    <s v="IOTEBPVCOA"/>
    <x v="146"/>
    <s v="TechData_Boiler"/>
    <n v="1"/>
    <n v="0"/>
    <n v="0"/>
    <n v="0"/>
    <n v="0"/>
    <n v="0"/>
    <n v="6.5801616000000003"/>
    <n v="8.2288987200000001"/>
    <n v="0"/>
    <n v="0"/>
    <n v="0"/>
    <n v="0.15906610842944463"/>
    <n v="0.15906610842944463"/>
    <n v="0.15906610842944463"/>
    <n v="0.15906610842944463"/>
    <n v="0.15906610842944463"/>
    <n v="0.15906610842944463"/>
    <n v="0.15906610842944463"/>
    <n v="0.15906610842944463"/>
    <n v="0.15906610842944463"/>
    <n v="0"/>
    <n v="0"/>
    <n v="0"/>
    <n v="0"/>
    <n v="1.0466806985488679"/>
    <n v="1.3089388960504382"/>
    <n v="0"/>
    <n v="0"/>
    <n v="0"/>
    <n v="2.3556195945993061"/>
    <n v="0"/>
    <n v="0"/>
    <n v="0"/>
    <n v="0"/>
    <n v="0"/>
    <n v="0"/>
    <n v="0"/>
    <n v="0"/>
    <n v="0"/>
    <n v="0"/>
  </r>
  <r>
    <x v="6"/>
    <x v="5"/>
    <s v="Steam Coal"/>
    <s v="Steam Coal"/>
    <s v="IOTEBSOCOA"/>
    <x v="146"/>
    <s v="TechData_Boiler"/>
    <n v="1"/>
    <n v="0"/>
    <n v="2.3012082"/>
    <n v="0"/>
    <n v="25.832124851999996"/>
    <n v="40.299581840177396"/>
    <n v="19.606983287349891"/>
    <n v="4.1731347899999998"/>
    <n v="0"/>
    <n v="0"/>
    <n v="0"/>
    <n v="0.16724674658121721"/>
    <n v="0.16724674658121721"/>
    <n v="0.16724674658121721"/>
    <n v="0.16724674658121721"/>
    <n v="0.16724674658121721"/>
    <n v="0.16724674658121721"/>
    <n v="0.16724674658121721"/>
    <n v="0.16724674658121721"/>
    <n v="0.16724674658121721"/>
    <n v="0.384869584656019"/>
    <n v="0"/>
    <n v="4.3203388387768067"/>
    <n v="6.7399739513531722"/>
    <n v="3.2792041650815684"/>
    <n v="0.69794321667239112"/>
    <n v="0"/>
    <n v="0"/>
    <n v="0"/>
    <n v="15.422329756539956"/>
    <n v="0"/>
    <n v="0"/>
    <n v="0"/>
    <n v="0"/>
    <n v="0"/>
    <n v="0"/>
    <n v="0"/>
    <n v="0"/>
    <n v="0"/>
    <n v="0"/>
  </r>
  <r>
    <x v="6"/>
    <x v="5"/>
    <s v="Steam Coal"/>
    <s v="Steam Coal"/>
    <s v="IOTEBSTCOA"/>
    <x v="142"/>
    <s v="TechData_CHP"/>
    <n v="0.88533466388263427"/>
    <n v="0.11466533611736573"/>
    <n v="6.450005844296304E-2"/>
    <n v="0.23998599557357458"/>
    <n v="0.55711034686722671"/>
    <n v="0.11999299778678729"/>
    <n v="4.724729216769064"/>
    <n v="0"/>
    <n v="0"/>
    <n v="0.48768582671915689"/>
    <n v="0.59139406052059451"/>
    <n v="7.252169229055036E-2"/>
    <n v="7.252169229055036E-2"/>
    <n v="7.252169229055036E-2"/>
    <n v="7.252169229055036E-2"/>
    <n v="7.252169229055036E-2"/>
    <n v="7.252169229055036E-2"/>
    <n v="7.252169229055036E-2"/>
    <n v="7.252169229055036E-2"/>
    <n v="7.252169229055036E-2"/>
    <n v="0.13059968021580703"/>
    <n v="0.48592350200576212"/>
    <n v="1.1280367010848049"/>
    <n v="0.24296175100288106"/>
    <n v="9.5666289258012345"/>
    <n v="0"/>
    <n v="0"/>
    <n v="0.98746597371885236"/>
    <n v="1.1974543442284853"/>
    <n v="13.739070878057827"/>
    <n v="1.6914797126650418E-2"/>
    <n v="6.2935050391525818E-2"/>
    <n v="0.14609922412318493"/>
    <n v="3.1467525195762909E-2"/>
    <n v="1.239035097164717"/>
    <n v="0"/>
    <n v="0"/>
    <n v="0.12789301311706494"/>
    <n v="0.15508994560768863"/>
    <n v="1.7794346527265947"/>
  </r>
  <r>
    <x v="6"/>
    <x v="5"/>
    <s v="Steam Coal"/>
    <s v="Steam Coal"/>
    <s v="IOTECPVCOA"/>
    <x v="142"/>
    <s v="TechData_CHP"/>
    <n v="0.91317837324206397"/>
    <n v="8.6821626757936088E-2"/>
    <n v="0"/>
    <n v="0"/>
    <n v="0"/>
    <n v="0"/>
    <n v="0.13157670343573721"/>
    <n v="0"/>
    <n v="0"/>
    <n v="0"/>
    <n v="0"/>
    <n v="5.0133591621058939E-2"/>
    <n v="5.0133591621058939E-2"/>
    <n v="5.0133591621058939E-2"/>
    <n v="5.0133591621058939E-2"/>
    <n v="5.0133591621058939E-2"/>
    <n v="5.0133591621058939E-2"/>
    <n v="5.0133591621058939E-2"/>
    <n v="5.0133591621058939E-2"/>
    <n v="5.0133591621058939E-2"/>
    <n v="0"/>
    <n v="0"/>
    <n v="0"/>
    <n v="0"/>
    <n v="0.18996344842404614"/>
    <n v="0"/>
    <n v="0"/>
    <n v="0"/>
    <n v="0"/>
    <n v="0.18996344842404614"/>
    <n v="0"/>
    <n v="0"/>
    <n v="0"/>
    <n v="0"/>
    <n v="1.8061023015873649E-2"/>
    <n v="0"/>
    <n v="0"/>
    <n v="0"/>
    <n v="0"/>
    <n v="1.8061023015873649E-2"/>
  </r>
  <r>
    <x v="6"/>
    <x v="5"/>
    <s v="Steam Coal"/>
    <s v="Steam Coal"/>
    <s v="IOTECSOCOA"/>
    <x v="142"/>
    <s v="TechData_CHP"/>
    <n v="0.91317837324206397"/>
    <n v="8.682162675793606E-2"/>
    <n v="0"/>
    <n v="0"/>
    <n v="0.19447460124301993"/>
    <n v="0"/>
    <n v="0"/>
    <n v="0"/>
    <n v="0"/>
    <n v="0"/>
    <n v="0"/>
    <n v="7.0674329051911941E-2"/>
    <n v="7.0674329051911941E-2"/>
    <n v="7.0674329051911941E-2"/>
    <n v="7.0674329051911941E-2"/>
    <n v="7.0674329051911941E-2"/>
    <n v="7.0674329051911941E-2"/>
    <n v="7.0674329051911941E-2"/>
    <n v="7.0674329051911941E-2"/>
    <n v="7.0674329051911941E-2"/>
    <n v="0"/>
    <n v="0"/>
    <n v="0.39581004198183273"/>
    <n v="0"/>
    <n v="0"/>
    <n v="0"/>
    <n v="0"/>
    <n v="0"/>
    <n v="0"/>
    <n v="0.39581004198183273"/>
    <n v="0"/>
    <n v="0"/>
    <n v="3.7632156804134356E-2"/>
    <n v="0"/>
    <n v="0"/>
    <n v="0"/>
    <n v="0"/>
    <n v="0"/>
    <n v="0"/>
    <n v="3.7632156804134356E-2"/>
  </r>
  <r>
    <x v="6"/>
    <x v="5"/>
    <s v="Steam Coal"/>
    <s v="Steam Coal"/>
    <s v="IOTEREGCOA"/>
    <x v="142"/>
    <s v="TechData_CHP"/>
    <n v="0.48924710379891823"/>
    <n v="0.51075289620108177"/>
    <n v="0"/>
    <n v="4.1849999999999998E-4"/>
    <n v="0"/>
    <n v="1.7033399999999997E-2"/>
    <n v="0"/>
    <n v="0"/>
    <n v="0"/>
    <n v="1.9312500000000002E-3"/>
    <n v="0"/>
    <n v="6.710091350777532E-2"/>
    <n v="6.710091350777532E-2"/>
    <n v="6.710091350777532E-2"/>
    <n v="6.710091350777532E-2"/>
    <n v="6.710091350777532E-2"/>
    <n v="6.710091350777532E-2"/>
    <n v="6.710091350777532E-2"/>
    <n v="6.710091350777532E-2"/>
    <n v="6.710091350777532E-2"/>
    <n v="0"/>
    <n v="4.3327014588854883E-4"/>
    <n v="0"/>
    <n v="1.7634560819541234E-2"/>
    <n v="0"/>
    <n v="0"/>
    <n v="0"/>
    <n v="1.9994097234104185E-3"/>
    <n v="0"/>
    <n v="2.00672406888402E-2"/>
    <n v="0"/>
    <n v="4.523153640189844E-4"/>
    <n v="0"/>
    <n v="1.8409721676179134E-2"/>
    <n v="0"/>
    <n v="0"/>
    <n v="0"/>
    <n v="2.0872976027757795E-3"/>
    <n v="0"/>
    <n v="2.0949334642973896E-2"/>
  </r>
  <r>
    <x v="7"/>
    <x v="0"/>
    <s v="Distillate Oil"/>
    <s v="Distillate Oil"/>
    <s v="ICTEFACDST"/>
    <x v="147"/>
    <s v="TechData_OTR"/>
    <n v="1"/>
    <n v="0"/>
    <n v="6.0879237432483579E-2"/>
    <n v="0.16758005837375106"/>
    <n v="0.13620464864357343"/>
    <n v="9.2254647162661255E-2"/>
    <n v="9.3253550079975378E-2"/>
    <n v="8.1284052236981083E-2"/>
    <n v="0.28238098929551292"/>
    <n v="0.14041358351430774"/>
    <n v="8.8045712291926953E-2"/>
    <n v="1"/>
    <n v="1"/>
    <n v="1"/>
    <n v="1"/>
    <n v="1"/>
    <n v="1"/>
    <n v="1"/>
    <n v="1"/>
    <n v="1"/>
    <n v="6.0879237432483579E-2"/>
    <n v="0.16758005837375106"/>
    <n v="0.13620464864357343"/>
    <n v="9.2254647162661255E-2"/>
    <n v="9.3253550079975378E-2"/>
    <n v="8.1284052236981083E-2"/>
    <n v="0.28238098929551292"/>
    <n v="0.14041358351430774"/>
    <n v="8.8045712291926953E-2"/>
    <n v="1.1422964790311734"/>
    <n v="0"/>
    <n v="0"/>
    <n v="0"/>
    <n v="0"/>
    <n v="0"/>
    <n v="0"/>
    <n v="0"/>
    <n v="0"/>
    <n v="0"/>
    <n v="0"/>
  </r>
  <r>
    <x v="7"/>
    <x v="0"/>
    <s v="Electricity"/>
    <s v="Electricity"/>
    <s v="ICTEFACELC"/>
    <x v="148"/>
    <s v="TechData_OTR"/>
    <n v="1"/>
    <n v="0"/>
    <n v="2.1069324105257521"/>
    <n v="5.7996760675103207"/>
    <n v="7.5944936447893205"/>
    <n v="5.1439311253799112"/>
    <n v="2.3308676866812816"/>
    <n v="2.0316907038842742"/>
    <n v="7.0580982999309949"/>
    <n v="1.6198293674558293"/>
    <n v="1.0157067918895288"/>
    <n v="1"/>
    <n v="1"/>
    <n v="1"/>
    <n v="1"/>
    <n v="1"/>
    <n v="1"/>
    <n v="1"/>
    <n v="1"/>
    <n v="1"/>
    <n v="2.1069324105257521"/>
    <n v="5.7996760675103207"/>
    <n v="7.5944936447893205"/>
    <n v="5.1439311253799112"/>
    <n v="2.3308676866812816"/>
    <n v="2.0316907038842742"/>
    <n v="7.0580982999309949"/>
    <n v="1.6198293674558293"/>
    <n v="1.0157067918895288"/>
    <n v="34.701226098047208"/>
    <n v="0"/>
    <n v="0"/>
    <n v="0"/>
    <n v="0"/>
    <n v="0"/>
    <n v="0"/>
    <n v="0"/>
    <n v="0"/>
    <n v="0"/>
    <n v="0"/>
  </r>
  <r>
    <x v="7"/>
    <x v="0"/>
    <s v="Natural Gas"/>
    <s v="Natural Gas"/>
    <s v="ICTEFACNGA"/>
    <x v="149"/>
    <s v="TechData_OTR"/>
    <n v="1"/>
    <n v="0"/>
    <n v="1.2392504969211955"/>
    <n v="3.4112396832182506"/>
    <n v="2.9706059833685186"/>
    <n v="2.0120620667808882"/>
    <n v="0"/>
    <n v="0"/>
    <n v="0"/>
    <n v="0.47637369346040709"/>
    <n v="0.29870800322950075"/>
    <n v="1"/>
    <n v="1"/>
    <n v="1"/>
    <n v="1"/>
    <n v="1"/>
    <n v="1"/>
    <n v="1"/>
    <n v="1"/>
    <n v="1"/>
    <n v="1.2392504969211955"/>
    <n v="3.4112396832182506"/>
    <n v="2.9706059833685186"/>
    <n v="2.0120620667808882"/>
    <n v="0"/>
    <n v="0"/>
    <n v="0"/>
    <n v="0.47637369346040709"/>
    <n v="0.29870800322950075"/>
    <n v="10.408239926978762"/>
    <n v="0"/>
    <n v="0"/>
    <n v="0"/>
    <n v="0"/>
    <n v="0"/>
    <n v="0"/>
    <n v="0"/>
    <n v="0"/>
    <n v="0"/>
    <n v="0"/>
  </r>
  <r>
    <x v="7"/>
    <x v="0"/>
    <s v="Steam Coal"/>
    <s v="Steam Coal"/>
    <s v="ICTEFACCOA"/>
    <x v="150"/>
    <s v="TechData_OTR"/>
    <n v="1"/>
    <n v="0"/>
    <n v="0.16073509659234689"/>
    <n v="0.44244964302531908"/>
    <n v="0.25384333598227571"/>
    <n v="0.1719341272772533"/>
    <n v="8.6897886673591412E-2"/>
    <n v="7.5744165810328931E-2"/>
    <n v="0.26313541077560865"/>
    <n v="0"/>
    <n v="0"/>
    <n v="1"/>
    <n v="1"/>
    <n v="1"/>
    <n v="1"/>
    <n v="1"/>
    <n v="1"/>
    <n v="1"/>
    <n v="1"/>
    <n v="1"/>
    <n v="0.16073509659234689"/>
    <n v="0.44244964302531908"/>
    <n v="0.25384333598227571"/>
    <n v="0.1719341272772533"/>
    <n v="8.6897886673591412E-2"/>
    <n v="7.5744165810328931E-2"/>
    <n v="0.26313541077560865"/>
    <n v="0"/>
    <n v="0"/>
    <n v="1.454739666136724"/>
    <n v="0"/>
    <n v="0"/>
    <n v="0"/>
    <n v="0"/>
    <n v="0"/>
    <n v="0"/>
    <n v="0"/>
    <n v="0"/>
    <n v="0"/>
    <n v="0"/>
  </r>
  <r>
    <x v="7"/>
    <x v="1"/>
    <s v="Natural Gas"/>
    <s v="Natural Gas"/>
    <s v="ICTEFEDNGA"/>
    <x v="151"/>
    <s v="TechData_OTR"/>
    <n v="1"/>
    <n v="0"/>
    <n v="0"/>
    <n v="0"/>
    <n v="4.0226956024782021"/>
    <n v="2.7246673820991196"/>
    <n v="4.9575045286959503"/>
    <n v="4.3211873084724752"/>
    <n v="15.011814907309937"/>
    <n v="0"/>
    <n v="0"/>
    <n v="1"/>
    <n v="1"/>
    <n v="1"/>
    <n v="1"/>
    <n v="1"/>
    <n v="1"/>
    <n v="1"/>
    <n v="1"/>
    <n v="1"/>
    <n v="0"/>
    <n v="0"/>
    <n v="4.0226956024782021"/>
    <n v="2.7246673820991196"/>
    <n v="4.9575045286959503"/>
    <n v="4.3211873084724752"/>
    <n v="15.011814907309937"/>
    <n v="0"/>
    <n v="0"/>
    <n v="31.037869729055682"/>
    <n v="0"/>
    <n v="0"/>
    <n v="0"/>
    <n v="0"/>
    <n v="0"/>
    <n v="0"/>
    <n v="0"/>
    <n v="0"/>
    <n v="0"/>
    <n v="0"/>
  </r>
  <r>
    <x v="7"/>
    <x v="1"/>
    <s v="Other Petroleum"/>
    <s v="Other Petroleum"/>
    <s v="ICTEFEDOTP"/>
    <x v="152"/>
    <s v="TechData_OTR"/>
    <n v="1"/>
    <n v="0"/>
    <n v="0"/>
    <n v="0"/>
    <n v="1.2058201342006084E-2"/>
    <n v="8.1673064855087626E-3"/>
    <n v="8.2557393886294999E-3"/>
    <n v="7.1960794108616071E-3"/>
    <n v="2.4999196855538593E-2"/>
    <n v="0"/>
    <n v="0"/>
    <n v="1"/>
    <n v="1"/>
    <n v="1"/>
    <n v="1"/>
    <n v="1"/>
    <n v="1"/>
    <n v="1"/>
    <n v="1"/>
    <n v="1"/>
    <n v="0"/>
    <n v="0"/>
    <n v="1.2058201342006084E-2"/>
    <n v="8.1673064855087626E-3"/>
    <n v="8.2557393886294999E-3"/>
    <n v="7.1960794108616071E-3"/>
    <n v="2.4999196855538593E-2"/>
    <n v="0"/>
    <n v="0"/>
    <n v="6.0676523482544549E-2"/>
    <n v="0"/>
    <n v="0"/>
    <n v="0"/>
    <n v="0"/>
    <n v="0"/>
    <n v="0"/>
    <n v="0"/>
    <n v="0"/>
    <n v="0"/>
    <n v="0"/>
  </r>
  <r>
    <x v="7"/>
    <x v="1"/>
    <s v="Petroleum Coke"/>
    <s v="Petroleum Coke"/>
    <s v="ICTEFEDPTC"/>
    <x v="153"/>
    <s v="TechData_OTR"/>
    <n v="1"/>
    <n v="0"/>
    <n v="0"/>
    <n v="0"/>
    <n v="0.16536961840465483"/>
    <n v="0.11200877465840588"/>
    <n v="0.11322156875834741"/>
    <n v="9.8689089063244875E-2"/>
    <n v="0.34284612830452921"/>
    <n v="0"/>
    <n v="0"/>
    <n v="1"/>
    <n v="1"/>
    <n v="1"/>
    <n v="1"/>
    <n v="1"/>
    <n v="1"/>
    <n v="1"/>
    <n v="1"/>
    <n v="1"/>
    <n v="0"/>
    <n v="0"/>
    <n v="0.16536961840465483"/>
    <n v="0.11200877465840588"/>
    <n v="0.11322156875834741"/>
    <n v="9.8689089063244875E-2"/>
    <n v="0.34284612830452921"/>
    <n v="0"/>
    <n v="0"/>
    <n v="0.83213517918918223"/>
    <n v="0"/>
    <n v="0"/>
    <n v="0"/>
    <n v="0"/>
    <n v="0"/>
    <n v="0"/>
    <n v="0"/>
    <n v="0"/>
    <n v="0"/>
    <n v="0"/>
  </r>
  <r>
    <x v="7"/>
    <x v="1"/>
    <s v="Renewables"/>
    <s v="Biomass"/>
    <s v="ICTEFEDBIO"/>
    <x v="154"/>
    <s v="TechData_OTR"/>
    <n v="1"/>
    <n v="0"/>
    <n v="0"/>
    <n v="0"/>
    <n v="0.33006779775559564"/>
    <n v="0.22356276768043964"/>
    <n v="0.22598343165463555"/>
    <n v="0.1969774775068005"/>
    <n v="0.68430022171063465"/>
    <n v="0"/>
    <n v="0"/>
    <n v="1"/>
    <n v="1"/>
    <n v="1"/>
    <n v="1"/>
    <n v="1"/>
    <n v="1"/>
    <n v="1"/>
    <n v="1"/>
    <n v="1"/>
    <n v="0"/>
    <n v="0"/>
    <n v="0.33006779775559564"/>
    <n v="0.22356276768043964"/>
    <n v="0.22598343165463555"/>
    <n v="0.1969774775068005"/>
    <n v="0.68430022171063465"/>
    <n v="0"/>
    <n v="0"/>
    <n v="1.660891696308106"/>
    <n v="0"/>
    <n v="0"/>
    <n v="0"/>
    <n v="0"/>
    <n v="0"/>
    <n v="0"/>
    <n v="0"/>
    <n v="0"/>
    <n v="0"/>
    <n v="0"/>
  </r>
  <r>
    <x v="7"/>
    <x v="1"/>
    <s v="Residual Oil"/>
    <s v="Residual Oil"/>
    <s v="ICTEFEDRFL"/>
    <x v="155"/>
    <s v="TechData_OTR"/>
    <n v="1"/>
    <n v="0"/>
    <n v="0"/>
    <n v="0"/>
    <n v="0"/>
    <n v="0"/>
    <n v="1.1280004928513268"/>
    <n v="0.98321673443675361"/>
    <n v="3.4156972557507155"/>
    <n v="0"/>
    <n v="0"/>
    <n v="1"/>
    <n v="1"/>
    <n v="1"/>
    <n v="1"/>
    <n v="1"/>
    <n v="1"/>
    <n v="1"/>
    <n v="1"/>
    <n v="1"/>
    <n v="0"/>
    <n v="0"/>
    <n v="0"/>
    <n v="0"/>
    <n v="1.1280004928513268"/>
    <n v="0.98321673443675361"/>
    <n v="3.4156972557507155"/>
    <n v="0"/>
    <n v="0"/>
    <n v="5.5269144830387962"/>
    <n v="0"/>
    <n v="0"/>
    <n v="0"/>
    <n v="0"/>
    <n v="0"/>
    <n v="0"/>
    <n v="0"/>
    <n v="0"/>
    <n v="0"/>
    <n v="0"/>
  </r>
  <r>
    <x v="7"/>
    <x v="2"/>
    <s v="Distillate Oil"/>
    <s v="Distillate Oil"/>
    <s v="ICTEMDRDST"/>
    <x v="156"/>
    <s v="TechData_OTR"/>
    <n v="1"/>
    <n v="0"/>
    <n v="2.0293079144161192E-2"/>
    <n v="5.5860019457917021E-2"/>
    <n v="4.5401549547857807E-2"/>
    <n v="3.0751549054220416E-2"/>
    <n v="3.1084516693325126E-2"/>
    <n v="2.7094684078993694E-2"/>
    <n v="9.412699643183764E-2"/>
    <n v="4.6804527838102579E-2"/>
    <n v="2.9348570763975651E-2"/>
    <n v="1"/>
    <n v="1"/>
    <n v="1"/>
    <n v="1"/>
    <n v="1"/>
    <n v="1"/>
    <n v="1"/>
    <n v="1"/>
    <n v="1"/>
    <n v="2.0293079144161192E-2"/>
    <n v="5.5860019457917021E-2"/>
    <n v="4.5401549547857807E-2"/>
    <n v="3.0751549054220416E-2"/>
    <n v="3.1084516693325126E-2"/>
    <n v="2.7094684078993694E-2"/>
    <n v="9.412699643183764E-2"/>
    <n v="4.6804527838102579E-2"/>
    <n v="2.9348570763975651E-2"/>
    <n v="0.38076549301039109"/>
    <n v="0"/>
    <n v="0"/>
    <n v="0"/>
    <n v="0"/>
    <n v="0"/>
    <n v="0"/>
    <n v="0"/>
    <n v="0"/>
    <n v="0"/>
    <n v="0"/>
  </r>
  <r>
    <x v="7"/>
    <x v="2"/>
    <s v="Electricity"/>
    <s v="Electricity"/>
    <s v="ICTEMDRELC"/>
    <x v="157"/>
    <s v="TechData_OTR"/>
    <n v="1"/>
    <n v="0"/>
    <n v="2.9653122814806885"/>
    <n v="8.1625070579774892"/>
    <n v="10.68854661118497"/>
    <n v="7.239606769053208"/>
    <n v="3.2804804479218039"/>
    <n v="2.8594165462074974"/>
    <n v="9.9336198295325122"/>
    <n v="2.2797598504933894"/>
    <n v="1.429513262659337"/>
    <n v="1"/>
    <n v="1"/>
    <n v="1"/>
    <n v="1"/>
    <n v="1"/>
    <n v="1"/>
    <n v="1"/>
    <n v="1"/>
    <n v="1"/>
    <n v="2.9653122814806885"/>
    <n v="8.1625070579774892"/>
    <n v="10.68854661118497"/>
    <n v="7.239606769053208"/>
    <n v="3.2804804479218039"/>
    <n v="2.8594165462074974"/>
    <n v="9.9336198295325122"/>
    <n v="2.2797598504933894"/>
    <n v="1.429513262659337"/>
    <n v="48.838762656510895"/>
    <n v="0"/>
    <n v="0"/>
    <n v="0"/>
    <n v="0"/>
    <n v="0"/>
    <n v="0"/>
    <n v="0"/>
    <n v="0"/>
    <n v="0"/>
    <n v="0"/>
  </r>
  <r>
    <x v="7"/>
    <x v="2"/>
    <s v="Natural Gas"/>
    <s v="Natural Gas"/>
    <s v="ICTEMDRNGA"/>
    <x v="158"/>
    <s v="TechData_OTR"/>
    <n v="1"/>
    <n v="0"/>
    <n v="1.5103365431227072"/>
    <n v="4.157448363922243"/>
    <n v="3.620426042230382"/>
    <n v="2.4522006438892077"/>
    <n v="0"/>
    <n v="0"/>
    <n v="0"/>
    <n v="0.58058043890487121"/>
    <n v="0.36405037893595404"/>
    <n v="1"/>
    <n v="1"/>
    <n v="1"/>
    <n v="1"/>
    <n v="1"/>
    <n v="1"/>
    <n v="1"/>
    <n v="1"/>
    <n v="1"/>
    <n v="1.5103365431227072"/>
    <n v="4.157448363922243"/>
    <n v="3.620426042230382"/>
    <n v="2.4522006438892077"/>
    <n v="0"/>
    <n v="0"/>
    <n v="0"/>
    <n v="0.58058043890487121"/>
    <n v="0.36405037893595404"/>
    <n v="12.685042411005364"/>
    <n v="0"/>
    <n v="0"/>
    <n v="0"/>
    <n v="0"/>
    <n v="0"/>
    <n v="0"/>
    <n v="0"/>
    <n v="0"/>
    <n v="0"/>
    <n v="0"/>
  </r>
  <r>
    <x v="7"/>
    <x v="3"/>
    <s v="Electricity"/>
    <s v="Electricity"/>
    <s v="ICTEOHTELC"/>
    <x v="159"/>
    <s v="TechData_OTR"/>
    <n v="1"/>
    <n v="0"/>
    <n v="7.8034533723176008E-2"/>
    <n v="0.21480281731519707"/>
    <n v="0.28127754239960445"/>
    <n v="0.19051596760666337"/>
    <n v="8.6328432840047473E-2"/>
    <n v="7.5247803847565714E-2"/>
    <n v="0.26141104814559241"/>
    <n v="5.9993680276141825E-2"/>
    <n v="3.761877006998255E-2"/>
    <n v="1"/>
    <n v="1"/>
    <n v="1"/>
    <n v="1"/>
    <n v="1"/>
    <n v="1"/>
    <n v="1"/>
    <n v="1"/>
    <n v="1"/>
    <n v="7.8034533723176008E-2"/>
    <n v="0.21480281731519707"/>
    <n v="0.28127754239960445"/>
    <n v="0.19051596760666337"/>
    <n v="8.6328432840047473E-2"/>
    <n v="7.5247803847565714E-2"/>
    <n v="0.26141104814559241"/>
    <n v="5.9993680276141825E-2"/>
    <n v="3.761877006998255E-2"/>
    <n v="1.2852305962239707"/>
    <n v="0"/>
    <n v="0"/>
    <n v="0"/>
    <n v="0"/>
    <n v="0"/>
    <n v="0"/>
    <n v="0"/>
    <n v="0"/>
    <n v="0"/>
    <n v="0"/>
  </r>
  <r>
    <x v="7"/>
    <x v="3"/>
    <s v="Other Petroleum"/>
    <s v="Other Petroleum"/>
    <s v="ICTEOHTOTP"/>
    <x v="160"/>
    <s v="TechData_OTR"/>
    <n v="1"/>
    <n v="0"/>
    <n v="1.0779281174605011E-2"/>
    <n v="2.9671734480424674E-2"/>
    <n v="0.11254321252539011"/>
    <n v="7.6228193864748453E-2"/>
    <n v="3.3022957554517993E-2"/>
    <n v="2.8784317643446428E-2"/>
    <n v="9.9996787422154371E-2"/>
    <n v="4.1436061544878758E-3"/>
    <n v="2.5982297880170727E-3"/>
    <n v="1"/>
    <n v="1"/>
    <n v="1"/>
    <n v="1"/>
    <n v="1"/>
    <n v="1"/>
    <n v="1"/>
    <n v="1"/>
    <n v="1"/>
    <n v="1.0779281174605011E-2"/>
    <n v="2.9671734480424674E-2"/>
    <n v="0.11254321252539011"/>
    <n v="7.6228193864748453E-2"/>
    <n v="3.3022957554517993E-2"/>
    <n v="2.8784317643446428E-2"/>
    <n v="9.9996787422154371E-2"/>
    <n v="4.1436061544878758E-3"/>
    <n v="2.5982297880170727E-3"/>
    <n v="0.39776832060779194"/>
    <n v="0"/>
    <n v="0"/>
    <n v="0"/>
    <n v="0"/>
    <n v="0"/>
    <n v="0"/>
    <n v="0"/>
    <n v="0"/>
    <n v="0"/>
    <n v="0"/>
  </r>
  <r>
    <x v="7"/>
    <x v="3"/>
    <s v="Petroleum Coke"/>
    <s v="Petroleum Coke"/>
    <s v="ICTEOHTPTC"/>
    <x v="161"/>
    <s v="TechData_OTR"/>
    <n v="1"/>
    <n v="0"/>
    <n v="0"/>
    <n v="0.55475678612612134"/>
    <n v="1.5434497717767783"/>
    <n v="1.0454152301451214"/>
    <n v="0.45288627503338963"/>
    <n v="0.39475635625297956"/>
    <n v="1.3713845132181171"/>
    <n v="5.6826598690119433E-2"/>
    <n v="3.5632865664234133E-2"/>
    <n v="1"/>
    <n v="1"/>
    <n v="1"/>
    <n v="1"/>
    <n v="1"/>
    <n v="1"/>
    <n v="1"/>
    <n v="1"/>
    <n v="1"/>
    <n v="0"/>
    <n v="0.55475678612612134"/>
    <n v="1.5434497717767783"/>
    <n v="1.0454152301451214"/>
    <n v="0.45288627503338963"/>
    <n v="0.39475635625297956"/>
    <n v="1.3713845132181171"/>
    <n v="5.6826598690119433E-2"/>
    <n v="3.5632865664234133E-2"/>
    <n v="5.4551083969068612"/>
    <n v="0"/>
    <n v="0"/>
    <n v="0"/>
    <n v="0"/>
    <n v="0"/>
    <n v="0"/>
    <n v="0"/>
    <n v="0"/>
    <n v="0"/>
    <n v="0"/>
  </r>
  <r>
    <x v="7"/>
    <x v="3"/>
    <s v="Renewables"/>
    <s v="Biomass"/>
    <s v="ICTEBSDBIO"/>
    <x v="162"/>
    <s v="TechData_Boiler"/>
    <n v="1"/>
    <n v="0"/>
    <n v="0"/>
    <n v="0"/>
    <n v="0"/>
    <n v="1.3862699999999999"/>
    <n v="0"/>
    <n v="0"/>
    <n v="0"/>
    <n v="0"/>
    <n v="0"/>
    <n v="0"/>
    <n v="0"/>
    <n v="0"/>
    <n v="0.97260273972602751"/>
    <n v="0"/>
    <n v="0"/>
    <n v="0"/>
    <n v="0"/>
    <n v="0"/>
    <n v="0"/>
    <n v="0"/>
    <n v="0"/>
    <n v="1.34829"/>
    <n v="0"/>
    <n v="0"/>
    <n v="0"/>
    <n v="0"/>
    <n v="0"/>
    <n v="1.34829"/>
    <n v="0"/>
    <n v="0"/>
    <n v="0"/>
    <n v="0"/>
    <n v="0"/>
    <n v="0"/>
    <n v="0"/>
    <n v="0"/>
    <n v="0"/>
    <n v="0"/>
  </r>
  <r>
    <x v="7"/>
    <x v="3"/>
    <s v="Renewables"/>
    <s v="Biomass"/>
    <s v="ICTECCTBIO"/>
    <x v="163"/>
    <s v="TechData_CHP"/>
    <n v="0.60426246259397132"/>
    <n v="0.39573753740602868"/>
    <n v="0"/>
    <n v="0"/>
    <n v="2.3630413131685728E-2"/>
    <n v="0"/>
    <n v="0"/>
    <n v="0"/>
    <n v="0"/>
    <n v="0"/>
    <n v="0"/>
    <n v="0"/>
    <n v="0"/>
    <n v="0.94999999999999984"/>
    <n v="0"/>
    <n v="0"/>
    <n v="0"/>
    <n v="0"/>
    <n v="0"/>
    <n v="0"/>
    <n v="0"/>
    <n v="0"/>
    <n v="0.42778656688941252"/>
    <n v="0"/>
    <n v="0"/>
    <n v="0"/>
    <n v="0"/>
    <n v="0"/>
    <n v="0"/>
    <n v="0.42778656688941252"/>
    <n v="0"/>
    <n v="0"/>
    <n v="0.28016170620538638"/>
    <n v="0"/>
    <n v="0"/>
    <n v="0"/>
    <n v="0"/>
    <n v="0"/>
    <n v="0"/>
    <n v="0.28016170620538638"/>
  </r>
  <r>
    <x v="7"/>
    <x v="3"/>
    <s v="Renewables"/>
    <s v="Biomass"/>
    <s v="ICTEOHTBIO"/>
    <x v="162"/>
    <s v="TechData_OTR"/>
    <n v="1"/>
    <n v="0"/>
    <n v="0.29506005894062404"/>
    <n v="0.81220107193144642"/>
    <n v="2.0663802388017976"/>
    <n v="0.2988770011351769"/>
    <n v="0.90393372661854221"/>
    <n v="0.7879099100272019"/>
    <n v="2.7372008868425386"/>
    <n v="0.11342246819298928"/>
    <n v="7.1121053619022476E-2"/>
    <n v="1"/>
    <n v="1"/>
    <n v="1"/>
    <n v="1"/>
    <n v="1"/>
    <n v="1"/>
    <n v="1"/>
    <n v="1"/>
    <n v="1"/>
    <n v="0.29506005894062404"/>
    <n v="0.81220107193144642"/>
    <n v="2.0663802388017976"/>
    <n v="0.2988770011351769"/>
    <n v="0.90393372661854221"/>
    <n v="0.7879099100272019"/>
    <n v="2.7372008868425386"/>
    <n v="0.11342246819298928"/>
    <n v="7.1121053619022476E-2"/>
    <n v="8.0861064161093399"/>
    <n v="0"/>
    <n v="0"/>
    <n v="0"/>
    <n v="0"/>
    <n v="0"/>
    <n v="0"/>
    <n v="0"/>
    <n v="0"/>
    <n v="0"/>
    <n v="0"/>
  </r>
  <r>
    <x v="7"/>
    <x v="3"/>
    <s v="Renewables"/>
    <s v="Biomass"/>
    <s v="ICTEREGBIO"/>
    <x v="163"/>
    <s v="TechData_CHP"/>
    <n v="0.4716263341435063"/>
    <n v="0.5283736658564937"/>
    <n v="0"/>
    <n v="0"/>
    <n v="0"/>
    <n v="0"/>
    <n v="0"/>
    <n v="0"/>
    <n v="0"/>
    <n v="0"/>
    <n v="0"/>
    <n v="0"/>
    <n v="0"/>
    <n v="0"/>
    <n v="0"/>
    <n v="0"/>
    <n v="0"/>
    <n v="0"/>
    <n v="0"/>
    <n v="0"/>
    <n v="0"/>
    <n v="0"/>
    <n v="0"/>
    <n v="0"/>
    <n v="0"/>
    <n v="0"/>
    <n v="0"/>
    <n v="0"/>
    <n v="0"/>
    <n v="0"/>
    <n v="0"/>
    <n v="0"/>
    <n v="0"/>
    <n v="0"/>
    <n v="0"/>
    <n v="0"/>
    <n v="0"/>
    <n v="0"/>
    <n v="0"/>
    <n v="0"/>
  </r>
  <r>
    <x v="7"/>
    <x v="4"/>
    <s v="Distillate Oil"/>
    <s v="Distillate Oil"/>
    <s v="ICTEPRHDST"/>
    <x v="164"/>
    <s v="TechData_OTR"/>
    <n v="1"/>
    <n v="0"/>
    <n v="2.0293079144161192E-2"/>
    <n v="5.5860019457917021E-2"/>
    <n v="4.5401549547857807E-2"/>
    <n v="3.0751549054220416E-2"/>
    <n v="3.1084516693325126E-2"/>
    <n v="2.7094684078993694E-2"/>
    <n v="9.412699643183764E-2"/>
    <n v="4.6804527838102579E-2"/>
    <n v="2.9348570763975651E-2"/>
    <n v="1"/>
    <n v="1"/>
    <n v="1"/>
    <n v="1"/>
    <n v="1"/>
    <n v="1"/>
    <n v="1"/>
    <n v="1"/>
    <n v="1"/>
    <n v="2.0293079144161192E-2"/>
    <n v="5.5860019457917021E-2"/>
    <n v="4.5401549547857807E-2"/>
    <n v="3.0751549054220416E-2"/>
    <n v="3.1084516693325126E-2"/>
    <n v="2.7094684078993694E-2"/>
    <n v="9.412699643183764E-2"/>
    <n v="4.6804527838102579E-2"/>
    <n v="2.9348570763975651E-2"/>
    <n v="0.38076549301039109"/>
    <n v="0"/>
    <n v="0"/>
    <n v="0"/>
    <n v="0"/>
    <n v="0"/>
    <n v="0"/>
    <n v="0"/>
    <n v="0"/>
    <n v="0"/>
    <n v="0"/>
  </r>
  <r>
    <x v="7"/>
    <x v="4"/>
    <s v="Electricity"/>
    <s v="Electricity"/>
    <s v="ICTEPRHELC"/>
    <x v="165"/>
    <s v="TechData_OTR"/>
    <n v="1"/>
    <n v="0"/>
    <n v="1.0924834721244641"/>
    <n v="3.0072394424127591"/>
    <n v="3.9378855935944626"/>
    <n v="2.6672235464932874"/>
    <n v="1.2085980597606647"/>
    <n v="1.0534692538659201"/>
    <n v="3.6597546740382936"/>
    <n v="0.83991152386598555"/>
    <n v="0.52666278097975572"/>
    <n v="1"/>
    <n v="1"/>
    <n v="1"/>
    <n v="1"/>
    <n v="1"/>
    <n v="1"/>
    <n v="1"/>
    <n v="1"/>
    <n v="1"/>
    <n v="1.0924834721244641"/>
    <n v="3.0072394424127591"/>
    <n v="3.9378855935944626"/>
    <n v="2.6672235464932874"/>
    <n v="1.2085980597606647"/>
    <n v="1.0534692538659201"/>
    <n v="3.6597546740382936"/>
    <n v="0.83991152386598555"/>
    <n v="0.52666278097975572"/>
    <n v="17.993228347135592"/>
    <n v="0"/>
    <n v="0"/>
    <n v="0"/>
    <n v="0"/>
    <n v="0"/>
    <n v="0"/>
    <n v="0"/>
    <n v="0"/>
    <n v="0"/>
    <n v="0"/>
  </r>
  <r>
    <x v="7"/>
    <x v="4"/>
    <s v="Natural Gas"/>
    <s v="Natural Gas"/>
    <s v="ICTEPRHNGA"/>
    <x v="166"/>
    <s v="TechData_OTR"/>
    <n v="1"/>
    <n v="0"/>
    <n v="4.9182754096559949"/>
    <n v="13.538357492772432"/>
    <n v="11.789592496493809"/>
    <n v="7.98537132753665"/>
    <n v="0"/>
    <n v="0"/>
    <n v="0"/>
    <n v="1.8906080959209908"/>
    <n v="1.1854973878170811"/>
    <n v="1"/>
    <n v="1"/>
    <n v="1"/>
    <n v="1"/>
    <n v="1"/>
    <n v="1"/>
    <n v="1"/>
    <n v="1"/>
    <n v="1"/>
    <n v="4.9182754096559949"/>
    <n v="13.538357492772432"/>
    <n v="11.789592496493809"/>
    <n v="7.98537132753665"/>
    <n v="0"/>
    <n v="0"/>
    <n v="0"/>
    <n v="1.8906080959209908"/>
    <n v="1.1854973878170811"/>
    <n v="41.30770221019695"/>
    <n v="0"/>
    <n v="0"/>
    <n v="0"/>
    <n v="0"/>
    <n v="0"/>
    <n v="0"/>
    <n v="0"/>
    <n v="0"/>
    <n v="0"/>
    <n v="0"/>
  </r>
  <r>
    <x v="7"/>
    <x v="4"/>
    <s v="Residual Oil"/>
    <s v="Residual Oil"/>
    <s v="ICTEPRHRFL"/>
    <x v="167"/>
    <s v="TechData_OTR"/>
    <n v="1"/>
    <n v="0"/>
    <n v="2.8323033843405607E-2"/>
    <n v="7.7963783138109657E-2"/>
    <n v="0"/>
    <n v="0"/>
    <n v="0"/>
    <n v="0"/>
    <n v="0"/>
    <n v="0"/>
    <n v="0"/>
    <n v="1"/>
    <n v="1"/>
    <n v="1"/>
    <n v="1"/>
    <n v="1"/>
    <n v="1"/>
    <n v="1"/>
    <n v="1"/>
    <n v="1"/>
    <n v="2.8323033843405607E-2"/>
    <n v="7.7963783138109657E-2"/>
    <n v="0"/>
    <n v="0"/>
    <n v="0"/>
    <n v="0"/>
    <n v="0"/>
    <n v="0"/>
    <n v="0"/>
    <n v="0.10628681698151526"/>
    <n v="0"/>
    <n v="0"/>
    <n v="0"/>
    <n v="0"/>
    <n v="0"/>
    <n v="0"/>
    <n v="0"/>
    <n v="0"/>
    <n v="0"/>
    <n v="0"/>
  </r>
  <r>
    <x v="7"/>
    <x v="5"/>
    <s v="Distillate Oil"/>
    <s v="Distillate Oil"/>
    <s v="ICTEBLLDST"/>
    <x v="168"/>
    <s v="TechData_Boiler"/>
    <n v="1"/>
    <n v="0"/>
    <n v="0"/>
    <n v="3.78728964"/>
    <n v="6.3407989799999998"/>
    <n v="0"/>
    <n v="0.72739324358399993"/>
    <n v="0"/>
    <n v="0"/>
    <n v="3.8076215999999996"/>
    <n v="0"/>
    <n v="1.5571645654857105E-2"/>
    <n v="1.5571645654857105E-2"/>
    <n v="1.5571645654857105E-2"/>
    <n v="1.5571645654857105E-2"/>
    <n v="1.5571645654857105E-2"/>
    <n v="1.5571645654857105E-2"/>
    <n v="1.5571645654857105E-2"/>
    <n v="1.5571645654857105E-2"/>
    <n v="1.5571645654857105E-2"/>
    <n v="0"/>
    <n v="5.897433226639133E-2"/>
    <n v="9.8736674885239351E-2"/>
    <n v="0"/>
    <n v="1.1326709840827207E-2"/>
    <n v="0"/>
    <n v="0"/>
    <n v="5.9290934342980051E-2"/>
    <n v="0"/>
    <n v="0.22832865133543792"/>
    <n v="0"/>
    <n v="0"/>
    <n v="0"/>
    <n v="0"/>
    <n v="0"/>
    <n v="0"/>
    <n v="0"/>
    <n v="0"/>
    <n v="0"/>
    <n v="0"/>
  </r>
  <r>
    <x v="7"/>
    <x v="5"/>
    <s v="Distillate Oil"/>
    <s v="Distillate Oil"/>
    <s v="ICTEBOLDST"/>
    <x v="168"/>
    <s v="TechData_Boiler"/>
    <n v="1"/>
    <n v="0"/>
    <n v="0"/>
    <n v="0"/>
    <n v="4.1588099999999999"/>
    <n v="0"/>
    <n v="0.24657122400000001"/>
    <n v="0"/>
    <n v="0"/>
    <n v="0"/>
    <n v="0"/>
    <n v="8.0754280435693757E-4"/>
    <n v="8.0754280435693757E-4"/>
    <n v="8.0754280435693757E-4"/>
    <n v="8.0754280435693757E-4"/>
    <n v="8.0754280435693757E-4"/>
    <n v="8.0754280435693757E-4"/>
    <n v="8.0754280435693757E-4"/>
    <n v="8.0754280435693757E-4"/>
    <n v="8.0754280435693757E-4"/>
    <n v="0"/>
    <n v="0"/>
    <n v="3.3584170901876753E-3"/>
    <n v="0"/>
    <n v="1.9911681770268263E-4"/>
    <n v="0"/>
    <n v="0"/>
    <n v="0"/>
    <n v="0"/>
    <n v="3.5575339078903578E-3"/>
    <n v="0"/>
    <n v="0"/>
    <n v="0"/>
    <n v="0"/>
    <n v="0"/>
    <n v="0"/>
    <n v="0"/>
    <n v="0"/>
    <n v="0"/>
    <n v="0"/>
  </r>
  <r>
    <x v="7"/>
    <x v="5"/>
    <s v="Distillate Oil"/>
    <s v="Distillate Oil"/>
    <s v="ICTEBSTDST"/>
    <x v="169"/>
    <s v="TechData_CHP"/>
    <n v="0.9197508368680285"/>
    <n v="8.0249163131971557E-2"/>
    <n v="0"/>
    <n v="2.3990281156994014E-2"/>
    <n v="0"/>
    <n v="0"/>
    <n v="0"/>
    <n v="0"/>
    <n v="0"/>
    <n v="0"/>
    <n v="0"/>
    <n v="0.21641807973344515"/>
    <n v="0.21641807973344515"/>
    <n v="0.21641807973344515"/>
    <n v="0.21641807973344515"/>
    <n v="0.21641807973344515"/>
    <n v="0.21641807973344515"/>
    <n v="0.21641807973344515"/>
    <n v="0.21641807973344515"/>
    <n v="0.21641807973344515"/>
    <n v="0"/>
    <n v="0.15059330879880001"/>
    <n v="0"/>
    <n v="0"/>
    <n v="0"/>
    <n v="0"/>
    <n v="0"/>
    <n v="0"/>
    <n v="0"/>
    <n v="0.15059330879880001"/>
    <n v="0"/>
    <n v="1.3139413980345524E-2"/>
    <n v="0"/>
    <n v="0"/>
    <n v="0"/>
    <n v="0"/>
    <n v="0"/>
    <n v="0"/>
    <n v="0"/>
    <n v="1.3139413980345524E-2"/>
  </r>
  <r>
    <x v="7"/>
    <x v="5"/>
    <s v="Distillate Oil"/>
    <s v="Distillate Oil"/>
    <s v="ICTECCTDST"/>
    <x v="169"/>
    <s v="TechData_CHP"/>
    <n v="0.60426246259397121"/>
    <n v="0.39573753740602874"/>
    <n v="0"/>
    <n v="0"/>
    <n v="0"/>
    <n v="0"/>
    <n v="1.0864064724496178E-2"/>
    <n v="0"/>
    <n v="0"/>
    <n v="0"/>
    <n v="0"/>
    <n v="0.2076739148957302"/>
    <n v="0.2076739148957302"/>
    <n v="0.2076739148957302"/>
    <n v="0.2076739148957302"/>
    <n v="0.2076739148957302"/>
    <n v="0.2076739148957302"/>
    <n v="0.2076739148957302"/>
    <n v="0.2076739148957302"/>
    <n v="0.2076739148957302"/>
    <n v="0"/>
    <n v="0"/>
    <n v="0"/>
    <n v="0"/>
    <n v="4.299386787287033E-2"/>
    <n v="0"/>
    <n v="0"/>
    <n v="0"/>
    <n v="0"/>
    <n v="4.299386787287033E-2"/>
    <n v="0"/>
    <n v="0"/>
    <n v="0"/>
    <n v="0"/>
    <n v="2.8157114579865073E-2"/>
    <n v="0"/>
    <n v="0"/>
    <n v="0"/>
    <n v="0"/>
    <n v="2.8157114579865073E-2"/>
  </r>
  <r>
    <x v="7"/>
    <x v="5"/>
    <s v="Distillate Oil"/>
    <s v="Distillate Oil"/>
    <s v="ICTEREGDST"/>
    <x v="169"/>
    <s v="TechData_CHP"/>
    <n v="0.58065528083985674"/>
    <n v="0.41934471916014326"/>
    <n v="0"/>
    <n v="1.0707962322963386E-3"/>
    <n v="0"/>
    <n v="0"/>
    <n v="4.585826367008051E-3"/>
    <n v="0"/>
    <n v="0"/>
    <n v="0"/>
    <n v="3.1396803107454369E-3"/>
    <n v="0.20444625425921029"/>
    <n v="0.20444625425921029"/>
    <n v="0.20444625425921029"/>
    <n v="0.20444625425921029"/>
    <n v="0.20444625425921029"/>
    <n v="0.20444625425921029"/>
    <n v="0.20444625425921029"/>
    <n v="0.20444625425921029"/>
    <n v="0.20444625425921029"/>
    <n v="0"/>
    <n v="4.0087685221831936E-3"/>
    <n v="0"/>
    <n v="0"/>
    <n v="1.7168080941820141E-2"/>
    <n v="0"/>
    <n v="0"/>
    <n v="0"/>
    <n v="1.17541052347964E-2"/>
    <n v="3.2930954698799732E-2"/>
    <n v="0"/>
    <n v="2.8951013890400916E-3"/>
    <n v="0"/>
    <n v="0"/>
    <n v="1.2398654276687335E-2"/>
    <n v="0"/>
    <n v="0"/>
    <n v="0"/>
    <n v="8.4887232086052061E-3"/>
    <n v="2.3782478874332633E-2"/>
  </r>
  <r>
    <x v="7"/>
    <x v="5"/>
    <s v="Electricity"/>
    <s v="Electricity"/>
    <s v="ICTEBOLELC"/>
    <x v="170"/>
    <s v="TechData_Boiler"/>
    <n v="1"/>
    <n v="0"/>
    <n v="0.15606906744635202"/>
    <n v="0.42960563463039414"/>
    <n v="0.5625550847992089"/>
    <n v="0.38103193521332673"/>
    <n v="0.17265686568009495"/>
    <n v="0.15049560769513143"/>
    <n v="0.52282209629118481"/>
    <n v="0.11998736055228365"/>
    <n v="7.5237540139965101E-2"/>
    <n v="1"/>
    <n v="1"/>
    <n v="1"/>
    <n v="1"/>
    <n v="1"/>
    <n v="1"/>
    <n v="1"/>
    <n v="1"/>
    <n v="1"/>
    <n v="0.15606906744635202"/>
    <n v="0.42960563463039414"/>
    <n v="0.5625550847992089"/>
    <n v="0.38103193521332673"/>
    <n v="0.17265686568009495"/>
    <n v="0.15049560769513143"/>
    <n v="0.52282209629118481"/>
    <n v="0.11998736055228365"/>
    <n v="7.5237540139965101E-2"/>
    <n v="2.5704611924479415"/>
    <n v="0"/>
    <n v="0"/>
    <n v="0"/>
    <n v="0"/>
    <n v="0"/>
    <n v="0"/>
    <n v="0"/>
    <n v="0"/>
    <n v="0"/>
    <n v="0"/>
  </r>
  <r>
    <x v="7"/>
    <x v="5"/>
    <s v="Natural Gas"/>
    <s v="Natural Gas"/>
    <s v="ICTEBOLNGA"/>
    <x v="171"/>
    <s v="TechData_Boiler"/>
    <n v="1"/>
    <n v="0"/>
    <n v="0"/>
    <n v="8.5738396632000011"/>
    <n v="31.997052377999992"/>
    <n v="4.7123938199999991"/>
    <n v="6.1032007934675132"/>
    <n v="7.108700142"/>
    <n v="21.135534509999999"/>
    <n v="3.4813860599999993"/>
    <n v="0.63768420000000003"/>
    <n v="0.20797113254829547"/>
    <n v="0.20797113254829547"/>
    <n v="0.20797113254829547"/>
    <n v="0.20797113254829547"/>
    <n v="0.20797113254829547"/>
    <n v="0.20797113254829547"/>
    <n v="0.20797113254829547"/>
    <n v="0.20797113254829547"/>
    <n v="0.20797113254829547"/>
    <n v="0"/>
    <n v="1.7831111450432005"/>
    <n v="6.654463221259789"/>
    <n v="0.98004187975898827"/>
    <n v="1.2692895811870943"/>
    <n v="1.4784044194779689"/>
    <n v="4.3955810490582827"/>
    <n v="0.72402780173604797"/>
    <n v="0.13261990528215375"/>
    <n v="17.41753900280353"/>
    <n v="0"/>
    <n v="0"/>
    <n v="0"/>
    <n v="0"/>
    <n v="0"/>
    <n v="0"/>
    <n v="0"/>
    <n v="0"/>
    <n v="0"/>
    <n v="0"/>
  </r>
  <r>
    <x v="7"/>
    <x v="5"/>
    <s v="Natural Gas"/>
    <s v="Natural Gas"/>
    <s v="ICTEBSTNGA"/>
    <x v="169"/>
    <s v="TechData_CHP"/>
    <n v="0.88912781497460891"/>
    <n v="0.11087218502539105"/>
    <n v="0.41309612876619128"/>
    <n v="1.1707818725575947"/>
    <n v="5.6149604448115155E-2"/>
    <n v="5.1830404105952452E-2"/>
    <n v="2.3348613045256927"/>
    <n v="0"/>
    <n v="0.13234029848386525"/>
    <n v="0"/>
    <n v="0"/>
    <n v="5.008098835083153E-2"/>
    <n v="5.008098835083153E-2"/>
    <n v="5.008098835083153E-2"/>
    <n v="5.008098835083153E-2"/>
    <n v="5.008098835083153E-2"/>
    <n v="5.008098835083153E-2"/>
    <n v="5.008098835083153E-2"/>
    <n v="5.008098835083153E-2"/>
    <n v="5.008098835083153E-2"/>
    <n v="0.58008925330942596"/>
    <n v="1.6440676514413526"/>
    <n v="7.8847948091912701E-2"/>
    <n v="7.278272131561174E-2"/>
    <n v="3.2787234166747061"/>
    <n v="0"/>
    <n v="0.18583854842586195"/>
    <n v="0"/>
    <n v="0"/>
    <n v="5.8403495392588702"/>
    <n v="7.2335790131591249E-2"/>
    <n v="0.20501143904723212"/>
    <n v="9.8321570222933852E-3"/>
    <n v="9.075837251347741E-3"/>
    <n v="0.40884923762172648"/>
    <n v="0"/>
    <n v="2.3173637781774562E-2"/>
    <n v="0"/>
    <n v="0"/>
    <n v="0.72827809885596562"/>
  </r>
  <r>
    <x v="7"/>
    <x v="5"/>
    <s v="Natural Gas"/>
    <s v="Natural Gas"/>
    <s v="ICTECCTNGA"/>
    <x v="169"/>
    <s v="TechData_CHP"/>
    <n v="0.49614584331821765"/>
    <n v="0.50385415668178235"/>
    <n v="0.11043422714747866"/>
    <n v="1.2009050013537192"/>
    <n v="0.30930844853557105"/>
    <n v="0.74373916139039342"/>
    <n v="1.4438086229474598"/>
    <n v="0.81756654299170595"/>
    <n v="9.3767926774654526"/>
    <n v="0"/>
    <n v="8.1581755012945151E-2"/>
    <n v="5.0757965515681167E-2"/>
    <n v="5.0757965515681167E-2"/>
    <n v="5.0757965515681167E-2"/>
    <n v="5.0757965515681167E-2"/>
    <n v="5.0757965515681167E-2"/>
    <n v="5.0757965515681167E-2"/>
    <n v="5.0757965515681167E-2"/>
    <n v="5.0757965515681167E-2"/>
    <n v="5.0757965515681167E-2"/>
    <n v="8.7704901813060468E-2"/>
    <n v="0.95373742318027255"/>
    <n v="0.24564727629718089"/>
    <n v="0.59066443265964985"/>
    <n v="1.1466471653154326"/>
    <n v="0.64929682790257959"/>
    <n v="7.4468822061866344"/>
    <n v="0"/>
    <n v="6.4790780883468763E-2"/>
    <n v="11.18537101423828"/>
    <n v="8.9067519026931066E-2"/>
    <n v="0.96855505598611069"/>
    <n v="0.24946374721617709"/>
    <n v="0.59984122331701417"/>
    <n v="1.1644619183497043"/>
    <n v="0.65938455408802621"/>
    <n v="7.562579843080921"/>
    <n v="0"/>
    <n v="6.5797395468365147E-2"/>
    <n v="11.35915125653325"/>
  </r>
  <r>
    <x v="7"/>
    <x v="5"/>
    <s v="Natural Gas"/>
    <s v="Natural Gas"/>
    <s v="ICTEFCLNGA"/>
    <x v="169"/>
    <s v="TechData_CHP"/>
    <n v="0.55456570155901996"/>
    <n v="0.44543429844097998"/>
    <n v="0"/>
    <n v="4.4900000000000002E-4"/>
    <n v="0"/>
    <n v="0"/>
    <n v="0"/>
    <n v="0"/>
    <n v="0"/>
    <n v="0"/>
    <n v="0"/>
    <n v="4.7552199272585527E-2"/>
    <n v="4.7552199272585527E-2"/>
    <n v="4.7552199272585527E-2"/>
    <n v="4.7552199272585527E-2"/>
    <n v="4.7552199272585527E-2"/>
    <n v="4.7552199272585527E-2"/>
    <n v="4.7552199272585527E-2"/>
    <n v="4.7552199272585527E-2"/>
    <n v="4.7552199272585527E-2"/>
    <n v="0"/>
    <n v="3.7340193290880401E-4"/>
    <n v="0"/>
    <n v="0"/>
    <n v="0"/>
    <n v="0"/>
    <n v="0"/>
    <n v="0"/>
    <n v="0"/>
    <n v="3.7340193290880401E-4"/>
    <n v="0"/>
    <n v="2.9992123125205145E-4"/>
    <n v="0"/>
    <n v="0"/>
    <n v="0"/>
    <n v="0"/>
    <n v="0"/>
    <n v="0"/>
    <n v="0"/>
    <n v="2.9992123125205145E-4"/>
  </r>
  <r>
    <x v="7"/>
    <x v="5"/>
    <s v="Natural Gas"/>
    <s v="Natural Gas"/>
    <s v="ICTEMTTNGA"/>
    <x v="169"/>
    <s v="TechData_CHP"/>
    <n v="0.59533980872646586"/>
    <n v="0.40466019127353409"/>
    <n v="0"/>
    <n v="0"/>
    <n v="0"/>
    <n v="0"/>
    <n v="1.2032E-3"/>
    <n v="0"/>
    <n v="0"/>
    <n v="0"/>
    <n v="7.7376738461538475E-4"/>
    <n v="5.2627995824153638E-2"/>
    <n v="5.2627995824153638E-2"/>
    <n v="5.2627995824153638E-2"/>
    <n v="5.2627995824153638E-2"/>
    <n v="5.2627995824153638E-2"/>
    <n v="5.2627995824153638E-2"/>
    <n v="5.2627995824153638E-2"/>
    <n v="5.2627995824153638E-2"/>
    <n v="5.2627995824153638E-2"/>
    <n v="0"/>
    <n v="0"/>
    <n v="0"/>
    <n v="0"/>
    <n v="1.1888475998684705E-3"/>
    <n v="0"/>
    <n v="0"/>
    <n v="0"/>
    <n v="7.6453748176238685E-4"/>
    <n v="1.9533850816308572E-3"/>
    <n v="0"/>
    <n v="0"/>
    <n v="0"/>
    <n v="0"/>
    <n v="8.0807513642833402E-4"/>
    <n v="0"/>
    <n v="0"/>
    <n v="0"/>
    <n v="5.1966604462007327E-4"/>
    <n v="1.3277411810484073E-3"/>
  </r>
  <r>
    <x v="7"/>
    <x v="5"/>
    <s v="Natural Gas"/>
    <s v="Natural Gas"/>
    <s v="ICTEREGNGA"/>
    <x v="169"/>
    <s v="TechData_CHP"/>
    <n v="0.55009854064684982"/>
    <n v="0.44990145935315018"/>
    <n v="1.1802696666666666E-2"/>
    <n v="1.1169491666666666E-2"/>
    <n v="8.3661499999999993E-3"/>
    <n v="0"/>
    <n v="0"/>
    <n v="0"/>
    <n v="1.165E-3"/>
    <n v="0"/>
    <n v="6.5896666666666673E-3"/>
    <n v="4.9380912133488893E-2"/>
    <n v="4.9380912133488893E-2"/>
    <n v="4.9380912133488893E-2"/>
    <n v="4.9380912133488893E-2"/>
    <n v="4.9380912133488893E-2"/>
    <n v="4.9380912133488893E-2"/>
    <n v="4.9380912133488893E-2"/>
    <n v="4.9380912133488893E-2"/>
    <n v="4.9380912133488893E-2"/>
    <n v="1.0110845011984778E-2"/>
    <n v="9.5684064662331855E-3"/>
    <n v="7.1669084096614467E-3"/>
    <n v="0"/>
    <n v="0"/>
    <n v="0"/>
    <n v="9.9800365726834751E-4"/>
    <n v="0"/>
    <n v="5.6450741918563554E-3"/>
    <n v="3.3489237737004116E-2"/>
    <n v="8.2692164949874792E-3"/>
    <n v="7.8255798093564387E-3"/>
    <n v="5.8614999210242213E-3"/>
    <n v="0"/>
    <n v="0"/>
    <n v="0"/>
    <n v="8.1622340120523986E-4"/>
    <n v="0"/>
    <n v="4.6168584888201395E-3"/>
    <n v="2.738937811539352E-2"/>
  </r>
  <r>
    <x v="7"/>
    <x v="5"/>
    <s v="Residual Oil"/>
    <s v="Residual Oil"/>
    <s v="ICTEBHLRFL"/>
    <x v="172"/>
    <s v="TechData_Boiler"/>
    <n v="1"/>
    <n v="0"/>
    <n v="0"/>
    <n v="0"/>
    <n v="0"/>
    <n v="0"/>
    <n v="1.6016039399999999"/>
    <n v="1.2199176"/>
    <n v="5.129198999999999"/>
    <n v="0"/>
    <n v="0"/>
    <n v="1.0821557356175989E-2"/>
    <n v="1.0821557356175989E-2"/>
    <n v="1.0821557356175989E-2"/>
    <n v="1.0821557356175989E-2"/>
    <n v="1.0821557356175989E-2"/>
    <n v="1.0821557356175989E-2"/>
    <n v="1.0821557356175989E-2"/>
    <n v="1.0821557356175989E-2"/>
    <n v="1.0821557356175989E-2"/>
    <n v="0"/>
    <n v="0"/>
    <n v="0"/>
    <n v="0"/>
    <n v="1.7331848898587448E-2"/>
    <n v="1.3201408278208558E-2"/>
    <n v="5.5505921169740513E-2"/>
    <n v="0"/>
    <n v="0"/>
    <n v="8.6039178346536516E-2"/>
    <n v="0"/>
    <n v="0"/>
    <n v="0"/>
    <n v="0"/>
    <n v="0"/>
    <n v="0"/>
    <n v="0"/>
    <n v="0"/>
    <n v="0"/>
    <n v="0"/>
  </r>
  <r>
    <x v="7"/>
    <x v="5"/>
    <s v="Residual Oil"/>
    <s v="Residual Oil"/>
    <s v="ICTEBSTRFL"/>
    <x v="169"/>
    <s v="TechData_CHP"/>
    <n v="0.9197508368680285"/>
    <n v="8.0249163131971557E-2"/>
    <n v="0"/>
    <n v="1.3393286258736327E-2"/>
    <n v="0"/>
    <n v="0"/>
    <n v="0"/>
    <n v="0"/>
    <n v="0"/>
    <n v="0"/>
    <n v="0"/>
    <n v="0.21641807973344521"/>
    <n v="0.21641807973344521"/>
    <n v="0.21641807973344521"/>
    <n v="0.21641807973344521"/>
    <n v="0.21641807973344521"/>
    <n v="0.21641807973344521"/>
    <n v="0.21641807973344521"/>
    <n v="0.21641807973344521"/>
    <n v="0.21641807973344521"/>
    <n v="0"/>
    <n v="8.4073182810723165E-2"/>
    <n v="0"/>
    <n v="0"/>
    <n v="0"/>
    <n v="0"/>
    <n v="0"/>
    <n v="0"/>
    <n v="0"/>
    <n v="8.4073182810723165E-2"/>
    <n v="0"/>
    <n v="7.3354677070762622E-3"/>
    <n v="0"/>
    <n v="0"/>
    <n v="0"/>
    <n v="0"/>
    <n v="0"/>
    <n v="0"/>
    <n v="0"/>
    <n v="7.3354677070762622E-3"/>
  </r>
  <r>
    <x v="7"/>
    <x v="5"/>
    <s v="Residual Oil"/>
    <s v="Residual Oil"/>
    <s v="ICTECCTRFL"/>
    <x v="169"/>
    <s v="TechData_CHP"/>
    <n v="0.60426246259397121"/>
    <n v="0.39573753740602874"/>
    <n v="0"/>
    <n v="0"/>
    <n v="0"/>
    <n v="0"/>
    <n v="6.0651864743234462E-3"/>
    <n v="0"/>
    <n v="0"/>
    <n v="0"/>
    <n v="0"/>
    <n v="0.20767391489573025"/>
    <n v="0.20767391489573025"/>
    <n v="0.20767391489573025"/>
    <n v="0.20767391489573025"/>
    <n v="0.20767391489573025"/>
    <n v="0.20767391489573025"/>
    <n v="0.20767391489573025"/>
    <n v="0.20767391489573025"/>
    <n v="0.20767391489573025"/>
    <n v="0"/>
    <n v="0"/>
    <n v="0"/>
    <n v="0"/>
    <n v="2.4002602388166053E-2"/>
    <n v="0"/>
    <n v="0"/>
    <n v="0"/>
    <n v="0"/>
    <n v="2.4002602388166053E-2"/>
    <n v="0"/>
    <n v="0"/>
    <n v="0"/>
    <n v="0"/>
    <n v="1.5719544648947498E-2"/>
    <n v="0"/>
    <n v="0"/>
    <n v="0"/>
    <n v="0"/>
    <n v="1.5719544648947498E-2"/>
  </r>
  <r>
    <x v="7"/>
    <x v="5"/>
    <s v="Residual Oil"/>
    <s v="Residual Oil"/>
    <s v="ICTEREGRFL"/>
    <x v="169"/>
    <s v="TechData_CHP"/>
    <n v="0.58065528083985674"/>
    <n v="0.41934471916014326"/>
    <n v="0"/>
    <n v="5.9780376770366176E-4"/>
    <n v="0"/>
    <n v="0"/>
    <n v="2.560173632991949E-3"/>
    <n v="0"/>
    <n v="0"/>
    <n v="0"/>
    <n v="1.7528196892545637E-3"/>
    <n v="0.20444625425921031"/>
    <n v="0.20444625425921031"/>
    <n v="0.20444625425921031"/>
    <n v="0.20444625425921031"/>
    <n v="0.20444625425921031"/>
    <n v="0.20444625425921031"/>
    <n v="0.20444625425921031"/>
    <n v="0.20444625425921031"/>
    <n v="0.20444625425921031"/>
    <n v="0"/>
    <n v="2.2380139695427539E-3"/>
    <n v="0"/>
    <n v="0"/>
    <n v="9.5845905707494395E-3"/>
    <n v="0"/>
    <n v="0"/>
    <n v="0"/>
    <n v="6.5620779971160975E-3"/>
    <n v="1.8384682537408291E-2"/>
    <n v="0"/>
    <n v="1.6162762494417394E-3"/>
    <n v="0"/>
    <n v="0"/>
    <n v="6.9219166238227662E-3"/>
    <n v="0"/>
    <n v="0"/>
    <n v="0"/>
    <n v="4.7390815955853458E-3"/>
    <n v="1.3277274468849852E-2"/>
  </r>
  <r>
    <x v="7"/>
    <x v="5"/>
    <s v="Steam Coal"/>
    <s v="Steam Coal"/>
    <s v="ICTEBPVCOA"/>
    <x v="173"/>
    <s v="TechData_Boiler"/>
    <n v="1"/>
    <n v="0"/>
    <n v="0"/>
    <n v="0"/>
    <n v="15.766510799999999"/>
    <n v="0"/>
    <n v="9.9811439999999969"/>
    <n v="0"/>
    <n v="0"/>
    <n v="0"/>
    <n v="0"/>
    <n v="0.28549592342516689"/>
    <n v="0.28549592342516689"/>
    <n v="0.28549592342516689"/>
    <n v="0.28549592342516689"/>
    <n v="0.28549592342516689"/>
    <n v="0.28549592342516689"/>
    <n v="0.28549592342516689"/>
    <n v="0.28549592342516689"/>
    <n v="0.28549592342516689"/>
    <n v="0"/>
    <n v="0"/>
    <n v="4.5012745600388664"/>
    <n v="0"/>
    <n v="2.8495759231195632"/>
    <n v="0"/>
    <n v="0"/>
    <n v="0"/>
    <n v="0"/>
    <n v="7.35085048315843"/>
    <n v="0"/>
    <n v="0"/>
    <n v="0"/>
    <n v="0"/>
    <n v="0"/>
    <n v="0"/>
    <n v="0"/>
    <n v="0"/>
    <n v="0"/>
    <n v="0"/>
  </r>
  <r>
    <x v="7"/>
    <x v="5"/>
    <s v="Steam Coal"/>
    <s v="Steam Coal"/>
    <s v="ICTEBSOCOA"/>
    <x v="173"/>
    <s v="TechData_Boiler"/>
    <n v="1"/>
    <n v="0"/>
    <n v="0"/>
    <n v="0"/>
    <n v="12.218583779999998"/>
    <n v="1.0637311799999998"/>
    <n v="0"/>
    <n v="0"/>
    <n v="0"/>
    <n v="0"/>
    <n v="0"/>
    <n v="0.24946479293149582"/>
    <n v="0.24946479293149582"/>
    <n v="0.24946479293149582"/>
    <n v="0.24946479293149582"/>
    <n v="0.24946479293149582"/>
    <n v="0.24946479293149582"/>
    <n v="0.24946479293149582"/>
    <n v="0.24946479293149582"/>
    <n v="0.24946479293149582"/>
    <n v="0"/>
    <n v="0"/>
    <n v="3.0481064725938327"/>
    <n v="0.26536347855347564"/>
    <n v="0"/>
    <n v="0"/>
    <n v="0"/>
    <n v="0"/>
    <n v="0"/>
    <n v="3.3134699511473085"/>
    <n v="0"/>
    <n v="0"/>
    <n v="0"/>
    <n v="0"/>
    <n v="0"/>
    <n v="0"/>
    <n v="0"/>
    <n v="0"/>
    <n v="0"/>
    <n v="0"/>
  </r>
  <r>
    <x v="7"/>
    <x v="5"/>
    <s v="Steam Coal"/>
    <s v="Steam Coal"/>
    <s v="ICTEBSTCOA"/>
    <x v="169"/>
    <s v="TechData_CHP"/>
    <n v="0.88355220633000564"/>
    <n v="0.11644779366999433"/>
    <n v="0"/>
    <n v="5.5707569810146556"/>
    <n v="0.31696227656791637"/>
    <n v="0"/>
    <n v="4.6300155288873217"/>
    <n v="0.86083119807576802"/>
    <n v="0"/>
    <n v="0"/>
    <n v="0.92566026864093054"/>
    <n v="8.9157715942332919E-2"/>
    <n v="8.9157715942332919E-2"/>
    <n v="8.9157715942332919E-2"/>
    <n v="8.9157715942332919E-2"/>
    <n v="8.9157715942332919E-2"/>
    <n v="8.9157715942332919E-2"/>
    <n v="8.9157715942332919E-2"/>
    <n v="8.9157715942332919E-2"/>
    <n v="8.9157715942332919E-2"/>
    <n v="0"/>
    <n v="13.839231364916131"/>
    <n v="0.78741799262170853"/>
    <n v="0"/>
    <n v="11.502181183957413"/>
    <n v="2.1385320086496802"/>
    <n v="0"/>
    <n v="0"/>
    <n v="2.2995845388141438"/>
    <n v="30.566947088959079"/>
    <n v="0"/>
    <n v="1.8239419776075536"/>
    <n v="0.1037777816409035"/>
    <n v="0"/>
    <n v="1.5159303679720522"/>
    <n v="0.28184790023251338"/>
    <n v="0"/>
    <n v="0"/>
    <n v="0.30307382402995486"/>
    <n v="4.0285718514829778"/>
  </r>
  <r>
    <x v="7"/>
    <x v="5"/>
    <s v="Steam Coal"/>
    <s v="Steam Coal"/>
    <s v="ICTECSOCOA"/>
    <x v="169"/>
    <s v="TechData_CHP"/>
    <n v="0.91566824169996663"/>
    <n v="8.4331758300033394E-2"/>
    <n v="0"/>
    <n v="0"/>
    <n v="7.2329689929009594E-2"/>
    <n v="0"/>
    <n v="0"/>
    <n v="0"/>
    <n v="0"/>
    <n v="0"/>
    <n v="0"/>
    <n v="8.4225685234650488E-2"/>
    <n v="8.4225685234650488E-2"/>
    <n v="8.4225685234650488E-2"/>
    <n v="8.4225685234650488E-2"/>
    <n v="8.4225685234650488E-2"/>
    <n v="8.4225685234650488E-2"/>
    <n v="8.4225685234650488E-2"/>
    <n v="8.4225685234650488E-2"/>
    <n v="8.4225685234650488E-2"/>
    <n v="0"/>
    <n v="0"/>
    <n v="0.17591623230915465"/>
    <n v="0"/>
    <n v="0"/>
    <n v="0"/>
    <n v="0"/>
    <n v="0"/>
    <n v="0"/>
    <n v="0.17591623230915465"/>
    <n v="0"/>
    <n v="0"/>
    <n v="1.6201637785980119E-2"/>
    <n v="0"/>
    <n v="0"/>
    <n v="0"/>
    <n v="0"/>
    <n v="0"/>
    <n v="0"/>
    <n v="1.6201637785980119E-2"/>
  </r>
  <r>
    <x v="8"/>
    <x v="6"/>
    <s v="Electricity"/>
    <s v="Electricity"/>
    <s v="IMOEETCELC"/>
    <x v="174"/>
    <s v="TechData_OTR"/>
    <n v="1"/>
    <n v="0"/>
    <n v="0.47084365592809052"/>
    <n v="1.2960741736104375"/>
    <n v="3.5364642470204193"/>
    <n v="2.3953313235732141"/>
    <n v="0.90153565278769443"/>
    <n v="0.78581963937940791"/>
    <n v="2.7299392816792203"/>
    <n v="1.163536109566117"/>
    <n v="0.72959013636802139"/>
    <n v="1"/>
    <n v="1"/>
    <n v="1"/>
    <n v="1"/>
    <n v="1"/>
    <n v="1"/>
    <n v="1"/>
    <n v="1"/>
    <n v="1"/>
    <n v="0.47084365592809052"/>
    <n v="1.2960741736104375"/>
    <n v="3.5364642470204193"/>
    <n v="2.3953313235732141"/>
    <n v="0.90153565278769443"/>
    <n v="0.78581963937940791"/>
    <n v="2.7299392816792203"/>
    <n v="1.163536109566117"/>
    <n v="0.72959013636802139"/>
    <n v="14.009134219912621"/>
    <n v="0"/>
    <n v="0"/>
    <n v="0"/>
    <n v="0"/>
    <n v="0"/>
    <n v="0"/>
    <n v="0"/>
    <n v="0"/>
    <n v="0"/>
    <n v="0"/>
  </r>
  <r>
    <x v="8"/>
    <x v="0"/>
    <s v="Distillate Oil"/>
    <s v="Distillate Oil"/>
    <s v="IMOEFACDST"/>
    <x v="175"/>
    <s v="TechData_OTR"/>
    <n v="1"/>
    <n v="0"/>
    <n v="9.4701036006085551E-2"/>
    <n v="0.26068009080361271"/>
    <n v="0.21187389789000305"/>
    <n v="0.14350722891969525"/>
    <n v="7.2530538951091933E-2"/>
    <n v="6.3220929517651944E-2"/>
    <n v="0.21962965834095444"/>
    <n v="0"/>
    <n v="0"/>
    <n v="1"/>
    <n v="1"/>
    <n v="1"/>
    <n v="1"/>
    <n v="1"/>
    <n v="1"/>
    <n v="1"/>
    <n v="1"/>
    <n v="1"/>
    <n v="9.4701036006085551E-2"/>
    <n v="0.26068009080361271"/>
    <n v="0.21187389789000305"/>
    <n v="0.14350722891969525"/>
    <n v="7.2530538951091933E-2"/>
    <n v="6.3220929517651944E-2"/>
    <n v="0.21962965834095444"/>
    <n v="0"/>
    <n v="0"/>
    <n v="1.0661433804290947"/>
    <n v="0"/>
    <n v="0"/>
    <n v="0"/>
    <n v="0"/>
    <n v="0"/>
    <n v="0"/>
    <n v="0"/>
    <n v="0"/>
    <n v="0"/>
    <n v="0"/>
  </r>
  <r>
    <x v="8"/>
    <x v="0"/>
    <s v="Electricity"/>
    <s v="Electricity"/>
    <s v="IMOEFACELC"/>
    <x v="176"/>
    <s v="TechData_OTR"/>
    <n v="1"/>
    <n v="0"/>
    <n v="0.58855456991011323"/>
    <n v="1.6200927170130468"/>
    <n v="4.4205803087755244"/>
    <n v="2.9941641544665174"/>
    <n v="1.1269195659846181"/>
    <n v="0.98227454922425983"/>
    <n v="3.4124241020990254"/>
    <n v="1.4544201369576464"/>
    <n v="0.91198767046002671"/>
    <n v="1"/>
    <n v="1"/>
    <n v="1"/>
    <n v="1"/>
    <n v="1"/>
    <n v="1"/>
    <n v="1"/>
    <n v="1"/>
    <n v="1"/>
    <n v="0.58855456991011323"/>
    <n v="1.6200927170130468"/>
    <n v="4.4205803087755244"/>
    <n v="2.9941641544665174"/>
    <n v="1.1269195659846181"/>
    <n v="0.98227454922425983"/>
    <n v="3.4124241020990254"/>
    <n v="1.4544201369576464"/>
    <n v="0.91198767046002671"/>
    <n v="17.511417774890777"/>
    <n v="0"/>
    <n v="0"/>
    <n v="0"/>
    <n v="0"/>
    <n v="0"/>
    <n v="0"/>
    <n v="0"/>
    <n v="0"/>
    <n v="0"/>
    <n v="0"/>
  </r>
  <r>
    <x v="8"/>
    <x v="0"/>
    <s v="LPG"/>
    <s v="LPG"/>
    <s v="IMOEFACLPG"/>
    <x v="177"/>
    <s v="TechData_OTR"/>
    <n v="1"/>
    <n v="0"/>
    <n v="9.3203351852399682E-3"/>
    <n v="2.5655747021102616E-2"/>
    <n v="2.085231406772823E-2"/>
    <n v="1.4123768138614358E-2"/>
    <n v="7.1383478227929767E-3"/>
    <n v="6.2221099016179972E-3"/>
    <n v="2.1615624481931616E-2"/>
    <n v="0"/>
    <n v="0"/>
    <n v="1"/>
    <n v="1"/>
    <n v="1"/>
    <n v="1"/>
    <n v="1"/>
    <n v="1"/>
    <n v="1"/>
    <n v="1"/>
    <n v="1"/>
    <n v="9.3203351852399682E-3"/>
    <n v="2.5655747021102616E-2"/>
    <n v="2.085231406772823E-2"/>
    <n v="1.4123768138614358E-2"/>
    <n v="7.1383478227929767E-3"/>
    <n v="6.2221099016179972E-3"/>
    <n v="2.1615624481931616E-2"/>
    <n v="0"/>
    <n v="0"/>
    <n v="0.10492824661902776"/>
    <n v="0"/>
    <n v="0"/>
    <n v="0"/>
    <n v="0"/>
    <n v="0"/>
    <n v="0"/>
    <n v="0"/>
    <n v="0"/>
    <n v="0"/>
    <n v="0"/>
  </r>
  <r>
    <x v="8"/>
    <x v="0"/>
    <s v="Natural Gas"/>
    <s v="Natural Gas"/>
    <s v="IMOEFACNGA"/>
    <x v="178"/>
    <s v="TechData_OTR"/>
    <n v="1"/>
    <n v="0"/>
    <n v="0.96329984634870203"/>
    <n v="2.6516403833338114"/>
    <n v="4.9569216383243946"/>
    <n v="3.3574408899453863"/>
    <n v="1.0697829396807668"/>
    <n v="0.93247165686097588"/>
    <n v="3.2394087364979023"/>
    <n v="2.4439600107026802"/>
    <n v="1.5324742419480852"/>
    <n v="1"/>
    <n v="1"/>
    <n v="1"/>
    <n v="1"/>
    <n v="1"/>
    <n v="1"/>
    <n v="1"/>
    <n v="1"/>
    <n v="1"/>
    <n v="0.96329984634870203"/>
    <n v="2.6516403833338114"/>
    <n v="4.9569216383243946"/>
    <n v="3.3574408899453863"/>
    <n v="1.0697829396807668"/>
    <n v="0.93247165686097588"/>
    <n v="3.2394087364979023"/>
    <n v="2.4439600107026802"/>
    <n v="1.5324742419480852"/>
    <n v="21.147400343642708"/>
    <n v="0"/>
    <n v="0"/>
    <n v="0"/>
    <n v="0"/>
    <n v="0"/>
    <n v="0"/>
    <n v="0"/>
    <n v="0"/>
    <n v="0"/>
    <n v="0"/>
  </r>
  <r>
    <x v="8"/>
    <x v="1"/>
    <s v="Natural Gas"/>
    <s v="Natural Gas"/>
    <s v="IMOEFEDNGA"/>
    <x v="179"/>
    <s v="TechData_OTR"/>
    <n v="1"/>
    <n v="0"/>
    <n v="0.34848788559085392"/>
    <n v="0.95926990338252582"/>
    <n v="0.77966926024795458"/>
    <n v="0.52808852872542511"/>
    <n v="0"/>
    <n v="0"/>
    <n v="0"/>
    <n v="0"/>
    <n v="0"/>
    <n v="1"/>
    <n v="1"/>
    <n v="1"/>
    <n v="1"/>
    <n v="1"/>
    <n v="1"/>
    <n v="1"/>
    <n v="1"/>
    <n v="1"/>
    <n v="0.34848788559085392"/>
    <n v="0.95926990338252582"/>
    <n v="0.77966926024795458"/>
    <n v="0.52808852872542511"/>
    <n v="0"/>
    <n v="0"/>
    <n v="0"/>
    <n v="0"/>
    <n v="0"/>
    <n v="2.6155155779467596"/>
    <n v="0"/>
    <n v="0"/>
    <n v="0"/>
    <n v="0"/>
    <n v="0"/>
    <n v="0"/>
    <n v="0"/>
    <n v="0"/>
    <n v="0"/>
    <n v="0"/>
  </r>
  <r>
    <x v="8"/>
    <x v="1"/>
    <s v="Other Petroleum"/>
    <s v="Other Petroleum"/>
    <s v="IMOEFEDOTP"/>
    <x v="180"/>
    <s v="TechData_OTR"/>
    <n v="1"/>
    <n v="0"/>
    <n v="8.9827343121708404E-3"/>
    <n v="2.4726445400353889E-2"/>
    <n v="4.01940044733536E-3"/>
    <n v="2.7224354951695872E-3"/>
    <n v="0"/>
    <n v="0"/>
    <n v="0"/>
    <n v="0"/>
    <n v="0"/>
    <n v="1"/>
    <n v="1"/>
    <n v="1"/>
    <n v="1"/>
    <n v="1"/>
    <n v="1"/>
    <n v="1"/>
    <n v="1"/>
    <n v="1"/>
    <n v="8.9827343121708404E-3"/>
    <n v="2.4726445400353889E-2"/>
    <n v="4.01940044733536E-3"/>
    <n v="2.7224354951695872E-3"/>
    <n v="0"/>
    <n v="0"/>
    <n v="0"/>
    <n v="0"/>
    <n v="0"/>
    <n v="4.0451015655029676E-2"/>
    <n v="0"/>
    <n v="0"/>
    <n v="0"/>
    <n v="0"/>
    <n v="0"/>
    <n v="0"/>
    <n v="0"/>
    <n v="0"/>
    <n v="0"/>
    <n v="0"/>
  </r>
  <r>
    <x v="8"/>
    <x v="1"/>
    <s v="Petroleum Coke"/>
    <s v="Petroleum Coke"/>
    <s v="IMOEFEDPTC"/>
    <x v="181"/>
    <s v="TechData_OTR"/>
    <n v="1"/>
    <n v="0"/>
    <n v="0"/>
    <n v="3.9164905549101037"/>
    <n v="0.22577653416250074"/>
    <n v="0.15292381504008834"/>
    <n v="0"/>
    <n v="0"/>
    <n v="0"/>
    <n v="0"/>
    <n v="0"/>
    <n v="1"/>
    <n v="1"/>
    <n v="1"/>
    <n v="1"/>
    <n v="1"/>
    <n v="1"/>
    <n v="1"/>
    <n v="1"/>
    <n v="1"/>
    <n v="0"/>
    <n v="3.9164905549101037"/>
    <n v="0.22577653416250074"/>
    <n v="0.15292381504008834"/>
    <n v="0"/>
    <n v="0"/>
    <n v="0"/>
    <n v="0"/>
    <n v="0"/>
    <n v="4.295190904112693"/>
    <n v="0"/>
    <n v="0"/>
    <n v="0"/>
    <n v="0"/>
    <n v="0"/>
    <n v="0"/>
    <n v="0"/>
    <n v="0"/>
    <n v="0"/>
    <n v="0"/>
  </r>
  <r>
    <x v="8"/>
    <x v="1"/>
    <s v="Renewables"/>
    <s v="Biomass"/>
    <s v="IMOEFEDBIO"/>
    <x v="182"/>
    <s v="TechData_OTR"/>
    <n v="1"/>
    <n v="0"/>
    <n v="0.3272665459782037"/>
    <n v="0.90085469515983574"/>
    <n v="0.13151732188170664"/>
    <n v="8.9079809292892831E-2"/>
    <n v="0"/>
    <n v="0"/>
    <n v="0"/>
    <n v="0"/>
    <n v="0"/>
    <n v="1"/>
    <n v="1"/>
    <n v="1"/>
    <n v="1"/>
    <n v="1"/>
    <n v="1"/>
    <n v="1"/>
    <n v="1"/>
    <n v="1"/>
    <n v="0.3272665459782037"/>
    <n v="0.90085469515983574"/>
    <n v="0.13151732188170664"/>
    <n v="8.9079809292892831E-2"/>
    <n v="0"/>
    <n v="0"/>
    <n v="0"/>
    <n v="0"/>
    <n v="0"/>
    <n v="1.4487183723126391"/>
    <n v="0"/>
    <n v="0"/>
    <n v="0"/>
    <n v="0"/>
    <n v="0"/>
    <n v="0"/>
    <n v="0"/>
    <n v="0"/>
    <n v="0"/>
    <n v="0"/>
  </r>
  <r>
    <x v="8"/>
    <x v="2"/>
    <s v="Distillate Oil"/>
    <s v="Distillate Oil"/>
    <s v="IMOEMDRDST"/>
    <x v="183"/>
    <s v="TechData_OTR"/>
    <n v="1"/>
    <n v="0"/>
    <n v="4.7350518003042776E-2"/>
    <n v="0.13034004540180635"/>
    <n v="0.10593694894500152"/>
    <n v="7.1753614459847626E-2"/>
    <n v="3.6265269475545966E-2"/>
    <n v="3.1610464758825972E-2"/>
    <n v="0.10981482917047722"/>
    <n v="0"/>
    <n v="0"/>
    <n v="1"/>
    <n v="1"/>
    <n v="1"/>
    <n v="1"/>
    <n v="1"/>
    <n v="1"/>
    <n v="1"/>
    <n v="1"/>
    <n v="1"/>
    <n v="4.7350518003042776E-2"/>
    <n v="0.13034004540180635"/>
    <n v="0.10593694894500152"/>
    <n v="7.1753614459847626E-2"/>
    <n v="3.6265269475545966E-2"/>
    <n v="3.1610464758825972E-2"/>
    <n v="0.10981482917047722"/>
    <n v="0"/>
    <n v="0"/>
    <n v="0.53307169021454737"/>
    <n v="0"/>
    <n v="0"/>
    <n v="0"/>
    <n v="0"/>
    <n v="0"/>
    <n v="0"/>
    <n v="0"/>
    <n v="0"/>
    <n v="0"/>
    <n v="0"/>
  </r>
  <r>
    <x v="8"/>
    <x v="2"/>
    <s v="Electricity"/>
    <s v="Electricity"/>
    <s v="IMOEMDRELC"/>
    <x v="184"/>
    <s v="TechData_OTR"/>
    <n v="1"/>
    <n v="0"/>
    <n v="1.2791252652713128"/>
    <n v="3.5210015049750218"/>
    <n v="9.6073945377388057"/>
    <n v="6.5073167623738986"/>
    <n v="2.4491718567399032"/>
    <n v="2.1348100203140583"/>
    <n v="7.4163350485618826"/>
    <n v="3.1609397643212849"/>
    <n v="1.9820532037997916"/>
    <n v="1"/>
    <n v="1"/>
    <n v="1"/>
    <n v="1"/>
    <n v="1"/>
    <n v="1"/>
    <n v="1"/>
    <n v="1"/>
    <n v="1"/>
    <n v="1.2791252652713128"/>
    <n v="3.5210015049750218"/>
    <n v="9.6073945377388057"/>
    <n v="6.5073167623738986"/>
    <n v="2.4491718567399032"/>
    <n v="2.1348100203140583"/>
    <n v="7.4163350485618826"/>
    <n v="3.1609397643212849"/>
    <n v="1.9820532037997916"/>
    <n v="38.058147964095959"/>
    <n v="0"/>
    <n v="0"/>
    <n v="0"/>
    <n v="0"/>
    <n v="0"/>
    <n v="0"/>
    <n v="0"/>
    <n v="0"/>
    <n v="0"/>
    <n v="0"/>
  </r>
  <r>
    <x v="8"/>
    <x v="2"/>
    <s v="Natural Gas"/>
    <s v="Natural Gas"/>
    <s v="IMOEMDRNGA"/>
    <x v="185"/>
    <s v="TechData_OTR"/>
    <n v="1"/>
    <n v="0"/>
    <n v="0.10199645431927434"/>
    <n v="0.28076192294122709"/>
    <n v="0.52485052641081831"/>
    <n v="0.35549374128833505"/>
    <n v="0.11327113478972824"/>
    <n v="9.8732293079397446E-2"/>
    <n v="0.34299621915860146"/>
    <n v="0.25877223642734265"/>
    <n v="0.16226197855920904"/>
    <n v="1"/>
    <n v="1"/>
    <n v="1"/>
    <n v="1"/>
    <n v="1"/>
    <n v="1"/>
    <n v="1"/>
    <n v="1"/>
    <n v="1"/>
    <n v="0.10199645431927434"/>
    <n v="0.28076192294122709"/>
    <n v="0.52485052641081831"/>
    <n v="0.35549374128833505"/>
    <n v="0.11327113478972824"/>
    <n v="9.8732293079397446E-2"/>
    <n v="0.34299621915860146"/>
    <n v="0.25877223642734265"/>
    <n v="0.16226197855920904"/>
    <n v="2.2391365069739337"/>
    <n v="0"/>
    <n v="0"/>
    <n v="0"/>
    <n v="0"/>
    <n v="0"/>
    <n v="0"/>
    <n v="0"/>
    <n v="0"/>
    <n v="0"/>
    <n v="0"/>
  </r>
  <r>
    <x v="8"/>
    <x v="3"/>
    <s v="Natural Gas"/>
    <s v="Natural Gas"/>
    <s v="IMOEOHTNGA"/>
    <x v="186"/>
    <s v="TechData_OTR"/>
    <n v="1"/>
    <n v="0"/>
    <n v="0.11332939368808261"/>
    <n v="0.31195769215691904"/>
    <n v="0.58316725156757587"/>
    <n v="0.39499304587592782"/>
    <n v="0.1258568164330314"/>
    <n v="0.10970254786599717"/>
    <n v="0.38110691017622383"/>
    <n v="0.28752470714149186"/>
    <n v="0.18029108728801005"/>
    <n v="1"/>
    <n v="1"/>
    <n v="1"/>
    <n v="1"/>
    <n v="1"/>
    <n v="1"/>
    <n v="1"/>
    <n v="1"/>
    <n v="1"/>
    <n v="0.11332939368808261"/>
    <n v="0.31195769215691904"/>
    <n v="0.58316725156757587"/>
    <n v="0.39499304587592782"/>
    <n v="0.1258568164330314"/>
    <n v="0.10970254786599717"/>
    <n v="0.38110691017622383"/>
    <n v="0.28752470714149186"/>
    <n v="0.18029108728801005"/>
    <n v="2.4879294521932596"/>
    <n v="0"/>
    <n v="0"/>
    <n v="0"/>
    <n v="0"/>
    <n v="0"/>
    <n v="0"/>
    <n v="0"/>
    <n v="0"/>
    <n v="0"/>
    <n v="0"/>
  </r>
  <r>
    <x v="8"/>
    <x v="3"/>
    <s v="Other Petroleum"/>
    <s v="Other Petroleum"/>
    <s v="IMOEOHTOTP"/>
    <x v="187"/>
    <s v="TechData_OTR"/>
    <n v="1"/>
    <n v="0"/>
    <n v="0"/>
    <n v="0"/>
    <n v="0"/>
    <n v="0"/>
    <n v="2.4767218165888491E-2"/>
    <n v="2.1588238232584815E-2"/>
    <n v="7.4997590566615757E-2"/>
    <n v="0"/>
    <n v="0"/>
    <n v="1"/>
    <n v="1"/>
    <n v="1"/>
    <n v="1"/>
    <n v="1"/>
    <n v="1"/>
    <n v="1"/>
    <n v="1"/>
    <n v="1"/>
    <n v="0"/>
    <n v="0"/>
    <n v="0"/>
    <n v="0"/>
    <n v="2.4767218165888491E-2"/>
    <n v="2.1588238232584815E-2"/>
    <n v="7.4997590566615757E-2"/>
    <n v="0"/>
    <n v="0"/>
    <n v="0.12135304696508906"/>
    <n v="0"/>
    <n v="0"/>
    <n v="0"/>
    <n v="0"/>
    <n v="0"/>
    <n v="0"/>
    <n v="0"/>
    <n v="0"/>
    <n v="0"/>
    <n v="0"/>
  </r>
  <r>
    <x v="8"/>
    <x v="3"/>
    <s v="Petroleum Coke"/>
    <s v="Petroleum Coke"/>
    <s v="IMOEOHTPTC"/>
    <x v="188"/>
    <s v="TechData_OTR"/>
    <n v="1"/>
    <n v="0"/>
    <n v="0"/>
    <n v="0"/>
    <n v="3.2162167468048271"/>
    <n v="2.178420076920931"/>
    <n v="1.3912166134250004"/>
    <n v="1.2126479236620127"/>
    <n v="4.2127417485595897"/>
    <n v="0"/>
    <n v="0"/>
    <n v="1"/>
    <n v="1"/>
    <n v="1"/>
    <n v="1"/>
    <n v="1"/>
    <n v="1"/>
    <n v="1"/>
    <n v="1"/>
    <n v="1"/>
    <n v="0"/>
    <n v="0"/>
    <n v="3.2162167468048271"/>
    <n v="2.178420076920931"/>
    <n v="1.3912166134250004"/>
    <n v="1.2126479236620127"/>
    <n v="4.2127417485595897"/>
    <n v="0"/>
    <n v="0"/>
    <n v="12.211243109372361"/>
    <n v="0"/>
    <n v="0"/>
    <n v="0"/>
    <n v="0"/>
    <n v="0"/>
    <n v="0"/>
    <n v="0"/>
    <n v="0"/>
    <n v="0"/>
    <n v="0"/>
  </r>
  <r>
    <x v="8"/>
    <x v="3"/>
    <s v="Renewables"/>
    <s v="Biomass"/>
    <s v="IMOEOHTBIO"/>
    <x v="189"/>
    <s v="TechData_OTR"/>
    <n v="1"/>
    <n v="0"/>
    <n v="0"/>
    <n v="0"/>
    <n v="0.19894483013480199"/>
    <n v="0.13475006390530941"/>
    <n v="0.81039902500807814"/>
    <n v="0.70638079327877712"/>
    <n v="2.4539685428559364"/>
    <n v="0"/>
    <n v="0"/>
    <n v="1"/>
    <n v="1"/>
    <n v="1"/>
    <n v="1"/>
    <n v="1"/>
    <n v="1"/>
    <n v="1"/>
    <n v="1"/>
    <n v="1"/>
    <n v="0"/>
    <n v="0"/>
    <n v="0.19894483013480199"/>
    <n v="0.13475006390530941"/>
    <n v="0.81039902500807814"/>
    <n v="0.70638079327877712"/>
    <n v="2.4539685428559364"/>
    <n v="0"/>
    <n v="0"/>
    <n v="4.3044432551829033"/>
    <n v="0"/>
    <n v="0"/>
    <n v="0"/>
    <n v="0"/>
    <n v="0"/>
    <n v="0"/>
    <n v="0"/>
    <n v="0"/>
    <n v="0"/>
    <n v="0"/>
  </r>
  <r>
    <x v="8"/>
    <x v="3"/>
    <s v="Residual Oil"/>
    <s v="Residual Oil"/>
    <s v="IMOEOHTRFL"/>
    <x v="190"/>
    <s v="TechData_OTR"/>
    <n v="1"/>
    <n v="0"/>
    <n v="3.4516762302639323E-2"/>
    <n v="9.5013033761536969E-2"/>
    <n v="0.17962993973344174"/>
    <n v="0.12166762937235974"/>
    <n v="5.2297362521016875E-2"/>
    <n v="4.5584769087815037E-2"/>
    <n v="0.15836159538769085"/>
    <n v="6.4034476517764838E-2"/>
    <n v="4.0152533359942226E-2"/>
    <n v="1"/>
    <n v="1"/>
    <n v="1"/>
    <n v="1"/>
    <n v="1"/>
    <n v="1"/>
    <n v="1"/>
    <n v="1"/>
    <n v="1"/>
    <n v="3.4516762302639323E-2"/>
    <n v="9.5013033761536969E-2"/>
    <n v="0.17962993973344174"/>
    <n v="0.12166762937235974"/>
    <n v="5.2297362521016875E-2"/>
    <n v="4.5584769087815037E-2"/>
    <n v="0.15836159538769085"/>
    <n v="6.4034476517764838E-2"/>
    <n v="4.0152533359942226E-2"/>
    <n v="0.79125810204420743"/>
    <n v="0"/>
    <n v="0"/>
    <n v="0"/>
    <n v="0"/>
    <n v="0"/>
    <n v="0"/>
    <n v="0"/>
    <n v="0"/>
    <n v="0"/>
    <n v="0"/>
  </r>
  <r>
    <x v="8"/>
    <x v="3"/>
    <s v="Steam Coal"/>
    <s v="Steam Coal"/>
    <s v="IMOEOHTCOA"/>
    <x v="191"/>
    <s v="TechData_OTR"/>
    <n v="1"/>
    <n v="0"/>
    <n v="0.57853019635178116"/>
    <n v="1.5924989892182695"/>
    <n v="2.5886822978419022"/>
    <n v="1.7533760732982153"/>
    <n v="3.101631840302761"/>
    <n v="2.7035239335214376"/>
    <n v="9.3920485251663166"/>
    <n v="0"/>
    <n v="0"/>
    <n v="1"/>
    <n v="1"/>
    <n v="1"/>
    <n v="1"/>
    <n v="1"/>
    <n v="1"/>
    <n v="1"/>
    <n v="1"/>
    <n v="1"/>
    <n v="0.57853019635178116"/>
    <n v="1.5924989892182695"/>
    <n v="2.5886822978419022"/>
    <n v="1.7533760732982153"/>
    <n v="3.101631840302761"/>
    <n v="2.7035239335214376"/>
    <n v="9.3920485251663166"/>
    <n v="0"/>
    <n v="0"/>
    <n v="21.710291855700685"/>
    <n v="0"/>
    <n v="0"/>
    <n v="0"/>
    <n v="0"/>
    <n v="0"/>
    <n v="0"/>
    <n v="0"/>
    <n v="0"/>
    <n v="0"/>
    <n v="0"/>
  </r>
  <r>
    <x v="8"/>
    <x v="4"/>
    <s v="Electricity"/>
    <s v="Electricity"/>
    <s v="IMOEPRHELC"/>
    <x v="192"/>
    <s v="TechData_OTR"/>
    <n v="1"/>
    <n v="0"/>
    <n v="2.0952542688800033"/>
    <n v="5.7675300725664469"/>
    <n v="15.737265899240867"/>
    <n v="10.659224389900803"/>
    <n v="4.0118336549052405"/>
    <n v="3.4968973952383653"/>
    <n v="12.148229803472532"/>
    <n v="5.1777356875692213"/>
    <n v="3.2466761068376955"/>
    <n v="1"/>
    <n v="1"/>
    <n v="1"/>
    <n v="1"/>
    <n v="1"/>
    <n v="1"/>
    <n v="1"/>
    <n v="1"/>
    <n v="1"/>
    <n v="2.0952542688800033"/>
    <n v="5.7675300725664469"/>
    <n v="15.737265899240867"/>
    <n v="10.659224389900803"/>
    <n v="4.0118336549052405"/>
    <n v="3.4968973952383653"/>
    <n v="12.148229803472532"/>
    <n v="5.1777356875692213"/>
    <n v="3.2466761068376955"/>
    <n v="62.340647278611172"/>
    <n v="0"/>
    <n v="0"/>
    <n v="0"/>
    <n v="0"/>
    <n v="0"/>
    <n v="0"/>
    <n v="0"/>
    <n v="0"/>
    <n v="0"/>
    <n v="0"/>
  </r>
  <r>
    <x v="8"/>
    <x v="4"/>
    <s v="LPG"/>
    <s v="LPG"/>
    <s v="IMOEPRHLPG"/>
    <x v="193"/>
    <s v="TechData_OTR"/>
    <n v="1"/>
    <n v="0"/>
    <n v="9.3203351852399682E-3"/>
    <n v="2.5655747021102616E-2"/>
    <n v="2.085231406772823E-2"/>
    <n v="1.4123768138614358E-2"/>
    <n v="7.1383478227929767E-3"/>
    <n v="6.2221099016179972E-3"/>
    <n v="2.1615624481931616E-2"/>
    <n v="0"/>
    <n v="0"/>
    <n v="1"/>
    <n v="1"/>
    <n v="1"/>
    <n v="1"/>
    <n v="1"/>
    <n v="1"/>
    <n v="1"/>
    <n v="1"/>
    <n v="1"/>
    <n v="9.3203351852399682E-3"/>
    <n v="2.5655747021102616E-2"/>
    <n v="2.085231406772823E-2"/>
    <n v="1.4123768138614358E-2"/>
    <n v="7.1383478227929767E-3"/>
    <n v="6.2221099016179972E-3"/>
    <n v="2.1615624481931616E-2"/>
    <n v="0"/>
    <n v="0"/>
    <n v="0.10492824661902776"/>
    <n v="0"/>
    <n v="0"/>
    <n v="0"/>
    <n v="0"/>
    <n v="0"/>
    <n v="0"/>
    <n v="0"/>
    <n v="0"/>
    <n v="0"/>
    <n v="0"/>
  </r>
  <r>
    <x v="8"/>
    <x v="4"/>
    <s v="Natural Gas"/>
    <s v="Natural Gas"/>
    <s v="IMOEPRHNGA"/>
    <x v="194"/>
    <s v="TechData_OTR"/>
    <n v="1"/>
    <n v="0"/>
    <n v="4.7145027774242356"/>
    <n v="12.977439993727829"/>
    <n v="24.259757665211154"/>
    <n v="16.431710708438597"/>
    <n v="5.2356435636141052"/>
    <n v="4.5636259912254813"/>
    <n v="15.854047463330909"/>
    <n v="11.961027817086059"/>
    <n v="7.5001092311812174"/>
    <n v="1"/>
    <n v="1"/>
    <n v="1"/>
    <n v="1"/>
    <n v="1"/>
    <n v="1"/>
    <n v="1"/>
    <n v="1"/>
    <n v="1"/>
    <n v="4.7145027774242356"/>
    <n v="12.977439993727829"/>
    <n v="24.259757665211154"/>
    <n v="16.431710708438597"/>
    <n v="5.2356435636141052"/>
    <n v="4.5636259912254813"/>
    <n v="15.854047463330909"/>
    <n v="11.961027817086059"/>
    <n v="7.5001092311812174"/>
    <n v="103.49786521123958"/>
    <n v="0"/>
    <n v="0"/>
    <n v="0"/>
    <n v="0"/>
    <n v="0"/>
    <n v="0"/>
    <n v="0"/>
    <n v="0"/>
    <n v="0"/>
    <n v="0"/>
  </r>
  <r>
    <x v="8"/>
    <x v="5"/>
    <s v="Distillate Oil"/>
    <s v="Distillate Oil"/>
    <s v="IMOEBLLDST"/>
    <x v="195"/>
    <s v="TechData_Boiler"/>
    <n v="1"/>
    <n v="0"/>
    <n v="0"/>
    <n v="0"/>
    <n v="1.3215773999999998"/>
    <n v="0"/>
    <n v="0"/>
    <n v="0"/>
    <n v="0"/>
    <n v="0"/>
    <n v="0"/>
    <n v="0"/>
    <n v="0"/>
    <n v="0"/>
    <n v="0"/>
    <n v="0"/>
    <n v="0"/>
    <n v="0"/>
    <n v="0"/>
    <n v="0"/>
    <n v="0"/>
    <n v="0"/>
    <n v="0"/>
    <n v="0"/>
    <n v="0"/>
    <n v="0"/>
    <n v="0"/>
    <n v="0"/>
    <n v="0"/>
    <n v="0"/>
    <n v="0"/>
    <n v="0"/>
    <n v="0"/>
    <n v="0"/>
    <n v="0"/>
    <n v="0"/>
    <n v="0"/>
    <n v="0"/>
    <n v="0"/>
    <n v="0"/>
  </r>
  <r>
    <x v="8"/>
    <x v="5"/>
    <s v="Electricity"/>
    <s v="Electricity"/>
    <s v="IMOEBOLELC"/>
    <x v="196"/>
    <s v="TechData_Boiler"/>
    <n v="1"/>
    <n v="0"/>
    <n v="3.9236971327340879E-2"/>
    <n v="0.10800618113420313"/>
    <n v="0.29470535391836827"/>
    <n v="0.19961094363110116"/>
    <n v="7.5127971065641203E-2"/>
    <n v="6.5484969948283997E-2"/>
    <n v="0.22749494013993504"/>
    <n v="9.6961342463843095E-2"/>
    <n v="6.0799178030668449E-2"/>
    <n v="1"/>
    <n v="1"/>
    <n v="1"/>
    <n v="1"/>
    <n v="1"/>
    <n v="1"/>
    <n v="1"/>
    <n v="1"/>
    <n v="1"/>
    <n v="3.9236971327340879E-2"/>
    <n v="0.10800618113420313"/>
    <n v="0.29470535391836827"/>
    <n v="0.19961094363110116"/>
    <n v="7.5127971065641203E-2"/>
    <n v="6.5484969948283997E-2"/>
    <n v="0.22749494013993504"/>
    <n v="9.6961342463843095E-2"/>
    <n v="6.0799178030668449E-2"/>
    <n v="1.1674278516593852"/>
    <n v="0"/>
    <n v="0"/>
    <n v="0"/>
    <n v="0"/>
    <n v="0"/>
    <n v="0"/>
    <n v="0"/>
    <n v="0"/>
    <n v="0"/>
    <n v="0"/>
  </r>
  <r>
    <x v="8"/>
    <x v="5"/>
    <s v="Natural Gas"/>
    <s v="Natural Gas"/>
    <s v="IMOEBOLNGA"/>
    <x v="197"/>
    <s v="TechData_Boiler"/>
    <n v="1"/>
    <n v="0"/>
    <n v="0"/>
    <n v="2.6731721663999997"/>
    <n v="4.815347472"/>
    <n v="0"/>
    <n v="0.36847056599999994"/>
    <n v="0"/>
    <n v="0"/>
    <n v="0.31422119999999998"/>
    <n v="0.75320670000000001"/>
    <n v="0.44325666757331245"/>
    <n v="0.44325666757331245"/>
    <n v="0.44325666757331245"/>
    <n v="0.44325666757331245"/>
    <n v="0.44325666757331245"/>
    <n v="0.44325666757331245"/>
    <n v="0.44325666757331245"/>
    <n v="0.44325666757331245"/>
    <n v="0.44325666757331245"/>
    <n v="0"/>
    <n v="1.1849013863281961"/>
    <n v="2.1344348736462946"/>
    <n v="0"/>
    <n v="0.16332703518401226"/>
    <n v="0"/>
    <n v="0"/>
    <n v="0.13928064199288731"/>
    <n v="0.33386389183589166"/>
    <n v="3.955807828987282"/>
    <n v="0"/>
    <n v="0"/>
    <n v="0"/>
    <n v="0"/>
    <n v="0"/>
    <n v="0"/>
    <n v="0"/>
    <n v="0"/>
    <n v="0"/>
    <n v="0"/>
  </r>
  <r>
    <x v="8"/>
    <x v="5"/>
    <s v="Natural Gas"/>
    <s v="Natural Gas"/>
    <s v="IMOEBSTNGA"/>
    <x v="198"/>
    <s v="TechData_CHP"/>
    <n v="0.88420736602702721"/>
    <n v="0.11579263397297275"/>
    <n v="0"/>
    <n v="7.9652006895115004E-3"/>
    <n v="0"/>
    <n v="0"/>
    <n v="0"/>
    <n v="0"/>
    <n v="0"/>
    <n v="0.3214098155003231"/>
    <n v="0"/>
    <n v="0.99906629080377329"/>
    <n v="0.99906629080377329"/>
    <n v="0.99906629080377329"/>
    <n v="0.99906629080377329"/>
    <n v="0.99906629080377329"/>
    <n v="0.99906629080377329"/>
    <n v="0.99906629080377329"/>
    <n v="0.99906629080377329"/>
    <n v="0.99906629080377329"/>
    <n v="0"/>
    <n v="0.22189717027508163"/>
    <n v="0"/>
    <n v="0"/>
    <n v="0"/>
    <n v="0"/>
    <n v="0"/>
    <n v="8.9539399367640762"/>
    <n v="0"/>
    <n v="9.1758371070391576"/>
    <n v="0"/>
    <n v="2.9058859725124207E-2"/>
    <n v="0"/>
    <n v="0"/>
    <n v="0"/>
    <n v="0"/>
    <n v="0"/>
    <n v="1.1725759471698562"/>
    <n v="0"/>
    <n v="1.2016348068949805"/>
  </r>
  <r>
    <x v="8"/>
    <x v="5"/>
    <s v="Natural Gas"/>
    <s v="Natural Gas"/>
    <s v="IMOECCTNGA"/>
    <x v="198"/>
    <s v="TechData_CHP"/>
    <n v="0.56826632981108727"/>
    <n v="0.43173367018891268"/>
    <n v="1.1528695652173914E-2"/>
    <n v="0"/>
    <n v="1.622386573220214E-2"/>
    <n v="0"/>
    <n v="0"/>
    <n v="0"/>
    <n v="7.2547986556494234E-2"/>
    <n v="2.1161563998524532E-2"/>
    <n v="0"/>
    <n v="0.9594287394933233"/>
    <n v="0.9594287394933233"/>
    <n v="0.9594287394933233"/>
    <n v="0.9594287394933233"/>
    <n v="0.9594287394933233"/>
    <n v="0.9594287394933233"/>
    <n v="0.9594287394933233"/>
    <n v="0.9594287394933233"/>
    <n v="0.9594287394933233"/>
    <n v="0.19822180630070857"/>
    <n v="0"/>
    <n v="0.27894950718131445"/>
    <n v="0"/>
    <n v="0"/>
    <n v="0"/>
    <n v="1.247373802950217"/>
    <n v="0.36384718327997539"/>
    <n v="0"/>
    <n v="2.0883922997122153"/>
    <n v="0.15059668936241616"/>
    <n v="0"/>
    <n v="0.21192861201685725"/>
    <n v="0"/>
    <n v="0"/>
    <n v="0"/>
    <n v="0.94767759727067979"/>
    <n v="0.27642862436981375"/>
    <n v="0"/>
    <n v="1.586631523019767"/>
  </r>
  <r>
    <x v="8"/>
    <x v="5"/>
    <s v="Natural Gas"/>
    <s v="Natural Gas"/>
    <s v="IMOEMTTNGA"/>
    <x v="198"/>
    <s v="TechData_CHP"/>
    <n v="0.64769647696476973"/>
    <n v="0.35230352303523033"/>
    <n v="0"/>
    <n v="0"/>
    <n v="0"/>
    <n v="0"/>
    <n v="0"/>
    <n v="0"/>
    <n v="0"/>
    <n v="0"/>
    <n v="3.4061538461538463E-4"/>
    <n v="0.99477611410623523"/>
    <n v="0.99477611410623523"/>
    <n v="0.99477611410623523"/>
    <n v="0.99477611410623523"/>
    <n v="0.99477611410623523"/>
    <n v="0.99477611410623523"/>
    <n v="0.99477611410623523"/>
    <n v="0.99477611410623523"/>
    <n v="0.99477611410623523"/>
    <n v="0"/>
    <n v="0"/>
    <n v="0"/>
    <n v="0"/>
    <n v="0"/>
    <n v="0"/>
    <n v="0"/>
    <n v="0"/>
    <n v="6.9209824880626745E-3"/>
    <n v="6.9209824880626745E-3"/>
    <n v="0"/>
    <n v="0"/>
    <n v="0"/>
    <n v="0"/>
    <n v="0"/>
    <n v="0"/>
    <n v="0"/>
    <n v="0"/>
    <n v="3.7645511441345078E-3"/>
    <n v="3.7645511441345078E-3"/>
  </r>
  <r>
    <x v="8"/>
    <x v="5"/>
    <s v="Natural Gas"/>
    <s v="Natural Gas"/>
    <s v="IMOEREGNGA"/>
    <x v="198"/>
    <s v="TechData_CHP"/>
    <n v="0.48576155732268078"/>
    <n v="0.51423844267731922"/>
    <n v="0"/>
    <n v="0"/>
    <n v="8.6113300000000004E-3"/>
    <n v="0"/>
    <n v="0"/>
    <n v="0"/>
    <n v="0"/>
    <n v="0"/>
    <n v="7.8119999999999991E-4"/>
    <n v="0.92382352274158097"/>
    <n v="0.92382352274158097"/>
    <n v="0.92382352274158097"/>
    <n v="0.92382352274158097"/>
    <n v="0.92382352274158097"/>
    <n v="0.92382352274158097"/>
    <n v="0.92382352274158097"/>
    <n v="0.92382352274158097"/>
    <n v="0.92382352274158097"/>
    <n v="0"/>
    <n v="0"/>
    <n v="0.12186780746566696"/>
    <n v="0"/>
    <n v="0"/>
    <n v="0"/>
    <n v="0"/>
    <n v="0"/>
    <n v="1.1055566467918315E-2"/>
    <n v="0.13292337393358528"/>
    <n v="0"/>
    <n v="0"/>
    <n v="0.12901208541295545"/>
    <n v="0"/>
    <n v="0"/>
    <n v="0"/>
    <n v="0"/>
    <n v="0"/>
    <n v="1.1703678888696728E-2"/>
    <n v="0.14071576430165217"/>
  </r>
  <r>
    <x v="8"/>
    <x v="5"/>
    <s v="Residual Oil"/>
    <s v="Residual Oil"/>
    <s v="IMOEBHLRFL"/>
    <x v="199"/>
    <s v="TechData_Boiler"/>
    <n v="1"/>
    <n v="0"/>
    <n v="1.7790465000000002"/>
    <n v="0"/>
    <n v="0"/>
    <n v="0"/>
    <n v="0"/>
    <n v="0"/>
    <n v="0"/>
    <n v="0"/>
    <n v="0.26801220000000003"/>
    <n v="-3.7121412336606567E-17"/>
    <n v="-3.7121412336606567E-17"/>
    <n v="-3.7121412336606567E-17"/>
    <n v="-3.7121412336606567E-17"/>
    <n v="-3.7121412336606567E-17"/>
    <n v="-3.7121412336606567E-17"/>
    <n v="-3.7121412336606567E-17"/>
    <n v="-3.7121412336606567E-17"/>
    <n v="-3.7121412336606567E-17"/>
    <n v="-6.6040718692496739E-17"/>
    <n v="0"/>
    <n v="0"/>
    <n v="0"/>
    <n v="0"/>
    <n v="0"/>
    <n v="0"/>
    <n v="0"/>
    <n v="-9.9489913874410677E-18"/>
    <n v="-7.5989710079937808E-17"/>
    <n v="0"/>
    <n v="0"/>
    <n v="0"/>
    <n v="0"/>
    <n v="0"/>
    <n v="0"/>
    <n v="0"/>
    <n v="0"/>
    <n v="0"/>
    <n v="0"/>
  </r>
  <r>
    <x v="8"/>
    <x v="5"/>
    <s v="Steam Coal"/>
    <s v="Steam Coal"/>
    <s v="IMOECPVCOA"/>
    <x v="198"/>
    <s v="TechData_CHP"/>
    <n v="0.88332652522877819"/>
    <n v="0.11667347477122179"/>
    <n v="0"/>
    <n v="0.39811552122123794"/>
    <n v="0"/>
    <n v="0"/>
    <n v="0"/>
    <n v="0"/>
    <n v="0"/>
    <n v="0"/>
    <n v="0"/>
    <n v="0"/>
    <n v="0"/>
    <n v="0"/>
    <n v="0"/>
    <n v="0"/>
    <n v="0"/>
    <n v="0"/>
    <n v="0"/>
    <n v="0"/>
    <n v="0"/>
    <n v="0"/>
    <n v="0"/>
    <n v="0"/>
    <n v="0"/>
    <n v="0"/>
    <n v="0"/>
    <n v="0"/>
    <n v="0"/>
    <n v="0"/>
    <n v="0"/>
    <n v="0"/>
    <n v="0"/>
    <n v="0"/>
    <n v="0"/>
    <n v="0"/>
    <n v="0"/>
    <n v="0"/>
    <n v="0"/>
    <n v="0"/>
  </r>
  <r>
    <x v="9"/>
    <x v="6"/>
    <s v="Electricity"/>
    <s v="Electricity"/>
    <s v="INOEETCELC"/>
    <x v="200"/>
    <s v="TechData_OTR"/>
    <n v="1"/>
    <n v="0"/>
    <n v="3.7791296839802216E-2"/>
    <n v="0.10402672565433035"/>
    <n v="0.12682526568007951"/>
    <n v="8.5901768061119391E-2"/>
    <n v="0.12301183580420917"/>
    <n v="0.10722273284717955"/>
    <n v="0.37249202694867478"/>
    <n v="0.1089536358929941"/>
    <n v="6.8318892224671662E-2"/>
    <n v="1"/>
    <n v="1"/>
    <n v="1"/>
    <n v="1"/>
    <n v="1"/>
    <n v="1"/>
    <n v="1"/>
    <n v="1"/>
    <n v="1"/>
    <n v="3.7791296839802216E-2"/>
    <n v="0.10402672565433035"/>
    <n v="0.12682526568007951"/>
    <n v="8.5901768061119391E-2"/>
    <n v="0.12301183580420917"/>
    <n v="0.10722273284717955"/>
    <n v="0.37249202694867478"/>
    <n v="0.1089536358929941"/>
    <n v="6.8318892224671662E-2"/>
    <n v="1.1345441799530607"/>
    <n v="0"/>
    <n v="0"/>
    <n v="0"/>
    <n v="0"/>
    <n v="0"/>
    <n v="0"/>
    <n v="0"/>
    <n v="0"/>
    <n v="0"/>
    <n v="0"/>
  </r>
  <r>
    <x v="9"/>
    <x v="0"/>
    <s v="Distillate Oil"/>
    <s v="Distillate Oil"/>
    <s v="INOEFACDST"/>
    <x v="201"/>
    <s v="TechData_OTR"/>
    <n v="1"/>
    <n v="0"/>
    <n v="0.12712560617959778"/>
    <n v="0.34993402353309327"/>
    <n v="0.42662570821036222"/>
    <n v="0.28896373635867451"/>
    <n v="0.48682090078180223"/>
    <n v="0.42433532552128927"/>
    <n v="1.4741419222603644"/>
    <n v="0.87961820841968508"/>
    <n v="0.55156068071838826"/>
    <n v="1"/>
    <n v="1"/>
    <n v="1"/>
    <n v="1"/>
    <n v="1"/>
    <n v="1"/>
    <n v="1"/>
    <n v="1"/>
    <n v="1"/>
    <n v="0.12712560617959778"/>
    <n v="0.34993402353309327"/>
    <n v="0.42662570821036222"/>
    <n v="0.28896373635867451"/>
    <n v="0.48682090078180223"/>
    <n v="0.42433532552128927"/>
    <n v="1.4741419222603644"/>
    <n v="0.87961820841968508"/>
    <n v="0.55156068071838826"/>
    <n v="5.0091261119832575"/>
    <n v="0"/>
    <n v="0"/>
    <n v="0"/>
    <n v="0"/>
    <n v="0"/>
    <n v="0"/>
    <n v="0"/>
    <n v="0"/>
    <n v="0"/>
    <n v="0"/>
  </r>
  <r>
    <x v="9"/>
    <x v="0"/>
    <s v="Electricity"/>
    <s v="Electricity"/>
    <s v="INOEFACELC"/>
    <x v="202"/>
    <s v="TechData_OTR"/>
    <n v="1"/>
    <n v="0"/>
    <n v="0.18895648419901112"/>
    <n v="0.52013362827165188"/>
    <n v="0.63412632840039751"/>
    <n v="0.42950884030559705"/>
    <n v="0.6150591790210459"/>
    <n v="0.53611366423589779"/>
    <n v="1.8624601347433742"/>
    <n v="0.54476817946497058"/>
    <n v="0.34159446112335834"/>
    <n v="1"/>
    <n v="1"/>
    <n v="1"/>
    <n v="1"/>
    <n v="1"/>
    <n v="1"/>
    <n v="1"/>
    <n v="1"/>
    <n v="1"/>
    <n v="0.18895648419901112"/>
    <n v="0.52013362827165188"/>
    <n v="0.63412632840039751"/>
    <n v="0.42950884030559705"/>
    <n v="0.6150591790210459"/>
    <n v="0.53611366423589779"/>
    <n v="1.8624601347433742"/>
    <n v="0.54476817946497058"/>
    <n v="0.34159446112335834"/>
    <n v="5.672720899765304"/>
    <n v="0"/>
    <n v="0"/>
    <n v="0"/>
    <n v="0"/>
    <n v="0"/>
    <n v="0"/>
    <n v="0"/>
    <n v="0"/>
    <n v="0"/>
    <n v="0"/>
  </r>
  <r>
    <x v="9"/>
    <x v="0"/>
    <s v="LPG"/>
    <s v="LPG"/>
    <s v="INOEFACLPG"/>
    <x v="203"/>
    <s v="TechData_OTR"/>
    <n v="1"/>
    <n v="0"/>
    <n v="0"/>
    <n v="0"/>
    <n v="0"/>
    <n v="0"/>
    <n v="7.1383478227929767E-3"/>
    <n v="6.2221099016179972E-3"/>
    <n v="2.1615624481931616E-2"/>
    <n v="4.2993365820832165E-2"/>
    <n v="2.695879859185301E-2"/>
    <n v="1"/>
    <n v="1"/>
    <n v="1"/>
    <n v="1"/>
    <n v="1"/>
    <n v="1"/>
    <n v="1"/>
    <n v="1"/>
    <n v="1"/>
    <n v="0"/>
    <n v="0"/>
    <n v="0"/>
    <n v="0"/>
    <n v="7.1383478227929767E-3"/>
    <n v="6.2221099016179972E-3"/>
    <n v="2.1615624481931616E-2"/>
    <n v="4.2993365820832165E-2"/>
    <n v="2.695879859185301E-2"/>
    <n v="0.10492824661902778"/>
    <n v="0"/>
    <n v="0"/>
    <n v="0"/>
    <n v="0"/>
    <n v="0"/>
    <n v="0"/>
    <n v="0"/>
    <n v="0"/>
    <n v="0"/>
    <n v="0"/>
  </r>
  <r>
    <x v="9"/>
    <x v="0"/>
    <s v="Natural Gas"/>
    <s v="Natural Gas"/>
    <s v="INOEFACNGA"/>
    <x v="204"/>
    <s v="TechData_OTR"/>
    <n v="1"/>
    <n v="0"/>
    <n v="0.36335400178855509"/>
    <n v="1.0001913197022456"/>
    <n v="1.6936023071403088"/>
    <n v="1.1471171126321928"/>
    <n v="1.4146360168136998"/>
    <n v="1.2330613449931407"/>
    <n v="4.2836580224380647"/>
    <n v="1.2570748163192087"/>
    <n v="0.78824316591699262"/>
    <n v="1"/>
    <n v="1"/>
    <n v="1"/>
    <n v="1"/>
    <n v="1"/>
    <n v="1"/>
    <n v="1"/>
    <n v="1"/>
    <n v="1"/>
    <n v="0.36335400178855509"/>
    <n v="1.0001913197022456"/>
    <n v="1.6936023071403088"/>
    <n v="1.1471171126321928"/>
    <n v="1.4146360168136998"/>
    <n v="1.2330613449931407"/>
    <n v="4.2836580224380647"/>
    <n v="1.2570748163192087"/>
    <n v="0.78824316591699262"/>
    <n v="13.18093810774441"/>
    <n v="0"/>
    <n v="0"/>
    <n v="0"/>
    <n v="0"/>
    <n v="0"/>
    <n v="0"/>
    <n v="0"/>
    <n v="0"/>
    <n v="0"/>
    <n v="0"/>
  </r>
  <r>
    <x v="9"/>
    <x v="2"/>
    <s v="Distillate Oil"/>
    <s v="Distillate Oil"/>
    <s v="INOEMDRDST"/>
    <x v="205"/>
    <s v="TechData_OTR"/>
    <n v="1"/>
    <n v="0"/>
    <n v="0.15890700772449723"/>
    <n v="0.43741752941636658"/>
    <n v="0.53328213526295276"/>
    <n v="0.36120467044834309"/>
    <n v="0.60852612597725275"/>
    <n v="0.53041915690161157"/>
    <n v="1.8426774028254553"/>
    <n v="1.0995227605246063"/>
    <n v="0.6894508508979853"/>
    <n v="1"/>
    <n v="1"/>
    <n v="1"/>
    <n v="1"/>
    <n v="1"/>
    <n v="1"/>
    <n v="1"/>
    <n v="1"/>
    <n v="1"/>
    <n v="0.15890700772449723"/>
    <n v="0.43741752941636658"/>
    <n v="0.53328213526295276"/>
    <n v="0.36120467044834309"/>
    <n v="0.60852612597725275"/>
    <n v="0.53041915690161157"/>
    <n v="1.8426774028254553"/>
    <n v="1.0995227605246063"/>
    <n v="0.6894508508979853"/>
    <n v="6.2614076399790708"/>
    <n v="0"/>
    <n v="0"/>
    <n v="0"/>
    <n v="0"/>
    <n v="0"/>
    <n v="0"/>
    <n v="0"/>
    <n v="0"/>
    <n v="0"/>
    <n v="0"/>
  </r>
  <r>
    <x v="9"/>
    <x v="2"/>
    <s v="Electricity"/>
    <s v="Electricity"/>
    <s v="INOEMDRELC"/>
    <x v="206"/>
    <s v="TechData_OTR"/>
    <n v="1"/>
    <n v="0"/>
    <n v="0.86919982731545098"/>
    <n v="2.3926146900495984"/>
    <n v="2.9169811106418284"/>
    <n v="1.9757406654057461"/>
    <n v="2.8292722234968108"/>
    <n v="2.4661228554851298"/>
    <n v="8.5673166198195201"/>
    <n v="2.505933625538864"/>
    <n v="1.5713345211674481"/>
    <n v="1"/>
    <n v="1"/>
    <n v="1"/>
    <n v="1"/>
    <n v="1"/>
    <n v="1"/>
    <n v="1"/>
    <n v="1"/>
    <n v="1"/>
    <n v="0.86919982731545098"/>
    <n v="2.3926146900495984"/>
    <n v="2.9169811106418284"/>
    <n v="1.9757406654057461"/>
    <n v="2.8292722234968108"/>
    <n v="2.4661228554851298"/>
    <n v="8.5673166198195201"/>
    <n v="2.505933625538864"/>
    <n v="1.5713345211674481"/>
    <n v="26.094516138920394"/>
    <n v="0"/>
    <n v="0"/>
    <n v="0"/>
    <n v="0"/>
    <n v="0"/>
    <n v="0"/>
    <n v="0"/>
    <n v="0"/>
    <n v="0"/>
    <n v="0"/>
  </r>
  <r>
    <x v="9"/>
    <x v="2"/>
    <s v="Natural Gas"/>
    <s v="Natural Gas"/>
    <s v="INOEMDRNGA"/>
    <x v="207"/>
    <s v="TechData_OTR"/>
    <n v="1"/>
    <n v="0"/>
    <n v="0.10900620053656652"/>
    <n v="0.30005739591067365"/>
    <n v="0.50808069214209262"/>
    <n v="0.34413513378965782"/>
    <n v="0.42439080504410986"/>
    <n v="0.36991840349794214"/>
    <n v="1.2850974067314194"/>
    <n v="0.37712244489576263"/>
    <n v="0.23647294977509775"/>
    <n v="1"/>
    <n v="1"/>
    <n v="1"/>
    <n v="1"/>
    <n v="1"/>
    <n v="1"/>
    <n v="1"/>
    <n v="1"/>
    <n v="1"/>
    <n v="0.10900620053656652"/>
    <n v="0.30005739591067365"/>
    <n v="0.50808069214209262"/>
    <n v="0.34413513378965782"/>
    <n v="0.42439080504410986"/>
    <n v="0.36991840349794214"/>
    <n v="1.2850974067314194"/>
    <n v="0.37712244489576263"/>
    <n v="0.23647294977509775"/>
    <n v="3.9542814323233229"/>
    <n v="0"/>
    <n v="0"/>
    <n v="0"/>
    <n v="0"/>
    <n v="0"/>
    <n v="0"/>
    <n v="0"/>
    <n v="0"/>
    <n v="0"/>
    <n v="0"/>
  </r>
  <r>
    <x v="9"/>
    <x v="3"/>
    <s v="Electricity"/>
    <s v="Electricity"/>
    <s v="INOEOHTELC"/>
    <x v="208"/>
    <s v="TechData_OTR"/>
    <n v="1"/>
    <n v="0"/>
    <n v="3.7791296839802216E-2"/>
    <n v="0.10402672565433035"/>
    <n v="0.12682526568007951"/>
    <n v="8.5901768061119391E-2"/>
    <n v="0.12301183580420917"/>
    <n v="0.10722273284717955"/>
    <n v="0.37249202694867478"/>
    <n v="0.1089536358929941"/>
    <n v="6.8318892224671662E-2"/>
    <n v="1"/>
    <n v="1"/>
    <n v="1"/>
    <n v="1"/>
    <n v="1"/>
    <n v="1"/>
    <n v="1"/>
    <n v="1"/>
    <n v="1"/>
    <n v="3.7791296839802216E-2"/>
    <n v="0.10402672565433035"/>
    <n v="0.12682526568007951"/>
    <n v="8.5901768061119391E-2"/>
    <n v="0.12301183580420917"/>
    <n v="0.10722273284717955"/>
    <n v="0.37249202694867478"/>
    <n v="0.1089536358929941"/>
    <n v="6.8318892224671662E-2"/>
    <n v="1.1345441799530607"/>
    <n v="0"/>
    <n v="0"/>
    <n v="0"/>
    <n v="0"/>
    <n v="0"/>
    <n v="0"/>
    <n v="0"/>
    <n v="0"/>
    <n v="0"/>
    <n v="0"/>
  </r>
  <r>
    <x v="9"/>
    <x v="3"/>
    <s v="Natural Gas"/>
    <s v="Natural Gas"/>
    <s v="INOEOHTNGA"/>
    <x v="209"/>
    <s v="TechData_OTR"/>
    <n v="1"/>
    <n v="0"/>
    <n v="0.18167700089427755"/>
    <n v="0.50009565985112281"/>
    <n v="0.8468011535701544"/>
    <n v="0.57355855631609642"/>
    <n v="0.70731800840684989"/>
    <n v="0.61653067249657034"/>
    <n v="2.1418290112190324"/>
    <n v="0.62853740815960435"/>
    <n v="0.39412158295849631"/>
    <n v="1"/>
    <n v="1"/>
    <n v="1"/>
    <n v="1"/>
    <n v="1"/>
    <n v="1"/>
    <n v="1"/>
    <n v="1"/>
    <n v="1"/>
    <n v="0.18167700089427755"/>
    <n v="0.50009565985112281"/>
    <n v="0.8468011535701544"/>
    <n v="0.57355855631609642"/>
    <n v="0.70731800840684989"/>
    <n v="0.61653067249657034"/>
    <n v="2.1418290112190324"/>
    <n v="0.62853740815960435"/>
    <n v="0.39412158295849631"/>
    <n v="6.5904690538722051"/>
    <n v="0"/>
    <n v="0"/>
    <n v="0"/>
    <n v="0"/>
    <n v="0"/>
    <n v="0"/>
    <n v="0"/>
    <n v="0"/>
    <n v="0"/>
    <n v="0"/>
  </r>
  <r>
    <x v="9"/>
    <x v="3"/>
    <s v="Other Petroleum"/>
    <s v="Other Petroleum"/>
    <s v="INOEOHTOTP"/>
    <x v="210"/>
    <s v="TechData_OTR"/>
    <n v="1"/>
    <n v="0"/>
    <n v="2.684824006388933E-2"/>
    <n v="7.3904172044349278E-2"/>
    <n v="0.50242263746936966"/>
    <n v="0.34030279882416736"/>
    <n v="3.7457195594483725E-2"/>
    <n v="3.2649401987824428E-2"/>
    <n v="0.11342409955583146"/>
    <n v="0"/>
    <n v="0"/>
    <n v="1"/>
    <n v="1"/>
    <n v="1"/>
    <n v="1"/>
    <n v="1"/>
    <n v="1"/>
    <n v="1"/>
    <n v="1"/>
    <n v="1"/>
    <n v="2.684824006388933E-2"/>
    <n v="7.3904172044349278E-2"/>
    <n v="0.50242263746936966"/>
    <n v="0.34030279882416736"/>
    <n v="3.7457195594483725E-2"/>
    <n v="3.2649401987824428E-2"/>
    <n v="0.11342409955583146"/>
    <n v="0"/>
    <n v="0"/>
    <n v="1.1270085455399153"/>
    <n v="0"/>
    <n v="0"/>
    <n v="0"/>
    <n v="0"/>
    <n v="0"/>
    <n v="0"/>
    <n v="0"/>
    <n v="0"/>
    <n v="0"/>
    <n v="0"/>
  </r>
  <r>
    <x v="9"/>
    <x v="3"/>
    <s v="Petroleum Coke"/>
    <s v="Petroleum Coke"/>
    <s v="INOEOHTPTC"/>
    <x v="211"/>
    <s v="TechData_OTR"/>
    <n v="1"/>
    <n v="0"/>
    <n v="0"/>
    <n v="0.8065182475861965"/>
    <n v="4.122159323783988"/>
    <n v="2.7920365255603143"/>
    <n v="0.47150402015797421"/>
    <n v="0.41098443299583476"/>
    <n v="1.4277608901198346"/>
    <n v="0"/>
    <n v="0"/>
    <n v="1"/>
    <n v="1"/>
    <n v="1"/>
    <n v="1"/>
    <n v="1"/>
    <n v="1"/>
    <n v="1"/>
    <n v="1"/>
    <n v="1"/>
    <n v="0"/>
    <n v="0.8065182475861965"/>
    <n v="4.122159323783988"/>
    <n v="2.7920365255603143"/>
    <n v="0.47150402015797421"/>
    <n v="0.41098443299583476"/>
    <n v="1.4277608901198346"/>
    <n v="0"/>
    <n v="0"/>
    <n v="10.030963440204143"/>
    <n v="0"/>
    <n v="0"/>
    <n v="0"/>
    <n v="0"/>
    <n v="0"/>
    <n v="0"/>
    <n v="0"/>
    <n v="0"/>
    <n v="0"/>
    <n v="0"/>
  </r>
  <r>
    <x v="9"/>
    <x v="3"/>
    <s v="Renewables"/>
    <s v="Biomass"/>
    <s v="INOEOHTBIO"/>
    <x v="212"/>
    <s v="TechData_OTR"/>
    <n v="1"/>
    <n v="0"/>
    <n v="0"/>
    <n v="0"/>
    <n v="0.11002259925186521"/>
    <n v="7.4520922560146544E-2"/>
    <n v="0.18831952637886293"/>
    <n v="0.16414789792233372"/>
    <n v="0.57025018475886213"/>
    <n v="0"/>
    <n v="0"/>
    <n v="1"/>
    <n v="1"/>
    <n v="1"/>
    <n v="1"/>
    <n v="1"/>
    <n v="1"/>
    <n v="1"/>
    <n v="1"/>
    <n v="1"/>
    <n v="0"/>
    <n v="0"/>
    <n v="0.11002259925186521"/>
    <n v="7.4520922560146544E-2"/>
    <n v="0.18831952637886293"/>
    <n v="0.16414789792233372"/>
    <n v="0.57025018475886213"/>
    <n v="0"/>
    <n v="0"/>
    <n v="1.1072611308720706"/>
    <n v="0"/>
    <n v="0"/>
    <n v="0"/>
    <n v="0"/>
    <n v="0"/>
    <n v="0"/>
    <n v="0"/>
    <n v="0"/>
    <n v="0"/>
    <n v="0"/>
  </r>
  <r>
    <x v="9"/>
    <x v="3"/>
    <s v="Residual Oil"/>
    <s v="Residual Oil"/>
    <s v="INOEOHTRFL"/>
    <x v="213"/>
    <s v="TechData_OTR"/>
    <n v="1"/>
    <n v="0"/>
    <n v="3.2529822634751559E-3"/>
    <n v="8.9543657344018177E-3"/>
    <n v="2.048586233045362E-2"/>
    <n v="1.3875561663570462E-2"/>
    <n v="1.1349826353506377E-2"/>
    <n v="9.8930268864603921E-3"/>
    <n v="3.436839875036167E-2"/>
    <n v="1.2226735774093991E-2"/>
    <n v="7.6667202224462629E-3"/>
    <n v="1"/>
    <n v="1"/>
    <n v="1"/>
    <n v="1"/>
    <n v="1"/>
    <n v="1"/>
    <n v="1"/>
    <n v="1"/>
    <n v="1"/>
    <n v="3.2529822634751559E-3"/>
    <n v="8.9543657344018177E-3"/>
    <n v="2.048586233045362E-2"/>
    <n v="1.3875561663570462E-2"/>
    <n v="1.1349826353506377E-2"/>
    <n v="9.8930268864603921E-3"/>
    <n v="3.436839875036167E-2"/>
    <n v="1.2226735774093991E-2"/>
    <n v="7.6667202224462629E-3"/>
    <n v="0.12207347997876974"/>
    <n v="0"/>
    <n v="0"/>
    <n v="0"/>
    <n v="0"/>
    <n v="0"/>
    <n v="0"/>
    <n v="0"/>
    <n v="0"/>
    <n v="0"/>
    <n v="0"/>
  </r>
  <r>
    <x v="9"/>
    <x v="4"/>
    <s v="Distillate Oil"/>
    <s v="Distillate Oil"/>
    <s v="INOEPRHDST"/>
    <x v="214"/>
    <s v="TechData_OTR"/>
    <n v="1"/>
    <n v="0"/>
    <n v="3.1781401544899446E-2"/>
    <n v="8.7483505883273319E-2"/>
    <n v="0.10665642705259056"/>
    <n v="7.2240934089668626E-2"/>
    <n v="0.12170522519545056"/>
    <n v="0.10608383138032232"/>
    <n v="0.36853548056509111"/>
    <n v="0.21990455210492127"/>
    <n v="0.13789017017959707"/>
    <n v="1"/>
    <n v="1"/>
    <n v="1"/>
    <n v="1"/>
    <n v="1"/>
    <n v="1"/>
    <n v="1"/>
    <n v="1"/>
    <n v="1"/>
    <n v="3.1781401544899446E-2"/>
    <n v="8.7483505883273319E-2"/>
    <n v="0.10665642705259056"/>
    <n v="7.2240934089668626E-2"/>
    <n v="0.12170522519545056"/>
    <n v="0.10608383138032232"/>
    <n v="0.36853548056509111"/>
    <n v="0.21990455210492127"/>
    <n v="0.13789017017959707"/>
    <n v="1.2522815279958144"/>
    <n v="0"/>
    <n v="0"/>
    <n v="0"/>
    <n v="0"/>
    <n v="0"/>
    <n v="0"/>
    <n v="0"/>
    <n v="0"/>
    <n v="0"/>
    <n v="0"/>
  </r>
  <r>
    <x v="9"/>
    <x v="4"/>
    <s v="Electricity"/>
    <s v="Electricity"/>
    <s v="INOEPRHELC"/>
    <x v="215"/>
    <s v="TechData_OTR"/>
    <n v="1"/>
    <n v="0"/>
    <n v="0.22674778103881332"/>
    <n v="0.62416035392598213"/>
    <n v="0.76095159408047697"/>
    <n v="0.51541060836671637"/>
    <n v="0.73807101482525506"/>
    <n v="0.64333639708307733"/>
    <n v="2.2349521616920489"/>
    <n v="0.65372181535796459"/>
    <n v="0.40991335334802997"/>
    <n v="1"/>
    <n v="1"/>
    <n v="1"/>
    <n v="1"/>
    <n v="1"/>
    <n v="1"/>
    <n v="1"/>
    <n v="1"/>
    <n v="1"/>
    <n v="0.22674778103881332"/>
    <n v="0.62416035392598213"/>
    <n v="0.76095159408047697"/>
    <n v="0.51541060836671637"/>
    <n v="0.73807101482525506"/>
    <n v="0.64333639708307733"/>
    <n v="2.2349521616920489"/>
    <n v="0.65372181535796459"/>
    <n v="0.40991335334802997"/>
    <n v="6.8072650797183645"/>
    <n v="0"/>
    <n v="0"/>
    <n v="0"/>
    <n v="0"/>
    <n v="0"/>
    <n v="0"/>
    <n v="0"/>
    <n v="0"/>
    <n v="0"/>
    <n v="0"/>
  </r>
  <r>
    <x v="9"/>
    <x v="4"/>
    <s v="LPG"/>
    <s v="LPG"/>
    <s v="INOEPRHLPG"/>
    <x v="216"/>
    <s v="TechData_OTR"/>
    <n v="1"/>
    <n v="0"/>
    <n v="0"/>
    <n v="0"/>
    <n v="0"/>
    <n v="0"/>
    <n v="7.1383478227929767E-3"/>
    <n v="6.2221099016179972E-3"/>
    <n v="2.1615624481931616E-2"/>
    <n v="4.2993365820832165E-2"/>
    <n v="2.695879859185301E-2"/>
    <n v="1"/>
    <n v="1"/>
    <n v="1"/>
    <n v="1"/>
    <n v="1"/>
    <n v="1"/>
    <n v="1"/>
    <n v="1"/>
    <n v="1"/>
    <n v="0"/>
    <n v="0"/>
    <n v="0"/>
    <n v="0"/>
    <n v="7.1383478227929767E-3"/>
    <n v="6.2221099016179972E-3"/>
    <n v="2.1615624481931616E-2"/>
    <n v="4.2993365820832165E-2"/>
    <n v="2.695879859185301E-2"/>
    <n v="0.10492824661902778"/>
    <n v="0"/>
    <n v="0"/>
    <n v="0"/>
    <n v="0"/>
    <n v="0"/>
    <n v="0"/>
    <n v="0"/>
    <n v="0"/>
    <n v="0"/>
    <n v="0"/>
  </r>
  <r>
    <x v="9"/>
    <x v="4"/>
    <s v="Natural Gas"/>
    <s v="Natural Gas"/>
    <s v="INOEPRHNGA"/>
    <x v="217"/>
    <s v="TechData_OTR"/>
    <n v="1"/>
    <n v="0"/>
    <n v="3.3065214162758512"/>
    <n v="9.1017410092904356"/>
    <n v="15.411780994976811"/>
    <n v="10.438765724952955"/>
    <n v="12.873187753004666"/>
    <n v="11.220858239437579"/>
    <n v="38.981288004186389"/>
    <n v="11.439380828504801"/>
    <n v="7.1730128098446322"/>
    <n v="1"/>
    <n v="1"/>
    <n v="1"/>
    <n v="1"/>
    <n v="1"/>
    <n v="1"/>
    <n v="1"/>
    <n v="1"/>
    <n v="1"/>
    <n v="3.3065214162758512"/>
    <n v="9.1017410092904356"/>
    <n v="15.411780994976811"/>
    <n v="10.438765724952955"/>
    <n v="12.873187753004666"/>
    <n v="11.220858239437579"/>
    <n v="38.981288004186389"/>
    <n v="11.439380828504801"/>
    <n v="7.1730128098446322"/>
    <n v="119.9465367804741"/>
    <n v="0"/>
    <n v="0"/>
    <n v="0"/>
    <n v="0"/>
    <n v="0"/>
    <n v="0"/>
    <n v="0"/>
    <n v="0"/>
    <n v="0"/>
    <n v="0"/>
  </r>
  <r>
    <x v="9"/>
    <x v="4"/>
    <s v="Steam Coal"/>
    <s v="Steam Coal"/>
    <s v="INOEPRHCOA"/>
    <x v="218"/>
    <s v="TechData_OTR"/>
    <n v="1"/>
    <n v="0"/>
    <n v="1.9311939377959821"/>
    <n v="5.3159271777311146"/>
    <n v="17.822661908565095"/>
    <n v="12.07171269298418"/>
    <n v="5.3616699299285768"/>
    <n v="4.6734763265098449"/>
    <n v="16.235667787347307"/>
    <n v="7.2380099216522877"/>
    <n v="4.5385618910792447"/>
    <n v="1"/>
    <n v="1"/>
    <n v="1"/>
    <n v="1"/>
    <n v="1"/>
    <n v="1"/>
    <n v="1"/>
    <n v="1"/>
    <n v="1"/>
    <n v="1.9311939377959821"/>
    <n v="5.3159271777311146"/>
    <n v="17.822661908565095"/>
    <n v="12.07171269298418"/>
    <n v="5.3616699299285768"/>
    <n v="4.6734763265098449"/>
    <n v="16.235667787347307"/>
    <n v="7.2380099216522877"/>
    <n v="4.5385618910792447"/>
    <n v="75.188881573593633"/>
    <n v="0"/>
    <n v="0"/>
    <n v="0"/>
    <n v="0"/>
    <n v="0"/>
    <n v="0"/>
    <n v="0"/>
    <n v="0"/>
    <n v="0"/>
    <n v="0"/>
  </r>
  <r>
    <x v="9"/>
    <x v="5"/>
    <s v="Natural Gas"/>
    <s v="Natural Gas"/>
    <s v="INOEBASNGA"/>
    <x v="219"/>
    <s v="TechData_Boiler"/>
    <n v="1"/>
    <n v="0"/>
    <n v="0"/>
    <n v="3.486331568309129E-3"/>
    <n v="0.36141637258137965"/>
    <n v="0.53484974699953114"/>
    <n v="0.31376984114782158"/>
    <n v="0"/>
    <n v="0"/>
    <n v="0"/>
    <n v="0"/>
    <n v="1"/>
    <n v="1"/>
    <n v="1"/>
    <n v="1"/>
    <n v="1"/>
    <n v="1"/>
    <n v="1"/>
    <n v="1"/>
    <n v="1"/>
    <n v="0"/>
    <n v="3.486331568309129E-3"/>
    <n v="0.36141637258137965"/>
    <n v="0.53484974699953114"/>
    <n v="0.31376984114782158"/>
    <n v="0"/>
    <n v="0"/>
    <n v="0"/>
    <n v="0"/>
    <n v="1.2135222922970414"/>
    <n v="0"/>
    <n v="0"/>
    <n v="0"/>
    <n v="0"/>
    <n v="0"/>
    <n v="0"/>
    <n v="0"/>
    <n v="0"/>
    <n v="0"/>
    <n v="0"/>
  </r>
  <r>
    <x v="9"/>
    <x v="5"/>
    <s v="Natural Gas"/>
    <s v="Natural Gas"/>
    <s v="INOEBOLNGA"/>
    <x v="219"/>
    <s v="TechData_Boiler"/>
    <n v="1"/>
    <n v="0"/>
    <n v="0"/>
    <n v="5.5450799999999991E-3"/>
    <n v="0.57483995999999993"/>
    <n v="0.8506892063999999"/>
    <n v="0.49905719999999998"/>
    <n v="0"/>
    <n v="0"/>
    <n v="0"/>
    <n v="0"/>
    <n v="1"/>
    <n v="1"/>
    <n v="1"/>
    <n v="1"/>
    <n v="1"/>
    <n v="1"/>
    <n v="1"/>
    <n v="1"/>
    <n v="1"/>
    <n v="0"/>
    <n v="5.5450799999999991E-3"/>
    <n v="0.57483995999999993"/>
    <n v="0.8506892063999999"/>
    <n v="0.49905719999999998"/>
    <n v="0"/>
    <n v="0"/>
    <n v="0"/>
    <n v="0"/>
    <n v="1.9301314463999997"/>
    <n v="0"/>
    <n v="0"/>
    <n v="0"/>
    <n v="0"/>
    <n v="0"/>
    <n v="0"/>
    <n v="0"/>
    <n v="0"/>
    <n v="0"/>
    <n v="0"/>
  </r>
  <r>
    <x v="9"/>
    <x v="5"/>
    <s v="Natural Gas"/>
    <s v="Natural Gas"/>
    <s v="INOEBSTNGA"/>
    <x v="220"/>
    <s v="TechData_CHP"/>
    <n v="0.91493838705923658"/>
    <n v="8.5061612940763406E-2"/>
    <n v="0"/>
    <n v="0"/>
    <n v="0"/>
    <n v="0"/>
    <n v="0"/>
    <n v="0"/>
    <n v="0"/>
    <n v="7.6700239572399118E-2"/>
    <n v="0"/>
    <n v="0.10135177652972577"/>
    <n v="0.10135177652972577"/>
    <n v="0.10135177652972577"/>
    <n v="0.10135177652972577"/>
    <n v="0.10135177652972577"/>
    <n v="0.10135177652972577"/>
    <n v="0.10135177652972577"/>
    <n v="0.10135177652972577"/>
    <n v="0.10135177652972577"/>
    <n v="0"/>
    <n v="0"/>
    <n v="0"/>
    <n v="0"/>
    <n v="0"/>
    <n v="0"/>
    <n v="0"/>
    <n v="0.2242985893039838"/>
    <n v="0"/>
    <n v="0.2242985893039838"/>
    <n v="0"/>
    <n v="0"/>
    <n v="0"/>
    <n v="0"/>
    <n v="0"/>
    <n v="0"/>
    <n v="0"/>
    <n v="2.085298863441333E-2"/>
    <n v="0"/>
    <n v="2.085298863441333E-2"/>
  </r>
  <r>
    <x v="9"/>
    <x v="5"/>
    <s v="Natural Gas"/>
    <s v="Natural Gas"/>
    <s v="INOECCTNGA"/>
    <x v="220"/>
    <s v="TechData_CHP"/>
    <n v="0.52266976764140294"/>
    <n v="0.47733023235859706"/>
    <n v="0"/>
    <n v="9.7246664361866561E-2"/>
    <n v="0"/>
    <n v="0"/>
    <n v="4.2082256889431721E-2"/>
    <n v="1.8340022132054594E-2"/>
    <n v="0"/>
    <n v="0.28462794940650937"/>
    <n v="0"/>
    <n v="0.31188082761904345"/>
    <n v="0.31188082761904345"/>
    <n v="0.31188082761904345"/>
    <n v="0.31188082761904345"/>
    <n v="0.31188082761904345"/>
    <n v="0.31188082761904345"/>
    <n v="0.31188082761904345"/>
    <n v="0.31188082761904345"/>
    <n v="0.31188082761904345"/>
    <n v="0"/>
    <n v="0.49991639379526248"/>
    <n v="0"/>
    <n v="0"/>
    <n v="0.2163324597813151"/>
    <n v="9.4280639717008938E-2"/>
    <n v="0"/>
    <n v="1.4631882643415273"/>
    <n v="0"/>
    <n v="2.2737177576351137"/>
    <n v="0"/>
    <n v="0.45655062370831873"/>
    <n v="0"/>
    <n v="0"/>
    <n v="0.19756647444925254"/>
    <n v="8.6102167083658504E-2"/>
    <n v="0"/>
    <n v="1.3362624690427729"/>
    <n v="0"/>
    <n v="2.0764817342840027"/>
  </r>
  <r>
    <x v="9"/>
    <x v="5"/>
    <s v="Natural Gas"/>
    <s v="Natural Gas"/>
    <s v="INOEMTTNGA"/>
    <x v="220"/>
    <s v="TechData_CHP"/>
    <n v="0.58444148936170215"/>
    <n v="0.41555851063829785"/>
    <n v="0"/>
    <n v="0"/>
    <n v="0"/>
    <n v="0"/>
    <n v="0"/>
    <n v="0"/>
    <n v="0"/>
    <n v="0"/>
    <n v="0"/>
    <n v="0"/>
    <n v="0"/>
    <n v="0"/>
    <n v="0"/>
    <n v="0"/>
    <n v="0"/>
    <n v="0"/>
    <n v="0"/>
    <n v="0"/>
    <n v="0"/>
    <n v="0"/>
    <n v="0"/>
    <n v="0"/>
    <n v="0"/>
    <n v="0"/>
    <n v="0"/>
    <n v="0"/>
    <n v="0"/>
    <n v="0"/>
    <n v="0"/>
    <n v="0"/>
    <n v="0"/>
    <n v="0"/>
    <n v="0"/>
    <n v="0"/>
    <n v="0"/>
    <n v="0"/>
    <n v="0"/>
    <n v="0"/>
  </r>
  <r>
    <x v="9"/>
    <x v="5"/>
    <s v="Natural Gas"/>
    <s v="Natural Gas"/>
    <s v="INOEREGNGA"/>
    <x v="220"/>
    <s v="TechData_CHP"/>
    <n v="0.62770019637791841"/>
    <n v="0.37229980362208159"/>
    <n v="0"/>
    <n v="3.2187499999999998E-3"/>
    <n v="0"/>
    <n v="0"/>
    <n v="0"/>
    <n v="0"/>
    <n v="0"/>
    <n v="0"/>
    <n v="9.0025833333333347E-3"/>
    <n v="0.31023934957894317"/>
    <n v="0.31023934957894317"/>
    <n v="0.31023934957894317"/>
    <n v="0.31023934957894317"/>
    <n v="0.31023934957894317"/>
    <n v="0.31023934957894317"/>
    <n v="0.31023934957894317"/>
    <n v="0.31023934957894317"/>
    <n v="0.31023934957894317"/>
    <n v="0"/>
    <n v="1.9767101808922577E-2"/>
    <n v="0"/>
    <n v="0"/>
    <n v="0"/>
    <n v="0"/>
    <n v="0"/>
    <n v="0"/>
    <n v="5.5286984479474832E-2"/>
    <n v="7.5054086288397409E-2"/>
    <n v="0"/>
    <n v="1.1724208729112418E-2"/>
    <n v="0"/>
    <n v="0"/>
    <n v="0"/>
    <n v="0"/>
    <n v="0"/>
    <n v="0"/>
    <n v="3.279166325475065E-2"/>
    <n v="4.4515871983863066E-2"/>
  </r>
  <r>
    <x v="9"/>
    <x v="5"/>
    <s v="Steam Coal"/>
    <s v="Steam Coal"/>
    <s v="INOEBSTCOA"/>
    <x v="220"/>
    <s v="TechData_CHP"/>
    <n v="0.88332652522877819"/>
    <n v="0.11667347477122178"/>
    <n v="0"/>
    <n v="0"/>
    <n v="0.40454782110974002"/>
    <n v="0"/>
    <n v="1.0713660516677437"/>
    <n v="0"/>
    <n v="0"/>
    <n v="0"/>
    <n v="0"/>
    <n v="-5.4956039718945242E-17"/>
    <n v="-5.4956039718945242E-17"/>
    <n v="-5.4956039718945242E-17"/>
    <n v="-5.4956039718945242E-17"/>
    <n v="-5.4956039718945242E-17"/>
    <n v="-5.4956039718945242E-17"/>
    <n v="-5.4956039718945242E-17"/>
    <n v="-5.4956039718945242E-17"/>
    <n v="-5.4956039718945242E-17"/>
    <n v="0"/>
    <n v="0"/>
    <n v="-6.1931724624495442E-16"/>
    <n v="0"/>
    <n v="-1.6401410123012564E-15"/>
    <n v="0"/>
    <n v="0"/>
    <n v="0"/>
    <n v="0"/>
    <n v="-2.2594582585462108E-15"/>
    <n v="0"/>
    <n v="0"/>
    <n v="-8.1802021156818208E-17"/>
    <n v="0"/>
    <n v="-2.1663670857208214E-16"/>
    <n v="0"/>
    <n v="0"/>
    <n v="0"/>
    <n v="0"/>
    <n v="-2.9843872972890036E-16"/>
  </r>
  <r>
    <x v="10"/>
    <x v="0"/>
    <s v="Electricity"/>
    <s v="Electricity"/>
    <s v="IPOEFACELC"/>
    <x v="221"/>
    <s v="TechData_OTR"/>
    <n v="1"/>
    <n v="0"/>
    <n v="0.86566644504907808"/>
    <n v="0.76382333386683365"/>
    <n v="2.9631495682072089"/>
    <n v="0.56741161944393348"/>
    <n v="2.4442346683738676"/>
    <n v="1.4192330332493426"/>
    <n v="1.0250016351245252"/>
    <n v="9.3113701652337802E-2"/>
    <n v="0.72163118780561808"/>
    <n v="1"/>
    <n v="1"/>
    <n v="1"/>
    <n v="1"/>
    <n v="1"/>
    <n v="1"/>
    <n v="1"/>
    <n v="1"/>
    <n v="1"/>
    <n v="0.86566644504907808"/>
    <n v="0.76382333386683365"/>
    <n v="2.9631495682072089"/>
    <n v="0.56741161944393348"/>
    <n v="2.4442346683738676"/>
    <n v="1.4192330332493426"/>
    <n v="1.0250016351245252"/>
    <n v="9.3113701652337802E-2"/>
    <n v="0.72163118780561808"/>
    <n v="10.863265192772747"/>
    <n v="0"/>
    <n v="0"/>
    <n v="0"/>
    <n v="0"/>
    <n v="0"/>
    <n v="0"/>
    <n v="0"/>
    <n v="0"/>
    <n v="0"/>
    <n v="0"/>
  </r>
  <r>
    <x v="10"/>
    <x v="0"/>
    <s v="LPG"/>
    <s v="LPG"/>
    <s v="IPOEFACLPG"/>
    <x v="222"/>
    <s v="TechData_OTR"/>
    <n v="1"/>
    <n v="0"/>
    <n v="1.2356394041959469"/>
    <n v="1.0902700625258355"/>
    <n v="1.952102588141496"/>
    <n v="0.37380687858028638"/>
    <n v="1.1629547333608912"/>
    <n v="0.67526403872567875"/>
    <n v="0.48769069463521242"/>
    <n v="0.26581822476820371"/>
    <n v="2.0600912419535784"/>
    <n v="1"/>
    <n v="1"/>
    <n v="1"/>
    <n v="1"/>
    <n v="1"/>
    <n v="1"/>
    <n v="1"/>
    <n v="1"/>
    <n v="1"/>
    <n v="1.2356394041959469"/>
    <n v="1.0902700625258355"/>
    <n v="1.952102588141496"/>
    <n v="0.37380687858028638"/>
    <n v="1.1629547333608912"/>
    <n v="0.67526403872567875"/>
    <n v="0.48769069463521242"/>
    <n v="0.26581822476820371"/>
    <n v="2.0600912419535784"/>
    <n v="9.3036378668871293"/>
    <n v="0"/>
    <n v="0"/>
    <n v="0"/>
    <n v="0"/>
    <n v="0"/>
    <n v="0"/>
    <n v="0"/>
    <n v="0"/>
    <n v="0"/>
    <n v="0"/>
  </r>
  <r>
    <x v="10"/>
    <x v="0"/>
    <s v="Natural Gas"/>
    <s v="Natural Gas"/>
    <s v="IPOEFACNGA"/>
    <x v="223"/>
    <s v="TechData_OTR"/>
    <n v="1"/>
    <n v="0"/>
    <n v="0.53448141699881746"/>
    <n v="0.47160125029307415"/>
    <n v="3.3775632401942075"/>
    <n v="0.64676742897335882"/>
    <n v="1.5091240009378373"/>
    <n v="0.87626554893164754"/>
    <n v="0.63285845200618984"/>
    <n v="8.2129197329950318E-2"/>
    <n v="0.63650127930711498"/>
    <n v="1"/>
    <n v="1"/>
    <n v="1"/>
    <n v="1"/>
    <n v="1"/>
    <n v="1"/>
    <n v="1"/>
    <n v="1"/>
    <n v="1"/>
    <n v="0.53448141699881746"/>
    <n v="0.47160125029307415"/>
    <n v="3.3775632401942075"/>
    <n v="0.64676742897335882"/>
    <n v="1.5091240009378373"/>
    <n v="0.87626554893164754"/>
    <n v="0.63285845200618984"/>
    <n v="8.2129197329950318E-2"/>
    <n v="0.63650127930711498"/>
    <n v="8.7672918149721983"/>
    <n v="0"/>
    <n v="0"/>
    <n v="0"/>
    <n v="0"/>
    <n v="0"/>
    <n v="0"/>
    <n v="0"/>
    <n v="0"/>
    <n v="0"/>
    <n v="0"/>
  </r>
  <r>
    <x v="10"/>
    <x v="2"/>
    <s v="Electricity"/>
    <s v="Electricity"/>
    <s v="IPOEMDRELC"/>
    <x v="224"/>
    <s v="TechData_OTR"/>
    <n v="1"/>
    <n v="0"/>
    <n v="2.0122809999913569"/>
    <n v="1.775542058815903"/>
    <n v="6.887975859914393"/>
    <n v="1.3189741008346707"/>
    <n v="5.6817345882108903"/>
    <n v="3.2990716963805173"/>
    <n v="2.3826628918303734"/>
    <n v="0.21644703193184339"/>
    <n v="1.6774644974717865"/>
    <n v="1"/>
    <n v="1"/>
    <n v="1"/>
    <n v="1"/>
    <n v="1"/>
    <n v="1"/>
    <n v="1"/>
    <n v="1"/>
    <n v="1"/>
    <n v="2.0122809999913569"/>
    <n v="1.775542058815903"/>
    <n v="6.887975859914393"/>
    <n v="1.3189741008346707"/>
    <n v="5.6817345882108903"/>
    <n v="3.2990716963805173"/>
    <n v="2.3826628918303734"/>
    <n v="0.21644703193184339"/>
    <n v="1.6774644974717865"/>
    <n v="25.252153725381731"/>
    <n v="0"/>
    <n v="0"/>
    <n v="0"/>
    <n v="0"/>
    <n v="0"/>
    <n v="0"/>
    <n v="0"/>
    <n v="0"/>
    <n v="0"/>
    <n v="0"/>
  </r>
  <r>
    <x v="10"/>
    <x v="2"/>
    <s v="Natural Gas"/>
    <s v="Natural Gas"/>
    <s v="IPOEMDRNGA"/>
    <x v="225"/>
    <s v="TechData_OTR"/>
    <n v="1"/>
    <n v="0"/>
    <n v="5.344814169988174E-2"/>
    <n v="4.7160125029307415E-2"/>
    <n v="0.33775632401942074"/>
    <n v="6.4676742897335882E-2"/>
    <n v="0.15091240009378373"/>
    <n v="8.762655489316476E-2"/>
    <n v="6.3285845200618987E-2"/>
    <n v="8.2129197329950318E-3"/>
    <n v="6.3650127930711495E-2"/>
    <n v="1"/>
    <n v="1"/>
    <n v="1"/>
    <n v="1"/>
    <n v="1"/>
    <n v="1"/>
    <n v="1"/>
    <n v="1"/>
    <n v="1"/>
    <n v="5.344814169988174E-2"/>
    <n v="4.7160125029307415E-2"/>
    <n v="0.33775632401942074"/>
    <n v="6.4676742897335882E-2"/>
    <n v="0.15091240009378373"/>
    <n v="8.762655489316476E-2"/>
    <n v="6.3285845200618987E-2"/>
    <n v="8.2129197329950318E-3"/>
    <n v="6.3650127930711495E-2"/>
    <n v="0.87672918149721968"/>
    <n v="0"/>
    <n v="0"/>
    <n v="0"/>
    <n v="0"/>
    <n v="0"/>
    <n v="0"/>
    <n v="0"/>
    <n v="0"/>
    <n v="0"/>
    <n v="0"/>
  </r>
  <r>
    <x v="10"/>
    <x v="3"/>
    <s v="Electricity"/>
    <s v="Electricity"/>
    <s v="IPOEOHTELC"/>
    <x v="226"/>
    <s v="TechData_OTR"/>
    <n v="1"/>
    <n v="0"/>
    <n v="0.23609084864974855"/>
    <n v="0.20831545469095461"/>
    <n v="0.80813170042014781"/>
    <n v="0.15474862348470914"/>
    <n v="0.66660945501105484"/>
    <n v="0.38706355452254798"/>
    <n v="0.27954590048850692"/>
    <n v="2.5394645905183037E-2"/>
    <n v="0.19680850576516856"/>
    <n v="1"/>
    <n v="1"/>
    <n v="1"/>
    <n v="1"/>
    <n v="1"/>
    <n v="1"/>
    <n v="1"/>
    <n v="1"/>
    <n v="1"/>
    <n v="0.23609084864974855"/>
    <n v="0.20831545469095461"/>
    <n v="0.80813170042014781"/>
    <n v="0.15474862348470914"/>
    <n v="0.66660945501105484"/>
    <n v="0.38706355452254798"/>
    <n v="0.27954590048850692"/>
    <n v="2.5394645905183037E-2"/>
    <n v="0.19680850576516856"/>
    <n v="2.9627086889380219"/>
    <n v="0"/>
    <n v="0"/>
    <n v="0"/>
    <n v="0"/>
    <n v="0"/>
    <n v="0"/>
    <n v="0"/>
    <n v="0"/>
    <n v="0"/>
    <n v="0"/>
  </r>
  <r>
    <x v="10"/>
    <x v="3"/>
    <s v="Natural Gas"/>
    <s v="Natural Gas"/>
    <s v="IPOEOHTNGA"/>
    <x v="227"/>
    <s v="TechData_OTR"/>
    <n v="1"/>
    <n v="0"/>
    <n v="0.10689628339976348"/>
    <n v="9.432025005861483E-2"/>
    <n v="0.67551264803884148"/>
    <n v="0.12935348579467176"/>
    <n v="0.30182480018756747"/>
    <n v="0.17525310978632952"/>
    <n v="0.12657169040123797"/>
    <n v="1.6425839465990064E-2"/>
    <n v="0.12730025586142299"/>
    <n v="1"/>
    <n v="1"/>
    <n v="1"/>
    <n v="1"/>
    <n v="1"/>
    <n v="1"/>
    <n v="1"/>
    <n v="1"/>
    <n v="1"/>
    <n v="0.10689628339976348"/>
    <n v="9.432025005861483E-2"/>
    <n v="0.67551264803884148"/>
    <n v="0.12935348579467176"/>
    <n v="0.30182480018756747"/>
    <n v="0.17525310978632952"/>
    <n v="0.12657169040123797"/>
    <n v="1.6425839465990064E-2"/>
    <n v="0.12730025586142299"/>
    <n v="1.7534583629944394"/>
    <n v="0"/>
    <n v="0"/>
    <n v="0"/>
    <n v="0"/>
    <n v="0"/>
    <n v="0"/>
    <n v="0"/>
    <n v="0"/>
    <n v="0"/>
    <n v="0"/>
  </r>
  <r>
    <x v="10"/>
    <x v="3"/>
    <s v="Other Petroleum"/>
    <s v="Other Petroleum"/>
    <s v="IPOEOHTOTP"/>
    <x v="228"/>
    <s v="TechData_OTR"/>
    <n v="1"/>
    <n v="0"/>
    <n v="0.11152370924542657"/>
    <n v="9.8403272863611668E-2"/>
    <n v="5.5058974102258915E-3"/>
    <n v="1.0543207806815536E-3"/>
    <n v="4.5921527336352116E-2"/>
    <n v="2.6664112646914134E-2"/>
    <n v="1.9257414689437986E-2"/>
    <n v="0"/>
    <n v="0"/>
    <n v="1"/>
    <n v="1"/>
    <n v="1"/>
    <n v="1"/>
    <n v="1"/>
    <n v="1"/>
    <n v="1"/>
    <n v="1"/>
    <n v="1"/>
    <n v="0.11152370924542657"/>
    <n v="9.8403272863611668E-2"/>
    <n v="5.5058974102258915E-3"/>
    <n v="1.0543207806815536E-3"/>
    <n v="4.5921527336352116E-2"/>
    <n v="2.6664112646914134E-2"/>
    <n v="1.9257414689437986E-2"/>
    <n v="0"/>
    <n v="0"/>
    <n v="0.30833025497264993"/>
    <n v="0"/>
    <n v="0"/>
    <n v="0"/>
    <n v="0"/>
    <n v="0"/>
    <n v="0"/>
    <n v="0"/>
    <n v="0"/>
    <n v="0"/>
    <n v="0"/>
  </r>
  <r>
    <x v="10"/>
    <x v="3"/>
    <s v="Petroleum Coke"/>
    <s v="Petroleum Coke"/>
    <s v="IPOEOHTPTC"/>
    <x v="229"/>
    <s v="TechData_OTR"/>
    <n v="1"/>
    <n v="0"/>
    <n v="0"/>
    <n v="0.20992698210903829"/>
    <n v="5.5058974102258924E-3"/>
    <n v="1.0543207806815538E-3"/>
    <n v="4.5921527336352123E-2"/>
    <n v="2.6664112646914137E-2"/>
    <n v="1.9257414689437986E-2"/>
    <n v="0"/>
    <n v="0"/>
    <n v="1"/>
    <n v="1"/>
    <n v="1"/>
    <n v="1"/>
    <n v="1"/>
    <n v="1"/>
    <n v="1"/>
    <n v="1"/>
    <n v="1"/>
    <n v="0"/>
    <n v="0.20992698210903829"/>
    <n v="5.5058974102258924E-3"/>
    <n v="1.0543207806815538E-3"/>
    <n v="4.5921527336352123E-2"/>
    <n v="2.6664112646914137E-2"/>
    <n v="1.9257414689437986E-2"/>
    <n v="0"/>
    <n v="0"/>
    <n v="0.30833025497264999"/>
    <n v="0"/>
    <n v="0"/>
    <n v="0"/>
    <n v="0"/>
    <n v="0"/>
    <n v="0"/>
    <n v="0"/>
    <n v="0"/>
    <n v="0"/>
    <n v="0"/>
  </r>
  <r>
    <x v="10"/>
    <x v="3"/>
    <s v="Renewables"/>
    <s v="Biomass"/>
    <s v="IPOEOHTBIO"/>
    <x v="230"/>
    <s v="TechData_OTR"/>
    <n v="1"/>
    <n v="0"/>
    <n v="17.059953825328186"/>
    <n v="15.041204227462821"/>
    <n v="0"/>
    <n v="0"/>
    <n v="4.1766030774732057"/>
    <n v="3.9223406932800917"/>
    <n v="0.90800712759170743"/>
    <n v="0"/>
    <n v="0"/>
    <n v="1"/>
    <n v="1"/>
    <n v="1"/>
    <n v="1"/>
    <n v="1"/>
    <n v="1"/>
    <n v="1"/>
    <n v="1"/>
    <n v="1"/>
    <n v="17.059953825328186"/>
    <n v="15.041204227462821"/>
    <n v="0"/>
    <n v="0"/>
    <n v="4.1766030774732057"/>
    <n v="3.9223406932800917"/>
    <n v="0.90800712759170743"/>
    <n v="0"/>
    <n v="0"/>
    <n v="41.10810895113601"/>
    <n v="0"/>
    <n v="0"/>
    <n v="0"/>
    <n v="0"/>
    <n v="0"/>
    <n v="0"/>
    <n v="0"/>
    <n v="0"/>
    <n v="0"/>
    <n v="0"/>
  </r>
  <r>
    <x v="10"/>
    <x v="3"/>
    <s v="Renewables"/>
    <s v="Black Liquor; Hog Fuel"/>
    <s v="IPOEBASTOM"/>
    <x v="230"/>
    <s v="TechData_IPBIO"/>
    <n v="1"/>
    <n v="0"/>
    <n v="9.5716350688277135E-2"/>
    <n v="0.20955579661090454"/>
    <n v="0"/>
    <n v="0"/>
    <n v="8.4318558903396637E-2"/>
    <n v="0.26127162951928035"/>
    <n v="0.18869617687503581"/>
    <n v="0"/>
    <n v="0"/>
    <n v="1"/>
    <n v="1"/>
    <n v="1"/>
    <n v="1"/>
    <n v="1"/>
    <n v="1"/>
    <n v="1"/>
    <n v="1"/>
    <n v="1"/>
    <n v="9.5716350688277135E-2"/>
    <n v="0.20955579661090454"/>
    <n v="0"/>
    <n v="0"/>
    <n v="8.4318558903396637E-2"/>
    <n v="0.26127162951928035"/>
    <n v="0.18869617687503581"/>
    <n v="0"/>
    <n v="0"/>
    <n v="0.8395585125968944"/>
    <n v="0"/>
    <n v="0"/>
    <n v="0"/>
    <n v="0"/>
    <n v="0"/>
    <n v="0"/>
    <n v="0"/>
    <n v="0"/>
    <n v="0"/>
    <n v="0"/>
  </r>
  <r>
    <x v="10"/>
    <x v="3"/>
    <s v="Renewables"/>
    <s v="Black Liquor; Hog Fuel"/>
    <s v="IPOEBHLTOM"/>
    <x v="230"/>
    <s v="TechData_IPBIO"/>
    <n v="1"/>
    <n v="0"/>
    <n v="0.45746909999999996"/>
    <n v="0"/>
    <n v="0"/>
    <n v="2.0331959999999998"/>
    <n v="0"/>
    <n v="0"/>
    <n v="0"/>
    <n v="0"/>
    <n v="0"/>
    <n v="0.95890410958904104"/>
    <n v="0"/>
    <n v="0"/>
    <n v="0"/>
    <n v="0"/>
    <n v="0"/>
    <n v="0"/>
    <n v="0"/>
    <n v="0"/>
    <n v="0.43866899999999992"/>
    <n v="0"/>
    <n v="0"/>
    <n v="0"/>
    <n v="0"/>
    <n v="0"/>
    <n v="0"/>
    <n v="0"/>
    <n v="0"/>
    <n v="0.43866899999999992"/>
    <n v="0"/>
    <n v="0"/>
    <n v="0"/>
    <n v="0"/>
    <n v="0"/>
    <n v="0"/>
    <n v="0"/>
    <n v="0"/>
    <n v="0"/>
    <n v="0"/>
  </r>
  <r>
    <x v="10"/>
    <x v="3"/>
    <s v="Renewables"/>
    <s v="Black Liquor; Hog Fuel"/>
    <s v="IPOEBSTTOM"/>
    <x v="231"/>
    <s v="TechData_IPBIO"/>
    <n v="0.88409973573943335"/>
    <n v="0.11590026426056661"/>
    <n v="7.1651837546816465E-3"/>
    <n v="7.8007044007490627E-3"/>
    <n v="0"/>
    <n v="0"/>
    <n v="0.24007170485770801"/>
    <n v="0"/>
    <n v="0"/>
    <n v="0"/>
    <n v="0.44997374170045235"/>
    <n v="0"/>
    <n v="0.99"/>
    <n v="0"/>
    <n v="0"/>
    <n v="5.5407070297375252E-2"/>
    <n v="0"/>
    <n v="0"/>
    <n v="0"/>
    <n v="0"/>
    <n v="0"/>
    <n v="0.21531628765608407"/>
    <n v="0"/>
    <n v="0"/>
    <n v="0.37086344764964874"/>
    <n v="0"/>
    <n v="0"/>
    <n v="0"/>
    <n v="0"/>
    <n v="0.58617973530573275"/>
    <n v="0"/>
    <n v="2.8226696186118141E-2"/>
    <n v="0"/>
    <n v="0"/>
    <n v="4.8618012029185059E-2"/>
    <n v="0"/>
    <n v="0"/>
    <n v="0"/>
    <n v="0"/>
    <n v="7.6844708215303204E-2"/>
  </r>
  <r>
    <x v="10"/>
    <x v="3"/>
    <s v="Renewables"/>
    <s v="Hog Fuel"/>
    <s v="IPOEBSDWOD"/>
    <x v="230"/>
    <s v="TechData_IPBIO"/>
    <n v="1"/>
    <n v="0"/>
    <n v="0"/>
    <n v="0"/>
    <n v="0"/>
    <n v="0"/>
    <n v="0"/>
    <n v="0"/>
    <n v="1.4786879999999998"/>
    <n v="0"/>
    <n v="0"/>
    <n v="0"/>
    <n v="0"/>
    <n v="0"/>
    <n v="0"/>
    <n v="0"/>
    <n v="0"/>
    <n v="0.9817351598173516"/>
    <n v="0"/>
    <n v="0"/>
    <n v="0"/>
    <n v="0"/>
    <n v="0"/>
    <n v="0"/>
    <n v="0"/>
    <n v="0"/>
    <n v="1.4516799999999999"/>
    <n v="0"/>
    <n v="0"/>
    <n v="1.4516799999999999"/>
    <n v="0"/>
    <n v="0"/>
    <n v="0"/>
    <n v="0"/>
    <n v="0"/>
    <n v="0"/>
    <n v="0"/>
    <n v="0"/>
    <n v="0"/>
    <n v="0"/>
  </r>
  <r>
    <x v="10"/>
    <x v="3"/>
    <s v="Renewables"/>
    <s v="Hog Fuel"/>
    <s v="IPOEBSTWOD"/>
    <x v="231"/>
    <s v="TechData_IPBIO"/>
    <n v="0.89681264547140893"/>
    <n v="0.10318735452859105"/>
    <n v="0"/>
    <n v="0"/>
    <n v="7.4866139264153531E-2"/>
    <n v="9.085184118142467E-2"/>
    <n v="0"/>
    <n v="0"/>
    <n v="0"/>
    <n v="0"/>
    <n v="0"/>
    <n v="0"/>
    <n v="0"/>
    <n v="0.18046126387416261"/>
    <n v="3.6645687799159589E-2"/>
    <n v="0"/>
    <n v="0"/>
    <n v="0"/>
    <n v="0"/>
    <n v="0"/>
    <n v="0"/>
    <n v="0"/>
    <n v="0.3821006379288226"/>
    <n v="9.4159672801071972E-2"/>
    <n v="0"/>
    <n v="0"/>
    <n v="0"/>
    <n v="0"/>
    <n v="0"/>
    <n v="0.47626031072989455"/>
    <n v="0"/>
    <n v="0"/>
    <n v="4.3964538402373833E-2"/>
    <n v="1.0834021563682449E-2"/>
    <n v="0"/>
    <n v="0"/>
    <n v="0"/>
    <n v="0"/>
    <n v="0"/>
    <n v="5.479855996605628E-2"/>
  </r>
  <r>
    <x v="10"/>
    <x v="3"/>
    <s v="Renewables"/>
    <s v="Hog Fuel"/>
    <s v="IPOEBSWWOD"/>
    <x v="230"/>
    <s v="TechData_IPBIO"/>
    <n v="1"/>
    <n v="0"/>
    <n v="0"/>
    <n v="0"/>
    <n v="0"/>
    <n v="0"/>
    <n v="1.9962287999999999"/>
    <n v="0"/>
    <n v="0"/>
    <n v="0"/>
    <n v="0"/>
    <n v="0"/>
    <n v="0"/>
    <n v="0"/>
    <n v="0"/>
    <n v="0.94486301369863013"/>
    <n v="0"/>
    <n v="0"/>
    <n v="0"/>
    <n v="0"/>
    <n v="0"/>
    <n v="0"/>
    <n v="0"/>
    <n v="0"/>
    <n v="1.8861627599999999"/>
    <n v="0"/>
    <n v="0"/>
    <n v="0"/>
    <n v="0"/>
    <n v="1.8861627599999999"/>
    <n v="0"/>
    <n v="0"/>
    <n v="0"/>
    <n v="0"/>
    <n v="0"/>
    <n v="0"/>
    <n v="0"/>
    <n v="0"/>
    <n v="0"/>
    <n v="0"/>
  </r>
  <r>
    <x v="10"/>
    <x v="4"/>
    <s v="Distillate Oil"/>
    <s v="Distillate Oil"/>
    <s v="IPOEPRHDST"/>
    <x v="232"/>
    <s v="TechData_OTR"/>
    <n v="1"/>
    <n v="0"/>
    <n v="0"/>
    <n v="0"/>
    <n v="1.8262699035658232"/>
    <n v="0.34971125812962567"/>
    <n v="1.0879905808477244"/>
    <n v="0.63173646629867874"/>
    <n v="0.45625411454904574"/>
    <n v="0"/>
    <n v="0"/>
    <n v="1"/>
    <n v="1"/>
    <n v="1"/>
    <n v="1"/>
    <n v="1"/>
    <n v="1"/>
    <n v="1"/>
    <n v="1"/>
    <n v="1"/>
    <n v="0"/>
    <n v="0"/>
    <n v="1.8262699035658232"/>
    <n v="0.34971125812962567"/>
    <n v="1.0879905808477244"/>
    <n v="0.63173646629867874"/>
    <n v="0.45625411454904574"/>
    <n v="0"/>
    <n v="0"/>
    <n v="4.3519623233908984"/>
    <n v="0"/>
    <n v="0"/>
    <n v="0"/>
    <n v="0"/>
    <n v="0"/>
    <n v="0"/>
    <n v="0"/>
    <n v="0"/>
    <n v="0"/>
    <n v="0"/>
  </r>
  <r>
    <x v="10"/>
    <x v="4"/>
    <s v="Electricity"/>
    <s v="Electricity"/>
    <s v="IPOEPRHELC"/>
    <x v="233"/>
    <s v="TechData_OTR"/>
    <n v="1"/>
    <n v="0"/>
    <n v="0.19123358740629634"/>
    <n v="0.16873551829967323"/>
    <n v="0.65458667734031972"/>
    <n v="0.12534638502261441"/>
    <n v="0.53995365855895439"/>
    <n v="0.31352147916326389"/>
    <n v="0.22643217939569057"/>
    <n v="2.0569663183198261E-2"/>
    <n v="0.15941488966978654"/>
    <n v="1"/>
    <n v="1"/>
    <n v="1"/>
    <n v="1"/>
    <n v="1"/>
    <n v="1"/>
    <n v="1"/>
    <n v="1"/>
    <n v="1"/>
    <n v="0.19123358740629634"/>
    <n v="0.16873551829967323"/>
    <n v="0.65458667734031972"/>
    <n v="0.12534638502261441"/>
    <n v="0.53995365855895439"/>
    <n v="0.31352147916326389"/>
    <n v="0.22643217939569057"/>
    <n v="2.0569663183198261E-2"/>
    <n v="0.15941488966978654"/>
    <n v="2.3997940380397975"/>
    <n v="0"/>
    <n v="0"/>
    <n v="0"/>
    <n v="0"/>
    <n v="0"/>
    <n v="0"/>
    <n v="0"/>
    <n v="0"/>
    <n v="0"/>
    <n v="0"/>
  </r>
  <r>
    <x v="10"/>
    <x v="4"/>
    <s v="Natural Gas"/>
    <s v="Natural Gas"/>
    <s v="IPOEPRHNGA"/>
    <x v="234"/>
    <s v="TechData_OTR"/>
    <n v="1"/>
    <n v="0"/>
    <n v="1.1758591173973982"/>
    <n v="1.0375227506447631"/>
    <n v="7.4306391284272566"/>
    <n v="1.4228883437413895"/>
    <n v="3.3200728020632422"/>
    <n v="1.9277842076496248"/>
    <n v="1.3922885944136176"/>
    <n v="0.18068423412589069"/>
    <n v="1.4003028144756529"/>
    <n v="1"/>
    <n v="1"/>
    <n v="1"/>
    <n v="1"/>
    <n v="1"/>
    <n v="1"/>
    <n v="1"/>
    <n v="1"/>
    <n v="1"/>
    <n v="1.1758591173973982"/>
    <n v="1.0375227506447631"/>
    <n v="7.4306391284272566"/>
    <n v="1.4228883437413895"/>
    <n v="3.3200728020632422"/>
    <n v="1.9277842076496248"/>
    <n v="1.3922885944136176"/>
    <n v="0.18068423412589069"/>
    <n v="1.4003028144756529"/>
    <n v="19.288041992938837"/>
    <n v="0"/>
    <n v="0"/>
    <n v="0"/>
    <n v="0"/>
    <n v="0"/>
    <n v="0"/>
    <n v="0"/>
    <n v="0"/>
    <n v="0"/>
    <n v="0"/>
  </r>
  <r>
    <x v="10"/>
    <x v="5"/>
    <s v="Distillate Oil"/>
    <s v="Distillate Oil"/>
    <s v="IPOEBLLDST"/>
    <x v="235"/>
    <s v="TechData_Boiler"/>
    <n v="1"/>
    <n v="0"/>
    <n v="0"/>
    <n v="0"/>
    <n v="0"/>
    <n v="1.3308191999999999"/>
    <n v="1.7282165999999999"/>
    <n v="0"/>
    <n v="0"/>
    <n v="0"/>
    <n v="0"/>
    <n v="0"/>
    <n v="0"/>
    <n v="0"/>
    <n v="0"/>
    <n v="0"/>
    <n v="0"/>
    <n v="0"/>
    <n v="0"/>
    <n v="0"/>
    <n v="0"/>
    <n v="0"/>
    <n v="0"/>
    <n v="0"/>
    <n v="0"/>
    <n v="0"/>
    <n v="0"/>
    <n v="0"/>
    <n v="0"/>
    <n v="0"/>
    <n v="0"/>
    <n v="0"/>
    <n v="0"/>
    <n v="0"/>
    <n v="0"/>
    <n v="0"/>
    <n v="0"/>
    <n v="0"/>
    <n v="0"/>
    <n v="0"/>
  </r>
  <r>
    <x v="10"/>
    <x v="5"/>
    <s v="Distillate Oil"/>
    <s v="Distillate Oil"/>
    <s v="IPOEBOLDST"/>
    <x v="235"/>
    <s v="TechData_Boiler"/>
    <n v="1"/>
    <n v="0"/>
    <n v="0"/>
    <n v="0"/>
    <n v="0.84932141999999999"/>
    <n v="0"/>
    <n v="0"/>
    <n v="0"/>
    <n v="0"/>
    <n v="0"/>
    <n v="0"/>
    <n v="0"/>
    <n v="0"/>
    <n v="0"/>
    <n v="0"/>
    <n v="0"/>
    <n v="0"/>
    <n v="0"/>
    <n v="0"/>
    <n v="0"/>
    <n v="0"/>
    <n v="0"/>
    <n v="0"/>
    <n v="0"/>
    <n v="0"/>
    <n v="0"/>
    <n v="0"/>
    <n v="0"/>
    <n v="0"/>
    <n v="0"/>
    <n v="0"/>
    <n v="0"/>
    <n v="0"/>
    <n v="0"/>
    <n v="0"/>
    <n v="0"/>
    <n v="0"/>
    <n v="0"/>
    <n v="0"/>
    <n v="0"/>
  </r>
  <r>
    <x v="10"/>
    <x v="5"/>
    <s v="Electricity"/>
    <s v="Electricity"/>
    <s v="IPOEBOLELC"/>
    <x v="236"/>
    <s v="TechData_Boiler"/>
    <n v="1"/>
    <n v="0"/>
    <n v="7.8696949549916184E-2"/>
    <n v="6.943848489698487E-2"/>
    <n v="0.2693772334733826"/>
    <n v="5.1582874494903043E-2"/>
    <n v="0.2222031516703516"/>
    <n v="0.12902118484084932"/>
    <n v="9.3181966829502291E-2"/>
    <n v="8.4648819683943461E-3"/>
    <n v="6.5602835255056183E-2"/>
    <n v="1"/>
    <n v="1"/>
    <n v="1"/>
    <n v="1"/>
    <n v="1"/>
    <n v="1"/>
    <n v="1"/>
    <n v="1"/>
    <n v="1"/>
    <n v="7.8696949549916184E-2"/>
    <n v="6.943848489698487E-2"/>
    <n v="0.2693772334733826"/>
    <n v="5.1582874494903043E-2"/>
    <n v="0.2222031516703516"/>
    <n v="0.12902118484084932"/>
    <n v="9.3181966829502291E-2"/>
    <n v="8.4648819683943461E-3"/>
    <n v="6.5602835255056183E-2"/>
    <n v="0.98756956297934051"/>
    <n v="0"/>
    <n v="0"/>
    <n v="0"/>
    <n v="0"/>
    <n v="0"/>
    <n v="0"/>
    <n v="0"/>
    <n v="0"/>
    <n v="0"/>
    <n v="0"/>
  </r>
  <r>
    <x v="10"/>
    <x v="5"/>
    <s v="Natural Gas"/>
    <s v="Natural Gas"/>
    <s v="IPOEBOLNGA"/>
    <x v="237"/>
    <s v="TechData_Boiler"/>
    <n v="1"/>
    <n v="0"/>
    <n v="1.42231302"/>
    <n v="0.11644667999999998"/>
    <n v="2.0172908621999999"/>
    <n v="0.92418"/>
    <n v="2.5188063810000001"/>
    <n v="4.2950341319999996"/>
    <n v="0.73934399999999989"/>
    <n v="0"/>
    <n v="0.231045"/>
    <n v="0.45464680549595132"/>
    <n v="0.45464680549595132"/>
    <n v="0.45464680549595132"/>
    <n v="0.45464680549595132"/>
    <n v="0.45464680549595132"/>
    <n v="0.45464680549595132"/>
    <n v="0.45464680549595132"/>
    <n v="0.45464680549595132"/>
    <n v="0.45464680549595132"/>
    <n v="0.64665007095829918"/>
    <n v="5.294211107260928E-2"/>
    <n v="0.91715484625540333"/>
    <n v="0.42017548470324828"/>
    <n v="1.1451672747844681"/>
    <n v="1.9527235476098759"/>
    <n v="0.33614038776259858"/>
    <n v="0"/>
    <n v="0.10504387117581207"/>
    <n v="5.5759975943223132"/>
    <n v="0"/>
    <n v="0"/>
    <n v="0"/>
    <n v="0"/>
    <n v="0"/>
    <n v="0"/>
    <n v="0"/>
    <n v="0"/>
    <n v="0"/>
    <n v="0"/>
  </r>
  <r>
    <x v="10"/>
    <x v="5"/>
    <s v="Natural Gas"/>
    <s v="Natural Gas"/>
    <s v="IPOEBSTNGA"/>
    <x v="238"/>
    <s v="TechData_CHP"/>
    <n v="0.88395054508992521"/>
    <n v="0.11604945491007485"/>
    <n v="2.1513030317488293"/>
    <n v="4.1727518866066259E-2"/>
    <n v="0"/>
    <n v="0"/>
    <n v="0"/>
    <n v="0"/>
    <n v="0"/>
    <n v="0"/>
    <n v="0"/>
    <n v="0.17235007645540792"/>
    <n v="0.17235007645540792"/>
    <n v="0.17235007645540792"/>
    <n v="0.17235007645540792"/>
    <n v="0.17235007645540792"/>
    <n v="0.17235007645540792"/>
    <n v="0.17235007645540792"/>
    <n v="0.17235007645540792"/>
    <n v="0.17235007645540792"/>
    <n v="10.335884427789098"/>
    <n v="0.20047887540392051"/>
    <n v="0"/>
    <n v="0"/>
    <n v="0"/>
    <n v="0"/>
    <n v="0"/>
    <n v="0"/>
    <n v="0"/>
    <n v="10.536363303193019"/>
    <n v="1.3569466759437678"/>
    <n v="2.6319870880607884E-2"/>
    <n v="0"/>
    <n v="0"/>
    <n v="0"/>
    <n v="0"/>
    <n v="0"/>
    <n v="0"/>
    <n v="0"/>
    <n v="1.3832665468243757"/>
  </r>
  <r>
    <x v="10"/>
    <x v="5"/>
    <s v="Natural Gas"/>
    <s v="Natural Gas"/>
    <s v="IPOECCTNGA"/>
    <x v="238"/>
    <s v="TechData_CHP"/>
    <n v="0.50866278947655541"/>
    <n v="0.49133721052344465"/>
    <n v="0"/>
    <n v="0.2118619523482595"/>
    <n v="0"/>
    <n v="8.6465217391304364E-3"/>
    <n v="5.1193890580493076E-2"/>
    <n v="0"/>
    <n v="0"/>
    <n v="0"/>
    <n v="0.20124086343313291"/>
    <n v="0.16538643700266412"/>
    <n v="0.16538643700266412"/>
    <n v="0.16538643700266412"/>
    <n v="0.16538643700266412"/>
    <n v="0.16538643700266412"/>
    <n v="0.16538643700266412"/>
    <n v="0.16538643700266412"/>
    <n v="0.16538643700266412"/>
    <n v="0.16538643700266412"/>
    <n v="0"/>
    <n v="0.56206874572555565"/>
    <n v="0"/>
    <n v="2.2939180796432042E-2"/>
    <n v="0.13581714672434184"/>
    <n v="0"/>
    <n v="0"/>
    <n v="0"/>
    <n v="0.53389104766039452"/>
    <n v="1.2547161209067241"/>
    <n v="0"/>
    <n v="0.54292410485028109"/>
    <n v="0"/>
    <n v="2.2157848652169538E-2"/>
    <n v="0.13119107470287492"/>
    <n v="0"/>
    <n v="0"/>
    <n v="0"/>
    <n v="0.51570616822756254"/>
    <n v="1.2119791964328881"/>
  </r>
  <r>
    <x v="10"/>
    <x v="5"/>
    <s v="Residual Oil"/>
    <s v="Residual Oil"/>
    <s v="IPOEBASRFL"/>
    <x v="239"/>
    <s v="TechData_Boiler"/>
    <n v="1"/>
    <n v="0"/>
    <n v="0.45567672531992659"/>
    <n v="0.40206769881169996"/>
    <n v="0"/>
    <n v="0"/>
    <n v="0"/>
    <n v="0"/>
    <n v="0"/>
    <n v="9.8027934186471599E-2"/>
    <n v="0.75971648994515495"/>
    <n v="1"/>
    <n v="1"/>
    <n v="1"/>
    <n v="1"/>
    <n v="1"/>
    <n v="1"/>
    <n v="1"/>
    <n v="1"/>
    <n v="1"/>
    <n v="0.45567672531992659"/>
    <n v="0.40206769881169996"/>
    <n v="0"/>
    <n v="0"/>
    <n v="0"/>
    <n v="0"/>
    <n v="0"/>
    <n v="9.8027934186471599E-2"/>
    <n v="0.75971648994515495"/>
    <n v="1.7154888482632531"/>
    <n v="0"/>
    <n v="0"/>
    <n v="0"/>
    <n v="0"/>
    <n v="0"/>
    <n v="0"/>
    <n v="0"/>
    <n v="0"/>
    <n v="0"/>
    <n v="0"/>
  </r>
  <r>
    <x v="10"/>
    <x v="5"/>
    <s v="Steam Coal"/>
    <s v="Steam Coal"/>
    <s v="IPOEBSOCOA"/>
    <x v="240"/>
    <s v="TechData_Boiler"/>
    <n v="1"/>
    <n v="0"/>
    <n v="0"/>
    <n v="0"/>
    <n v="4.1126009999999997"/>
    <n v="0"/>
    <n v="0"/>
    <n v="0"/>
    <n v="0"/>
    <n v="0"/>
    <n v="0"/>
    <n v="0.3501883996974825"/>
    <n v="0.3501883996974825"/>
    <n v="0.3501883996974825"/>
    <n v="0.3501883996974825"/>
    <n v="0.3501883996974825"/>
    <n v="0.3501883996974825"/>
    <n v="0.3501883996974825"/>
    <n v="0.3501883996974825"/>
    <n v="0.3501883996974825"/>
    <n v="0"/>
    <n v="0"/>
    <n v="1.4401851627842661"/>
    <n v="0"/>
    <n v="0"/>
    <n v="0"/>
    <n v="0"/>
    <n v="0"/>
    <n v="0"/>
    <n v="1.4401851627842661"/>
    <n v="0"/>
    <n v="0"/>
    <n v="0"/>
    <n v="0"/>
    <n v="0"/>
    <n v="0"/>
    <n v="0"/>
    <n v="0"/>
    <n v="0"/>
    <n v="0"/>
  </r>
  <r>
    <x v="10"/>
    <x v="5"/>
    <s v="Steam Coal"/>
    <s v="Steam Coal"/>
    <s v="IPOEBSTCOA"/>
    <x v="238"/>
    <s v="TechData_CHP"/>
    <n v="0.88332652522877819"/>
    <n v="0.11667347477122178"/>
    <n v="0"/>
    <n v="0.86652086258887107"/>
    <n v="0"/>
    <n v="0"/>
    <n v="0"/>
    <n v="0"/>
    <n v="0"/>
    <n v="0"/>
    <n v="0"/>
    <n v="0.10730741146118085"/>
    <n v="0.10730741146118085"/>
    <n v="0.10730741146118085"/>
    <n v="0.10730741146118085"/>
    <n v="0.10730741146118085"/>
    <n v="0.10730741146118085"/>
    <n v="0.10730741146118085"/>
    <n v="0.10730741146118085"/>
    <n v="0.10730741146118085"/>
    <n v="0"/>
    <n v="2.5902198123800133"/>
    <n v="0"/>
    <n v="0"/>
    <n v="0"/>
    <n v="0"/>
    <n v="0"/>
    <n v="0"/>
    <n v="0"/>
    <n v="2.5902198123800133"/>
    <n v="0"/>
    <n v="0.34212710396460366"/>
    <n v="0"/>
    <n v="0"/>
    <n v="0"/>
    <n v="0"/>
    <n v="0"/>
    <n v="0"/>
    <n v="0"/>
    <n v="0.34212710396460366"/>
  </r>
  <r>
    <x v="11"/>
    <x v="0"/>
    <s v="Distillate Oil"/>
    <s v="Distillate Oil"/>
    <s v="IPAEFACDST"/>
    <x v="241"/>
    <s v="TechData_OTR"/>
    <n v="1"/>
    <n v="0"/>
    <n v="0.57799499607535354"/>
    <n v="0.50999558477237084"/>
    <n v="0"/>
    <n v="0"/>
    <n v="0.54399529042386219"/>
    <n v="0.31586823314933937"/>
    <n v="0.22812705727452287"/>
    <n v="0"/>
    <n v="0"/>
    <n v="1"/>
    <n v="1"/>
    <n v="1"/>
    <n v="1"/>
    <n v="1"/>
    <n v="1"/>
    <n v="1"/>
    <n v="1"/>
    <n v="1"/>
    <n v="0.57799499607535354"/>
    <n v="0.50999558477237084"/>
    <n v="0"/>
    <n v="0"/>
    <n v="0.54399529042386219"/>
    <n v="0.31586823314933937"/>
    <n v="0.22812705727452287"/>
    <n v="0"/>
    <n v="0"/>
    <n v="2.1759811616954492"/>
    <n v="0"/>
    <n v="0"/>
    <n v="0"/>
    <n v="0"/>
    <n v="0"/>
    <n v="0"/>
    <n v="0"/>
    <n v="0"/>
    <n v="0"/>
    <n v="0"/>
  </r>
  <r>
    <x v="11"/>
    <x v="0"/>
    <s v="Electricity"/>
    <s v="Electricity"/>
    <s v="IPAEFACELC"/>
    <x v="242"/>
    <s v="TechData_OTR"/>
    <n v="1"/>
    <n v="0"/>
    <n v="0.17090751669931295"/>
    <n v="0.15080075002880552"/>
    <n v="1.5120288536221571"/>
    <n v="0.28953744005530663"/>
    <n v="1.2868330669124739"/>
    <n v="0.74719339369111393"/>
    <n v="0.53963967322136008"/>
    <n v="0.20589329070599582"/>
    <n v="1.5956730029714676"/>
    <n v="1"/>
    <n v="1"/>
    <n v="1"/>
    <n v="1"/>
    <n v="1"/>
    <n v="1"/>
    <n v="1"/>
    <n v="1"/>
    <n v="1"/>
    <n v="0.17090751669931295"/>
    <n v="0.15080075002880552"/>
    <n v="1.5120288536221571"/>
    <n v="0.28953744005530663"/>
    <n v="1.2868330669124739"/>
    <n v="0.74719339369111393"/>
    <n v="0.53963967322136008"/>
    <n v="0.20589329070599582"/>
    <n v="1.5956730029714676"/>
    <n v="6.4985069879079926"/>
    <n v="0"/>
    <n v="0"/>
    <n v="0"/>
    <n v="0"/>
    <n v="0"/>
    <n v="0"/>
    <n v="0"/>
    <n v="0"/>
    <n v="0"/>
    <n v="0"/>
  </r>
  <r>
    <x v="11"/>
    <x v="0"/>
    <s v="Natural Gas"/>
    <s v="Natural Gas"/>
    <s v="IPAEFACNGA"/>
    <x v="243"/>
    <s v="TechData_OTR"/>
    <n v="1"/>
    <n v="0"/>
    <n v="0.42723608451040174"/>
    <n v="0.37697301574447206"/>
    <n v="0.51614680699131088"/>
    <n v="9.8836622615357403E-2"/>
    <n v="0.44941096778948836"/>
    <n v="0.26094830387776746"/>
    <n v="0.18846266391172092"/>
    <n v="5.0460178839521502E-2"/>
    <n v="0.39106638600629157"/>
    <n v="1"/>
    <n v="1"/>
    <n v="1"/>
    <n v="1"/>
    <n v="1"/>
    <n v="1"/>
    <n v="1"/>
    <n v="1"/>
    <n v="1"/>
    <n v="0.42723608451040174"/>
    <n v="0.37697301574447206"/>
    <n v="0.51614680699131088"/>
    <n v="9.8836622615357403E-2"/>
    <n v="0.44941096778948836"/>
    <n v="0.26094830387776746"/>
    <n v="0.18846266391172092"/>
    <n v="5.0460178839521502E-2"/>
    <n v="0.39106638600629157"/>
    <n v="2.7595410302863321"/>
    <n v="0"/>
    <n v="0"/>
    <n v="0"/>
    <n v="0"/>
    <n v="0"/>
    <n v="0"/>
    <n v="0"/>
    <n v="0"/>
    <n v="0"/>
    <n v="0"/>
  </r>
  <r>
    <x v="11"/>
    <x v="0"/>
    <s v="Residual Oil"/>
    <s v="Residual Oil"/>
    <s v="IPAEFACRFL"/>
    <x v="244"/>
    <s v="TechData_OTR"/>
    <n v="1"/>
    <n v="0"/>
    <n v="0.28145566727605104"/>
    <n v="0.24834323583180976"/>
    <n v="5.5581581352833614E-2"/>
    <n v="1.0643281535648988E-2"/>
    <n v="0.19867458866544785"/>
    <n v="0.11535943857993747"/>
    <n v="8.3315150085510395E-2"/>
    <n v="0"/>
    <n v="0"/>
    <n v="1"/>
    <n v="1"/>
    <n v="1"/>
    <n v="1"/>
    <n v="1"/>
    <n v="1"/>
    <n v="1"/>
    <n v="1"/>
    <n v="1"/>
    <n v="0.28145566727605104"/>
    <n v="0.24834323583180976"/>
    <n v="5.5581581352833614E-2"/>
    <n v="1.0643281535648988E-2"/>
    <n v="0.19867458866544785"/>
    <n v="0.11535943857993747"/>
    <n v="8.3315150085510395E-2"/>
    <n v="0"/>
    <n v="0"/>
    <n v="0.99337294332723913"/>
    <n v="0"/>
    <n v="0"/>
    <n v="0"/>
    <n v="0"/>
    <n v="0"/>
    <n v="0"/>
    <n v="0"/>
    <n v="0"/>
    <n v="0"/>
    <n v="0"/>
  </r>
  <r>
    <x v="11"/>
    <x v="2"/>
    <s v="Electricity"/>
    <s v="Electricity"/>
    <s v="IPAEMDRELC"/>
    <x v="245"/>
    <s v="TechData_OTR"/>
    <n v="1"/>
    <n v="0"/>
    <n v="2.1810647589443986"/>
    <n v="1.9244689049509396"/>
    <n v="19.296008220308092"/>
    <n v="3.6949802975058046"/>
    <n v="16.422134655581353"/>
    <n v="9.5354330258214315"/>
    <n v="6.8867016297599228"/>
    <n v="2.6275415448930164"/>
    <n v="20.363446972920876"/>
    <n v="1"/>
    <n v="1"/>
    <n v="1"/>
    <n v="1"/>
    <n v="1"/>
    <n v="1"/>
    <n v="1"/>
    <n v="1"/>
    <n v="1"/>
    <n v="2.1810647589443986"/>
    <n v="1.9244689049509396"/>
    <n v="19.296008220308092"/>
    <n v="3.6949802975058046"/>
    <n v="16.422134655581353"/>
    <n v="9.5354330258214315"/>
    <n v="6.8867016297599228"/>
    <n v="2.6275415448930164"/>
    <n v="20.363446972920876"/>
    <n v="82.931780010685841"/>
    <n v="0"/>
    <n v="0"/>
    <n v="0"/>
    <n v="0"/>
    <n v="0"/>
    <n v="0"/>
    <n v="0"/>
    <n v="0"/>
    <n v="0"/>
    <n v="0"/>
  </r>
  <r>
    <x v="11"/>
    <x v="2"/>
    <s v="Natural Gas"/>
    <s v="Natural Gas"/>
    <s v="IPAEMDRNGA"/>
    <x v="246"/>
    <s v="TechData_OTR"/>
    <n v="1"/>
    <n v="0"/>
    <n v="0.71206014085066949"/>
    <n v="0.6282883595741201"/>
    <n v="0.86024467831885132"/>
    <n v="0.16472770435892897"/>
    <n v="0.74901827964914725"/>
    <n v="0.43491383979627907"/>
    <n v="0.31410443985286818"/>
    <n v="8.4100298065869161E-2"/>
    <n v="0.65177731001048589"/>
    <n v="1"/>
    <n v="1"/>
    <n v="1"/>
    <n v="1"/>
    <n v="1"/>
    <n v="1"/>
    <n v="1"/>
    <n v="1"/>
    <n v="1"/>
    <n v="0.71206014085066949"/>
    <n v="0.6282883595741201"/>
    <n v="0.86024467831885132"/>
    <n v="0.16472770435892897"/>
    <n v="0.74901827964914725"/>
    <n v="0.43491383979627907"/>
    <n v="0.31410443985286818"/>
    <n v="8.4100298065869161E-2"/>
    <n v="0.65177731001048589"/>
    <n v="4.5992350504772199"/>
    <n v="0"/>
    <n v="0"/>
    <n v="0"/>
    <n v="0"/>
    <n v="0"/>
    <n v="0"/>
    <n v="0"/>
    <n v="0"/>
    <n v="0"/>
    <n v="0"/>
  </r>
  <r>
    <x v="11"/>
    <x v="3"/>
    <s v="Electricity"/>
    <s v="Electricity"/>
    <s v="IPAEOHTELC"/>
    <x v="247"/>
    <s v="TechData_OTR"/>
    <n v="1"/>
    <n v="0"/>
    <n v="0.14242293058276079"/>
    <n v="0.12566729169067126"/>
    <n v="1.260024044685131"/>
    <n v="0.24128120004608886"/>
    <n v="1.0723608890937282"/>
    <n v="0.62266116140926153"/>
    <n v="0.4496997276844667"/>
    <n v="0.17157774225499653"/>
    <n v="1.329727502476223"/>
    <n v="1"/>
    <n v="1"/>
    <n v="1"/>
    <n v="1"/>
    <n v="1"/>
    <n v="1"/>
    <n v="1"/>
    <n v="1"/>
    <n v="1"/>
    <n v="0.14242293058276079"/>
    <n v="0.12566729169067126"/>
    <n v="1.260024044685131"/>
    <n v="0.24128120004608886"/>
    <n v="1.0723608890937282"/>
    <n v="0.62266116140926153"/>
    <n v="0.4496997276844667"/>
    <n v="0.17157774225499653"/>
    <n v="1.329727502476223"/>
    <n v="5.4154224899233281"/>
    <n v="0"/>
    <n v="0"/>
    <n v="0"/>
    <n v="0"/>
    <n v="0"/>
    <n v="0"/>
    <n v="0"/>
    <n v="0"/>
    <n v="0"/>
    <n v="0"/>
  </r>
  <r>
    <x v="11"/>
    <x v="3"/>
    <s v="Natural Gas"/>
    <s v="Natural Gas"/>
    <s v="IPAEOHTNGA"/>
    <x v="248"/>
    <s v="TechData_OTR"/>
    <n v="1"/>
    <n v="0"/>
    <n v="0.71206014085066949"/>
    <n v="0.6282883595741201"/>
    <n v="0.86024467831885132"/>
    <n v="0.16472770435892897"/>
    <n v="0.74901827964914725"/>
    <n v="0.43491383979627907"/>
    <n v="0.31410443985286818"/>
    <n v="8.4100298065869161E-2"/>
    <n v="0.65177731001048589"/>
    <n v="1"/>
    <n v="1"/>
    <n v="1"/>
    <n v="1"/>
    <n v="1"/>
    <n v="1"/>
    <n v="1"/>
    <n v="1"/>
    <n v="1"/>
    <n v="0.71206014085066949"/>
    <n v="0.6282883595741201"/>
    <n v="0.86024467831885132"/>
    <n v="0.16472770435892897"/>
    <n v="0.74901827964914725"/>
    <n v="0.43491383979627907"/>
    <n v="0.31410443985286818"/>
    <n v="8.4100298065869161E-2"/>
    <n v="0.65177731001048589"/>
    <n v="4.5992350504772199"/>
    <n v="0"/>
    <n v="0"/>
    <n v="0"/>
    <n v="0"/>
    <n v="0"/>
    <n v="0"/>
    <n v="0"/>
    <n v="0"/>
    <n v="0"/>
    <n v="0"/>
  </r>
  <r>
    <x v="11"/>
    <x v="3"/>
    <s v="Other Petroleum"/>
    <s v="Other Petroleum"/>
    <s v="IPAEOHTOTP"/>
    <x v="249"/>
    <s v="TechData_OTR"/>
    <n v="1"/>
    <n v="0"/>
    <n v="0.30669020042492307"/>
    <n v="0.27060900037493213"/>
    <n v="0.46800127986920087"/>
    <n v="8.9617266357932074E-2"/>
    <n v="0.82658749205433812"/>
    <n v="0.47995402764445444"/>
    <n v="0.34663346440988374"/>
    <n v="3.4488004203627708E-2"/>
    <n v="0.26728203257811473"/>
    <n v="1"/>
    <n v="1"/>
    <n v="1"/>
    <n v="1"/>
    <n v="1"/>
    <n v="1"/>
    <n v="1"/>
    <n v="1"/>
    <n v="1"/>
    <n v="0.30669020042492307"/>
    <n v="0.27060900037493213"/>
    <n v="0.46800127986920087"/>
    <n v="8.9617266357932074E-2"/>
    <n v="0.82658749205433812"/>
    <n v="0.47995402764445444"/>
    <n v="0.34663346440988374"/>
    <n v="3.4488004203627708E-2"/>
    <n v="0.26728203257811473"/>
    <n v="3.0898627679174067"/>
    <n v="0"/>
    <n v="0"/>
    <n v="0"/>
    <n v="0"/>
    <n v="0"/>
    <n v="0"/>
    <n v="0"/>
    <n v="0"/>
    <n v="0"/>
    <n v="0"/>
  </r>
  <r>
    <x v="11"/>
    <x v="3"/>
    <s v="Petroleum Coke"/>
    <s v="Petroleum Coke"/>
    <s v="IPAEOHTPTC"/>
    <x v="250"/>
    <s v="TechData_OTR"/>
    <n v="1"/>
    <n v="0"/>
    <n v="0"/>
    <n v="0.57729920079985531"/>
    <n v="0.46800127986920093"/>
    <n v="8.9617266357932088E-2"/>
    <n v="0.82658749205433835"/>
    <n v="0.47995402764445455"/>
    <n v="0.34663346440988385"/>
    <n v="3.4488004203627722E-2"/>
    <n v="0.26728203257811484"/>
    <n v="1"/>
    <n v="1"/>
    <n v="1"/>
    <n v="1"/>
    <n v="1"/>
    <n v="1"/>
    <n v="1"/>
    <n v="1"/>
    <n v="1"/>
    <n v="0"/>
    <n v="0.57729920079985531"/>
    <n v="0.46800127986920093"/>
    <n v="8.9617266357932088E-2"/>
    <n v="0.82658749205433835"/>
    <n v="0.47995402764445455"/>
    <n v="0.34663346440988385"/>
    <n v="3.4488004203627722E-2"/>
    <n v="0.26728203257811484"/>
    <n v="3.0898627679174071"/>
    <n v="0"/>
    <n v="0"/>
    <n v="0"/>
    <n v="0"/>
    <n v="0"/>
    <n v="0"/>
    <n v="0"/>
    <n v="0"/>
    <n v="0"/>
    <n v="0"/>
  </r>
  <r>
    <x v="11"/>
    <x v="3"/>
    <s v="Renewables"/>
    <s v="Biomass"/>
    <s v="IPAEOHTBIO"/>
    <x v="251"/>
    <s v="TechData_OTR"/>
    <n v="1"/>
    <n v="0"/>
    <n v="0"/>
    <n v="0"/>
    <n v="0"/>
    <n v="0"/>
    <n v="0"/>
    <n v="0"/>
    <n v="0"/>
    <n v="2.1496755683435973"/>
    <n v="0"/>
    <n v="1"/>
    <n v="1"/>
    <n v="1"/>
    <n v="1"/>
    <n v="1"/>
    <n v="1"/>
    <n v="1"/>
    <n v="1"/>
    <n v="1"/>
    <n v="0"/>
    <n v="0"/>
    <n v="0"/>
    <n v="0"/>
    <n v="0"/>
    <n v="0"/>
    <n v="0"/>
    <n v="2.1496755683435973"/>
    <n v="0"/>
    <n v="2.1496755683435973"/>
    <n v="0"/>
    <n v="0"/>
    <n v="0"/>
    <n v="0"/>
    <n v="0"/>
    <n v="0"/>
    <n v="0"/>
    <n v="0"/>
    <n v="0"/>
    <n v="0"/>
  </r>
  <r>
    <x v="11"/>
    <x v="3"/>
    <s v="Renewables"/>
    <s v="Black Liquor"/>
    <s v="IPAECCTBLQ"/>
    <x v="252"/>
    <s v="TechData_IPBIO"/>
    <n v="0.49060269678639434"/>
    <n v="0.50939730321360566"/>
    <n v="0"/>
    <n v="0"/>
    <n v="0"/>
    <n v="0"/>
    <n v="0"/>
    <n v="0"/>
    <n v="0"/>
    <n v="0"/>
    <n v="0.27556869326416966"/>
    <n v="0"/>
    <n v="0"/>
    <n v="0"/>
    <n v="0"/>
    <n v="0"/>
    <n v="0"/>
    <n v="0"/>
    <n v="0"/>
    <n v="0.95"/>
    <n v="0"/>
    <n v="0"/>
    <n v="0"/>
    <n v="0"/>
    <n v="0"/>
    <n v="0"/>
    <n v="0"/>
    <n v="0"/>
    <n v="4.0503263764012658"/>
    <n v="4.0503263764012658"/>
    <n v="0"/>
    <n v="0"/>
    <n v="0"/>
    <n v="0"/>
    <n v="0"/>
    <n v="0"/>
    <n v="0"/>
    <n v="0"/>
    <n v="4.2054912188386462"/>
    <n v="4.2054912188386462"/>
  </r>
  <r>
    <x v="11"/>
    <x v="3"/>
    <s v="Renewables"/>
    <s v="Black Liquor; Hog Fuel"/>
    <s v="IPAEBASTOM"/>
    <x v="251"/>
    <s v="TechData_IPBIO"/>
    <n v="1"/>
    <n v="0"/>
    <n v="3.8750661635773209"/>
    <n v="5.2278570017193369"/>
    <n v="12.506339231246333"/>
    <n v="7.6655229875031718"/>
    <n v="44.616522678784946"/>
    <n v="8.5076094914754865"/>
    <n v="6.1260343916127038"/>
    <n v="0.46254752312720637"/>
    <n v="4.0116170760789771"/>
    <n v="1"/>
    <n v="1"/>
    <n v="1"/>
    <n v="1"/>
    <n v="1"/>
    <n v="1"/>
    <n v="1"/>
    <n v="1"/>
    <n v="1"/>
    <n v="3.8750661635773209"/>
    <n v="5.2278570017193369"/>
    <n v="12.506339231246333"/>
    <n v="7.6655229875031718"/>
    <n v="44.616522678784946"/>
    <n v="8.5076094914754865"/>
    <n v="6.1260343916127038"/>
    <n v="0.46254752312720637"/>
    <n v="4.0116170760789771"/>
    <n v="92.999116545125503"/>
    <n v="0"/>
    <n v="0"/>
    <n v="0"/>
    <n v="0"/>
    <n v="0"/>
    <n v="0"/>
    <n v="0"/>
    <n v="0"/>
    <n v="0"/>
    <n v="0"/>
  </r>
  <r>
    <x v="11"/>
    <x v="3"/>
    <s v="Renewables"/>
    <s v="Black Liquor; Hog Fuel"/>
    <s v="IPAEBHLTOM"/>
    <x v="251"/>
    <s v="TechData_IPBIO"/>
    <n v="1"/>
    <n v="0"/>
    <n v="11.501420099999999"/>
    <n v="2.2365155999999997"/>
    <n v="0.55450799999999989"/>
    <n v="0"/>
    <n v="3.4471913999999995"/>
    <n v="3.5026421999999999"/>
    <n v="5.5450799999999996"/>
    <n v="0"/>
    <n v="3.8990656377149961"/>
    <n v="0.22728448797996181"/>
    <n v="0.95890410958904115"/>
    <n v="0.67351598173515981"/>
    <n v="0"/>
    <n v="0.61725856011360436"/>
    <n v="0.44759731528685892"/>
    <n v="0.22005450360195503"/>
    <n v="0"/>
    <n v="0.57928367291759431"/>
    <n v="2.6140943784709409"/>
    <n v="2.1446039999999997"/>
    <n v="0.37346999999999991"/>
    <n v="0"/>
    <n v="2.1278083999999997"/>
    <n v="1.5677732451304571"/>
    <n v="1.2202198268331286"/>
    <n v="0"/>
    <n v="2.2586650635623249"/>
    <n v="12.306634913996852"/>
    <n v="0"/>
    <n v="0"/>
    <n v="0"/>
    <n v="0"/>
    <n v="0"/>
    <n v="0"/>
    <n v="0"/>
    <n v="0"/>
    <n v="0"/>
    <n v="0"/>
  </r>
  <r>
    <x v="11"/>
    <x v="3"/>
    <s v="Renewables"/>
    <s v="Black Liquor; Hog Fuel"/>
    <s v="IPAEBOLTOM"/>
    <x v="251"/>
    <s v="TechData_IPBIO"/>
    <n v="1"/>
    <n v="0"/>
    <n v="2.7725399999999998"/>
    <n v="0"/>
    <n v="0"/>
    <n v="0"/>
    <n v="0"/>
    <n v="0"/>
    <n v="5.5450799999999996"/>
    <n v="0"/>
    <n v="0"/>
    <n v="2.501141078843533E-3"/>
    <n v="0"/>
    <n v="0"/>
    <n v="0"/>
    <n v="0"/>
    <n v="0"/>
    <n v="4.4010900720391002E-3"/>
    <n v="0"/>
    <n v="0"/>
    <n v="6.9345136867368486E-3"/>
    <n v="0"/>
    <n v="0"/>
    <n v="0"/>
    <n v="0"/>
    <n v="0"/>
    <n v="2.440439653666257E-2"/>
    <n v="0"/>
    <n v="0"/>
    <n v="3.1338910223399422E-2"/>
    <n v="0"/>
    <n v="0"/>
    <n v="0"/>
    <n v="0"/>
    <n v="0"/>
    <n v="0"/>
    <n v="0"/>
    <n v="0"/>
    <n v="0"/>
    <n v="0"/>
  </r>
  <r>
    <x v="11"/>
    <x v="3"/>
    <s v="Renewables"/>
    <s v="Black Liquor; Hog Fuel"/>
    <s v="IPAEBSTTOM"/>
    <x v="252"/>
    <s v="TechData_IPBIO"/>
    <n v="0.88409136956060996"/>
    <n v="0.11590863043939006"/>
    <n v="1.5189211420457673"/>
    <n v="0.51425570480051697"/>
    <n v="0.76086209515647873"/>
    <n v="0"/>
    <n v="1.2042154420745439"/>
    <n v="1.7287562609710712"/>
    <n v="3.0383941225297209"/>
    <n v="0.97537165343831389"/>
    <n v="0.12427846199345827"/>
    <n v="0.39258315149475126"/>
    <n v="0.99"/>
    <n v="0.99"/>
    <n v="0"/>
    <n v="0.99"/>
    <n v="0.77634859141875112"/>
    <n v="0.31806677950626583"/>
    <n v="7.4811647374757734E-2"/>
    <n v="0.99"/>
    <n v="16.625344075194359"/>
    <n v="14.194433703263769"/>
    <n v="21.001238228780366"/>
    <n v="0"/>
    <n v="33.238632255142662"/>
    <n v="37.419182339102889"/>
    <n v="26.944254804485055"/>
    <n v="2.0344316609430511"/>
    <n v="3.4303214782887443"/>
    <n v="154.88783854520091"/>
    <n v="2.1796625650775532"/>
    <n v="1.8609585242594435"/>
    <n v="2.7533633337458032"/>
    <n v="0"/>
    <n v="4.35774454430753"/>
    <n v="4.9058347659731174"/>
    <n v="3.5325213887677394"/>
    <n v="0.26672377500940697"/>
    <n v="0.44973164336269894"/>
    <n v="20.306540540503295"/>
  </r>
  <r>
    <x v="11"/>
    <x v="3"/>
    <s v="Renewables"/>
    <s v="Black Liquor; Hog Fuel"/>
    <s v="IPAECHLTOM"/>
    <x v="252"/>
    <s v="TechData_IPBIO"/>
    <n v="0.90075442277083106"/>
    <n v="9.9245577229168963E-2"/>
    <n v="0.12964936913657782"/>
    <n v="0"/>
    <n v="0.23620446044403348"/>
    <n v="0"/>
    <n v="8.294101660880715E-2"/>
    <n v="0"/>
    <n v="0"/>
    <n v="0"/>
    <n v="0"/>
    <n v="0.37965108443134066"/>
    <n v="0"/>
    <n v="1"/>
    <n v="0"/>
    <n v="0.57077625570776258"/>
    <n v="0"/>
    <n v="0"/>
    <n v="0"/>
    <n v="0"/>
    <n v="1.3981960238212017"/>
    <n v="0"/>
    <n v="6.7096691309768053"/>
    <n v="0"/>
    <n v="1.344770775710856"/>
    <n v="0"/>
    <n v="0"/>
    <n v="0"/>
    <n v="0"/>
    <n v="9.4526359305088636"/>
    <n v="0.15405394406702613"/>
    <n v="0"/>
    <n v="0.73927473358623552"/>
    <n v="0"/>
    <n v="0.14816752324767282"/>
    <n v="0"/>
    <n v="0"/>
    <n v="0"/>
    <n v="0"/>
    <n v="1.0414962009009345"/>
  </r>
  <r>
    <x v="11"/>
    <x v="3"/>
    <s v="Renewables"/>
    <s v="Hog Fuel"/>
    <s v="IPAEBFBWOD"/>
    <x v="251"/>
    <s v="TechData_IPBIO"/>
    <n v="1"/>
    <n v="0"/>
    <n v="11.644667999999999"/>
    <n v="0"/>
    <n v="0"/>
    <n v="0"/>
    <n v="2.3104499999999999"/>
    <n v="11.5892172"/>
    <n v="0"/>
    <n v="0"/>
    <n v="1.6542821999999999"/>
    <n v="0.33783140493543157"/>
    <n v="0"/>
    <n v="0"/>
    <n v="0"/>
    <n v="0.24212742395398876"/>
    <n v="6.2830195381324824E-2"/>
    <n v="0"/>
    <n v="0"/>
    <n v="0.36358072569473998"/>
    <n v="3.9339345504466618"/>
    <n v="0"/>
    <n v="0"/>
    <n v="0"/>
    <n v="0.55942330667449325"/>
    <n v="0.72815278099261027"/>
    <n v="0"/>
    <n v="0"/>
    <n v="0.60146512277989095"/>
    <n v="5.8229757608936561"/>
    <n v="0"/>
    <n v="0"/>
    <n v="0"/>
    <n v="0"/>
    <n v="0"/>
    <n v="0"/>
    <n v="0"/>
    <n v="0"/>
    <n v="0"/>
    <n v="0"/>
  </r>
  <r>
    <x v="11"/>
    <x v="3"/>
    <s v="Renewables"/>
    <s v="Hog Fuel"/>
    <s v="IPAEBSDWOD"/>
    <x v="251"/>
    <s v="TechData_IPBIO"/>
    <n v="1"/>
    <n v="0"/>
    <n v="5.7761250000000004"/>
    <n v="0"/>
    <n v="0"/>
    <n v="0"/>
    <n v="2.2457574"/>
    <n v="0"/>
    <n v="4.6208999999999998"/>
    <n v="0"/>
    <n v="10.295365199999999"/>
    <n v="0.36502683303273381"/>
    <n v="0"/>
    <n v="0"/>
    <n v="0"/>
    <n v="0.24212742395398876"/>
    <n v="0"/>
    <n v="0.17845286946989913"/>
    <n v="0"/>
    <n v="0.35442103712506057"/>
    <n v="2.1084406159511997"/>
    <n v="0"/>
    <n v="0"/>
    <n v="0"/>
    <n v="0.54375945408760751"/>
    <n v="0"/>
    <n v="0.82461286453345684"/>
    <n v="0"/>
    <n v="3.6488940117652562"/>
    <n v="7.1257069463375204"/>
    <n v="0"/>
    <n v="0"/>
    <n v="0"/>
    <n v="0"/>
    <n v="0"/>
    <n v="0"/>
    <n v="0"/>
    <n v="0"/>
    <n v="0"/>
    <n v="0"/>
  </r>
  <r>
    <x v="11"/>
    <x v="3"/>
    <s v="Renewables"/>
    <s v="Hog Fuel"/>
    <s v="IPAEBSTWOD"/>
    <x v="252"/>
    <s v="TechData_IPBIO"/>
    <n v="0.88401681665336018"/>
    <n v="0.11598318334663978"/>
    <n v="4.9597986842619408E-2"/>
    <n v="0.41997549225375552"/>
    <n v="0"/>
    <n v="0.36426445756703285"/>
    <n v="0.13893163556342511"/>
    <n v="1.3284939040680022"/>
    <n v="0"/>
    <n v="0"/>
    <n v="0.4242609564604265"/>
    <n v="0.3662261345202546"/>
    <n v="0.53383498152704478"/>
    <n v="0"/>
    <n v="0.19164614500224453"/>
    <n v="0.23970614971444887"/>
    <n v="6.4146365007388434E-2"/>
    <n v="0"/>
    <n v="0"/>
    <n v="0.37537112922798371"/>
    <n v="0.50638463047764082"/>
    <n v="6.250260387792923"/>
    <n v="0"/>
    <n v="1.9461845440020347"/>
    <n v="0.92842635070623913"/>
    <n v="2.3757391292685224"/>
    <n v="0"/>
    <n v="0"/>
    <n v="4.4397760813751521"/>
    <n v="16.446771123622511"/>
    <n v="6.6437764909215088E-2"/>
    <n v="0.82003541433294158"/>
    <n v="0"/>
    <n v="0.25533980184666039"/>
    <n v="0.12180972310624892"/>
    <n v="0.31169744944092409"/>
    <n v="0"/>
    <n v="0"/>
    <n v="0.58249951082783258"/>
    <n v="2.1578196644638226"/>
  </r>
  <r>
    <x v="11"/>
    <x v="3"/>
    <s v="Renewables"/>
    <s v="Hog Fuel"/>
    <s v="IPAEBSWWOD"/>
    <x v="251"/>
    <s v="TechData_IPBIO"/>
    <n v="1"/>
    <n v="0"/>
    <n v="4.6024164000000001"/>
    <n v="0"/>
    <n v="8.8296157199999996"/>
    <n v="7.0514933999999982"/>
    <n v="19.980771599999997"/>
    <n v="41.708243399999994"/>
    <n v="11.847063419999998"/>
    <n v="0"/>
    <n v="0"/>
    <n v="0.3505000826205103"/>
    <n v="0"/>
    <n v="0.52646119883386588"/>
    <n v="0.18633351639821893"/>
    <n v="0.23813078066925325"/>
    <n v="5.8493158046495422E-2"/>
    <n v="0.17907755862790348"/>
    <n v="0"/>
    <n v="0"/>
    <n v="1.6131473284539917"/>
    <n v="0"/>
    <n v="4.648450077193548"/>
    <n v="1.3139295610808324"/>
    <n v="4.7580367394820433"/>
    <n v="2.4396468730378991"/>
    <n v="2.1215431941635403"/>
    <n v="0"/>
    <n v="0"/>
    <n v="16.894753773411857"/>
    <n v="0"/>
    <n v="0"/>
    <n v="0"/>
    <n v="0"/>
    <n v="0"/>
    <n v="0"/>
    <n v="0"/>
    <n v="0"/>
    <n v="0"/>
    <n v="0"/>
  </r>
  <r>
    <x v="11"/>
    <x v="3"/>
    <s v="Renewables"/>
    <s v="Hog Fuel"/>
    <s v="IPAECDSWOD"/>
    <x v="252"/>
    <s v="TechData_IPBIO"/>
    <n v="0.91317837324206397"/>
    <n v="8.6821626757936074E-2"/>
    <n v="0"/>
    <n v="0"/>
    <n v="0"/>
    <n v="0"/>
    <n v="0"/>
    <n v="0"/>
    <n v="0"/>
    <n v="0"/>
    <n v="6.7393186044810705E-2"/>
    <n v="0"/>
    <n v="0"/>
    <n v="0"/>
    <n v="0"/>
    <n v="0"/>
    <n v="0"/>
    <n v="0"/>
    <n v="0"/>
    <n v="0.20559624369643034"/>
    <n v="0"/>
    <n v="0"/>
    <n v="0"/>
    <n v="0"/>
    <n v="0"/>
    <n v="0"/>
    <n v="0"/>
    <n v="0"/>
    <n v="0.39901882787638443"/>
    <n v="0.39901882787638443"/>
    <n v="0"/>
    <n v="0"/>
    <n v="0"/>
    <n v="0"/>
    <n v="0"/>
    <n v="0"/>
    <n v="0"/>
    <n v="0"/>
    <n v="3.7937236314826032E-2"/>
    <n v="3.7937236314826032E-2"/>
  </r>
  <r>
    <x v="11"/>
    <x v="3"/>
    <s v="Renewables"/>
    <s v="Hog Fuel"/>
    <s v="IPAECFBWOD"/>
    <x v="252"/>
    <s v="TechData_IPBIO"/>
    <n v="0.88439645766743169"/>
    <n v="0.11560354233256834"/>
    <n v="0"/>
    <n v="0.18081082752341715"/>
    <n v="3.048692436852117E-2"/>
    <n v="0"/>
    <n v="0"/>
    <n v="0.63930832355989797"/>
    <n v="0"/>
    <n v="0"/>
    <n v="0"/>
    <n v="0"/>
    <n v="0.51780589739927818"/>
    <n v="0.51945061547748961"/>
    <n v="0"/>
    <n v="0"/>
    <n v="6.2804785705845856E-2"/>
    <n v="0"/>
    <n v="0"/>
    <n v="0"/>
    <n v="0"/>
    <n v="2.6112294043681072"/>
    <n v="0.44168380947838282"/>
    <n v="0"/>
    <n v="0"/>
    <n v="1.1198418619566071"/>
    <n v="0"/>
    <n v="0"/>
    <n v="0"/>
    <n v="4.1727550758030976"/>
    <n v="0"/>
    <n v="0.34132584585886011"/>
    <n v="5.773452903838399E-2"/>
    <n v="0"/>
    <n v="0"/>
    <n v="0.14637969767079734"/>
    <n v="0"/>
    <n v="0"/>
    <n v="0"/>
    <n v="0.5454400725680415"/>
  </r>
  <r>
    <x v="11"/>
    <x v="3"/>
    <s v="Renewables"/>
    <s v="Hog Fuel"/>
    <s v="IPAECSDWOD"/>
    <x v="252"/>
    <s v="TechData_IPBIO"/>
    <n v="0.88332652522877819"/>
    <n v="0.11667347477122177"/>
    <n v="0.35631444433131115"/>
    <n v="0"/>
    <n v="0"/>
    <n v="0"/>
    <n v="0.54309701599388882"/>
    <n v="0.67746182516709952"/>
    <n v="0"/>
    <n v="0"/>
    <n v="0.20967444621005926"/>
    <n v="0.35641213220688028"/>
    <n v="0"/>
    <n v="0"/>
    <n v="0"/>
    <n v="0.22956505132414182"/>
    <n v="6.3272678144947025E-2"/>
    <n v="0"/>
    <n v="0"/>
    <n v="0.36358072569473998"/>
    <n v="3.5376412236476664"/>
    <n v="0"/>
    <n v="0"/>
    <n v="0"/>
    <n v="3.4730502571010118"/>
    <n v="1.1940676266462229"/>
    <n v="0"/>
    <n v="0"/>
    <n v="2.1236074276717471"/>
    <n v="10.328366535066648"/>
    <n v="0.46726650028990102"/>
    <n v="0"/>
    <n v="0"/>
    <n v="0"/>
    <n v="0.45873505434030937"/>
    <n v="0.15771746362598862"/>
    <n v="0"/>
    <n v="0"/>
    <n v="0.2804949818214364"/>
    <n v="1.3642140000776355"/>
  </r>
  <r>
    <x v="11"/>
    <x v="3"/>
    <s v="Renewables"/>
    <s v="Hog Fuel"/>
    <s v="IPAECSWWOD"/>
    <x v="252"/>
    <s v="TechData_IPBIO"/>
    <n v="0.88448056774625738"/>
    <n v="0.11551943225374266"/>
    <n v="0"/>
    <n v="0"/>
    <n v="0.70378016837269486"/>
    <n v="0"/>
    <n v="1.5967775898439052"/>
    <n v="0.58788453099549443"/>
    <n v="0.80917076481415462"/>
    <n v="0"/>
    <n v="0.13270517374041266"/>
    <n v="0"/>
    <n v="0"/>
    <n v="0.53289628928917232"/>
    <n v="0"/>
    <n v="0.23287820324961042"/>
    <n v="6.2769761395922635E-2"/>
    <n v="0.17612392580222791"/>
    <n v="0"/>
    <n v="0.33094502722166452"/>
    <n v="0"/>
    <n v="0"/>
    <n v="10.461034242026098"/>
    <n v="0"/>
    <n v="10.372135298293067"/>
    <n v="1.0292891937917861"/>
    <n v="3.9751492888055631"/>
    <n v="0"/>
    <n v="1.2250071326724508"/>
    <n v="27.062615155588968"/>
    <n v="0"/>
    <n v="0"/>
    <n v="1.3662852305563604"/>
    <n v="0"/>
    <n v="1.3546743982978691"/>
    <n v="0.13443246536745948"/>
    <n v="0.51918267705619769"/>
    <n v="0"/>
    <n v="0.15999461563490694"/>
    <n v="3.5345693869127937"/>
  </r>
  <r>
    <x v="11"/>
    <x v="3"/>
    <s v="Renewables"/>
    <s v="Hog Fuel"/>
    <s v="IPAEREGWOD"/>
    <x v="252"/>
    <s v="TechData_IPBIO"/>
    <n v="0.61165048543689315"/>
    <n v="0.38834951456310679"/>
    <n v="1.5449999999999999E-3"/>
    <n v="0"/>
    <n v="0"/>
    <n v="0"/>
    <n v="0"/>
    <n v="0"/>
    <n v="0"/>
    <n v="0"/>
    <n v="0"/>
    <n v="0.34957949204206118"/>
    <n v="0"/>
    <n v="0"/>
    <n v="0"/>
    <n v="0"/>
    <n v="0"/>
    <n v="0"/>
    <n v="0"/>
    <n v="0"/>
    <n v="1.0418000223681327E-2"/>
    <n v="0"/>
    <n v="0"/>
    <n v="0"/>
    <n v="0"/>
    <n v="0"/>
    <n v="0"/>
    <n v="0"/>
    <n v="0"/>
    <n v="1.0418000223681327E-2"/>
    <n v="6.6146033166230647E-3"/>
    <n v="0"/>
    <n v="0"/>
    <n v="0"/>
    <n v="0"/>
    <n v="0"/>
    <n v="0"/>
    <n v="0"/>
    <n v="0"/>
    <n v="6.6146033166230647E-3"/>
  </r>
  <r>
    <x v="11"/>
    <x v="4"/>
    <s v="Electricity"/>
    <s v="Electricity"/>
    <s v="IPAEPRHELC"/>
    <x v="253"/>
    <s v="TechData_OTR"/>
    <n v="1"/>
    <n v="0"/>
    <n v="0.29709423319563899"/>
    <n v="0.26214197046674026"/>
    <n v="2.6284101572131831"/>
    <n v="0.50331258329614137"/>
    <n v="2.236944814649517"/>
    <n v="1.2988711826997197"/>
    <n v="0.93807363194979754"/>
    <n v="0.35791117034392272"/>
    <n v="2.7738115701654009"/>
    <n v="1"/>
    <n v="1"/>
    <n v="1"/>
    <n v="1"/>
    <n v="1"/>
    <n v="1"/>
    <n v="1"/>
    <n v="1"/>
    <n v="1"/>
    <n v="0.29709423319563899"/>
    <n v="0.26214197046674026"/>
    <n v="2.6284101572131831"/>
    <n v="0.50331258329614137"/>
    <n v="2.236944814649517"/>
    <n v="1.2988711826997197"/>
    <n v="0.93807363194979754"/>
    <n v="0.35791117034392272"/>
    <n v="2.7738115701654009"/>
    <n v="11.296571313980063"/>
    <n v="0"/>
    <n v="0"/>
    <n v="0"/>
    <n v="0"/>
    <n v="0"/>
    <n v="0"/>
    <n v="0"/>
    <n v="0"/>
    <n v="0"/>
    <n v="0"/>
  </r>
  <r>
    <x v="11"/>
    <x v="4"/>
    <s v="Natural Gas"/>
    <s v="Natural Gas"/>
    <s v="IPAEPRHNGA"/>
    <x v="254"/>
    <s v="TechData_OTR"/>
    <n v="1"/>
    <n v="0"/>
    <n v="8.1174856056976328"/>
    <n v="7.1624872991449697"/>
    <n v="9.8067893328349065"/>
    <n v="1.8778958296917907"/>
    <n v="8.5388083880002785"/>
    <n v="4.9580177736775815"/>
    <n v="3.580790614322698"/>
    <n v="0.95874339795090846"/>
    <n v="7.4302613341195398"/>
    <n v="1"/>
    <n v="1"/>
    <n v="1"/>
    <n v="1"/>
    <n v="1"/>
    <n v="1"/>
    <n v="1"/>
    <n v="1"/>
    <n v="1"/>
    <n v="8.1174856056976328"/>
    <n v="7.1624872991449697"/>
    <n v="9.8067893328349065"/>
    <n v="1.8778958296917907"/>
    <n v="8.5388083880002785"/>
    <n v="4.9580177736775815"/>
    <n v="3.580790614322698"/>
    <n v="0.95874339795090846"/>
    <n v="7.4302613341195398"/>
    <n v="52.431279575440307"/>
    <n v="0"/>
    <n v="0"/>
    <n v="0"/>
    <n v="0"/>
    <n v="0"/>
    <n v="0"/>
    <n v="0"/>
    <n v="0"/>
    <n v="0"/>
    <n v="0"/>
  </r>
  <r>
    <x v="11"/>
    <x v="4"/>
    <s v="Residual Oil"/>
    <s v="Residual Oil"/>
    <s v="IPAEPRHRFL"/>
    <x v="255"/>
    <s v="TechData_OTR"/>
    <n v="1"/>
    <n v="0"/>
    <n v="1.4072783363802552"/>
    <n v="1.2417161791590487"/>
    <n v="0.2779079067641681"/>
    <n v="5.321640767824494E-2"/>
    <n v="0.99337294332723924"/>
    <n v="0.57679719289968734"/>
    <n v="0.41657575042755196"/>
    <n v="0"/>
    <n v="0"/>
    <n v="1"/>
    <n v="1"/>
    <n v="1"/>
    <n v="1"/>
    <n v="1"/>
    <n v="1"/>
    <n v="1"/>
    <n v="1"/>
    <n v="1"/>
    <n v="1.4072783363802552"/>
    <n v="1.2417161791590487"/>
    <n v="0.2779079067641681"/>
    <n v="5.321640767824494E-2"/>
    <n v="0.99337294332723924"/>
    <n v="0.57679719289968734"/>
    <n v="0.41657575042755196"/>
    <n v="0"/>
    <n v="0"/>
    <n v="4.9668647166361959"/>
    <n v="0"/>
    <n v="0"/>
    <n v="0"/>
    <n v="0"/>
    <n v="0"/>
    <n v="0"/>
    <n v="0"/>
    <n v="0"/>
    <n v="0"/>
    <n v="0"/>
  </r>
  <r>
    <x v="11"/>
    <x v="4"/>
    <s v="Steam Coal"/>
    <s v="Steam Coal"/>
    <s v="IPAEPRHCOA"/>
    <x v="256"/>
    <s v="TechData_OTR"/>
    <n v="1"/>
    <n v="0"/>
    <n v="0.39377167664906915"/>
    <n v="0.34744559704329631"/>
    <n v="1.5897933985346173"/>
    <n v="0.3044285231236501"/>
    <n v="1.1941833853932555"/>
    <n v="0.69339680442189033"/>
    <n v="0.50078658097136519"/>
    <n v="6.1179838463496831E-2"/>
    <n v="0.47414374809210041"/>
    <n v="1"/>
    <n v="1"/>
    <n v="1"/>
    <n v="1"/>
    <n v="1"/>
    <n v="1"/>
    <n v="1"/>
    <n v="1"/>
    <n v="1"/>
    <n v="0.39377167664906915"/>
    <n v="0.34744559704329631"/>
    <n v="1.5897933985346173"/>
    <n v="0.3044285231236501"/>
    <n v="1.1941833853932555"/>
    <n v="0.69339680442189033"/>
    <n v="0.50078658097136519"/>
    <n v="6.1179838463496831E-2"/>
    <n v="0.47414374809210041"/>
    <n v="5.55912955269274"/>
    <n v="0"/>
    <n v="0"/>
    <n v="0"/>
    <n v="0"/>
    <n v="0"/>
    <n v="0"/>
    <n v="0"/>
    <n v="0"/>
    <n v="0"/>
    <n v="0"/>
  </r>
  <r>
    <x v="11"/>
    <x v="5"/>
    <s v="Distillate Oil"/>
    <s v="Distillate Oil"/>
    <s v="IPAEBLLDST"/>
    <x v="257"/>
    <s v="TechData_Boiler"/>
    <n v="1"/>
    <n v="0"/>
    <n v="2.1256139999999997"/>
    <n v="0"/>
    <n v="1.84836"/>
    <n v="0"/>
    <n v="0"/>
    <n v="0"/>
    <n v="0"/>
    <n v="0"/>
    <n v="0"/>
    <n v="0"/>
    <n v="0"/>
    <n v="0"/>
    <n v="0"/>
    <n v="0"/>
    <n v="0"/>
    <n v="0"/>
    <n v="0"/>
    <n v="0"/>
    <n v="0"/>
    <n v="0"/>
    <n v="0"/>
    <n v="0"/>
    <n v="0"/>
    <n v="0"/>
    <n v="0"/>
    <n v="0"/>
    <n v="0"/>
    <n v="0"/>
    <n v="0"/>
    <n v="0"/>
    <n v="0"/>
    <n v="0"/>
    <n v="0"/>
    <n v="0"/>
    <n v="0"/>
    <n v="0"/>
    <n v="0"/>
    <n v="0"/>
  </r>
  <r>
    <x v="11"/>
    <x v="5"/>
    <s v="Distillate Oil"/>
    <s v="Distillate Oil"/>
    <s v="IPAEBOLDST"/>
    <x v="257"/>
    <s v="TechData_Boiler"/>
    <n v="1"/>
    <n v="0"/>
    <n v="0.53140349999999992"/>
    <n v="0"/>
    <n v="0"/>
    <n v="0"/>
    <n v="8.6780501999999995"/>
    <n v="0"/>
    <n v="0"/>
    <n v="0"/>
    <n v="0"/>
    <n v="0"/>
    <n v="0"/>
    <n v="0"/>
    <n v="0"/>
    <n v="0"/>
    <n v="0"/>
    <n v="0"/>
    <n v="0"/>
    <n v="0"/>
    <n v="0"/>
    <n v="0"/>
    <n v="0"/>
    <n v="0"/>
    <n v="0"/>
    <n v="0"/>
    <n v="0"/>
    <n v="0"/>
    <n v="0"/>
    <n v="0"/>
    <n v="0"/>
    <n v="0"/>
    <n v="0"/>
    <n v="0"/>
    <n v="0"/>
    <n v="0"/>
    <n v="0"/>
    <n v="0"/>
    <n v="0"/>
    <n v="0"/>
  </r>
  <r>
    <x v="11"/>
    <x v="5"/>
    <s v="Distillate Oil"/>
    <s v="Distillate Oil"/>
    <s v="IPAEBSTDST"/>
    <x v="258"/>
    <s v="TechData_CHP"/>
    <n v="0.89463782370728173"/>
    <n v="0.10536217629271824"/>
    <n v="1.4732883893703237E-2"/>
    <n v="0.10204864076507911"/>
    <n v="7.2206046411177463E-2"/>
    <n v="0"/>
    <n v="2.548516300329642E-3"/>
    <n v="0"/>
    <n v="0"/>
    <n v="0"/>
    <n v="0"/>
    <n v="0.17270019407639386"/>
    <n v="0.17270019407639386"/>
    <n v="0.17270019407639386"/>
    <n v="0.17270019407639386"/>
    <n v="0.17270019407639386"/>
    <n v="0.17270019407639386"/>
    <n v="0.17270019407639386"/>
    <n v="0.17270019407639386"/>
    <n v="0.17270019407639386"/>
    <n v="7.1785123895314509E-2"/>
    <n v="0.49722609460056638"/>
    <n v="0.35181978117892648"/>
    <n v="0"/>
    <n v="1.241749814145905E-2"/>
    <n v="0"/>
    <n v="0"/>
    <n v="0"/>
    <n v="0"/>
    <n v="0.93324849781626651"/>
    <n v="8.4541885874114837E-3"/>
    <n v="5.8558694980669491E-2"/>
    <n v="4.1434082961339359E-2"/>
    <n v="0"/>
    <n v="1.4624181916133541E-3"/>
    <n v="0"/>
    <n v="0"/>
    <n v="0"/>
    <n v="0"/>
    <n v="0.1099093847210337"/>
  </r>
  <r>
    <x v="11"/>
    <x v="5"/>
    <s v="Distillate Oil"/>
    <s v="Distillate Oil"/>
    <s v="IPAECLLDST"/>
    <x v="258"/>
    <s v="TechData_CHP"/>
    <n v="0.88332652522877819"/>
    <n v="0.11667347477122177"/>
    <n v="0"/>
    <n v="0"/>
    <n v="0"/>
    <n v="0"/>
    <n v="0.11943488278321078"/>
    <n v="0"/>
    <n v="0"/>
    <n v="0.11180463529544926"/>
    <n v="0"/>
    <n v="9.468108360021181E-2"/>
    <n v="9.468108360021181E-2"/>
    <n v="9.468108360021181E-2"/>
    <n v="9.468108360021181E-2"/>
    <n v="9.468108360021181E-2"/>
    <n v="9.468108360021181E-2"/>
    <n v="9.468108360021181E-2"/>
    <n v="9.468108360021181E-2"/>
    <n v="9.468108360021181E-2"/>
    <n v="0"/>
    <n v="0"/>
    <n v="0"/>
    <n v="0"/>
    <n v="0.31500850982991757"/>
    <n v="0"/>
    <n v="0"/>
    <n v="0.29488379555263178"/>
    <n v="0"/>
    <n v="0.60989230538254935"/>
    <n v="0"/>
    <n v="0"/>
    <n v="0"/>
    <n v="0"/>
    <n v="4.1607646068187669E-2"/>
    <n v="0"/>
    <n v="0"/>
    <n v="3.8949489343073115E-2"/>
    <n v="0"/>
    <n v="8.0557135411260777E-2"/>
  </r>
  <r>
    <x v="11"/>
    <x v="5"/>
    <s v="Electricity"/>
    <s v="Electricity"/>
    <s v="IPAEBOLELC"/>
    <x v="259"/>
    <s v="TechData_Boiler"/>
    <n v="1"/>
    <n v="0"/>
    <n v="2.848458611655216E-2"/>
    <n v="2.5133458338134258E-2"/>
    <n v="0.2520048089370262"/>
    <n v="4.8256240009217778E-2"/>
    <n v="0.21447217781874567"/>
    <n v="0.12453223228185233"/>
    <n v="8.9939945536893343E-2"/>
    <n v="3.4315548450999309E-2"/>
    <n v="0.26594550049524462"/>
    <n v="1"/>
    <n v="1"/>
    <n v="1"/>
    <n v="1"/>
    <n v="1"/>
    <n v="1"/>
    <n v="1"/>
    <n v="1"/>
    <n v="1"/>
    <n v="2.848458611655216E-2"/>
    <n v="2.5133458338134258E-2"/>
    <n v="0.2520048089370262"/>
    <n v="4.8256240009217778E-2"/>
    <n v="0.21447217781874567"/>
    <n v="0.12453223228185233"/>
    <n v="8.9939945536893343E-2"/>
    <n v="3.4315548450999309E-2"/>
    <n v="0.26594550049524462"/>
    <n v="1.0830844979846657"/>
    <n v="0"/>
    <n v="0"/>
    <n v="0"/>
    <n v="0"/>
    <n v="0"/>
    <n v="0"/>
    <n v="0"/>
    <n v="0"/>
    <n v="0"/>
    <n v="0"/>
  </r>
  <r>
    <x v="11"/>
    <x v="5"/>
    <s v="Natural Gas"/>
    <s v="Natural Gas"/>
    <s v="IPAEBOLNGA"/>
    <x v="260"/>
    <s v="TechData_Boiler"/>
    <n v="1"/>
    <n v="0"/>
    <n v="0"/>
    <n v="7.4396489999999984"/>
    <n v="28.078251923999993"/>
    <n v="2.1256139999999997"/>
    <n v="9.3342179999999999"/>
    <n v="18.746991299999998"/>
    <n v="10.849873200000001"/>
    <n v="0"/>
    <n v="14.459720279999996"/>
    <n v="0.20885791400661421"/>
    <n v="0.20885791400661421"/>
    <n v="0.20885791400661421"/>
    <n v="0.20885791400661421"/>
    <n v="0.20885791400661421"/>
    <n v="0.20885791400661421"/>
    <n v="0.20885791400661421"/>
    <n v="0.20885791400661421"/>
    <n v="0.20885791400661421"/>
    <n v="0"/>
    <n v="1.5538295710813932"/>
    <n v="5.8643651257988409"/>
    <n v="0.44395130602325522"/>
    <n v="1.9495253003629904"/>
    <n v="3.9154574968181444"/>
    <n v="2.2660818837882686"/>
    <n v="0"/>
    <n v="3.0200270147999349"/>
    <n v="19.013237698672828"/>
    <n v="0"/>
    <n v="0"/>
    <n v="0"/>
    <n v="0"/>
    <n v="0"/>
    <n v="0"/>
    <n v="0"/>
    <n v="0"/>
    <n v="0"/>
    <n v="0"/>
  </r>
  <r>
    <x v="11"/>
    <x v="5"/>
    <s v="Natural Gas"/>
    <s v="Natural Gas"/>
    <s v="IPAEBSTNGA"/>
    <x v="258"/>
    <s v="TechData_CHP"/>
    <n v="0.88937522362842969"/>
    <n v="0.11062477637157035"/>
    <n v="0.16472594306227709"/>
    <n v="0.10343045086032288"/>
    <n v="1.2189195123266661"/>
    <n v="0.32157770015445808"/>
    <n v="2.0012599204164143"/>
    <n v="2.8207676042034473"/>
    <n v="1.7238715461376333"/>
    <n v="0.17351228070537583"/>
    <n v="0.3493766039353785"/>
    <n v="0.10684499743704012"/>
    <n v="0.10684499743704012"/>
    <n v="0.10684499743704012"/>
    <n v="0.10684499743704012"/>
    <n v="0.10684499743704012"/>
    <n v="0.10684499743704012"/>
    <n v="0.10684499743704012"/>
    <n v="0.10684499743704012"/>
    <n v="0.10684499743704012"/>
    <n v="0.49363714188928542"/>
    <n v="0.30995185820673721"/>
    <n v="3.6527576231907446"/>
    <n v="0.96367757165950041"/>
    <n v="5.9972109367038122"/>
    <n v="8.4530440815047942"/>
    <n v="5.1659562980794362"/>
    <n v="0.51996731503131299"/>
    <n v="1.0469830374226001"/>
    <n v="26.603185863688221"/>
    <n v="6.1400966632974383E-2"/>
    <n v="3.8553305836635549E-2"/>
    <n v="0.45434759645817052"/>
    <n v="0.11986686049584529"/>
    <n v="0.74596199792852846"/>
    <n v="1.0514303595736039"/>
    <n v="0.64256654001315161"/>
    <n v="6.4676040458145886E-2"/>
    <n v="0.13022879579124835"/>
    <n v="3.3090324631883035"/>
  </r>
  <r>
    <x v="11"/>
    <x v="5"/>
    <s v="Natural Gas"/>
    <s v="Natural Gas"/>
    <s v="IPAECCTNGA"/>
    <x v="258"/>
    <s v="TechData_CHP"/>
    <n v="0.49246102816989945"/>
    <n v="0.50753897183010055"/>
    <n v="0.7546078277010706"/>
    <n v="1.8885530455037887"/>
    <n v="0.73061467428109572"/>
    <n v="0"/>
    <n v="0"/>
    <n v="0.61365888575279071"/>
    <n v="0.63114120070180801"/>
    <n v="0.25186385943499379"/>
    <n v="1.3323130649970949"/>
    <n v="0.12930407994984092"/>
    <n v="0.12930407994984092"/>
    <n v="0.12930407994984092"/>
    <n v="0.12930407994984092"/>
    <n v="0.12930407994984092"/>
    <n v="0.12930407994984092"/>
    <n v="0.12930407994984092"/>
    <n v="0.12930407994984092"/>
    <n v="0.12930407994984092"/>
    <n v="1.5153467043420747"/>
    <n v="3.7924502349756031"/>
    <n v="1.4671654575711555"/>
    <n v="0"/>
    <n v="0"/>
    <n v="1.2323036363785149"/>
    <n v="1.2674103068499456"/>
    <n v="0.50577406611382802"/>
    <n v="2.6754509270675197"/>
    <n v="12.455901333298641"/>
    <n v="1.5617428878505464"/>
    <n v="3.9085657196659986"/>
    <n v="1.5120864499828004"/>
    <n v="0"/>
    <n v="0"/>
    <n v="1.2700337383332341"/>
    <n v="1.3062152885802942"/>
    <n v="0.52125962220340383"/>
    <n v="2.7573666443251281"/>
    <n v="12.837270350941404"/>
  </r>
  <r>
    <x v="11"/>
    <x v="5"/>
    <s v="Natural Gas"/>
    <s v="Natural Gas"/>
    <s v="IPAEREGNGA"/>
    <x v="258"/>
    <s v="TechData_CHP"/>
    <n v="0.61165048543689315"/>
    <n v="0.38834951456310679"/>
    <n v="0"/>
    <n v="1.8025000000000003E-3"/>
    <n v="0"/>
    <n v="0"/>
    <n v="0"/>
    <n v="0"/>
    <n v="0"/>
    <n v="0"/>
    <n v="0"/>
    <n v="0.12862353216063124"/>
    <n v="0.12862353216063124"/>
    <n v="0.12862353216063124"/>
    <n v="0.12862353216063124"/>
    <n v="0.12862353216063124"/>
    <n v="0.12862353216063124"/>
    <n v="0.12862353216063124"/>
    <n v="0.12862353216063124"/>
    <n v="0.12862353216063124"/>
    <n v="0"/>
    <n v="4.4720395605149788E-3"/>
    <n v="0"/>
    <n v="0"/>
    <n v="0"/>
    <n v="0"/>
    <n v="0"/>
    <n v="0"/>
    <n v="0"/>
    <n v="4.4720395605149788E-3"/>
    <n v="0"/>
    <n v="2.8393901971523676E-3"/>
    <n v="0"/>
    <n v="0"/>
    <n v="0"/>
    <n v="0"/>
    <n v="0"/>
    <n v="0"/>
    <n v="0"/>
    <n v="2.8393901971523676E-3"/>
  </r>
  <r>
    <x v="11"/>
    <x v="5"/>
    <s v="Residual Oil"/>
    <s v="Residual Oil"/>
    <s v="IPAEBASRFL"/>
    <x v="261"/>
    <s v="TechData_Boiler"/>
    <n v="1"/>
    <n v="0"/>
    <n v="0.91135345063985318"/>
    <n v="0.80413539762339992"/>
    <n v="0.17997316042047523"/>
    <n v="3.446294561243142E-2"/>
    <n v="0.64330831809872013"/>
    <n v="0.37353386212183748"/>
    <n v="0.26977445597688265"/>
    <n v="0"/>
    <n v="0"/>
    <n v="1"/>
    <n v="1"/>
    <n v="1"/>
    <n v="1"/>
    <n v="1"/>
    <n v="1"/>
    <n v="1"/>
    <n v="1"/>
    <n v="1"/>
    <n v="0.91135345063985318"/>
    <n v="0.80413539762339992"/>
    <n v="0.17997316042047523"/>
    <n v="3.446294561243142E-2"/>
    <n v="0.64330831809872013"/>
    <n v="0.37353386212183748"/>
    <n v="0.26977445597688265"/>
    <n v="0"/>
    <n v="0"/>
    <n v="3.2165415904936001"/>
    <n v="0"/>
    <n v="0"/>
    <n v="0"/>
    <n v="0"/>
    <n v="0"/>
    <n v="0"/>
    <n v="0"/>
    <n v="0"/>
    <n v="0"/>
    <n v="0"/>
  </r>
  <r>
    <x v="11"/>
    <x v="5"/>
    <s v="Residual Oil"/>
    <s v="Residual Oil"/>
    <s v="IPAEBSTRFL"/>
    <x v="258"/>
    <s v="TechData_CHP"/>
    <n v="0.89142537820271084"/>
    <n v="0.10857462179728912"/>
    <n v="4.0354894136445128E-2"/>
    <n v="0.27952179115474934"/>
    <n v="0"/>
    <n v="0"/>
    <n v="0"/>
    <n v="0"/>
    <n v="0"/>
    <n v="0"/>
    <n v="0"/>
    <n v="0.47071873982193319"/>
    <n v="0.47071873982193319"/>
    <n v="0.47071873982193319"/>
    <n v="0.47071873982193319"/>
    <n v="0.47071873982193319"/>
    <n v="0.47071873982193319"/>
    <n v="0.47071873982193319"/>
    <n v="0.47071873982193319"/>
    <n v="0.47071873982193319"/>
    <n v="0.53400989158177148"/>
    <n v="3.6988673761501598"/>
    <n v="0"/>
    <n v="0"/>
    <n v="0"/>
    <n v="0"/>
    <n v="0"/>
    <n v="0"/>
    <n v="0"/>
    <n v="4.2328772677319311"/>
    <n v="6.5041812172098062E-2"/>
    <n v="0.45051794156180047"/>
    <n v="0"/>
    <n v="0"/>
    <n v="0"/>
    <n v="0"/>
    <n v="0"/>
    <n v="0"/>
    <n v="0"/>
    <n v="0.51555975373389851"/>
  </r>
  <r>
    <x v="11"/>
    <x v="5"/>
    <s v="Steam Coal"/>
    <s v="Steam Coal"/>
    <s v="IPAEBOLCOA"/>
    <x v="262"/>
    <s v="TechData_Boiler"/>
    <n v="1"/>
    <n v="0"/>
    <n v="0"/>
    <n v="0"/>
    <n v="2.3012082"/>
    <n v="0"/>
    <n v="0"/>
    <n v="0"/>
    <n v="0"/>
    <n v="0"/>
    <n v="0"/>
    <n v="9.9033729585153336E-4"/>
    <n v="9.9033729585153336E-4"/>
    <n v="9.9033729585153336E-4"/>
    <n v="9.9033729585153336E-4"/>
    <n v="9.9033729585153336E-4"/>
    <n v="9.9033729585153336E-4"/>
    <n v="9.9033729585153336E-4"/>
    <n v="9.9033729585153336E-4"/>
    <n v="9.9033729585153336E-4"/>
    <n v="0"/>
    <n v="0"/>
    <n v="2.2789723059793744E-3"/>
    <n v="0"/>
    <n v="0"/>
    <n v="0"/>
    <n v="0"/>
    <n v="0"/>
    <n v="0"/>
    <n v="2.2789723059793744E-3"/>
    <n v="0"/>
    <n v="0"/>
    <n v="0"/>
    <n v="0"/>
    <n v="0"/>
    <n v="0"/>
    <n v="0"/>
    <n v="0"/>
    <n v="0"/>
    <n v="0"/>
  </r>
  <r>
    <x v="11"/>
    <x v="5"/>
    <s v="Steam Coal"/>
    <s v="Steam Coal"/>
    <s v="IPAEBPVCOA"/>
    <x v="262"/>
    <s v="TechData_Boiler"/>
    <n v="1"/>
    <n v="0"/>
    <n v="0"/>
    <n v="4.5531268003080587"/>
    <n v="8.5283330399999997"/>
    <n v="0"/>
    <n v="5.0829899999999997"/>
    <n v="18.160136999999999"/>
    <n v="0"/>
    <n v="0"/>
    <n v="0"/>
    <n v="3.7592824348279007E-2"/>
    <n v="3.7592824348279007E-2"/>
    <n v="3.7592824348279007E-2"/>
    <n v="3.7592824348279007E-2"/>
    <n v="3.7592824348279007E-2"/>
    <n v="3.7592824348279007E-2"/>
    <n v="3.7592824348279007E-2"/>
    <n v="3.7592824348279007E-2"/>
    <n v="3.7592824348279007E-2"/>
    <n v="0"/>
    <n v="0.17116489603942248"/>
    <n v="0.3206041259563443"/>
    <n v="0"/>
    <n v="0.19108395023405869"/>
    <n v="0.68269084038168248"/>
    <n v="0"/>
    <n v="0"/>
    <n v="0"/>
    <n v="1.365543812611508"/>
    <n v="0"/>
    <n v="0"/>
    <n v="0"/>
    <n v="0"/>
    <n v="0"/>
    <n v="0"/>
    <n v="0"/>
    <n v="0"/>
    <n v="0"/>
    <n v="0"/>
  </r>
  <r>
    <x v="11"/>
    <x v="5"/>
    <s v="Steam Coal"/>
    <s v="Steam Coal"/>
    <s v="IPAEBSOCOA"/>
    <x v="262"/>
    <s v="TechData_Boiler"/>
    <n v="1"/>
    <n v="0"/>
    <n v="0"/>
    <n v="0"/>
    <n v="35.199382286999999"/>
    <n v="3.5765765999999992"/>
    <n v="16.884768599999997"/>
    <n v="6.9313499999999992"/>
    <n v="0"/>
    <n v="0"/>
    <n v="0"/>
    <n v="3.5007022842672882E-2"/>
    <n v="3.5007022842672882E-2"/>
    <n v="3.5007022842672882E-2"/>
    <n v="3.5007022842672882E-2"/>
    <n v="3.5007022842672882E-2"/>
    <n v="3.5007022842672882E-2"/>
    <n v="3.5007022842672882E-2"/>
    <n v="3.5007022842672882E-2"/>
    <n v="3.5007022842672882E-2"/>
    <n v="0"/>
    <n v="0"/>
    <n v="1.2322255797689843"/>
    <n v="0.12520529873476929"/>
    <n v="0.59108548007344575"/>
    <n v="0.24264592778056066"/>
    <n v="0"/>
    <n v="0"/>
    <n v="0"/>
    <n v="2.19116228635776"/>
    <n v="0"/>
    <n v="0"/>
    <n v="0"/>
    <n v="0"/>
    <n v="0"/>
    <n v="0"/>
    <n v="0"/>
    <n v="0"/>
    <n v="0"/>
    <n v="0"/>
  </r>
  <r>
    <x v="11"/>
    <x v="5"/>
    <s v="Steam Coal"/>
    <s v="Steam Coal"/>
    <s v="IPAEBSTCOA"/>
    <x v="258"/>
    <s v="TechData_CHP"/>
    <n v="0.88389728314030935"/>
    <n v="0.11610271685969059"/>
    <n v="2.4675702902011474"/>
    <n v="9.3375352463768116E-2"/>
    <n v="0.76343337368048125"/>
    <n v="1.0394164944495168"/>
    <n v="4.4080284829817646"/>
    <n v="0.7456707719607496"/>
    <n v="0"/>
    <n v="0"/>
    <n v="0"/>
    <n v="0.25045796674458071"/>
    <n v="0.25045796674458071"/>
    <n v="0.25045796674458071"/>
    <n v="0.25045796674458071"/>
    <n v="0.25045796674458071"/>
    <n v="0.25045796674458071"/>
    <n v="0.25045796674458071"/>
    <n v="0.25045796674458071"/>
    <n v="0.25045796674458071"/>
    <n v="17.227124373663568"/>
    <n v="0.65189178874287712"/>
    <n v="5.3298427735272904"/>
    <n v="7.2565945930802913"/>
    <n v="30.774262123567812"/>
    <n v="5.2058347360497761"/>
    <n v="0"/>
    <n v="0"/>
    <n v="0"/>
    <n v="66.445550388631617"/>
    <n v="2.2628375283111244"/>
    <n v="8.5628057937538735E-2"/>
    <n v="0.7000917846958441"/>
    <n v="0.95317675874360985"/>
    <n v="4.0422971198694384"/>
    <n v="0.68380293491861011"/>
    <n v="0"/>
    <n v="0"/>
    <n v="0"/>
    <n v="8.7278341844761655"/>
  </r>
  <r>
    <x v="11"/>
    <x v="5"/>
    <s v="Steam Coal"/>
    <s v="Steam Coal"/>
    <s v="IPAECFBCOA"/>
    <x v="258"/>
    <s v="TechData_CHP"/>
    <n v="0.88332652522877819"/>
    <n v="0.11667347477122179"/>
    <n v="0"/>
    <n v="0"/>
    <n v="0.16123709175733456"/>
    <n v="0"/>
    <n v="0.18247046295621513"/>
    <n v="0"/>
    <n v="0"/>
    <n v="0"/>
    <n v="0"/>
    <n v="0.23723482434896859"/>
    <n v="0.23723482434896859"/>
    <n v="0.23723482434896859"/>
    <n v="0.23723482434896859"/>
    <n v="0.23723482434896859"/>
    <n v="0.23723482434896859"/>
    <n v="0.23723482434896859"/>
    <n v="0.23723482434896859"/>
    <n v="0.23723482434896859"/>
    <n v="0"/>
    <n v="0"/>
    <n v="1.0655437246387931"/>
    <n v="0"/>
    <n v="1.2058655649008621"/>
    <n v="0"/>
    <n v="0"/>
    <n v="0"/>
    <n v="0"/>
    <n v="2.2714092895396552"/>
    <n v="0"/>
    <n v="0"/>
    <n v="0.14074148723438293"/>
    <n v="0"/>
    <n v="0.15927578482657589"/>
    <n v="0"/>
    <n v="0"/>
    <n v="0"/>
    <n v="0"/>
    <n v="0.30001727206095885"/>
  </r>
  <r>
    <x v="11"/>
    <x v="5"/>
    <s v="Steam Coal"/>
    <s v="Steam Coal"/>
    <s v="IPAECPVCOA"/>
    <x v="258"/>
    <s v="TechData_CHP"/>
    <n v="0.88682859308694595"/>
    <n v="0.11317140691305411"/>
    <n v="0"/>
    <n v="0.25261303288827852"/>
    <n v="0.79130739386507387"/>
    <n v="0"/>
    <n v="1.0095564601878511"/>
    <n v="0.22128835773625427"/>
    <n v="0.41968172517403568"/>
    <n v="0.37555647942767356"/>
    <n v="0"/>
    <n v="0.24134720447553762"/>
    <n v="0.24134720447553762"/>
    <n v="0.24134720447553762"/>
    <n v="0.24134720447553762"/>
    <n v="0.24134720447553762"/>
    <n v="0.24134720447553762"/>
    <n v="0.24134720447553762"/>
    <n v="0.24134720447553762"/>
    <n v="0.24134720447553762"/>
    <n v="0"/>
    <n v="1.7050782709639054"/>
    <n v="5.3411378957994389"/>
    <n v="0"/>
    <n v="6.8142675138176338"/>
    <n v="1.4936441167714682"/>
    <n v="2.8327524598913829"/>
    <n v="2.5349174793963773"/>
    <n v="0"/>
    <n v="20.721797736640205"/>
    <n v="0"/>
    <n v="0.21759121021365649"/>
    <n v="0.68160194077660885"/>
    <n v="0"/>
    <n v="0.86959334377827546"/>
    <n v="0.19060933244611838"/>
    <n v="0.36149779542673349"/>
    <n v="0.32348999546032314"/>
    <n v="0"/>
    <n v="2.6443836181017155"/>
  </r>
  <r>
    <x v="11"/>
    <x v="5"/>
    <s v="Steam Coal"/>
    <s v="Steam Coal"/>
    <s v="IPAECSOCOA"/>
    <x v="258"/>
    <s v="TechData_CHP"/>
    <n v="0.89487158308527293"/>
    <n v="0.10512841691472706"/>
    <n v="0"/>
    <n v="7.573657242281942E-2"/>
    <n v="1.0155330355630898"/>
    <n v="0"/>
    <n v="0.195740753913417"/>
    <n v="0"/>
    <n v="0"/>
    <n v="0"/>
    <n v="0"/>
    <n v="0.23774408533383345"/>
    <n v="0.23774408533383345"/>
    <n v="0.23774408533383345"/>
    <n v="0.23774408533383345"/>
    <n v="0.23774408533383345"/>
    <n v="0.23774408533383345"/>
    <n v="0.23774408533383345"/>
    <n v="0.23774408533383345"/>
    <n v="0.23774408533383345"/>
    <n v="0"/>
    <n v="0.50813919107012251"/>
    <n v="6.8135131903663231"/>
    <n v="0"/>
    <n v="1.313282938099418"/>
    <n v="0"/>
    <n v="0"/>
    <n v="0"/>
    <n v="0"/>
    <n v="8.6349353195358631"/>
    <n v="0"/>
    <n v="5.9695569441768244E-2"/>
    <n v="0.80044317963616329"/>
    <n v="0"/>
    <n v="0.15428287013820299"/>
    <n v="0"/>
    <n v="0"/>
    <n v="0"/>
    <n v="0"/>
    <n v="1.0144216192161346"/>
  </r>
  <r>
    <x v="12"/>
    <x v="6"/>
    <s v="Electricity"/>
    <s v="Electricity"/>
    <s v="IPBEETCELC"/>
    <x v="263"/>
    <s v="TechData_OTR"/>
    <n v="1"/>
    <n v="0"/>
    <n v="4.7796169924384124E-2"/>
    <n v="4.2173091109750697E-2"/>
    <n v="0.13591784791942513"/>
    <n v="2.6026821942017574E-2"/>
    <n v="0.29689856141264487"/>
    <n v="0.17239271307830994"/>
    <n v="0.12450584833433496"/>
    <n v="2.4677283026505549E-2"/>
    <n v="0.19124894345541804"/>
    <n v="1"/>
    <n v="1"/>
    <n v="1"/>
    <n v="1"/>
    <n v="1"/>
    <n v="1"/>
    <n v="1"/>
    <n v="1"/>
    <n v="1"/>
    <n v="4.7796169924384124E-2"/>
    <n v="4.2173091109750697E-2"/>
    <n v="0.13591784791942513"/>
    <n v="2.6026821942017574E-2"/>
    <n v="0.29689856141264487"/>
    <n v="0.17239271307830994"/>
    <n v="0.12450584833433496"/>
    <n v="2.4677283026505549E-2"/>
    <n v="0.19124894345541804"/>
    <n v="1.0616372802027909"/>
    <n v="0"/>
    <n v="0"/>
    <n v="0"/>
    <n v="0"/>
    <n v="0"/>
    <n v="0"/>
    <n v="0"/>
    <n v="0"/>
    <n v="0"/>
    <n v="0"/>
  </r>
  <r>
    <x v="12"/>
    <x v="0"/>
    <s v="Distillate Oil"/>
    <s v="Distillate Oil"/>
    <s v="IPBEFACDST"/>
    <x v="264"/>
    <s v="TechData_OTR"/>
    <n v="1"/>
    <n v="0"/>
    <n v="0"/>
    <n v="0"/>
    <n v="0"/>
    <n v="0"/>
    <n v="0.54399529042386219"/>
    <n v="0.31586823314933937"/>
    <n v="0.22812705727452287"/>
    <n v="0.12434178066831135"/>
    <n v="0.96364880017941301"/>
    <n v="1"/>
    <n v="1"/>
    <n v="1"/>
    <n v="1"/>
    <n v="1"/>
    <n v="1"/>
    <n v="1"/>
    <n v="1"/>
    <n v="1"/>
    <n v="0"/>
    <n v="0"/>
    <n v="0"/>
    <n v="0"/>
    <n v="0.54399529042386219"/>
    <n v="0.31586823314933937"/>
    <n v="0.22812705727452287"/>
    <n v="0.12434178066831135"/>
    <n v="0.96364880017941301"/>
    <n v="2.1759811616954488"/>
    <n v="0"/>
    <n v="0"/>
    <n v="0"/>
    <n v="0"/>
    <n v="0"/>
    <n v="0"/>
    <n v="0"/>
    <n v="0"/>
    <n v="0"/>
    <n v="0"/>
  </r>
  <r>
    <x v="12"/>
    <x v="0"/>
    <s v="Electricity"/>
    <s v="Electricity"/>
    <s v="IPBEFACELC"/>
    <x v="265"/>
    <s v="TechData_OTR"/>
    <n v="1"/>
    <n v="0"/>
    <n v="0.14338850977315237"/>
    <n v="0.12651927332925211"/>
    <n v="0.40775354375827538"/>
    <n v="7.8080465826052728E-2"/>
    <n v="0.89069568423793477"/>
    <n v="0.51717813923492983"/>
    <n v="0.37351754500300494"/>
    <n v="7.4031849079516654E-2"/>
    <n v="0.57374683036625418"/>
    <n v="1"/>
    <n v="1"/>
    <n v="1"/>
    <n v="1"/>
    <n v="1"/>
    <n v="1"/>
    <n v="1"/>
    <n v="1"/>
    <n v="1"/>
    <n v="0.14338850977315237"/>
    <n v="0.12651927332925211"/>
    <n v="0.40775354375827538"/>
    <n v="7.8080465826052728E-2"/>
    <n v="0.89069568423793477"/>
    <n v="0.51717813923492983"/>
    <n v="0.37351754500300494"/>
    <n v="7.4031849079516654E-2"/>
    <n v="0.57374683036625418"/>
    <n v="3.1849118406083732"/>
    <n v="0"/>
    <n v="0"/>
    <n v="0"/>
    <n v="0"/>
    <n v="0"/>
    <n v="0"/>
    <n v="0"/>
    <n v="0"/>
    <n v="0"/>
    <n v="0"/>
  </r>
  <r>
    <x v="12"/>
    <x v="0"/>
    <s v="Natural Gas"/>
    <s v="Natural Gas"/>
    <s v="IPBEFACNGA"/>
    <x v="266"/>
    <s v="TechData_OTR"/>
    <n v="1"/>
    <n v="0"/>
    <n v="0.16635531033641004"/>
    <n v="0.14678409735565595"/>
    <n v="0.43802238575973512"/>
    <n v="8.3876627060374798E-2"/>
    <n v="1.1351303528837391"/>
    <n v="0.65910794683571949"/>
    <n v="0.47602240604801965"/>
    <n v="7.1574721758186508E-2"/>
    <n v="0.55470409362594542"/>
    <n v="1"/>
    <n v="1"/>
    <n v="1"/>
    <n v="1"/>
    <n v="1"/>
    <n v="1"/>
    <n v="1"/>
    <n v="1"/>
    <n v="1"/>
    <n v="0.16635531033641004"/>
    <n v="0.14678409735565595"/>
    <n v="0.43802238575973512"/>
    <n v="8.3876627060374798E-2"/>
    <n v="1.1351303528837391"/>
    <n v="0.65910794683571949"/>
    <n v="0.47602240604801965"/>
    <n v="7.1574721758186508E-2"/>
    <n v="0.55470409362594542"/>
    <n v="3.7315779416637858"/>
    <n v="0"/>
    <n v="0"/>
    <n v="0"/>
    <n v="0"/>
    <n v="0"/>
    <n v="0"/>
    <n v="0"/>
    <n v="0"/>
    <n v="0"/>
    <n v="0"/>
  </r>
  <r>
    <x v="12"/>
    <x v="1"/>
    <s v="Natural Gas"/>
    <s v="Natural Gas"/>
    <s v="IPBEFEDNGA"/>
    <x v="267"/>
    <s v="TechData_OTR"/>
    <n v="1"/>
    <n v="0"/>
    <n v="0"/>
    <n v="0"/>
    <n v="0"/>
    <n v="0"/>
    <n v="0"/>
    <n v="0"/>
    <n v="0"/>
    <n v="0.21025074516467288"/>
    <n v="1.6294432750262149"/>
    <n v="1"/>
    <n v="1"/>
    <n v="1"/>
    <n v="1"/>
    <n v="1"/>
    <n v="1"/>
    <n v="1"/>
    <n v="1"/>
    <n v="1"/>
    <n v="0"/>
    <n v="0"/>
    <n v="0"/>
    <n v="0"/>
    <n v="0"/>
    <n v="0"/>
    <n v="0"/>
    <n v="0.21025074516467288"/>
    <n v="1.6294432750262149"/>
    <n v="1.8396940201908878"/>
    <n v="0"/>
    <n v="0"/>
    <n v="0"/>
    <n v="0"/>
    <n v="0"/>
    <n v="0"/>
    <n v="0"/>
    <n v="0"/>
    <n v="0"/>
    <n v="0"/>
  </r>
  <r>
    <x v="12"/>
    <x v="2"/>
    <s v="Electricity"/>
    <s v="Electricity"/>
    <s v="IPBEMDRELC"/>
    <x v="268"/>
    <s v="TechData_OTR"/>
    <n v="1"/>
    <n v="0"/>
    <n v="2.3692561431517212"/>
    <n v="2.0905201263103423"/>
    <n v="6.7374477213659034"/>
    <n v="1.2901495636658111"/>
    <n v="14.717261689224808"/>
    <n v="8.5455067872918242"/>
    <n v="6.1717549019329843"/>
    <n v="1.2232529196238802"/>
    <n v="9.4802101270850727"/>
    <n v="1"/>
    <n v="1"/>
    <n v="1"/>
    <n v="1"/>
    <n v="1"/>
    <n v="1"/>
    <n v="1"/>
    <n v="1"/>
    <n v="1"/>
    <n v="2.3692561431517212"/>
    <n v="2.0905201263103423"/>
    <n v="6.7374477213659034"/>
    <n v="1.2901495636658111"/>
    <n v="14.717261689224808"/>
    <n v="8.5455067872918242"/>
    <n v="6.1717549019329843"/>
    <n v="1.2232529196238802"/>
    <n v="9.4802101270850727"/>
    <n v="52.625359979652352"/>
    <n v="0"/>
    <n v="0"/>
    <n v="0"/>
    <n v="0"/>
    <n v="0"/>
    <n v="0"/>
    <n v="0"/>
    <n v="0"/>
    <n v="0"/>
    <n v="0"/>
  </r>
  <r>
    <x v="12"/>
    <x v="2"/>
    <s v="Natural Gas"/>
    <s v="Natural Gas"/>
    <s v="IPBEMDRNGA"/>
    <x v="269"/>
    <s v="TechData_OTR"/>
    <n v="1"/>
    <n v="0"/>
    <n v="0.16635531033641004"/>
    <n v="0.14678409735565595"/>
    <n v="0.43802238575973512"/>
    <n v="8.3876627060374798E-2"/>
    <n v="1.1351303528837391"/>
    <n v="0.65910794683571949"/>
    <n v="0.47602240604801965"/>
    <n v="7.1574721758186508E-2"/>
    <n v="0.55470409362594542"/>
    <n v="1"/>
    <n v="1"/>
    <n v="1"/>
    <n v="1"/>
    <n v="1"/>
    <n v="1"/>
    <n v="1"/>
    <n v="1"/>
    <n v="1"/>
    <n v="0.16635531033641004"/>
    <n v="0.14678409735565595"/>
    <n v="0.43802238575973512"/>
    <n v="8.3876627060374798E-2"/>
    <n v="1.1351303528837391"/>
    <n v="0.65910794683571949"/>
    <n v="0.47602240604801965"/>
    <n v="7.1574721758186508E-2"/>
    <n v="0.55470409362594542"/>
    <n v="3.7315779416637858"/>
    <n v="0"/>
    <n v="0"/>
    <n v="0"/>
    <n v="0"/>
    <n v="0"/>
    <n v="0"/>
    <n v="0"/>
    <n v="0"/>
    <n v="0"/>
    <n v="0"/>
  </r>
  <r>
    <x v="12"/>
    <x v="3"/>
    <s v="Electricity"/>
    <s v="Electricity"/>
    <s v="IPBEOHTELC"/>
    <x v="270"/>
    <s v="TechData_OTR"/>
    <n v="1"/>
    <n v="0"/>
    <n v="4.7796169924384124E-2"/>
    <n v="4.2173091109750697E-2"/>
    <n v="0.13591784791942513"/>
    <n v="2.6026821942017574E-2"/>
    <n v="0.29689856141264487"/>
    <n v="0.17239271307830994"/>
    <n v="0.12450584833433496"/>
    <n v="2.4677283026505549E-2"/>
    <n v="0.19124894345541804"/>
    <n v="1"/>
    <n v="1"/>
    <n v="1"/>
    <n v="1"/>
    <n v="1"/>
    <n v="1"/>
    <n v="1"/>
    <n v="1"/>
    <n v="1"/>
    <n v="4.7796169924384124E-2"/>
    <n v="4.2173091109750697E-2"/>
    <n v="0.13591784791942513"/>
    <n v="2.6026821942017574E-2"/>
    <n v="0.29689856141264487"/>
    <n v="0.17239271307830994"/>
    <n v="0.12450584833433496"/>
    <n v="2.4677283026505549E-2"/>
    <n v="0.19124894345541804"/>
    <n v="1.0616372802027909"/>
    <n v="0"/>
    <n v="0"/>
    <n v="0"/>
    <n v="0"/>
    <n v="0"/>
    <n v="0"/>
    <n v="0"/>
    <n v="0"/>
    <n v="0"/>
    <n v="0"/>
  </r>
  <r>
    <x v="12"/>
    <x v="3"/>
    <s v="Natural Gas"/>
    <s v="Natural Gas"/>
    <s v="IPBEOHTNGA"/>
    <x v="271"/>
    <s v="TechData_OTR"/>
    <n v="1"/>
    <n v="0"/>
    <n v="8.3177655168205022E-2"/>
    <n v="7.3392048677827976E-2"/>
    <n v="0.21901119287986756"/>
    <n v="4.1938313530187399E-2"/>
    <n v="0.56756517644186955"/>
    <n v="0.32955397341785975"/>
    <n v="0.23801120302400983"/>
    <n v="3.5787360879093254E-2"/>
    <n v="0.27735204681297271"/>
    <n v="1"/>
    <n v="1"/>
    <n v="1"/>
    <n v="1"/>
    <n v="1"/>
    <n v="1"/>
    <n v="1"/>
    <n v="1"/>
    <n v="1"/>
    <n v="8.3177655168205022E-2"/>
    <n v="7.3392048677827976E-2"/>
    <n v="0.21901119287986756"/>
    <n v="4.1938313530187399E-2"/>
    <n v="0.56756517644186955"/>
    <n v="0.32955397341785975"/>
    <n v="0.23801120302400983"/>
    <n v="3.5787360879093254E-2"/>
    <n v="0.27735204681297271"/>
    <n v="1.8657889708318929"/>
    <n v="0"/>
    <n v="0"/>
    <n v="0"/>
    <n v="0"/>
    <n v="0"/>
    <n v="0"/>
    <n v="0"/>
    <n v="0"/>
    <n v="0"/>
    <n v="0"/>
  </r>
  <r>
    <x v="12"/>
    <x v="3"/>
    <s v="Other Petroleum"/>
    <s v="Other Petroleum"/>
    <s v="IPBEOHTOTP"/>
    <x v="272"/>
    <s v="TechData_OTR"/>
    <n v="1"/>
    <n v="0"/>
    <n v="2.4395811397437062E-2"/>
    <n v="2.1525715938915054E-2"/>
    <n v="4.4047179281807132E-2"/>
    <n v="8.4345662454524285E-3"/>
    <n v="1.5383711657677959"/>
    <n v="0.89324777367162345"/>
    <n v="0.64512339209617253"/>
    <n v="4.1985396421807646E-2"/>
    <n v="0.32538682226900928"/>
    <n v="1"/>
    <n v="1"/>
    <n v="1"/>
    <n v="1"/>
    <n v="1"/>
    <n v="1"/>
    <n v="1"/>
    <n v="1"/>
    <n v="1"/>
    <n v="2.4395811397437062E-2"/>
    <n v="2.1525715938915054E-2"/>
    <n v="4.4047179281807132E-2"/>
    <n v="8.4345662454524285E-3"/>
    <n v="1.5383711657677959"/>
    <n v="0.89324777367162345"/>
    <n v="0.64512339209617253"/>
    <n v="4.1985396421807646E-2"/>
    <n v="0.32538682226900928"/>
    <n v="3.5425178230900203"/>
    <n v="0"/>
    <n v="0"/>
    <n v="0"/>
    <n v="0"/>
    <n v="0"/>
    <n v="0"/>
    <n v="0"/>
    <n v="0"/>
    <n v="0"/>
    <n v="0"/>
  </r>
  <r>
    <x v="12"/>
    <x v="3"/>
    <s v="Petroleum Coke"/>
    <s v="Petroleum Coke"/>
    <s v="IPBEOHTPTC"/>
    <x v="273"/>
    <s v="TechData_OTR"/>
    <n v="1"/>
    <n v="0"/>
    <n v="0"/>
    <n v="4.592152733635213E-2"/>
    <n v="4.4047179281807139E-2"/>
    <n v="8.4345662454524302E-3"/>
    <n v="1.5383711657677963"/>
    <n v="0.89324777367162378"/>
    <n v="0.64512339209617264"/>
    <n v="4.1985396421807659E-2"/>
    <n v="0.32538682226900939"/>
    <n v="1"/>
    <n v="1"/>
    <n v="1"/>
    <n v="1"/>
    <n v="1"/>
    <n v="1"/>
    <n v="1"/>
    <n v="1"/>
    <n v="1"/>
    <n v="0"/>
    <n v="4.592152733635213E-2"/>
    <n v="4.4047179281807139E-2"/>
    <n v="8.4345662454524302E-3"/>
    <n v="1.5383711657677963"/>
    <n v="0.89324777367162378"/>
    <n v="0.64512339209617264"/>
    <n v="4.1985396421807659E-2"/>
    <n v="0.32538682226900939"/>
    <n v="3.5425178230900216"/>
    <n v="0"/>
    <n v="0"/>
    <n v="0"/>
    <n v="0"/>
    <n v="0"/>
    <n v="0"/>
    <n v="0"/>
    <n v="0"/>
    <n v="0"/>
    <n v="0"/>
  </r>
  <r>
    <x v="12"/>
    <x v="3"/>
    <s v="Renewables"/>
    <s v="Biomass"/>
    <s v="IPBEOHTBIO"/>
    <x v="274"/>
    <s v="TechData_OTR"/>
    <n v="1"/>
    <n v="0"/>
    <n v="0"/>
    <n v="1.2987027809899008"/>
    <n v="0"/>
    <n v="0"/>
    <n v="0"/>
    <n v="0"/>
    <n v="0"/>
    <n v="0.84887532256389964"/>
    <n v="0"/>
    <n v="1"/>
    <n v="1"/>
    <n v="1"/>
    <n v="1"/>
    <n v="1"/>
    <n v="1"/>
    <n v="1"/>
    <n v="1"/>
    <n v="1"/>
    <n v="0"/>
    <n v="1.2987027809899008"/>
    <n v="0"/>
    <n v="0"/>
    <n v="0"/>
    <n v="0"/>
    <n v="0"/>
    <n v="0.84887532256389964"/>
    <n v="0"/>
    <n v="2.1475781035538004"/>
    <n v="0"/>
    <n v="0"/>
    <n v="0"/>
    <n v="0"/>
    <n v="0"/>
    <n v="0"/>
    <n v="0"/>
    <n v="0"/>
    <n v="0"/>
    <n v="0"/>
  </r>
  <r>
    <x v="12"/>
    <x v="3"/>
    <s v="Renewables"/>
    <s v="Black Liquor; Hog Fuel"/>
    <s v="IPBEBASTOM"/>
    <x v="274"/>
    <s v="TechData_IPBIO"/>
    <n v="1"/>
    <n v="0"/>
    <n v="0"/>
    <n v="0"/>
    <n v="0.75530310359045927"/>
    <n v="0.14463250919817305"/>
    <n v="133.09837841301879"/>
    <n v="74.333665151979602"/>
    <n v="31.381979277706318"/>
    <n v="0.80945816547261007"/>
    <n v="29.233658728978583"/>
    <n v="1"/>
    <n v="1"/>
    <n v="1"/>
    <n v="1"/>
    <n v="1"/>
    <n v="1"/>
    <n v="1"/>
    <n v="1"/>
    <n v="1"/>
    <n v="0"/>
    <n v="0"/>
    <n v="0.75530310359045927"/>
    <n v="0.14463250919817305"/>
    <n v="133.09837841301879"/>
    <n v="74.333665151979602"/>
    <n v="31.381979277706318"/>
    <n v="0.80945816547261007"/>
    <n v="29.233658728978583"/>
    <n v="269.75707534994456"/>
    <n v="0"/>
    <n v="0"/>
    <n v="0"/>
    <n v="0"/>
    <n v="0"/>
    <n v="0"/>
    <n v="0"/>
    <n v="0"/>
    <n v="0"/>
    <n v="0"/>
  </r>
  <r>
    <x v="12"/>
    <x v="3"/>
    <s v="Renewables"/>
    <s v="Black Liquor; Hog Fuel"/>
    <s v="IPBEBHLTOM"/>
    <x v="274"/>
    <s v="TechData_IPBIO"/>
    <n v="1"/>
    <n v="0"/>
    <n v="0"/>
    <n v="1.8948462539999997"/>
    <n v="0"/>
    <n v="0"/>
    <n v="4.1588099999999999"/>
    <n v="6.8389319999999998"/>
    <n v="4.4268221999999993"/>
    <n v="0"/>
    <n v="1.7328374999999998"/>
    <n v="0"/>
    <n v="0"/>
    <n v="0"/>
    <n v="0"/>
    <n v="0.78658675799086764"/>
    <n v="0.81050228310502292"/>
    <n v="0.99315068493150693"/>
    <n v="0"/>
    <n v="0.9817351598173516"/>
    <n v="0"/>
    <n v="0"/>
    <n v="0"/>
    <n v="0"/>
    <n v="3.271264875"/>
    <n v="5.5429700000000004"/>
    <n v="4.3965014999999994"/>
    <n v="0"/>
    <n v="1.7011874999999999"/>
    <n v="14.911923874999999"/>
    <n v="0"/>
    <n v="0"/>
    <n v="0"/>
    <n v="0"/>
    <n v="0"/>
    <n v="0"/>
    <n v="0"/>
    <n v="0"/>
    <n v="0"/>
    <n v="0"/>
  </r>
  <r>
    <x v="12"/>
    <x v="3"/>
    <s v="Renewables"/>
    <s v="Black Liquor; Hog Fuel"/>
    <s v="IPBEBSTTOM"/>
    <x v="275"/>
    <s v="TechData_IPBIO"/>
    <n v="0.8845743051095234"/>
    <n v="0.11542569489047663"/>
    <n v="0.52404780542143881"/>
    <n v="0.57425220369391061"/>
    <n v="0"/>
    <n v="0"/>
    <n v="0"/>
    <n v="0"/>
    <n v="0.49454256944983049"/>
    <n v="0.14999124723348412"/>
    <n v="0"/>
    <n v="0"/>
    <n v="0"/>
    <n v="0"/>
    <n v="0"/>
    <n v="0"/>
    <n v="0"/>
    <n v="0.99"/>
    <n v="0.85135654712474307"/>
    <n v="0"/>
    <n v="0"/>
    <n v="0"/>
    <n v="0"/>
    <n v="0"/>
    <n v="0"/>
    <n v="0"/>
    <n v="13.657770238376838"/>
    <n v="3.5622001987366336"/>
    <n v="0"/>
    <n v="17.219970437113471"/>
    <n v="0"/>
    <n v="0"/>
    <n v="0"/>
    <n v="0"/>
    <n v="0"/>
    <n v="0"/>
    <n v="1.7821652870913183"/>
    <n v="0.46482181418016777"/>
    <n v="0"/>
    <n v="2.2469871012714862"/>
  </r>
  <r>
    <x v="12"/>
    <x v="3"/>
    <s v="Renewables"/>
    <s v="Black Liquor; Hog Fuel"/>
    <s v="IPBECHLTOM"/>
    <x v="275"/>
    <s v="TechData_IPBIO"/>
    <n v="0.88332652522877819"/>
    <n v="0.11667347477122178"/>
    <n v="0"/>
    <n v="0"/>
    <n v="0"/>
    <n v="0"/>
    <n v="0.12441152491321072"/>
    <n v="0"/>
    <n v="0.31351600126382984"/>
    <n v="0"/>
    <n v="0.10550119048656852"/>
    <n v="0"/>
    <n v="0"/>
    <n v="0"/>
    <n v="0"/>
    <n v="0.11415525114155251"/>
    <n v="0"/>
    <n v="0.98652968036529676"/>
    <n v="0"/>
    <n v="0.95205479452054798"/>
    <n v="0"/>
    <n v="0"/>
    <n v="0"/>
    <n v="0"/>
    <n v="0.39562560000000002"/>
    <n v="0"/>
    <n v="8.6158423944000013"/>
    <n v="0"/>
    <n v="2.7979966080000001"/>
    <n v="11.809464602400002"/>
    <n v="0"/>
    <n v="0"/>
    <n v="0"/>
    <n v="0"/>
    <n v="5.22558896875586E-2"/>
    <n v="0"/>
    <n v="1.1380166241192613"/>
    <n v="0"/>
    <n v="0.36957113516873313"/>
    <n v="1.5598436489755532"/>
  </r>
  <r>
    <x v="12"/>
    <x v="3"/>
    <s v="Renewables"/>
    <s v="Hog Fuel"/>
    <s v="IPBEBFBWOD"/>
    <x v="274"/>
    <s v="TechData_IPBIO"/>
    <n v="1"/>
    <n v="0"/>
    <n v="0"/>
    <n v="0"/>
    <n v="0"/>
    <n v="0"/>
    <n v="0"/>
    <n v="0"/>
    <n v="0"/>
    <n v="0"/>
    <n v="0.59147519999999998"/>
    <n v="0"/>
    <n v="0"/>
    <n v="0"/>
    <n v="0"/>
    <n v="0"/>
    <n v="0"/>
    <n v="0"/>
    <n v="0"/>
    <n v="0.66668617037911848"/>
    <n v="0"/>
    <n v="0"/>
    <n v="0"/>
    <n v="0"/>
    <n v="0"/>
    <n v="0"/>
    <n v="0"/>
    <n v="0"/>
    <n v="0.39432833596222316"/>
    <n v="0.39432833596222316"/>
    <n v="0"/>
    <n v="0"/>
    <n v="0"/>
    <n v="0"/>
    <n v="0"/>
    <n v="0"/>
    <n v="0"/>
    <n v="0"/>
    <n v="0"/>
    <n v="0"/>
  </r>
  <r>
    <x v="12"/>
    <x v="3"/>
    <s v="Renewables"/>
    <s v="Hog Fuel"/>
    <s v="IPBEBOLWOD"/>
    <x v="274"/>
    <s v="TechData_IPBIO"/>
    <n v="1"/>
    <n v="0"/>
    <n v="0"/>
    <n v="0"/>
    <n v="0"/>
    <n v="0"/>
    <n v="2.2642409999999997"/>
    <n v="0"/>
    <n v="0"/>
    <n v="0"/>
    <n v="0"/>
    <n v="0"/>
    <n v="0"/>
    <n v="0"/>
    <n v="0"/>
    <n v="1.2755373413389285E-2"/>
    <n v="0"/>
    <n v="0"/>
    <n v="0"/>
    <n v="0"/>
    <n v="0"/>
    <n v="0"/>
    <n v="0"/>
    <n v="0"/>
    <n v="2.8881239452905966E-2"/>
    <n v="0"/>
    <n v="0"/>
    <n v="0"/>
    <n v="0"/>
    <n v="2.8881239452905966E-2"/>
    <n v="0"/>
    <n v="0"/>
    <n v="0"/>
    <n v="0"/>
    <n v="0"/>
    <n v="0"/>
    <n v="0"/>
    <n v="0"/>
    <n v="0"/>
    <n v="0"/>
  </r>
  <r>
    <x v="12"/>
    <x v="3"/>
    <s v="Renewables"/>
    <s v="Hog Fuel"/>
    <s v="IPBEBSDWOD"/>
    <x v="274"/>
    <s v="TechData_IPBIO"/>
    <n v="1"/>
    <n v="0"/>
    <n v="0"/>
    <n v="0"/>
    <n v="5.2077542999999995"/>
    <n v="0"/>
    <n v="25.166345579999998"/>
    <n v="0"/>
    <n v="0"/>
    <n v="0"/>
    <n v="2.4975964500000001"/>
    <n v="0"/>
    <n v="0"/>
    <n v="0.40529949196338505"/>
    <n v="0"/>
    <n v="0.43115830596411203"/>
    <n v="0"/>
    <n v="0"/>
    <n v="0"/>
    <n v="0.65893400560726834"/>
    <n v="0"/>
    <n v="0"/>
    <n v="2.1107001720601337"/>
    <n v="0"/>
    <n v="10.850678927580217"/>
    <n v="0"/>
    <n v="0"/>
    <n v="0"/>
    <n v="1.6457512331889936"/>
    <n v="14.607130332829344"/>
    <n v="0"/>
    <n v="0"/>
    <n v="0"/>
    <n v="0"/>
    <n v="0"/>
    <n v="0"/>
    <n v="0"/>
    <n v="0"/>
    <n v="0"/>
    <n v="0"/>
  </r>
  <r>
    <x v="12"/>
    <x v="3"/>
    <s v="Renewables"/>
    <s v="Hog Fuel"/>
    <s v="IPBEBSTWOD"/>
    <x v="275"/>
    <s v="TechData_IPBIO"/>
    <n v="0.88332652522877819"/>
    <n v="0.11667347477122179"/>
    <n v="0"/>
    <n v="0"/>
    <n v="0"/>
    <n v="0"/>
    <n v="0.85023609860352134"/>
    <n v="0.25455657387625591"/>
    <n v="0"/>
    <n v="0"/>
    <n v="0"/>
    <n v="0"/>
    <n v="0"/>
    <n v="0"/>
    <n v="0"/>
    <n v="0.44247880156110891"/>
    <n v="0.66592516613476349"/>
    <n v="0"/>
    <n v="0"/>
    <n v="0"/>
    <n v="0"/>
    <n v="0"/>
    <n v="0"/>
    <n v="0"/>
    <n v="10.479966346337546"/>
    <n v="4.7221265718710841"/>
    <n v="0"/>
    <n v="0"/>
    <n v="0"/>
    <n v="15.202092918208631"/>
    <n v="0"/>
    <n v="0"/>
    <n v="0"/>
    <n v="0"/>
    <n v="1.3842379394142881"/>
    <n v="0.62371829636500931"/>
    <n v="0"/>
    <n v="0"/>
    <n v="0"/>
    <n v="2.0079562357792975"/>
  </r>
  <r>
    <x v="12"/>
    <x v="3"/>
    <s v="Renewables"/>
    <s v="Hog Fuel"/>
    <s v="IPBEBSWWOD"/>
    <x v="274"/>
    <s v="TechData_IPBIO"/>
    <n v="1"/>
    <n v="0"/>
    <n v="0"/>
    <n v="1.6635239999999996"/>
    <n v="5.9517191999999994"/>
    <n v="0"/>
    <n v="15.2212446"/>
    <n v="13.585445999999997"/>
    <n v="12.605815199999999"/>
    <n v="0"/>
    <n v="0"/>
    <n v="0"/>
    <n v="0.95890410958904104"/>
    <n v="0.41836035324883952"/>
    <n v="0"/>
    <n v="0.4350934542950553"/>
    <n v="0.65629140999322977"/>
    <n v="0.71872802595248186"/>
    <n v="0"/>
    <n v="0"/>
    <n v="0"/>
    <n v="1.5951599999999995"/>
    <n v="2.4899633469499003"/>
    <n v="0"/>
    <n v="6.6226638916839571"/>
    <n v="8.9160115107268822"/>
    <n v="9.0601526742177896"/>
    <n v="0"/>
    <n v="0"/>
    <n v="28.683951423578527"/>
    <n v="0"/>
    <n v="0"/>
    <n v="0"/>
    <n v="0"/>
    <n v="0"/>
    <n v="0"/>
    <n v="0"/>
    <n v="0"/>
    <n v="0"/>
    <n v="0"/>
  </r>
  <r>
    <x v="12"/>
    <x v="3"/>
    <s v="Renewables"/>
    <s v="Hog Fuel"/>
    <s v="IPBECFBWOD"/>
    <x v="275"/>
    <s v="TechData_IPBIO"/>
    <n v="0.88332652522877819"/>
    <n v="0.11667347477122177"/>
    <n v="0"/>
    <n v="0"/>
    <n v="0"/>
    <n v="0"/>
    <n v="0.28399011332194429"/>
    <n v="0"/>
    <n v="0.3997751566540359"/>
    <n v="0"/>
    <n v="0"/>
    <n v="0"/>
    <n v="0"/>
    <n v="0"/>
    <n v="0"/>
    <n v="0.44679521992419985"/>
    <n v="0"/>
    <n v="0.76014258089393838"/>
    <n v="0"/>
    <n v="0"/>
    <n v="0"/>
    <n v="0"/>
    <n v="0"/>
    <n v="0"/>
    <n v="3.5345946686339254"/>
    <n v="0"/>
    <n v="8.4652296052170506"/>
    <n v="0"/>
    <n v="0"/>
    <n v="11.999824273850976"/>
    <n v="0"/>
    <n v="0"/>
    <n v="0"/>
    <n v="0"/>
    <n v="0.46686409851730298"/>
    <n v="0"/>
    <n v="1.1181230548025136"/>
    <n v="0"/>
    <n v="0"/>
    <n v="1.5849871533198165"/>
  </r>
  <r>
    <x v="12"/>
    <x v="3"/>
    <s v="Renewables"/>
    <s v="Hog Fuel"/>
    <s v="IPBECSDWOD"/>
    <x v="275"/>
    <s v="TechData_IPBIO"/>
    <n v="0.88775375895900943"/>
    <n v="0.11224624104099054"/>
    <n v="0"/>
    <n v="0"/>
    <n v="0"/>
    <n v="0"/>
    <n v="0.26706998291362327"/>
    <n v="0"/>
    <n v="0"/>
    <n v="0"/>
    <n v="0.35034156810795364"/>
    <n v="0"/>
    <n v="0"/>
    <n v="0"/>
    <n v="0"/>
    <n v="0.43521334086484242"/>
    <n v="0"/>
    <n v="0"/>
    <n v="0"/>
    <n v="0.64364992185181946"/>
    <n v="0"/>
    <n v="0"/>
    <n v="0"/>
    <n v="0"/>
    <n v="3.2540663585699572"/>
    <n v="0"/>
    <n v="0"/>
    <n v="0"/>
    <n v="6.3130687256624487"/>
    <n v="9.5671350842324063"/>
    <n v="0"/>
    <n v="0"/>
    <n v="0"/>
    <n v="0"/>
    <n v="0.41143922305181346"/>
    <n v="0"/>
    <n v="0"/>
    <n v="0"/>
    <n v="0.79821485038822071"/>
    <n v="1.2096540734400341"/>
  </r>
  <r>
    <x v="12"/>
    <x v="3"/>
    <s v="Renewables"/>
    <s v="Hog Fuel"/>
    <s v="IPBECSWWOD"/>
    <x v="275"/>
    <s v="TechData_IPBIO"/>
    <n v="0.88439615508910219"/>
    <n v="0.1156038449108978"/>
    <n v="0.30290044774858649"/>
    <n v="0"/>
    <n v="0"/>
    <n v="0.2421879043478205"/>
    <n v="1.8535637199120054"/>
    <n v="1.0604598351430108"/>
    <n v="0.25778009999306378"/>
    <n v="0"/>
    <n v="0"/>
    <n v="0.32272992427182973"/>
    <n v="0"/>
    <n v="0"/>
    <n v="0.12186258261058446"/>
    <n v="0.43602050592273101"/>
    <n v="0.66184437414753672"/>
    <n v="0.61730496291302317"/>
    <n v="0"/>
    <n v="0"/>
    <n v="2.7264190282509664"/>
    <n v="0"/>
    <n v="0"/>
    <n v="0.8231448773995278"/>
    <n v="22.540725364161641"/>
    <n v="19.575080586336487"/>
    <n v="4.4381564662357427"/>
    <n v="0"/>
    <n v="0"/>
    <n v="50.103526322384369"/>
    <n v="0.35638386789717652"/>
    <n v="0"/>
    <n v="0"/>
    <n v="0.1075973840439275"/>
    <n v="2.9464109541669714"/>
    <n v="2.5587566920088869"/>
    <n v="0.58013363000354046"/>
    <n v="0"/>
    <n v="0"/>
    <n v="6.5492825281205036"/>
  </r>
  <r>
    <x v="12"/>
    <x v="4"/>
    <s v="Electricity"/>
    <s v="Electricity"/>
    <s v="IPBEPRHELC"/>
    <x v="276"/>
    <s v="TechData_OTR"/>
    <n v="1"/>
    <n v="0"/>
    <n v="0.11614469291625341"/>
    <n v="0.10248061139669419"/>
    <n v="0.330280370444203"/>
    <n v="6.3245177319102702E-2"/>
    <n v="0.72146350423272698"/>
    <n v="0.41891429278029313"/>
    <n v="0.30254921145243396"/>
    <n v="5.9965797754408481E-2"/>
    <n v="0.46473493259666576"/>
    <n v="1"/>
    <n v="1"/>
    <n v="1"/>
    <n v="1"/>
    <n v="1"/>
    <n v="1"/>
    <n v="1"/>
    <n v="1"/>
    <n v="1"/>
    <n v="0.11614469291625341"/>
    <n v="0.10248061139669419"/>
    <n v="0.330280370444203"/>
    <n v="6.3245177319102702E-2"/>
    <n v="0.72146350423272698"/>
    <n v="0.41891429278029313"/>
    <n v="0.30254921145243396"/>
    <n v="5.9965797754408481E-2"/>
    <n v="0.46473493259666576"/>
    <n v="2.5797785908927815"/>
    <n v="0"/>
    <n v="0"/>
    <n v="0"/>
    <n v="0"/>
    <n v="0"/>
    <n v="0"/>
    <n v="0"/>
    <n v="0"/>
    <n v="0"/>
    <n v="0"/>
  </r>
  <r>
    <x v="12"/>
    <x v="4"/>
    <s v="Natural Gas"/>
    <s v="Natural Gas"/>
    <s v="IPBEPRHNGA"/>
    <x v="277"/>
    <s v="TechData_OTR"/>
    <n v="1"/>
    <n v="0"/>
    <n v="1.455608965443588"/>
    <n v="1.2843608518619896"/>
    <n v="3.8326958753976825"/>
    <n v="0.73392048677827948"/>
    <n v="9.9323905877327174"/>
    <n v="5.7671945348125462"/>
    <n v="4.1651960529201721"/>
    <n v="0.62627881538413188"/>
    <n v="4.8536608192270227"/>
    <n v="1"/>
    <n v="1"/>
    <n v="1"/>
    <n v="1"/>
    <n v="1"/>
    <n v="1"/>
    <n v="1"/>
    <n v="1"/>
    <n v="1"/>
    <n v="1.455608965443588"/>
    <n v="1.2843608518619896"/>
    <n v="3.8326958753976825"/>
    <n v="0.73392048677827948"/>
    <n v="9.9323905877327174"/>
    <n v="5.7671945348125462"/>
    <n v="4.1651960529201721"/>
    <n v="0.62627881538413188"/>
    <n v="4.8536608192270227"/>
    <n v="32.65130698955813"/>
    <n v="0"/>
    <n v="0"/>
    <n v="0"/>
    <n v="0"/>
    <n v="0"/>
    <n v="0"/>
    <n v="0"/>
    <n v="0"/>
    <n v="0"/>
    <n v="0"/>
  </r>
  <r>
    <x v="12"/>
    <x v="4"/>
    <s v="Residual Oil"/>
    <s v="Residual Oil"/>
    <s v="IPBEPRHRFL"/>
    <x v="278"/>
    <s v="TechData_OTR"/>
    <n v="1"/>
    <n v="0"/>
    <n v="0.16887340036563062"/>
    <n v="0.14900594149908586"/>
    <n v="0"/>
    <n v="0"/>
    <n v="1.5893967093235826"/>
    <n v="0.92287550863949952"/>
    <n v="0.66652120068408294"/>
    <n v="0"/>
    <n v="0"/>
    <n v="1"/>
    <n v="1"/>
    <n v="1"/>
    <n v="1"/>
    <n v="1"/>
    <n v="1"/>
    <n v="1"/>
    <n v="1"/>
    <n v="1"/>
    <n v="0.16887340036563062"/>
    <n v="0.14900594149908586"/>
    <n v="0"/>
    <n v="0"/>
    <n v="1.5893967093235826"/>
    <n v="0.92287550863949952"/>
    <n v="0.66652120068408294"/>
    <n v="0"/>
    <n v="0"/>
    <n v="3.4966727605118813"/>
    <n v="0"/>
    <n v="0"/>
    <n v="0"/>
    <n v="0"/>
    <n v="0"/>
    <n v="0"/>
    <n v="0"/>
    <n v="0"/>
    <n v="0"/>
    <n v="0"/>
  </r>
  <r>
    <x v="12"/>
    <x v="5"/>
    <s v="Distillate Oil"/>
    <s v="Distillate Oil"/>
    <s v="IPBEBLLDST"/>
    <x v="279"/>
    <s v="TechData_Boiler"/>
    <n v="1"/>
    <n v="0"/>
    <n v="0"/>
    <n v="0"/>
    <n v="0"/>
    <n v="0"/>
    <n v="5.3417603999999992"/>
    <n v="0"/>
    <n v="0"/>
    <n v="0"/>
    <n v="0"/>
    <n v="0"/>
    <n v="0"/>
    <n v="0"/>
    <n v="0"/>
    <n v="0"/>
    <n v="0"/>
    <n v="0"/>
    <n v="0"/>
    <n v="0"/>
    <n v="0"/>
    <n v="0"/>
    <n v="0"/>
    <n v="0"/>
    <n v="0"/>
    <n v="0"/>
    <n v="0"/>
    <n v="0"/>
    <n v="0"/>
    <n v="0"/>
    <n v="0"/>
    <n v="0"/>
    <n v="0"/>
    <n v="0"/>
    <n v="0"/>
    <n v="0"/>
    <n v="0"/>
    <n v="0"/>
    <n v="0"/>
    <n v="0"/>
  </r>
  <r>
    <x v="12"/>
    <x v="5"/>
    <s v="Distillate Oil"/>
    <s v="Distillate Oil"/>
    <s v="IPBEBSADST"/>
    <x v="280"/>
    <s v="TechData_CHP"/>
    <n v="0.91368193925741348"/>
    <n v="8.6318060742586522E-2"/>
    <n v="1.1707728444485099E-3"/>
    <n v="5.4437769331585736E-5"/>
    <n v="0"/>
    <n v="0"/>
    <n v="0"/>
    <n v="1.3732791115333189E-2"/>
    <n v="0"/>
    <n v="0"/>
    <n v="0"/>
    <n v="1"/>
    <n v="1"/>
    <n v="1"/>
    <n v="1"/>
    <n v="1"/>
    <n v="1"/>
    <n v="1"/>
    <n v="1"/>
    <n v="1"/>
    <n v="3.3734500796893468E-2"/>
    <n v="1.5685630065689889E-3"/>
    <n v="0"/>
    <n v="0"/>
    <n v="0"/>
    <n v="0.39569490787258643"/>
    <n v="0"/>
    <n v="0"/>
    <n v="0"/>
    <n v="0.43099797167604892"/>
    <n v="3.1869916256347377E-3"/>
    <n v="1.4818648707189881E-4"/>
    <n v="0"/>
    <n v="0"/>
    <n v="0"/>
    <n v="3.7382392740561064E-2"/>
    <n v="0"/>
    <n v="0"/>
    <n v="0"/>
    <n v="4.0717570853267701E-2"/>
  </r>
  <r>
    <x v="12"/>
    <x v="5"/>
    <s v="Distillate Oil"/>
    <s v="Distillate Oil"/>
    <s v="IPBEBSTDST"/>
    <x v="280"/>
    <s v="TechData_CHP"/>
    <n v="0.91368193925741348"/>
    <n v="8.6318060742586522E-2"/>
    <n v="8.1741023472816088E-3"/>
    <n v="0"/>
    <n v="0"/>
    <n v="0"/>
    <n v="0"/>
    <n v="0"/>
    <n v="0"/>
    <n v="0"/>
    <n v="0"/>
    <n v="0.99"/>
    <n v="0.99"/>
    <n v="0.99"/>
    <n v="0.99"/>
    <n v="0.99"/>
    <n v="0.99"/>
    <n v="0.99"/>
    <n v="0.99"/>
    <n v="0.99"/>
    <n v="0.23317227660449355"/>
    <n v="0"/>
    <n v="0"/>
    <n v="0"/>
    <n v="0"/>
    <n v="0"/>
    <n v="0"/>
    <n v="0"/>
    <n v="0"/>
    <n v="0.23317227660449355"/>
    <n v="2.2028430103140571E-2"/>
    <n v="0"/>
    <n v="0"/>
    <n v="0"/>
    <n v="0"/>
    <n v="0"/>
    <n v="0"/>
    <n v="0"/>
    <n v="0"/>
    <n v="2.2028430103140571E-2"/>
  </r>
  <r>
    <x v="12"/>
    <x v="5"/>
    <s v="Distillate Oil"/>
    <s v="Distillate Oil"/>
    <s v="IPBECLLDST"/>
    <x v="280"/>
    <s v="TechData_CHP"/>
    <n v="0.88332652522877819"/>
    <n v="0.11667347477122178"/>
    <n v="0"/>
    <n v="0"/>
    <n v="0"/>
    <n v="0"/>
    <n v="0"/>
    <n v="9.5879606896288827E-2"/>
    <n v="0"/>
    <n v="0"/>
    <n v="0"/>
    <n v="0.32876712328767121"/>
    <n v="0.32876712328767121"/>
    <n v="0.32876712328767121"/>
    <n v="0.32876712328767121"/>
    <n v="0.32876712328767121"/>
    <n v="0.32876712328767121"/>
    <n v="0.32876712328767121"/>
    <n v="0.32876712328767121"/>
    <n v="0.32876712328767121"/>
    <n v="0"/>
    <n v="0"/>
    <n v="0"/>
    <n v="0"/>
    <n v="0"/>
    <n v="0.878097024"/>
    <n v="0"/>
    <n v="0"/>
    <n v="0"/>
    <n v="0.878097024"/>
    <n v="0"/>
    <n v="0"/>
    <n v="0"/>
    <n v="0"/>
    <n v="0"/>
    <n v="0.11598274030072243"/>
    <n v="0"/>
    <n v="0"/>
    <n v="0"/>
    <n v="0.11598274030072243"/>
  </r>
  <r>
    <x v="12"/>
    <x v="5"/>
    <s v="Distillate Oil"/>
    <s v="Distillate Oil"/>
    <s v="IPBEREGDST"/>
    <x v="280"/>
    <s v="TechData_CHP"/>
    <n v="0.67811158798283255"/>
    <n v="0.32188841201716739"/>
    <n v="0"/>
    <n v="3.8007364125676885E-4"/>
    <n v="0"/>
    <n v="0"/>
    <n v="0"/>
    <n v="0"/>
    <n v="0"/>
    <n v="0"/>
    <n v="0"/>
    <n v="0.94499999999999995"/>
    <n v="0.94499999999999995"/>
    <n v="0.94499999999999995"/>
    <n v="0.94499999999999995"/>
    <n v="0.94499999999999995"/>
    <n v="0.94499999999999995"/>
    <n v="0.94499999999999995"/>
    <n v="0.94499999999999995"/>
    <n v="0.94499999999999995"/>
    <n v="0"/>
    <n v="7.6808154977641829E-3"/>
    <n v="0"/>
    <n v="0"/>
    <n v="0"/>
    <n v="0"/>
    <n v="0"/>
    <n v="0"/>
    <n v="0"/>
    <n v="7.6808154977641829E-3"/>
    <n v="0"/>
    <n v="3.6459567236222386E-3"/>
    <n v="0"/>
    <n v="0"/>
    <n v="0"/>
    <n v="0"/>
    <n v="0"/>
    <n v="0"/>
    <n v="0"/>
    <n v="3.6459567236222386E-3"/>
  </r>
  <r>
    <x v="12"/>
    <x v="5"/>
    <s v="Electricity"/>
    <s v="Electricity"/>
    <s v="IPBEBOLELC"/>
    <x v="281"/>
    <s v="TechData_Boiler"/>
    <n v="1"/>
    <n v="0"/>
    <n v="9.5592339848768249E-2"/>
    <n v="8.4346182219501395E-2"/>
    <n v="0.27183569583885026"/>
    <n v="5.2053643884035147E-2"/>
    <n v="0.59379712282528974"/>
    <n v="0.34478542615661989"/>
    <n v="0.24901169666866993"/>
    <n v="4.9354566053011098E-2"/>
    <n v="0.38249788691083608"/>
    <n v="1"/>
    <n v="1"/>
    <n v="1"/>
    <n v="1"/>
    <n v="1"/>
    <n v="1"/>
    <n v="1"/>
    <n v="1"/>
    <n v="1"/>
    <n v="9.5592339848768249E-2"/>
    <n v="8.4346182219501395E-2"/>
    <n v="0.27183569583885026"/>
    <n v="5.2053643884035147E-2"/>
    <n v="0.59379712282528974"/>
    <n v="0.34478542615661989"/>
    <n v="0.24901169666866993"/>
    <n v="4.9354566053011098E-2"/>
    <n v="0.38249788691083608"/>
    <n v="2.1232745604055818"/>
    <n v="0"/>
    <n v="0"/>
    <n v="0"/>
    <n v="0"/>
    <n v="0"/>
    <n v="0"/>
    <n v="0"/>
    <n v="0"/>
    <n v="0"/>
    <n v="0"/>
  </r>
  <r>
    <x v="12"/>
    <x v="5"/>
    <s v="Natural Gas"/>
    <s v="Natural Gas"/>
    <s v="IPBEBOLNGA"/>
    <x v="282"/>
    <s v="TechData_Boiler"/>
    <n v="1"/>
    <n v="0"/>
    <n v="3.3094885799999996"/>
    <n v="0"/>
    <n v="5.2031333999999996"/>
    <n v="0"/>
    <n v="7.734462419999999"/>
    <n v="0"/>
    <n v="9.3342179999999999"/>
    <n v="6.5801615999999985"/>
    <n v="15.563191199999999"/>
    <n v="0.23310313488834095"/>
    <n v="0.23310313488834095"/>
    <n v="0.23310313488834095"/>
    <n v="0.23310313488834095"/>
    <n v="0.23310313488834095"/>
    <n v="0.23310313488834095"/>
    <n v="0.23310313488834095"/>
    <n v="0.23310313488834095"/>
    <n v="0.23310313488834095"/>
    <n v="0.77145216287516383"/>
    <n v="0"/>
    <n v="1.2128667067822319"/>
    <n v="0"/>
    <n v="1.8029274367780637"/>
    <n v="0"/>
    <n v="2.1758354775311801"/>
    <n v="1.533856297031881"/>
    <n v="3.6278286575866403"/>
    <n v="11.124766738585162"/>
    <n v="0"/>
    <n v="0"/>
    <n v="0"/>
    <n v="0"/>
    <n v="0"/>
    <n v="0"/>
    <n v="0"/>
    <n v="0"/>
    <n v="0"/>
    <n v="0"/>
  </r>
  <r>
    <x v="12"/>
    <x v="5"/>
    <s v="Natural Gas"/>
    <s v="Natural Gas"/>
    <s v="IPBEBSTNGA"/>
    <x v="280"/>
    <s v="TechData_CHP"/>
    <n v="0.88893182556592765"/>
    <n v="0.11106817443407239"/>
    <n v="0.15318763880203723"/>
    <n v="0"/>
    <n v="0.33402405536863222"/>
    <n v="0.26348438438406097"/>
    <n v="0.92387386820424078"/>
    <n v="0.27019315532695454"/>
    <n v="2.3734140273872102"/>
    <n v="0"/>
    <n v="0.32821568575251731"/>
    <n v="0.3046510350567066"/>
    <n v="0.3046510350567066"/>
    <n v="0.3046510350567066"/>
    <n v="0.3046510350567066"/>
    <n v="0.3046510350567066"/>
    <n v="0.3046510350567066"/>
    <n v="0.3046510350567066"/>
    <n v="0.3046510350567066"/>
    <n v="0.3046510350567066"/>
    <n v="1.3082822287577118"/>
    <n v="0"/>
    <n v="2.8526958117103116"/>
    <n v="2.2502594879101219"/>
    <n v="7.8902434480841324"/>
    <n v="2.3075550103819844"/>
    <n v="20.269882203273845"/>
    <n v="0"/>
    <n v="2.8030900680207731"/>
    <n v="39.682008258138879"/>
    <n v="0.16346418770657656"/>
    <n v="0"/>
    <n v="0.35643196352057022"/>
    <n v="0.28116015889746271"/>
    <n v="0.98585168222679465"/>
    <n v="0.28831898581891396"/>
    <n v="2.5326338281094074"/>
    <n v="0"/>
    <n v="0.35023394109119671"/>
    <n v="4.9580947473709216"/>
  </r>
  <r>
    <x v="12"/>
    <x v="5"/>
    <s v="Natural Gas"/>
    <s v="Natural Gas"/>
    <s v="IPBECCTNGA"/>
    <x v="280"/>
    <s v="TechData_CHP"/>
    <n v="0.50539450518968465"/>
    <n v="0.49460549481031535"/>
    <n v="0.11006658471543604"/>
    <n v="0.73484984870445236"/>
    <n v="7.5353342812141913E-2"/>
    <n v="0"/>
    <n v="0"/>
    <n v="0"/>
    <n v="0"/>
    <n v="0"/>
    <n v="0.3292912100720517"/>
    <n v="0.35251327242765662"/>
    <n v="0.35251327242765662"/>
    <n v="0.35251327242765662"/>
    <n v="0.35251327242765662"/>
    <n v="0.35251327242765662"/>
    <n v="0.35251327242765662"/>
    <n v="0.35251327242765662"/>
    <n v="0.35251327242765662"/>
    <n v="0.35251327242765662"/>
    <n v="0.61839801490532487"/>
    <n v="4.1286798247368637"/>
    <n v="0.4233651632962307"/>
    <n v="0"/>
    <n v="0"/>
    <n v="0"/>
    <n v="0"/>
    <n v="0"/>
    <n v="1.8500894813879967"/>
    <n v="7.0205324843264156"/>
    <n v="0.60519663947903124"/>
    <n v="4.0405420056177972"/>
    <n v="0.41432729071518215"/>
    <n v="0"/>
    <n v="0"/>
    <n v="0"/>
    <n v="0"/>
    <n v="0"/>
    <n v="1.8105943257966923"/>
    <n v="6.8706602616087018"/>
  </r>
  <r>
    <x v="12"/>
    <x v="5"/>
    <s v="Natural Gas"/>
    <s v="Natural Gas"/>
    <s v="IPBEREGNGA"/>
    <x v="280"/>
    <s v="TechData_CHP"/>
    <n v="0.50690335305719914"/>
    <n v="0.49309664694280081"/>
    <n v="0"/>
    <n v="0"/>
    <n v="0"/>
    <n v="0"/>
    <n v="0"/>
    <n v="0"/>
    <n v="0"/>
    <n v="0"/>
    <n v="8.1119999999999994E-3"/>
    <n v="0.33841274153055034"/>
    <n v="0.33841274153055034"/>
    <n v="0.33841274153055034"/>
    <n v="0.33841274153055034"/>
    <n v="0.33841274153055034"/>
    <n v="0.33841274153055034"/>
    <n v="0.33841274153055034"/>
    <n v="0.33841274153055034"/>
    <n v="0.33841274153055034"/>
    <n v="0"/>
    <n v="0"/>
    <n v="0"/>
    <n v="0"/>
    <n v="0"/>
    <n v="0"/>
    <n v="0"/>
    <n v="0"/>
    <n v="4.3884021499923362E-2"/>
    <n v="4.3884021499923362E-2"/>
    <n v="0"/>
    <n v="0"/>
    <n v="0"/>
    <n v="0"/>
    <n v="0"/>
    <n v="0"/>
    <n v="0"/>
    <n v="0"/>
    <n v="4.2688736867629744E-2"/>
    <n v="4.2688736867629744E-2"/>
  </r>
  <r>
    <x v="12"/>
    <x v="5"/>
    <s v="Residual Oil"/>
    <s v="Residual Oil"/>
    <s v="IPBEBASRFL"/>
    <x v="283"/>
    <s v="TechData_Boiler"/>
    <n v="1"/>
    <n v="0"/>
    <n v="9.1135345063985324E-2"/>
    <n v="8.0413539762340003E-2"/>
    <n v="0"/>
    <n v="0"/>
    <n v="0.85774442413162666"/>
    <n v="0.49804514949578327"/>
    <n v="0.35969927463584345"/>
    <n v="0"/>
    <n v="0"/>
    <n v="1"/>
    <n v="1"/>
    <n v="1"/>
    <n v="1"/>
    <n v="1"/>
    <n v="1"/>
    <n v="1"/>
    <n v="1"/>
    <n v="1"/>
    <n v="9.1135345063985324E-2"/>
    <n v="8.0413539762340003E-2"/>
    <n v="0"/>
    <n v="0"/>
    <n v="0.85774442413162666"/>
    <n v="0.49804514949578327"/>
    <n v="0.35969927463584345"/>
    <n v="0"/>
    <n v="0"/>
    <n v="1.8870377330895787"/>
    <n v="0"/>
    <n v="0"/>
    <n v="0"/>
    <n v="0"/>
    <n v="0"/>
    <n v="0"/>
    <n v="0"/>
    <n v="0"/>
    <n v="0"/>
    <n v="0"/>
  </r>
  <r>
    <x v="12"/>
    <x v="5"/>
    <s v="Residual Oil"/>
    <s v="Residual Oil"/>
    <s v="IPBEBSARFL"/>
    <x v="280"/>
    <s v="TechData_CHP"/>
    <n v="0.91317837324206397"/>
    <n v="8.6821626757936074E-2"/>
    <n v="0.12188843038410067"/>
    <n v="7.3972037144344237E-3"/>
    <n v="0"/>
    <n v="0"/>
    <n v="0"/>
    <n v="0"/>
    <n v="0"/>
    <n v="0"/>
    <n v="0"/>
    <n v="1"/>
    <n v="1"/>
    <n v="1"/>
    <n v="1"/>
    <n v="1"/>
    <n v="1"/>
    <n v="1"/>
    <n v="1"/>
    <n v="1"/>
    <n v="3.5101421867469278"/>
    <n v="0.21302462210871403"/>
    <n v="0"/>
    <n v="0"/>
    <n v="0"/>
    <n v="0"/>
    <n v="0"/>
    <n v="0"/>
    <n v="0"/>
    <n v="3.723166808855642"/>
    <n v="0.33373135384607161"/>
    <n v="2.0253594229689979E-2"/>
    <n v="0"/>
    <n v="0"/>
    <n v="0"/>
    <n v="0"/>
    <n v="0"/>
    <n v="0"/>
    <n v="0"/>
    <n v="0.35398494807576159"/>
  </r>
  <r>
    <x v="12"/>
    <x v="5"/>
    <s v="Residual Oil"/>
    <s v="Residual Oil"/>
    <s v="IPBEBSTRFL"/>
    <x v="280"/>
    <s v="TechData_CHP"/>
    <n v="0.91317837324206397"/>
    <n v="8.6821626757936074E-2"/>
    <n v="1.6773020036166715E-2"/>
    <n v="0"/>
    <n v="0"/>
    <n v="0"/>
    <n v="0"/>
    <n v="0"/>
    <n v="0"/>
    <n v="0"/>
    <n v="0"/>
    <n v="0.99"/>
    <n v="0.99"/>
    <n v="0.99"/>
    <n v="0.99"/>
    <n v="0.99"/>
    <n v="0.99"/>
    <n v="0.99"/>
    <n v="0.99"/>
    <n v="0.99"/>
    <n v="0.47819902341955423"/>
    <n v="0"/>
    <n v="0"/>
    <n v="0"/>
    <n v="0"/>
    <n v="0"/>
    <n v="0"/>
    <n v="0"/>
    <n v="0"/>
    <n v="0.47819902341955423"/>
    <n v="4.5465396842393827E-2"/>
    <n v="0"/>
    <n v="0"/>
    <n v="0"/>
    <n v="0"/>
    <n v="0"/>
    <n v="0"/>
    <n v="0"/>
    <n v="0"/>
    <n v="4.5465396842393827E-2"/>
  </r>
  <r>
    <x v="12"/>
    <x v="5"/>
    <s v="Residual Oil"/>
    <s v="Residual Oil"/>
    <s v="IPBEREGRFL"/>
    <x v="280"/>
    <s v="TechData_CHP"/>
    <n v="0.67811158798283255"/>
    <n v="0.32188841201716739"/>
    <n v="0"/>
    <n v="1.0179263587432312E-3"/>
    <n v="0"/>
    <n v="0"/>
    <n v="0"/>
    <n v="0"/>
    <n v="0"/>
    <n v="0"/>
    <n v="0"/>
    <n v="0.94499999999999995"/>
    <n v="0.94499999999999995"/>
    <n v="0.94499999999999995"/>
    <n v="0.94499999999999995"/>
    <n v="0.94499999999999995"/>
    <n v="0.94499999999999995"/>
    <n v="0.94499999999999995"/>
    <n v="0.94499999999999995"/>
    <n v="0.94499999999999995"/>
    <n v="0"/>
    <n v="2.0571025462235819E-2"/>
    <n v="0"/>
    <n v="0"/>
    <n v="0"/>
    <n v="0"/>
    <n v="0"/>
    <n v="0"/>
    <n v="0"/>
    <n v="2.0571025462235819E-2"/>
    <n v="0"/>
    <n v="9.7647272763777618E-3"/>
    <n v="0"/>
    <n v="0"/>
    <n v="0"/>
    <n v="0"/>
    <n v="0"/>
    <n v="0"/>
    <n v="0"/>
    <n v="9.7647272763777618E-3"/>
  </r>
  <r>
    <x v="12"/>
    <x v="5"/>
    <s v="Steam Coal"/>
    <s v="Steam Coal"/>
    <s v="IPBEBFBCOA"/>
    <x v="284"/>
    <s v="TechData_Boiler"/>
    <n v="1"/>
    <n v="0"/>
    <n v="0"/>
    <n v="0"/>
    <n v="0"/>
    <n v="0"/>
    <n v="1.6635239999999996"/>
    <n v="0"/>
    <n v="0"/>
    <n v="0"/>
    <n v="0"/>
    <n v="3.1754773573076683E-2"/>
    <n v="3.1754773573076683E-2"/>
    <n v="3.1754773573076683E-2"/>
    <n v="3.1754773573076683E-2"/>
    <n v="3.1754773573076683E-2"/>
    <n v="3.1754773573076683E-2"/>
    <n v="3.1754773573076683E-2"/>
    <n v="3.1754773573076683E-2"/>
    <n v="3.1754773573076683E-2"/>
    <n v="0"/>
    <n v="0"/>
    <n v="0"/>
    <n v="0"/>
    <n v="5.2824827953378804E-2"/>
    <n v="0"/>
    <n v="0"/>
    <n v="0"/>
    <n v="0"/>
    <n v="5.2824827953378804E-2"/>
    <n v="0"/>
    <n v="0"/>
    <n v="0"/>
    <n v="0"/>
    <n v="0"/>
    <n v="0"/>
    <n v="0"/>
    <n v="0"/>
    <n v="0"/>
    <n v="0"/>
  </r>
  <r>
    <x v="12"/>
    <x v="5"/>
    <s v="Steam Coal"/>
    <s v="Steam Coal"/>
    <s v="IPBEBPVCOA"/>
    <x v="284"/>
    <s v="TechData_Boiler"/>
    <n v="1"/>
    <n v="0"/>
    <n v="0"/>
    <n v="0"/>
    <n v="0"/>
    <n v="0"/>
    <n v="19.296878399999997"/>
    <n v="0"/>
    <n v="0"/>
    <n v="0"/>
    <n v="0"/>
    <n v="3.3765064277154998E-2"/>
    <n v="3.3765064277154998E-2"/>
    <n v="3.3765064277154998E-2"/>
    <n v="3.3765064277154998E-2"/>
    <n v="3.3765064277154998E-2"/>
    <n v="3.3765064277154998E-2"/>
    <n v="3.3765064277154998E-2"/>
    <n v="3.3765064277154998E-2"/>
    <n v="3.3765064277154998E-2"/>
    <n v="0"/>
    <n v="0"/>
    <n v="0"/>
    <n v="0"/>
    <n v="0.65156033952444381"/>
    <n v="0"/>
    <n v="0"/>
    <n v="0"/>
    <n v="0"/>
    <n v="0.65156033952444381"/>
    <n v="0"/>
    <n v="0"/>
    <n v="0"/>
    <n v="0"/>
    <n v="0"/>
    <n v="0"/>
    <n v="0"/>
    <n v="0"/>
    <n v="0"/>
    <n v="0"/>
  </r>
  <r>
    <x v="12"/>
    <x v="5"/>
    <s v="Steam Coal"/>
    <s v="Steam Coal"/>
    <s v="IPBEBSOCOA"/>
    <x v="284"/>
    <s v="TechData_Boiler"/>
    <n v="1"/>
    <n v="0"/>
    <n v="0"/>
    <n v="0"/>
    <n v="2.8649579999999997"/>
    <n v="0"/>
    <n v="3.5118839999999993"/>
    <n v="0"/>
    <n v="0"/>
    <n v="0"/>
    <n v="0"/>
    <n v="3.3232644714876421E-2"/>
    <n v="3.3232644714876421E-2"/>
    <n v="3.3232644714876421E-2"/>
    <n v="3.3232644714876421E-2"/>
    <n v="3.3232644714876421E-2"/>
    <n v="3.3232644714876421E-2"/>
    <n v="3.3232644714876421E-2"/>
    <n v="3.3232644714876421E-2"/>
    <n v="3.3232644714876421E-2"/>
    <n v="0"/>
    <n v="0"/>
    <n v="9.5210131337042911E-2"/>
    <n v="0"/>
    <n v="0.11670919325185904"/>
    <n v="0"/>
    <n v="0"/>
    <n v="0"/>
    <n v="0"/>
    <n v="0.21191932458890195"/>
    <n v="0"/>
    <n v="0"/>
    <n v="0"/>
    <n v="0"/>
    <n v="0"/>
    <n v="0"/>
    <n v="0"/>
    <n v="0"/>
    <n v="0"/>
    <n v="0"/>
  </r>
  <r>
    <x v="12"/>
    <x v="5"/>
    <s v="Steam Coal"/>
    <s v="Steam Coal"/>
    <s v="IPBEBSTCOA"/>
    <x v="280"/>
    <s v="TechData_CHP"/>
    <n v="0.8923133820862077"/>
    <n v="0.10768661791379229"/>
    <n v="0"/>
    <n v="0"/>
    <n v="0.19129582114363713"/>
    <n v="0"/>
    <n v="0"/>
    <n v="0"/>
    <n v="0"/>
    <n v="0"/>
    <n v="0"/>
    <n v="0.7015388301623805"/>
    <n v="0.7015388301623805"/>
    <n v="0.7015388301623805"/>
    <n v="0.7015388301623805"/>
    <n v="0.7015388301623805"/>
    <n v="0.7015388301623805"/>
    <n v="0.7015388301623805"/>
    <n v="0.7015388301623805"/>
    <n v="0.7015388301623805"/>
    <n v="0"/>
    <n v="0"/>
    <n v="3.7764280112599291"/>
    <n v="0"/>
    <n v="0"/>
    <n v="0"/>
    <n v="0"/>
    <n v="0"/>
    <n v="0"/>
    <n v="3.7764280112599291"/>
    <n v="0"/>
    <n v="0"/>
    <n v="0.45574880808881718"/>
    <n v="0"/>
    <n v="0"/>
    <n v="0"/>
    <n v="0"/>
    <n v="0"/>
    <n v="0"/>
    <n v="0.45574880808881718"/>
  </r>
  <r>
    <x v="12"/>
    <x v="5"/>
    <s v="Steam Coal"/>
    <s v="Steam Coal"/>
    <s v="IPBECFBCOA"/>
    <x v="280"/>
    <s v="TechData_CHP"/>
    <n v="0.88332652522877819"/>
    <n v="0.11667347477122179"/>
    <n v="0"/>
    <n v="0"/>
    <n v="0"/>
    <n v="0"/>
    <n v="0.4200111616753619"/>
    <n v="0"/>
    <n v="0"/>
    <n v="0"/>
    <n v="0"/>
    <n v="0.67950350230201506"/>
    <n v="0.67950350230201506"/>
    <n v="0.67950350230201506"/>
    <n v="0.67950350230201506"/>
    <n v="0.67950350230201506"/>
    <n v="0.67950350230201506"/>
    <n v="0.67950350230201506"/>
    <n v="0.67950350230201506"/>
    <n v="0.67950350230201506"/>
    <n v="0"/>
    <n v="0"/>
    <n v="0"/>
    <n v="0"/>
    <n v="7.9502431301863856"/>
    <n v="0"/>
    <n v="0"/>
    <n v="0"/>
    <n v="0"/>
    <n v="7.9502431301863856"/>
    <n v="0"/>
    <n v="0"/>
    <n v="0"/>
    <n v="0"/>
    <n v="1.0501014797836399"/>
    <n v="0"/>
    <n v="0"/>
    <n v="0"/>
    <n v="0"/>
    <n v="1.0501014797836399"/>
  </r>
  <r>
    <x v="12"/>
    <x v="5"/>
    <s v="Steam Coal"/>
    <s v="Steam Coal"/>
    <s v="IPBECPVCOA"/>
    <x v="280"/>
    <s v="TechData_CHP"/>
    <n v="0.88332652522877819"/>
    <n v="0.11667347477122179"/>
    <n v="0"/>
    <n v="0"/>
    <n v="0"/>
    <n v="0"/>
    <n v="1.2285219214026672"/>
    <n v="0.56399981860724624"/>
    <n v="0"/>
    <n v="0"/>
    <n v="0"/>
    <n v="0.6883409534571534"/>
    <n v="0.6883409534571534"/>
    <n v="0.6883409534571534"/>
    <n v="0.6883409534571534"/>
    <n v="0.6883409534571534"/>
    <n v="0.6883409534571534"/>
    <n v="0.6883409534571534"/>
    <n v="0.6883409534571534"/>
    <n v="0.6883409534571534"/>
    <n v="0"/>
    <n v="0"/>
    <n v="0"/>
    <n v="0"/>
    <n v="23.556697133201233"/>
    <n v="10.814599787476359"/>
    <n v="0"/>
    <n v="0"/>
    <n v="0"/>
    <n v="34.371296920677594"/>
    <n v="0"/>
    <n v="0"/>
    <n v="0"/>
    <n v="0"/>
    <n v="3.1114674247465071"/>
    <n v="1.4284377287755374"/>
    <n v="0"/>
    <n v="0"/>
    <n v="0"/>
    <n v="4.539905153522044"/>
  </r>
  <r>
    <x v="12"/>
    <x v="5"/>
    <s v="Steam Coal"/>
    <s v="Steam Coal"/>
    <s v="IPBECSOCOA"/>
    <x v="280"/>
    <s v="TechData_CHP"/>
    <n v="0.89271391977011183"/>
    <n v="0.10728608022988817"/>
    <n v="0"/>
    <n v="0"/>
    <n v="0"/>
    <n v="0"/>
    <n v="0.18081082752341715"/>
    <n v="8.294101660880715E-2"/>
    <n v="0"/>
    <n v="0"/>
    <n v="0"/>
    <n v="0.70862508097210142"/>
    <n v="0.70862508097210142"/>
    <n v="0.70862508097210142"/>
    <n v="0.70862508097210142"/>
    <n v="0.70862508097210142"/>
    <n v="0.70862508097210142"/>
    <n v="0.70862508097210142"/>
    <n v="0.70862508097210142"/>
    <n v="0.70862508097210142"/>
    <n v="0"/>
    <n v="0"/>
    <n v="0"/>
    <n v="0"/>
    <n v="3.6071139913464818"/>
    <n v="1.6546448327458827"/>
    <n v="0"/>
    <n v="0"/>
    <n v="0"/>
    <n v="5.2617588240923645"/>
    <n v="0"/>
    <n v="0"/>
    <n v="0"/>
    <n v="0"/>
    <n v="0.43350183357016292"/>
    <n v="0.19885469952530704"/>
    <n v="0"/>
    <n v="0"/>
    <n v="0"/>
    <n v="0.63235653309546991"/>
  </r>
  <r>
    <x v="13"/>
    <x v="6"/>
    <s v="Electricity"/>
    <s v="Electricity"/>
    <s v="ICPEETCELC"/>
    <x v="285"/>
    <s v="TechData_OTR"/>
    <n v="1"/>
    <n v="0"/>
    <n v="0.11213804322720264"/>
    <n v="0.30867830515738132"/>
    <n v="1.0035423189574528"/>
    <n v="0.67972307458088332"/>
    <n v="1.8608494992542197"/>
    <n v="1.6220013905403061"/>
    <n v="5.6348366585381289"/>
    <n v="8.6212777743130159E-2"/>
    <n v="5.4059338385064534E-2"/>
    <n v="1"/>
    <n v="1"/>
    <n v="1"/>
    <n v="1"/>
    <n v="1"/>
    <n v="1"/>
    <n v="1"/>
    <n v="1"/>
    <n v="1"/>
    <n v="0.11213804322720264"/>
    <n v="0.30867830515738132"/>
    <n v="1.0035423189574528"/>
    <n v="0.67972307458088332"/>
    <n v="1.8608494992542197"/>
    <n v="1.6220013905403061"/>
    <n v="5.6348366585381289"/>
    <n v="8.6212777743130159E-2"/>
    <n v="5.4059338385064534E-2"/>
    <n v="11.362041406383771"/>
    <n v="0"/>
    <n v="0"/>
    <n v="0"/>
    <n v="0"/>
    <n v="0"/>
    <n v="0"/>
    <n v="0"/>
    <n v="0"/>
    <n v="0"/>
    <n v="0"/>
  </r>
  <r>
    <x v="13"/>
    <x v="0"/>
    <s v="Electricity"/>
    <s v="Electricity"/>
    <s v="ICPEFACELC"/>
    <x v="286"/>
    <s v="TechData_OTR"/>
    <n v="1"/>
    <n v="0"/>
    <n v="0.12459782580800292"/>
    <n v="0.34297589461931255"/>
    <n v="1.1150470210638364"/>
    <n v="0.75524786064542593"/>
    <n v="2.0676105547269108"/>
    <n v="1.8022237672670067"/>
    <n v="6.2609296205979206"/>
    <n v="9.5791975270144616E-2"/>
    <n v="6.0065931538960594E-2"/>
    <n v="1"/>
    <n v="1"/>
    <n v="1"/>
    <n v="1"/>
    <n v="1"/>
    <n v="1"/>
    <n v="1"/>
    <n v="1"/>
    <n v="1"/>
    <n v="0.12459782580800292"/>
    <n v="0.34297589461931255"/>
    <n v="1.1150470210638364"/>
    <n v="0.75524786064542593"/>
    <n v="2.0676105547269108"/>
    <n v="1.8022237672670067"/>
    <n v="6.2609296205979206"/>
    <n v="9.5791975270144616E-2"/>
    <n v="6.0065931538960594E-2"/>
    <n v="12.624490451537522"/>
    <n v="0"/>
    <n v="0"/>
    <n v="0"/>
    <n v="0"/>
    <n v="0"/>
    <n v="0"/>
    <n v="0"/>
    <n v="0"/>
    <n v="0"/>
    <n v="0"/>
  </r>
  <r>
    <x v="13"/>
    <x v="0"/>
    <s v="Natural Gas"/>
    <s v="Natural Gas"/>
    <s v="ICPEFACNGA"/>
    <x v="287"/>
    <s v="TechData_OTR"/>
    <n v="1"/>
    <n v="0"/>
    <n v="1.2244090094913175E-2"/>
    <n v="3.3703860616102178E-2"/>
    <n v="9.3138268527710191E-2"/>
    <n v="6.3084763889742032E-2"/>
    <n v="0.5870390941514485"/>
    <n v="0.51169007885741391"/>
    <n v="1.7776125415006994"/>
    <n v="5.6480226744149691E-3"/>
    <n v="3.5415674677881028E-3"/>
    <n v="1"/>
    <n v="1"/>
    <n v="1"/>
    <n v="1"/>
    <n v="1"/>
    <n v="1"/>
    <n v="1"/>
    <n v="1"/>
    <n v="1"/>
    <n v="1.2244090094913175E-2"/>
    <n v="3.3703860616102178E-2"/>
    <n v="9.3138268527710191E-2"/>
    <n v="6.3084763889742032E-2"/>
    <n v="0.5870390941514485"/>
    <n v="0.51169007885741391"/>
    <n v="1.7776125415006994"/>
    <n v="5.6480226744149691E-3"/>
    <n v="3.5415674677881028E-3"/>
    <n v="3.0877022877802327"/>
    <n v="0"/>
    <n v="0"/>
    <n v="0"/>
    <n v="0"/>
    <n v="0"/>
    <n v="0"/>
    <n v="0"/>
    <n v="0"/>
    <n v="0"/>
    <n v="0"/>
  </r>
  <r>
    <x v="13"/>
    <x v="1"/>
    <s v="LPG"/>
    <s v="LPG"/>
    <s v="ICPEFEDLPG"/>
    <x v="288"/>
    <s v="TechData_OTR"/>
    <n v="1"/>
    <n v="0"/>
    <n v="2.2655034990113574"/>
    <n v="6.2361689242790588"/>
    <n v="64.62456732362125"/>
    <n v="43.771756073331559"/>
    <n v="135.77357643026176"/>
    <n v="118.34644868205382"/>
    <n v="411.13584201015948"/>
    <n v="0"/>
    <n v="0"/>
    <n v="1"/>
    <n v="1"/>
    <n v="1"/>
    <n v="1"/>
    <n v="1"/>
    <n v="1"/>
    <n v="1"/>
    <n v="1"/>
    <n v="1"/>
    <n v="2.2655034990113574"/>
    <n v="6.2361689242790588"/>
    <n v="64.62456732362125"/>
    <n v="43.771756073331559"/>
    <n v="135.77357643026176"/>
    <n v="118.34644868205382"/>
    <n v="411.13584201015948"/>
    <n v="0"/>
    <n v="0"/>
    <n v="782.15386294271821"/>
    <n v="0"/>
    <n v="0"/>
    <n v="0"/>
    <n v="0"/>
    <n v="0"/>
    <n v="0"/>
    <n v="0"/>
    <n v="0"/>
    <n v="0"/>
    <n v="0"/>
  </r>
  <r>
    <x v="13"/>
    <x v="1"/>
    <s v="Natural Gas"/>
    <s v="Natural Gas"/>
    <s v="ICPEFEDNGA"/>
    <x v="289"/>
    <s v="TechData_OTR"/>
    <n v="1"/>
    <n v="0"/>
    <n v="0"/>
    <n v="0"/>
    <n v="0"/>
    <n v="0"/>
    <n v="4.1542695091437949"/>
    <n v="3.6210509894598881"/>
    <n v="12.579539682791234"/>
    <n v="0"/>
    <n v="0"/>
    <n v="1"/>
    <n v="1"/>
    <n v="1"/>
    <n v="1"/>
    <n v="1"/>
    <n v="1"/>
    <n v="1"/>
    <n v="1"/>
    <n v="1"/>
    <n v="0"/>
    <n v="0"/>
    <n v="0"/>
    <n v="0"/>
    <n v="4.1542695091437949"/>
    <n v="3.6210509894598881"/>
    <n v="12.579539682791234"/>
    <n v="0"/>
    <n v="0"/>
    <n v="20.354860181394919"/>
    <n v="0"/>
    <n v="0"/>
    <n v="0"/>
    <n v="0"/>
    <n v="0"/>
    <n v="0"/>
    <n v="0"/>
    <n v="0"/>
    <n v="0"/>
    <n v="0"/>
  </r>
  <r>
    <x v="13"/>
    <x v="1"/>
    <s v="Petrochemical Feedstock"/>
    <s v="Petrochemical Feedstock"/>
    <s v="ICPEFEDPFS"/>
    <x v="290"/>
    <s v="TechData_OTR"/>
    <n v="1"/>
    <n v="0"/>
    <n v="0.86751689162946188"/>
    <n v="2.3879821343148109"/>
    <n v="24.746332897721008"/>
    <n v="16.761279683068484"/>
    <n v="53.08167844788975"/>
    <n v="46.26841466179647"/>
    <n v="160.73658172505441"/>
    <n v="0"/>
    <n v="0"/>
    <n v="1"/>
    <n v="1"/>
    <n v="1"/>
    <n v="1"/>
    <n v="1"/>
    <n v="1"/>
    <n v="1"/>
    <n v="1"/>
    <n v="1"/>
    <n v="0.86751689162946188"/>
    <n v="2.3879821343148109"/>
    <n v="24.746332897721008"/>
    <n v="16.761279683068484"/>
    <n v="53.08167844788975"/>
    <n v="46.26841466179647"/>
    <n v="160.73658172505441"/>
    <n v="0"/>
    <n v="0"/>
    <n v="304.84978644147441"/>
    <n v="0"/>
    <n v="0"/>
    <n v="0"/>
    <n v="0"/>
    <n v="0"/>
    <n v="0"/>
    <n v="0"/>
    <n v="0"/>
    <n v="0"/>
    <n v="0"/>
  </r>
  <r>
    <x v="13"/>
    <x v="2"/>
    <s v="Electricity"/>
    <s v="Electricity"/>
    <s v="ICPEMDRELC"/>
    <x v="291"/>
    <s v="TechData_OTR"/>
    <n v="1"/>
    <n v="0"/>
    <n v="0.66659836807281569"/>
    <n v="1.8349210362133221"/>
    <n v="5.9655015626915251"/>
    <n v="4.0405760544530285"/>
    <n v="11.061716467788974"/>
    <n v="9.6418971548784871"/>
    <n v="33.495973470198876"/>
    <n v="0.51248706769527375"/>
    <n v="0.3213527337334392"/>
    <n v="1"/>
    <n v="1"/>
    <n v="1"/>
    <n v="1"/>
    <n v="1"/>
    <n v="1"/>
    <n v="1"/>
    <n v="1"/>
    <n v="1"/>
    <n v="0.66659836807281569"/>
    <n v="1.8349210362133221"/>
    <n v="5.9655015626915251"/>
    <n v="4.0405760544530285"/>
    <n v="11.061716467788974"/>
    <n v="9.6418971548784871"/>
    <n v="33.495973470198876"/>
    <n v="0.51248706769527375"/>
    <n v="0.3213527337334392"/>
    <n v="67.541023915725745"/>
    <n v="0"/>
    <n v="0"/>
    <n v="0"/>
    <n v="0"/>
    <n v="0"/>
    <n v="0"/>
    <n v="0"/>
    <n v="0"/>
    <n v="0"/>
    <n v="0"/>
  </r>
  <r>
    <x v="13"/>
    <x v="2"/>
    <s v="Natural Gas"/>
    <s v="Natural Gas"/>
    <s v="ICPEMDRNGA"/>
    <x v="292"/>
    <s v="TechData_OTR"/>
    <n v="1"/>
    <n v="0"/>
    <n v="1.9896646404233911E-2"/>
    <n v="5.4768773501166046E-2"/>
    <n v="0.15134968635752907"/>
    <n v="0.10251274132083081"/>
    <n v="0.9539385279961039"/>
    <n v="0.83149637814329769"/>
    <n v="2.8886203799386365"/>
    <n v="9.1780368459243259E-3"/>
    <n v="5.755047135155668E-3"/>
    <n v="1"/>
    <n v="1"/>
    <n v="1"/>
    <n v="1"/>
    <n v="1"/>
    <n v="1"/>
    <n v="1"/>
    <n v="1"/>
    <n v="1"/>
    <n v="1.9896646404233911E-2"/>
    <n v="5.4768773501166046E-2"/>
    <n v="0.15134968635752907"/>
    <n v="0.10251274132083081"/>
    <n v="0.9539385279961039"/>
    <n v="0.83149637814329769"/>
    <n v="2.8886203799386365"/>
    <n v="9.1780368459243259E-3"/>
    <n v="5.755047135155668E-3"/>
    <n v="5.0175162176428776"/>
    <n v="0"/>
    <n v="0"/>
    <n v="0"/>
    <n v="0"/>
    <n v="0"/>
    <n v="0"/>
    <n v="0"/>
    <n v="0"/>
    <n v="0"/>
    <n v="0"/>
  </r>
  <r>
    <x v="13"/>
    <x v="3"/>
    <s v="Distillate Oil"/>
    <s v="Distillate Oil"/>
    <s v="ICPEOHTDST"/>
    <x v="293"/>
    <s v="TechData_OTR"/>
    <n v="1"/>
    <n v="0"/>
    <n v="0"/>
    <n v="0"/>
    <n v="0"/>
    <n v="0"/>
    <n v="2.696709218706173"/>
    <n v="2.3505748876399122"/>
    <n v="8.1659027068407344"/>
    <n v="0"/>
    <n v="0"/>
    <n v="1"/>
    <n v="1"/>
    <n v="1"/>
    <n v="1"/>
    <n v="1"/>
    <n v="1"/>
    <n v="1"/>
    <n v="1"/>
    <n v="1"/>
    <n v="0"/>
    <n v="0"/>
    <n v="0"/>
    <n v="0"/>
    <n v="2.696709218706173"/>
    <n v="2.3505748876399122"/>
    <n v="8.1659027068407344"/>
    <n v="0"/>
    <n v="0"/>
    <n v="13.21318681318682"/>
    <n v="0"/>
    <n v="0"/>
    <n v="0"/>
    <n v="0"/>
    <n v="0"/>
    <n v="0"/>
    <n v="0"/>
    <n v="0"/>
    <n v="0"/>
    <n v="0"/>
  </r>
  <r>
    <x v="13"/>
    <x v="3"/>
    <s v="Electricity"/>
    <s v="Electricity"/>
    <s v="ICPEOHTELC"/>
    <x v="294"/>
    <s v="TechData_OTR"/>
    <n v="1"/>
    <n v="0"/>
    <n v="1.2459782580800294E-2"/>
    <n v="3.4297589461931254E-2"/>
    <n v="0.11150470210638364"/>
    <n v="7.552478606454259E-2"/>
    <n v="0.20676105547269111"/>
    <n v="0.18022237672670069"/>
    <n v="0.62609296205979215"/>
    <n v="9.5791975270144627E-3"/>
    <n v="6.0065931538960601E-3"/>
    <n v="1"/>
    <n v="1"/>
    <n v="1"/>
    <n v="1"/>
    <n v="1"/>
    <n v="1"/>
    <n v="1"/>
    <n v="1"/>
    <n v="1"/>
    <n v="1.2459782580800294E-2"/>
    <n v="3.4297589461931254E-2"/>
    <n v="0.11150470210638364"/>
    <n v="7.552478606454259E-2"/>
    <n v="0.20676105547269111"/>
    <n v="0.18022237672670069"/>
    <n v="0.62609296205979215"/>
    <n v="9.5791975270144627E-3"/>
    <n v="6.0065931538960601E-3"/>
    <n v="1.2624490451537522"/>
    <n v="0"/>
    <n v="0"/>
    <n v="0"/>
    <n v="0"/>
    <n v="0"/>
    <n v="0"/>
    <n v="0"/>
    <n v="0"/>
    <n v="0"/>
    <n v="0"/>
  </r>
  <r>
    <x v="13"/>
    <x v="3"/>
    <s v="Other Petroleum"/>
    <s v="Other Petroleum"/>
    <s v="ICPEOHTOTP"/>
    <x v="295"/>
    <s v="TechData_OTR"/>
    <n v="1"/>
    <n v="0"/>
    <n v="0.32707477324960438"/>
    <n v="0.90032680935823028"/>
    <n v="2.0123451399193866"/>
    <n v="1.3630092122521595"/>
    <n v="4.8848117860265337"/>
    <n v="4.257824994787657"/>
    <n v="14.791694080038591"/>
    <n v="0"/>
    <n v="0"/>
    <n v="1"/>
    <n v="1"/>
    <n v="1"/>
    <n v="1"/>
    <n v="1"/>
    <n v="1"/>
    <n v="1"/>
    <n v="1"/>
    <n v="1"/>
    <n v="0.32707477324960438"/>
    <n v="0.90032680935823028"/>
    <n v="2.0123451399193866"/>
    <n v="1.3630092122521595"/>
    <n v="4.8848117860265337"/>
    <n v="4.257824994787657"/>
    <n v="14.791694080038591"/>
    <n v="0"/>
    <n v="0"/>
    <n v="28.537086795632163"/>
    <n v="0"/>
    <n v="0"/>
    <n v="0"/>
    <n v="0"/>
    <n v="0"/>
    <n v="0"/>
    <n v="0"/>
    <n v="0"/>
    <n v="0"/>
    <n v="0"/>
  </r>
  <r>
    <x v="13"/>
    <x v="3"/>
    <s v="Residual Oil"/>
    <s v="Residual Oil"/>
    <s v="ICPEOHTRFL"/>
    <x v="296"/>
    <s v="TechData_OTR"/>
    <n v="1"/>
    <n v="0"/>
    <n v="0"/>
    <n v="0"/>
    <n v="0"/>
    <n v="0"/>
    <n v="1.295817979530814"/>
    <n v="1.1294941184273442"/>
    <n v="3.9238652329376347"/>
    <n v="0"/>
    <n v="0"/>
    <n v="1"/>
    <n v="1"/>
    <n v="1"/>
    <n v="1"/>
    <n v="1"/>
    <n v="1"/>
    <n v="1"/>
    <n v="1"/>
    <n v="1"/>
    <n v="0"/>
    <n v="0"/>
    <n v="0"/>
    <n v="0"/>
    <n v="1.295817979530814"/>
    <n v="1.1294941184273442"/>
    <n v="3.9238652329376347"/>
    <n v="0"/>
    <n v="0"/>
    <n v="6.3491773308957926"/>
    <n v="0"/>
    <n v="0"/>
    <n v="0"/>
    <n v="0"/>
    <n v="0"/>
    <n v="0"/>
    <n v="0"/>
    <n v="0"/>
    <n v="0"/>
    <n v="0"/>
  </r>
  <r>
    <x v="13"/>
    <x v="4"/>
    <s v="Electricity"/>
    <s v="Electricity"/>
    <s v="ICPEPRHELC"/>
    <x v="297"/>
    <s v="TechData_OTR"/>
    <n v="1"/>
    <n v="0"/>
    <n v="9.3448369356002203E-2"/>
    <n v="0.25723192096448444"/>
    <n v="0.83628526579787732"/>
    <n v="0.56643589548406936"/>
    <n v="1.5507079160451831"/>
    <n v="1.351667825450255"/>
    <n v="4.6956972154484404"/>
    <n v="7.1843981452608466E-2"/>
    <n v="4.5049448654220448E-2"/>
    <n v="1"/>
    <n v="1"/>
    <n v="1"/>
    <n v="1"/>
    <n v="1"/>
    <n v="1"/>
    <n v="1"/>
    <n v="1"/>
    <n v="1"/>
    <n v="9.3448369356002203E-2"/>
    <n v="0.25723192096448444"/>
    <n v="0.83628526579787732"/>
    <n v="0.56643589548406936"/>
    <n v="1.5507079160451831"/>
    <n v="1.351667825450255"/>
    <n v="4.6956972154484404"/>
    <n v="7.1843981452608466E-2"/>
    <n v="4.5049448654220448E-2"/>
    <n v="9.4683678386531422"/>
    <n v="0"/>
    <n v="0"/>
    <n v="0"/>
    <n v="0"/>
    <n v="0"/>
    <n v="0"/>
    <n v="0"/>
    <n v="0"/>
    <n v="0"/>
    <n v="0"/>
  </r>
  <r>
    <x v="13"/>
    <x v="4"/>
    <s v="Natural Gas"/>
    <s v="Natural Gas"/>
    <s v="ICPEPRHNGA"/>
    <x v="298"/>
    <s v="TechData_OTR"/>
    <n v="1"/>
    <n v="0"/>
    <n v="0.24029026811267107"/>
    <n v="0.6614382645910053"/>
    <n v="1.8278385198563125"/>
    <n v="1.2380384913361873"/>
    <n v="11.520642222722177"/>
    <n v="10.041917797576748"/>
    <n v="34.885646126951222"/>
    <n v="0.11084244498539376"/>
    <n v="6.950326155534152E-2"/>
    <n v="1"/>
    <n v="1"/>
    <n v="1"/>
    <n v="1"/>
    <n v="1"/>
    <n v="1"/>
    <n v="1"/>
    <n v="1"/>
    <n v="1"/>
    <n v="0.24029026811267107"/>
    <n v="0.6614382645910053"/>
    <n v="1.8278385198563125"/>
    <n v="1.2380384913361873"/>
    <n v="11.520642222722177"/>
    <n v="10.041917797576748"/>
    <n v="34.885646126951222"/>
    <n v="0.11084244498539376"/>
    <n v="6.950326155534152E-2"/>
    <n v="60.596157397687058"/>
    <n v="0"/>
    <n v="0"/>
    <n v="0"/>
    <n v="0"/>
    <n v="0"/>
    <n v="0"/>
    <n v="0"/>
    <n v="0"/>
    <n v="0"/>
    <n v="0"/>
  </r>
  <r>
    <x v="13"/>
    <x v="5"/>
    <s v="Distillate Oil"/>
    <s v="Distillate Oil"/>
    <s v="ICPEBLLDST"/>
    <x v="299"/>
    <s v="TechData_Boiler"/>
    <n v="1"/>
    <n v="0"/>
    <n v="0"/>
    <n v="0"/>
    <n v="1.2439462799999998"/>
    <n v="0"/>
    <n v="0.30220686000000002"/>
    <n v="0"/>
    <n v="0"/>
    <n v="0"/>
    <n v="0"/>
    <n v="0"/>
    <n v="0"/>
    <n v="0"/>
    <n v="0"/>
    <n v="0"/>
    <n v="0"/>
    <n v="0"/>
    <n v="0"/>
    <n v="0"/>
    <n v="0"/>
    <n v="0"/>
    <n v="0"/>
    <n v="0"/>
    <n v="0"/>
    <n v="0"/>
    <n v="0"/>
    <n v="0"/>
    <n v="0"/>
    <n v="0"/>
    <n v="0"/>
    <n v="0"/>
    <n v="0"/>
    <n v="0"/>
    <n v="0"/>
    <n v="0"/>
    <n v="0"/>
    <n v="0"/>
    <n v="0"/>
    <n v="0"/>
  </r>
  <r>
    <x v="13"/>
    <x v="5"/>
    <s v="Distillate Oil"/>
    <s v="Distillate Oil"/>
    <s v="ICPEBOLDST"/>
    <x v="299"/>
    <s v="TechData_Boiler"/>
    <n v="1"/>
    <n v="0"/>
    <n v="0"/>
    <n v="0"/>
    <n v="0"/>
    <n v="0"/>
    <n v="5.9424774E-3"/>
    <n v="0"/>
    <n v="0"/>
    <n v="0"/>
    <n v="0"/>
    <n v="0"/>
    <n v="0"/>
    <n v="0"/>
    <n v="0"/>
    <n v="0"/>
    <n v="0"/>
    <n v="0"/>
    <n v="0"/>
    <n v="0"/>
    <n v="0"/>
    <n v="0"/>
    <n v="0"/>
    <n v="0"/>
    <n v="0"/>
    <n v="0"/>
    <n v="0"/>
    <n v="0"/>
    <n v="0"/>
    <n v="0"/>
    <n v="0"/>
    <n v="0"/>
    <n v="0"/>
    <n v="0"/>
    <n v="0"/>
    <n v="0"/>
    <n v="0"/>
    <n v="0"/>
    <n v="0"/>
    <n v="0"/>
  </r>
  <r>
    <x v="13"/>
    <x v="5"/>
    <s v="Electricity"/>
    <s v="Electricity"/>
    <s v="ICPEBOLELC"/>
    <x v="300"/>
    <s v="TechData_Boiler"/>
    <n v="1"/>
    <n v="0"/>
    <n v="1.2459782580800294E-2"/>
    <n v="3.4297589461931254E-2"/>
    <n v="0.11150470210638364"/>
    <n v="7.552478606454259E-2"/>
    <n v="0.20676105547269111"/>
    <n v="0.18022237672670069"/>
    <n v="0.62609296205979215"/>
    <n v="9.5791975270144627E-3"/>
    <n v="6.0065931538960601E-3"/>
    <n v="1"/>
    <n v="1"/>
    <n v="1"/>
    <n v="1"/>
    <n v="1"/>
    <n v="1"/>
    <n v="1"/>
    <n v="1"/>
    <n v="1"/>
    <n v="1.2459782580800294E-2"/>
    <n v="3.4297589461931254E-2"/>
    <n v="0.11150470210638364"/>
    <n v="7.552478606454259E-2"/>
    <n v="0.20676105547269111"/>
    <n v="0.18022237672670069"/>
    <n v="0.62609296205979215"/>
    <n v="9.5791975270144627E-3"/>
    <n v="6.0065931538960601E-3"/>
    <n v="1.2624490451537522"/>
    <n v="0"/>
    <n v="0"/>
    <n v="0"/>
    <n v="0"/>
    <n v="0"/>
    <n v="0"/>
    <n v="0"/>
    <n v="0"/>
    <n v="0"/>
    <n v="0"/>
  </r>
  <r>
    <x v="13"/>
    <x v="5"/>
    <s v="LPG"/>
    <s v="LPG"/>
    <s v="ICPEBOLLPG"/>
    <x v="301"/>
    <s v="TechData_Boiler"/>
    <n v="1"/>
    <n v="0"/>
    <n v="0"/>
    <n v="2.1107159249095706"/>
    <n v="5.650414421270634"/>
    <n v="0"/>
    <n v="5.4533405958209622"/>
    <n v="4.1722291724371798"/>
    <n v="6.6295213895794713"/>
    <n v="0"/>
    <n v="0.1622635889917392"/>
    <n v="0.49577146159679741"/>
    <n v="0.49577146159679741"/>
    <n v="0.49577146159679741"/>
    <n v="0.49577146159679741"/>
    <n v="0.49577146159679741"/>
    <n v="0.49577146159679741"/>
    <n v="0.49577146159679741"/>
    <n v="0.49577146159679741"/>
    <n v="0.49577146159679741"/>
    <n v="0"/>
    <n v="1.046432719108054"/>
    <n v="2.8013142162609643"/>
    <n v="0"/>
    <n v="2.7036106377753084"/>
    <n v="2.0684721549359772"/>
    <n v="3.286727508999046"/>
    <n v="0"/>
    <n v="8.0445656678376554E-2"/>
    <n v="11.987002893757728"/>
    <n v="0"/>
    <n v="0"/>
    <n v="0"/>
    <n v="0"/>
    <n v="0"/>
    <n v="0"/>
    <n v="0"/>
    <n v="0"/>
    <n v="0"/>
    <n v="0"/>
  </r>
  <r>
    <x v="13"/>
    <x v="5"/>
    <s v="Natural Gas"/>
    <s v="Natural Gas"/>
    <s v="ICPEBOLNGA"/>
    <x v="302"/>
    <s v="TechData_Boiler"/>
    <n v="1"/>
    <n v="0"/>
    <n v="0"/>
    <n v="5.3030560350904281"/>
    <n v="14.196351078729363"/>
    <n v="0"/>
    <n v="13.701214084179034"/>
    <n v="10.482493087562816"/>
    <n v="16.656302726420524"/>
    <n v="0"/>
    <n v="0.40767821700826062"/>
    <n v="0.49577146159679758"/>
    <n v="0.49577146159679758"/>
    <n v="0.49577146159679758"/>
    <n v="0.49577146159679758"/>
    <n v="0.49577146159679758"/>
    <n v="0.49577146159679758"/>
    <n v="0.49577146159679758"/>
    <n v="0.49577146159679758"/>
    <n v="0.49577146159679758"/>
    <n v="0"/>
    <n v="2.6291038414464998"/>
    <n v="7.0381457236429297"/>
    <n v="0"/>
    <n v="6.7926709321640679"/>
    <n v="5.1969209191993446"/>
    <n v="8.2577195474762277"/>
    <n v="0"/>
    <n v="0.2021152255073618"/>
    <n v="30.116676189436433"/>
    <n v="0"/>
    <n v="0"/>
    <n v="0"/>
    <n v="0"/>
    <n v="0"/>
    <n v="0"/>
    <n v="0"/>
    <n v="0"/>
    <n v="0"/>
    <n v="0"/>
  </r>
  <r>
    <x v="13"/>
    <x v="5"/>
    <s v="Natural Gas"/>
    <s v="Natural Gas"/>
    <s v="ICPEBSTNGA"/>
    <x v="303"/>
    <s v="TechData_CHP"/>
    <n v="0.88903811824960244"/>
    <n v="0.1109618817503976"/>
    <n v="5.4234749147822538E-2"/>
    <n v="1.5888016151685391E-2"/>
    <n v="0"/>
    <n v="0"/>
    <n v="0.37157607139103122"/>
    <n v="0.29498428464845106"/>
    <n v="1.2316424129972381"/>
    <n v="0"/>
    <n v="0"/>
    <n v="0.21541938442006961"/>
    <n v="0.21541938442006961"/>
    <n v="0.21541938442006961"/>
    <n v="0.21541938442006961"/>
    <n v="0.21541938442006961"/>
    <n v="0.21541938442006961"/>
    <n v="0.21541938442006961"/>
    <n v="0.21541938442006961"/>
    <n v="0.21541938442006961"/>
    <n v="0.32755890098810297"/>
    <n v="9.5958056251768273E-2"/>
    <n v="0"/>
    <n v="0"/>
    <n v="2.2441894079122839"/>
    <n v="1.7816018255168375"/>
    <n v="7.4386890609949106"/>
    <n v="0"/>
    <n v="0"/>
    <n v="11.887997251663904"/>
    <n v="4.088300747924465E-2"/>
    <n v="1.1976636628101603E-2"/>
    <n v="0"/>
    <n v="0"/>
    <n v="0.28009989065096985"/>
    <n v="0.22236379636737832"/>
    <n v="0.92843143507639203"/>
    <n v="0"/>
    <n v="0"/>
    <n v="1.4837547662020865"/>
  </r>
  <r>
    <x v="13"/>
    <x v="5"/>
    <s v="Natural Gas"/>
    <s v="Natural Gas"/>
    <s v="ICPECCTNGA"/>
    <x v="303"/>
    <s v="TechData_CHP"/>
    <n v="0.49112475393606014"/>
    <n v="0.50887524606393986"/>
    <n v="0.81767132259356257"/>
    <n v="0.54307455693987905"/>
    <n v="0.37927734126681417"/>
    <n v="0"/>
    <n v="0.71410811910392358"/>
    <n v="2.3645571744602947"/>
    <n v="8.9414633203651448"/>
    <n v="0"/>
    <n v="0"/>
    <n v="0.23324715765459814"/>
    <n v="0.23324715765459814"/>
    <n v="0.23324715765459814"/>
    <n v="0.23324715765459814"/>
    <n v="0.23324715765459814"/>
    <n v="0.23324715765459814"/>
    <n v="0.23324715765459814"/>
    <n v="0.23324715765459814"/>
    <n v="0.23324715765459814"/>
    <n v="2.9538848251053174"/>
    <n v="1.9618881674328783"/>
    <n v="1.3701612761968145"/>
    <n v="0"/>
    <n v="2.5797567778393153"/>
    <n v="8.5420992062895174"/>
    <n v="32.301552086339903"/>
    <n v="0"/>
    <n v="0"/>
    <n v="49.709342339203744"/>
    <n v="3.0606457018774162"/>
    <n v="2.0327957732757946"/>
    <n v="1.4196823739467024"/>
    <n v="0"/>
    <n v="2.6729957196965257"/>
    <n v="8.8508323000739715"/>
    <n v="33.469011965793513"/>
    <n v="0"/>
    <n v="0"/>
    <n v="51.505963834663923"/>
  </r>
  <r>
    <x v="13"/>
    <x v="5"/>
    <s v="Natural Gas"/>
    <s v="Natural Gas"/>
    <s v="ICPEMTTNGA"/>
    <x v="303"/>
    <s v="TechData_CHP"/>
    <n v="0.58989577978221241"/>
    <n v="0.41010422021778753"/>
    <n v="0"/>
    <n v="1.9751076923076928E-3"/>
    <n v="0"/>
    <n v="0"/>
    <n v="0"/>
    <n v="0"/>
    <n v="0"/>
    <n v="0"/>
    <n v="0"/>
    <n v="0.24184047398924127"/>
    <n v="0.24184047398924127"/>
    <n v="0.24184047398924127"/>
    <n v="0.24184047398924127"/>
    <n v="0.24184047398924127"/>
    <n v="0.24184047398924127"/>
    <n v="0.24184047398924127"/>
    <n v="0.24184047398924127"/>
    <n v="0.24184047398924127"/>
    <n v="0"/>
    <n v="8.8859049185964316E-3"/>
    <n v="0"/>
    <n v="0"/>
    <n v="0"/>
    <n v="0"/>
    <n v="0"/>
    <n v="0"/>
    <n v="0"/>
    <n v="8.8859049185964316E-3"/>
    <n v="0"/>
    <n v="6.1776117620570186E-3"/>
    <n v="0"/>
    <n v="0"/>
    <n v="0"/>
    <n v="0"/>
    <n v="0"/>
    <n v="0"/>
    <n v="0"/>
    <n v="6.1776117620570186E-3"/>
  </r>
  <r>
    <x v="13"/>
    <x v="5"/>
    <s v="Natural Gas"/>
    <s v="Natural Gas"/>
    <s v="ICPEREGNGA"/>
    <x v="303"/>
    <s v="TechData_CHP"/>
    <n v="0.63958242792565778"/>
    <n v="0.36041757207434222"/>
    <n v="0"/>
    <n v="3.1377333333333333E-3"/>
    <n v="0"/>
    <n v="0"/>
    <n v="0"/>
    <n v="0"/>
    <n v="0"/>
    <n v="0"/>
    <n v="6.8562299999999996E-3"/>
    <n v="0.23201954103536343"/>
    <n v="0.23201954103536343"/>
    <n v="0.23201954103536343"/>
    <n v="0.23201954103536343"/>
    <n v="0.23201954103536343"/>
    <n v="0.23201954103536343"/>
    <n v="0.23201954103536343"/>
    <n v="0.23201954103536343"/>
    <n v="0.23201954103536343"/>
    <n v="0"/>
    <n v="1.468397799544514E-2"/>
    <n v="0"/>
    <n v="0"/>
    <n v="0"/>
    <n v="0"/>
    <n v="0"/>
    <n v="0"/>
    <n v="3.2085814744734258E-2"/>
    <n v="4.6769792740179394E-2"/>
    <n v="0"/>
    <n v="8.2747171692568212E-3"/>
    <n v="0"/>
    <n v="0"/>
    <n v="0"/>
    <n v="0"/>
    <n v="0"/>
    <n v="0"/>
    <n v="1.8081002453163759E-2"/>
    <n v="2.635571962242058E-2"/>
  </r>
  <r>
    <x v="13"/>
    <x v="5"/>
    <s v="Residual Oil"/>
    <s v="Residual Oil"/>
    <s v="ICPEBHLRFL"/>
    <x v="304"/>
    <s v="TechData_Boiler"/>
    <n v="1"/>
    <n v="0"/>
    <n v="0"/>
    <n v="0.63029075999999995"/>
    <n v="0"/>
    <n v="0"/>
    <n v="10.578164279999999"/>
    <n v="2.2812459119999997"/>
    <n v="0"/>
    <n v="0"/>
    <n v="0"/>
    <n v="0"/>
    <n v="0"/>
    <n v="0"/>
    <n v="0"/>
    <n v="0"/>
    <n v="0"/>
    <n v="0"/>
    <n v="0"/>
    <n v="0"/>
    <n v="0"/>
    <n v="0"/>
    <n v="0"/>
    <n v="0"/>
    <n v="0"/>
    <n v="0"/>
    <n v="0"/>
    <n v="0"/>
    <n v="0"/>
    <n v="0"/>
    <n v="0"/>
    <n v="0"/>
    <n v="0"/>
    <n v="0"/>
    <n v="0"/>
    <n v="0"/>
    <n v="0"/>
    <n v="0"/>
    <n v="0"/>
    <n v="0"/>
  </r>
  <r>
    <x v="13"/>
    <x v="5"/>
    <s v="Residual Oil"/>
    <s v="Residual Oil"/>
    <s v="ICPEBOLRFL"/>
    <x v="304"/>
    <s v="TechData_Boiler"/>
    <n v="1"/>
    <n v="0"/>
    <n v="0"/>
    <n v="0"/>
    <n v="0"/>
    <n v="0"/>
    <n v="1.5711059999999999"/>
    <n v="0"/>
    <n v="0"/>
    <n v="0"/>
    <n v="0"/>
    <n v="0"/>
    <n v="0"/>
    <n v="0"/>
    <n v="0"/>
    <n v="0"/>
    <n v="0"/>
    <n v="0"/>
    <n v="0"/>
    <n v="0"/>
    <n v="0"/>
    <n v="0"/>
    <n v="0"/>
    <n v="0"/>
    <n v="0"/>
    <n v="0"/>
    <n v="0"/>
    <n v="0"/>
    <n v="0"/>
    <n v="0"/>
    <n v="0"/>
    <n v="0"/>
    <n v="0"/>
    <n v="0"/>
    <n v="0"/>
    <n v="0"/>
    <n v="0"/>
    <n v="0"/>
    <n v="0"/>
    <n v="0"/>
  </r>
  <r>
    <x v="13"/>
    <x v="5"/>
    <s v="Residual Oil"/>
    <s v="Residual Oil"/>
    <s v="ICPECHLRFL"/>
    <x v="303"/>
    <s v="TechData_CHP"/>
    <n v="0.91317837324206397"/>
    <n v="8.682162675793606E-2"/>
    <n v="0"/>
    <n v="0"/>
    <n v="0"/>
    <n v="0"/>
    <n v="0.23202257763482503"/>
    <n v="0"/>
    <n v="0"/>
    <n v="0"/>
    <n v="0"/>
    <n v="0"/>
    <n v="0"/>
    <n v="0"/>
    <n v="0"/>
    <n v="0"/>
    <n v="0"/>
    <n v="0"/>
    <n v="0"/>
    <n v="0"/>
    <n v="0"/>
    <n v="0"/>
    <n v="0"/>
    <n v="0"/>
    <n v="0"/>
    <n v="0"/>
    <n v="0"/>
    <n v="0"/>
    <n v="0"/>
    <n v="0"/>
    <n v="0"/>
    <n v="0"/>
    <n v="0"/>
    <n v="0"/>
    <n v="0"/>
    <n v="0"/>
    <n v="0"/>
    <n v="0"/>
    <n v="0"/>
    <n v="0"/>
  </r>
  <r>
    <x v="13"/>
    <x v="5"/>
    <s v="Steam Coal"/>
    <s v="Steam Coal"/>
    <s v="ICPEBFBCOA"/>
    <x v="305"/>
    <s v="TechData_Boiler"/>
    <n v="1"/>
    <n v="0"/>
    <n v="0"/>
    <n v="0"/>
    <n v="1.3285087499999999"/>
    <n v="0"/>
    <n v="0"/>
    <n v="0"/>
    <n v="0"/>
    <n v="0"/>
    <n v="0"/>
    <n v="0.31223657382091619"/>
    <n v="0.31223657382091619"/>
    <n v="0.31223657382091619"/>
    <n v="0.31223657382091619"/>
    <n v="0.31223657382091619"/>
    <n v="0.31223657382091619"/>
    <n v="0.31223657382091619"/>
    <n v="0.31223657382091619"/>
    <n v="0.31223657382091619"/>
    <n v="0"/>
    <n v="0"/>
    <n v="0.41480902039110806"/>
    <n v="0"/>
    <n v="0"/>
    <n v="0"/>
    <n v="0"/>
    <n v="0"/>
    <n v="0"/>
    <n v="0.41480902039110806"/>
    <n v="0"/>
    <n v="0"/>
    <n v="0"/>
    <n v="0"/>
    <n v="0"/>
    <n v="0"/>
    <n v="0"/>
    <n v="0"/>
    <n v="0"/>
    <n v="0"/>
  </r>
  <r>
    <x v="13"/>
    <x v="5"/>
    <s v="Steam Coal"/>
    <s v="Steam Coal"/>
    <s v="ICPEBPVCOA"/>
    <x v="305"/>
    <s v="TechData_Boiler"/>
    <n v="1"/>
    <n v="0"/>
    <n v="0"/>
    <n v="0"/>
    <n v="4.6024164000000001"/>
    <n v="0"/>
    <n v="5.6744652000000002"/>
    <n v="7.0237679999999996"/>
    <n v="0"/>
    <n v="0"/>
    <n v="0"/>
    <n v="0.22055821178910592"/>
    <n v="0.22055821178910592"/>
    <n v="0.22055821178910592"/>
    <n v="0.22055821178910592"/>
    <n v="0.22055821178910592"/>
    <n v="0.22055821178910592"/>
    <n v="0.22055821178910592"/>
    <n v="0.22055821178910592"/>
    <n v="0.22055821178910592"/>
    <n v="0"/>
    <n v="0"/>
    <n v="1.0151007310928544"/>
    <n v="0"/>
    <n v="1.2515498973715113"/>
    <n v="1.5491497101015448"/>
    <n v="0"/>
    <n v="0"/>
    <n v="0"/>
    <n v="3.8158003385659107"/>
    <n v="0"/>
    <n v="0"/>
    <n v="0"/>
    <n v="0"/>
    <n v="0"/>
    <n v="0"/>
    <n v="0"/>
    <n v="0"/>
    <n v="0"/>
    <n v="0"/>
  </r>
  <r>
    <x v="13"/>
    <x v="5"/>
    <s v="Steam Coal"/>
    <s v="Steam Coal"/>
    <s v="ICPEBSOCOA"/>
    <x v="305"/>
    <s v="TechData_Boiler"/>
    <n v="1"/>
    <n v="0"/>
    <n v="0"/>
    <n v="0"/>
    <n v="3.49062786"/>
    <n v="0"/>
    <n v="1.9038107999999998"/>
    <n v="7.2917801999999989"/>
    <n v="0"/>
    <n v="0"/>
    <n v="0"/>
    <n v="0.2888540941060474"/>
    <n v="0.2888540941060474"/>
    <n v="0.2888540941060474"/>
    <n v="0.2888540941060474"/>
    <n v="0.2888540941060474"/>
    <n v="0.2888540941060474"/>
    <n v="0.2888540941060474"/>
    <n v="0.2888540941060474"/>
    <n v="0.2888540941060474"/>
    <n v="0"/>
    <n v="0"/>
    <n v="1.0082821483616309"/>
    <n v="0"/>
    <n v="0.54992354398330934"/>
    <n v="2.1062605640914129"/>
    <n v="0"/>
    <n v="0"/>
    <n v="0"/>
    <n v="3.664466256436353"/>
    <n v="0"/>
    <n v="0"/>
    <n v="0"/>
    <n v="0"/>
    <n v="0"/>
    <n v="0"/>
    <n v="0"/>
    <n v="0"/>
    <n v="0"/>
    <n v="0"/>
  </r>
  <r>
    <x v="13"/>
    <x v="5"/>
    <s v="Steam Coal"/>
    <s v="Steam Coal"/>
    <s v="ICPEBSTCOA"/>
    <x v="303"/>
    <s v="TechData_CHP"/>
    <n v="0.88379734870369353"/>
    <n v="0.11620265129630643"/>
    <n v="6.5651845200873096E-2"/>
    <n v="0"/>
    <n v="0"/>
    <n v="0"/>
    <n v="2.9826830878429984"/>
    <n v="1.1142206937344534"/>
    <n v="0"/>
    <n v="0"/>
    <n v="0"/>
    <n v="1.5768644449488285E-2"/>
    <n v="1.5768644449488285E-2"/>
    <n v="1.5768644449488285E-2"/>
    <n v="1.5768644449488285E-2"/>
    <n v="1.5768644449488285E-2"/>
    <n v="1.5768644449488285E-2"/>
    <n v="1.5768644449488285E-2"/>
    <n v="1.5768644449488285E-2"/>
    <n v="1.5768644449488285E-2"/>
    <n v="2.8853639340492641E-2"/>
    <n v="0"/>
    <n v="0"/>
    <n v="0"/>
    <n v="1.3108734692877191"/>
    <n v="0.48969411209023989"/>
    <n v="0"/>
    <n v="0"/>
    <n v="0"/>
    <n v="1.8294212207184515"/>
    <n v="3.7937083606671418E-3"/>
    <n v="0"/>
    <n v="0"/>
    <n v="0"/>
    <n v="0.17235509120800746"/>
    <n v="6.4385522577703941E-2"/>
    <n v="0"/>
    <n v="0"/>
    <n v="0"/>
    <n v="0.24053432214637854"/>
  </r>
  <r>
    <x v="13"/>
    <x v="5"/>
    <s v="Steam Coal"/>
    <s v="Steam Coal"/>
    <s v="ICPECPVCOA"/>
    <x v="303"/>
    <s v="TechData_CHP"/>
    <n v="0.88779029419315059"/>
    <n v="0.1122097058068494"/>
    <n v="0"/>
    <n v="0"/>
    <n v="0"/>
    <n v="0"/>
    <n v="0.22239685690209149"/>
    <n v="1.7027176787927119"/>
    <n v="0"/>
    <n v="0"/>
    <n v="0"/>
    <n v="1.3932065780695189E-2"/>
    <n v="1.3932065780695189E-2"/>
    <n v="1.3932065780695189E-2"/>
    <n v="1.3932065780695189E-2"/>
    <n v="1.3932065780695189E-2"/>
    <n v="1.3932065780695189E-2"/>
    <n v="1.3932065780695189E-2"/>
    <n v="1.3932065780695189E-2"/>
    <n v="1.3932065780695189E-2"/>
    <n v="0"/>
    <n v="0"/>
    <n v="0"/>
    <n v="0"/>
    <n v="8.6748337645058377E-2"/>
    <n v="0.6641637394144807"/>
    <n v="0"/>
    <n v="0"/>
    <n v="0"/>
    <n v="0.75091207705953911"/>
    <n v="0"/>
    <n v="0"/>
    <n v="0"/>
    <n v="0"/>
    <n v="1.0964307123037186E-2"/>
    <n v="8.3945069342087023E-2"/>
    <n v="0"/>
    <n v="0"/>
    <n v="0"/>
    <n v="9.4909376465124207E-2"/>
  </r>
  <r>
    <x v="13"/>
    <x v="5"/>
    <s v="Steam Coal"/>
    <s v="Steam Coal"/>
    <s v="ICPECSOCOA"/>
    <x v="303"/>
    <s v="TechData_CHP"/>
    <n v="0.89992800456149802"/>
    <n v="0.10007199543850197"/>
    <n v="0"/>
    <n v="0"/>
    <n v="0"/>
    <n v="0"/>
    <n v="0.47087989022686522"/>
    <n v="0"/>
    <n v="0"/>
    <n v="0"/>
    <n v="0"/>
    <n v="8.7716654284835591E-3"/>
    <n v="8.7716654284835591E-3"/>
    <n v="8.7716654284835591E-3"/>
    <n v="8.7716654284835591E-3"/>
    <n v="8.7716654284835591E-3"/>
    <n v="8.7716654284835591E-3"/>
    <n v="8.7716654284835591E-3"/>
    <n v="8.7716654284835591E-3"/>
    <n v="8.7716654284835591E-3"/>
    <n v="0"/>
    <n v="0"/>
    <n v="0"/>
    <n v="0"/>
    <n v="0.11722131133961626"/>
    <n v="0"/>
    <n v="0"/>
    <n v="0"/>
    <n v="0"/>
    <n v="0.11722131133961626"/>
    <n v="0"/>
    <n v="0"/>
    <n v="0"/>
    <n v="0"/>
    <n v="1.3035009994370801E-2"/>
    <n v="0"/>
    <n v="0"/>
    <n v="0"/>
    <n v="0"/>
    <n v="1.3035009994370801E-2"/>
  </r>
  <r>
    <x v="14"/>
    <x v="6"/>
    <s v="Electricity"/>
    <s v="Electricity"/>
    <s v="IMAEETCELC"/>
    <x v="306"/>
    <s v="TechData_OTR"/>
    <n v="1"/>
    <n v="0"/>
    <n v="1.0007773425960593"/>
    <n v="2.7548033215325591"/>
    <n v="32.839127705765236"/>
    <n v="22.242722034787832"/>
    <n v="10.986284462000247"/>
    <n v="9.5761471743832374"/>
    <n v="33.267557882793383"/>
    <n v="13.079918876034903"/>
    <n v="8.2017048873606004"/>
    <n v="1"/>
    <n v="1"/>
    <n v="1"/>
    <n v="1"/>
    <n v="1"/>
    <n v="1"/>
    <n v="1"/>
    <n v="1"/>
    <n v="1"/>
    <n v="1.0007773425960593"/>
    <n v="2.7548033215325591"/>
    <n v="32.839127705765236"/>
    <n v="22.242722034787832"/>
    <n v="10.986284462000247"/>
    <n v="9.5761471743832374"/>
    <n v="33.267557882793383"/>
    <n v="13.079918876034903"/>
    <n v="8.2017048873606004"/>
    <n v="133.94904368725403"/>
    <n v="0"/>
    <n v="0"/>
    <n v="0"/>
    <n v="0"/>
    <n v="0"/>
    <n v="0"/>
    <n v="0"/>
    <n v="0"/>
    <n v="0"/>
    <n v="0"/>
  </r>
  <r>
    <x v="14"/>
    <x v="0"/>
    <s v="Distillate Oil"/>
    <s v="Distillate Oil"/>
    <s v="IMAEFACDST"/>
    <x v="307"/>
    <s v="TechData_OTR"/>
    <n v="1"/>
    <n v="0"/>
    <n v="0"/>
    <n v="0"/>
    <n v="0"/>
    <n v="0"/>
    <n v="0.14981717881700962"/>
    <n v="0.1305874937577729"/>
    <n v="0.45366126149115193"/>
    <n v="0"/>
    <n v="0"/>
    <n v="1"/>
    <n v="1"/>
    <n v="1"/>
    <n v="1"/>
    <n v="1"/>
    <n v="1"/>
    <n v="1"/>
    <n v="1"/>
    <n v="1"/>
    <n v="0"/>
    <n v="0"/>
    <n v="0"/>
    <n v="0"/>
    <n v="0.14981717881700962"/>
    <n v="0.1305874937577729"/>
    <n v="0.45366126149115193"/>
    <n v="0"/>
    <n v="0"/>
    <n v="0.73406593406593446"/>
    <n v="0"/>
    <n v="0"/>
    <n v="0"/>
    <n v="0"/>
    <n v="0"/>
    <n v="0"/>
    <n v="0"/>
    <n v="0"/>
    <n v="0"/>
    <n v="0"/>
  </r>
  <r>
    <x v="14"/>
    <x v="0"/>
    <s v="Electricity"/>
    <s v="Electricity"/>
    <s v="IMAEFACELC"/>
    <x v="308"/>
    <s v="TechData_OTR"/>
    <n v="1"/>
    <n v="0"/>
    <n v="4.8230233378123336E-2"/>
    <n v="0.13276160585699079"/>
    <n v="1.5826085641332643"/>
    <n v="1.0719384113150761"/>
    <n v="0.5294594921445902"/>
    <n v="0.46150106864497525"/>
    <n v="1.6032558015804039"/>
    <n v="0.63035753619445312"/>
    <n v="0.39526288613786026"/>
    <n v="1"/>
    <n v="1"/>
    <n v="1"/>
    <n v="1"/>
    <n v="1"/>
    <n v="1"/>
    <n v="1"/>
    <n v="1"/>
    <n v="1"/>
    <n v="4.8230233378123336E-2"/>
    <n v="0.13276160585699079"/>
    <n v="1.5826085641332643"/>
    <n v="1.0719384113150761"/>
    <n v="0.5294594921445902"/>
    <n v="0.46150106864497525"/>
    <n v="1.6032558015804039"/>
    <n v="0.63035753619445312"/>
    <n v="0.39526288613786026"/>
    <n v="6.4553755993857376"/>
    <n v="0"/>
    <n v="0"/>
    <n v="0"/>
    <n v="0"/>
    <n v="0"/>
    <n v="0"/>
    <n v="0"/>
    <n v="0"/>
    <n v="0"/>
    <n v="0"/>
  </r>
  <r>
    <x v="14"/>
    <x v="0"/>
    <s v="Natural Gas"/>
    <s v="Natural Gas"/>
    <s v="IMAEFACNGA"/>
    <x v="309"/>
    <s v="TechData_OTR"/>
    <n v="1"/>
    <n v="0"/>
    <n v="0.12518754644592245"/>
    <n v="0.34459919712924225"/>
    <n v="0.49014198223119904"/>
    <n v="0.33198481902533933"/>
    <n v="0.62321896230551088"/>
    <n v="0.54322610392498283"/>
    <n v="1.8871687670080775"/>
    <n v="0.2165520555427074"/>
    <n v="0.13578800213866618"/>
    <n v="1"/>
    <n v="1"/>
    <n v="1"/>
    <n v="1"/>
    <n v="1"/>
    <n v="1"/>
    <n v="1"/>
    <n v="1"/>
    <n v="1"/>
    <n v="0.12518754644592245"/>
    <n v="0.34459919712924225"/>
    <n v="0.49014198223119904"/>
    <n v="0.33198481902533933"/>
    <n v="0.62321896230551088"/>
    <n v="0.54322610392498283"/>
    <n v="1.8871687670080775"/>
    <n v="0.2165520555427074"/>
    <n v="0.13578800213866618"/>
    <n v="4.6978674357516477"/>
    <n v="0"/>
    <n v="0"/>
    <n v="0"/>
    <n v="0"/>
    <n v="0"/>
    <n v="0"/>
    <n v="0"/>
    <n v="0"/>
    <n v="0"/>
    <n v="0"/>
  </r>
  <r>
    <x v="14"/>
    <x v="1"/>
    <s v="Natural Gas"/>
    <s v="Natural Gas"/>
    <s v="IMAEFEDNGA"/>
    <x v="310"/>
    <s v="TechData_OTR"/>
    <n v="1"/>
    <n v="0"/>
    <n v="0"/>
    <n v="0"/>
    <n v="0.6091764636302045"/>
    <n v="0.41260970364577887"/>
    <n v="1.2512319166287564"/>
    <n v="1.0906308701878502"/>
    <n v="3.7888542168392942"/>
    <n v="0"/>
    <n v="0"/>
    <n v="1"/>
    <n v="1"/>
    <n v="1"/>
    <n v="1"/>
    <n v="1"/>
    <n v="1"/>
    <n v="1"/>
    <n v="1"/>
    <n v="1"/>
    <n v="0"/>
    <n v="0"/>
    <n v="0.6091764636302045"/>
    <n v="0.41260970364577887"/>
    <n v="1.2512319166287564"/>
    <n v="1.0906308701878502"/>
    <n v="3.7888542168392942"/>
    <n v="0"/>
    <n v="0"/>
    <n v="7.152503170931884"/>
    <n v="0"/>
    <n v="0"/>
    <n v="0"/>
    <n v="0"/>
    <n v="0"/>
    <n v="0"/>
    <n v="0"/>
    <n v="0"/>
    <n v="0"/>
    <n v="0"/>
  </r>
  <r>
    <x v="14"/>
    <x v="1"/>
    <s v="Petroleum Coke"/>
    <s v="Petroleum Coke"/>
    <s v="IMAEFEDPTC"/>
    <x v="311"/>
    <s v="TechData_OTR"/>
    <n v="1"/>
    <n v="0"/>
    <n v="0"/>
    <n v="0"/>
    <n v="2.8350397525595818"/>
    <n v="1.9202398351977488"/>
    <n v="1.9410315593256378"/>
    <n v="1.6918917352373644"/>
    <n v="5.8776358809516589"/>
    <n v="10.716371884255038"/>
    <n v="6.7196532708551739"/>
    <n v="1"/>
    <n v="1"/>
    <n v="1"/>
    <n v="1"/>
    <n v="1"/>
    <n v="1"/>
    <n v="1"/>
    <n v="1"/>
    <n v="1"/>
    <n v="0"/>
    <n v="0"/>
    <n v="2.8350397525595818"/>
    <n v="1.9202398351977488"/>
    <n v="1.9410315593256378"/>
    <n v="1.6918917352373644"/>
    <n v="5.8776358809516589"/>
    <n v="10.716371884255038"/>
    <n v="6.7196532708551739"/>
    <n v="31.701863918382202"/>
    <n v="0"/>
    <n v="0"/>
    <n v="0"/>
    <n v="0"/>
    <n v="0"/>
    <n v="0"/>
    <n v="0"/>
    <n v="0"/>
    <n v="0"/>
    <n v="0"/>
  </r>
  <r>
    <x v="14"/>
    <x v="2"/>
    <s v="Electricity"/>
    <s v="Electricity"/>
    <s v="IMAEMDRELC"/>
    <x v="312"/>
    <s v="TechData_OTR"/>
    <n v="1"/>
    <n v="0"/>
    <n v="0.20256698018811803"/>
    <n v="0.55759874459936132"/>
    <n v="6.64695596935971"/>
    <n v="4.5021413275233204"/>
    <n v="2.2237298670072789"/>
    <n v="1.938304488308896"/>
    <n v="6.7336743666376968"/>
    <n v="2.647501652016703"/>
    <n v="1.6601041217790131"/>
    <n v="1"/>
    <n v="1"/>
    <n v="1"/>
    <n v="1"/>
    <n v="1"/>
    <n v="1"/>
    <n v="1"/>
    <n v="1"/>
    <n v="1"/>
    <n v="0.20256698018811803"/>
    <n v="0.55759874459936132"/>
    <n v="6.64695596935971"/>
    <n v="4.5021413275233204"/>
    <n v="2.2237298670072789"/>
    <n v="1.938304488308896"/>
    <n v="6.7336743666376968"/>
    <n v="2.647501652016703"/>
    <n v="1.6601041217790131"/>
    <n v="27.1125775174201"/>
    <n v="0"/>
    <n v="0"/>
    <n v="0"/>
    <n v="0"/>
    <n v="0"/>
    <n v="0"/>
    <n v="0"/>
    <n v="0"/>
    <n v="0"/>
    <n v="0"/>
  </r>
  <r>
    <x v="14"/>
    <x v="2"/>
    <s v="Natural Gas"/>
    <s v="Natural Gas"/>
    <s v="IMAEMDRNGA"/>
    <x v="313"/>
    <s v="TechData_OTR"/>
    <n v="1"/>
    <n v="0"/>
    <n v="0.12518754644592245"/>
    <n v="0.34459919712924225"/>
    <n v="0.49014198223119904"/>
    <n v="0.33198481902533933"/>
    <n v="0.62321896230551088"/>
    <n v="0.54322610392498283"/>
    <n v="1.8871687670080775"/>
    <n v="0.2165520555427074"/>
    <n v="0.13578800213866618"/>
    <n v="1"/>
    <n v="1"/>
    <n v="1"/>
    <n v="1"/>
    <n v="1"/>
    <n v="1"/>
    <n v="1"/>
    <n v="1"/>
    <n v="1"/>
    <n v="0.12518754644592245"/>
    <n v="0.34459919712924225"/>
    <n v="0.49014198223119904"/>
    <n v="0.33198481902533933"/>
    <n v="0.62321896230551088"/>
    <n v="0.54322610392498283"/>
    <n v="1.8871687670080775"/>
    <n v="0.2165520555427074"/>
    <n v="0.13578800213866618"/>
    <n v="4.6978674357516477"/>
    <n v="0"/>
    <n v="0"/>
    <n v="0"/>
    <n v="0"/>
    <n v="0"/>
    <n v="0"/>
    <n v="0"/>
    <n v="0"/>
    <n v="0"/>
    <n v="0"/>
  </r>
  <r>
    <x v="14"/>
    <x v="3"/>
    <s v="Petroleum Coke"/>
    <s v="Petroleum Coke"/>
    <s v="IMAEOHTPTC"/>
    <x v="314"/>
    <s v="TechData_OTR"/>
    <n v="1"/>
    <n v="0"/>
    <n v="0"/>
    <n v="1.5850931959191099"/>
    <n v="1.8900265017063882"/>
    <n v="1.2801598901318325"/>
    <n v="1.6175262994380317"/>
    <n v="1.4099097793644706"/>
    <n v="4.8980299007930492"/>
    <n v="0"/>
    <n v="0"/>
    <n v="1"/>
    <n v="1"/>
    <n v="1"/>
    <n v="1"/>
    <n v="1"/>
    <n v="1"/>
    <n v="1"/>
    <n v="1"/>
    <n v="1"/>
    <n v="0"/>
    <n v="1.5850931959191099"/>
    <n v="1.8900265017063882"/>
    <n v="1.2801598901318325"/>
    <n v="1.6175262994380317"/>
    <n v="1.4099097793644706"/>
    <n v="4.8980299007930492"/>
    <n v="0"/>
    <n v="0"/>
    <n v="12.680745567352883"/>
    <n v="0"/>
    <n v="0"/>
    <n v="0"/>
    <n v="0"/>
    <n v="0"/>
    <n v="0"/>
    <n v="0"/>
    <n v="0"/>
    <n v="0"/>
    <n v="0"/>
  </r>
  <r>
    <x v="14"/>
    <x v="4"/>
    <s v="Electricity"/>
    <s v="Electricity"/>
    <s v="IMAEPRHELC"/>
    <x v="315"/>
    <s v="TechData_OTR"/>
    <n v="1"/>
    <n v="0"/>
    <n v="3.8584186702498677E-2"/>
    <n v="0.10620928468559264"/>
    <n v="1.2660868513066115"/>
    <n v="0.85755072905206098"/>
    <n v="0.42356759371567221"/>
    <n v="0.36920085491598026"/>
    <n v="1.2826046412643233"/>
    <n v="0.50428602895556252"/>
    <n v="0.31621030891028823"/>
    <n v="1"/>
    <n v="1"/>
    <n v="1"/>
    <n v="1"/>
    <n v="1"/>
    <n v="1"/>
    <n v="1"/>
    <n v="1"/>
    <n v="1"/>
    <n v="3.8584186702498677E-2"/>
    <n v="0.10620928468559264"/>
    <n v="1.2660868513066115"/>
    <n v="0.85755072905206098"/>
    <n v="0.42356759371567221"/>
    <n v="0.36920085491598026"/>
    <n v="1.2826046412643233"/>
    <n v="0.50428602895556252"/>
    <n v="0.31621030891028823"/>
    <n v="5.1643004795085909"/>
    <n v="0"/>
    <n v="0"/>
    <n v="0"/>
    <n v="0"/>
    <n v="0"/>
    <n v="0"/>
    <n v="0"/>
    <n v="0"/>
    <n v="0"/>
    <n v="0"/>
  </r>
  <r>
    <x v="14"/>
    <x v="4"/>
    <s v="Natural Gas"/>
    <s v="Natural Gas"/>
    <s v="IMAEPRHNGA"/>
    <x v="316"/>
    <s v="TechData_OTR"/>
    <n v="1"/>
    <n v="0"/>
    <n v="1.5022505573510694"/>
    <n v="4.1351903655509075"/>
    <n v="5.8817037867743895"/>
    <n v="3.9838178283040722"/>
    <n v="7.4786275476661306"/>
    <n v="6.5187132470997948"/>
    <n v="22.646025204096929"/>
    <n v="2.5986246665124888"/>
    <n v="1.6294560256639943"/>
    <n v="1"/>
    <n v="1"/>
    <n v="1"/>
    <n v="1"/>
    <n v="1"/>
    <n v="1"/>
    <n v="1"/>
    <n v="1"/>
    <n v="1"/>
    <n v="1.5022505573510694"/>
    <n v="4.1351903655509075"/>
    <n v="5.8817037867743895"/>
    <n v="3.9838178283040722"/>
    <n v="7.4786275476661306"/>
    <n v="6.5187132470997948"/>
    <n v="22.646025204096929"/>
    <n v="2.5986246665124888"/>
    <n v="1.6294560256639943"/>
    <n v="56.374409229019768"/>
    <n v="0"/>
    <n v="0"/>
    <n v="0"/>
    <n v="0"/>
    <n v="0"/>
    <n v="0"/>
    <n v="0"/>
    <n v="0"/>
    <n v="0"/>
    <n v="0"/>
  </r>
  <r>
    <x v="14"/>
    <x v="5"/>
    <s v="Natural Gas"/>
    <s v="Natural Gas"/>
    <s v="IMAEBOLNGA"/>
    <x v="317"/>
    <s v="TechData_Boiler"/>
    <n v="1"/>
    <n v="0"/>
    <n v="0"/>
    <n v="8.2621692000000007"/>
    <n v="0"/>
    <n v="0"/>
    <n v="0"/>
    <n v="0.1155225"/>
    <n v="0"/>
    <n v="0"/>
    <n v="0"/>
    <n v="0.35664283147803671"/>
    <n v="0.35664283147803671"/>
    <n v="0.35664283147803671"/>
    <n v="0.35664283147803671"/>
    <n v="0.35664283147803671"/>
    <n v="0.35664283147803671"/>
    <n v="0.35664283147803671"/>
    <n v="0.35664283147803671"/>
    <n v="0.35664283147803671"/>
    <n v="0"/>
    <n v="2.9466434176386258"/>
    <n v="0"/>
    <n v="0"/>
    <n v="0"/>
    <n v="4.1200271499421494E-2"/>
    <n v="0"/>
    <n v="0"/>
    <n v="0"/>
    <n v="2.9878436891380473"/>
    <n v="0"/>
    <n v="0"/>
    <n v="0"/>
    <n v="0"/>
    <n v="0"/>
    <n v="0"/>
    <n v="0"/>
    <n v="0"/>
    <n v="0"/>
    <n v="0"/>
  </r>
  <r>
    <x v="14"/>
    <x v="5"/>
    <s v="Natural Gas"/>
    <s v="Natural Gas"/>
    <s v="IMAEBSTNGA"/>
    <x v="318"/>
    <s v="TechData_CHP"/>
    <n v="0.88410040186875793"/>
    <n v="0.11589959813124201"/>
    <n v="0"/>
    <n v="0"/>
    <n v="3.6823696672517781E-2"/>
    <n v="0"/>
    <n v="0"/>
    <n v="0"/>
    <n v="1.4810564298254887"/>
    <n v="0"/>
    <n v="0"/>
    <n v="6.2353856997351992E-2"/>
    <n v="6.2353856997351992E-2"/>
    <n v="6.2353856997351992E-2"/>
    <n v="6.2353856997351992E-2"/>
    <n v="6.2353856997351992E-2"/>
    <n v="6.2353856997351992E-2"/>
    <n v="6.2353856997351992E-2"/>
    <n v="6.2353856997351992E-2"/>
    <n v="6.2353856997351992E-2"/>
    <n v="0"/>
    <n v="0"/>
    <n v="6.4017528284246672E-2"/>
    <n v="0"/>
    <n v="0"/>
    <n v="0"/>
    <n v="2.5747977648773039"/>
    <n v="0"/>
    <n v="0"/>
    <n v="2.6388152931615507"/>
    <n v="0"/>
    <n v="0"/>
    <n v="8.3922660659541525E-3"/>
    <n v="0"/>
    <n v="0"/>
    <n v="0"/>
    <n v="0.33753861618852532"/>
    <n v="0"/>
    <n v="0"/>
    <n v="0.34593088225447949"/>
  </r>
  <r>
    <x v="14"/>
    <x v="5"/>
    <s v="Natural Gas"/>
    <s v="Natural Gas"/>
    <s v="IMAECCTNGA"/>
    <x v="318"/>
    <s v="TechData_CHP"/>
    <n v="0.49132582613772979"/>
    <n v="0.50867417386227021"/>
    <n v="0"/>
    <n v="3.0875546062501589"/>
    <n v="0"/>
    <n v="0"/>
    <n v="0"/>
    <n v="0"/>
    <n v="8.6005344129554656E-2"/>
    <n v="0"/>
    <n v="0"/>
    <n v="6.0985701580028299E-2"/>
    <n v="6.0985701580028299E-2"/>
    <n v="6.0985701580028299E-2"/>
    <n v="6.0985701580028299E-2"/>
    <n v="6.0985701580028299E-2"/>
    <n v="6.0985701580028299E-2"/>
    <n v="6.0985701580028299E-2"/>
    <n v="6.0985701580028299E-2"/>
    <n v="6.0985701580028299E-2"/>
    <n v="0"/>
    <n v="2.917553788702071"/>
    <n v="0"/>
    <n v="0"/>
    <n v="0"/>
    <n v="0"/>
    <n v="8.12698881846034E-2"/>
    <n v="0"/>
    <n v="0"/>
    <n v="2.9988236768866745"/>
    <n v="0"/>
    <n v="3.0205704325234066"/>
    <n v="0"/>
    <n v="0"/>
    <n v="0"/>
    <n v="0"/>
    <n v="8.4139467198684773E-2"/>
    <n v="0"/>
    <n v="0"/>
    <n v="3.1047098997220912"/>
  </r>
  <r>
    <x v="14"/>
    <x v="5"/>
    <s v="Steam Coal"/>
    <s v="Steam Coal"/>
    <s v="IMAECPVCOA"/>
    <x v="318"/>
    <s v="TechData_CHP"/>
    <n v="0.88332652522877819"/>
    <n v="0.11667347477122178"/>
    <n v="0"/>
    <n v="0"/>
    <n v="1.5815159627841855"/>
    <n v="0"/>
    <n v="0"/>
    <n v="0"/>
    <n v="0"/>
    <n v="0"/>
    <n v="0"/>
    <n v="0"/>
    <n v="0"/>
    <n v="0"/>
    <n v="0"/>
    <n v="0"/>
    <n v="0"/>
    <n v="0"/>
    <n v="0"/>
    <n v="0"/>
    <n v="0"/>
    <n v="0"/>
    <n v="0"/>
    <n v="0"/>
    <n v="0"/>
    <n v="0"/>
    <n v="0"/>
    <n v="0"/>
    <n v="0"/>
    <n v="0"/>
    <n v="0"/>
    <n v="0"/>
    <n v="0"/>
    <n v="0"/>
    <n v="0"/>
    <n v="0"/>
    <n v="0"/>
    <n v="0"/>
    <n v="0"/>
    <n v="0"/>
  </r>
  <r>
    <x v="15"/>
    <x v="6"/>
    <s v="Electricity"/>
    <s v="Electricity"/>
    <s v="IMSEETCELC"/>
    <x v="319"/>
    <s v="TechData_OTR"/>
    <n v="1"/>
    <n v="0"/>
    <n v="8.0473687899115229E-2"/>
    <n v="0.22151698812983309"/>
    <n v="0.6031445914816187"/>
    <n v="0.40852417321535817"/>
    <n v="0.234209051593194"/>
    <n v="0.20414730342971635"/>
    <n v="0.70920821388709332"/>
    <n v="9.2803387271877841E-2"/>
    <n v="5.8191950742596324E-2"/>
    <n v="1"/>
    <n v="1"/>
    <n v="1"/>
    <n v="1"/>
    <n v="1"/>
    <n v="1"/>
    <n v="1"/>
    <n v="1"/>
    <n v="1"/>
    <n v="8.0473687899115229E-2"/>
    <n v="0.22151698812983309"/>
    <n v="0.6031445914816187"/>
    <n v="0.40852417321535817"/>
    <n v="0.234209051593194"/>
    <n v="0.20414730342971635"/>
    <n v="0.70920821388709332"/>
    <n v="9.2803387271877841E-2"/>
    <n v="5.8191950742596324E-2"/>
    <n v="2.6122193476504032"/>
    <n v="0"/>
    <n v="0"/>
    <n v="0"/>
    <n v="0"/>
    <n v="0"/>
    <n v="0"/>
    <n v="0"/>
    <n v="0"/>
    <n v="0"/>
    <n v="0"/>
  </r>
  <r>
    <x v="15"/>
    <x v="0"/>
    <s v="Distillate Oil"/>
    <s v="Distillate Oil"/>
    <s v="IMSEFACDST"/>
    <x v="320"/>
    <s v="TechData_OTR"/>
    <n v="1"/>
    <n v="0"/>
    <n v="0"/>
    <n v="0"/>
    <n v="0.85569789008242614"/>
    <n v="0.57958452749999201"/>
    <n v="0.19528669258797207"/>
    <n v="0.17022079811325702"/>
    <n v="0.59134745435371672"/>
    <n v="0"/>
    <n v="0"/>
    <n v="1"/>
    <n v="1"/>
    <n v="1"/>
    <n v="1"/>
    <n v="1"/>
    <n v="1"/>
    <n v="1"/>
    <n v="1"/>
    <n v="1"/>
    <n v="0"/>
    <n v="0"/>
    <n v="0.85569789008242614"/>
    <n v="0.57958452749999201"/>
    <n v="0.19528669258797207"/>
    <n v="0.17022079811325702"/>
    <n v="0.59134745435371672"/>
    <n v="0"/>
    <n v="0"/>
    <n v="2.3921373626373641"/>
    <n v="0"/>
    <n v="0"/>
    <n v="0"/>
    <n v="0"/>
    <n v="0"/>
    <n v="0"/>
    <n v="0"/>
    <n v="0"/>
    <n v="0"/>
    <n v="0"/>
  </r>
  <r>
    <x v="15"/>
    <x v="0"/>
    <s v="Electricity"/>
    <s v="Electricity"/>
    <s v="IMSEFACELC"/>
    <x v="321"/>
    <s v="TechData_OTR"/>
    <n v="1"/>
    <n v="0"/>
    <n v="0.32189475159646092"/>
    <n v="0.88606795251933235"/>
    <n v="2.4125783659264748"/>
    <n v="1.6340966928614327"/>
    <n v="0.93683620637277598"/>
    <n v="0.81658921371886539"/>
    <n v="2.8368328555483733"/>
    <n v="0.37121354908751136"/>
    <n v="0.2327678029703853"/>
    <n v="1"/>
    <n v="1"/>
    <n v="1"/>
    <n v="1"/>
    <n v="1"/>
    <n v="1"/>
    <n v="1"/>
    <n v="1"/>
    <n v="1"/>
    <n v="0.32189475159646092"/>
    <n v="0.88606795251933235"/>
    <n v="2.4125783659264748"/>
    <n v="1.6340966928614327"/>
    <n v="0.93683620637277598"/>
    <n v="0.81658921371886539"/>
    <n v="2.8368328555483733"/>
    <n v="0.37121354908751136"/>
    <n v="0.2327678029703853"/>
    <n v="10.448877390601613"/>
    <n v="0"/>
    <n v="0"/>
    <n v="0"/>
    <n v="0"/>
    <n v="0"/>
    <n v="0"/>
    <n v="0"/>
    <n v="0"/>
    <n v="0"/>
    <n v="0"/>
  </r>
  <r>
    <x v="15"/>
    <x v="0"/>
    <s v="Natural Gas"/>
    <s v="Natural Gas"/>
    <s v="IMSEFACNGA"/>
    <x v="322"/>
    <s v="TechData_OTR"/>
    <n v="1"/>
    <n v="0"/>
    <n v="0.40856110885618713"/>
    <n v="1.1246312759304085"/>
    <n v="5.2493769868928748"/>
    <n v="3.5555278514530047"/>
    <n v="0.67052722673844156"/>
    <n v="0.5844621473153887"/>
    <n v="2.0304228790603043"/>
    <n v="0.35000339002747732"/>
    <n v="0.21946806717897258"/>
    <n v="1"/>
    <n v="1"/>
    <n v="1"/>
    <n v="1"/>
    <n v="1"/>
    <n v="1"/>
    <n v="1"/>
    <n v="1"/>
    <n v="1"/>
    <n v="0.40856110885618713"/>
    <n v="1.1246312759304085"/>
    <n v="5.2493769868928748"/>
    <n v="3.5555278514530047"/>
    <n v="0.67052722673844156"/>
    <n v="0.5844621473153887"/>
    <n v="2.0304228790603043"/>
    <n v="0.35000339002747732"/>
    <n v="0.21946806717897258"/>
    <n v="14.192980933453061"/>
    <n v="0"/>
    <n v="0"/>
    <n v="0"/>
    <n v="0"/>
    <n v="0"/>
    <n v="0"/>
    <n v="0"/>
    <n v="0"/>
    <n v="0"/>
    <n v="0"/>
  </r>
  <r>
    <x v="15"/>
    <x v="0"/>
    <s v="Steam Coal"/>
    <s v="Steam Coal"/>
    <s v="IMSEFACCOA"/>
    <x v="323"/>
    <s v="TechData_OTR"/>
    <n v="1"/>
    <n v="0"/>
    <n v="2.2820211257979894E-2"/>
    <n v="6.2816363936140582E-2"/>
    <n v="0.91899868944025409"/>
    <n v="0.62245966405390407"/>
    <n v="6.9911050240788683E-2"/>
    <n v="6.0937663551049417E-2"/>
    <n v="0.21169758698464158"/>
    <n v="0"/>
    <n v="0"/>
    <n v="1"/>
    <n v="1"/>
    <n v="1"/>
    <n v="1"/>
    <n v="1"/>
    <n v="1"/>
    <n v="1"/>
    <n v="1"/>
    <n v="1"/>
    <n v="2.2820211257979894E-2"/>
    <n v="6.2816363936140582E-2"/>
    <n v="0.91899868944025409"/>
    <n v="0.62245966405390407"/>
    <n v="6.9911050240788683E-2"/>
    <n v="6.0937663551049417E-2"/>
    <n v="0.21169758698464158"/>
    <n v="0"/>
    <n v="0"/>
    <n v="1.9696412294647585"/>
    <n v="0"/>
    <n v="0"/>
    <n v="0"/>
    <n v="0"/>
    <n v="0"/>
    <n v="0"/>
    <n v="0"/>
    <n v="0"/>
    <n v="0"/>
    <n v="0"/>
  </r>
  <r>
    <x v="15"/>
    <x v="1"/>
    <s v="Coke"/>
    <s v="Coke"/>
    <s v="IMSEFEDCOK"/>
    <x v="324"/>
    <s v="TechData_OTR"/>
    <n v="1"/>
    <n v="0"/>
    <n v="32.494369388274151"/>
    <n v="89.44606648439526"/>
    <n v="92.821558117644997"/>
    <n v="62.870248398352565"/>
    <n v="15.110024816771393"/>
    <n v="13.170587558920854"/>
    <n v="45.754652261285621"/>
    <n v="0"/>
    <n v="0"/>
    <n v="1"/>
    <n v="1"/>
    <n v="1"/>
    <n v="1"/>
    <n v="1"/>
    <n v="1"/>
    <n v="1"/>
    <n v="1"/>
    <n v="1"/>
    <n v="32.494369388274151"/>
    <n v="89.44606648439526"/>
    <n v="92.821558117644997"/>
    <n v="62.870248398352565"/>
    <n v="15.110024816771393"/>
    <n v="13.170587558920854"/>
    <n v="45.754652261285621"/>
    <n v="0"/>
    <n v="0"/>
    <n v="351.6675070256448"/>
    <n v="0"/>
    <n v="0"/>
    <n v="0"/>
    <n v="0"/>
    <n v="0"/>
    <n v="0"/>
    <n v="0"/>
    <n v="0"/>
    <n v="0"/>
    <n v="0"/>
  </r>
  <r>
    <x v="15"/>
    <x v="1"/>
    <s v="Natural Gas"/>
    <s v="Natural Gas"/>
    <s v="IMSEFEDNGA"/>
    <x v="325"/>
    <s v="TechData_OTR"/>
    <n v="1"/>
    <n v="0"/>
    <n v="0.45817210064586705"/>
    <n v="1.2611936451505297"/>
    <n v="4.612792091094299"/>
    <n v="3.1243537649894875"/>
    <n v="1.5790916189690298"/>
    <n v="1.3764083569277406"/>
    <n v="4.7816458801870159"/>
    <n v="0"/>
    <n v="0"/>
    <n v="1"/>
    <n v="1"/>
    <n v="1"/>
    <n v="1"/>
    <n v="1"/>
    <n v="1"/>
    <n v="1"/>
    <n v="1"/>
    <n v="1"/>
    <n v="0.45817210064586705"/>
    <n v="1.2611936451505297"/>
    <n v="4.612792091094299"/>
    <n v="3.1243537649894875"/>
    <n v="1.5790916189690298"/>
    <n v="1.3764083569277406"/>
    <n v="4.7816458801870159"/>
    <n v="0"/>
    <n v="0"/>
    <n v="17.193657457963972"/>
    <n v="0"/>
    <n v="0"/>
    <n v="0"/>
    <n v="0"/>
    <n v="0"/>
    <n v="0"/>
    <n v="0"/>
    <n v="0"/>
    <n v="0"/>
    <n v="0"/>
  </r>
  <r>
    <x v="15"/>
    <x v="1"/>
    <s v="Petroleum Coke"/>
    <s v="Petroleum Coke"/>
    <s v="IMSEFEDPTC"/>
    <x v="326"/>
    <s v="TechData_OTR"/>
    <n v="1"/>
    <n v="0"/>
    <n v="0"/>
    <n v="5.1304779211339309"/>
    <n v="2.4469827420437595"/>
    <n v="1.6573995948633853"/>
    <n v="0"/>
    <n v="0"/>
    <n v="0"/>
    <n v="1.2612991517901575"/>
    <n v="0.79089201666341513"/>
    <n v="1"/>
    <n v="1"/>
    <n v="1"/>
    <n v="1"/>
    <n v="1"/>
    <n v="1"/>
    <n v="1"/>
    <n v="1"/>
    <n v="1"/>
    <n v="0"/>
    <n v="5.1304779211339309"/>
    <n v="2.4469827420437595"/>
    <n v="1.6573995948633853"/>
    <n v="0"/>
    <n v="0"/>
    <n v="0"/>
    <n v="1.2612991517901575"/>
    <n v="0.79089201666341513"/>
    <n v="11.287051426494648"/>
    <n v="0"/>
    <n v="0"/>
    <n v="0"/>
    <n v="0"/>
    <n v="0"/>
    <n v="0"/>
    <n v="0"/>
    <n v="0"/>
    <n v="0"/>
    <n v="0"/>
  </r>
  <r>
    <x v="15"/>
    <x v="1"/>
    <s v="Renewables"/>
    <s v="Biomass"/>
    <s v="IMSEFEDBIO"/>
    <x v="327"/>
    <s v="TechData_OTR"/>
    <n v="1"/>
    <n v="0"/>
    <n v="0.12670424810496989"/>
    <n v="0.34877416651581861"/>
    <n v="0.22677955010753539"/>
    <n v="0.15360318158909533"/>
    <n v="0"/>
    <n v="0"/>
    <n v="0"/>
    <n v="0.11689369494902337"/>
    <n v="7.3297670899292025E-2"/>
    <n v="1"/>
    <n v="1"/>
    <n v="1"/>
    <n v="1"/>
    <n v="1"/>
    <n v="1"/>
    <n v="1"/>
    <n v="1"/>
    <n v="1"/>
    <n v="0.12670424810496989"/>
    <n v="0.34877416651581861"/>
    <n v="0.22677955010753539"/>
    <n v="0.15360318158909533"/>
    <n v="0"/>
    <n v="0"/>
    <n v="0"/>
    <n v="0.11689369494902337"/>
    <n v="7.3297670899292025E-2"/>
    <n v="1.0460525121657347"/>
    <n v="0"/>
    <n v="0"/>
    <n v="0"/>
    <n v="0"/>
    <n v="0"/>
    <n v="0"/>
    <n v="0"/>
    <n v="0"/>
    <n v="0"/>
    <n v="0"/>
  </r>
  <r>
    <x v="15"/>
    <x v="2"/>
    <s v="Electricity"/>
    <s v="Electricity"/>
    <s v="IMSEMDRELC"/>
    <x v="328"/>
    <s v="TechData_OTR"/>
    <n v="1"/>
    <n v="0"/>
    <n v="1.299650059570711"/>
    <n v="3.5774993582968042"/>
    <n v="9.7407851524281419"/>
    <n v="6.5976653974280346"/>
    <n v="3.7824761832300831"/>
    <n v="3.2969789503899189"/>
    <n v="11.453712654276558"/>
    <n v="1.4987747044408273"/>
    <n v="0.93980000449293066"/>
    <n v="1"/>
    <n v="1"/>
    <n v="1"/>
    <n v="1"/>
    <n v="1"/>
    <n v="1"/>
    <n v="1"/>
    <n v="1"/>
    <n v="1"/>
    <n v="1.299650059570711"/>
    <n v="3.5774993582968042"/>
    <n v="9.7407851524281419"/>
    <n v="6.5976653974280346"/>
    <n v="3.7824761832300831"/>
    <n v="3.2969789503899189"/>
    <n v="11.453712654276558"/>
    <n v="1.4987747044408273"/>
    <n v="0.93980000449293066"/>
    <n v="42.187342464554007"/>
    <n v="0"/>
    <n v="0"/>
    <n v="0"/>
    <n v="0"/>
    <n v="0"/>
    <n v="0"/>
    <n v="0"/>
    <n v="0"/>
    <n v="0"/>
    <n v="0"/>
  </r>
  <r>
    <x v="15"/>
    <x v="2"/>
    <s v="Natural Gas"/>
    <s v="Natural Gas"/>
    <s v="IMSEMDRNGA"/>
    <x v="329"/>
    <s v="TechData_OTR"/>
    <n v="1"/>
    <n v="0"/>
    <n v="0.19406652670668889"/>
    <n v="0.53419985606694409"/>
    <n v="2.4934540687741156"/>
    <n v="1.6888757294401773"/>
    <n v="0.31850043270075978"/>
    <n v="0.27761951997480966"/>
    <n v="0.96445086755364451"/>
    <n v="0.16625161026305174"/>
    <n v="0.10424733191001197"/>
    <n v="1"/>
    <n v="1"/>
    <n v="1"/>
    <n v="1"/>
    <n v="1"/>
    <n v="1"/>
    <n v="1"/>
    <n v="1"/>
    <n v="1"/>
    <n v="0.19406652670668889"/>
    <n v="0.53419985606694409"/>
    <n v="2.4934540687741156"/>
    <n v="1.6888757294401773"/>
    <n v="0.31850043270075978"/>
    <n v="0.27761951997480966"/>
    <n v="0.96445086755364451"/>
    <n v="0.16625161026305174"/>
    <n v="0.10424733191001197"/>
    <n v="6.7416659433902035"/>
    <n v="0"/>
    <n v="0"/>
    <n v="0"/>
    <n v="0"/>
    <n v="0"/>
    <n v="0"/>
    <n v="0"/>
    <n v="0"/>
    <n v="0"/>
    <n v="0"/>
  </r>
  <r>
    <x v="15"/>
    <x v="3"/>
    <s v="Electricity"/>
    <s v="Electricity"/>
    <s v="IMSEOHTELC"/>
    <x v="330"/>
    <s v="TechData_OTR"/>
    <n v="1"/>
    <n v="0"/>
    <n v="4.0236843949557614E-2"/>
    <n v="0.11075849406491654"/>
    <n v="0.30157229574080935"/>
    <n v="0.20426208660767908"/>
    <n v="0.117104525796597"/>
    <n v="0.10207365171485817"/>
    <n v="0.35460410694354666"/>
    <n v="4.640169363593892E-2"/>
    <n v="2.9095975371298162E-2"/>
    <n v="1"/>
    <n v="1"/>
    <n v="1"/>
    <n v="1"/>
    <n v="1"/>
    <n v="1"/>
    <n v="1"/>
    <n v="1"/>
    <n v="1"/>
    <n v="4.0236843949557614E-2"/>
    <n v="0.11075849406491654"/>
    <n v="0.30157229574080935"/>
    <n v="0.20426208660767908"/>
    <n v="0.117104525796597"/>
    <n v="0.10207365171485817"/>
    <n v="0.35460410694354666"/>
    <n v="4.640169363593892E-2"/>
    <n v="2.9095975371298162E-2"/>
    <n v="1.3061096738252016"/>
    <n v="0"/>
    <n v="0"/>
    <n v="0"/>
    <n v="0"/>
    <n v="0"/>
    <n v="0"/>
    <n v="0"/>
    <n v="0"/>
    <n v="0"/>
    <n v="0"/>
  </r>
  <r>
    <x v="15"/>
    <x v="3"/>
    <s v="Petroleum Coke"/>
    <s v="Petroleum Coke"/>
    <s v="IMSEOHTPTC"/>
    <x v="331"/>
    <s v="TechData_OTR"/>
    <n v="1"/>
    <n v="0"/>
    <n v="0"/>
    <n v="0"/>
    <n v="12.846659395729736"/>
    <n v="8.7013478730327734"/>
    <n v="0.41883634287173044"/>
    <n v="0.36507688064995597"/>
    <n v="1.2682779449318862"/>
    <n v="0"/>
    <n v="0"/>
    <n v="1"/>
    <n v="1"/>
    <n v="1"/>
    <n v="1"/>
    <n v="1"/>
    <n v="1"/>
    <n v="1"/>
    <n v="1"/>
    <n v="1"/>
    <n v="0"/>
    <n v="0"/>
    <n v="12.846659395729736"/>
    <n v="8.7013478730327734"/>
    <n v="0.41883634287173044"/>
    <n v="0.36507688064995597"/>
    <n v="1.2682779449318862"/>
    <n v="0"/>
    <n v="0"/>
    <n v="23.600198437216083"/>
    <n v="0"/>
    <n v="0"/>
    <n v="0"/>
    <n v="0"/>
    <n v="0"/>
    <n v="0"/>
    <n v="0"/>
    <n v="0"/>
    <n v="0"/>
    <n v="0"/>
  </r>
  <r>
    <x v="15"/>
    <x v="3"/>
    <s v="Renewables"/>
    <s v="Biomass"/>
    <s v="IMSEOHTBIO"/>
    <x v="332"/>
    <s v="TechData_OTR"/>
    <n v="1"/>
    <n v="0"/>
    <n v="0"/>
    <n v="0"/>
    <n v="1.1905926380645611"/>
    <n v="0.80641670334275062"/>
    <n v="3.8816586555001496E-2"/>
    <n v="3.3834309219242888E-2"/>
    <n v="0.11754047007407102"/>
    <n v="0"/>
    <n v="0"/>
    <n v="1"/>
    <n v="1"/>
    <n v="1"/>
    <n v="1"/>
    <n v="1"/>
    <n v="1"/>
    <n v="1"/>
    <n v="1"/>
    <n v="1"/>
    <n v="0"/>
    <n v="0"/>
    <n v="1.1905926380645611"/>
    <n v="0.80641670334275062"/>
    <n v="3.8816586555001496E-2"/>
    <n v="3.3834309219242888E-2"/>
    <n v="0.11754047007407102"/>
    <n v="0"/>
    <n v="0"/>
    <n v="2.1872007072556272"/>
    <n v="0"/>
    <n v="0"/>
    <n v="0"/>
    <n v="0"/>
    <n v="0"/>
    <n v="0"/>
    <n v="0"/>
    <n v="0"/>
    <n v="0"/>
    <n v="0"/>
  </r>
  <r>
    <x v="15"/>
    <x v="3"/>
    <s v="Residual Oil"/>
    <s v="Residual Oil"/>
    <s v="IMSEOHTRFL"/>
    <x v="333"/>
    <s v="TechData_OTR"/>
    <n v="1"/>
    <n v="0"/>
    <n v="0.44167187454661011"/>
    <n v="1.2157740740535667"/>
    <n v="2.6312998371261473"/>
    <n v="1.7822419460034666"/>
    <n v="0.45618381542217223"/>
    <n v="0.3976306430226037"/>
    <n v="1.3813697922388917"/>
    <n v="0.14552634564064917"/>
    <n v="9.1251647016518958E-2"/>
    <n v="1"/>
    <n v="1"/>
    <n v="1"/>
    <n v="1"/>
    <n v="1"/>
    <n v="1"/>
    <n v="1"/>
    <n v="1"/>
    <n v="1"/>
    <n v="0.44167187454661011"/>
    <n v="1.2157740740535667"/>
    <n v="2.6312998371261473"/>
    <n v="1.7822419460034666"/>
    <n v="0.45618381542217223"/>
    <n v="0.3976306430226037"/>
    <n v="1.3813697922388917"/>
    <n v="0.14552634564064917"/>
    <n v="9.1251647016518958E-2"/>
    <n v="8.542949975070627"/>
    <n v="0"/>
    <n v="0"/>
    <n v="0"/>
    <n v="0"/>
    <n v="0"/>
    <n v="0"/>
    <n v="0"/>
    <n v="0"/>
    <n v="0"/>
    <n v="0"/>
  </r>
  <r>
    <x v="15"/>
    <x v="4"/>
    <s v="Distillate Oil"/>
    <s v="Distillate Oil"/>
    <s v="IMSEPRHDST"/>
    <x v="334"/>
    <s v="TechData_OTR"/>
    <n v="1"/>
    <n v="0"/>
    <n v="0"/>
    <n v="0"/>
    <n v="0.2852326300274754"/>
    <n v="0.19319484249999733"/>
    <n v="6.5095564195990691E-2"/>
    <n v="5.674026603775234E-2"/>
    <n v="0.19711581811790557"/>
    <n v="0"/>
    <n v="0"/>
    <n v="1"/>
    <n v="1"/>
    <n v="1"/>
    <n v="1"/>
    <n v="1"/>
    <n v="1"/>
    <n v="1"/>
    <n v="1"/>
    <n v="1"/>
    <n v="0"/>
    <n v="0"/>
    <n v="0.2852326300274754"/>
    <n v="0.19319484249999733"/>
    <n v="6.5095564195990691E-2"/>
    <n v="5.674026603775234E-2"/>
    <n v="0.19711581811790557"/>
    <n v="0"/>
    <n v="0"/>
    <n v="0.79737912087912144"/>
    <n v="0"/>
    <n v="0"/>
    <n v="0"/>
    <n v="0"/>
    <n v="0"/>
    <n v="0"/>
    <n v="0"/>
    <n v="0"/>
    <n v="0"/>
    <n v="0"/>
  </r>
  <r>
    <x v="15"/>
    <x v="4"/>
    <s v="Electricity"/>
    <s v="Electricity"/>
    <s v="IMSEPRHELC"/>
    <x v="335"/>
    <s v="TechData_OTR"/>
    <n v="1"/>
    <n v="0"/>
    <n v="1.6979948146713315"/>
    <n v="4.6740084495394782"/>
    <n v="12.726350880262155"/>
    <n v="8.6198600548440574"/>
    <n v="4.9418109886163935"/>
    <n v="4.3075081023670148"/>
    <n v="14.96429331301767"/>
    <n v="1.9581514714366224"/>
    <n v="1.2278501606687824"/>
    <n v="1"/>
    <n v="1"/>
    <n v="1"/>
    <n v="1"/>
    <n v="1"/>
    <n v="1"/>
    <n v="1"/>
    <n v="1"/>
    <n v="1"/>
    <n v="1.6979948146713315"/>
    <n v="4.6740084495394782"/>
    <n v="12.726350880262155"/>
    <n v="8.6198600548440574"/>
    <n v="4.9418109886163935"/>
    <n v="4.3075081023670148"/>
    <n v="14.96429331301767"/>
    <n v="1.9581514714366224"/>
    <n v="1.2278501606687824"/>
    <n v="55.117828235423502"/>
    <n v="0"/>
    <n v="0"/>
    <n v="0"/>
    <n v="0"/>
    <n v="0"/>
    <n v="0"/>
    <n v="0"/>
    <n v="0"/>
    <n v="0"/>
    <n v="0"/>
  </r>
  <r>
    <x v="15"/>
    <x v="4"/>
    <s v="Natural Gas"/>
    <s v="Natural Gas"/>
    <s v="IMSEPRHNGA"/>
    <x v="336"/>
    <s v="TechData_OTR"/>
    <n v="1"/>
    <n v="0"/>
    <n v="6.7259372545449807"/>
    <n v="18.514242380004351"/>
    <n v="86.417868646723946"/>
    <n v="58.532877254545085"/>
    <n v="11.038554470181595"/>
    <n v="9.6217081001795872"/>
    <n v="33.425836646530257"/>
    <n v="5.7619308083273459"/>
    <n v="3.6129930559338357"/>
    <n v="1"/>
    <n v="1"/>
    <n v="1"/>
    <n v="1"/>
    <n v="1"/>
    <n v="1"/>
    <n v="1"/>
    <n v="1"/>
    <n v="1"/>
    <n v="6.7259372545449807"/>
    <n v="18.514242380004351"/>
    <n v="86.417868646723946"/>
    <n v="58.532877254545085"/>
    <n v="11.038554470181595"/>
    <n v="9.6217081001795872"/>
    <n v="33.425836646530257"/>
    <n v="5.7619308083273459"/>
    <n v="3.6129930559338357"/>
    <n v="233.65194861697097"/>
    <n v="0"/>
    <n v="0"/>
    <n v="0"/>
    <n v="0"/>
    <n v="0"/>
    <n v="0"/>
    <n v="0"/>
    <n v="0"/>
    <n v="0"/>
    <n v="0"/>
  </r>
  <r>
    <x v="15"/>
    <x v="4"/>
    <s v="Steam Coal"/>
    <s v="Steam Coal"/>
    <s v="IMSEPRHCOA"/>
    <x v="337"/>
    <s v="TechData_OTR"/>
    <n v="1"/>
    <n v="0"/>
    <n v="0.50204464767555768"/>
    <n v="1.3819600065950928"/>
    <n v="20.217971167685587"/>
    <n v="13.694112609185886"/>
    <n v="1.5380431052973509"/>
    <n v="1.340628598123087"/>
    <n v="4.6573469136621144"/>
    <n v="0"/>
    <n v="0"/>
    <n v="1"/>
    <n v="1"/>
    <n v="1"/>
    <n v="1"/>
    <n v="1"/>
    <n v="1"/>
    <n v="1"/>
    <n v="1"/>
    <n v="1"/>
    <n v="0.50204464767555768"/>
    <n v="1.3819600065950928"/>
    <n v="20.217971167685587"/>
    <n v="13.694112609185886"/>
    <n v="1.5380431052973509"/>
    <n v="1.340628598123087"/>
    <n v="4.6573469136621144"/>
    <n v="0"/>
    <n v="0"/>
    <n v="43.332107048224678"/>
    <n v="0"/>
    <n v="0"/>
    <n v="0"/>
    <n v="0"/>
    <n v="0"/>
    <n v="0"/>
    <n v="0"/>
    <n v="0"/>
    <n v="0"/>
    <n v="0"/>
  </r>
  <r>
    <x v="15"/>
    <x v="5"/>
    <s v="Distillate Oil"/>
    <s v="Distillate Oil"/>
    <s v="IMSEBOLDST"/>
    <x v="338"/>
    <s v="TechData_Boiler"/>
    <n v="1"/>
    <n v="0"/>
    <n v="0"/>
    <n v="0"/>
    <n v="0"/>
    <n v="0"/>
    <n v="6.3518891399999989E-3"/>
    <n v="0"/>
    <n v="0"/>
    <n v="0"/>
    <n v="0"/>
    <n v="0"/>
    <n v="0"/>
    <n v="0"/>
    <n v="0"/>
    <n v="0"/>
    <n v="0"/>
    <n v="0"/>
    <n v="0"/>
    <n v="0"/>
    <n v="0"/>
    <n v="0"/>
    <n v="0"/>
    <n v="0"/>
    <n v="0"/>
    <n v="0"/>
    <n v="0"/>
    <n v="0"/>
    <n v="0"/>
    <n v="0"/>
    <n v="0"/>
    <n v="0"/>
    <n v="0"/>
    <n v="0"/>
    <n v="0"/>
    <n v="0"/>
    <n v="0"/>
    <n v="0"/>
    <n v="0"/>
    <n v="0"/>
  </r>
  <r>
    <x v="15"/>
    <x v="5"/>
    <s v="Natural Gas"/>
    <s v="Natural Gas"/>
    <s v="IMSEBOLNGA"/>
    <x v="339"/>
    <s v="TechData_Boiler"/>
    <n v="1"/>
    <n v="0"/>
    <n v="0"/>
    <n v="2.8933950186000001"/>
    <n v="7.2447311203799991"/>
    <n v="0"/>
    <n v="0.62058687000000001"/>
    <n v="0.94913285999999997"/>
    <n v="0"/>
    <n v="0.27013781399999998"/>
    <n v="0.27597863159999997"/>
    <n v="0.80569795372115782"/>
    <n v="0.80569795372115782"/>
    <n v="0.80569795372115782"/>
    <n v="0.80569795372115782"/>
    <n v="0.80569795372115782"/>
    <n v="0.80569795372115782"/>
    <n v="0.80569795372115782"/>
    <n v="0.80569795372115782"/>
    <n v="0.80569795372115782"/>
    <n v="0"/>
    <n v="2.3312024457930116"/>
    <n v="5.8370650389501568"/>
    <n v="0"/>
    <n v="0.50000557126521816"/>
    <n v="0.76471440311151018"/>
    <n v="0"/>
    <n v="0.21764948396250672"/>
    <n v="0.22235541875088524"/>
    <n v="9.8729923618332887"/>
    <n v="0"/>
    <n v="0"/>
    <n v="0"/>
    <n v="0"/>
    <n v="0"/>
    <n v="0"/>
    <n v="0"/>
    <n v="0"/>
    <n v="0"/>
    <n v="0"/>
  </r>
  <r>
    <x v="15"/>
    <x v="5"/>
    <s v="Natural Gas"/>
    <s v="Natural Gas"/>
    <s v="IMSEBSTNGA"/>
    <x v="340"/>
    <s v="TechData_CHP"/>
    <n v="0.886907974935504"/>
    <n v="0.11309202506449599"/>
    <n v="0"/>
    <n v="7.5516973962771287E-3"/>
    <n v="0.67630280843634094"/>
    <n v="0"/>
    <n v="0"/>
    <n v="0"/>
    <n v="0"/>
    <n v="0"/>
    <n v="0"/>
    <n v="0.12569397755405048"/>
    <n v="0.12569397755405048"/>
    <n v="0.12569397755405048"/>
    <n v="0.12569397755405048"/>
    <n v="0.12569397755405048"/>
    <n v="0.12569397755405048"/>
    <n v="0.12569397755405048"/>
    <n v="0.12569397755405048"/>
    <n v="0.12569397755405048"/>
    <n v="0"/>
    <n v="2.6548758415557597E-2"/>
    <n v="2.377611142865852"/>
    <n v="0"/>
    <n v="0"/>
    <n v="0"/>
    <n v="0"/>
    <n v="0"/>
    <n v="0"/>
    <n v="2.4041599012814094"/>
    <n v="0"/>
    <n v="3.385303703444348E-3"/>
    <n v="0.30317560171015878"/>
    <n v="0"/>
    <n v="0"/>
    <n v="0"/>
    <n v="0"/>
    <n v="0"/>
    <n v="0"/>
    <n v="0.30656090541360315"/>
  </r>
  <r>
    <x v="15"/>
    <x v="5"/>
    <s v="Natural Gas"/>
    <s v="Natural Gas"/>
    <s v="IMSECCTNGA"/>
    <x v="340"/>
    <s v="TechData_CHP"/>
    <n v="0.49222832279162754"/>
    <n v="0.50777167720837246"/>
    <n v="0"/>
    <n v="0"/>
    <n v="0.14747369745976052"/>
    <n v="0"/>
    <n v="2.1398573515308009E-2"/>
    <n v="0"/>
    <n v="0"/>
    <n v="0"/>
    <n v="1.3272632771378443"/>
    <n v="0.12382539017767245"/>
    <n v="0.12382539017767245"/>
    <n v="0.12382539017767245"/>
    <n v="0.12382539017767245"/>
    <n v="0.12382539017767245"/>
    <n v="0.12382539017767245"/>
    <n v="0.12382539017767245"/>
    <n v="0.12382539017767245"/>
    <n v="0.12382539017767245"/>
    <n v="0"/>
    <n v="0"/>
    <n v="0.28346371883511129"/>
    <n v="0"/>
    <n v="4.1130854727981669E-2"/>
    <n v="0"/>
    <n v="0"/>
    <n v="0"/>
    <n v="2.5511734695160007"/>
    <n v="2.8757680430790935"/>
    <n v="0"/>
    <n v="0"/>
    <n v="0.29241480279784349"/>
    <n v="0"/>
    <n v="4.2429665509276966E-2"/>
    <n v="0"/>
    <n v="0"/>
    <n v="0"/>
    <n v="2.6317332251805903"/>
    <n v="2.9665776934877108"/>
  </r>
  <r>
    <x v="15"/>
    <x v="5"/>
    <s v="Natural Gas"/>
    <s v="Natural Gas"/>
    <s v="IMSEMTTNGA"/>
    <x v="340"/>
    <s v="TechData_CHP"/>
    <n v="0.64769647696476973"/>
    <n v="0.35230352303523033"/>
    <n v="0"/>
    <n v="0"/>
    <n v="2.6908615384615389E-4"/>
    <n v="0"/>
    <n v="0"/>
    <n v="0"/>
    <n v="0"/>
    <n v="0"/>
    <n v="0"/>
    <n v="0.12838737823684987"/>
    <n v="0.12838737823684987"/>
    <n v="0.12838737823684987"/>
    <n v="0.12838737823684987"/>
    <n v="0.12838737823684987"/>
    <n v="0.12838737823684987"/>
    <n v="0.12838737823684987"/>
    <n v="0.12838737823684987"/>
    <n v="0.12838737823684987"/>
    <n v="0"/>
    <n v="0"/>
    <n v="7.0565402531648741E-4"/>
    <n v="0"/>
    <n v="0"/>
    <n v="0"/>
    <n v="0"/>
    <n v="0"/>
    <n v="0"/>
    <n v="7.0565402531648741E-4"/>
    <n v="0"/>
    <n v="0"/>
    <n v="3.8382854933532784E-4"/>
    <n v="0"/>
    <n v="0"/>
    <n v="0"/>
    <n v="0"/>
    <n v="0"/>
    <n v="0"/>
    <n v="3.8382854933532784E-4"/>
  </r>
  <r>
    <x v="15"/>
    <x v="5"/>
    <s v="Natural Gas"/>
    <s v="Natural Gas"/>
    <s v="IMSEREGNGA"/>
    <x v="340"/>
    <s v="TechData_CHP"/>
    <n v="0.61182631157782419"/>
    <n v="0.38817368842217576"/>
    <n v="2.4410999999999999E-3"/>
    <n v="0"/>
    <n v="2.0606992000000001E-3"/>
    <n v="0"/>
    <n v="0"/>
    <n v="0"/>
    <n v="0"/>
    <n v="0"/>
    <n v="0"/>
    <n v="0.12317367759778997"/>
    <n v="0.12317367759778997"/>
    <n v="0.12317367759778997"/>
    <n v="0.12317367759778997"/>
    <n v="0.12317367759778997"/>
    <n v="0.12317367759778997"/>
    <n v="0.12317367759778997"/>
    <n v="0.12317367759778997"/>
    <n v="0.12317367759778997"/>
    <n v="5.8014724722938614E-3"/>
    <n v="0"/>
    <n v="4.8974190661906459E-3"/>
    <n v="0"/>
    <n v="0"/>
    <n v="0"/>
    <n v="0"/>
    <n v="0"/>
    <n v="0"/>
    <n v="1.0698891538484507E-2"/>
    <n v="3.6807488093188612E-3"/>
    <n v="0"/>
    <n v="3.1071714091042285E-3"/>
    <n v="0"/>
    <n v="0"/>
    <n v="0"/>
    <n v="0"/>
    <n v="0"/>
    <n v="0"/>
    <n v="6.7879202184230897E-3"/>
  </r>
  <r>
    <x v="15"/>
    <x v="5"/>
    <s v="Residual Oil"/>
    <s v="Residual Oil"/>
    <s v="IMSEBHLRFL"/>
    <x v="341"/>
    <s v="TechData_Boiler"/>
    <n v="1"/>
    <n v="0"/>
    <n v="0"/>
    <n v="0"/>
    <n v="17.902105943999999"/>
    <n v="0"/>
    <n v="11.104854462"/>
    <n v="0"/>
    <n v="0"/>
    <n v="0"/>
    <n v="0"/>
    <n v="-3.9724382267393861E-17"/>
    <n v="-3.9724382267393861E-17"/>
    <n v="-3.9724382267393861E-17"/>
    <n v="-3.9724382267393861E-17"/>
    <n v="-3.9724382267393861E-17"/>
    <n v="-3.9724382267393861E-17"/>
    <n v="-3.9724382267393861E-17"/>
    <n v="-3.9724382267393861E-17"/>
    <n v="-3.9724382267393861E-17"/>
    <n v="0"/>
    <n v="0"/>
    <n v="-7.111500999108398E-16"/>
    <n v="0"/>
    <n v="-4.4113348367226244E-16"/>
    <n v="0"/>
    <n v="0"/>
    <n v="0"/>
    <n v="0"/>
    <n v="-1.1522835835831023E-15"/>
    <n v="0"/>
    <n v="0"/>
    <n v="0"/>
    <n v="0"/>
    <n v="0"/>
    <n v="0"/>
    <n v="0"/>
    <n v="0"/>
    <n v="0"/>
    <n v="0"/>
  </r>
  <r>
    <x v="15"/>
    <x v="5"/>
    <s v="Residual Oil"/>
    <s v="Residual Oil"/>
    <s v="IMSEBSTRFL"/>
    <x v="340"/>
    <s v="TechData_CHP"/>
    <n v="0.88332652522877819"/>
    <n v="0.11667347477122178"/>
    <n v="0"/>
    <n v="0"/>
    <n v="8.8063618354325968E-2"/>
    <n v="0"/>
    <n v="0"/>
    <n v="0"/>
    <n v="0"/>
    <n v="0"/>
    <n v="0"/>
    <n v="-1.5208534583906254E-19"/>
    <n v="-1.5208534583906254E-19"/>
    <n v="-1.5208534583906254E-19"/>
    <n v="-1.5208534583906254E-19"/>
    <n v="-1.5208534583906254E-19"/>
    <n v="-1.5208534583906254E-19"/>
    <n v="-1.5208534583906254E-19"/>
    <n v="-1.5208534583906254E-19"/>
    <n v="-1.5208534583906254E-19"/>
    <n v="0"/>
    <n v="0"/>
    <n v="-3.7308842415484385E-19"/>
    <n v="0"/>
    <n v="0"/>
    <n v="0"/>
    <n v="0"/>
    <n v="0"/>
    <n v="0"/>
    <n v="-3.7308842415484385E-19"/>
    <n v="0"/>
    <n v="0"/>
    <n v="-4.9279084913465134E-20"/>
    <n v="0"/>
    <n v="0"/>
    <n v="0"/>
    <n v="0"/>
    <n v="0"/>
    <n v="0"/>
    <n v="-4.9279084913465134E-20"/>
  </r>
  <r>
    <x v="15"/>
    <x v="5"/>
    <s v="Residual Oil"/>
    <s v="Residual Oil"/>
    <s v="IMSECHLRFL"/>
    <x v="340"/>
    <s v="TechData_CHP"/>
    <n v="0.88332652522877819"/>
    <n v="0.11667347477122177"/>
    <n v="0"/>
    <n v="0"/>
    <n v="0.85180245187941828"/>
    <n v="0"/>
    <n v="0"/>
    <n v="0"/>
    <n v="0"/>
    <n v="0"/>
    <n v="0"/>
    <n v="-4.9610239812702204E-17"/>
    <n v="-4.9610239812702204E-17"/>
    <n v="-4.9610239812702204E-17"/>
    <n v="-4.9610239812702204E-17"/>
    <n v="-4.9610239812702204E-17"/>
    <n v="-4.9610239812702204E-17"/>
    <n v="-4.9610239812702204E-17"/>
    <n v="-4.9610239812702204E-17"/>
    <n v="-4.9610239812702204E-17"/>
    <n v="0"/>
    <n v="0"/>
    <n v="-1.1771670333224905E-15"/>
    <n v="0"/>
    <n v="0"/>
    <n v="0"/>
    <n v="0"/>
    <n v="0"/>
    <n v="0"/>
    <n v="-1.1771670333224905E-15"/>
    <n v="0"/>
    <n v="0"/>
    <n v="-1.5548516232804622E-16"/>
    <n v="0"/>
    <n v="0"/>
    <n v="0"/>
    <n v="0"/>
    <n v="0"/>
    <n v="0"/>
    <n v="-1.5548516232804622E-16"/>
  </r>
  <r>
    <x v="15"/>
    <x v="5"/>
    <s v="Steam Coal"/>
    <s v="Steam Coal"/>
    <s v="IMSEBPVCOA"/>
    <x v="342"/>
    <s v="TechData_Boiler"/>
    <n v="1"/>
    <n v="0"/>
    <n v="0"/>
    <n v="0"/>
    <n v="7.0016800979999987"/>
    <n v="0"/>
    <n v="0"/>
    <n v="0"/>
    <n v="0"/>
    <n v="0"/>
    <n v="0"/>
    <n v="5.2742214694917859E-17"/>
    <n v="5.2742214694917859E-17"/>
    <n v="5.2742214694917859E-17"/>
    <n v="5.2742214694917859E-17"/>
    <n v="5.2742214694917859E-17"/>
    <n v="5.2742214694917859E-17"/>
    <n v="5.2742214694917859E-17"/>
    <n v="5.2742214694917859E-17"/>
    <n v="5.2742214694917859E-17"/>
    <n v="0"/>
    <n v="0"/>
    <n v="3.6928411495384947E-16"/>
    <n v="0"/>
    <n v="0"/>
    <n v="0"/>
    <n v="0"/>
    <n v="0"/>
    <n v="0"/>
    <n v="3.6928411495384947E-16"/>
    <n v="0"/>
    <n v="0"/>
    <n v="0"/>
    <n v="0"/>
    <n v="0"/>
    <n v="0"/>
    <n v="0"/>
    <n v="0"/>
    <n v="0"/>
    <n v="0"/>
  </r>
  <r>
    <x v="16"/>
    <x v="2"/>
    <s v="Electricity"/>
    <s v="Electricity"/>
    <s v="IPLEMDRELC"/>
    <x v="343"/>
    <s v="TechData_OTR"/>
    <n v="1"/>
    <n v="0"/>
    <n v="0.46999567092311051"/>
    <n v="0.41470206257921516"/>
    <n v="0.7425141691894519"/>
    <n v="0.14218356431287374"/>
    <n v="1.7693954670046512"/>
    <n v="1.0273909163252815"/>
    <n v="0.74200455067936988"/>
    <n v="0.10110831240026578"/>
    <n v="0.78358942110205987"/>
    <n v="1"/>
    <n v="1"/>
    <n v="1"/>
    <n v="1"/>
    <n v="1"/>
    <n v="1"/>
    <n v="1"/>
    <n v="1"/>
    <n v="1"/>
    <n v="0.46999567092311051"/>
    <n v="0.41470206257921516"/>
    <n v="0.7425141691894519"/>
    <n v="0.14218356431287374"/>
    <n v="1.7693954670046512"/>
    <n v="1.0273909163252815"/>
    <n v="0.74200455067936988"/>
    <n v="0.10110831240026578"/>
    <n v="0.78358942110205987"/>
    <n v="6.1928841345162793"/>
    <n v="0"/>
    <n v="0"/>
    <n v="0"/>
    <n v="0"/>
    <n v="0"/>
    <n v="0"/>
    <n v="0"/>
    <n v="0"/>
    <n v="0"/>
    <n v="0"/>
  </r>
  <r>
    <x v="16"/>
    <x v="3"/>
    <s v="Other Petroleum"/>
    <s v="Other Petroleum"/>
    <s v="IPLEOHTOTP"/>
    <x v="344"/>
    <s v="TechData_OTR"/>
    <n v="1"/>
    <n v="0"/>
    <n v="0"/>
    <n v="0"/>
    <n v="0"/>
    <n v="0"/>
    <n v="0.61010029175439262"/>
    <n v="0.35425178230900217"/>
    <n v="0.25584850944539045"/>
    <n v="3.7486961090899694E-3"/>
    <n v="2.9052394845447263E-2"/>
    <n v="1"/>
    <n v="1"/>
    <n v="1"/>
    <n v="1"/>
    <n v="1"/>
    <n v="1"/>
    <n v="1"/>
    <n v="1"/>
    <n v="1"/>
    <n v="0"/>
    <n v="0"/>
    <n v="0"/>
    <n v="0"/>
    <n v="0.61010029175439262"/>
    <n v="0.35425178230900217"/>
    <n v="0.25584850944539045"/>
    <n v="3.7486961090899694E-3"/>
    <n v="2.9052394845447263E-2"/>
    <n v="1.2530016744633226"/>
    <n v="0"/>
    <n v="0"/>
    <n v="0"/>
    <n v="0"/>
    <n v="0"/>
    <n v="0"/>
    <n v="0"/>
    <n v="0"/>
    <n v="0"/>
    <n v="0"/>
  </r>
  <r>
    <x v="16"/>
    <x v="3"/>
    <s v="Petroleum Coke"/>
    <s v="Petroleum Coke"/>
    <s v="IPLEOHTPTC"/>
    <x v="345"/>
    <s v="TechData_OTR"/>
    <n v="1"/>
    <n v="0"/>
    <n v="0"/>
    <n v="0"/>
    <n v="0"/>
    <n v="0"/>
    <n v="0.61010029175439262"/>
    <n v="0.35425178230900217"/>
    <n v="0.25584850944539045"/>
    <n v="3.7486961090899694E-3"/>
    <n v="2.9052394845447263E-2"/>
    <n v="1"/>
    <n v="1"/>
    <n v="1"/>
    <n v="1"/>
    <n v="1"/>
    <n v="1"/>
    <n v="1"/>
    <n v="1"/>
    <n v="1"/>
    <n v="0"/>
    <n v="0"/>
    <n v="0"/>
    <n v="0"/>
    <n v="0.61010029175439262"/>
    <n v="0.35425178230900217"/>
    <n v="0.25584850944539045"/>
    <n v="3.7486961090899694E-3"/>
    <n v="2.9052394845447263E-2"/>
    <n v="1.2530016744633226"/>
    <n v="0"/>
    <n v="0"/>
    <n v="0"/>
    <n v="0"/>
    <n v="0"/>
    <n v="0"/>
    <n v="0"/>
    <n v="0"/>
    <n v="0"/>
    <n v="0"/>
  </r>
  <r>
    <x v="16"/>
    <x v="3"/>
    <s v="Renewables"/>
    <s v="Biomass"/>
    <s v="IPLEOHTBIO"/>
    <x v="346"/>
    <s v="TechData_OTR"/>
    <n v="1"/>
    <n v="0"/>
    <n v="0"/>
    <n v="0"/>
    <n v="0"/>
    <n v="0"/>
    <n v="0"/>
    <n v="4.5723618449703238"/>
    <n v="0"/>
    <n v="0.11221569837497886"/>
    <n v="0.86967166240608584"/>
    <n v="1"/>
    <n v="1"/>
    <n v="1"/>
    <n v="1"/>
    <n v="1"/>
    <n v="1"/>
    <n v="1"/>
    <n v="1"/>
    <n v="1"/>
    <n v="0"/>
    <n v="0"/>
    <n v="0"/>
    <n v="0"/>
    <n v="0"/>
    <n v="4.5723618449703238"/>
    <n v="0"/>
    <n v="0.11221569837497886"/>
    <n v="0.86967166240608584"/>
    <n v="5.5542492057513888"/>
    <n v="0"/>
    <n v="0"/>
    <n v="0"/>
    <n v="0"/>
    <n v="0"/>
    <n v="0"/>
    <n v="0"/>
    <n v="0"/>
    <n v="0"/>
    <n v="0"/>
  </r>
  <r>
    <x v="16"/>
    <x v="3"/>
    <s v="Renewables"/>
    <s v="Black Liquor; Hog Fuel"/>
    <s v="IPLEBASTOM"/>
    <x v="346"/>
    <s v="TechData_IPBIO"/>
    <n v="1"/>
    <n v="0"/>
    <n v="2.8015210420737118"/>
    <n v="4.6402930034413856"/>
    <n v="0"/>
    <n v="0"/>
    <n v="48.62705086279734"/>
    <n v="32.888457124974629"/>
    <n v="29.05921123875552"/>
    <n v="0.41139913727480337"/>
    <n v="3.1883433138797259"/>
    <n v="1"/>
    <n v="1"/>
    <n v="1"/>
    <n v="1"/>
    <n v="1"/>
    <n v="1"/>
    <n v="1"/>
    <n v="1"/>
    <n v="1"/>
    <n v="2.8015210420737118"/>
    <n v="4.6402930034413856"/>
    <n v="0"/>
    <n v="0"/>
    <n v="48.62705086279734"/>
    <n v="32.888457124974629"/>
    <n v="29.05921123875552"/>
    <n v="0.41139913727480337"/>
    <n v="3.1883433138797259"/>
    <n v="121.61627572319711"/>
    <n v="0"/>
    <n v="0"/>
    <n v="0"/>
    <n v="0"/>
    <n v="0"/>
    <n v="0"/>
    <n v="0"/>
    <n v="0"/>
    <n v="0"/>
    <n v="0"/>
  </r>
  <r>
    <x v="16"/>
    <x v="3"/>
    <s v="Renewables"/>
    <s v="Black Liquor; Hog Fuel"/>
    <s v="IPLEBHLTOM"/>
    <x v="346"/>
    <s v="TechData_IPBIO"/>
    <n v="1"/>
    <n v="0"/>
    <n v="5.7391577999999992"/>
    <n v="0"/>
    <n v="0"/>
    <n v="0"/>
    <n v="8.0033987999999994"/>
    <n v="0"/>
    <n v="0"/>
    <n v="0"/>
    <n v="0"/>
    <n v="0.49123522967080646"/>
    <n v="0"/>
    <n v="0"/>
    <n v="0"/>
    <n v="0.78934797051472672"/>
    <n v="0"/>
    <n v="0"/>
    <n v="0"/>
    <n v="0"/>
    <n v="2.8192765"/>
    <n v="0"/>
    <n v="0"/>
    <n v="0"/>
    <n v="6.3174665999999986"/>
    <n v="0"/>
    <n v="0"/>
    <n v="0"/>
    <n v="0"/>
    <n v="9.1367430999999986"/>
    <n v="0"/>
    <n v="0"/>
    <n v="0"/>
    <n v="0"/>
    <n v="0"/>
    <n v="0"/>
    <n v="0"/>
    <n v="0"/>
    <n v="0"/>
    <n v="0"/>
  </r>
  <r>
    <x v="16"/>
    <x v="3"/>
    <s v="Renewables"/>
    <s v="Black Liquor; Hog Fuel"/>
    <s v="IPLEBSTTOM"/>
    <x v="347"/>
    <s v="TechData_IPBIO"/>
    <n v="0.88332652522877819"/>
    <n v="0.11667347477122177"/>
    <n v="0"/>
    <n v="0"/>
    <n v="0"/>
    <n v="0"/>
    <n v="0.55711034686722671"/>
    <n v="0.26998424502027141"/>
    <n v="0"/>
    <n v="0"/>
    <n v="0"/>
    <n v="0"/>
    <n v="0"/>
    <n v="0"/>
    <n v="0"/>
    <n v="0.99"/>
    <n v="0.99"/>
    <n v="0"/>
    <n v="0"/>
    <n v="0"/>
    <n v="0"/>
    <n v="0"/>
    <n v="0"/>
    <n v="0"/>
    <n v="15.363999979816814"/>
    <n v="7.4456307594496876"/>
    <n v="0"/>
    <n v="0"/>
    <n v="0"/>
    <n v="22.809630739266503"/>
    <n v="0"/>
    <n v="0"/>
    <n v="0"/>
    <n v="0"/>
    <n v="2.0293415999999995"/>
    <n v="0.98345015999999985"/>
    <n v="0"/>
    <n v="0"/>
    <n v="0"/>
    <n v="3.0127917599999994"/>
  </r>
  <r>
    <x v="16"/>
    <x v="3"/>
    <s v="Renewables"/>
    <s v="Hog Fuel"/>
    <s v="IPLEBFBWOD"/>
    <x v="346"/>
    <s v="TechData_IPBIO"/>
    <n v="1"/>
    <n v="0"/>
    <n v="0"/>
    <n v="0"/>
    <n v="0"/>
    <n v="0"/>
    <n v="4.8519449999999997"/>
    <n v="0"/>
    <n v="0"/>
    <n v="0"/>
    <n v="0"/>
    <n v="0"/>
    <n v="0"/>
    <n v="0"/>
    <n v="0"/>
    <n v="0.32761981383771821"/>
    <n v="0"/>
    <n v="0"/>
    <n v="0"/>
    <n v="0"/>
    <n v="0"/>
    <n v="0"/>
    <n v="0"/>
    <n v="0"/>
    <n v="1.5895933176508477"/>
    <n v="0"/>
    <n v="0"/>
    <n v="0"/>
    <n v="0"/>
    <n v="1.5895933176508477"/>
    <n v="0"/>
    <n v="0"/>
    <n v="0"/>
    <n v="0"/>
    <n v="0"/>
    <n v="0"/>
    <n v="0"/>
    <n v="0"/>
    <n v="0"/>
    <n v="0"/>
  </r>
  <r>
    <x v="16"/>
    <x v="3"/>
    <s v="Renewables"/>
    <s v="Hog Fuel"/>
    <s v="IPLEBSDWOD"/>
    <x v="346"/>
    <s v="TechData_IPBIO"/>
    <n v="1"/>
    <n v="0"/>
    <n v="7.5228251999999989"/>
    <n v="0"/>
    <n v="0"/>
    <n v="0"/>
    <n v="0"/>
    <n v="0"/>
    <n v="0"/>
    <n v="0"/>
    <n v="0"/>
    <n v="0"/>
    <n v="0"/>
    <n v="0"/>
    <n v="0"/>
    <n v="0"/>
    <n v="0"/>
    <n v="0"/>
    <n v="0"/>
    <n v="0"/>
    <n v="0"/>
    <n v="0"/>
    <n v="0"/>
    <n v="0"/>
    <n v="0"/>
    <n v="0"/>
    <n v="0"/>
    <n v="0"/>
    <n v="0"/>
    <n v="0"/>
    <n v="0"/>
    <n v="0"/>
    <n v="0"/>
    <n v="0"/>
    <n v="0"/>
    <n v="0"/>
    <n v="0"/>
    <n v="0"/>
    <n v="0"/>
    <n v="0"/>
  </r>
  <r>
    <x v="16"/>
    <x v="3"/>
    <s v="Renewables"/>
    <s v="Hog Fuel"/>
    <s v="IPLEBSWWOD"/>
    <x v="346"/>
    <s v="TechData_IPBIO"/>
    <n v="1"/>
    <n v="0"/>
    <n v="19.851386399999999"/>
    <n v="7.9017389999999992"/>
    <n v="0"/>
    <n v="0"/>
    <n v="4.3436459999999997"/>
    <n v="2.2642409999999997"/>
    <n v="6.6540959999999982"/>
    <n v="0"/>
    <n v="0"/>
    <n v="0"/>
    <n v="0"/>
    <n v="0"/>
    <n v="0"/>
    <n v="0.32029870067933341"/>
    <n v="0.95890410958904104"/>
    <n v="0.29817489915392792"/>
    <n v="0"/>
    <n v="0"/>
    <n v="0"/>
    <n v="0"/>
    <n v="0"/>
    <n v="0"/>
    <n v="1.3912641700109838"/>
    <n v="2.1711899999999997"/>
    <n v="1.9840844037605547"/>
    <n v="0"/>
    <n v="0"/>
    <n v="5.5465385737715387"/>
    <n v="0"/>
    <n v="0"/>
    <n v="0"/>
    <n v="0"/>
    <n v="0"/>
    <n v="0"/>
    <n v="0"/>
    <n v="0"/>
    <n v="0"/>
    <n v="0"/>
  </r>
  <r>
    <x v="16"/>
    <x v="3"/>
    <s v="Renewables"/>
    <s v="Hog Fuel"/>
    <s v="IPLECSDWOD"/>
    <x v="347"/>
    <s v="TechData_IPBIO"/>
    <n v="0.88622195577805152"/>
    <n v="0.11377804422194851"/>
    <n v="0"/>
    <n v="0"/>
    <n v="0"/>
    <n v="0"/>
    <n v="0.58232703064428104"/>
    <n v="0"/>
    <n v="0"/>
    <n v="0"/>
    <n v="0"/>
    <n v="0"/>
    <n v="0"/>
    <n v="0"/>
    <n v="0"/>
    <n v="0.31915663646312548"/>
    <n v="0"/>
    <n v="0"/>
    <n v="0"/>
    <n v="0"/>
    <n v="0"/>
    <n v="0"/>
    <n v="0"/>
    <n v="0"/>
    <n v="5.1942152323323949"/>
    <n v="0"/>
    <n v="0"/>
    <n v="0"/>
    <n v="0"/>
    <n v="5.1942152323323949"/>
    <n v="0"/>
    <n v="0"/>
    <n v="0"/>
    <n v="0"/>
    <n v="0.66686189227142401"/>
    <n v="0"/>
    <n v="0"/>
    <n v="0"/>
    <n v="0"/>
    <n v="0.66686189227142401"/>
  </r>
  <r>
    <x v="16"/>
    <x v="3"/>
    <s v="Renewables"/>
    <s v="Hog Fuel"/>
    <s v="IPLECSWWOD"/>
    <x v="347"/>
    <s v="TechData_IPBIO"/>
    <n v="0.88758110689950853"/>
    <n v="0.11241889310049143"/>
    <n v="0"/>
    <n v="5.5198416297402235E-2"/>
    <n v="0"/>
    <n v="0"/>
    <n v="0"/>
    <n v="0"/>
    <n v="0.33209576710494881"/>
    <n v="0"/>
    <n v="0"/>
    <n v="0"/>
    <n v="0"/>
    <n v="0"/>
    <n v="0"/>
    <n v="0"/>
    <n v="0"/>
    <n v="0.29466695916388169"/>
    <n v="0"/>
    <n v="0"/>
    <n v="0"/>
    <n v="0"/>
    <n v="0"/>
    <n v="0"/>
    <n v="0"/>
    <n v="0"/>
    <n v="2.7391097744066943"/>
    <n v="0"/>
    <n v="0"/>
    <n v="2.7391097744066943"/>
    <n v="0"/>
    <n v="0"/>
    <n v="0"/>
    <n v="0"/>
    <n v="0"/>
    <n v="0"/>
    <n v="0.34692907107406556"/>
    <n v="0"/>
    <n v="0"/>
    <n v="0.34692907107406556"/>
  </r>
  <r>
    <x v="16"/>
    <x v="4"/>
    <s v="Electricity"/>
    <s v="Electricity"/>
    <s v="IPLEPRHELC"/>
    <x v="348"/>
    <s v="TechData_OTR"/>
    <n v="1"/>
    <n v="0"/>
    <n v="9.3999134184622093E-2"/>
    <n v="8.2940412515843026E-2"/>
    <n v="0.14850283383789037"/>
    <n v="2.8436712862574744E-2"/>
    <n v="0.35387909340093021"/>
    <n v="0.20547818326505629"/>
    <n v="0.14840091013587398"/>
    <n v="2.0221662480053155E-2"/>
    <n v="0.15671788422041194"/>
    <n v="1"/>
    <n v="1"/>
    <n v="1"/>
    <n v="1"/>
    <n v="1"/>
    <n v="1"/>
    <n v="1"/>
    <n v="1"/>
    <n v="1"/>
    <n v="9.3999134184622093E-2"/>
    <n v="8.2940412515843026E-2"/>
    <n v="0.14850283383789037"/>
    <n v="2.8436712862574744E-2"/>
    <n v="0.35387909340093021"/>
    <n v="0.20547818326505629"/>
    <n v="0.14840091013587398"/>
    <n v="2.0221662480053155E-2"/>
    <n v="0.15671788422041194"/>
    <n v="1.238576826903256"/>
    <n v="0"/>
    <n v="0"/>
    <n v="0"/>
    <n v="0"/>
    <n v="0"/>
    <n v="0"/>
    <n v="0"/>
    <n v="0"/>
    <n v="0"/>
    <n v="0"/>
  </r>
  <r>
    <x v="16"/>
    <x v="4"/>
    <s v="Natural Gas"/>
    <s v="Natural Gas"/>
    <s v="IPLEPRHNGA"/>
    <x v="349"/>
    <s v="TechData_OTR"/>
    <n v="1"/>
    <n v="0"/>
    <n v="0.21718609960586868"/>
    <n v="0.19163479376988415"/>
    <n v="0.34311753551179258"/>
    <n v="6.5703357863960268E-2"/>
    <n v="3.6793880403817751"/>
    <n v="2.1364188621571598"/>
    <n v="1.5429691782246153"/>
    <n v="0"/>
    <n v="0"/>
    <n v="1"/>
    <n v="1"/>
    <n v="1"/>
    <n v="1"/>
    <n v="1"/>
    <n v="1"/>
    <n v="1"/>
    <n v="1"/>
    <n v="1"/>
    <n v="0.21718609960586868"/>
    <n v="0.19163479376988415"/>
    <n v="0.34311753551179258"/>
    <n v="6.5703357863960268E-2"/>
    <n v="3.6793880403817751"/>
    <n v="2.1364188621571598"/>
    <n v="1.5429691782246153"/>
    <n v="0"/>
    <n v="0"/>
    <n v="8.1764178675150561"/>
    <n v="0"/>
    <n v="0"/>
    <n v="0"/>
    <n v="0"/>
    <n v="0"/>
    <n v="0"/>
    <n v="0"/>
    <n v="0"/>
    <n v="0"/>
    <n v="0"/>
  </r>
  <r>
    <x v="16"/>
    <x v="4"/>
    <s v="Residual Oil"/>
    <s v="Residual Oil"/>
    <s v="IPLEPRHRFL"/>
    <x v="350"/>
    <s v="TechData_OTR"/>
    <n v="1"/>
    <n v="0"/>
    <n v="0.28145566727605104"/>
    <n v="0.24834323583180976"/>
    <n v="0"/>
    <n v="0"/>
    <n v="0.52979890310786082"/>
    <n v="0.30762516954649988"/>
    <n v="0.222173733561361"/>
    <n v="3.0274223034734902E-2"/>
    <n v="0.23462522851919548"/>
    <n v="1"/>
    <n v="1"/>
    <n v="1"/>
    <n v="1"/>
    <n v="1"/>
    <n v="1"/>
    <n v="1"/>
    <n v="1"/>
    <n v="1"/>
    <n v="0.28145566727605104"/>
    <n v="0.24834323583180976"/>
    <n v="0"/>
    <n v="0"/>
    <n v="0.52979890310786082"/>
    <n v="0.30762516954649988"/>
    <n v="0.222173733561361"/>
    <n v="3.0274223034734902E-2"/>
    <n v="0.23462522851919548"/>
    <n v="1.8542961608775128"/>
    <n v="0"/>
    <n v="0"/>
    <n v="0"/>
    <n v="0"/>
    <n v="0"/>
    <n v="0"/>
    <n v="0"/>
    <n v="0"/>
    <n v="0"/>
    <n v="0"/>
  </r>
  <r>
    <x v="16"/>
    <x v="5"/>
    <s v="Distillate Oil"/>
    <s v="Distillate Oil"/>
    <s v="IPLEBOLDST"/>
    <x v="351"/>
    <s v="TechData_Boiler"/>
    <n v="1"/>
    <n v="0"/>
    <n v="0.65616779999999997"/>
    <n v="0"/>
    <n v="0"/>
    <n v="0"/>
    <n v="0"/>
    <n v="0"/>
    <n v="0"/>
    <n v="0"/>
    <n v="0"/>
    <n v="0"/>
    <n v="0"/>
    <n v="0"/>
    <n v="0"/>
    <n v="0"/>
    <n v="0"/>
    <n v="0"/>
    <n v="0"/>
    <n v="0"/>
    <n v="0"/>
    <n v="0"/>
    <n v="0"/>
    <n v="0"/>
    <n v="0"/>
    <n v="0"/>
    <n v="0"/>
    <n v="0"/>
    <n v="0"/>
    <n v="0"/>
    <n v="0"/>
    <n v="0"/>
    <n v="0"/>
    <n v="0"/>
    <n v="0"/>
    <n v="0"/>
    <n v="0"/>
    <n v="0"/>
    <n v="0"/>
    <n v="0"/>
  </r>
  <r>
    <x v="16"/>
    <x v="5"/>
    <s v="Distillate Oil"/>
    <s v="Distillate Oil"/>
    <s v="IPLEBSADST"/>
    <x v="352"/>
    <s v="TechData_CHP"/>
    <n v="0.88426063865038618"/>
    <n v="0.11573936134961382"/>
    <n v="0"/>
    <n v="0"/>
    <n v="0"/>
    <n v="0"/>
    <n v="2.7498366652320843E-2"/>
    <n v="1.5966793540057263E-2"/>
    <n v="1.153157311226358E-2"/>
    <n v="0"/>
    <n v="0"/>
    <n v="1"/>
    <n v="1"/>
    <n v="1"/>
    <n v="1"/>
    <n v="1"/>
    <n v="1"/>
    <n v="1"/>
    <n v="1"/>
    <n v="1"/>
    <n v="0"/>
    <n v="0"/>
    <n v="0"/>
    <n v="0"/>
    <n v="0.76682064865872857"/>
    <n v="0.44525069922119725"/>
    <n v="0.32156994943753137"/>
    <n v="0"/>
    <n v="0"/>
    <n v="1.5336412973174571"/>
    <n v="0"/>
    <n v="0"/>
    <n v="0"/>
    <n v="0"/>
    <n v="0.10036784208886158"/>
    <n v="5.8278101858048659E-2"/>
    <n v="4.2089740230812925E-2"/>
    <n v="0"/>
    <n v="0"/>
    <n v="0.20073568417772314"/>
  </r>
  <r>
    <x v="16"/>
    <x v="5"/>
    <s v="Natural Gas"/>
    <s v="Natural Gas"/>
    <s v="IPLEBOLNGA"/>
    <x v="353"/>
    <s v="TechData_Boiler"/>
    <n v="1"/>
    <n v="0"/>
    <n v="0"/>
    <n v="0"/>
    <n v="0"/>
    <n v="0"/>
    <n v="2.8187489999999999"/>
    <n v="2.7725399999999998"/>
    <n v="7.2732966000000001"/>
    <n v="0"/>
    <n v="0"/>
    <n v="6.3160334180084973E-2"/>
    <n v="6.3160334180084973E-2"/>
    <n v="6.3160334180084973E-2"/>
    <n v="6.3160334180084973E-2"/>
    <n v="6.3160334180084973E-2"/>
    <n v="6.3160334180084973E-2"/>
    <n v="6.3160334180084973E-2"/>
    <n v="6.3160334180084973E-2"/>
    <n v="6.3160334180084973E-2"/>
    <n v="0"/>
    <n v="0"/>
    <n v="0"/>
    <n v="0"/>
    <n v="0.17803312880978034"/>
    <n v="0.17511455292765277"/>
    <n v="0.45938384384687581"/>
    <n v="0"/>
    <n v="0"/>
    <n v="0.81253152558430886"/>
    <n v="0"/>
    <n v="0"/>
    <n v="0"/>
    <n v="0"/>
    <n v="0"/>
    <n v="0"/>
    <n v="0"/>
    <n v="0"/>
    <n v="0"/>
    <n v="0"/>
  </r>
  <r>
    <x v="16"/>
    <x v="5"/>
    <s v="Natural Gas"/>
    <s v="Natural Gas"/>
    <s v="IPLEBSTNGA"/>
    <x v="352"/>
    <s v="TechData_CHP"/>
    <n v="0.88519475207199416"/>
    <n v="0.11480524792800588"/>
    <n v="3.225002922148152E-2"/>
    <n v="0"/>
    <n v="0"/>
    <n v="0"/>
    <n v="0.4830637155946918"/>
    <n v="0"/>
    <n v="0"/>
    <n v="0"/>
    <n v="0"/>
    <n v="9.5326403573353161E-2"/>
    <n v="9.5326403573353161E-2"/>
    <n v="9.5326403573353161E-2"/>
    <n v="9.5326403573353161E-2"/>
    <n v="9.5326403573353161E-2"/>
    <n v="9.5326403573353161E-2"/>
    <n v="9.5326403573353161E-2"/>
    <n v="9.5326403573353161E-2"/>
    <n v="9.5326403573353161E-2"/>
    <n v="8.5820049052425143E-2"/>
    <n v="0"/>
    <n v="0"/>
    <n v="0"/>
    <n v="1.2854733086619743"/>
    <n v="0"/>
    <n v="0"/>
    <n v="0"/>
    <n v="0"/>
    <n v="1.3712933577143995"/>
    <n v="1.1130422978214821E-2"/>
    <n v="0"/>
    <n v="0"/>
    <n v="0"/>
    <n v="0.16671933668871228"/>
    <n v="0"/>
    <n v="0"/>
    <n v="0"/>
    <n v="0"/>
    <n v="0.17784975966692709"/>
  </r>
  <r>
    <x v="16"/>
    <x v="5"/>
    <s v="Natural Gas"/>
    <s v="Natural Gas"/>
    <s v="IPLECCTNGA"/>
    <x v="352"/>
    <s v="TechData_CHP"/>
    <n v="0.49060269678639434"/>
    <n v="0.50939730321360566"/>
    <n v="0"/>
    <n v="0"/>
    <n v="0"/>
    <n v="0"/>
    <n v="0"/>
    <n v="0"/>
    <n v="0"/>
    <n v="0"/>
    <n v="1.7097111399293108"/>
    <n v="9.7012060055618771E-2"/>
    <n v="9.7012060055618771E-2"/>
    <n v="9.7012060055618771E-2"/>
    <n v="9.7012060055618771E-2"/>
    <n v="9.7012060055618771E-2"/>
    <n v="9.7012060055618771E-2"/>
    <n v="9.7012060055618771E-2"/>
    <n v="9.7012060055618771E-2"/>
    <n v="9.7012060055618771E-2"/>
    <n v="0"/>
    <n v="0"/>
    <n v="0"/>
    <n v="0"/>
    <n v="0"/>
    <n v="0"/>
    <n v="0"/>
    <n v="0"/>
    <n v="2.5661675356300511"/>
    <n v="2.5661675356300511"/>
    <n v="0"/>
    <n v="0"/>
    <n v="0"/>
    <n v="0"/>
    <n v="0"/>
    <n v="0"/>
    <n v="0"/>
    <n v="0"/>
    <n v="2.6644754111765496"/>
    <n v="2.6644754111765496"/>
  </r>
  <r>
    <x v="16"/>
    <x v="5"/>
    <s v="Residual Oil"/>
    <s v="Residual Oil"/>
    <s v="IPLEBSARFL"/>
    <x v="352"/>
    <s v="TechData_CHP"/>
    <n v="0.88426063865038618"/>
    <n v="0.11573936134961382"/>
    <n v="2.1340913987784895E-2"/>
    <n v="1.8830218224516089E-2"/>
    <n v="0"/>
    <n v="0"/>
    <n v="4.0171132212300988E-2"/>
    <n v="2.3325173542626382E-2"/>
    <n v="1.6845958669674612E-2"/>
    <n v="2.295493269274342E-3"/>
    <n v="1.7790072836876152E-2"/>
    <n v="1"/>
    <n v="1"/>
    <n v="1"/>
    <n v="1"/>
    <n v="1"/>
    <n v="1"/>
    <n v="1"/>
    <n v="1"/>
    <n v="1"/>
    <n v="0.59511365580334141"/>
    <n v="0.52510028453236013"/>
    <n v="0"/>
    <n v="0"/>
    <n v="1.1202139403357017"/>
    <n v="0.65044680406589139"/>
    <n v="0.46976713626981048"/>
    <n v="6.4012225162040096E-2"/>
    <n v="0.49609474500581074"/>
    <n v="3.9207487911749554"/>
    <n v="7.7893407715443105E-2"/>
    <n v="6.8729477395979219E-2"/>
    <n v="0"/>
    <n v="0"/>
    <n v="0.14662288511142235"/>
    <n v="8.5135868774374276E-2"/>
    <n v="6.1487016337048096E-2"/>
    <n v="8.3784505777955622E-3"/>
    <n v="6.4932991977915605E-2"/>
    <n v="0.51318009788997831"/>
  </r>
  <r>
    <x v="16"/>
    <x v="5"/>
    <s v="Steam Coal"/>
    <s v="Steam Coal"/>
    <s v="IPLEBSTCOA"/>
    <x v="352"/>
    <s v="TechData_CHP"/>
    <n v="0.88332652522877819"/>
    <n v="0.11667347477122178"/>
    <n v="0"/>
    <n v="0.95994398229429834"/>
    <n v="0"/>
    <n v="0"/>
    <n v="0"/>
    <n v="0"/>
    <n v="0"/>
    <n v="0"/>
    <n v="0"/>
    <n v="0"/>
    <n v="0"/>
    <n v="0"/>
    <n v="0"/>
    <n v="0"/>
    <n v="0"/>
    <n v="0"/>
    <n v="0"/>
    <n v="0"/>
    <n v="0"/>
    <n v="0"/>
    <n v="0"/>
    <n v="0"/>
    <n v="0"/>
    <n v="0"/>
    <n v="0"/>
    <n v="0"/>
    <n v="0"/>
    <n v="0"/>
    <n v="0"/>
    <n v="0"/>
    <n v="0"/>
    <n v="0"/>
    <n v="0"/>
    <n v="0"/>
    <n v="0"/>
    <n v="0"/>
    <n v="0"/>
    <n v="0"/>
  </r>
  <r>
    <x v="17"/>
    <x v="6"/>
    <s v="Electricity"/>
    <s v="Electricity"/>
    <s v="IMLEETCELC"/>
    <x v="354"/>
    <s v="TechData_OTR"/>
    <n v="1"/>
    <n v="0"/>
    <n v="2.3413992000138952"/>
    <n v="6.4450842547055816"/>
    <n v="0.7483420546311963"/>
    <n v="0.50686986747158602"/>
    <n v="0.25617904367977912"/>
    <n v="0.22329735168933235"/>
    <n v="0.77573552673367085"/>
    <n v="0"/>
    <n v="0"/>
    <n v="1"/>
    <n v="1"/>
    <n v="1"/>
    <n v="1"/>
    <n v="1"/>
    <n v="1"/>
    <n v="1"/>
    <n v="1"/>
    <n v="1"/>
    <n v="2.3413992000138952"/>
    <n v="6.4450842547055816"/>
    <n v="0.7483420546311963"/>
    <n v="0.50686986747158602"/>
    <n v="0.25617904367977912"/>
    <n v="0.22329735168933235"/>
    <n v="0.77573552673367085"/>
    <n v="0"/>
    <n v="0"/>
    <n v="11.296907298925042"/>
    <n v="0"/>
    <n v="0"/>
    <n v="0"/>
    <n v="0"/>
    <n v="0"/>
    <n v="0"/>
    <n v="0"/>
    <n v="0"/>
    <n v="0"/>
    <n v="0"/>
  </r>
  <r>
    <x v="17"/>
    <x v="2"/>
    <s v="Electricity"/>
    <s v="Electricity"/>
    <s v="IMLEMDRELC"/>
    <x v="355"/>
    <s v="TechData_OTR"/>
    <n v="1"/>
    <n v="0"/>
    <n v="0.33448560000198496"/>
    <n v="0.9207263221007973"/>
    <n v="0.10690600780445661"/>
    <n v="7.2409981067369414E-2"/>
    <n v="3.6597006239968442E-2"/>
    <n v="3.1899621669904621E-2"/>
    <n v="0.11081936096195298"/>
    <n v="0"/>
    <n v="0"/>
    <n v="1"/>
    <n v="1"/>
    <n v="1"/>
    <n v="1"/>
    <n v="1"/>
    <n v="1"/>
    <n v="1"/>
    <n v="1"/>
    <n v="1"/>
    <n v="0.33448560000198496"/>
    <n v="0.9207263221007973"/>
    <n v="0.10690600780445661"/>
    <n v="7.2409981067369414E-2"/>
    <n v="3.6597006239968442E-2"/>
    <n v="3.1899621669904621E-2"/>
    <n v="0.11081936096195298"/>
    <n v="0"/>
    <n v="0"/>
    <n v="1.6138438998464344"/>
    <n v="0"/>
    <n v="0"/>
    <n v="0"/>
    <n v="0"/>
    <n v="0"/>
    <n v="0"/>
    <n v="0"/>
    <n v="0"/>
    <n v="0"/>
    <n v="0"/>
  </r>
  <r>
    <x v="17"/>
    <x v="3"/>
    <s v="LPG"/>
    <s v="LPG"/>
    <s v="IMLEOHTLPG"/>
    <x v="356"/>
    <s v="TechData_OTR"/>
    <n v="1"/>
    <n v="0"/>
    <n v="1.5848343229962696E-2"/>
    <n v="4.362515687798825E-2"/>
    <n v="3.1517667686714733E-2"/>
    <n v="2.1347665742575003E-2"/>
    <n v="8.0920542120730098E-3"/>
    <n v="7.053403937056839E-3"/>
    <n v="2.4503541922837456E-2"/>
    <n v="4.0614515620219314E-3"/>
    <n v="2.5467151166392856E-3"/>
    <n v="1"/>
    <n v="1"/>
    <n v="1"/>
    <n v="1"/>
    <n v="1"/>
    <n v="1"/>
    <n v="1"/>
    <n v="1"/>
    <n v="1"/>
    <n v="1.5848343229962696E-2"/>
    <n v="4.362515687798825E-2"/>
    <n v="3.1517667686714733E-2"/>
    <n v="2.1347665742575003E-2"/>
    <n v="8.0920542120730098E-3"/>
    <n v="7.053403937056839E-3"/>
    <n v="2.4503541922837456E-2"/>
    <n v="4.0614515620219314E-3"/>
    <n v="2.5467151166392856E-3"/>
    <n v="0.15859600028786922"/>
    <n v="0"/>
    <n v="0"/>
    <n v="0"/>
    <n v="0"/>
    <n v="0"/>
    <n v="0"/>
    <n v="0"/>
    <n v="0"/>
    <n v="0"/>
    <n v="0"/>
  </r>
  <r>
    <x v="17"/>
    <x v="3"/>
    <s v="Steam Coal"/>
    <s v="Steam Coal"/>
    <s v="IMLEOHTCOA"/>
    <x v="357"/>
    <s v="TechData_OTR"/>
    <n v="1"/>
    <n v="0"/>
    <n v="0.44946352079487939"/>
    <n v="1.2372218547449834"/>
    <n v="0.8938500182739384"/>
    <n v="0.60542587109482859"/>
    <n v="0.22949295859173094"/>
    <n v="0.2000365414313085"/>
    <n v="0.69492741700353589"/>
    <n v="0.11518392125386449"/>
    <n v="7.222556491723138E-2"/>
    <n v="1"/>
    <n v="1"/>
    <n v="1"/>
    <n v="1"/>
    <n v="1"/>
    <n v="1"/>
    <n v="1"/>
    <n v="1"/>
    <n v="1"/>
    <n v="0.44946352079487939"/>
    <n v="1.2372218547449834"/>
    <n v="0.8938500182739384"/>
    <n v="0.60542587109482859"/>
    <n v="0.22949295859173094"/>
    <n v="0.2000365414313085"/>
    <n v="0.69492741700353589"/>
    <n v="0.11518392125386449"/>
    <n v="7.222556491723138E-2"/>
    <n v="4.497827668106301"/>
    <n v="0"/>
    <n v="0"/>
    <n v="0"/>
    <n v="0"/>
    <n v="0"/>
    <n v="0"/>
    <n v="0"/>
    <n v="0"/>
    <n v="0"/>
    <n v="0"/>
  </r>
  <r>
    <x v="17"/>
    <x v="4"/>
    <s v="Electricity"/>
    <s v="Electricity"/>
    <s v="IMLEPRHELC"/>
    <x v="358"/>
    <s v="TechData_OTR"/>
    <n v="1"/>
    <n v="0"/>
    <n v="0.33448560000198496"/>
    <n v="0.9207263221007973"/>
    <n v="0.10690600780445661"/>
    <n v="7.2409981067369414E-2"/>
    <n v="3.6597006239968442E-2"/>
    <n v="3.1899621669904621E-2"/>
    <n v="0.11081936096195298"/>
    <n v="0"/>
    <n v="0"/>
    <n v="1"/>
    <n v="1"/>
    <n v="1"/>
    <n v="1"/>
    <n v="1"/>
    <n v="1"/>
    <n v="1"/>
    <n v="1"/>
    <n v="1"/>
    <n v="0.33448560000198496"/>
    <n v="0.9207263221007973"/>
    <n v="0.10690600780445661"/>
    <n v="7.2409981067369414E-2"/>
    <n v="3.6597006239968442E-2"/>
    <n v="3.1899621669904621E-2"/>
    <n v="0.11081936096195298"/>
    <n v="0"/>
    <n v="0"/>
    <n v="1.6138438998464344"/>
    <n v="0"/>
    <n v="0"/>
    <n v="0"/>
    <n v="0"/>
    <n v="0"/>
    <n v="0"/>
    <n v="0"/>
    <n v="0"/>
    <n v="0"/>
    <n v="0"/>
  </r>
  <r>
    <x v="17"/>
    <x v="4"/>
    <s v="Natural Gas"/>
    <s v="Natural Gas"/>
    <s v="IMLEPRHNGA"/>
    <x v="359"/>
    <s v="TechData_OTR"/>
    <n v="1"/>
    <n v="0"/>
    <n v="0.50566826796549391"/>
    <n v="1.3919346141184752"/>
    <n v="3.9596470135963298"/>
    <n v="2.6819630736975628"/>
    <n v="0.96821517358177578"/>
    <n v="0.84394055431202697"/>
    <n v="2.9318514773161208"/>
    <n v="0.5831437495685764"/>
    <n v="0.36565769147340821"/>
    <n v="1"/>
    <n v="1"/>
    <n v="1"/>
    <n v="1"/>
    <n v="1"/>
    <n v="1"/>
    <n v="1"/>
    <n v="1"/>
    <n v="1"/>
    <n v="0.50566826796549391"/>
    <n v="1.3919346141184752"/>
    <n v="3.9596470135963298"/>
    <n v="2.6819630736975628"/>
    <n v="0.96821517358177578"/>
    <n v="0.84394055431202697"/>
    <n v="2.9318514773161208"/>
    <n v="0.5831437495685764"/>
    <n v="0.36565769147340821"/>
    <n v="14.232021615629771"/>
    <n v="0"/>
    <n v="0"/>
    <n v="0"/>
    <n v="0"/>
    <n v="0"/>
    <n v="0"/>
    <n v="0"/>
    <n v="0"/>
    <n v="0"/>
    <n v="0"/>
  </r>
  <r>
    <x v="17"/>
    <x v="5"/>
    <s v="Natural Gas"/>
    <s v="Natural Gas"/>
    <s v="IMLECCTNGA"/>
    <x v="360"/>
    <s v="TechData_CHP"/>
    <n v="0.49060269678639434"/>
    <n v="0.50939730321360566"/>
    <n v="0"/>
    <n v="0.23408523406311188"/>
    <n v="0"/>
    <n v="0"/>
    <n v="0"/>
    <n v="0"/>
    <n v="0"/>
    <n v="0"/>
    <n v="0"/>
    <n v="9.2351375217176263E-2"/>
    <n v="9.2351375217176263E-2"/>
    <n v="9.2351375217176263E-2"/>
    <n v="9.2351375217176263E-2"/>
    <n v="9.2351375217176263E-2"/>
    <n v="9.2351375217176263E-2"/>
    <n v="9.2351375217176263E-2"/>
    <n v="9.2351375217176263E-2"/>
    <n v="9.2351375217176263E-2"/>
    <n v="0"/>
    <n v="0.3344675004435278"/>
    <n v="0"/>
    <n v="0"/>
    <n v="0"/>
    <n v="0"/>
    <n v="0"/>
    <n v="0"/>
    <n v="0"/>
    <n v="0.3344675004435278"/>
    <n v="0"/>
    <n v="0.34728068935322148"/>
    <n v="0"/>
    <n v="0"/>
    <n v="0"/>
    <n v="0"/>
    <n v="0"/>
    <n v="0"/>
    <n v="0"/>
    <n v="0.34728068935322148"/>
  </r>
  <r>
    <x v="17"/>
    <x v="5"/>
    <s v="Natural Gas"/>
    <s v="Natural Gas"/>
    <s v="IMLEFCLNGA"/>
    <x v="360"/>
    <s v="TechData_CHP"/>
    <n v="0.31911030413073083"/>
    <n v="0.68088969586926917"/>
    <n v="0"/>
    <n v="0"/>
    <n v="0"/>
    <n v="0"/>
    <n v="0"/>
    <n v="0"/>
    <n v="0"/>
    <n v="0"/>
    <n v="9.1057333333333329E-4"/>
    <n v="8.6518656782407236E-2"/>
    <n v="8.6518656782407236E-2"/>
    <n v="8.6518656782407236E-2"/>
    <n v="8.6518656782407236E-2"/>
    <n v="8.6518656782407236E-2"/>
    <n v="8.6518656782407236E-2"/>
    <n v="8.6518656782407236E-2"/>
    <n v="8.6518656782407236E-2"/>
    <n v="8.6518656782407236E-2"/>
    <n v="0"/>
    <n v="0"/>
    <n v="0"/>
    <n v="0"/>
    <n v="0"/>
    <n v="0"/>
    <n v="0"/>
    <n v="0"/>
    <n v="7.9281549717066476E-4"/>
    <n v="7.9281549717066476E-4"/>
    <n v="0"/>
    <n v="0"/>
    <n v="0"/>
    <n v="0"/>
    <n v="0"/>
    <n v="0"/>
    <n v="0"/>
    <n v="0"/>
    <n v="1.6916404633797967E-3"/>
    <n v="1.6916404633797967E-3"/>
  </r>
  <r>
    <x v="17"/>
    <x v="5"/>
    <s v="Natural Gas"/>
    <s v="Natural Gas"/>
    <s v="IMLEREGNGA"/>
    <x v="360"/>
    <s v="TechData_CHP"/>
    <n v="0.49775968815534566"/>
    <n v="0.50224031184465434"/>
    <n v="0"/>
    <n v="0"/>
    <n v="6.4896000000000007E-3"/>
    <n v="0"/>
    <n v="0"/>
    <n v="0"/>
    <n v="0"/>
    <n v="0"/>
    <n v="3.2003924999999996E-2"/>
    <n v="8.9116309439238997E-2"/>
    <n v="8.9116309439238997E-2"/>
    <n v="8.9116309439238997E-2"/>
    <n v="8.9116309439238997E-2"/>
    <n v="8.9116309439238997E-2"/>
    <n v="8.9116309439238997E-2"/>
    <n v="8.9116309439238997E-2"/>
    <n v="8.9116309439238997E-2"/>
    <n v="8.9116309439238997E-2"/>
    <n v="0"/>
    <n v="0"/>
    <n v="9.0782356205638647E-3"/>
    <n v="0"/>
    <n v="0"/>
    <n v="0"/>
    <n v="0"/>
    <n v="0"/>
    <n v="4.4769966089258852E-2"/>
    <n v="5.3848201709822713E-2"/>
    <n v="0"/>
    <n v="0"/>
    <n v="9.1599540854105568E-3"/>
    <n v="0"/>
    <n v="0"/>
    <n v="0"/>
    <n v="0"/>
    <n v="0"/>
    <n v="4.5172966523810879E-2"/>
    <n v="5.4332920609221437E-2"/>
  </r>
  <r>
    <x v="17"/>
    <x v="5"/>
    <s v="Steam Coal"/>
    <s v="Steam Coal"/>
    <s v="IMLEBSTCOA"/>
    <x v="360"/>
    <s v="TechData_CHP"/>
    <n v="0.91317837324206397"/>
    <n v="8.6821626757936074E-2"/>
    <n v="0"/>
    <n v="0"/>
    <n v="0"/>
    <n v="5.7589337895502725E-2"/>
    <n v="0"/>
    <n v="0"/>
    <n v="0"/>
    <n v="0"/>
    <n v="0"/>
    <n v="0"/>
    <n v="0"/>
    <n v="0"/>
    <n v="0"/>
    <n v="0"/>
    <n v="0"/>
    <n v="0"/>
    <n v="0"/>
    <n v="0"/>
    <n v="0"/>
    <n v="0"/>
    <n v="0"/>
    <n v="0"/>
    <n v="0"/>
    <n v="0"/>
    <n v="0"/>
    <n v="0"/>
    <n v="0"/>
    <n v="0"/>
    <n v="0"/>
    <n v="0"/>
    <n v="0"/>
    <n v="0"/>
    <n v="0"/>
    <n v="0"/>
    <n v="0"/>
    <n v="0"/>
    <n v="0"/>
    <n v="0"/>
  </r>
  <r>
    <x v="18"/>
    <x v="6"/>
    <s v="Electricity"/>
    <s v="Electricity"/>
    <s v="IMTEETCELC"/>
    <x v="361"/>
    <s v="TechData_OTR"/>
    <n v="1"/>
    <n v="0"/>
    <n v="2.1391739821283791E-2"/>
    <n v="5.888426266742397E-2"/>
    <n v="0.16032957495081002"/>
    <n v="0.10859503338636103"/>
    <n v="6.2258102322241424E-2"/>
    <n v="5.4267004709165095E-2"/>
    <n v="0.188523702425683"/>
    <n v="2.466925484442322E-2"/>
    <n v="1.5468746399930667E-2"/>
    <n v="1"/>
    <n v="1"/>
    <n v="1"/>
    <n v="1"/>
    <n v="1"/>
    <n v="1"/>
    <n v="1"/>
    <n v="1"/>
    <n v="1"/>
    <n v="2.1391739821283791E-2"/>
    <n v="5.888426266742397E-2"/>
    <n v="0.16032957495081002"/>
    <n v="0.10859503338636103"/>
    <n v="6.2258102322241424E-2"/>
    <n v="5.4267004709165095E-2"/>
    <n v="0.188523702425683"/>
    <n v="2.466925484442322E-2"/>
    <n v="1.5468746399930667E-2"/>
    <n v="0.69438742152732214"/>
    <n v="0"/>
    <n v="0"/>
    <n v="0"/>
    <n v="0"/>
    <n v="0"/>
    <n v="0"/>
    <n v="0"/>
    <n v="0"/>
    <n v="0"/>
    <n v="0"/>
  </r>
  <r>
    <x v="18"/>
    <x v="0"/>
    <s v="Distillate Oil"/>
    <s v="Distillate Oil"/>
    <s v="IMTEFACDST"/>
    <x v="362"/>
    <s v="TechData_OTR"/>
    <n v="1"/>
    <n v="0"/>
    <n v="0"/>
    <n v="0"/>
    <n v="0.22746399609786019"/>
    <n v="0.15406677313290928"/>
    <n v="5.1911652460093834E-2"/>
    <n v="4.5248566587068315E-2"/>
    <n v="0.15719362710668416"/>
    <n v="0"/>
    <n v="0"/>
    <n v="1"/>
    <n v="1"/>
    <n v="1"/>
    <n v="1"/>
    <n v="1"/>
    <n v="1"/>
    <n v="1"/>
    <n v="1"/>
    <n v="1"/>
    <n v="0"/>
    <n v="0"/>
    <n v="0.22746399609786019"/>
    <n v="0.15406677313290928"/>
    <n v="5.1911652460093834E-2"/>
    <n v="4.5248566587068315E-2"/>
    <n v="0.15719362710668416"/>
    <n v="0"/>
    <n v="0"/>
    <n v="0.63588461538461583"/>
    <n v="0"/>
    <n v="0"/>
    <n v="0"/>
    <n v="0"/>
    <n v="0"/>
    <n v="0"/>
    <n v="0"/>
    <n v="0"/>
    <n v="0"/>
    <n v="0"/>
  </r>
  <r>
    <x v="18"/>
    <x v="0"/>
    <s v="Electricity"/>
    <s v="Electricity"/>
    <s v="IMTEFACELC"/>
    <x v="363"/>
    <s v="TechData_OTR"/>
    <n v="1"/>
    <n v="0"/>
    <n v="8.5566959285135163E-2"/>
    <n v="0.23553705066969588"/>
    <n v="0.64131829980324007"/>
    <n v="0.43438013354544414"/>
    <n v="0.24903240928896569"/>
    <n v="0.21706801883666038"/>
    <n v="0.75409480970273202"/>
    <n v="9.8677019377692882E-2"/>
    <n v="6.1874985599722668E-2"/>
    <n v="1"/>
    <n v="1"/>
    <n v="1"/>
    <n v="1"/>
    <n v="1"/>
    <n v="1"/>
    <n v="1"/>
    <n v="1"/>
    <n v="1"/>
    <n v="8.5566959285135163E-2"/>
    <n v="0.23553705066969588"/>
    <n v="0.64131829980324007"/>
    <n v="0.43438013354544414"/>
    <n v="0.24903240928896569"/>
    <n v="0.21706801883666038"/>
    <n v="0.75409480970273202"/>
    <n v="9.8677019377692882E-2"/>
    <n v="6.1874985599722668E-2"/>
    <n v="2.7775496861092885"/>
    <n v="0"/>
    <n v="0"/>
    <n v="0"/>
    <n v="0"/>
    <n v="0"/>
    <n v="0"/>
    <n v="0"/>
    <n v="0"/>
    <n v="0"/>
    <n v="0"/>
  </r>
  <r>
    <x v="18"/>
    <x v="0"/>
    <s v="Natural Gas"/>
    <s v="Natural Gas"/>
    <s v="IMTEFACNGA"/>
    <x v="364"/>
    <s v="TechData_OTR"/>
    <n v="1"/>
    <n v="0"/>
    <n v="0.1086048517212649"/>
    <n v="0.29895261765238695"/>
    <n v="1.3954040091740549"/>
    <n v="0.9451403149432035"/>
    <n v="0.17824141470262364"/>
    <n v="0.15536335561548303"/>
    <n v="0.53973266405400466"/>
    <n v="9.303887583008888E-2"/>
    <n v="5.8339612794410398E-2"/>
    <n v="1"/>
    <n v="1"/>
    <n v="1"/>
    <n v="1"/>
    <n v="1"/>
    <n v="1"/>
    <n v="1"/>
    <n v="1"/>
    <n v="1"/>
    <n v="0.1086048517212649"/>
    <n v="0.29895261765238695"/>
    <n v="1.3954040091740549"/>
    <n v="0.9451403149432035"/>
    <n v="0.17824141470262364"/>
    <n v="0.15536335561548303"/>
    <n v="0.53973266405400466"/>
    <n v="9.303887583008888E-2"/>
    <n v="5.8339612794410398E-2"/>
    <n v="3.7728177164875212"/>
    <n v="0"/>
    <n v="0"/>
    <n v="0"/>
    <n v="0"/>
    <n v="0"/>
    <n v="0"/>
    <n v="0"/>
    <n v="0"/>
    <n v="0"/>
    <n v="0"/>
  </r>
  <r>
    <x v="18"/>
    <x v="0"/>
    <s v="Steam Coal"/>
    <s v="Steam Coal"/>
    <s v="IMTEFACCOA"/>
    <x v="365"/>
    <s v="TechData_OTR"/>
    <n v="1"/>
    <n v="0"/>
    <n v="6.0661321065515941E-3"/>
    <n v="1.669802079315123E-2"/>
    <n v="0.24429079086386504"/>
    <n v="0.16546396133078464"/>
    <n v="1.8583950064007093E-2"/>
    <n v="1.6198619424962483E-2"/>
    <n v="5.6274042109841355E-2"/>
    <n v="0"/>
    <n v="0"/>
    <n v="1"/>
    <n v="1"/>
    <n v="1"/>
    <n v="1"/>
    <n v="1"/>
    <n v="1"/>
    <n v="1"/>
    <n v="1"/>
    <n v="1"/>
    <n v="6.0661321065515941E-3"/>
    <n v="1.669802079315123E-2"/>
    <n v="0.24429079086386504"/>
    <n v="0.16546396133078464"/>
    <n v="1.8583950064007093E-2"/>
    <n v="1.6198619424962483E-2"/>
    <n v="5.6274042109841355E-2"/>
    <n v="0"/>
    <n v="0"/>
    <n v="0.52357551669316349"/>
    <n v="0"/>
    <n v="0"/>
    <n v="0"/>
    <n v="0"/>
    <n v="0"/>
    <n v="0"/>
    <n v="0"/>
    <n v="0"/>
    <n v="0"/>
    <n v="0"/>
  </r>
  <r>
    <x v="18"/>
    <x v="1"/>
    <s v="Coke"/>
    <s v="Coke"/>
    <s v="IMTEFEDCOK"/>
    <x v="366"/>
    <s v="TechData_OTR"/>
    <n v="1"/>
    <n v="0"/>
    <n v="8.6377437614399657"/>
    <n v="23.776802483193681"/>
    <n v="24.674085069247404"/>
    <n v="16.712344510954477"/>
    <n v="4.0165888753442944"/>
    <n v="3.5010422624979487"/>
    <n v="12.162629082113899"/>
    <n v="0"/>
    <n v="0"/>
    <n v="1"/>
    <n v="1"/>
    <n v="1"/>
    <n v="1"/>
    <n v="1"/>
    <n v="1"/>
    <n v="1"/>
    <n v="1"/>
    <n v="1"/>
    <n v="8.6377437614399657"/>
    <n v="23.776802483193681"/>
    <n v="24.674085069247404"/>
    <n v="16.712344510954477"/>
    <n v="4.0165888753442944"/>
    <n v="3.5010422624979487"/>
    <n v="12.162629082113899"/>
    <n v="0"/>
    <n v="0"/>
    <n v="93.481236044791672"/>
    <n v="0"/>
    <n v="0"/>
    <n v="0"/>
    <n v="0"/>
    <n v="0"/>
    <n v="0"/>
    <n v="0"/>
    <n v="0"/>
    <n v="0"/>
    <n v="0"/>
  </r>
  <r>
    <x v="18"/>
    <x v="1"/>
    <s v="Natural Gas"/>
    <s v="Natural Gas"/>
    <s v="IMTEFEDNGA"/>
    <x v="367"/>
    <s v="TechData_OTR"/>
    <n v="1"/>
    <n v="0"/>
    <n v="0.12179258371598996"/>
    <n v="0.33525400693874829"/>
    <n v="1.2261852394048132"/>
    <n v="0.83052441854150905"/>
    <n v="0.4197585316246788"/>
    <n v="0.36588070247446264"/>
    <n v="1.2710704238471813"/>
    <n v="0"/>
    <n v="0"/>
    <n v="1"/>
    <n v="1"/>
    <n v="1"/>
    <n v="1"/>
    <n v="1"/>
    <n v="1"/>
    <n v="1"/>
    <n v="1"/>
    <n v="1"/>
    <n v="0.12179258371598996"/>
    <n v="0.33525400693874829"/>
    <n v="1.2261852394048132"/>
    <n v="0.83052441854150905"/>
    <n v="0.4197585316246788"/>
    <n v="0.36588070247446264"/>
    <n v="1.2710704238471813"/>
    <n v="0"/>
    <n v="0"/>
    <n v="4.5704659065473834"/>
    <n v="0"/>
    <n v="0"/>
    <n v="0"/>
    <n v="0"/>
    <n v="0"/>
    <n v="0"/>
    <n v="0"/>
    <n v="0"/>
    <n v="0"/>
    <n v="0"/>
  </r>
  <r>
    <x v="18"/>
    <x v="1"/>
    <s v="Petroleum Coke"/>
    <s v="Petroleum Coke"/>
    <s v="IMTEFEDPTC"/>
    <x v="368"/>
    <s v="TechData_OTR"/>
    <n v="1"/>
    <n v="0"/>
    <n v="0"/>
    <n v="1.3637979284026902"/>
    <n v="0.6504637668723916"/>
    <n v="0.44057457584976062"/>
    <n v="0"/>
    <n v="0"/>
    <n v="0"/>
    <n v="0.33528205300751013"/>
    <n v="0.21023711835356598"/>
    <n v="1"/>
    <n v="1"/>
    <n v="1"/>
    <n v="1"/>
    <n v="1"/>
    <n v="1"/>
    <n v="1"/>
    <n v="1"/>
    <n v="1"/>
    <n v="0"/>
    <n v="1.3637979284026902"/>
    <n v="0.6504637668723916"/>
    <n v="0.44057457584976062"/>
    <n v="0"/>
    <n v="0"/>
    <n v="0"/>
    <n v="0.33528205300751013"/>
    <n v="0.21023711835356598"/>
    <n v="3.0003554424859185"/>
    <n v="0"/>
    <n v="0"/>
    <n v="0"/>
    <n v="0"/>
    <n v="0"/>
    <n v="0"/>
    <n v="0"/>
    <n v="0"/>
    <n v="0"/>
    <n v="0"/>
  </r>
  <r>
    <x v="18"/>
    <x v="1"/>
    <s v="Renewables"/>
    <s v="Biomass"/>
    <s v="IMTEFEDBIO"/>
    <x v="369"/>
    <s v="TechData_OTR"/>
    <n v="1"/>
    <n v="0"/>
    <n v="3.3680876078536287E-2"/>
    <n v="9.2712120213065699E-2"/>
    <n v="6.0283171547572699E-2"/>
    <n v="4.0831225485708882E-2"/>
    <n v="0"/>
    <n v="0"/>
    <n v="0"/>
    <n v="3.1073007518094817E-2"/>
    <n v="1.948419099854598E-2"/>
    <n v="1"/>
    <n v="1"/>
    <n v="1"/>
    <n v="1"/>
    <n v="1"/>
    <n v="1"/>
    <n v="1"/>
    <n v="1"/>
    <n v="1"/>
    <n v="3.3680876078536287E-2"/>
    <n v="9.2712120213065699E-2"/>
    <n v="6.0283171547572699E-2"/>
    <n v="4.0831225485708882E-2"/>
    <n v="0"/>
    <n v="0"/>
    <n v="0"/>
    <n v="3.1073007518094817E-2"/>
    <n v="1.948419099854598E-2"/>
    <n v="0.27806459184152438"/>
    <n v="0"/>
    <n v="0"/>
    <n v="0"/>
    <n v="0"/>
    <n v="0"/>
    <n v="0"/>
    <n v="0"/>
    <n v="0"/>
    <n v="0"/>
    <n v="0"/>
  </r>
  <r>
    <x v="18"/>
    <x v="2"/>
    <s v="Electricity"/>
    <s v="Electricity"/>
    <s v="IMTEMDRELC"/>
    <x v="370"/>
    <s v="TechData_OTR"/>
    <n v="1"/>
    <n v="0"/>
    <n v="0.34547659811373327"/>
    <n v="0.95098084207889733"/>
    <n v="2.5893226354555821"/>
    <n v="1.7538097891897311"/>
    <n v="1.0054683525041992"/>
    <n v="0.87641212605301644"/>
    <n v="3.044657794174781"/>
    <n v="0.39840846573743505"/>
    <n v="0.24982025435888031"/>
    <n v="1"/>
    <n v="1"/>
    <n v="1"/>
    <n v="1"/>
    <n v="1"/>
    <n v="1"/>
    <n v="1"/>
    <n v="1"/>
    <n v="1"/>
    <n v="0.34547659811373327"/>
    <n v="0.95098084207889733"/>
    <n v="2.5893226354555821"/>
    <n v="1.7538097891897311"/>
    <n v="1.0054683525041992"/>
    <n v="0.87641212605301644"/>
    <n v="3.044657794174781"/>
    <n v="0.39840846573743505"/>
    <n v="0.24982025435888031"/>
    <n v="11.214356857666255"/>
    <n v="0"/>
    <n v="0"/>
    <n v="0"/>
    <n v="0"/>
    <n v="0"/>
    <n v="0"/>
    <n v="0"/>
    <n v="0"/>
    <n v="0"/>
    <n v="0"/>
  </r>
  <r>
    <x v="18"/>
    <x v="2"/>
    <s v="Natural Gas"/>
    <s v="Natural Gas"/>
    <s v="IMTEMDRNGA"/>
    <x v="371"/>
    <s v="TechData_OTR"/>
    <n v="1"/>
    <n v="0"/>
    <n v="5.1587304567600835E-2"/>
    <n v="0.14200249338488383"/>
    <n v="0.66281690435767615"/>
    <n v="0.44894164959802169"/>
    <n v="8.4664671983746248E-2"/>
    <n v="7.3797593917354451E-2"/>
    <n v="0.25637301542565227"/>
    <n v="4.4193466019292221E-2"/>
    <n v="2.7711316077344943E-2"/>
    <n v="1"/>
    <n v="1"/>
    <n v="1"/>
    <n v="1"/>
    <n v="1"/>
    <n v="1"/>
    <n v="1"/>
    <n v="1"/>
    <n v="1"/>
    <n v="5.1587304567600835E-2"/>
    <n v="0.14200249338488383"/>
    <n v="0.66281690435767615"/>
    <n v="0.44894164959802169"/>
    <n v="8.4664671983746248E-2"/>
    <n v="7.3797593917354451E-2"/>
    <n v="0.25637301542565227"/>
    <n v="4.4193466019292221E-2"/>
    <n v="2.7711316077344943E-2"/>
    <n v="1.7920884153315728"/>
    <n v="0"/>
    <n v="0"/>
    <n v="0"/>
    <n v="0"/>
    <n v="0"/>
    <n v="0"/>
    <n v="0"/>
    <n v="0"/>
    <n v="0"/>
    <n v="0"/>
  </r>
  <r>
    <x v="18"/>
    <x v="3"/>
    <s v="Electricity"/>
    <s v="Electricity"/>
    <s v="IMTEOHTELC"/>
    <x v="372"/>
    <s v="TechData_OTR"/>
    <n v="1"/>
    <n v="0"/>
    <n v="1.0695869910641895E-2"/>
    <n v="2.9442131333711985E-2"/>
    <n v="8.0164787475405008E-2"/>
    <n v="5.4297516693180517E-2"/>
    <n v="3.1129051161120712E-2"/>
    <n v="2.7133502354582548E-2"/>
    <n v="9.4261851212841502E-2"/>
    <n v="1.233462742221161E-2"/>
    <n v="7.7343731999653335E-3"/>
    <n v="1"/>
    <n v="1"/>
    <n v="1"/>
    <n v="1"/>
    <n v="1"/>
    <n v="1"/>
    <n v="1"/>
    <n v="1"/>
    <n v="1"/>
    <n v="1.0695869910641895E-2"/>
    <n v="2.9442131333711985E-2"/>
    <n v="8.0164787475405008E-2"/>
    <n v="5.4297516693180517E-2"/>
    <n v="3.1129051161120712E-2"/>
    <n v="2.7133502354582548E-2"/>
    <n v="9.4261851212841502E-2"/>
    <n v="1.233462742221161E-2"/>
    <n v="7.7343731999653335E-3"/>
    <n v="0.34719371076366107"/>
    <n v="0"/>
    <n v="0"/>
    <n v="0"/>
    <n v="0"/>
    <n v="0"/>
    <n v="0"/>
    <n v="0"/>
    <n v="0"/>
    <n v="0"/>
    <n v="0"/>
  </r>
  <r>
    <x v="18"/>
    <x v="3"/>
    <s v="Petroleum Coke"/>
    <s v="Petroleum Coke"/>
    <s v="IMTEOHTPTC"/>
    <x v="373"/>
    <s v="TechData_OTR"/>
    <n v="1"/>
    <n v="0"/>
    <n v="0"/>
    <n v="0"/>
    <n v="3.4149347760800559"/>
    <n v="2.3130165232112434"/>
    <n v="0.11133624304185237"/>
    <n v="9.7045753084165479E-2"/>
    <n v="0.33713717523505826"/>
    <n v="0"/>
    <n v="0"/>
    <n v="1"/>
    <n v="1"/>
    <n v="1"/>
    <n v="1"/>
    <n v="1"/>
    <n v="1"/>
    <n v="1"/>
    <n v="1"/>
    <n v="1"/>
    <n v="0"/>
    <n v="0"/>
    <n v="3.4149347760800559"/>
    <n v="2.3130165232112434"/>
    <n v="0.11133624304185237"/>
    <n v="9.7045753084165479E-2"/>
    <n v="0.33713717523505826"/>
    <n v="0"/>
    <n v="0"/>
    <n v="6.2734704706523754"/>
    <n v="0"/>
    <n v="0"/>
    <n v="0"/>
    <n v="0"/>
    <n v="0"/>
    <n v="0"/>
    <n v="0"/>
    <n v="0"/>
    <n v="0"/>
    <n v="0"/>
  </r>
  <r>
    <x v="18"/>
    <x v="3"/>
    <s v="Renewables"/>
    <s v="Biomass"/>
    <s v="IMTEOHTBIO"/>
    <x v="374"/>
    <s v="TechData_OTR"/>
    <n v="1"/>
    <n v="0"/>
    <n v="0"/>
    <n v="0"/>
    <n v="0.31648665062475667"/>
    <n v="0.2143639337999716"/>
    <n v="1.0318333134873814E-2"/>
    <n v="8.9939302987860851E-3"/>
    <n v="3.1244935082980901E-2"/>
    <n v="0"/>
    <n v="0"/>
    <n v="1"/>
    <n v="1"/>
    <n v="1"/>
    <n v="1"/>
    <n v="1"/>
    <n v="1"/>
    <n v="1"/>
    <n v="1"/>
    <n v="1"/>
    <n v="0"/>
    <n v="0"/>
    <n v="0.31648665062475667"/>
    <n v="0.2143639337999716"/>
    <n v="1.0318333134873814E-2"/>
    <n v="8.9939302987860851E-3"/>
    <n v="3.1244935082980901E-2"/>
    <n v="0"/>
    <n v="0"/>
    <n v="0.58140778294136897"/>
    <n v="0"/>
    <n v="0"/>
    <n v="0"/>
    <n v="0"/>
    <n v="0"/>
    <n v="0"/>
    <n v="0"/>
    <n v="0"/>
    <n v="0"/>
    <n v="0"/>
  </r>
  <r>
    <x v="18"/>
    <x v="3"/>
    <s v="Residual Oil"/>
    <s v="Residual Oil"/>
    <s v="IMTEOHTRFL"/>
    <x v="375"/>
    <s v="TechData_OTR"/>
    <n v="1"/>
    <n v="0"/>
    <n v="0.11740644766428876"/>
    <n v="0.32318045006487217"/>
    <n v="0.69945945037530499"/>
    <n v="0.47376051729206081"/>
    <n v="0.12126405220083059"/>
    <n v="0.10569928485410984"/>
    <n v="0.36719956502552814"/>
    <n v="3.8684218461438387E-2"/>
    <n v="2.4256766928441746E-2"/>
    <n v="1"/>
    <n v="1"/>
    <n v="1"/>
    <n v="1"/>
    <n v="1"/>
    <n v="1"/>
    <n v="1"/>
    <n v="1"/>
    <n v="1"/>
    <n v="0.11740644766428876"/>
    <n v="0.32318045006487217"/>
    <n v="0.69945945037530499"/>
    <n v="0.47376051729206081"/>
    <n v="0.12126405220083059"/>
    <n v="0.10569928485410984"/>
    <n v="0.36719956502552814"/>
    <n v="3.8684218461438387E-2"/>
    <n v="2.4256766928441746E-2"/>
    <n v="2.2709107528668753"/>
    <n v="0"/>
    <n v="0"/>
    <n v="0"/>
    <n v="0"/>
    <n v="0"/>
    <n v="0"/>
    <n v="0"/>
    <n v="0"/>
    <n v="0"/>
    <n v="0"/>
  </r>
  <r>
    <x v="18"/>
    <x v="4"/>
    <s v="Distillate Oil"/>
    <s v="Distillate Oil"/>
    <s v="IMTEPRHDST"/>
    <x v="376"/>
    <s v="TechData_OTR"/>
    <n v="1"/>
    <n v="0"/>
    <n v="0"/>
    <n v="0"/>
    <n v="7.5821332032620065E-2"/>
    <n v="5.1355591044303095E-2"/>
    <n v="1.7303884153364611E-2"/>
    <n v="1.5082855529022771E-2"/>
    <n v="5.239787570222805E-2"/>
    <n v="0"/>
    <n v="0"/>
    <n v="1"/>
    <n v="1"/>
    <n v="1"/>
    <n v="1"/>
    <n v="1"/>
    <n v="1"/>
    <n v="1"/>
    <n v="1"/>
    <n v="1"/>
    <n v="0"/>
    <n v="0"/>
    <n v="7.5821332032620065E-2"/>
    <n v="5.1355591044303095E-2"/>
    <n v="1.7303884153364611E-2"/>
    <n v="1.5082855529022771E-2"/>
    <n v="5.239787570222805E-2"/>
    <n v="0"/>
    <n v="0"/>
    <n v="0.21196153846153859"/>
    <n v="0"/>
    <n v="0"/>
    <n v="0"/>
    <n v="0"/>
    <n v="0"/>
    <n v="0"/>
    <n v="0"/>
    <n v="0"/>
    <n v="0"/>
    <n v="0"/>
  </r>
  <r>
    <x v="18"/>
    <x v="4"/>
    <s v="Electricity"/>
    <s v="Electricity"/>
    <s v="IMTEPRHELC"/>
    <x v="377"/>
    <s v="TechData_OTR"/>
    <n v="1"/>
    <n v="0"/>
    <n v="0.45136571022908806"/>
    <n v="1.2424579422826458"/>
    <n v="3.3829540314620914"/>
    <n v="2.2913552044522181"/>
    <n v="1.3136459589992941"/>
    <n v="1.1450337993633837"/>
    <n v="3.9778501211819122"/>
    <n v="0.52052127721732999"/>
    <n v="0.32639054903853709"/>
    <n v="1"/>
    <n v="1"/>
    <n v="1"/>
    <n v="1"/>
    <n v="1"/>
    <n v="1"/>
    <n v="1"/>
    <n v="1"/>
    <n v="1"/>
    <n v="0.45136571022908806"/>
    <n v="1.2424579422826458"/>
    <n v="3.3829540314620914"/>
    <n v="2.2913552044522181"/>
    <n v="1.3136459589992941"/>
    <n v="1.1450337993633837"/>
    <n v="3.9778501211819122"/>
    <n v="0.52052127721732999"/>
    <n v="0.32639054903853709"/>
    <n v="14.651574594226501"/>
    <n v="0"/>
    <n v="0"/>
    <n v="0"/>
    <n v="0"/>
    <n v="0"/>
    <n v="0"/>
    <n v="0"/>
    <n v="0"/>
    <n v="0"/>
    <n v="0"/>
  </r>
  <r>
    <x v="18"/>
    <x v="4"/>
    <s v="Natural Gas"/>
    <s v="Natural Gas"/>
    <s v="IMTEPRHNGA"/>
    <x v="378"/>
    <s v="TechData_OTR"/>
    <n v="1"/>
    <n v="0"/>
    <n v="1.7879073714613236"/>
    <n v="4.9215074681024209"/>
    <n v="22.971838501027882"/>
    <n v="15.55937243475249"/>
    <n v="2.9342992895419422"/>
    <n v="2.5576692418198901"/>
    <n v="8.8853489819890541"/>
    <n v="1.5316524933528384"/>
    <n v="0.96041587562798136"/>
    <n v="1"/>
    <n v="1"/>
    <n v="1"/>
    <n v="1"/>
    <n v="1"/>
    <n v="1"/>
    <n v="1"/>
    <n v="1"/>
    <n v="1"/>
    <n v="1.7879073714613236"/>
    <n v="4.9215074681024209"/>
    <n v="22.971838501027882"/>
    <n v="15.55937243475249"/>
    <n v="2.9342992895419422"/>
    <n v="2.5576692418198901"/>
    <n v="8.8853489819890541"/>
    <n v="1.5316524933528384"/>
    <n v="0.96041587562798136"/>
    <n v="62.110011657675813"/>
    <n v="0"/>
    <n v="0"/>
    <n v="0"/>
    <n v="0"/>
    <n v="0"/>
    <n v="0"/>
    <n v="0"/>
    <n v="0"/>
    <n v="0"/>
    <n v="0"/>
  </r>
  <r>
    <x v="18"/>
    <x v="4"/>
    <s v="Steam Coal"/>
    <s v="Steam Coal"/>
    <s v="IMTEPRHCOA"/>
    <x v="379"/>
    <s v="TechData_OTR"/>
    <n v="1"/>
    <n v="0"/>
    <n v="0.13345490634413507"/>
    <n v="0.3673564574493271"/>
    <n v="5.3743973990050318"/>
    <n v="3.6402071492772623"/>
    <n v="0.40884690140815605"/>
    <n v="0.3563696273491746"/>
    <n v="1.2380289264165099"/>
    <n v="0"/>
    <n v="0"/>
    <n v="1"/>
    <n v="1"/>
    <n v="1"/>
    <n v="1"/>
    <n v="1"/>
    <n v="1"/>
    <n v="1"/>
    <n v="1"/>
    <n v="1"/>
    <n v="0.13345490634413507"/>
    <n v="0.3673564574493271"/>
    <n v="5.3743973990050318"/>
    <n v="3.6402071492772623"/>
    <n v="0.40884690140815605"/>
    <n v="0.3563696273491746"/>
    <n v="1.2380289264165099"/>
    <n v="0"/>
    <n v="0"/>
    <n v="11.518661367249596"/>
    <n v="0"/>
    <n v="0"/>
    <n v="0"/>
    <n v="0"/>
    <n v="0"/>
    <n v="0"/>
    <n v="0"/>
    <n v="0"/>
    <n v="0"/>
    <n v="0"/>
  </r>
  <r>
    <x v="18"/>
    <x v="5"/>
    <s v="Distillate Oil"/>
    <s v="Distillate Oil"/>
    <s v="IMTEBOLDST"/>
    <x v="380"/>
    <s v="TechData_Boiler"/>
    <n v="1"/>
    <n v="0"/>
    <n v="0"/>
    <n v="0"/>
    <n v="0"/>
    <n v="0"/>
    <n v="1.6884768599999996E-3"/>
    <n v="0"/>
    <n v="0"/>
    <n v="0"/>
    <n v="0"/>
    <n v="0"/>
    <n v="0"/>
    <n v="0"/>
    <n v="0"/>
    <n v="0"/>
    <n v="0"/>
    <n v="0"/>
    <n v="0"/>
    <n v="0"/>
    <n v="0"/>
    <n v="0"/>
    <n v="0"/>
    <n v="0"/>
    <n v="0"/>
    <n v="0"/>
    <n v="0"/>
    <n v="0"/>
    <n v="0"/>
    <n v="0"/>
    <n v="0"/>
    <n v="0"/>
    <n v="0"/>
    <n v="0"/>
    <n v="0"/>
    <n v="0"/>
    <n v="0"/>
    <n v="0"/>
    <n v="0"/>
    <n v="0"/>
  </r>
  <r>
    <x v="18"/>
    <x v="5"/>
    <s v="Natural Gas"/>
    <s v="Natural Gas"/>
    <s v="IMTEBOLNGA"/>
    <x v="381"/>
    <s v="TechData_Boiler"/>
    <n v="1"/>
    <n v="0"/>
    <n v="0"/>
    <n v="0.76913032139999993"/>
    <n v="1.9258146016199995"/>
    <n v="0"/>
    <n v="0.16496612999999999"/>
    <n v="0.25230113999999998"/>
    <n v="0"/>
    <n v="7.1808785999999999E-2"/>
    <n v="7.3361408399999994E-2"/>
    <n v="0.80569795372115771"/>
    <n v="0.80569795372115771"/>
    <n v="0.80569795372115771"/>
    <n v="0.80569795372115771"/>
    <n v="0.80569795372115771"/>
    <n v="0.80569795372115771"/>
    <n v="0.80569795372115771"/>
    <n v="0.80569795372115771"/>
    <n v="0.80569795372115771"/>
    <n v="0"/>
    <n v="0.61968672609687625"/>
    <n v="1.55162488377156"/>
    <n v="0"/>
    <n v="0.13291287337429847"/>
    <n v="0.20327851221951532"/>
    <n v="0"/>
    <n v="5.7856191939400517E-2"/>
    <n v="5.9107136629982147E-2"/>
    <n v="2.6244663240316326"/>
    <n v="0"/>
    <n v="0"/>
    <n v="0"/>
    <n v="0"/>
    <n v="0"/>
    <n v="0"/>
    <n v="0"/>
    <n v="0"/>
    <n v="0"/>
    <n v="0"/>
  </r>
  <r>
    <x v="18"/>
    <x v="5"/>
    <s v="Natural Gas"/>
    <s v="Natural Gas"/>
    <s v="IMTEBSTNGA"/>
    <x v="382"/>
    <s v="TechData_CHP"/>
    <n v="0.886907974935504"/>
    <n v="0.11309202506449599"/>
    <n v="0"/>
    <n v="2.0074132319217682E-3"/>
    <n v="0.17977669591345771"/>
    <n v="0"/>
    <n v="0"/>
    <n v="0"/>
    <n v="0"/>
    <n v="0"/>
    <n v="0"/>
    <n v="0.12569397755405046"/>
    <n v="0.12569397755405046"/>
    <n v="0.12569397755405046"/>
    <n v="0.12569397755405046"/>
    <n v="0.12569397755405046"/>
    <n v="0.12569397755405046"/>
    <n v="0.12569397755405046"/>
    <n v="0.12569397755405046"/>
    <n v="0.12569397755405046"/>
    <n v="0"/>
    <n v="7.0572648952748019E-3"/>
    <n v="0.63202321519218829"/>
    <n v="0"/>
    <n v="0"/>
    <n v="0"/>
    <n v="0"/>
    <n v="0"/>
    <n v="0"/>
    <n v="0.6390804800874631"/>
    <n v="0"/>
    <n v="8.9989085787761105E-4"/>
    <n v="8.0590982733080171E-2"/>
    <n v="0"/>
    <n v="0"/>
    <n v="0"/>
    <n v="0"/>
    <n v="0"/>
    <n v="0"/>
    <n v="8.1490873590957788E-2"/>
  </r>
  <r>
    <x v="18"/>
    <x v="5"/>
    <s v="Natural Gas"/>
    <s v="Natural Gas"/>
    <s v="IMTECCTNGA"/>
    <x v="382"/>
    <s v="TechData_CHP"/>
    <n v="0.49222832279162754"/>
    <n v="0.50777167720837246"/>
    <n v="0"/>
    <n v="0"/>
    <n v="3.9201868944999628E-2"/>
    <n v="0"/>
    <n v="5.688228402803394E-3"/>
    <n v="0"/>
    <n v="0"/>
    <n v="0"/>
    <n v="0.35281682050499652"/>
    <n v="0.12382539017767243"/>
    <n v="0.12382539017767243"/>
    <n v="0.12382539017767243"/>
    <n v="0.12382539017767243"/>
    <n v="0.12382539017767243"/>
    <n v="0.12382539017767243"/>
    <n v="0.12382539017767243"/>
    <n v="0.12382539017767243"/>
    <n v="0.12382539017767243"/>
    <n v="0"/>
    <n v="0"/>
    <n v="7.5351115133383995E-2"/>
    <n v="0"/>
    <n v="1.0933518345412844E-2"/>
    <n v="0"/>
    <n v="0"/>
    <n v="0"/>
    <n v="0.67816003620045562"/>
    <n v="0.7644446696792524"/>
    <n v="0"/>
    <n v="0"/>
    <n v="7.773051719942671E-2"/>
    <n v="0"/>
    <n v="1.1278771844238178E-2"/>
    <n v="0"/>
    <n v="0"/>
    <n v="0"/>
    <n v="0.69957465479484016"/>
    <n v="0.78858394383850505"/>
  </r>
  <r>
    <x v="18"/>
    <x v="5"/>
    <s v="Natural Gas"/>
    <s v="Natural Gas"/>
    <s v="IMTEMTTNGA"/>
    <x v="382"/>
    <s v="TechData_CHP"/>
    <n v="0.64769647696476973"/>
    <n v="0.35230352303523033"/>
    <n v="0"/>
    <n v="0"/>
    <n v="7.1529230769230764E-5"/>
    <n v="0"/>
    <n v="0"/>
    <n v="0"/>
    <n v="0"/>
    <n v="0"/>
    <n v="0"/>
    <n v="0.12838737823684984"/>
    <n v="0.12838737823684984"/>
    <n v="0.12838737823684984"/>
    <n v="0.12838737823684984"/>
    <n v="0.12838737823684984"/>
    <n v="0.12838737823684984"/>
    <n v="0.12838737823684984"/>
    <n v="0.12838737823684984"/>
    <n v="0.12838737823684984"/>
    <n v="0"/>
    <n v="0"/>
    <n v="1.8757891812210418E-4"/>
    <n v="0"/>
    <n v="0"/>
    <n v="0"/>
    <n v="0"/>
    <n v="0"/>
    <n v="0"/>
    <n v="1.8757891812210418E-4"/>
    <n v="0"/>
    <n v="0"/>
    <n v="1.0203037387394787E-4"/>
    <n v="0"/>
    <n v="0"/>
    <n v="0"/>
    <n v="0"/>
    <n v="0"/>
    <n v="0"/>
    <n v="1.0203037387394787E-4"/>
  </r>
  <r>
    <x v="18"/>
    <x v="5"/>
    <s v="Natural Gas"/>
    <s v="Natural Gas"/>
    <s v="IMTEREGNGA"/>
    <x v="382"/>
    <s v="TechData_CHP"/>
    <n v="0.61182631157782419"/>
    <n v="0.38817368842217576"/>
    <n v="6.489E-4"/>
    <n v="0"/>
    <n v="5.4778079999999994E-4"/>
    <n v="0"/>
    <n v="0"/>
    <n v="0"/>
    <n v="0"/>
    <n v="0"/>
    <n v="0"/>
    <n v="0.12317367759778994"/>
    <n v="0.12317367759778994"/>
    <n v="0.12317367759778994"/>
    <n v="0.12317367759778994"/>
    <n v="0.12317367759778994"/>
    <n v="0.12317367759778994"/>
    <n v="0.12317367759778994"/>
    <n v="0.12317367759778994"/>
    <n v="0.12317367759778994"/>
    <n v="1.5421635685844439E-3"/>
    <n v="0"/>
    <n v="1.3018455745570064E-3"/>
    <n v="0"/>
    <n v="0"/>
    <n v="0"/>
    <n v="0"/>
    <n v="0"/>
    <n v="0"/>
    <n v="2.8440091431414503E-3"/>
    <n v="9.7842689867969719E-4"/>
    <n v="0"/>
    <n v="8.2595695685049053E-4"/>
    <n v="0"/>
    <n v="0"/>
    <n v="0"/>
    <n v="0"/>
    <n v="0"/>
    <n v="0"/>
    <n v="1.8043838555301876E-3"/>
  </r>
  <r>
    <x v="18"/>
    <x v="5"/>
    <s v="Residual Oil"/>
    <s v="Residual Oil"/>
    <s v="IMTEBHLRFL"/>
    <x v="383"/>
    <s v="TechData_Boiler"/>
    <n v="1"/>
    <n v="0"/>
    <n v="0"/>
    <n v="0"/>
    <n v="4.7587876559999991"/>
    <n v="0"/>
    <n v="2.9519233379999998"/>
    <n v="0"/>
    <n v="0"/>
    <n v="0"/>
    <n v="0"/>
    <n v="3.9724382267393861E-17"/>
    <n v="3.9724382267393861E-17"/>
    <n v="3.9724382267393861E-17"/>
    <n v="3.9724382267393861E-17"/>
    <n v="3.9724382267393861E-17"/>
    <n v="3.9724382267393861E-17"/>
    <n v="3.9724382267393861E-17"/>
    <n v="3.9724382267393861E-17"/>
    <n v="3.9724382267393861E-17"/>
    <n v="0"/>
    <n v="0"/>
    <n v="1.8903989997629917E-16"/>
    <n v="0"/>
    <n v="1.1726333110275329E-16"/>
    <n v="0"/>
    <n v="0"/>
    <n v="0"/>
    <n v="0"/>
    <n v="3.0630323107905244E-16"/>
    <n v="0"/>
    <n v="0"/>
    <n v="0"/>
    <n v="0"/>
    <n v="0"/>
    <n v="0"/>
    <n v="0"/>
    <n v="0"/>
    <n v="0"/>
    <n v="0"/>
  </r>
  <r>
    <x v="18"/>
    <x v="5"/>
    <s v="Residual Oil"/>
    <s v="Residual Oil"/>
    <s v="IMTEBSTRFL"/>
    <x v="382"/>
    <s v="TechData_CHP"/>
    <n v="0.88332652522877819"/>
    <n v="0.11667347477122178"/>
    <n v="0"/>
    <n v="0"/>
    <n v="2.3409316271403101E-2"/>
    <n v="0"/>
    <n v="0"/>
    <n v="0"/>
    <n v="0"/>
    <n v="0"/>
    <n v="0"/>
    <n v="0"/>
    <n v="0"/>
    <n v="0"/>
    <n v="0"/>
    <n v="0"/>
    <n v="0"/>
    <n v="0"/>
    <n v="0"/>
    <n v="0"/>
    <n v="0"/>
    <n v="0"/>
    <n v="0"/>
    <n v="0"/>
    <n v="0"/>
    <n v="0"/>
    <n v="0"/>
    <n v="0"/>
    <n v="0"/>
    <n v="0"/>
    <n v="0"/>
    <n v="0"/>
    <n v="0"/>
    <n v="0"/>
    <n v="0"/>
    <n v="0"/>
    <n v="0"/>
    <n v="0"/>
    <n v="0"/>
    <n v="0"/>
  </r>
  <r>
    <x v="18"/>
    <x v="5"/>
    <s v="Residual Oil"/>
    <s v="Residual Oil"/>
    <s v="IMTECHLRFL"/>
    <x v="382"/>
    <s v="TechData_CHP"/>
    <n v="0.88332652522877819"/>
    <n v="0.11667347477122177"/>
    <n v="0"/>
    <n v="0"/>
    <n v="0.22642849986668079"/>
    <n v="0"/>
    <n v="0"/>
    <n v="0"/>
    <n v="0"/>
    <n v="0"/>
    <n v="0"/>
    <n v="0"/>
    <n v="0"/>
    <n v="0"/>
    <n v="0"/>
    <n v="0"/>
    <n v="0"/>
    <n v="0"/>
    <n v="0"/>
    <n v="0"/>
    <n v="0"/>
    <n v="0"/>
    <n v="0"/>
    <n v="0"/>
    <n v="0"/>
    <n v="0"/>
    <n v="0"/>
    <n v="0"/>
    <n v="0"/>
    <n v="0"/>
    <n v="0"/>
    <n v="0"/>
    <n v="0"/>
    <n v="0"/>
    <n v="0"/>
    <n v="0"/>
    <n v="0"/>
    <n v="0"/>
    <n v="0"/>
    <n v="0"/>
  </r>
  <r>
    <x v="18"/>
    <x v="5"/>
    <s v="Steam Coal"/>
    <s v="Steam Coal"/>
    <s v="IMTEBPVCOA"/>
    <x v="384"/>
    <s v="TechData_Boiler"/>
    <n v="1"/>
    <n v="0"/>
    <n v="0"/>
    <n v="0"/>
    <n v="1.8612061019999997"/>
    <n v="0"/>
    <n v="0"/>
    <n v="0"/>
    <n v="0"/>
    <n v="0"/>
    <n v="0"/>
    <n v="0"/>
    <n v="0"/>
    <n v="0"/>
    <n v="0"/>
    <n v="0"/>
    <n v="0"/>
    <n v="0"/>
    <n v="0"/>
    <n v="0"/>
    <n v="0"/>
    <n v="0"/>
    <n v="0"/>
    <n v="0"/>
    <n v="0"/>
    <n v="0"/>
    <n v="0"/>
    <n v="0"/>
    <n v="0"/>
    <n v="0"/>
    <n v="0"/>
    <n v="0"/>
    <n v="0"/>
    <n v="0"/>
    <n v="0"/>
    <n v="0"/>
    <n v="0"/>
    <n v="0"/>
    <n v="0"/>
    <n v="0"/>
  </r>
</pivotCacheRecords>
</file>

<file path=xl/pivotCache/pivotCacheRecords2.xml><?xml version="1.0" encoding="utf-8"?>
<pivotCacheRecords xmlns="http://schemas.openxmlformats.org/spreadsheetml/2006/main" xmlns:r="http://schemas.openxmlformats.org/officeDocument/2006/relationships" count="152">
  <r>
    <s v="Agricultural Chemicals"/>
    <s v="ICA"/>
    <s v="Electrochemical"/>
    <s v="ETC"/>
    <x v="0"/>
    <n v="0"/>
    <n v="0"/>
    <n v="0"/>
    <n v="0"/>
    <n v="0"/>
    <n v="0"/>
    <n v="0"/>
    <n v="0"/>
    <n v="0"/>
    <n v="0"/>
    <n v="0"/>
    <n v="0"/>
    <n v="0"/>
    <n v="0"/>
    <n v="0"/>
    <n v="0"/>
    <n v="0"/>
    <n v="0"/>
  </r>
  <r>
    <s v="Agricultural Chemicals"/>
    <s v="ICA"/>
    <s v="Facilities"/>
    <s v="FAC"/>
    <x v="1"/>
    <n v="0"/>
    <n v="0"/>
    <n v="0.28316890781960724"/>
    <n v="0.19179703437799375"/>
    <n v="2.9866428336915467"/>
    <n v="2.60329426492385"/>
    <n v="9.0438504199238281"/>
    <n v="0.10910628515576717"/>
    <n v="6.8414610265158271E-2"/>
    <n v="0"/>
    <n v="0"/>
    <n v="6.2327035325110908E-3"/>
    <n v="4.8188698291821933E-3"/>
    <n v="4.8331456975401754E-2"/>
    <n v="4.339371743689218E-2"/>
    <n v="4.6447840535181036E-2"/>
    <n v="2.5816451582466239E-2"/>
    <n v="3.6752386325422937E-2"/>
  </r>
  <r>
    <s v="Agricultural Chemicals"/>
    <s v="ICA"/>
    <s v="Feedstock"/>
    <s v="FEED"/>
    <x v="2"/>
    <n v="0"/>
    <n v="0"/>
    <n v="29.234538298163798"/>
    <n v="19.801247920091914"/>
    <n v="39.00397483585008"/>
    <n v="33.99764540104006"/>
    <n v="118.10790035509548"/>
    <n v="0"/>
    <n v="0"/>
    <n v="0"/>
    <n v="0"/>
    <n v="0.64346828020530167"/>
    <n v="0.49750318867931237"/>
    <n v="0.63118325043188994"/>
    <n v="0.566698985178129"/>
    <n v="0.60658421655814287"/>
    <n v="0"/>
    <n v="0"/>
  </r>
  <r>
    <s v="Agricultural Chemicals"/>
    <s v="ICA"/>
    <s v="Machine Drive"/>
    <s v="MDR"/>
    <x v="3"/>
    <n v="0"/>
    <n v="0"/>
    <n v="2.9448659172079479"/>
    <n v="1.9946277079301775"/>
    <n v="2.6630553837673459"/>
    <n v="2.3212406684622362"/>
    <n v="8.063995560190941"/>
    <n v="1.407373376638182"/>
    <n v="0.88248720889725552"/>
    <n v="0"/>
    <n v="0"/>
    <n v="6.4818119850383465E-2"/>
    <n v="5.0114702312093737E-2"/>
    <n v="4.3094991222829386E-2"/>
    <n v="3.8692230466393092E-2"/>
    <n v="4.141545497380212E-2"/>
    <n v="0.33300910744564127"/>
    <n v="0.47407287278158577"/>
  </r>
  <r>
    <s v="Agricultural Chemicals"/>
    <s v="ICA"/>
    <s v="Other Heat"/>
    <s v="OHT"/>
    <x v="4"/>
    <n v="0"/>
    <n v="0"/>
    <n v="0.36588093453079751"/>
    <n v="0.24781985677311991"/>
    <n v="0"/>
    <n v="0"/>
    <n v="0"/>
    <n v="0"/>
    <n v="0"/>
    <n v="0"/>
    <n v="0"/>
    <n v="8.0532407695738523E-3"/>
    <n v="6.2264342863752875E-3"/>
    <n v="0"/>
    <n v="0"/>
    <n v="0"/>
    <n v="0"/>
    <n v="0"/>
  </r>
  <r>
    <s v="Agricultural Chemicals"/>
    <s v="ICA"/>
    <s v="Process Heat"/>
    <s v="PRH"/>
    <x v="5"/>
    <n v="0"/>
    <n v="0"/>
    <n v="11.68301903952743"/>
    <n v="7.9131865910592136"/>
    <n v="16.224203275382543"/>
    <n v="14.141756377195314"/>
    <n v="49.128495027856353"/>
    <n v="1.452206077131647"/>
    <n v="0.91059935410516935"/>
    <n v="0"/>
    <n v="0"/>
    <n v="0.25714968002223215"/>
    <n v="0.19881754814411023"/>
    <n v="0.26254876335350502"/>
    <n v="0.23572570667931464"/>
    <n v="0.25231647990995032"/>
    <n v="0.34361730696364651"/>
    <n v="0.48917474089299134"/>
  </r>
  <r>
    <s v="Agricultural Chemicals"/>
    <s v="ICA"/>
    <s v="Steam"/>
    <s v="STM"/>
    <x v="6"/>
    <n v="0"/>
    <n v="0"/>
    <n v="0.92128434782039714"/>
    <n v="9.6525691443906911"/>
    <n v="0.91713297987527909"/>
    <n v="6.9284865858257181"/>
    <n v="10.365573253045323"/>
    <n v="1.2575451513749474"/>
    <n v="0"/>
    <n v="0"/>
    <n v="0"/>
    <n v="2.0277975619997678E-2"/>
    <n v="0.24251925674892616"/>
    <n v="1.4841538016373997E-2"/>
    <n v="0.11548936023927112"/>
    <n v="5.3236008022923713E-2"/>
    <n v="0.2975571340082459"/>
    <n v="0"/>
  </r>
  <r>
    <s v="Agricultural Chemicals"/>
    <s v="ICA"/>
    <s v="Total"/>
    <m/>
    <x v="7"/>
    <n v="0"/>
    <n v="0"/>
    <n v="45.432757445069981"/>
    <n v="39.801248254623111"/>
    <n v="61.79500930856679"/>
    <n v="59.992423297447175"/>
    <n v="194.70981461611191"/>
    <n v="4.2262308903005437"/>
    <n v="1.861501173267583"/>
    <m/>
    <m/>
    <m/>
    <m/>
    <m/>
    <m/>
    <m/>
    <m/>
    <m/>
  </r>
  <r>
    <s v="Cement"/>
    <s v="INC"/>
    <s v="Electrochemical"/>
    <s v="ETC"/>
    <x v="8"/>
    <n v="0"/>
    <n v="0"/>
    <n v="0"/>
    <n v="0"/>
    <n v="0"/>
    <n v="0"/>
    <n v="0"/>
    <n v="0"/>
    <n v="0"/>
    <n v="0"/>
    <n v="0"/>
    <n v="0"/>
    <n v="0"/>
    <n v="0"/>
    <n v="0"/>
    <n v="0"/>
    <n v="0"/>
    <n v="0"/>
  </r>
  <r>
    <s v="Cement"/>
    <s v="INC"/>
    <s v="Facilities"/>
    <s v="FAC"/>
    <x v="9"/>
    <n v="0.28196851969131048"/>
    <n v="0.77616446891000934"/>
    <n v="0.86095523823622044"/>
    <n v="0.58314545441232346"/>
    <n v="0.34724512911936145"/>
    <n v="0.30267470986540346"/>
    <n v="1.051492656361928"/>
    <n v="0.23721997502796063"/>
    <n v="0.14874772901926309"/>
    <n v="5.5098917459032275E-2"/>
    <n v="4.0109152780843302E-2"/>
    <n v="1.978975810520784E-2"/>
    <n v="1.978975810520784E-2"/>
    <n v="1.9138069491448331E-2"/>
    <n v="1.9138069491448331E-2"/>
    <n v="1.9138069491448334E-2"/>
    <n v="9.207721845723953E-3"/>
    <n v="9.2077218457239512E-3"/>
  </r>
  <r>
    <s v="Cement"/>
    <s v="INC"/>
    <s v="Feedstock"/>
    <s v="FEED"/>
    <x v="10"/>
    <n v="0"/>
    <n v="0"/>
    <n v="0"/>
    <n v="0"/>
    <n v="0.239530940253013"/>
    <n v="0.20878610458477298"/>
    <n v="0.72532342004698147"/>
    <n v="0"/>
    <n v="0"/>
    <n v="0"/>
    <n v="0"/>
    <n v="0"/>
    <n v="0"/>
    <n v="1.3201509237983782E-2"/>
    <n v="1.3201509237983782E-2"/>
    <n v="1.3201509237983784E-2"/>
    <n v="0"/>
    <n v="0"/>
  </r>
  <r>
    <s v="Cement"/>
    <s v="INC"/>
    <s v="Machine Drive"/>
    <s v="MDR"/>
    <x v="11"/>
    <n v="0.56568417044145214"/>
    <n v="1.5571382018182778"/>
    <n v="3.7968025025112118"/>
    <n v="2.5716646142679807"/>
    <n v="1.87742370922103"/>
    <n v="1.6364482287311684"/>
    <n v="5.6850250085066341"/>
    <n v="2.6094197253075668"/>
    <n v="1.6362250192118939"/>
    <n v="0.11053923838433106"/>
    <n v="8.0466829569414589E-2"/>
    <n v="8.7272601130663069E-2"/>
    <n v="8.7272601130663055E-2"/>
    <n v="0.10347233812346479"/>
    <n v="0.1034723381234648"/>
    <n v="0.10347233812346482"/>
    <n v="0.10128494030296348"/>
    <n v="0.10128494030296345"/>
  </r>
  <r>
    <s v="Cement"/>
    <s v="INC"/>
    <s v="Other Heat"/>
    <s v="OHT"/>
    <x v="12"/>
    <n v="0.16085723185265216"/>
    <n v="5.7073450925711846"/>
    <n v="20.991304370791216"/>
    <n v="14.217909575751804"/>
    <n v="4.3115569245542336"/>
    <n v="3.7581498825259132"/>
    <n v="13.055821560845667"/>
    <n v="4.3279936458782773"/>
    <n v="2.7138491434303269"/>
    <n v="3.1432797357097426E-2"/>
    <n v="0.29493333624561363"/>
    <n v="0.48250224560080246"/>
    <n v="0.4825022456008024"/>
    <n v="0.23762716628370806"/>
    <n v="0.23762716628370803"/>
    <n v="0.23762716628370811"/>
    <n v="0.16799159361099639"/>
    <n v="0.16799159361099633"/>
  </r>
  <r>
    <s v="Cement"/>
    <s v="INC"/>
    <s v="Process Heat"/>
    <s v="PRH"/>
    <x v="13"/>
    <n v="4.1089866223153457"/>
    <n v="11.310657739237008"/>
    <n v="17.856029444363337"/>
    <n v="12.094313318384343"/>
    <n v="11.368452109268091"/>
    <n v="9.9092619456403366"/>
    <n v="34.424799384266308"/>
    <n v="18.588522731108959"/>
    <n v="11.655850405302097"/>
    <n v="0.80292904679953936"/>
    <n v="0.58449068140412852"/>
    <n v="0.41043539516332667"/>
    <n v="0.41043539516332661"/>
    <n v="0.62656091686339499"/>
    <n v="0.62656091686339499"/>
    <n v="0.62656091686339499"/>
    <n v="0.72151574424031628"/>
    <n v="0.72151574424031617"/>
  </r>
  <r>
    <s v="Cement"/>
    <s v="INC"/>
    <s v="Steam"/>
    <s v="STM"/>
    <x v="14"/>
    <n v="0"/>
    <n v="5.9265639808539997E-19"/>
    <n v="2.0363210904890515E-17"/>
    <n v="0"/>
    <n v="0"/>
    <n v="0"/>
    <n v="0"/>
    <n v="0"/>
    <n v="0"/>
    <n v="0"/>
    <n v="3.0626171345789424E-20"/>
    <n v="4.6806500518967427E-19"/>
    <n v="0"/>
    <n v="0"/>
    <n v="0"/>
    <n v="0"/>
    <n v="0"/>
    <n v="0"/>
  </r>
  <r>
    <s v="Cement"/>
    <s v="INC"/>
    <s v="Total"/>
    <m/>
    <x v="7"/>
    <n v="5.1174965443007601"/>
    <n v="19.35130550253648"/>
    <n v="43.505091555901984"/>
    <n v="29.467032962816454"/>
    <n v="18.14420881241573"/>
    <n v="15.815320871347595"/>
    <n v="54.942462030027514"/>
    <n v="25.763156077322762"/>
    <n v="16.154672296963582"/>
    <m/>
    <m/>
    <m/>
    <m/>
    <m/>
    <m/>
    <m/>
    <m/>
    <m/>
  </r>
  <r>
    <s v="Food"/>
    <s v="IFD"/>
    <s v="Electrochemical"/>
    <s v="ETC"/>
    <x v="15"/>
    <n v="2.6212304315162603E-2"/>
    <n v="7.215365488303023E-2"/>
    <n v="0.27611826095195274"/>
    <n v="0.18702146360620517"/>
    <n v="6.6082615752975929E-2"/>
    <n v="5.7600625243914176E-2"/>
    <n v="0.20010470803049471"/>
    <n v="0.10328035823296604"/>
    <n v="6.4761488730613354E-2"/>
    <n v="1.3836373247567626E-3"/>
    <n v="1.4173374092391845E-3"/>
    <n v="1.062177448315391E-3"/>
    <n v="7.4192565095931363E-4"/>
    <n v="7.3463342657700999E-4"/>
    <n v="1.1928634306158344E-3"/>
    <n v="1.7261799981799577E-3"/>
    <n v="1.1848022192743129E-3"/>
    <n v="6.6238412970125388E-4"/>
  </r>
  <r>
    <s v="Food"/>
    <s v="IFD"/>
    <s v="Facilities"/>
    <s v="FAC"/>
    <x v="16"/>
    <n v="3.3063577798669721"/>
    <n v="9.1012905733108056"/>
    <n v="30.530189937578768"/>
    <n v="20.678823583113108"/>
    <n v="7.0901481606554118"/>
    <n v="6.1800968752867247"/>
    <n v="21.469671129309194"/>
    <n v="16.490794997278336"/>
    <n v="10.340479570821353"/>
    <n v="0.17452872430515529"/>
    <n v="0.17877957288263713"/>
    <n v="0.11744416733859016"/>
    <n v="8.2034165235058951E-2"/>
    <n v="7.8820424688869947E-2"/>
    <n v="0.12798492254164576"/>
    <n v="0.18520562177511307"/>
    <n v="0.18917760205963996"/>
    <n v="0.1057630035298175"/>
  </r>
  <r>
    <s v="Food"/>
    <s v="IFD"/>
    <s v="Feedstock"/>
    <s v="FEED"/>
    <x v="17"/>
    <n v="0"/>
    <n v="0"/>
    <n v="2.5311191351070055"/>
    <n v="1.7143871744569474"/>
    <n v="0"/>
    <n v="0"/>
    <n v="0"/>
    <n v="0.76282474301015324"/>
    <n v="0.47832585830551999"/>
    <n v="0"/>
    <n v="0"/>
    <n v="9.7367615421062037E-3"/>
    <n v="6.801079383505943E-3"/>
    <n v="0"/>
    <n v="0"/>
    <n v="0"/>
    <n v="8.7509035009069557E-3"/>
    <n v="4.8923436378252383E-3"/>
  </r>
  <r>
    <s v="Food"/>
    <s v="IFD"/>
    <s v="Machine Drive"/>
    <s v="MDR"/>
    <x v="18"/>
    <n v="4.771684635026455"/>
    <n v="13.13484240937942"/>
    <n v="49.924149895419056"/>
    <n v="33.814813806760696"/>
    <n v="11.906699814085771"/>
    <n v="10.378423221723811"/>
    <n v="36.054666764565575"/>
    <n v="19.164634940148581"/>
    <n v="12.017099000597725"/>
    <n v="0.25187716744047717"/>
    <n v="0.25801192665090067"/>
    <n v="0.19204925441153181"/>
    <n v="0.13414544652732854"/>
    <n v="0.13236551828310106"/>
    <n v="0.21492894350060071"/>
    <n v="0.31102139086378855"/>
    <n v="0.21985111590581663"/>
    <n v="0.12291156085301659"/>
  </r>
  <r>
    <s v="Food"/>
    <s v="IFD"/>
    <s v="Other Heat"/>
    <s v="OHT"/>
    <x v="19"/>
    <n v="0.5845380927382503"/>
    <n v="1.454068367726711"/>
    <n v="12.924553001635728"/>
    <n v="7.653965693705346"/>
    <n v="3.462466775024243"/>
    <n v="2.4433225430034216"/>
    <n v="10.25369669404205"/>
    <n v="5.194792515929084"/>
    <n v="2.4748529575240514"/>
    <n v="3.0855307993159772E-2"/>
    <n v="2.8562731804943252E-2"/>
    <n v="4.9718438326262306E-2"/>
    <n v="3.0363752749147991E-2"/>
    <n v="3.8491875697740673E-2"/>
    <n v="5.0599279060013408E-2"/>
    <n v="8.8452322360961219E-2"/>
    <n v="5.9593148269869389E-2"/>
    <n v="2.5312934500735608E-2"/>
  </r>
  <r>
    <s v="Food"/>
    <s v="IFD"/>
    <s v="Process Heat"/>
    <s v="PRH"/>
    <x v="20"/>
    <n v="6.6127431976048525"/>
    <n v="18.202657224381703"/>
    <n v="73.363413788053293"/>
    <n v="49.690784573559547"/>
    <n v="13.79297649712492"/>
    <n v="12.022588106664506"/>
    <n v="41.766499454954818"/>
    <n v="34.565840320479047"/>
    <n v="21.674356253969368"/>
    <n v="0.3490589074973014"/>
    <n v="0.35756064018514205"/>
    <n v="0.28221590049294248"/>
    <n v="0.19712639918723202"/>
    <n v="0.15333505599500624"/>
    <n v="0.24897829898664495"/>
    <n v="0.36029385146775283"/>
    <n v="0.39652926290599472"/>
    <n v="0.22168652829831967"/>
  </r>
  <r>
    <s v="Food"/>
    <s v="IFD"/>
    <s v="Steam"/>
    <s v="STM"/>
    <x v="21"/>
    <n v="3.6429546067090475"/>
    <n v="8.9428763314208943"/>
    <n v="90.405382900362838"/>
    <n v="138.33595194774605"/>
    <n v="53.634810082286577"/>
    <n v="17.205663401465852"/>
    <n v="6.1787923173991119"/>
    <n v="10.888801720357673"/>
    <n v="50.720415290236787"/>
    <n v="0.19229625543914958"/>
    <n v="0.17566779106713767"/>
    <n v="0.34777330044025168"/>
    <n v="0.54878723126676732"/>
    <n v="0.59625249190870522"/>
    <n v="0.3563156924804794"/>
    <n v="5.3300633534204243E-2"/>
    <n v="0.12491316513849809"/>
    <n v="0.51877124505058414"/>
  </r>
  <r>
    <s v="Food"/>
    <s v="IFD"/>
    <s v="Total"/>
    <m/>
    <x v="7"/>
    <n v="18.94449061626074"/>
    <n v="50.907888561102567"/>
    <n v="259.95492691910863"/>
    <n v="252.0757482429479"/>
    <n v="89.95318394492989"/>
    <n v="48.287694773388225"/>
    <n v="115.92343106830126"/>
    <n v="87.170969595435835"/>
    <n v="97.770290420185418"/>
    <m/>
    <m/>
    <m/>
    <m/>
    <m/>
    <m/>
    <m/>
    <m/>
    <m/>
  </r>
  <r>
    <s v="Glass"/>
    <s v="ING"/>
    <s v="Electrochemical"/>
    <s v="ETC"/>
    <x v="22"/>
    <n v="0"/>
    <n v="0"/>
    <n v="0"/>
    <n v="0"/>
    <n v="0"/>
    <n v="0"/>
    <n v="0"/>
    <n v="0"/>
    <n v="0"/>
    <n v="0"/>
    <n v="0"/>
    <n v="0"/>
    <n v="0"/>
    <n v="0"/>
    <n v="0"/>
    <n v="0"/>
    <n v="0"/>
    <n v="0"/>
  </r>
  <r>
    <s v="Glass"/>
    <s v="ING"/>
    <s v="Facilities"/>
    <s v="FAC"/>
    <x v="23"/>
    <n v="0.87089560569592572"/>
    <n v="2.3972825974014942"/>
    <n v="3.6733037471795655"/>
    <n v="2.4880159707626959"/>
    <n v="1.5412435972854857"/>
    <n v="1.343418293075445"/>
    <n v="4.6670383205100769"/>
    <n v="1.743621286721712"/>
    <n v="1.0933299636294536"/>
    <n v="5.6304834633828169E-2"/>
    <n v="5.6304834633828162E-2"/>
    <n v="5.9643905388491451E-2"/>
    <n v="5.9643905388491451E-2"/>
    <n v="5.903416573379671E-2"/>
    <n v="5.9034165733796717E-2"/>
    <n v="5.8255532297394025E-2"/>
    <n v="6.0044108375186131E-2"/>
    <n v="6.0044108375186124E-2"/>
  </r>
  <r>
    <s v="Glass"/>
    <s v="ING"/>
    <s v="Feedstock"/>
    <s v="FEED"/>
    <x v="24"/>
    <n v="0"/>
    <n v="0"/>
    <n v="0"/>
    <n v="0"/>
    <n v="0"/>
    <n v="0"/>
    <n v="0"/>
    <n v="0"/>
    <n v="0"/>
    <n v="0"/>
    <n v="0"/>
    <n v="0"/>
    <n v="0"/>
    <n v="0"/>
    <n v="0"/>
    <n v="0"/>
    <n v="0"/>
    <n v="0"/>
  </r>
  <r>
    <s v="Glass"/>
    <s v="ING"/>
    <s v="Machine Drive"/>
    <s v="MDR"/>
    <x v="25"/>
    <n v="0.95899523655213514"/>
    <n v="2.6397912408115372"/>
    <n v="4.5976128229139412"/>
    <n v="3.1140724857225015"/>
    <n v="1.8886743818203962"/>
    <n v="1.6462548286781273"/>
    <n v="5.7190931598652073"/>
    <n v="2.2118535549459364"/>
    <n v="1.3869329224177365"/>
    <n v="6.2000620804084861E-2"/>
    <n v="6.2000620804084854E-2"/>
    <n v="7.4652030732101957E-2"/>
    <n v="7.4652030732101957E-2"/>
    <n v="7.2341787287833109E-2"/>
    <n v="7.2341787287833109E-2"/>
    <n v="7.138763245679107E-2"/>
    <n v="7.6168360397180251E-2"/>
    <n v="7.6168360397180238E-2"/>
  </r>
  <r>
    <s v="Glass"/>
    <s v="ING"/>
    <s v="Other Heat"/>
    <s v="OHT"/>
    <x v="26"/>
    <n v="3.1642393776703202"/>
    <n v="8.7100864265356126"/>
    <n v="12.641770659670913"/>
    <n v="8.5625718603125751"/>
    <n v="5.3557124993928591"/>
    <n v="4.6682835580367072"/>
    <n v="16.217628097417084"/>
    <n v="5.9631336136689965"/>
    <n v="3.7391563790829414"/>
    <n v="0.20457328494522248"/>
    <n v="0.20457328494522248"/>
    <n v="0.20526605613471482"/>
    <n v="0.2052660561347148"/>
    <n v="0.2051395508591756"/>
    <n v="0.20513955085917565"/>
    <n v="0.20243385473486941"/>
    <n v="0.20534908794790524"/>
    <n v="0.20534908794790521"/>
  </r>
  <r>
    <s v="Glass"/>
    <s v="ING"/>
    <s v="Process Heat"/>
    <s v="PRH"/>
    <x v="27"/>
    <n v="10.473380010059067"/>
    <n v="28.829691492155327"/>
    <n v="40.674556651290118"/>
    <n v="27.549844368248714"/>
    <n v="17.32202393022839"/>
    <n v="15.098666986805316"/>
    <n v="52.452804743878467"/>
    <n v="19.1203985997216"/>
    <n v="11.989360800313957"/>
    <n v="0.67712125961686453"/>
    <n v="0.67712125961686453"/>
    <n v="0.66043800774469186"/>
    <n v="0.66043800774469186"/>
    <n v="0.66348449611919469"/>
    <n v="0.66348449611919458"/>
    <n v="0.65473344142414291"/>
    <n v="0.65843844327972834"/>
    <n v="0.65843844327972845"/>
  </r>
  <r>
    <s v="Glass"/>
    <s v="ING"/>
    <s v="Steam"/>
    <s v="STM"/>
    <x v="28"/>
    <n v="0"/>
    <n v="0"/>
    <n v="0"/>
    <n v="0"/>
    <n v="0"/>
    <n v="0"/>
    <n v="1.0566564568276462"/>
    <n v="0"/>
    <n v="0"/>
    <n v="0"/>
    <n v="0"/>
    <n v="0"/>
    <n v="0"/>
    <n v="0"/>
    <n v="0"/>
    <n v="1.3189539086802527E-2"/>
    <n v="0"/>
    <n v="0"/>
  </r>
  <r>
    <s v="Glass"/>
    <s v="ING"/>
    <s v="Total"/>
    <m/>
    <x v="7"/>
    <n v="15.467510229977448"/>
    <n v="42.57685175690397"/>
    <n v="61.587243881054533"/>
    <n v="41.714504685046485"/>
    <n v="26.107654408727129"/>
    <n v="22.756623666595594"/>
    <n v="80.113220778498487"/>
    <n v="29.039007055058246"/>
    <n v="18.208780065444088"/>
    <m/>
    <m/>
    <m/>
    <m/>
    <m/>
    <m/>
    <m/>
    <m/>
    <m/>
  </r>
  <r>
    <s v="Inorganic Chemicals"/>
    <s v="ICI"/>
    <s v="Electrochemical"/>
    <s v="ETC"/>
    <x v="29"/>
    <n v="1.8982444718727445"/>
    <n v="5.2252283835991449"/>
    <n v="9.2433132839007648"/>
    <n v="6.2607158721262897"/>
    <n v="9.492757260592354"/>
    <n v="8.2743206707007779"/>
    <n v="28.745009536788029"/>
    <n v="5.150781621083186"/>
    <n v="3.229774679471979"/>
    <n v="0.20343254681153286"/>
    <n v="0.21920853209088265"/>
    <n v="0.20311390417176861"/>
    <n v="0.20141140035178007"/>
    <n v="0.11501975909863335"/>
    <n v="0.1342026294052128"/>
    <n v="0.11843369259410585"/>
    <n v="0.15020620191915732"/>
    <n v="0.15561137584780224"/>
  </r>
  <r>
    <s v="Inorganic Chemicals"/>
    <s v="ICI"/>
    <s v="Facilities"/>
    <s v="FAC"/>
    <x v="30"/>
    <n v="0.19801856902002407"/>
    <n v="0.54507849892607518"/>
    <n v="0.98849558804321636"/>
    <n v="0.66953156595567542"/>
    <n v="1.1908937459486775"/>
    <n v="1.038037365562694"/>
    <n v="3.6061442576547917"/>
    <n v="0.62847307887926529"/>
    <n v="0.39408124556971297"/>
    <n v="2.1221408732446628E-2"/>
    <n v="2.2867107206055684E-2"/>
    <n v="2.1721345147277759E-2"/>
    <n v="2.1539276503383959E-2"/>
    <n v="1.4429560138414257E-2"/>
    <n v="1.6836106482150063E-2"/>
    <n v="1.4857847930594586E-2"/>
    <n v="1.8327423123607672E-2"/>
    <n v="1.8986935902582578E-2"/>
  </r>
  <r>
    <s v="Inorganic Chemicals"/>
    <s v="ICI"/>
    <s v="Feedstock"/>
    <s v="FEED"/>
    <x v="31"/>
    <n v="0"/>
    <n v="0"/>
    <n v="4.16741057072828"/>
    <n v="2.8226862710872855"/>
    <n v="25.554675319337505"/>
    <n v="22.274621843079434"/>
    <n v="77.382088849287697"/>
    <n v="8.5923800404586839"/>
    <n v="5.3878136431724464"/>
    <n v="0"/>
    <n v="0"/>
    <n v="9.1575283159731416E-2"/>
    <n v="9.080769774980238E-2"/>
    <n v="0.30963528492148312"/>
    <n v="0.3612759209264334"/>
    <n v="0.31882565602691337"/>
    <n v="0.25056949920774563"/>
    <n v="0.25958624889668502"/>
  </r>
  <r>
    <s v="Inorganic Chemicals"/>
    <s v="ICI"/>
    <s v="Machine Drive"/>
    <s v="MDR"/>
    <x v="32"/>
    <n v="3.5918745893086039"/>
    <n v="9.887222290112927"/>
    <n v="17.914893676349671"/>
    <n v="12.134183462366069"/>
    <n v="21.473491038141344"/>
    <n v="18.71727527539386"/>
    <n v="65.023858478078054"/>
    <n v="11.341664321792688"/>
    <n v="7.1117401094347743"/>
    <n v="0.38493682260525153"/>
    <n v="0.41478827824536668"/>
    <n v="0.3936644670221453"/>
    <n v="0.3903647654993378"/>
    <n v="0.26018528636215837"/>
    <n v="0.3035787053979736"/>
    <n v="0.26790791829167898"/>
    <n v="0.33074365145774476"/>
    <n v="0.34264547001838186"/>
  </r>
  <r>
    <s v="Inorganic Chemicals"/>
    <s v="ICI"/>
    <s v="Other Heat"/>
    <s v="OHT"/>
    <x v="33"/>
    <n v="0.35871218111415015"/>
    <n v="0.98741394908488267"/>
    <n v="8.3863762483412891"/>
    <n v="5.6802920419306355"/>
    <n v="2.0369863848662315"/>
    <n v="1.7755303425069322"/>
    <n v="6.1681965999869499"/>
    <n v="0.84022080599123594"/>
    <n v="0.52685671495918496"/>
    <n v="3.8442747316091465E-2"/>
    <n v="4.1423942927422415E-2"/>
    <n v="0.18428344570131702"/>
    <n v="0.18273877906932806"/>
    <n v="2.4681309849472536E-2"/>
    <n v="2.8797631858397343E-2"/>
    <n v="2.5413882679285134E-2"/>
    <n v="2.4502373683405364E-2"/>
    <n v="2.5384092212542664E-2"/>
  </r>
  <r>
    <s v="Inorganic Chemicals"/>
    <s v="ICI"/>
    <s v="Process Heat"/>
    <s v="PRH"/>
    <x v="34"/>
    <n v="2.1714889122642331"/>
    <n v="5.9773783973356194"/>
    <n v="3.0995607288623237"/>
    <n v="2.0994061821540244"/>
    <n v="8.811107751844677"/>
    <n v="7.6801638345391439"/>
    <n v="26.680907285797133"/>
    <n v="5.846954216269193"/>
    <n v="3.6663066052811764"/>
    <n v="0.2327158205070925"/>
    <n v="0.25076269361630515"/>
    <n v="6.8110196151551131E-2"/>
    <n v="6.7539295456194887E-2"/>
    <n v="0.10676049783938493"/>
    <n v="0.1245658975373844"/>
    <n v="0.10992928590174426"/>
    <n v="0.17050786661701003"/>
    <n v="0.17664359645700131"/>
  </r>
  <r>
    <s v="Inorganic Chemicals"/>
    <s v="ICI"/>
    <s v="Steam"/>
    <s v="STM"/>
    <x v="35"/>
    <n v="1.1127368669517117"/>
    <n v="1.2144713911406415"/>
    <n v="1.707978128587242"/>
    <n v="1.417402584054863"/>
    <n v="13.971623384957779"/>
    <n v="1.895479532559361"/>
    <n v="35.103524860431371"/>
    <n v="1.8909303666907864"/>
    <n v="0.4388162651097457"/>
    <n v="0.11925065402758503"/>
    <n v="5.0949445913967453E-2"/>
    <n v="3.7531358646208816E-2"/>
    <n v="4.5598785370172916E-2"/>
    <n v="0.16928830179045337"/>
    <n v="3.0743108392448346E-2"/>
    <n v="0.1446317165756778"/>
    <n v="5.5142983991329129E-2"/>
    <n v="2.1142280665004478E-2"/>
  </r>
  <r>
    <s v="Inorganic Chemicals"/>
    <s v="ICI"/>
    <s v="Total"/>
    <m/>
    <x v="7"/>
    <n v="9.3310755905314675"/>
    <n v="23.836792910199289"/>
    <n v="45.508028224812783"/>
    <n v="31.08421797967484"/>
    <n v="82.531534885688572"/>
    <n v="61.655428864342205"/>
    <n v="242.70972986802403"/>
    <n v="34.291404451165043"/>
    <n v="20.755389262999017"/>
    <m/>
    <m/>
    <m/>
    <m/>
    <m/>
    <m/>
    <m/>
    <m/>
    <m/>
  </r>
  <r>
    <s v="Organic Chemicals"/>
    <s v="ICO"/>
    <s v="Electrochemical"/>
    <s v="ETC"/>
    <x v="36"/>
    <n v="0"/>
    <n v="0"/>
    <n v="0"/>
    <n v="0"/>
    <n v="0"/>
    <n v="0"/>
    <n v="0"/>
    <n v="0"/>
    <n v="0"/>
    <n v="0"/>
    <n v="0"/>
    <n v="0"/>
    <n v="0"/>
    <n v="0"/>
    <n v="0"/>
    <n v="0"/>
    <n v="0"/>
    <n v="0"/>
  </r>
  <r>
    <s v="Organic Chemicals"/>
    <s v="ICO"/>
    <s v="Facilities"/>
    <s v="FAC"/>
    <x v="37"/>
    <n v="0.14468657919893144"/>
    <n v="0.39827347402216207"/>
    <n v="3.7565187792745833"/>
    <n v="2.5443794906646104"/>
    <n v="2.3095061083402793"/>
    <n v="2.0130709768256767"/>
    <n v="6.993413324188273"/>
    <n v="0.19702927437339537"/>
    <n v="0.12354632913986871"/>
    <n v="4.2743189654051772E-2"/>
    <n v="1.0264274314617398E-2"/>
    <n v="2.9566256673346291E-2"/>
    <n v="3.8615808722954489E-2"/>
    <n v="4.3853510728529234E-3"/>
    <n v="4.4571689346505523E-3"/>
    <n v="4.1320765208266224E-3"/>
    <n v="3.3710171397213134E-2"/>
    <n v="3.3865003470127608E-2"/>
  </r>
  <r>
    <s v="Organic Chemicals"/>
    <s v="ICO"/>
    <s v="Feedstock"/>
    <s v="FEED"/>
    <x v="38"/>
    <n v="0"/>
    <n v="0"/>
    <n v="0.79648844867872548"/>
    <n v="0.53948056497158514"/>
    <n v="416.18629089772014"/>
    <n v="362.76697434717784"/>
    <n v="1260.2533249848302"/>
    <n v="1.5161189456025337"/>
    <n v="0.95067563368082775"/>
    <n v="0"/>
    <n v="0"/>
    <n v="6.2688843833061192E-3"/>
    <n v="8.1876459007506619E-3"/>
    <n v="0.79026549906231514"/>
    <n v="0.8032074910379241"/>
    <n v="0.74462396730539748"/>
    <n v="0.25939612109602633"/>
    <n v="0.26058753714259653"/>
  </r>
  <r>
    <s v="Organic Chemicals"/>
    <s v="ICO"/>
    <s v="Machine Drive"/>
    <s v="MDR"/>
    <x v="39"/>
    <n v="0.91276966781428226"/>
    <n v="2.5125478022576249"/>
    <n v="23.76360603610258"/>
    <n v="16.095655412687492"/>
    <n v="12.944707151036702"/>
    <n v="11.283197812361161"/>
    <n v="39.197855827639607"/>
    <n v="1.3257476486562951"/>
    <n v="0.83130415963920423"/>
    <n v="0.26964966092819093"/>
    <n v="6.4753194860088195E-2"/>
    <n v="0.18703510266581669"/>
    <n v="0.24428225151452337"/>
    <n v="2.4579751137078065E-2"/>
    <n v="2.4982287933073822E-2"/>
    <n v="2.3160155452550252E-2"/>
    <n v="0.22682507768343382"/>
    <n v="0.22786689371435487"/>
  </r>
  <r>
    <s v="Organic Chemicals"/>
    <s v="ICO"/>
    <s v="Other Heat"/>
    <s v="OHT"/>
    <x v="40"/>
    <n v="0.34086423393902116"/>
    <n v="0.93828455529481136"/>
    <n v="4.5608753166601526"/>
    <n v="3.0891892992025736"/>
    <n v="34.540561752590463"/>
    <n v="30.107130756785185"/>
    <n v="104.59224329963251"/>
    <n v="0.57850259404021986"/>
    <n v="0.3627474755660553"/>
    <n v="0.1006978302908571"/>
    <n v="2.4181399688644165E-2"/>
    <n v="3.5897068054467157E-2"/>
    <n v="4.6884336053127272E-2"/>
    <n v="6.5586529081544873E-2"/>
    <n v="6.6660624223099901E-2"/>
    <n v="6.1798600020421465E-2"/>
    <n v="9.8977279700429494E-2"/>
    <n v="9.9431886032947878E-2"/>
  </r>
  <r>
    <s v="Organic Chemicals"/>
    <s v="ICO"/>
    <s v="Process Heat"/>
    <s v="PRH"/>
    <x v="41"/>
    <n v="1.9637405596978315"/>
    <n v="5.4055170778054888"/>
    <n v="51.897331023516863"/>
    <n v="35.151296302575084"/>
    <n v="47.55625386880471"/>
    <n v="41.452202305991584"/>
    <n v="144.00504863508979"/>
    <n v="1.8787664669289517"/>
    <n v="1.1780721470874718"/>
    <n v="0.58012661325770076"/>
    <n v="0.13931058360129997"/>
    <n v="0.40846589618253548"/>
    <n v="0.53348792480227669"/>
    <n v="9.0301068341535271E-2"/>
    <n v="9.177990767243327E-2"/>
    <n v="8.5085758950850632E-2"/>
    <n v="0.32144228220364074"/>
    <n v="0.32291867857936674"/>
  </r>
  <r>
    <s v="Organic Chemicals"/>
    <s v="ICO"/>
    <s v="Steam"/>
    <s v="STM"/>
    <x v="42"/>
    <n v="2.295959936237358E-2"/>
    <n v="29.54728960916777"/>
    <n v="42.279437577436312"/>
    <n v="8.4695808086318749"/>
    <n v="13.103779183240945"/>
    <n v="4.0253210066000111"/>
    <n v="137.42757545476775"/>
    <n v="0.34863698646611102"/>
    <n v="0.20185494823211395"/>
    <n v="6.7827058691994277E-3"/>
    <n v="0.76149054753535028"/>
    <n v="0.33276679204052823"/>
    <n v="0.12854203300636743"/>
    <n v="2.4881801304673892E-2"/>
    <n v="8.9125201988183647E-3"/>
    <n v="8.1199441749953569E-2"/>
    <n v="5.9649067919256463E-2"/>
    <n v="5.5330001060606433E-2"/>
  </r>
  <r>
    <s v="Organic Chemicals"/>
    <s v="ICO"/>
    <s v="Total"/>
    <m/>
    <x v="7"/>
    <n v="3.3850206400124399"/>
    <n v="38.801912518547859"/>
    <n v="127.05425718166921"/>
    <n v="65.889581878733225"/>
    <n v="526.64109896173318"/>
    <n v="451.64789720574146"/>
    <n v="1692.4694615261481"/>
    <n v="5.8448019160675067"/>
    <n v="3.6482006933455415"/>
    <m/>
    <m/>
    <m/>
    <m/>
    <m/>
    <m/>
    <m/>
    <m/>
    <m/>
  </r>
  <r>
    <s v="Other"/>
    <s v="IOT"/>
    <s v="Electrochemical"/>
    <s v="ETC"/>
    <x v="43"/>
    <n v="0.52203697683094341"/>
    <n v="1.4369921625185693"/>
    <n v="3.2678985586167504"/>
    <n v="2.2134253969369375"/>
    <n v="1.4013987333665723"/>
    <n v="1.2215231243219784"/>
    <n v="4.243574216597116"/>
    <n v="1.5810636099500879"/>
    <n v="0.99139889626644417"/>
    <n v="6.7857386818111834E-3"/>
    <n v="6.6733927488421352E-3"/>
    <n v="7.0430676770411498E-3"/>
    <n v="7.3888356485006749E-3"/>
    <n v="6.7561632184519613E-3"/>
    <n v="7.639506689835443E-3"/>
    <n v="8.0304454599270138E-3"/>
    <n v="8.9371987465531946E-3"/>
    <n v="7.9033979876826921E-3"/>
  </r>
  <r>
    <s v="Other"/>
    <s v="IOT"/>
    <s v="Facilities"/>
    <s v="FAC"/>
    <x v="44"/>
    <n v="21.094295846542924"/>
    <n v="58.065499477341703"/>
    <n v="138.04643656693693"/>
    <n v="93.502133916677934"/>
    <n v="50.511009819377776"/>
    <n v="44.027702507623957"/>
    <n v="152.95234241354717"/>
    <n v="54.934161510841754"/>
    <n v="34.446221357843015"/>
    <n v="0.27419586283024916"/>
    <n v="0.26965622588423938"/>
    <n v="0.29752159618040641"/>
    <n v="0.3121279358457264"/>
    <n v="0.24351429649771231"/>
    <n v="0.27535289438894017"/>
    <n v="0.28944361074589969"/>
    <n v="0.31052357179553614"/>
    <n v="0.27460409486847198"/>
  </r>
  <r>
    <s v="Other"/>
    <s v="IOT"/>
    <s v="Feedstock"/>
    <s v="FEED"/>
    <x v="45"/>
    <n v="0.37055175388061068"/>
    <n v="1.1873566239068856"/>
    <n v="4.741702355953775"/>
    <n v="3.2116677525713451"/>
    <n v="4.6684101160156226"/>
    <n v="4.0691994182358648"/>
    <n v="14.136408381955508"/>
    <n v="0"/>
    <n v="0"/>
    <n v="4.8166461027049487E-3"/>
    <n v="5.5140851084269542E-3"/>
    <n v="1.0219451429821603E-2"/>
    <n v="1.0721158803987149E-2"/>
    <n v="2.250647154411517E-2"/>
    <n v="2.5449109852212114E-2"/>
    <n v="2.6751424793409362E-2"/>
    <n v="0"/>
    <n v="0"/>
  </r>
  <r>
    <s v="Other"/>
    <s v="IOT"/>
    <s v="Machine Drive"/>
    <s v="MDR"/>
    <x v="46"/>
    <n v="17.277645598783486"/>
    <n v="47.559545423284419"/>
    <n v="107.31845775030446"/>
    <n v="72.689343222812624"/>
    <n v="45.481314625587927"/>
    <n v="39.643590519206512"/>
    <n v="137.72192701961089"/>
    <n v="52.379862735738953"/>
    <n v="32.844559685007731"/>
    <n v="0.22458483454948328"/>
    <n v="0.22086656687793388"/>
    <n v="0.23129578454571598"/>
    <n v="0.24265087552265083"/>
    <n v="0.21926606445694677"/>
    <n v="0.24793429526655905"/>
    <n v="0.26062191141643326"/>
    <n v="0.29608501558090555"/>
    <n v="0.26183570296314873"/>
  </r>
  <r>
    <s v="Other"/>
    <s v="IOT"/>
    <s v="Other Heat"/>
    <s v="OHT"/>
    <x v="47"/>
    <n v="6.7785554506749888"/>
    <n v="25.932062404807773"/>
    <n v="20.935531468405845"/>
    <n v="14.23270072551114"/>
    <n v="17.834997918782964"/>
    <n v="15.176223411668097"/>
    <n v="55.765912127034717"/>
    <n v="14.154351887228918"/>
    <n v="9.0240002417549228"/>
    <n v="8.8111585902741818E-2"/>
    <n v="0.12042851849063559"/>
    <n v="4.5120851318353181E-2"/>
    <n v="4.7511466454043909E-2"/>
    <n v="8.5982778541965357E-2"/>
    <n v="9.4913356915964239E-2"/>
    <n v="0.10553017173771541"/>
    <n v="8.0009593003540561E-2"/>
    <n v="7.1939020327864325E-2"/>
  </r>
  <r>
    <s v="Other"/>
    <s v="IOT"/>
    <s v="Process Heat"/>
    <s v="PRH"/>
    <x v="48"/>
    <n v="21.739823394303045"/>
    <n v="59.842419634324244"/>
    <n v="140.87636704694808"/>
    <n v="95.418913120091744"/>
    <n v="47.73599665268916"/>
    <n v="41.608874323538934"/>
    <n v="144.54932759378352"/>
    <n v="50.115362309727288"/>
    <n v="31.424614776520631"/>
    <n v="0.28258680340614845"/>
    <n v="0.27790824451048951"/>
    <n v="0.30362074263018995"/>
    <n v="0.31852650998700438"/>
    <n v="0.23013591856635637"/>
    <n v="0.26022534278885329"/>
    <n v="0.27354193240476254"/>
    <n v="0.28328458791844136"/>
    <n v="0.25051595086878975"/>
  </r>
  <r>
    <s v="Other"/>
    <s v="IOT"/>
    <s v="Steam"/>
    <s v="STM"/>
    <x v="49"/>
    <n v="9.1485794004636229"/>
    <n v="21.307697972651098"/>
    <n v="48.801559864210112"/>
    <n v="18.295306276242719"/>
    <n v="39.792105666012091"/>
    <n v="14.148436750651765"/>
    <n v="19.066226760611205"/>
    <n v="3.7433830263016645"/>
    <n v="16.708781514843906"/>
    <n v="0.1189185285268613"/>
    <n v="9.8952966379432586E-2"/>
    <n v="0.10517850621847182"/>
    <n v="6.1073217738086598E-2"/>
    <n v="0.19183830717445224"/>
    <n v="8.8485494097635592E-2"/>
    <n v="3.6080503441852596E-2"/>
    <n v="2.116003295502316E-2"/>
    <n v="0.13320183298404262"/>
  </r>
  <r>
    <s v="Other"/>
    <s v="IOT"/>
    <s v="Total"/>
    <m/>
    <x v="7"/>
    <n v="76.931488421479614"/>
    <n v="215.33157369883469"/>
    <n v="463.98795361137593"/>
    <n v="299.56349041084445"/>
    <n v="207.42523353183208"/>
    <n v="159.89555005524713"/>
    <n v="528.43571851314016"/>
    <n v="176.90818507978867"/>
    <n v="125.43957647223664"/>
    <m/>
    <m/>
    <m/>
    <m/>
    <m/>
    <m/>
    <m/>
    <m/>
    <m/>
  </r>
  <r>
    <s v="Other Chemicals"/>
    <s v="ICT"/>
    <s v="Electrochemical"/>
    <s v="ETC"/>
    <x v="50"/>
    <n v="0"/>
    <n v="0"/>
    <n v="0"/>
    <n v="0"/>
    <n v="0"/>
    <n v="0"/>
    <n v="0"/>
    <n v="0"/>
    <n v="0"/>
    <n v="0"/>
    <n v="0"/>
    <n v="0"/>
    <n v="0"/>
    <n v="0"/>
    <n v="0"/>
    <n v="0"/>
    <n v="0"/>
    <n v="0"/>
  </r>
  <r>
    <s v="Other Chemicals"/>
    <s v="ICT"/>
    <s v="Facilities"/>
    <s v="FAC"/>
    <x v="51"/>
    <n v="3.5677972414717782"/>
    <n v="9.820945452127642"/>
    <n v="10.955147612783689"/>
    <n v="7.4201819666007127"/>
    <n v="2.5110191234348487"/>
    <n v="2.1887189219315841"/>
    <n v="7.6036147000021161"/>
    <n v="2.2366166444305442"/>
    <n v="1.4024605074109564"/>
    <n v="0.23256672055763614"/>
    <n v="0.16520451764618857"/>
    <n v="0.16546681526579993"/>
    <n v="0.20529666466362795"/>
    <n v="7.1104934807454667E-2"/>
    <n v="0.12521497762252862"/>
    <n v="0.13122685105699702"/>
    <n v="0.24690047927048128"/>
    <n v="0.18188236212729977"/>
  </r>
  <r>
    <s v="Other Chemicals"/>
    <s v="ICT"/>
    <s v="Feedstock"/>
    <s v="FEED"/>
    <x v="52"/>
    <n v="0"/>
    <n v="0"/>
    <n v="4.5301912199804582"/>
    <n v="3.0684062309234736"/>
    <n v="6.43296576134889"/>
    <n v="5.6072666888901361"/>
    <n v="19.479657709931356"/>
    <n v="0"/>
    <n v="0"/>
    <n v="0"/>
    <n v="0"/>
    <n v="6.8424118068527218E-2"/>
    <n v="8.4894624940075977E-2"/>
    <n v="0.18216333233400364"/>
    <n v="0.32078754651296221"/>
    <n v="0.33618933123238537"/>
    <n v="0"/>
    <n v="0"/>
  </r>
  <r>
    <s v="Other Chemicals"/>
    <s v="ICT"/>
    <s v="Machine Drive"/>
    <s v="MDR"/>
    <x v="53"/>
    <n v="4.495941903747557"/>
    <n v="12.375815441357648"/>
    <n v="14.354374202963211"/>
    <n v="9.7225589619966364"/>
    <n v="3.3115649646151288"/>
    <n v="2.8865112302864913"/>
    <n v="10.02774682596435"/>
    <n v="2.9071448172363628"/>
    <n v="1.8229122123592667"/>
    <n v="0.29306779326419735"/>
    <n v="0.20818164915321943"/>
    <n v="0.21680881613372888"/>
    <n v="0.26899730166695268"/>
    <n v="9.3774120922468229E-2"/>
    <n v="0.16513515531200695"/>
    <n v="0.17306369287330303"/>
    <n v="0.32092019455891313"/>
    <n v="0.23640992197825303"/>
  </r>
  <r>
    <s v="Other Chemicals"/>
    <s v="ICT"/>
    <s v="Other Heat"/>
    <s v="OHT"/>
    <x v="54"/>
    <n v="0.38387387383840504"/>
    <n v="1.6114324098531894"/>
    <n v="4.4314373323929832"/>
    <n v="2.9593263927517102"/>
    <n v="1.4761713920464974"/>
    <n v="1.2866983877711937"/>
    <n v="4.4699932356284027"/>
    <n v="0.23438635331373842"/>
    <n v="0.14697091914125623"/>
    <n v="2.5022803120259601E-2"/>
    <n v="2.7106953733416522E-2"/>
    <n v="6.6932536955083499E-2"/>
    <n v="8.1876676450469033E-2"/>
    <n v="4.1800984156789595E-2"/>
    <n v="7.3611055406569856E-2"/>
    <n v="7.7145299926550642E-2"/>
    <n v="2.5873948095542516E-2"/>
    <n v="1.9060371251936496E-2"/>
  </r>
  <r>
    <s v="Other Chemicals"/>
    <s v="ICT"/>
    <s v="Process Heat"/>
    <s v="PRH"/>
    <x v="55"/>
    <n v="6.0593749947680253"/>
    <n v="16.679420737781218"/>
    <n v="15.772879639636129"/>
    <n v="10.683346423084158"/>
    <n v="1.2396825764539898"/>
    <n v="1.0805639379449137"/>
    <n v="3.7538816704701312"/>
    <n v="2.777324147625079"/>
    <n v="1.7415087395608126"/>
    <n v="0.39498011680193468"/>
    <n v="0.28057539582464708"/>
    <n v="0.23823395665576055"/>
    <n v="0.29557973079062344"/>
    <n v="3.5104292101177013E-2"/>
    <n v="6.1818257225133601E-2"/>
    <n v="6.4786301028146268E-2"/>
    <n v="0.30658926948686011"/>
    <n v="0.22585286469235419"/>
  </r>
  <r>
    <s v="Other Chemicals"/>
    <s v="ICT"/>
    <s v="Steam"/>
    <s v="STM"/>
    <x v="56"/>
    <n v="0.83397406758082326"/>
    <n v="18.959582633978133"/>
    <n v="16.163490788396743"/>
    <n v="2.2898844475010525"/>
    <n v="20.342869800864896"/>
    <n v="4.4299302720035687"/>
    <n v="12.607627824788972"/>
    <n v="0.90330609663131167"/>
    <n v="2.5969585600252625"/>
    <n v="5.4362566255972224E-2"/>
    <n v="0.31893148364252843"/>
    <n v="0.24413375692110006"/>
    <n v="6.3355001488250878E-2"/>
    <n v="0.57605233567810676"/>
    <n v="0.25343300792079865"/>
    <n v="0.21758852388261776"/>
    <n v="9.9716108588203067E-2"/>
    <n v="0.3367944799501566"/>
  </r>
  <r>
    <s v="Other Chemicals"/>
    <s v="ICT"/>
    <s v="Total"/>
    <m/>
    <x v="7"/>
    <n v="15.340962081406589"/>
    <n v="59.447196675097828"/>
    <n v="66.207520796153204"/>
    <n v="36.143704422857745"/>
    <n v="35.314273618764254"/>
    <n v="17.47968943882789"/>
    <n v="57.942521966785321"/>
    <n v="9.0587780592370351"/>
    <n v="7.7108109384975538"/>
    <m/>
    <m/>
    <m/>
    <m/>
    <m/>
    <m/>
    <m/>
    <m/>
    <m/>
  </r>
  <r>
    <s v="Other Metals"/>
    <s v="IMO"/>
    <s v="Electrochemical"/>
    <s v="ETC"/>
    <x v="57"/>
    <n v="0.47084365592809052"/>
    <n v="1.2960741736104375"/>
    <n v="3.5364642470204193"/>
    <n v="2.3953313235732141"/>
    <n v="0.90153565278769443"/>
    <n v="0.78581963937940791"/>
    <n v="2.7299392816792203"/>
    <n v="1.163536109566117"/>
    <n v="0.72959013636802139"/>
    <n v="3.9162427740305213E-2"/>
    <n v="3.4222049478387584E-2"/>
    <n v="4.7699601271763287E-2"/>
    <n v="4.9388455188243599E-2"/>
    <n v="4.3393432589560521E-2"/>
    <n v="4.3737268182543469E-2"/>
    <n v="4.2880322436732524E-2"/>
    <n v="3.2751696305144726E-2"/>
    <n v="4.3692647817992383E-2"/>
  </r>
  <r>
    <s v="Other Metals"/>
    <s v="IMO"/>
    <s v="Facilities"/>
    <s v="FAC"/>
    <x v="58"/>
    <n v="1.6558757874501409"/>
    <n v="4.5580689381715729"/>
    <n v="9.6102281590576499"/>
    <n v="6.5092360414702135"/>
    <n v="2.2763713924392697"/>
    <n v="1.9841892455045056"/>
    <n v="6.8930781214198138"/>
    <n v="3.8983801476603266"/>
    <n v="2.4444619124081122"/>
    <n v="0.13772749203791129"/>
    <n v="0.12035303526917908"/>
    <n v="0.1296221364895577"/>
    <n v="0.13421154283754166"/>
    <n v="0.10956812219369808"/>
    <n v="0.11043630472774267"/>
    <n v="0.10827252254718819"/>
    <n v="0.10973321895939066"/>
    <n v="0.14639042952942141"/>
  </r>
  <r>
    <s v="Other Metals"/>
    <s v="IMO"/>
    <s v="Feedstock"/>
    <s v="FEED"/>
    <x v="59"/>
    <n v="0.68473716588122846"/>
    <n v="5.8013415988528187"/>
    <n v="1.1409825167394974"/>
    <n v="0.77281458855357588"/>
    <n v="0"/>
    <n v="0"/>
    <n v="0"/>
    <n v="0"/>
    <n v="0"/>
    <n v="5.6953023455455574E-2"/>
    <n v="0.15318089294528509"/>
    <n v="1.5389498466549254E-2"/>
    <n v="1.5934379640918421E-2"/>
    <n v="0"/>
    <n v="0"/>
    <n v="0"/>
    <n v="0"/>
    <n v="0"/>
  </r>
  <r>
    <s v="Other Metals"/>
    <s v="IMO"/>
    <s v="Machine Drive"/>
    <s v="MDR"/>
    <x v="60"/>
    <n v="1.4284722375936298"/>
    <n v="3.9321034733180551"/>
    <n v="10.238182013094626"/>
    <n v="6.934564118122081"/>
    <n v="2.5987082610051777"/>
    <n v="2.2651527781522813"/>
    <n v="7.8691460968909617"/>
    <n v="3.4197120007486275"/>
    <n v="2.1443151823590005"/>
    <n v="0.11881319856274421"/>
    <n v="0.10382479826997647"/>
    <n v="0.13809193750051582"/>
    <n v="0.14298122594872256"/>
    <n v="0.12508309726317399"/>
    <n v="0.12607421546593106"/>
    <n v="0.1236040391817364"/>
    <n v="9.6259469713701667E-2"/>
    <n v="0.12841567258569161"/>
  </r>
  <r>
    <s v="Other Metals"/>
    <s v="IMO"/>
    <s v="Other Heat"/>
    <s v="OHT"/>
    <x v="61"/>
    <n v="0.72637635234250308"/>
    <n v="1.9994697151367256"/>
    <n v="6.7666410660825491"/>
    <n v="4.5832068893727431"/>
    <n v="5.5061688758557761"/>
    <n v="4.7994282056486242"/>
    <n v="16.673224912712371"/>
    <n v="0.3515591836592567"/>
    <n v="0.22044362064795228"/>
    <n v="6.0416363378217132E-2"/>
    <n v="5.2794780511160322E-2"/>
    <n v="9.1268017504550561E-2"/>
    <n v="9.4499456441194229E-2"/>
    <n v="0.26502730890605236"/>
    <n v="0.26712729999862861"/>
    <n v="0.26189346595192076"/>
    <n v="9.8958335042873807E-3"/>
    <n v="1.3201611426166016E-2"/>
  </r>
  <r>
    <s v="Other Metals"/>
    <s v="IMO"/>
    <s v="Process Heat"/>
    <s v="PRH"/>
    <x v="62"/>
    <n v="6.8190773814894783"/>
    <n v="18.770625813315377"/>
    <n v="40.017875878519746"/>
    <n v="27.105058866478014"/>
    <n v="9.2546155663421388"/>
    <n v="8.0667454963654652"/>
    <n v="28.023892891285371"/>
    <n v="17.13876350465528"/>
    <n v="10.746785338018913"/>
    <n v="0.56717685763810477"/>
    <n v="0.49562694666937757"/>
    <n v="0.53975852428214421"/>
    <n v="0.55886923534435928"/>
    <n v="0.44545053263127765"/>
    <n v="0.44898013927660879"/>
    <n v="0.44018325651975987"/>
    <n v="0.48242901336296762"/>
    <n v="0.64358806889457509"/>
  </r>
  <r>
    <s v="Other Metals"/>
    <s v="IMO"/>
    <s v="Steam"/>
    <s v="STM"/>
    <x v="63"/>
    <n v="0.2374587776280494"/>
    <n v="1.5148047377374809"/>
    <n v="2.8299575422116447"/>
    <n v="0.19961094363110116"/>
    <n v="0.23845500624965346"/>
    <n v="6.5484969948283997E-2"/>
    <n v="1.4748687430901521"/>
    <n v="9.554029104500783"/>
    <n v="0.41263961882254108"/>
    <n v="1.9750637187261895E-2"/>
    <n v="3.9997496856634007E-2"/>
    <n v="3.8170284484919118E-2"/>
    <n v="4.1157045990202999E-3"/>
    <n v="1.1477506416237439E-2"/>
    <n v="3.6447723485452891E-3"/>
    <n v="2.3166393362662144E-2"/>
    <n v="0.26893076815450784"/>
    <n v="2.4711569746153371E-2"/>
  </r>
  <r>
    <s v="Other Metals"/>
    <s v="IMO"/>
    <s v="Total"/>
    <m/>
    <x v="7"/>
    <n v="12.022841358313119"/>
    <n v="37.872488450142463"/>
    <n v="74.140331422726135"/>
    <n v="48.49982277120094"/>
    <n v="20.77585475467971"/>
    <n v="17.96682033499857"/>
    <n v="63.664150047077896"/>
    <n v="35.525980050790395"/>
    <n v="16.698235808624542"/>
    <m/>
    <m/>
    <m/>
    <m/>
    <m/>
    <m/>
    <m/>
    <m/>
    <m/>
  </r>
  <r>
    <s v="Other Non-Metals"/>
    <s v="INO"/>
    <s v="Electrochemical"/>
    <s v="ETC"/>
    <x v="64"/>
    <n v="3.7791296839802216E-2"/>
    <n v="0.10402672565433035"/>
    <n v="0.12682526568007951"/>
    <n v="8.5901768061119391E-2"/>
    <n v="0.12301183580420917"/>
    <n v="0.10722273284717955"/>
    <n v="0.37249202694867478"/>
    <n v="0.1089536358929941"/>
    <n v="6.8318892224671662E-2"/>
    <n v="4.9724379856731149E-3"/>
    <n v="4.674118725178384E-3"/>
    <n v="2.6640298855729015E-3"/>
    <n v="2.6033649672351036E-3"/>
    <n v="4.3654117445784801E-3"/>
    <n v="4.5129119776796461E-3"/>
    <n v="4.5308914178919454E-3"/>
    <n v="3.7769221192454471E-3"/>
    <n v="3.9986087829781735E-3"/>
  </r>
  <r>
    <s v="Other Non-Metals"/>
    <s v="INO"/>
    <s v="Facilities"/>
    <s v="FAC"/>
    <x v="65"/>
    <n v="0.67943609216716405"/>
    <n v="1.8702589715069908"/>
    <n v="2.7543543437510687"/>
    <n v="1.8655896892964643"/>
    <n v="2.5236544444393409"/>
    <n v="2.1997324446519455"/>
    <n v="7.6418757039237351"/>
    <n v="2.7244545700246965"/>
    <n v="1.7083571063505922"/>
    <n v="8.9397668670927452E-2"/>
    <n v="8.4034294309154711E-2"/>
    <n v="5.785662855002334E-2"/>
    <n v="5.6539125444936125E-2"/>
    <n v="8.9558786591462367E-2"/>
    <n v="9.2584833771296893E-2"/>
    <n v="9.2953691726335635E-2"/>
    <n v="9.444432619496719E-2"/>
    <n v="9.9987741420809975E-2"/>
  </r>
  <r>
    <s v="Other Non-Metals"/>
    <s v="INO"/>
    <s v="Feedstock"/>
    <s v="FEED"/>
    <x v="66"/>
    <n v="0"/>
    <n v="0"/>
    <n v="0"/>
    <n v="0"/>
    <n v="0"/>
    <n v="0"/>
    <n v="0"/>
    <n v="0"/>
    <n v="0"/>
    <n v="0"/>
    <n v="0"/>
    <n v="0"/>
    <n v="0"/>
    <n v="0"/>
    <n v="0"/>
    <n v="0"/>
    <n v="0"/>
    <n v="0"/>
  </r>
  <r>
    <s v="Other Non-Metals"/>
    <s v="INO"/>
    <s v="Machine Drive"/>
    <s v="MDR"/>
    <x v="67"/>
    <n v="1.1371130355765149"/>
    <n v="3.1300896153766389"/>
    <n v="3.9583439380468737"/>
    <n v="2.6810804696437467"/>
    <n v="3.8621891545181737"/>
    <n v="3.3664604158846831"/>
    <n v="11.695091429376394"/>
    <n v="3.9825788309592332"/>
    <n v="2.4972583218405311"/>
    <n v="0.14961709507014417"/>
    <n v="0.14064088233761812"/>
    <n v="8.3147048750787919E-2"/>
    <n v="8.1253635711462838E-2"/>
    <n v="0.13706035508446868"/>
    <n v="0.14169140377053935"/>
    <n v="0.14225590228841184"/>
    <n v="0.13805771560539376"/>
    <n v="0.1461610212624444"/>
  </r>
  <r>
    <s v="Other Non-Metals"/>
    <s v="INO"/>
    <s v="Other Heat"/>
    <s v="OHT"/>
    <x v="68"/>
    <n v="0.24956952006144426"/>
    <n v="1.4934991708704006"/>
    <n v="5.7287168420859107"/>
    <n v="3.8801961329854144"/>
    <n v="1.5389604126958862"/>
    <n v="1.341428165136203"/>
    <n v="4.6601246113525967"/>
    <n v="0.74971777982669241"/>
    <n v="0.47010719540561424"/>
    <n v="3.28374272753914E-2"/>
    <n v="6.7105759569902793E-2"/>
    <n v="0.1203346414570043"/>
    <n v="0.11759439772448049"/>
    <n v="5.4614223225779107E-2"/>
    <n v="5.6459549881723067E-2"/>
    <n v="5.6684484714605347E-2"/>
    <n v="2.5989271882583414E-2"/>
    <n v="2.7514713709179434E-2"/>
  </r>
  <r>
    <s v="Other Non-Metals"/>
    <s v="INO"/>
    <s v="Process Heat"/>
    <s v="PRH"/>
    <x v="69"/>
    <n v="5.4962445366555457"/>
    <n v="15.129312046830805"/>
    <n v="34.10205092467497"/>
    <n v="23.098129960393521"/>
    <n v="19.101772270776742"/>
    <n v="16.649976904312442"/>
    <n v="57.842059058272767"/>
    <n v="19.594010483440808"/>
    <n v="12.286337023043357"/>
    <n v="0.72317537099786378"/>
    <n v="0.67978877824282502"/>
    <n v="0.71633110591569438"/>
    <n v="0.70001891351930401"/>
    <n v="0.67787868108752358"/>
    <n v="0.70078311011392591"/>
    <n v="0.70357502985275522"/>
    <n v="0.67923434581216591"/>
    <n v="0.71910204529384381"/>
  </r>
  <r>
    <s v="Other Non-Metals"/>
    <s v="INO"/>
    <s v="Steam"/>
    <s v="STM"/>
    <x v="70"/>
    <n v="0"/>
    <n v="0.52871490717249425"/>
    <n v="0.93625633258137886"/>
    <n v="1.385538953399531"/>
    <n v="1.0291595009291352"/>
    <n v="9.4280639717008938E-2"/>
    <n v="0"/>
    <n v="1.687486853645511"/>
    <n v="5.5286984479474832E-2"/>
    <n v="0"/>
    <n v="2.3756166815321021E-2"/>
    <n v="1.9666545440917158E-2"/>
    <n v="4.199056263258158E-2"/>
    <n v="3.6522542266187723E-2"/>
    <n v="3.9681904848350548E-3"/>
    <n v="0"/>
    <n v="5.8497418385644366E-2"/>
    <n v="3.2358695307441146E-3"/>
  </r>
  <r>
    <s v="Other Non-Metals"/>
    <s v="INO"/>
    <s v="Total"/>
    <m/>
    <x v="7"/>
    <n v="7.6001544813004713"/>
    <n v="22.255901437411659"/>
    <n v="47.606547646820282"/>
    <n v="32.996436973779794"/>
    <n v="28.178747619163488"/>
    <n v="23.759101302549464"/>
    <n v="82.211642829874165"/>
    <n v="28.847202153789933"/>
    <n v="17.085665523344243"/>
    <m/>
    <m/>
    <m/>
    <m/>
    <m/>
    <m/>
    <m/>
    <m/>
    <m/>
  </r>
  <r>
    <s v="Other Pulp and Paper"/>
    <s v="IPO"/>
    <s v="Electrochemical"/>
    <s v="ETC"/>
    <x v="71"/>
    <n v="0"/>
    <n v="0"/>
    <n v="0"/>
    <n v="0"/>
    <n v="0"/>
    <n v="0"/>
    <n v="0"/>
    <n v="0"/>
    <n v="0"/>
    <n v="0"/>
    <n v="0"/>
    <n v="0"/>
    <n v="0"/>
    <n v="0"/>
    <n v="0"/>
    <n v="0"/>
    <n v="0"/>
    <n v="0"/>
  </r>
  <r>
    <s v="Other Pulp and Paper"/>
    <s v="IPO"/>
    <s v="Facilities"/>
    <s v="FAC"/>
    <x v="72"/>
    <n v="2.6357872662438426"/>
    <n v="2.3256946466857431"/>
    <n v="8.2928153965429132"/>
    <n v="1.5879859269975787"/>
    <n v="5.1163134026725956"/>
    <n v="2.9707626209066689"/>
    <n v="2.1455507817659276"/>
    <n v="0.44106112375049183"/>
    <n v="3.4182237090663117"/>
    <n v="7.3967561814197613E-2"/>
    <n v="9.1892316259033047E-2"/>
    <n v="0.27704112783278384"/>
    <n v="0.27642862970255311"/>
    <n v="0.20482958949705624"/>
    <n v="0.18438765505839544"/>
    <n v="0.21266633557126707"/>
    <n v="0.43441959779955841"/>
    <n v="0.40179326906033508"/>
  </r>
  <r>
    <s v="Other Pulp and Paper"/>
    <s v="IPO"/>
    <s v="Feedstock"/>
    <s v="FEED"/>
    <x v="73"/>
    <n v="0"/>
    <n v="0"/>
    <n v="0"/>
    <n v="0"/>
    <n v="0"/>
    <n v="0"/>
    <n v="0"/>
    <n v="0"/>
    <n v="0"/>
    <n v="0"/>
    <n v="0"/>
    <n v="0"/>
    <n v="0"/>
    <n v="0"/>
    <n v="0"/>
    <n v="0"/>
    <n v="0"/>
    <n v="0"/>
  </r>
  <r>
    <s v="Other Pulp and Paper"/>
    <s v="IPO"/>
    <s v="Machine Drive"/>
    <s v="MDR"/>
    <x v="74"/>
    <n v="2.0657291416912384"/>
    <n v="1.8227021838452104"/>
    <n v="7.2257321839338138"/>
    <n v="1.3836508437320065"/>
    <n v="5.8326469883046741"/>
    <n v="3.3866982512736823"/>
    <n v="2.4459487370309922"/>
    <n v="0.22465995166483843"/>
    <n v="1.7411146254024981"/>
    <n v="5.7970136640496418E-2"/>
    <n v="7.2018192827945429E-2"/>
    <n v="0.24139268727592603"/>
    <n v="0.24085900272603813"/>
    <n v="0.23350772211718229"/>
    <n v="0.21020371824664255"/>
    <n v="0.24244168878231603"/>
    <n v="0.22127700807999065"/>
    <n v="0.20465838303494699"/>
  </r>
  <r>
    <s v="Other Pulp and Paper"/>
    <s v="IPO"/>
    <s v="Other Heat"/>
    <s v="OHT"/>
    <x v="75"/>
    <n v="18.048850017311405"/>
    <n v="16.077042271452029"/>
    <n v="1.8767567812082637"/>
    <n v="0.380370423641816"/>
    <n v="7.5782251538975771"/>
    <n v="4.7992572124020771"/>
    <n v="2.9930157247353639"/>
    <n v="4.1820485371173097E-2"/>
    <n v="0.32410876162659152"/>
    <n v="0.50650120608297855"/>
    <n v="0.63523242615853992"/>
    <n v="6.2697502653985659E-2"/>
    <n v="6.6212976575608609E-2"/>
    <n v="0.30339125562133556"/>
    <n v="0.29787764838202868"/>
    <n v="0.29666680084950398"/>
    <n v="4.1190749890268635E-2"/>
    <n v="3.8097190221823132E-2"/>
  </r>
  <r>
    <s v="Other Pulp and Paper"/>
    <s v="IPO"/>
    <s v="Process Heat"/>
    <s v="PRH"/>
    <x v="76"/>
    <n v="1.3670927048036945"/>
    <n v="1.2062582689444363"/>
    <n v="9.9114957093333995"/>
    <n v="1.8979459868936295"/>
    <n v="4.9480170414699209"/>
    <n v="2.8730421531115673"/>
    <n v="2.0749748883583541"/>
    <n v="0.20125389730908894"/>
    <n v="1.5597177041454393"/>
    <n v="3.8364444446386897E-2"/>
    <n v="4.7661401507664819E-2"/>
    <n v="0.33111697517928868"/>
    <n v="0.33038492311982925"/>
    <n v="0.19809191104268614"/>
    <n v="0.17832239498640456"/>
    <n v="0.20567087465828718"/>
    <n v="0.19822340355271575"/>
    <n v="0.18333617940151009"/>
  </r>
  <r>
    <s v="Other Pulp and Paper"/>
    <s v="IPO"/>
    <s v="Steam"/>
    <s v="STM"/>
    <x v="77"/>
    <n v="11.516908173617241"/>
    <n v="3.8772157282907838"/>
    <n v="2.6267172425130521"/>
    <n v="0.49469753999458338"/>
    <n v="1.5031875731791615"/>
    <n v="2.081744732450725"/>
    <n v="0.42932235459210089"/>
    <n v="0.10649281615486594"/>
    <n v="1.4642542440364177"/>
    <n v="0.32319665101594047"/>
    <n v="0.15319566324681685"/>
    <n v="8.7751707058015688E-2"/>
    <n v="8.6114467875970768E-2"/>
    <n v="6.0179521721739779E-2"/>
    <n v="0.12920858332652865"/>
    <n v="4.2554300138625677E-2"/>
    <n v="0.10488924067746651"/>
    <n v="0.17211497828138453"/>
  </r>
  <r>
    <s v="Other Pulp and Paper"/>
    <s v="IPO"/>
    <s v="Total"/>
    <m/>
    <x v="7"/>
    <n v="35.634367303667425"/>
    <n v="25.308913099218202"/>
    <n v="29.933517313531446"/>
    <n v="5.7446507212596147"/>
    <n v="24.978390159523929"/>
    <n v="16.111504970144722"/>
    <n v="10.088812486482739"/>
    <n v="1.0152882742504583"/>
    <n v="8.5074190442772597"/>
    <m/>
    <m/>
    <m/>
    <m/>
    <m/>
    <m/>
    <m/>
    <m/>
    <m/>
  </r>
  <r>
    <s v="Paper"/>
    <s v="IPA"/>
    <s v="Electrochemical"/>
    <s v="ETC"/>
    <x v="78"/>
    <n v="0"/>
    <n v="0"/>
    <n v="0"/>
    <n v="0"/>
    <n v="0"/>
    <n v="0"/>
    <n v="0"/>
    <n v="0"/>
    <n v="0"/>
    <n v="0"/>
    <n v="0"/>
    <n v="0"/>
    <n v="0"/>
    <n v="0"/>
    <n v="0"/>
    <n v="0"/>
    <n v="0"/>
    <n v="0"/>
  </r>
  <r>
    <s v="Paper"/>
    <s v="IPA"/>
    <s v="Facilities"/>
    <s v="FAC"/>
    <x v="79"/>
    <n v="1.4575942645611193"/>
    <n v="1.2861125863774583"/>
    <n v="2.0837572419663015"/>
    <n v="0.39901734420631302"/>
    <n v="2.4789139137912723"/>
    <n v="1.4393693692981584"/>
    <n v="1.0395445444931144"/>
    <n v="0.2563534695455173"/>
    <n v="1.9867393889777591"/>
    <n v="2.0038727072168274E-2"/>
    <n v="2.1945347883092232E-2"/>
    <n v="1.6328556092205085E-2"/>
    <n v="1.4572991083090202E-2"/>
    <n v="1.3180644324356765E-2"/>
    <n v="1.4530385135639449E-2"/>
    <n v="1.5228792859846393E-2"/>
    <n v="1.9410428796520399E-2"/>
    <n v="2.8630110326645773E-2"/>
  </r>
  <r>
    <s v="Paper"/>
    <s v="IPA"/>
    <s v="Feedstock"/>
    <s v="FEED"/>
    <x v="80"/>
    <n v="0"/>
    <n v="0"/>
    <n v="0"/>
    <n v="0"/>
    <n v="0"/>
    <n v="0"/>
    <n v="0"/>
    <n v="0"/>
    <n v="0"/>
    <n v="0"/>
    <n v="0"/>
    <n v="0"/>
    <n v="0"/>
    <n v="0"/>
    <n v="0"/>
    <n v="0"/>
    <n v="0"/>
    <n v="0"/>
  </r>
  <r>
    <s v="Paper"/>
    <s v="IPA"/>
    <s v="Machine Drive"/>
    <s v="MDR"/>
    <x v="81"/>
    <n v="2.893124899795068"/>
    <n v="2.5527572645250598"/>
    <n v="20.156252898626942"/>
    <n v="3.8597080018647336"/>
    <n v="17.171152935230499"/>
    <n v="9.9703468656177101"/>
    <n v="7.2008060696127911"/>
    <n v="2.7116418429588856"/>
    <n v="21.015224282931364"/>
    <n v="3.9774127589712799E-2"/>
    <n v="4.3558508659716839E-2"/>
    <n v="0.1579466645324436"/>
    <n v="0.14096502598499513"/>
    <n v="9.1300814529804153E-2"/>
    <n v="0.10065031463326299"/>
    <n v="0.1054881049965283"/>
    <n v="0.20531858222060556"/>
    <n v="0.30284203006067534"/>
  </r>
  <r>
    <s v="Paper"/>
    <s v="IPA"/>
    <s v="Other Heat"/>
    <s v="OHT"/>
    <x v="82"/>
    <n v="37.39077477580976"/>
    <n v="32.030248349583715"/>
    <n v="59.198156002443909"/>
    <n v="11.51088052970692"/>
    <n v="105.43711966883444"/>
    <n v="58.398785597896932"/>
    <n v="42.693289863327216"/>
    <n v="4.9713088011419764"/>
    <n v="28.704767476115137"/>
    <n v="0.51404121775614176"/>
    <n v="0.54654230917164703"/>
    <n v="0.46388340799664257"/>
    <n v="0.42040267610823706"/>
    <n v="0.56062018338268305"/>
    <n v="0.58953376686405101"/>
    <n v="0.62543473608532452"/>
    <n v="0.37641478260916666"/>
    <n v="0.41365297547392099"/>
  </r>
  <r>
    <s v="Paper"/>
    <s v="IPA"/>
    <s v="Process Heat"/>
    <s v="PRH"/>
    <x v="83"/>
    <n v="10.215629851922595"/>
    <n v="9.013791045814056"/>
    <n v="14.302900795346876"/>
    <n v="2.7388533437898266"/>
    <n v="12.963309531370291"/>
    <n v="7.5270829536988781"/>
    <n v="5.4362265776714125"/>
    <n v="1.3778344067583279"/>
    <n v="10.67821665237704"/>
    <n v="0.14044252467925922"/>
    <n v="0.15380518186440964"/>
    <n v="0.11207913916963033"/>
    <n v="0.10002894845669578"/>
    <n v="6.8927271434857426E-2"/>
    <n v="7.5985648019230217E-2"/>
    <n v="7.9637923097289606E-2"/>
    <n v="0.10432609589093081"/>
    <n v="0.1538795287119579"/>
  </r>
  <r>
    <s v="Paper"/>
    <s v="IPA"/>
    <s v="Steam"/>
    <s v="STM"/>
    <x v="84"/>
    <n v="20.781741272128418"/>
    <n v="13.722340177352837"/>
    <n v="31.87323221946032"/>
    <n v="8.8721479551194662"/>
    <n v="50.021790311648878"/>
    <n v="21.723686930088629"/>
    <n v="11.89191535012281"/>
    <n v="3.8898582045451495"/>
    <n v="7.0084064797852985"/>
    <n v="0.28570340290271806"/>
    <n v="0.23414865242113433"/>
    <n v="0.24976223220907842"/>
    <n v="0.3240303583669818"/>
    <n v="0.26597108632829858"/>
    <n v="0.2192998853478163"/>
    <n v="0.1742104429610111"/>
    <n v="0.29453011048277655"/>
    <n v="0.10099535542679999"/>
  </r>
  <r>
    <s v="Paper"/>
    <s v="IPA"/>
    <s v="Total"/>
    <m/>
    <x v="7"/>
    <n v="72.738865064216952"/>
    <n v="58.60524942365312"/>
    <n v="127.61429915784434"/>
    <n v="27.38060717468726"/>
    <n v="188.07228636087538"/>
    <n v="99.059271716600307"/>
    <n v="68.261782405227351"/>
    <n v="13.206996724949857"/>
    <n v="69.3933542801866"/>
    <m/>
    <m/>
    <m/>
    <m/>
    <m/>
    <m/>
    <m/>
    <m/>
    <m/>
  </r>
  <r>
    <s v="Paperboard"/>
    <s v="IPB"/>
    <s v="Electrochemical"/>
    <s v="ETC"/>
    <x v="85"/>
    <n v="4.7796169924384124E-2"/>
    <n v="4.2173091109750697E-2"/>
    <n v="0.13591784791942513"/>
    <n v="2.6026821942017574E-2"/>
    <n v="0.29689856141264487"/>
    <n v="0.17239271307830994"/>
    <n v="0.12450584833433496"/>
    <n v="2.4677283026505549E-2"/>
    <n v="0.19124894345541804"/>
    <n v="3.2612738152344905E-3"/>
    <n v="3.6039869918174563E-3"/>
    <n v="5.080750126119824E-3"/>
    <n v="4.5548414290078826E-3"/>
    <n v="1.0754845507522175E-3"/>
    <n v="1.1473735027088888E-3"/>
    <n v="1.0577604108238971E-3"/>
    <n v="2.615745875250472E-3"/>
    <n v="2.6868785110367522E-3"/>
  </r>
  <r>
    <s v="Paperboard"/>
    <s v="IPB"/>
    <s v="Facilities"/>
    <s v="FAC"/>
    <x v="86"/>
    <n v="0.30974382010956242"/>
    <n v="0.27330337068490806"/>
    <n v="0.84577592951801051"/>
    <n v="0.16195709288642751"/>
    <n v="2.5698213275455357"/>
    <n v="1.4921543192199886"/>
    <n v="1.0776670083255475"/>
    <n v="0.26994835150601454"/>
    <n v="2.0920997241716126"/>
    <n v="2.1134735514417576E-2"/>
    <n v="2.3355693567848022E-2"/>
    <n v="3.1615981464886027E-2"/>
    <n v="2.8343409658090315E-2"/>
    <n v="9.3089138688264034E-3"/>
    <n v="9.9311525252690214E-3"/>
    <n v="9.1555016307088392E-3"/>
    <n v="2.8614020685506253E-2"/>
    <n v="2.9392150828446182E-2"/>
  </r>
  <r>
    <s v="Paperboard"/>
    <s v="IPB"/>
    <s v="Feedstock"/>
    <s v="FEED"/>
    <x v="87"/>
    <n v="0"/>
    <n v="0"/>
    <n v="0"/>
    <n v="0"/>
    <n v="0"/>
    <n v="0"/>
    <n v="0"/>
    <n v="0.21025074516467288"/>
    <n v="1.6294432750262149"/>
    <n v="0"/>
    <n v="0"/>
    <n v="0"/>
    <n v="0"/>
    <n v="0"/>
    <n v="0"/>
    <n v="0"/>
    <n v="2.2286185997142539E-2"/>
    <n v="2.289223690086354E-2"/>
  </r>
  <r>
    <s v="Paperboard"/>
    <s v="IPB"/>
    <s v="Machine Drive"/>
    <s v="MDR"/>
    <x v="88"/>
    <n v="2.5356114534881313"/>
    <n v="2.2373042236659981"/>
    <n v="7.1754701071256388"/>
    <n v="1.3740261907261859"/>
    <n v="15.852392042108546"/>
    <n v="9.2046147341275439"/>
    <n v="6.6477773079810039"/>
    <n v="1.2948276413820667"/>
    <n v="10.034914220711018"/>
    <n v="0.17301225708988782"/>
    <n v="0.19119336777678697"/>
    <n v="0.26822651483828625"/>
    <n v="0.24046237500698742"/>
    <n v="5.7423662319668695E-2"/>
    <n v="6.1262050234016215E-2"/>
    <n v="5.6477312113672178E-2"/>
    <n v="0.13724930975859742"/>
    <n v="0.14098166971579004"/>
  </r>
  <r>
    <s v="Paperboard"/>
    <s v="IPB"/>
    <s v="Other Heat"/>
    <s v="OHT"/>
    <x v="89"/>
    <n v="2.8817886647409927"/>
    <n v="3.0768751640527459"/>
    <n v="5.7989900219633999"/>
    <n v="1.0526116545608106"/>
    <n v="198.01805175382907"/>
    <n v="115.37829605475348"/>
    <n v="81.668395991704429"/>
    <n v="5.3649691235223571"/>
    <n v="43.205365766598653"/>
    <n v="0.19663295046920995"/>
    <n v="0.26294060442082329"/>
    <n v="0.21677226160117352"/>
    <n v="0.18421300854676884"/>
    <n v="0.71730005837012467"/>
    <n v="0.76790948594672159"/>
    <n v="0.69382761734648124"/>
    <n v="0.5686766991579526"/>
    <n v="0.60699717730371661"/>
  </r>
  <r>
    <s v="Paperboard"/>
    <s v="IPB"/>
    <s v="Process Heat"/>
    <s v="PRH"/>
    <x v="90"/>
    <n v="1.7406270587254722"/>
    <n v="1.5358474047577697"/>
    <n v="4.162976245841886"/>
    <n v="0.79716566409738221"/>
    <n v="12.243250801289026"/>
    <n v="7.1089843362323393"/>
    <n v="5.1342664650566894"/>
    <n v="0.68624461313854035"/>
    <n v="5.3183957518236884"/>
    <n v="0.11876812425955398"/>
    <n v="0.13124895336125439"/>
    <n v="0.15561636981357857"/>
    <n v="0.13950851166932252"/>
    <n v="4.4349918790850214E-2"/>
    <n v="4.7314414356135433E-2"/>
    <n v="4.3619025756720727E-2"/>
    <n v="7.2740646298134287E-2"/>
    <n v="7.4718756614178775E-2"/>
  </r>
  <r>
    <s v="Paperboard"/>
    <s v="IPB"/>
    <s v="Steam"/>
    <s v="STM"/>
    <x v="91"/>
    <n v="7.1401080790188232"/>
    <n v="4.5362845727939876"/>
    <n v="8.6324015202245974"/>
    <n v="2.3023131317941572"/>
    <n v="47.07986104728289"/>
    <n v="16.893422138129218"/>
    <n v="23.054428652109539"/>
    <n v="1.583210863084892"/>
    <n v="8.7073901154061701"/>
    <n v="0.48719065885169616"/>
    <n v="0.3876573938814698"/>
    <n v="0.32268812215595583"/>
    <n v="0.40291785368982302"/>
    <n v="0.1705419620997779"/>
    <n v="0.11243552343514883"/>
    <n v="0.19586278274159324"/>
    <n v="0.16781739222741637"/>
    <n v="0.12233113012596812"/>
  </r>
  <r>
    <s v="Paperboard"/>
    <s v="IPB"/>
    <s v="Total"/>
    <m/>
    <x v="7"/>
    <n v="14.655675246007366"/>
    <n v="11.701787827065161"/>
    <n v="26.751531672592957"/>
    <n v="5.7141005560069811"/>
    <n v="276.06027553346769"/>
    <n v="150.24986429554087"/>
    <n v="117.70704127351154"/>
    <n v="9.4341286208250494"/>
    <n v="71.178857797192777"/>
    <m/>
    <m/>
    <m/>
    <m/>
    <m/>
    <m/>
    <m/>
    <m/>
    <m/>
  </r>
  <r>
    <s v="Plastics, Fibers, and Resins"/>
    <s v="ICP"/>
    <s v="Electrochemical"/>
    <s v="ETC"/>
    <x v="92"/>
    <n v="0.11213804322720264"/>
    <n v="0.30867830515738132"/>
    <n v="1.0035423189574528"/>
    <n v="0.67972307458088332"/>
    <n v="1.8608494992542197"/>
    <n v="1.6220013905403061"/>
    <n v="5.6348366585381289"/>
    <n v="8.6212777743130159E-2"/>
    <n v="5.4059338385064534E-2"/>
    <n v="1.3905100848009644E-2"/>
    <n v="1.6380943666505131E-2"/>
    <n v="8.6328619232003065E-3"/>
    <n v="9.7812136136979436E-3"/>
    <n v="7.4571360078257813E-3"/>
    <n v="7.223807907359373E-3"/>
    <n v="7.4781217678408134E-3"/>
    <n v="9.4618422791340709E-2"/>
    <n v="6.1015935298699163E-2"/>
  </r>
  <r>
    <s v="Plastics, Fibers, and Resins"/>
    <s v="ICP"/>
    <s v="Facilities"/>
    <s v="FAC"/>
    <x v="93"/>
    <n v="0.13684191590291611"/>
    <n v="0.37667975523541475"/>
    <n v="1.2081852895915466"/>
    <n v="0.81833262453516797"/>
    <n v="2.6546496488783591"/>
    <n v="2.3139138461244206"/>
    <n v="8.0385421620986204"/>
    <n v="0.10143999794455959"/>
    <n v="6.3607499006748697E-2"/>
    <n v="1.6968377422188853E-2"/>
    <n v="1.9989645361303487E-2"/>
    <n v="1.0393280468252783E-2"/>
    <n v="1.17758047460313E-2"/>
    <n v="1.063819695937078E-2"/>
    <n v="1.0305335886927874E-2"/>
    <n v="1.0668134813279804E-2"/>
    <n v="0.11133027916196439"/>
    <n v="7.1792795839693599E-2"/>
  </r>
  <r>
    <s v="Plastics, Fibers, and Resins"/>
    <s v="ICP"/>
    <s v="Feedstock"/>
    <s v="FEED"/>
    <x v="94"/>
    <n v="3.1330203906408194"/>
    <n v="8.6241510585938705"/>
    <n v="89.370900221342254"/>
    <n v="60.533035756400039"/>
    <n v="193.0095243872953"/>
    <n v="168.23591433331018"/>
    <n v="584.45196341800511"/>
    <n v="0"/>
    <n v="0"/>
    <n v="0.38849406710677375"/>
    <n v="0.45766654248742428"/>
    <n v="0.76880329507625866"/>
    <n v="0.87107025722798148"/>
    <n v="0.77346302037787662"/>
    <n v="0.74926195214787661"/>
    <n v="0.77563968837871733"/>
    <n v="0"/>
    <n v="0"/>
  </r>
  <r>
    <s v="Plastics, Fibers, and Resins"/>
    <s v="ICP"/>
    <s v="Machine Drive"/>
    <s v="MDR"/>
    <x v="95"/>
    <n v="0.68649501447704964"/>
    <n v="1.8896898097144881"/>
    <n v="6.1168512490490539"/>
    <n v="4.1430887957738589"/>
    <n v="12.015654995785079"/>
    <n v="10.473393533021785"/>
    <n v="36.384593850137513"/>
    <n v="0.52166510454119808"/>
    <n v="0.32710778086859488"/>
    <n v="8.5125280709763468E-2"/>
    <n v="0.10028207944293105"/>
    <n v="5.2619537054156486E-2"/>
    <n v="5.9619039057884009E-2"/>
    <n v="4.81513274247009E-2"/>
    <n v="4.6644709099495203E-2"/>
    <n v="4.8286834166254157E-2"/>
    <n v="0.57252684241346341"/>
    <n v="0.36920146989245145"/>
  </r>
  <r>
    <s v="Plastics, Fibers, and Resins"/>
    <s v="ICP"/>
    <s v="Other Heat"/>
    <s v="OHT"/>
    <x v="96"/>
    <n v="0.33953455583040465"/>
    <n v="0.93462439882016157"/>
    <n v="2.1238498420257703"/>
    <n v="1.438533998316702"/>
    <n v="9.0841000397362119"/>
    <n v="7.9181163775816135"/>
    <n v="27.507554981876751"/>
    <n v="9.5791975270144627E-3"/>
    <n v="6.0065931538960601E-3"/>
    <n v="4.2102234927001519E-2"/>
    <n v="4.9598657795559643E-2"/>
    <n v="1.8270183614047076E-2"/>
    <n v="2.0700501210406293E-2"/>
    <n v="3.6403464940156366E-2"/>
    <n v="3.5264428275682443E-2"/>
    <n v="3.6505911023766477E-2"/>
    <n v="1.0513158087926746E-2"/>
    <n v="6.7795483665221302E-3"/>
  </r>
  <r>
    <s v="Plastics, Fibers, and Resins"/>
    <s v="ICP"/>
    <s v="Process Heat"/>
    <s v="PRH"/>
    <x v="97"/>
    <n v="0.33373863746867327"/>
    <n v="0.91867018555548974"/>
    <n v="2.6641237856541897"/>
    <n v="1.8044743868202566"/>
    <n v="13.071350138767361"/>
    <n v="11.393585623027002"/>
    <n v="39.581343342399663"/>
    <n v="0.18268642643800223"/>
    <n v="0.11455271020956197"/>
    <n v="4.1383541903587361E-2"/>
    <n v="4.8751999431931689E-2"/>
    <n v="2.2917830522343325E-2"/>
    <n v="2.5966382631365702E-2"/>
    <n v="5.238190183019422E-2"/>
    <n v="5.0742912057172664E-2"/>
    <n v="5.252931419062129E-2"/>
    <n v="0.20049813945737816"/>
    <n v="0.12929386417293506"/>
  </r>
  <r>
    <s v="Plastics, Fibers, and Resins"/>
    <s v="ICP"/>
    <s v="Steam"/>
    <s v="STM"/>
    <x v="98"/>
    <n v="3.3227571480147136"/>
    <n v="5.7912502566151733"/>
    <n v="13.759317818052683"/>
    <n v="7.552478606454259E-2"/>
    <n v="17.84330537079088"/>
    <n v="22.578584608366061"/>
    <n v="51.910781165869878"/>
    <n v="9.5791975270144627E-3"/>
    <n v="0.32065329008436871"/>
    <n v="0.41202139708267554"/>
    <n v="0.30733013181434471"/>
    <n v="0.11836301134174149"/>
    <n v="1.0868015126331049E-3"/>
    <n v="7.1504952459875343E-2"/>
    <n v="0.1005568546254858"/>
    <n v="6.8891995659519908E-2"/>
    <n v="1.0513158087926746E-2"/>
    <n v="0.36191638642969864"/>
  </r>
  <r>
    <s v="Plastics, Fibers, and Resins"/>
    <s v="ICP"/>
    <s v="Total"/>
    <m/>
    <x v="7"/>
    <n v="8.0645257055617776"/>
    <n v="18.843743769691979"/>
    <n v="116.24677052467294"/>
    <n v="69.492713422491462"/>
    <n v="249.53943408050742"/>
    <n v="224.53550971197137"/>
    <n v="753.50961557892583"/>
    <n v="0.91116270172091884"/>
    <n v="0.8859872117082348"/>
    <m/>
    <m/>
    <m/>
    <m/>
    <m/>
    <m/>
    <m/>
    <m/>
    <m/>
  </r>
  <r>
    <s v="Primary Aluminum"/>
    <s v="IMA"/>
    <s v="Electrochemical"/>
    <s v="ETC"/>
    <x v="99"/>
    <n v="1.0007773425960593"/>
    <n v="2.7548033215325591"/>
    <n v="32.839127705765236"/>
    <n v="22.242722034787832"/>
    <n v="10.986284462000247"/>
    <n v="9.5761471743832374"/>
    <n v="33.267557882793383"/>
    <n v="13.079918876034903"/>
    <n v="8.2017048873606004"/>
    <n v="0.32890182586151845"/>
    <n v="0.17407862551489997"/>
    <n v="0.60150400974879448"/>
    <n v="0.60221015475267559"/>
    <n v="0.39451297598747259"/>
    <n v="0.39384448535341704"/>
    <n v="0.38246615347299162"/>
    <n v="0.42730638598980608"/>
    <n v="0.42730638598980603"/>
  </r>
  <r>
    <s v="Primary Aluminum"/>
    <s v="IMA"/>
    <s v="Facilities"/>
    <s v="FAC"/>
    <x v="100"/>
    <n v="0.17341777982404577"/>
    <n v="0.47736080298623307"/>
    <n v="2.0727505463644635"/>
    <n v="1.4039232303404154"/>
    <n v="1.3024956332671107"/>
    <n v="1.1353146663277309"/>
    <n v="3.9440858300796333"/>
    <n v="0.84690959173716052"/>
    <n v="0.53105088827652647"/>
    <n v="5.6993121240157103E-2"/>
    <n v="3.0164880305249143E-2"/>
    <n v="3.7965922116388821E-2"/>
    <n v="3.8010492802179302E-2"/>
    <n v="4.6772084799754018E-2"/>
    <n v="4.6692830877761646E-2"/>
    <n v="4.5343855467614679E-2"/>
    <n v="2.7667593379983781E-2"/>
    <n v="2.7667593379983781E-2"/>
  </r>
  <r>
    <s v="Primary Aluminum"/>
    <s v="IMA"/>
    <s v="Feedstock"/>
    <s v="FEED"/>
    <x v="101"/>
    <n v="0"/>
    <n v="0"/>
    <n v="3.4442162161897865"/>
    <n v="2.3328495388435275"/>
    <n v="3.1922634759543942"/>
    <n v="2.7825226054252146"/>
    <n v="9.6664900977909536"/>
    <n v="10.716371884255038"/>
    <n v="6.7196532708551739"/>
    <n v="0"/>
    <n v="0"/>
    <n v="6.308662894587995E-2"/>
    <n v="6.3160690476842057E-2"/>
    <n v="0.11463287414329226"/>
    <n v="0.1144386321097372"/>
    <n v="0.11113245217194263"/>
    <n v="0.35009193743347872"/>
    <n v="0.35009193743347866"/>
  </r>
  <r>
    <s v="Primary Aluminum"/>
    <s v="IMA"/>
    <s v="Machine Drive"/>
    <s v="MDR"/>
    <x v="102"/>
    <n v="0.32775452663404048"/>
    <n v="0.90219794172860357"/>
    <n v="7.137097951590909"/>
    <n v="4.8341261465486598"/>
    <n v="2.8469488293127898"/>
    <n v="2.4815305922338791"/>
    <n v="8.6208431336457743"/>
    <n v="2.8640537075594104"/>
    <n v="1.7958921239176793"/>
    <n v="0.10771533052964428"/>
    <n v="5.7010740625619255E-2"/>
    <n v="0.13072798627041976"/>
    <n v="0.13088145642668833"/>
    <n v="0.1022327665937524"/>
    <n v="0.1020595361777174"/>
    <n v="9.9110993498110533E-2"/>
    <n v="9.3565445677206885E-2"/>
    <n v="9.3565445677206885E-2"/>
  </r>
  <r>
    <s v="Primary Aluminum"/>
    <s v="IMA"/>
    <s v="Other Heat"/>
    <s v="OHT"/>
    <x v="103"/>
    <n v="0"/>
    <n v="1.5850931959191099"/>
    <n v="1.8900265017063882"/>
    <n v="1.2801598901318325"/>
    <n v="1.6175262994380317"/>
    <n v="1.4099097793644706"/>
    <n v="4.8980299007930492"/>
    <n v="0"/>
    <n v="0"/>
    <n v="0"/>
    <n v="0.10016353715774967"/>
    <n v="3.4619023059747484E-2"/>
    <n v="3.4659664601244602E-2"/>
    <n v="5.8084707012321234E-2"/>
    <n v="5.7986284184726254E-2"/>
    <n v="5.6311036185825315E-2"/>
    <n v="0"/>
    <n v="0"/>
  </r>
  <r>
    <s v="Primary Aluminum"/>
    <s v="IMA"/>
    <s v="Process Heat"/>
    <s v="PRH"/>
    <x v="104"/>
    <n v="1.5408347440535681"/>
    <n v="4.2413996502364997"/>
    <n v="7.147790638081001"/>
    <n v="4.8413685573561329"/>
    <n v="7.902195141381803"/>
    <n v="6.8879141020157748"/>
    <n v="23.928629845361254"/>
    <n v="3.1029106954680512"/>
    <n v="1.9456663345742826"/>
    <n v="0.50638972236868018"/>
    <n v="0.26801805254169431"/>
    <n v="0.13092384085755754"/>
    <n v="0.13107754094037014"/>
    <n v="0.28376459146340749"/>
    <n v="0.28328376070950118"/>
    <n v="0.27509957439851268"/>
    <n v="0.10136863751952453"/>
    <n v="0.10136863751952453"/>
  </r>
  <r>
    <s v="Primary Aluminum"/>
    <s v="IMA"/>
    <s v="Steam"/>
    <s v="STM"/>
    <x v="105"/>
    <n v="0"/>
    <n v="5.8641972063406964"/>
    <n v="6.4017528284246672E-2"/>
    <n v="0"/>
    <n v="0"/>
    <n v="4.1200271499421494E-2"/>
    <n v="2.6560676530619074"/>
    <n v="0"/>
    <n v="0"/>
    <n v="0"/>
    <n v="0.37056416385478774"/>
    <n v="1.1725890012121419E-3"/>
    <n v="0"/>
    <n v="0"/>
    <n v="1.6944705871394254E-3"/>
    <n v="3.0535934805002451E-2"/>
    <n v="0"/>
    <n v="0"/>
  </r>
  <r>
    <s v="Primary Aluminum"/>
    <s v="IMA"/>
    <s v="Total"/>
    <m/>
    <x v="7"/>
    <n v="3.0427843931077136"/>
    <n v="15.825052118743701"/>
    <n v="54.595027087982025"/>
    <n v="36.935149398008399"/>
    <n v="27.847713841354377"/>
    <n v="24.314539191249725"/>
    <n v="86.981704343525962"/>
    <n v="30.610164755054562"/>
    <n v="19.193967504984265"/>
    <m/>
    <m/>
    <m/>
    <m/>
    <m/>
    <m/>
    <m/>
    <m/>
    <m/>
  </r>
  <r>
    <s v="Primary Steel"/>
    <s v="IMS"/>
    <s v="Electrochemical"/>
    <s v="ETC"/>
    <x v="106"/>
    <n v="8.0473687899115229E-2"/>
    <n v="0.22151698812983309"/>
    <n v="0.6031445914816187"/>
    <n v="0.40852417321535817"/>
    <n v="0.234209051593194"/>
    <n v="0.20414730342971635"/>
    <n v="0.70920821388709332"/>
    <n v="9.2803387271877841E-2"/>
    <n v="5.8191950742596324E-2"/>
    <n v="1.7954701366153167E-3"/>
    <n v="1.6929370768281548E-3"/>
    <n v="2.2547171520033724E-3"/>
    <n v="2.3287463321711162E-3"/>
    <n v="5.5694514555151807E-3"/>
    <n v="5.5252798862780554E-3"/>
    <n v="5.6420541546675484E-3"/>
    <n v="7.7420678208958886E-3"/>
    <n v="5.7312859893452342E-3"/>
  </r>
  <r>
    <s v="Primary Steel"/>
    <s v="IMS"/>
    <s v="Facilities"/>
    <s v="FAC"/>
    <x v="107"/>
    <n v="0.75327607171062794"/>
    <n v="2.0735155923858812"/>
    <n v="9.4366519323420306"/>
    <n v="6.3916687358683335"/>
    <n v="1.8725611759399783"/>
    <n v="1.6322098226985606"/>
    <n v="5.6703007759470356"/>
    <n v="0.72121693911498874"/>
    <n v="0.45223587014935784"/>
    <n v="1.6806545427355768E-2"/>
    <n v="1.584678202501524E-2"/>
    <n v="3.5276750002964714E-2"/>
    <n v="3.6434992348077289E-2"/>
    <n v="4.452918662168049E-2"/>
    <n v="4.4176023645821412E-2"/>
    <n v="4.5109663741485902E-2"/>
    <n v="6.0167097563465902E-2"/>
    <n v="4.4540405904782768E-2"/>
  </r>
  <r>
    <s v="Primary Steel"/>
    <s v="IMS"/>
    <s v="Feedstock"/>
    <s v="FEED"/>
    <x v="108"/>
    <n v="33.079245737024991"/>
    <n v="96.186512217195542"/>
    <n v="100.10811250089058"/>
    <n v="67.805604939794534"/>
    <n v="16.689116435740424"/>
    <n v="14.546995915848594"/>
    <n v="50.536298141472635"/>
    <n v="1.3781928467391809"/>
    <n v="0.8641896875627072"/>
    <n v="0.73803996577173003"/>
    <n v="0.7351025950562039"/>
    <n v="0.37423112384374269"/>
    <n v="0.38651826294976765"/>
    <n v="0.39686435341424647"/>
    <n v="0.39371680443126261"/>
    <n v="0.40203782938138155"/>
    <n v="0.11497492498273987"/>
    <n v="8.5113459598103111E-2"/>
  </r>
  <r>
    <s v="Primary Steel"/>
    <s v="IMS"/>
    <s v="Machine Drive"/>
    <s v="MDR"/>
    <x v="109"/>
    <n v="1.4937165862774"/>
    <n v="4.1116992143637479"/>
    <n v="12.234239221202257"/>
    <n v="8.2865411268682116"/>
    <n v="4.1009766159308425"/>
    <n v="3.5745984703647284"/>
    <n v="12.418163521830202"/>
    <n v="1.6650263147038791"/>
    <n v="1.0440473364029426"/>
    <n v="3.3326713280373149E-2"/>
    <n v="3.1423540503727726E-2"/>
    <n v="4.5734885802416712E-2"/>
    <n v="4.7236500361036625E-2"/>
    <n v="9.7520527183986405E-2"/>
    <n v="9.6747087509908139E-2"/>
    <n v="9.8791793044344711E-2"/>
    <n v="0.13890383779041274"/>
    <n v="0.10282751815294139"/>
  </r>
  <r>
    <s v="Primary Steel"/>
    <s v="IMS"/>
    <s v="Other Heat"/>
    <s v="OHT"/>
    <x v="110"/>
    <n v="0.48190871849616773"/>
    <n v="1.3265325681184832"/>
    <n v="16.970124166661254"/>
    <n v="11.494268608986669"/>
    <n v="1.0309412706455012"/>
    <n v="0.89861548460666074"/>
    <n v="3.1217923141883954"/>
    <n v="0.19192803927658808"/>
    <n v="0.12034762238781713"/>
    <n v="1.0751995282223663E-2"/>
    <n v="1.0137986197571464E-2"/>
    <n v="6.3438901004161885E-2"/>
    <n v="6.552179190154471E-2"/>
    <n v="2.4515608262315809E-2"/>
    <n v="2.4321173873866873E-2"/>
    <n v="2.4835190782322093E-2"/>
    <n v="1.6011483422019364E-2"/>
    <n v="1.1852956177621568E-2"/>
  </r>
  <r>
    <s v="Primary Steel"/>
    <s v="IMS"/>
    <s v="Process Heat"/>
    <s v="PRH"/>
    <x v="111"/>
    <n v="8.9259767168918689"/>
    <n v="24.570210836138923"/>
    <n v="119.64742332469916"/>
    <n v="81.040044761075023"/>
    <n v="17.583504128291331"/>
    <n v="15.326585066707443"/>
    <n v="53.244592691327952"/>
    <n v="7.7200822797639681"/>
    <n v="4.8408432166026181"/>
    <n v="0.19914987188600289"/>
    <n v="0.18777711479900042"/>
    <n v="0.44727433748600404"/>
    <n v="0.46195970610740267"/>
    <n v="0.41813274078949025"/>
    <n v="0.41481651127252367"/>
    <n v="0.42358346889579823"/>
    <n v="0.64404330865346626"/>
    <n v="0.47677138418428705"/>
  </r>
  <r>
    <s v="Primary Steel"/>
    <s v="IMS"/>
    <s v="Steam"/>
    <s v="STM"/>
    <x v="112"/>
    <n v="5.8014724722938614E-3"/>
    <n v="2.3577512042085691"/>
    <n v="8.5037429737426251"/>
    <n v="0"/>
    <n v="0.54113642599319944"/>
    <n v="0.76471440311151018"/>
    <n v="0"/>
    <n v="0.21764948396250672"/>
    <n v="2.773528888266886"/>
    <n v="1.2943821569924574E-4"/>
    <n v="1.8019044341653148E-2"/>
    <n v="3.1789284708706518E-2"/>
    <n v="0"/>
    <n v="1.2868132272765192E-2"/>
    <n v="2.0697119380339135E-2"/>
    <n v="0"/>
    <n v="1.8157279766999851E-2"/>
    <n v="0.27316298999291888"/>
  </r>
  <r>
    <s v="Primary Steel"/>
    <s v="IMS"/>
    <s v="Total"/>
    <m/>
    <x v="7"/>
    <n v="44.82039899077246"/>
    <n v="130.84773862054098"/>
    <n v="267.50343871101956"/>
    <n v="175.42665234580812"/>
    <n v="42.052445104134478"/>
    <n v="36.947866466767216"/>
    <n v="125.70035565865331"/>
    <n v="11.986899290832991"/>
    <n v="10.153384572114925"/>
    <m/>
    <m/>
    <m/>
    <m/>
    <m/>
    <m/>
    <m/>
    <m/>
    <m/>
  </r>
  <r>
    <s v="Pulp"/>
    <s v="IPL"/>
    <s v="Electrochemical"/>
    <s v="ETC"/>
    <x v="113"/>
    <n v="0"/>
    <n v="0"/>
    <n v="0"/>
    <n v="0"/>
    <n v="0"/>
    <n v="0"/>
    <n v="0"/>
    <n v="0"/>
    <n v="0"/>
    <n v="0"/>
    <n v="0"/>
    <n v="0"/>
    <n v="0"/>
    <n v="0"/>
    <n v="0"/>
    <n v="0"/>
    <n v="0"/>
    <n v="0"/>
  </r>
  <r>
    <s v="Pulp"/>
    <s v="IPL"/>
    <s v="Facilities"/>
    <s v="FAC"/>
    <x v="114"/>
    <n v="0"/>
    <n v="0"/>
    <n v="0"/>
    <n v="0"/>
    <n v="0"/>
    <n v="0"/>
    <n v="0"/>
    <n v="0"/>
    <n v="0"/>
    <n v="0"/>
    <n v="0"/>
    <n v="0"/>
    <n v="0"/>
    <n v="0"/>
    <n v="0"/>
    <n v="0"/>
    <n v="0"/>
    <n v="0"/>
  </r>
  <r>
    <s v="Pulp"/>
    <s v="IPL"/>
    <s v="Feedstock"/>
    <s v="FEED"/>
    <x v="115"/>
    <n v="0"/>
    <n v="0"/>
    <n v="0"/>
    <n v="0"/>
    <n v="0"/>
    <n v="0"/>
    <n v="0"/>
    <n v="0"/>
    <n v="0"/>
    <n v="0"/>
    <n v="0"/>
    <n v="0"/>
    <n v="0"/>
    <n v="0"/>
    <n v="0"/>
    <n v="0"/>
    <n v="0"/>
    <n v="0"/>
  </r>
  <r>
    <s v="Pulp"/>
    <s v="IPL"/>
    <s v="Machine Drive"/>
    <s v="MDR"/>
    <x v="116"/>
    <n v="0.46999567092311051"/>
    <n v="0.41470206257921516"/>
    <n v="0.7425141691894519"/>
    <n v="0.14218356431287374"/>
    <n v="1.7693954670046512"/>
    <n v="1.0273909163252815"/>
    <n v="0.74200455067936988"/>
    <n v="0.10110831240026578"/>
    <n v="0.78358942110205987"/>
    <n v="6.3820233111617164E-2"/>
    <n v="6.7950372826824923E-2"/>
    <n v="0.60164766968468286"/>
    <n v="0.60164766968468286"/>
    <n v="1.9794819817865125E-2"/>
    <n v="1.9482563026554597E-2"/>
    <n v="1.94240138752854E-2"/>
    <n v="0.13540167806914014"/>
    <n v="9.3805807689269369E-2"/>
  </r>
  <r>
    <s v="Pulp"/>
    <s v="IPL"/>
    <s v="Other Heat"/>
    <s v="OHT"/>
    <x v="117"/>
    <n v="5.6207975420737117"/>
    <n v="4.6402930034413856"/>
    <n v="0"/>
    <n v="0"/>
    <n v="79.703790746117164"/>
    <n v="47.786143294012646"/>
    <n v="34.294102435813549"/>
    <n v="0.53111222786796219"/>
    <n v="4.1161197659767064"/>
    <n v="0.76324236924095912"/>
    <n v="0.76032812002067107"/>
    <n v="0"/>
    <n v="0"/>
    <n v="0.89167300699096219"/>
    <n v="0.90617556932614396"/>
    <n v="0.89774263640809471"/>
    <n v="0.71125197512615757"/>
    <n v="0.49275287388409128"/>
  </r>
  <r>
    <s v="Pulp"/>
    <s v="IPL"/>
    <s v="Process Heat"/>
    <s v="PRH"/>
    <x v="118"/>
    <n v="0.59264090106654188"/>
    <n v="0.52291844211753691"/>
    <n v="0.49162036934968295"/>
    <n v="9.4140070726535019E-2"/>
    <n v="4.5630660368905662"/>
    <n v="2.6495222149687159"/>
    <n v="1.9135438219218501"/>
    <n v="5.0495885514788057E-2"/>
    <n v="0.39134311273960742"/>
    <n v="8.0474103906657379E-2"/>
    <n v="8.5682002348666381E-2"/>
    <n v="0.39835233031531714"/>
    <n v="0.39835233031531714"/>
    <n v="5.1048548332825149E-2"/>
    <n v="5.0243274223227941E-2"/>
    <n v="5.0092282741319424E-2"/>
    <n v="6.7622804416143295E-2"/>
    <n v="4.684884173466948E-2"/>
  </r>
  <r>
    <s v="Pulp"/>
    <s v="IPL"/>
    <s v="Steam"/>
    <s v="STM"/>
    <x v="119"/>
    <n v="0.68093370485576654"/>
    <n v="0.52510028453236013"/>
    <n v="0"/>
    <n v="0"/>
    <n v="3.3505410264661846"/>
    <n v="1.2708120562147416"/>
    <n v="1.2507209295542177"/>
    <n v="6.4012225162040096E-2"/>
    <n v="3.0622622806358617"/>
    <n v="9.2463293740766381E-2"/>
    <n v="8.6039504803837555E-2"/>
    <n v="0"/>
    <n v="0"/>
    <n v="3.7483624858347539E-2"/>
    <n v="2.4098593424073375E-2"/>
    <n v="3.2741066975300465E-2"/>
    <n v="8.5723542388559143E-2"/>
    <n v="0.36659247669196993"/>
  </r>
  <r>
    <s v="Pulp"/>
    <s v="IPL"/>
    <s v="Total"/>
    <m/>
    <x v="7"/>
    <n v="7.3643678189191304"/>
    <n v="6.1030137926704979"/>
    <n v="1.2341345385391349"/>
    <n v="0.23632363503940876"/>
    <n v="89.386793276478571"/>
    <n v="52.733868481521391"/>
    <n v="38.200371737968986"/>
    <n v="0.74672865094505603"/>
    <n v="8.353314580454235"/>
    <m/>
    <m/>
    <m/>
    <m/>
    <m/>
    <m/>
    <m/>
    <m/>
    <m/>
  </r>
  <r>
    <s v="Secondary Aluminum"/>
    <s v="IML"/>
    <s v="Electrochemical"/>
    <s v="ETC"/>
    <x v="120"/>
    <n v="2.3413992000138952"/>
    <n v="6.4450842547055816"/>
    <n v="0.7483420546311963"/>
    <n v="0.50686986747158602"/>
    <n v="0.25617904367977912"/>
    <n v="0.22329735168933235"/>
    <n v="0.77573552673367085"/>
    <n v="0"/>
    <n v="0"/>
    <n v="0.5880916993342179"/>
    <n v="0.57067525809202624"/>
    <n v="0.1277852614377262"/>
    <n v="0.12798365911664378"/>
    <n v="0.16687305157497265"/>
    <n v="0.16687305157497262"/>
    <n v="0.16687305157497265"/>
    <n v="0"/>
    <n v="0"/>
  </r>
  <r>
    <s v="Secondary Aluminum"/>
    <s v="IML"/>
    <s v="Facilities"/>
    <s v="FAC"/>
    <x v="121"/>
    <n v="0"/>
    <n v="0"/>
    <n v="0"/>
    <n v="0"/>
    <n v="0"/>
    <n v="0"/>
    <n v="0"/>
    <n v="0"/>
    <n v="0"/>
    <n v="0"/>
    <n v="0"/>
    <n v="0"/>
    <n v="0"/>
    <n v="0"/>
    <n v="0"/>
    <n v="0"/>
    <n v="0"/>
    <n v="0"/>
  </r>
  <r>
    <s v="Secondary Aluminum"/>
    <s v="IML"/>
    <s v="Feedstock"/>
    <s v="FEED"/>
    <x v="122"/>
    <n v="0"/>
    <n v="0"/>
    <n v="0"/>
    <n v="0"/>
    <n v="0"/>
    <n v="0"/>
    <n v="0"/>
    <n v="0"/>
    <n v="0"/>
    <n v="0"/>
    <n v="0"/>
    <n v="0"/>
    <n v="0"/>
    <n v="0"/>
    <n v="0"/>
    <n v="0"/>
    <n v="0"/>
    <n v="0"/>
  </r>
  <r>
    <s v="Secondary Aluminum"/>
    <s v="IML"/>
    <s v="Machine Drive"/>
    <s v="MDR"/>
    <x v="123"/>
    <n v="0.33448560000198496"/>
    <n v="0.9207263221007973"/>
    <n v="0.10690600780445661"/>
    <n v="7.2409981067369414E-2"/>
    <n v="3.6597006239968442E-2"/>
    <n v="3.1899621669904621E-2"/>
    <n v="0.11081936096195298"/>
    <n v="0"/>
    <n v="0"/>
    <n v="8.4013099904888242E-2"/>
    <n v="8.1525036870289461E-2"/>
    <n v="1.8255037348246596E-2"/>
    <n v="1.8283379873806248E-2"/>
    <n v="2.3839007367853233E-2"/>
    <n v="2.3839007367853233E-2"/>
    <n v="2.3839007367853236E-2"/>
    <n v="0"/>
    <n v="0"/>
  </r>
  <r>
    <s v="Secondary Aluminum"/>
    <s v="IML"/>
    <s v="Other Heat"/>
    <s v="OHT"/>
    <x v="124"/>
    <n v="0.46531186402484209"/>
    <n v="1.2808470116229715"/>
    <n v="0.92536768596065311"/>
    <n v="0.62677353683740356"/>
    <n v="0.23758501280380395"/>
    <n v="0.20708994536836534"/>
    <n v="0.71943095892637332"/>
    <n v="0.11924537281588643"/>
    <n v="7.4772280033870667E-2"/>
    <n v="0.11687287021927655"/>
    <n v="0.1134116591882677"/>
    <n v="0.15801377317326076"/>
    <n v="0.158259103233096"/>
    <n v="0.15476104339200919"/>
    <n v="0.15476104339200913"/>
    <n v="0.15476104339200916"/>
    <n v="0.16977109840635565"/>
    <n v="0.1538547222317391"/>
  </r>
  <r>
    <s v="Secondary Aluminum"/>
    <s v="IML"/>
    <s v="Process Heat"/>
    <s v="PRH"/>
    <x v="125"/>
    <n v="0.84015386796747893"/>
    <n v="2.3126609362192725"/>
    <n v="4.0665530214007868"/>
    <n v="2.7543730547649323"/>
    <n v="1.0048121798217442"/>
    <n v="0.87584017598193165"/>
    <n v="3.0426708382780738"/>
    <n v="0.5831437495685764"/>
    <n v="0.36565769147340821"/>
    <n v="0.21102233054161743"/>
    <n v="0.20477286634270217"/>
    <n v="0.69439574827338901"/>
    <n v="0.69547385777645399"/>
    <n v="0.65452689766516492"/>
    <n v="0.65452689766516492"/>
    <n v="0.65452689766516503"/>
    <n v="0.83022890159364438"/>
    <n v="0.75239330040565988"/>
  </r>
  <r>
    <s v="Secondary Aluminum"/>
    <s v="IML"/>
    <s v="Steam"/>
    <s v="STM"/>
    <x v="126"/>
    <n v="0"/>
    <n v="0.3344675004435278"/>
    <n v="9.0782356205638647E-3"/>
    <n v="0"/>
    <n v="0"/>
    <n v="0"/>
    <n v="0"/>
    <n v="0"/>
    <n v="4.556278158642952E-2"/>
    <n v="0"/>
    <n v="2.9615179506714513E-2"/>
    <n v="1.5501797673775583E-3"/>
    <n v="0"/>
    <n v="0"/>
    <n v="0"/>
    <n v="0"/>
    <n v="0"/>
    <n v="9.3751977362601074E-2"/>
  </r>
  <r>
    <s v="Secondary Aluminum"/>
    <s v="IML"/>
    <s v="Total"/>
    <m/>
    <x v="7"/>
    <n v="3.981350532008201"/>
    <n v="11.29378602509215"/>
    <n v="5.8562470054176563"/>
    <n v="3.9604264401412914"/>
    <n v="1.5351732425452957"/>
    <n v="1.3381270947095341"/>
    <n v="4.6486566849000708"/>
    <n v="0.70238912238446283"/>
    <n v="0.48599275309370837"/>
    <m/>
    <m/>
    <m/>
    <m/>
    <m/>
    <m/>
    <m/>
    <m/>
    <m/>
  </r>
  <r>
    <s v="Secondary Steel"/>
    <s v="IMT"/>
    <s v="Electrochemical"/>
    <s v="ETC"/>
    <x v="127"/>
    <n v="2.1391739821283791E-2"/>
    <n v="5.888426266742397E-2"/>
    <n v="0.16032957495081002"/>
    <n v="0.10859503338636103"/>
    <n v="6.2258102322241424E-2"/>
    <n v="5.4267004709165095E-2"/>
    <n v="0.188523702425683"/>
    <n v="2.466925484442322E-2"/>
    <n v="1.5468746399930667E-2"/>
    <n v="1.795470136615316E-3"/>
    <n v="1.6929370768281543E-3"/>
    <n v="2.2547171520033724E-3"/>
    <n v="2.3287463321711157E-3"/>
    <n v="5.5694514555151816E-3"/>
    <n v="5.5252798862780554E-3"/>
    <n v="5.6420541546675475E-3"/>
    <n v="7.7420678208958886E-3"/>
    <n v="5.7312859893452342E-3"/>
  </r>
  <r>
    <s v="Secondary Steel"/>
    <s v="IMT"/>
    <s v="Facilities"/>
    <s v="FAC"/>
    <x v="128"/>
    <n v="0.20023794311295168"/>
    <n v="0.55118768911523397"/>
    <n v="2.5084770959390199"/>
    <n v="1.6990511829523416"/>
    <n v="0.49776942651569028"/>
    <n v="0.43387856046417422"/>
    <n v="1.5072951429732622"/>
    <n v="0.19171589520778176"/>
    <n v="0.12021459839413307"/>
    <n v="1.6806545427355761E-2"/>
    <n v="1.5846782025015233E-2"/>
    <n v="3.5276750002964707E-2"/>
    <n v="3.6434992348077275E-2"/>
    <n v="4.4529186621680497E-2"/>
    <n v="4.4176023645821405E-2"/>
    <n v="4.5109663741485895E-2"/>
    <n v="6.0167097563465895E-2"/>
    <n v="4.4540405904782761E-2"/>
  </r>
  <r>
    <s v="Secondary Steel"/>
    <s v="IMT"/>
    <s v="Feedstock"/>
    <s v="FEED"/>
    <x v="129"/>
    <n v="8.7932172212344923"/>
    <n v="25.568566538748183"/>
    <n v="26.611017247072184"/>
    <n v="18.024274730831454"/>
    <n v="4.4363474069689737"/>
    <n v="3.8669229649724115"/>
    <n v="13.43369950596108"/>
    <n v="0.36635506052560496"/>
    <n v="0.22972130935211196"/>
    <n v="0.73803996577173003"/>
    <n v="0.7351025950562039"/>
    <n v="0.37423112384374274"/>
    <n v="0.38651826294976749"/>
    <n v="0.39686435341424664"/>
    <n v="0.39371680443126272"/>
    <n v="0.40203782938138161"/>
    <n v="0.11497492498273987"/>
    <n v="8.5113459598103111E-2"/>
  </r>
  <r>
    <s v="Secondary Steel"/>
    <s v="IMT"/>
    <s v="Machine Drive"/>
    <s v="MDR"/>
    <x v="130"/>
    <n v="0.39706390268133412"/>
    <n v="1.0929833354637812"/>
    <n v="3.2521395398132582"/>
    <n v="2.2027514387877529"/>
    <n v="1.0901330244879455"/>
    <n v="0.95020971997037085"/>
    <n v="3.3010308096004333"/>
    <n v="0.44260193175672724"/>
    <n v="0.27753157043622523"/>
    <n v="3.3326713280373142E-2"/>
    <n v="3.1423540503727733E-2"/>
    <n v="4.5734885802416719E-2"/>
    <n v="4.7236500361036625E-2"/>
    <n v="9.7520527183986447E-2"/>
    <n v="9.6747087509908153E-2"/>
    <n v="9.8791793044344725E-2"/>
    <n v="0.13890383779041271"/>
    <n v="0.10282751815294142"/>
  </r>
  <r>
    <s v="Secondary Steel"/>
    <s v="IMT"/>
    <s v="Other Heat"/>
    <s v="OHT"/>
    <x v="131"/>
    <n v="0.12810231757493065"/>
    <n v="0.35262258139858416"/>
    <n v="4.5110456645555219"/>
    <n v="3.0554384909964565"/>
    <n v="0.27404767953867748"/>
    <n v="0.23887247059164396"/>
    <n v="0.82984352655640881"/>
    <n v="5.1018845883649994E-2"/>
    <n v="3.1991140128407078E-2"/>
    <n v="1.0751995282223661E-2"/>
    <n v="1.0137986197571466E-2"/>
    <n v="6.3438901004161871E-2"/>
    <n v="6.5521791901544696E-2"/>
    <n v="2.4515608262315816E-2"/>
    <n v="2.4321173873866873E-2"/>
    <n v="2.4835190782322093E-2"/>
    <n v="1.6011483422019364E-2"/>
    <n v="1.1852956177621568E-2"/>
  </r>
  <r>
    <s v="Secondary Steel"/>
    <s v="IMT"/>
    <s v="Process Heat"/>
    <s v="PRH"/>
    <x v="132"/>
    <n v="2.3727279880345469"/>
    <n v="6.5313218678343938"/>
    <n v="31.805011263527625"/>
    <n v="21.542290379526275"/>
    <n v="4.6740960341027566"/>
    <n v="4.0741555240614709"/>
    <n v="14.153625905289703"/>
    <n v="2.0521737705701684"/>
    <n v="1.2868064246665185"/>
    <n v="0.19914987188600283"/>
    <n v="0.18777711479900031"/>
    <n v="0.44727433748600415"/>
    <n v="0.46195970610740267"/>
    <n v="0.41813274078949025"/>
    <n v="0.41481651127252361"/>
    <n v="0.42358346889579812"/>
    <n v="0.64404330865346626"/>
    <n v="0.47677138418428705"/>
  </r>
  <r>
    <s v="Secondary Steel"/>
    <s v="IMT"/>
    <s v="Steam"/>
    <s v="STM"/>
    <x v="133"/>
    <n v="1.5421635685844439E-3"/>
    <n v="0.62674399099215106"/>
    <n v="2.2604886385898113"/>
    <n v="0"/>
    <n v="0.14384639171971142"/>
    <n v="0.20327851221951532"/>
    <n v="0"/>
    <n v="5.7856191939400517E-2"/>
    <n v="0.73726717283043774"/>
    <n v="1.2943821569924569E-4"/>
    <n v="1.8019044341653141E-2"/>
    <n v="3.1789284708706518E-2"/>
    <n v="0"/>
    <n v="1.2868132272765212E-2"/>
    <n v="2.0697119380339132E-2"/>
    <n v="0"/>
    <n v="1.8157279766999854E-2"/>
    <n v="0.27316298999291877"/>
  </r>
  <r>
    <s v="Secondary Steel"/>
    <s v="IMT"/>
    <s v="Total"/>
    <m/>
    <x v="7"/>
    <n v="11.914283276028124"/>
    <n v="34.782310266219753"/>
    <n v="71.108509024448225"/>
    <n v="46.632401256480648"/>
    <n v="11.178498065655996"/>
    <n v="9.8215847569887522"/>
    <n v="33.41401859280657"/>
    <n v="3.1863909507277564"/>
    <n v="2.6990009622077644"/>
    <m/>
    <m/>
    <m/>
    <m/>
    <m/>
    <m/>
    <m/>
    <m/>
    <m/>
  </r>
</pivotCacheRecords>
</file>

<file path=xl/pivotCache/pivotCacheRecords3.xml><?xml version="1.0" encoding="utf-8"?>
<pivotCacheRecords xmlns="http://schemas.openxmlformats.org/spreadsheetml/2006/main" xmlns:r="http://schemas.openxmlformats.org/officeDocument/2006/relationships" count="169">
  <r>
    <x v="0"/>
    <s v="Facilities"/>
    <s v="FAC"/>
    <s v="ICAFAC"/>
    <x v="0"/>
    <n v="45.432757445069981"/>
    <n v="0.28316890781960724"/>
    <n v="6.2327035325110908E-3"/>
    <n v="0"/>
    <n v="0"/>
  </r>
  <r>
    <x v="0"/>
    <s v="Facilities"/>
    <s v="FAC"/>
    <s v="ICAFAC"/>
    <x v="1"/>
    <n v="39.801248254623111"/>
    <n v="0.19179703437799375"/>
    <n v="4.8188698291821933E-3"/>
    <n v="0"/>
    <n v="0"/>
  </r>
  <r>
    <x v="0"/>
    <s v="Steam"/>
    <s v="STM"/>
    <s v="ICASTM"/>
    <x v="2"/>
    <n v="61.79500930856679"/>
    <n v="0.91713297987527909"/>
    <n v="1.4841538016373997E-2"/>
    <n v="0"/>
    <n v="0"/>
  </r>
  <r>
    <x v="0"/>
    <s v="Machine Drive"/>
    <s v="MDR"/>
    <s v="ICAMDR"/>
    <x v="3"/>
    <n v="59.992423297447175"/>
    <n v="2.3212406684622362"/>
    <n v="3.8692230466393092E-2"/>
    <n v="0"/>
    <n v="0"/>
  </r>
  <r>
    <x v="0"/>
    <s v="Facilities"/>
    <s v="FAC"/>
    <s v="ICAFAC"/>
    <x v="4"/>
    <n v="194.70981461611191"/>
    <n v="9.0438504199238281"/>
    <n v="4.6447840535181036E-2"/>
    <n v="0.02"/>
    <n v="0.43059052411382481"/>
  </r>
  <r>
    <x v="0"/>
    <s v="Facilities"/>
    <s v="FAC"/>
    <s v="ICAFAC"/>
    <x v="5"/>
    <n v="4.2262308903005437"/>
    <n v="0.10910628515576717"/>
    <n v="2.5816451582466239E-2"/>
    <n v="0"/>
    <n v="0"/>
  </r>
  <r>
    <x v="0"/>
    <s v="Facilities"/>
    <s v="FAC"/>
    <s v="ICAFAC"/>
    <x v="6"/>
    <n v="1.861501173267583"/>
    <n v="6.8414610265158271E-2"/>
    <n v="3.6752386325422937E-2"/>
    <n v="0"/>
    <n v="0"/>
  </r>
  <r>
    <x v="1"/>
    <s v="Other Heat"/>
    <s v="OHT"/>
    <s v="INCOHT"/>
    <x v="7"/>
    <n v="5.1174965443007601"/>
    <n v="0.16085723185265216"/>
    <n v="3.1432797357097426E-2"/>
    <n v="0"/>
    <n v="0"/>
  </r>
  <r>
    <x v="1"/>
    <s v="Facilities"/>
    <s v="FAC"/>
    <s v="INCFAC"/>
    <x v="8"/>
    <n v="19.35130550253648"/>
    <n v="0.77616446891000934"/>
    <n v="4.0109152780843302E-2"/>
    <n v="0"/>
    <n v="0"/>
  </r>
  <r>
    <x v="1"/>
    <s v="Facilities"/>
    <s v="FAC"/>
    <s v="INCFAC"/>
    <x v="0"/>
    <n v="43.505091555901984"/>
    <n v="0.86095523823622044"/>
    <n v="1.978975810520784E-2"/>
    <n v="0"/>
    <n v="0"/>
  </r>
  <r>
    <x v="1"/>
    <s v="Facilities"/>
    <s v="FAC"/>
    <s v="INCFAC"/>
    <x v="1"/>
    <n v="29.467032962816454"/>
    <n v="0.58314545441232346"/>
    <n v="1.978975810520784E-2"/>
    <n v="0"/>
    <n v="0"/>
  </r>
  <r>
    <x v="1"/>
    <s v="Feedstock"/>
    <s v="FEED"/>
    <s v="INCFEED"/>
    <x v="2"/>
    <n v="18.14420881241573"/>
    <n v="0.239530940253013"/>
    <n v="1.3201509237983782E-2"/>
    <n v="0"/>
    <n v="0"/>
  </r>
  <r>
    <x v="1"/>
    <s v="Feedstock"/>
    <s v="FEED"/>
    <s v="INCFEED"/>
    <x v="3"/>
    <n v="15.815320871347595"/>
    <n v="0.20878610458477298"/>
    <n v="1.3201509237983782E-2"/>
    <n v="0"/>
    <n v="0"/>
  </r>
  <r>
    <x v="1"/>
    <s v="Feedstock"/>
    <s v="FEED"/>
    <s v="INCFEED"/>
    <x v="4"/>
    <n v="54.942462030027514"/>
    <n v="0.72532342004698147"/>
    <n v="1.3201509237983784E-2"/>
    <n v="0"/>
    <n v="0"/>
  </r>
  <r>
    <x v="1"/>
    <s v="Facilities"/>
    <s v="FAC"/>
    <s v="INCFAC"/>
    <x v="5"/>
    <n v="25.763156077322762"/>
    <n v="0.23721997502796063"/>
    <n v="9.207721845723953E-3"/>
    <n v="0"/>
    <n v="0"/>
  </r>
  <r>
    <x v="1"/>
    <s v="Facilities"/>
    <s v="FAC"/>
    <s v="INCFAC"/>
    <x v="6"/>
    <n v="16.154672296963582"/>
    <n v="0.14874772901926309"/>
    <n v="9.2077218457239512E-3"/>
    <n v="0"/>
    <n v="0"/>
  </r>
  <r>
    <x v="2"/>
    <s v="Electrochemical"/>
    <s v="ETC"/>
    <s v="IFDETC"/>
    <x v="7"/>
    <n v="18.94449061626074"/>
    <n v="2.6212304315162603E-2"/>
    <n v="1.3836373247567626E-3"/>
    <n v="0"/>
    <n v="0"/>
  </r>
  <r>
    <x v="2"/>
    <s v="Electrochemical"/>
    <s v="ETC"/>
    <s v="IFDETC"/>
    <x v="8"/>
    <n v="50.907888561102567"/>
    <n v="7.215365488303023E-2"/>
    <n v="1.4173374092391845E-3"/>
    <n v="0"/>
    <n v="0"/>
  </r>
  <r>
    <x v="2"/>
    <s v="Other Heat"/>
    <s v="OHT"/>
    <s v="IFDOHT"/>
    <x v="0"/>
    <n v="259.95492691910863"/>
    <n v="12.924553001635728"/>
    <n v="4.9718438326262306E-2"/>
    <n v="0.02"/>
    <n v="0.40226524953891385"/>
  </r>
  <r>
    <x v="2"/>
    <s v="Other Heat"/>
    <s v="OHT"/>
    <s v="IFDOHT"/>
    <x v="1"/>
    <n v="252.0757482429479"/>
    <n v="7.653965693705346"/>
    <n v="3.0363752749147991E-2"/>
    <n v="0.02"/>
    <n v="0.65868010997292004"/>
  </r>
  <r>
    <x v="2"/>
    <s v="Electrochemical"/>
    <s v="ETC"/>
    <s v="IFDETC"/>
    <x v="2"/>
    <n v="89.95318394492989"/>
    <n v="6.6082615752975929E-2"/>
    <n v="7.3463342657700999E-4"/>
    <n v="0"/>
    <n v="0"/>
  </r>
  <r>
    <x v="2"/>
    <s v="Electrochemical"/>
    <s v="ETC"/>
    <s v="IFDETC"/>
    <x v="3"/>
    <n v="48.287694773388225"/>
    <n v="5.7600625243914176E-2"/>
    <n v="1.1928634306158344E-3"/>
    <n v="0"/>
    <n v="0"/>
  </r>
  <r>
    <x v="2"/>
    <s v="Electrochemical"/>
    <s v="ETC"/>
    <s v="IFDETC"/>
    <x v="4"/>
    <n v="115.92343106830126"/>
    <n v="0.20010470803049471"/>
    <n v="1.7261799981799577E-3"/>
    <n v="0"/>
    <n v="0"/>
  </r>
  <r>
    <x v="2"/>
    <s v="Electrochemical"/>
    <s v="ETC"/>
    <s v="IFDETC"/>
    <x v="5"/>
    <n v="87.170969595435835"/>
    <n v="0.10328035823296604"/>
    <n v="1.1848022192743129E-3"/>
    <n v="0"/>
    <n v="0"/>
  </r>
  <r>
    <x v="2"/>
    <s v="Electrochemical"/>
    <s v="ETC"/>
    <s v="IFDETC"/>
    <x v="6"/>
    <n v="97.770290420185418"/>
    <n v="6.4761488730613354E-2"/>
    <n v="6.6238412970125388E-4"/>
    <n v="0"/>
    <n v="0"/>
  </r>
  <r>
    <x v="3"/>
    <s v="Facilities"/>
    <s v="FAC"/>
    <s v="INGFAC"/>
    <x v="7"/>
    <n v="15.467510229977448"/>
    <n v="0.87089560569592572"/>
    <n v="5.6304834633828169E-2"/>
    <n v="0"/>
    <n v="0"/>
  </r>
  <r>
    <x v="3"/>
    <s v="Facilities"/>
    <s v="FAC"/>
    <s v="INGFAC"/>
    <x v="8"/>
    <n v="42.57685175690397"/>
    <n v="2.3972825974014942"/>
    <n v="5.6304834633828162E-2"/>
    <n v="0"/>
    <n v="0"/>
  </r>
  <r>
    <x v="3"/>
    <s v="Facilities"/>
    <s v="FAC"/>
    <s v="INGFAC"/>
    <x v="0"/>
    <n v="61.587243881054533"/>
    <n v="3.6733037471795655"/>
    <n v="5.9643905388491451E-2"/>
    <n v="0"/>
    <n v="0"/>
  </r>
  <r>
    <x v="3"/>
    <s v="Facilities"/>
    <s v="FAC"/>
    <s v="INGFAC"/>
    <x v="1"/>
    <n v="41.714504685046485"/>
    <n v="2.4880159707626959"/>
    <n v="5.9643905388491451E-2"/>
    <n v="0"/>
    <n v="0"/>
  </r>
  <r>
    <x v="3"/>
    <s v="Facilities"/>
    <s v="FAC"/>
    <s v="INGFAC"/>
    <x v="2"/>
    <n v="26.107654408727129"/>
    <n v="1.5412435972854857"/>
    <n v="5.903416573379671E-2"/>
    <n v="0"/>
    <n v="0"/>
  </r>
  <r>
    <x v="3"/>
    <s v="Facilities"/>
    <s v="FAC"/>
    <s v="INGFAC"/>
    <x v="3"/>
    <n v="22.756623666595594"/>
    <n v="1.343418293075445"/>
    <n v="5.9034165733796717E-2"/>
    <n v="0"/>
    <n v="0"/>
  </r>
  <r>
    <x v="3"/>
    <s v="Steam"/>
    <s v="STM"/>
    <s v="INGSTM"/>
    <x v="4"/>
    <n v="80.113220778498487"/>
    <n v="1.0566564568276462"/>
    <n v="1.3189539086802527E-2"/>
    <n v="0"/>
    <n v="0"/>
  </r>
  <r>
    <x v="3"/>
    <s v="Facilities"/>
    <s v="FAC"/>
    <s v="INGFAC"/>
    <x v="5"/>
    <n v="29.039007055058246"/>
    <n v="1.743621286721712"/>
    <n v="6.0044108375186131E-2"/>
    <n v="0"/>
    <n v="0"/>
  </r>
  <r>
    <x v="3"/>
    <s v="Facilities"/>
    <s v="FAC"/>
    <s v="INGFAC"/>
    <x v="6"/>
    <n v="18.208780065444088"/>
    <n v="1.0933299636294536"/>
    <n v="6.0044108375186124E-2"/>
    <n v="0"/>
    <n v="0"/>
  </r>
  <r>
    <x v="4"/>
    <s v="Other Heat"/>
    <s v="OHT"/>
    <s v="ICIOHT"/>
    <x v="7"/>
    <n v="9.3310755905314675"/>
    <n v="0.35871218111415015"/>
    <n v="3.8442747316091465E-2"/>
    <n v="0"/>
    <n v="0"/>
  </r>
  <r>
    <x v="4"/>
    <s v="Other Heat"/>
    <s v="OHT"/>
    <s v="ICIOHT"/>
    <x v="8"/>
    <n v="23.836792910199289"/>
    <n v="0.98741394908488267"/>
    <n v="4.1423942927422415E-2"/>
    <n v="0"/>
    <n v="0"/>
  </r>
  <r>
    <x v="4"/>
    <s v="Other Heat"/>
    <s v="OHT"/>
    <s v="ICIOHT"/>
    <x v="0"/>
    <n v="45.508028224812783"/>
    <n v="8.3863762483412891"/>
    <n v="0.18428344570131702"/>
    <n v="0"/>
    <n v="0"/>
  </r>
  <r>
    <x v="4"/>
    <s v="Other Heat"/>
    <s v="OHT"/>
    <s v="ICIOHT"/>
    <x v="1"/>
    <n v="31.08421797967484"/>
    <n v="5.6802920419306355"/>
    <n v="0.18273877906932806"/>
    <n v="0"/>
    <n v="0"/>
  </r>
  <r>
    <x v="4"/>
    <s v="Feedstock"/>
    <s v="FEED"/>
    <s v="ICIFEED"/>
    <x v="2"/>
    <n v="82.531534885688572"/>
    <n v="25.554675319337505"/>
    <n v="0.30963528492148312"/>
    <n v="0.02"/>
    <n v="6.4592121679766024E-2"/>
  </r>
  <r>
    <x v="4"/>
    <s v="Steam"/>
    <s v="STM"/>
    <s v="ICISTM"/>
    <x v="3"/>
    <n v="61.655428864342205"/>
    <n v="1.895479532559361"/>
    <n v="3.0743108392448346E-2"/>
    <n v="0.02"/>
    <n v="0.6505523041031438"/>
  </r>
  <r>
    <x v="4"/>
    <s v="Feedstock"/>
    <s v="FEED"/>
    <s v="ICIFEED"/>
    <x v="4"/>
    <n v="242.70972986802403"/>
    <n v="77.382088849287697"/>
    <n v="0.31882565602691337"/>
    <n v="0.02"/>
    <n v="6.2730208883522209E-2"/>
  </r>
  <r>
    <x v="4"/>
    <s v="Feedstock"/>
    <s v="FEED"/>
    <s v="ICIFEED"/>
    <x v="5"/>
    <n v="34.291404451165043"/>
    <n v="8.5923800404586839"/>
    <n v="0.25056949920774563"/>
    <n v="0.02"/>
    <n v="7.9818174451546042E-2"/>
  </r>
  <r>
    <x v="4"/>
    <s v="Feedstock"/>
    <s v="FEED"/>
    <s v="ICIFEED"/>
    <x v="6"/>
    <n v="20.755389262999017"/>
    <n v="5.3878136431724464"/>
    <n v="0.25958624889668502"/>
    <n v="0.02"/>
    <n v="7.7045683602293025E-2"/>
  </r>
  <r>
    <x v="5"/>
    <s v="Facilities"/>
    <s v="FAC"/>
    <s v="ICOFAC"/>
    <x v="7"/>
    <n v="3.3850206400124399"/>
    <n v="0.14468657919893144"/>
    <n v="4.2743189654051772E-2"/>
    <n v="0"/>
    <n v="0"/>
  </r>
  <r>
    <x v="5"/>
    <s v="Facilities"/>
    <s v="FAC"/>
    <s v="ICOFAC"/>
    <x v="8"/>
    <n v="38.801912518547859"/>
    <n v="0.39827347402216207"/>
    <n v="1.0264274314617398E-2"/>
    <n v="0"/>
    <n v="0"/>
  </r>
  <r>
    <x v="5"/>
    <s v="Other Heat"/>
    <s v="OHT"/>
    <s v="ICOOHT"/>
    <x v="0"/>
    <n v="127.05425718166921"/>
    <n v="4.5608753166601526"/>
    <n v="3.5897068054467157E-2"/>
    <n v="0.02"/>
    <n v="0.55714856627434983"/>
  </r>
  <r>
    <x v="5"/>
    <s v="Feedstock"/>
    <s v="FEED"/>
    <s v="ICOFEED"/>
    <x v="1"/>
    <n v="65.889581878733225"/>
    <n v="0.53948056497158514"/>
    <n v="8.1876459007506619E-3"/>
    <n v="0"/>
    <n v="0"/>
  </r>
  <r>
    <x v="5"/>
    <s v="Steam"/>
    <s v="STM"/>
    <s v="ICOSTM"/>
    <x v="2"/>
    <n v="526.64109896173318"/>
    <n v="13.103779183240945"/>
    <n v="2.4881801304673892E-2"/>
    <n v="0.02"/>
    <n v="0.80380032599339302"/>
  </r>
  <r>
    <x v="5"/>
    <s v="Machine Drive"/>
    <s v="MDR"/>
    <s v="ICOMDR"/>
    <x v="3"/>
    <n v="451.64789720574146"/>
    <n v="11.283197812361161"/>
    <n v="2.4982287933073822E-2"/>
    <n v="0.02"/>
    <n v="0.80056718798448401"/>
  </r>
  <r>
    <x v="5"/>
    <s v="Facilities"/>
    <s v="FAC"/>
    <s v="ICOFAC"/>
    <x v="4"/>
    <n v="1692.4694615261481"/>
    <n v="6.993413324188273"/>
    <n v="4.1320765208266224E-3"/>
    <n v="0.02"/>
    <n v="4.8401814194860435"/>
  </r>
  <r>
    <x v="5"/>
    <s v="Facilities"/>
    <s v="FAC"/>
    <s v="ICOFAC"/>
    <x v="5"/>
    <n v="5.8448019160675067"/>
    <n v="0.19702927437339537"/>
    <n v="3.3710171397213134E-2"/>
    <n v="0"/>
    <n v="0"/>
  </r>
  <r>
    <x v="5"/>
    <s v="Facilities"/>
    <s v="FAC"/>
    <s v="ICOFAC"/>
    <x v="6"/>
    <n v="3.6482006933455415"/>
    <n v="0.12354632913986871"/>
    <n v="3.3865003470127608E-2"/>
    <n v="0"/>
    <n v="0"/>
  </r>
  <r>
    <x v="6"/>
    <s v="Feedstock"/>
    <s v="FEED"/>
    <s v="IOTFEED"/>
    <x v="7"/>
    <n v="76.931488421479614"/>
    <n v="0.37055175388061068"/>
    <n v="4.8166461027049487E-3"/>
    <n v="0.02"/>
    <n v="4.1522668623647405"/>
  </r>
  <r>
    <x v="6"/>
    <s v="Feedstock"/>
    <s v="FEED"/>
    <s v="IOTFEED"/>
    <x v="8"/>
    <n v="215.33157369883469"/>
    <n v="1.1873566239068856"/>
    <n v="5.5140851084269542E-3"/>
    <n v="0"/>
    <n v="0"/>
  </r>
  <r>
    <x v="6"/>
    <s v="Electrochemical"/>
    <s v="ETC"/>
    <s v="IOTETC"/>
    <x v="0"/>
    <n v="463.98795361137593"/>
    <n v="3.2678985586167504"/>
    <n v="7.0430676770411498E-3"/>
    <n v="0"/>
    <n v="0"/>
  </r>
  <r>
    <x v="6"/>
    <s v="Feedstock"/>
    <s v="FEED"/>
    <s v="IOTFEED"/>
    <x v="1"/>
    <n v="299.56349041084445"/>
    <n v="3.2116677525713451"/>
    <n v="1.0721158803987149E-2"/>
    <n v="0.02"/>
    <n v="1.8654699893598945"/>
  </r>
  <r>
    <x v="6"/>
    <s v="Steam"/>
    <s v="STM"/>
    <s v="IOTSTM"/>
    <x v="2"/>
    <n v="207.42523353183208"/>
    <n v="39.792105666012091"/>
    <n v="0.19183830717445224"/>
    <n v="0.02"/>
    <n v="0.10425446457790599"/>
  </r>
  <r>
    <x v="6"/>
    <s v="Electrochemical"/>
    <s v="ETC"/>
    <s v="IOTETC"/>
    <x v="3"/>
    <n v="159.89555005524713"/>
    <n v="1.2215231243219784"/>
    <n v="7.639506689835443E-3"/>
    <n v="0"/>
    <n v="0"/>
  </r>
  <r>
    <x v="6"/>
    <s v="Electrochemical"/>
    <s v="ETC"/>
    <s v="IOTETC"/>
    <x v="4"/>
    <n v="528.43571851314016"/>
    <n v="4.243574216597116"/>
    <n v="8.0304454599270138E-3"/>
    <n v="0"/>
    <n v="0"/>
  </r>
  <r>
    <x v="6"/>
    <s v="Electrochemical"/>
    <s v="ETC"/>
    <s v="IOTETC"/>
    <x v="5"/>
    <n v="176.90818507978867"/>
    <n v="1.5810636099500879"/>
    <n v="8.9371987465531946E-3"/>
    <n v="0"/>
    <n v="0"/>
  </r>
  <r>
    <x v="6"/>
    <s v="Other Heat"/>
    <s v="OHT"/>
    <s v="IOTOHT"/>
    <x v="6"/>
    <n v="125.43957647223664"/>
    <n v="9.0240002417549228"/>
    <n v="7.1939020327864325E-2"/>
    <n v="0"/>
    <n v="0"/>
  </r>
  <r>
    <x v="7"/>
    <s v="Facilities"/>
    <s v="FAC"/>
    <s v="ICTFAC"/>
    <x v="7"/>
    <n v="15.340962081406589"/>
    <n v="3.5677972414717782"/>
    <n v="0.23256672055763614"/>
    <n v="0"/>
    <n v="0"/>
  </r>
  <r>
    <x v="7"/>
    <s v="Steam"/>
    <s v="STM"/>
    <s v="ICTSTM"/>
    <x v="8"/>
    <n v="59.447196675097828"/>
    <n v="18.959582633978133"/>
    <n v="0.31893148364252843"/>
    <n v="0.02"/>
    <n v="6.2709393790726153E-2"/>
  </r>
  <r>
    <x v="7"/>
    <s v="Facilities"/>
    <s v="FAC"/>
    <s v="ICTFAC"/>
    <x v="0"/>
    <n v="66.207520796153204"/>
    <n v="10.955147612783689"/>
    <n v="0.16546681526579993"/>
    <n v="0"/>
    <n v="0"/>
  </r>
  <r>
    <x v="7"/>
    <s v="Facilities"/>
    <s v="FAC"/>
    <s v="ICTFAC"/>
    <x v="1"/>
    <n v="36.143704422857745"/>
    <n v="7.4201819666007127"/>
    <n v="0.20529666466362795"/>
    <n v="0"/>
    <n v="0"/>
  </r>
  <r>
    <x v="7"/>
    <s v="Feedstock"/>
    <s v="FEED"/>
    <s v="ICTFEED"/>
    <x v="2"/>
    <n v="35.314273618764254"/>
    <n v="6.43296576134889"/>
    <n v="0.18216333233400364"/>
    <n v="0.02"/>
    <n v="0.10979157958819741"/>
  </r>
  <r>
    <x v="7"/>
    <s v="Feedstock"/>
    <s v="FEED"/>
    <s v="ICTFEED"/>
    <x v="3"/>
    <n v="17.47968943882789"/>
    <n v="5.6072666888901361"/>
    <n v="0.32078754651296221"/>
    <n v="0.02"/>
    <n v="6.2346559950359648E-2"/>
  </r>
  <r>
    <x v="7"/>
    <s v="Feedstock"/>
    <s v="FEED"/>
    <s v="ICTFEED"/>
    <x v="4"/>
    <n v="57.942521966785321"/>
    <n v="19.479657709931356"/>
    <n v="0.33618933123238537"/>
    <n v="0.02"/>
    <n v="5.9490287590875823E-2"/>
  </r>
  <r>
    <x v="7"/>
    <s v="Facilities"/>
    <s v="FAC"/>
    <s v="ICTFAC"/>
    <x v="5"/>
    <n v="9.0587780592370351"/>
    <n v="2.2366166444305442"/>
    <n v="0.24690047927048128"/>
    <n v="0"/>
    <n v="0"/>
  </r>
  <r>
    <x v="7"/>
    <s v="Facilities"/>
    <s v="FAC"/>
    <s v="ICTFAC"/>
    <x v="6"/>
    <n v="7.7108109384975538"/>
    <n v="1.4024605074109564"/>
    <n v="0.18188236212729977"/>
    <n v="0"/>
    <n v="0"/>
  </r>
  <r>
    <x v="8"/>
    <s v="Feedstock"/>
    <s v="FEED"/>
    <s v="IMOFEED"/>
    <x v="7"/>
    <n v="12.022841358313119"/>
    <n v="0.68473716588122846"/>
    <n v="5.6953023455455574E-2"/>
    <n v="0.02"/>
    <n v="0.35116660690792934"/>
  </r>
  <r>
    <x v="8"/>
    <s v="Feedstock"/>
    <s v="FEED"/>
    <s v="IMOFEED"/>
    <x v="8"/>
    <n v="37.872488450142463"/>
    <n v="5.8013415988528187"/>
    <n v="0.15318089294528509"/>
    <n v="0"/>
    <n v="0"/>
  </r>
  <r>
    <x v="8"/>
    <s v="Electrochemical"/>
    <s v="ETC"/>
    <s v="IMOETC"/>
    <x v="0"/>
    <n v="74.140331422726135"/>
    <n v="3.5364642470204193"/>
    <n v="4.7699601271763287E-2"/>
    <n v="0.02"/>
    <n v="0.41929071662573847"/>
  </r>
  <r>
    <x v="8"/>
    <s v="Feedstock"/>
    <s v="FEED"/>
    <s v="IMOFEED"/>
    <x v="1"/>
    <n v="48.49982277120094"/>
    <n v="0.77281458855357588"/>
    <n v="1.5934379640918421E-2"/>
    <n v="0"/>
    <n v="0"/>
  </r>
  <r>
    <x v="8"/>
    <s v="Facilities"/>
    <s v="FAC"/>
    <s v="IMOFAC"/>
    <x v="2"/>
    <n v="20.77585475467971"/>
    <n v="2.2763713924392697"/>
    <n v="0.10956812219369808"/>
    <n v="0"/>
    <n v="0"/>
  </r>
  <r>
    <x v="8"/>
    <s v="Facilities"/>
    <s v="FAC"/>
    <s v="IMOFAC"/>
    <x v="3"/>
    <n v="17.96682033499857"/>
    <n v="1.9841892455045056"/>
    <n v="0.11043630472774267"/>
    <n v="0"/>
    <n v="0"/>
  </r>
  <r>
    <x v="8"/>
    <s v="Facilities"/>
    <s v="FAC"/>
    <s v="IMOFAC"/>
    <x v="4"/>
    <n v="63.664150047077896"/>
    <n v="6.8930781214198138"/>
    <n v="0.10827252254718819"/>
    <n v="0"/>
    <n v="0"/>
  </r>
  <r>
    <x v="8"/>
    <s v="Other Heat"/>
    <s v="OHT"/>
    <s v="IMOOHT"/>
    <x v="5"/>
    <n v="35.525980050790395"/>
    <n v="0.3515591836592567"/>
    <n v="9.8958335042873807E-3"/>
    <n v="0"/>
    <n v="0"/>
  </r>
  <r>
    <x v="8"/>
    <s v="Other Heat"/>
    <s v="OHT"/>
    <s v="IMOOHT"/>
    <x v="6"/>
    <n v="16.698235808624542"/>
    <n v="0.22044362064795228"/>
    <n v="1.3201611426166016E-2"/>
    <n v="0"/>
    <n v="0"/>
  </r>
  <r>
    <x v="9"/>
    <s v="Facilities"/>
    <s v="FAC"/>
    <s v="INOFAC"/>
    <x v="7"/>
    <n v="7.6001544813004713"/>
    <n v="0.67943609216716405"/>
    <n v="8.9397668670927452E-2"/>
    <n v="0"/>
    <n v="0"/>
  </r>
  <r>
    <x v="9"/>
    <s v="Steam"/>
    <s v="STM"/>
    <s v="INOSTM"/>
    <x v="8"/>
    <n v="22.255901437411659"/>
    <n v="0.52871490717249425"/>
    <n v="2.3756166815321021E-2"/>
    <n v="0"/>
    <n v="0"/>
  </r>
  <r>
    <x v="9"/>
    <s v="Steam"/>
    <s v="STM"/>
    <s v="INOSTM"/>
    <x v="0"/>
    <n v="47.606547646820282"/>
    <n v="0.93625633258137886"/>
    <n v="1.9666545440917158E-2"/>
    <n v="0"/>
    <n v="0"/>
  </r>
  <r>
    <x v="9"/>
    <s v="Steam"/>
    <s v="STM"/>
    <s v="INOSTM"/>
    <x v="1"/>
    <n v="32.996436973779794"/>
    <n v="1.385538953399531"/>
    <n v="4.199056263258158E-2"/>
    <n v="0"/>
    <n v="0"/>
  </r>
  <r>
    <x v="9"/>
    <s v="Facilities"/>
    <s v="FAC"/>
    <s v="INOFAC"/>
    <x v="2"/>
    <n v="28.178747619163488"/>
    <n v="2.5236544444393409"/>
    <n v="8.9558786591462367E-2"/>
    <n v="0"/>
    <n v="0"/>
  </r>
  <r>
    <x v="9"/>
    <s v="Facilities"/>
    <s v="FAC"/>
    <s v="INOFAC"/>
    <x v="3"/>
    <n v="23.759101302549464"/>
    <n v="2.1997324446519455"/>
    <n v="9.2584833771296893E-2"/>
    <n v="0"/>
    <n v="0"/>
  </r>
  <r>
    <x v="9"/>
    <s v="Facilities"/>
    <s v="FAC"/>
    <s v="INOFAC"/>
    <x v="4"/>
    <n v="82.211642829874165"/>
    <n v="7.6418757039237351"/>
    <n v="9.2953691726335635E-2"/>
    <n v="0"/>
    <n v="0"/>
  </r>
  <r>
    <x v="9"/>
    <s v="Steam"/>
    <s v="STM"/>
    <s v="INOSTM"/>
    <x v="5"/>
    <n v="28.847202153789933"/>
    <n v="1.687486853645511"/>
    <n v="5.8497418385644366E-2"/>
    <n v="0"/>
    <n v="0"/>
  </r>
  <r>
    <x v="9"/>
    <s v="Steam"/>
    <s v="STM"/>
    <s v="INOSTM"/>
    <x v="6"/>
    <n v="17.085665523344243"/>
    <n v="5.5286984479474832E-2"/>
    <n v="3.2358695307441146E-3"/>
    <n v="0"/>
    <n v="0"/>
  </r>
  <r>
    <x v="10"/>
    <s v="Facilities"/>
    <s v="FAC"/>
    <s v="IPOFAC"/>
    <x v="7"/>
    <n v="35.634367303667425"/>
    <n v="2.6357872662438426"/>
    <n v="7.3967561814197613E-2"/>
    <n v="0"/>
    <n v="0"/>
  </r>
  <r>
    <x v="10"/>
    <s v="Facilities"/>
    <s v="FAC"/>
    <s v="IPOFAC"/>
    <x v="8"/>
    <n v="25.308913099218202"/>
    <n v="2.3256946466857431"/>
    <n v="9.1892316259033047E-2"/>
    <n v="0"/>
    <n v="0"/>
  </r>
  <r>
    <x v="10"/>
    <s v="Facilities"/>
    <s v="FAC"/>
    <s v="IPOFAC"/>
    <x v="0"/>
    <n v="29.933517313531446"/>
    <n v="8.2928153965429132"/>
    <n v="0.27704112783278384"/>
    <n v="0"/>
    <n v="0"/>
  </r>
  <r>
    <x v="10"/>
    <s v="Facilities"/>
    <s v="FAC"/>
    <s v="IPOFAC"/>
    <x v="1"/>
    <n v="5.7446507212596147"/>
    <n v="1.5879859269975787"/>
    <n v="0.27642862970255311"/>
    <n v="0"/>
    <n v="0"/>
  </r>
  <r>
    <x v="10"/>
    <s v="Facilities"/>
    <s v="FAC"/>
    <s v="IPOFAC"/>
    <x v="2"/>
    <n v="24.978390159523929"/>
    <n v="5.1163134026725956"/>
    <n v="0.20482958949705624"/>
    <n v="0"/>
    <n v="0"/>
  </r>
  <r>
    <x v="10"/>
    <s v="Facilities"/>
    <s v="FAC"/>
    <s v="IPOFAC"/>
    <x v="3"/>
    <n v="16.111504970144722"/>
    <n v="2.9707626209066689"/>
    <n v="0.18438765505839544"/>
    <n v="0"/>
    <n v="0"/>
  </r>
  <r>
    <x v="10"/>
    <s v="Facilities"/>
    <s v="FAC"/>
    <s v="IPOFAC"/>
    <x v="4"/>
    <n v="10.088812486482739"/>
    <n v="2.1455507817659276"/>
    <n v="0.21266633557126707"/>
    <n v="0"/>
    <n v="0"/>
  </r>
  <r>
    <x v="10"/>
    <s v="Other Heat"/>
    <s v="OHT"/>
    <s v="IPOOHT"/>
    <x v="5"/>
    <n v="1.0152882742504583"/>
    <n v="4.1820485371173097E-2"/>
    <n v="4.1190749890268635E-2"/>
    <n v="0"/>
    <n v="0"/>
  </r>
  <r>
    <x v="10"/>
    <s v="Other Heat"/>
    <s v="OHT"/>
    <s v="IPOOHT"/>
    <x v="6"/>
    <n v="8.5074190442772597"/>
    <n v="0.32410876162659152"/>
    <n v="3.8097190221823132E-2"/>
    <n v="0"/>
    <n v="0"/>
  </r>
  <r>
    <x v="11"/>
    <s v="Facilities"/>
    <s v="FAC"/>
    <s v="IPAFAC"/>
    <x v="7"/>
    <n v="72.738865064216952"/>
    <n v="1.4575942645611193"/>
    <n v="2.0038727072168274E-2"/>
    <n v="0"/>
    <n v="0"/>
  </r>
  <r>
    <x v="11"/>
    <s v="Facilities"/>
    <s v="FAC"/>
    <s v="IPAFAC"/>
    <x v="8"/>
    <n v="58.60524942365312"/>
    <n v="1.2861125863774583"/>
    <n v="2.1945347883092232E-2"/>
    <n v="0"/>
    <n v="0"/>
  </r>
  <r>
    <x v="11"/>
    <s v="Facilities"/>
    <s v="FAC"/>
    <s v="IPAFAC"/>
    <x v="0"/>
    <n v="127.61429915784434"/>
    <n v="2.0837572419663015"/>
    <n v="1.6328556092205085E-2"/>
    <n v="0"/>
    <n v="0"/>
  </r>
  <r>
    <x v="11"/>
    <s v="Facilities"/>
    <s v="FAC"/>
    <s v="IPAFAC"/>
    <x v="1"/>
    <n v="27.38060717468726"/>
    <n v="0.39901734420631302"/>
    <n v="1.4572991083090202E-2"/>
    <n v="0"/>
    <n v="0"/>
  </r>
  <r>
    <x v="11"/>
    <s v="Facilities"/>
    <s v="FAC"/>
    <s v="IPAFAC"/>
    <x v="2"/>
    <n v="188.07228636087538"/>
    <n v="2.4789139137912723"/>
    <n v="1.3180644324356765E-2"/>
    <n v="0.02"/>
    <n v="1.5173765035933684"/>
  </r>
  <r>
    <x v="11"/>
    <s v="Facilities"/>
    <s v="FAC"/>
    <s v="IPAFAC"/>
    <x v="3"/>
    <n v="99.059271716600307"/>
    <n v="1.4393693692981584"/>
    <n v="1.4530385135639449E-2"/>
    <n v="0"/>
    <n v="0"/>
  </r>
  <r>
    <x v="11"/>
    <s v="Facilities"/>
    <s v="FAC"/>
    <s v="IPAFAC"/>
    <x v="4"/>
    <n v="68.261782405227351"/>
    <n v="1.0395445444931144"/>
    <n v="1.5228792859846393E-2"/>
    <n v="0"/>
    <n v="0"/>
  </r>
  <r>
    <x v="11"/>
    <s v="Facilities"/>
    <s v="FAC"/>
    <s v="IPAFAC"/>
    <x v="5"/>
    <n v="13.206996724949857"/>
    <n v="0.2563534695455173"/>
    <n v="1.9410428796520399E-2"/>
    <n v="0"/>
    <n v="0"/>
  </r>
  <r>
    <x v="11"/>
    <s v="Facilities"/>
    <s v="FAC"/>
    <s v="IPAFAC"/>
    <x v="6"/>
    <n v="69.3933542801866"/>
    <n v="1.9867393889777591"/>
    <n v="2.8630110326645773E-2"/>
    <n v="0"/>
    <n v="0"/>
  </r>
  <r>
    <x v="12"/>
    <s v="Electrochemical"/>
    <s v="ETC"/>
    <s v="IPBETC"/>
    <x v="7"/>
    <n v="14.655675246007366"/>
    <n v="4.7796169924384124E-2"/>
    <n v="3.2612738152344905E-3"/>
    <n v="0"/>
    <n v="0"/>
  </r>
  <r>
    <x v="12"/>
    <s v="Electrochemical"/>
    <s v="ETC"/>
    <s v="IPBETC"/>
    <x v="8"/>
    <n v="11.701787827065161"/>
    <n v="4.2173091109750697E-2"/>
    <n v="3.6039869918174563E-3"/>
    <n v="0"/>
    <n v="0"/>
  </r>
  <r>
    <x v="12"/>
    <s v="Electrochemical"/>
    <s v="ETC"/>
    <s v="IPBETC"/>
    <x v="0"/>
    <n v="26.751531672592957"/>
    <n v="0.13591784791942513"/>
    <n v="5.080750126119824E-3"/>
    <n v="0"/>
    <n v="0"/>
  </r>
  <r>
    <x v="12"/>
    <s v="Electrochemical"/>
    <s v="ETC"/>
    <s v="IPBETC"/>
    <x v="1"/>
    <n v="5.7141005560069811"/>
    <n v="2.6026821942017574E-2"/>
    <n v="4.5548414290078826E-3"/>
    <n v="0"/>
    <n v="0"/>
  </r>
  <r>
    <x v="12"/>
    <s v="Process Heat"/>
    <s v="PRH"/>
    <s v="IPBPRH"/>
    <x v="2"/>
    <n v="276.06027553346769"/>
    <n v="12.243250801289026"/>
    <n v="4.4349918790850214E-2"/>
    <n v="0.02"/>
    <n v="0.45095911210836448"/>
  </r>
  <r>
    <x v="12"/>
    <s v="Facilities"/>
    <s v="FAC"/>
    <s v="IPBFAC"/>
    <x v="3"/>
    <n v="150.24986429554087"/>
    <n v="1.4921543192199886"/>
    <n v="9.9311525252690214E-3"/>
    <n v="0.02"/>
    <n v="2.0138649516369185"/>
  </r>
  <r>
    <x v="12"/>
    <s v="Electrochemical"/>
    <s v="ETC"/>
    <s v="IPBETC"/>
    <x v="4"/>
    <n v="117.70704127351154"/>
    <n v="0.12450584833433496"/>
    <n v="1.0577604108238971E-3"/>
    <n v="0"/>
    <n v="0"/>
  </r>
  <r>
    <x v="12"/>
    <s v="Electrochemical"/>
    <s v="ETC"/>
    <s v="IPBETC"/>
    <x v="5"/>
    <n v="9.4341286208250494"/>
    <n v="2.4677283026505549E-2"/>
    <n v="2.615745875250472E-3"/>
    <n v="0"/>
    <n v="0"/>
  </r>
  <r>
    <x v="12"/>
    <s v="Electrochemical"/>
    <s v="ETC"/>
    <s v="IPBETC"/>
    <x v="6"/>
    <n v="71.178857797192777"/>
    <n v="0.19124894345541804"/>
    <n v="2.6868785110367522E-3"/>
    <n v="0"/>
    <n v="0"/>
  </r>
  <r>
    <x v="13"/>
    <s v="Electrochemical"/>
    <s v="ETC"/>
    <s v="ICPETC"/>
    <x v="7"/>
    <n v="8.0645257055617776"/>
    <n v="0.11213804322720264"/>
    <n v="1.3905100848009644E-2"/>
    <n v="0"/>
    <n v="0"/>
  </r>
  <r>
    <x v="13"/>
    <s v="Electrochemical"/>
    <s v="ETC"/>
    <s v="ICPETC"/>
    <x v="8"/>
    <n v="18.843743769691979"/>
    <n v="0.30867830515738132"/>
    <n v="1.6380943666505131E-2"/>
    <n v="0"/>
    <n v="0"/>
  </r>
  <r>
    <x v="13"/>
    <s v="Electrochemical"/>
    <s v="ETC"/>
    <s v="ICPETC"/>
    <x v="0"/>
    <n v="116.24677052467294"/>
    <n v="1.0035423189574528"/>
    <n v="8.6328619232003065E-3"/>
    <n v="0"/>
    <n v="0"/>
  </r>
  <r>
    <x v="13"/>
    <s v="Electrochemical"/>
    <s v="ETC"/>
    <s v="ICPETC"/>
    <x v="1"/>
    <n v="69.492713422491462"/>
    <n v="0.67972307458088332"/>
    <n v="9.7812136136979436E-3"/>
    <n v="0"/>
    <n v="0"/>
  </r>
  <r>
    <x v="13"/>
    <s v="Feedstock"/>
    <s v="FEED"/>
    <s v="ICPFEED"/>
    <x v="2"/>
    <n v="249.53943408050742"/>
    <n v="193.0095243872953"/>
    <n v="0.77346302037787662"/>
    <n v="0.02"/>
    <n v="2.5857732655737209E-2"/>
  </r>
  <r>
    <x v="13"/>
    <s v="Feedstock"/>
    <s v="FEED"/>
    <s v="ICPFEED"/>
    <x v="3"/>
    <n v="224.53550971197137"/>
    <n v="168.23591433331018"/>
    <n v="0.74926195214787661"/>
    <n v="0.02"/>
    <n v="2.6692934217038555E-2"/>
  </r>
  <r>
    <x v="13"/>
    <s v="Feedstock"/>
    <s v="FEED"/>
    <s v="ICPFEED"/>
    <x v="4"/>
    <n v="753.50961557892583"/>
    <n v="584.45196341800511"/>
    <n v="0.77563968837871733"/>
    <n v="0.02"/>
    <n v="2.5785168422430615E-2"/>
  </r>
  <r>
    <x v="13"/>
    <s v="Electrochemical"/>
    <s v="ETC"/>
    <s v="ICPETC"/>
    <x v="5"/>
    <n v="0.91116270172091884"/>
    <n v="8.6212777743130159E-2"/>
    <n v="9.4618422791340709E-2"/>
    <n v="0"/>
    <n v="0"/>
  </r>
  <r>
    <x v="13"/>
    <s v="Electrochemical"/>
    <s v="ETC"/>
    <s v="ICPETC"/>
    <x v="6"/>
    <n v="0.8859872117082348"/>
    <n v="5.4059338385064534E-2"/>
    <n v="6.1015935298699163E-2"/>
    <n v="0"/>
    <n v="0"/>
  </r>
  <r>
    <x v="14"/>
    <s v="Facilities"/>
    <s v="FAC"/>
    <s v="IMAFAC"/>
    <x v="7"/>
    <n v="3.0427843931077136"/>
    <n v="0.17341777982404577"/>
    <n v="5.6993121240157103E-2"/>
    <n v="0"/>
    <n v="0"/>
  </r>
  <r>
    <x v="14"/>
    <s v="Other Heat"/>
    <s v="OHT"/>
    <s v="IMAOHT"/>
    <x v="8"/>
    <n v="15.825052118743701"/>
    <n v="1.5850931959191099"/>
    <n v="0.10016353715774967"/>
    <n v="0"/>
    <n v="0"/>
  </r>
  <r>
    <x v="14"/>
    <s v="Steam"/>
    <s v="STM"/>
    <s v="IMASTM"/>
    <x v="0"/>
    <n v="54.595027087982025"/>
    <n v="6.4017528284246672E-2"/>
    <n v="1.1725890012121419E-3"/>
    <n v="0"/>
    <n v="0"/>
  </r>
  <r>
    <x v="14"/>
    <s v="Facilities"/>
    <s v="FAC"/>
    <s v="IMAFAC"/>
    <x v="1"/>
    <n v="36.935149398008399"/>
    <n v="1.4039232303404154"/>
    <n v="3.8010492802179302E-2"/>
    <n v="0"/>
    <n v="0"/>
  </r>
  <r>
    <x v="14"/>
    <s v="Facilities"/>
    <s v="FAC"/>
    <s v="IMAFAC"/>
    <x v="2"/>
    <n v="27.847713841354377"/>
    <n v="1.3024956332671107"/>
    <n v="4.6772084799754018E-2"/>
    <n v="0"/>
    <n v="0"/>
  </r>
  <r>
    <x v="14"/>
    <s v="Steam"/>
    <s v="STM"/>
    <s v="IMASTM"/>
    <x v="3"/>
    <n v="24.314539191249725"/>
    <n v="4.1200271499421494E-2"/>
    <n v="1.6944705871394254E-3"/>
    <n v="0"/>
    <n v="0"/>
  </r>
  <r>
    <x v="14"/>
    <s v="Facilities"/>
    <s v="FAC"/>
    <s v="IMAFAC"/>
    <x v="4"/>
    <n v="86.981704343525962"/>
    <n v="3.9440858300796333"/>
    <n v="4.5343855467614679E-2"/>
    <n v="0.02"/>
    <n v="0.4410740946870817"/>
  </r>
  <r>
    <x v="14"/>
    <s v="Facilities"/>
    <s v="FAC"/>
    <s v="IMAFAC"/>
    <x v="5"/>
    <n v="30.610164755054562"/>
    <n v="0.84690959173716052"/>
    <n v="2.7667593379983781E-2"/>
    <n v="0"/>
    <n v="0"/>
  </r>
  <r>
    <x v="14"/>
    <s v="Facilities"/>
    <s v="FAC"/>
    <s v="IMAFAC"/>
    <x v="6"/>
    <n v="19.193967504984265"/>
    <n v="0.53105088827652647"/>
    <n v="2.7667593379983781E-2"/>
    <n v="0"/>
    <n v="0"/>
  </r>
  <r>
    <x v="15"/>
    <s v="Electrochemical"/>
    <s v="ETC"/>
    <s v="IMSETC"/>
    <x v="7"/>
    <n v="44.82039899077246"/>
    <n v="8.0473687899115229E-2"/>
    <n v="1.7954701366153167E-3"/>
    <n v="0"/>
    <n v="0"/>
  </r>
  <r>
    <x v="15"/>
    <s v="Facilities"/>
    <s v="FAC"/>
    <s v="IMSFAC"/>
    <x v="8"/>
    <n v="130.84773862054098"/>
    <n v="2.0735155923858812"/>
    <n v="1.584678202501524E-2"/>
    <n v="0.02"/>
    <n v="1.2620858902727718"/>
  </r>
  <r>
    <x v="15"/>
    <s v="Facilities"/>
    <s v="FAC"/>
    <s v="IMSFAC"/>
    <x v="0"/>
    <n v="267.50343871101956"/>
    <n v="9.4366519323420306"/>
    <n v="3.5276750002964714E-2"/>
    <n v="0.02"/>
    <n v="0.56694565112485407"/>
  </r>
  <r>
    <x v="15"/>
    <s v="Facilities"/>
    <s v="FAC"/>
    <s v="IMSFAC"/>
    <x v="1"/>
    <n v="175.42665234580812"/>
    <n v="6.3916687358683335"/>
    <n v="3.6434992348077289E-2"/>
    <n v="0.02"/>
    <n v="0.54892285440689648"/>
  </r>
  <r>
    <x v="15"/>
    <s v="Electrochemical"/>
    <s v="ETC"/>
    <s v="IMSETC"/>
    <x v="2"/>
    <n v="42.052445104134478"/>
    <n v="0.234209051593194"/>
    <n v="5.5694514555151807E-3"/>
    <n v="0"/>
    <n v="0"/>
  </r>
  <r>
    <x v="15"/>
    <s v="Electrochemical"/>
    <s v="ETC"/>
    <s v="IMSETC"/>
    <x v="3"/>
    <n v="36.947866466767216"/>
    <n v="0.20414730342971635"/>
    <n v="5.5252798862780554E-3"/>
    <n v="0"/>
    <n v="0"/>
  </r>
  <r>
    <x v="15"/>
    <s v="Other Heat"/>
    <s v="OHT"/>
    <s v="IMSOHT"/>
    <x v="4"/>
    <n v="125.70035565865331"/>
    <n v="3.1217923141883954"/>
    <n v="2.4835190782322093E-2"/>
    <n v="0.02"/>
    <n v="0.80530889314674425"/>
  </r>
  <r>
    <x v="15"/>
    <s v="Electrochemical"/>
    <s v="ETC"/>
    <s v="IMSETC"/>
    <x v="5"/>
    <n v="11.986899290832991"/>
    <n v="9.2803387271877841E-2"/>
    <n v="7.7420678208958886E-3"/>
    <n v="0"/>
    <n v="0"/>
  </r>
  <r>
    <x v="15"/>
    <s v="Electrochemical"/>
    <s v="ETC"/>
    <s v="IMSETC"/>
    <x v="6"/>
    <n v="10.153384572114925"/>
    <n v="5.8191950742596324E-2"/>
    <n v="5.7312859893452342E-3"/>
    <n v="0"/>
    <n v="0"/>
  </r>
  <r>
    <x v="16"/>
    <s v="Process Heat"/>
    <s v="PRH"/>
    <s v="IPLPRH"/>
    <x v="7"/>
    <n v="7.3643678189191304"/>
    <n v="0.59264090106654188"/>
    <n v="8.0474103906657379E-2"/>
    <n v="0"/>
    <n v="0"/>
  </r>
  <r>
    <x v="16"/>
    <s v="Process Heat"/>
    <s v="PRH"/>
    <s v="IPLPRH"/>
    <x v="8"/>
    <n v="6.1030137926704979"/>
    <n v="0.52291844211753691"/>
    <n v="8.5682002348666381E-2"/>
    <n v="0"/>
    <n v="0"/>
  </r>
  <r>
    <x v="16"/>
    <s v="Process Heat"/>
    <s v="PRH"/>
    <s v="IPLPRH"/>
    <x v="0"/>
    <n v="1.2341345385391349"/>
    <n v="0.49162036934968295"/>
    <n v="0.39835233031531714"/>
    <n v="0"/>
    <n v="0"/>
  </r>
  <r>
    <x v="16"/>
    <s v="Process Heat"/>
    <s v="PRH"/>
    <s v="IPLPRH"/>
    <x v="1"/>
    <n v="0.23632363503940876"/>
    <n v="9.4140070726535019E-2"/>
    <n v="0.39835233031531714"/>
    <n v="0"/>
    <n v="0"/>
  </r>
  <r>
    <x v="16"/>
    <s v="Process Heat"/>
    <s v="PRH"/>
    <s v="IPLPRH"/>
    <x v="2"/>
    <n v="89.386793276478571"/>
    <n v="4.5630660368905662"/>
    <n v="5.1048548332825149E-2"/>
    <n v="0"/>
    <n v="0"/>
  </r>
  <r>
    <x v="16"/>
    <s v="Process Heat"/>
    <s v="PRH"/>
    <s v="IPLPRH"/>
    <x v="3"/>
    <n v="52.733868481521391"/>
    <n v="2.6495222149687159"/>
    <n v="5.0243274223227941E-2"/>
    <n v="0"/>
    <n v="0"/>
  </r>
  <r>
    <x v="16"/>
    <s v="Process Heat"/>
    <s v="PRH"/>
    <s v="IPLPRH"/>
    <x v="4"/>
    <n v="38.200371737968986"/>
    <n v="1.9135438219218501"/>
    <n v="5.0092282741319424E-2"/>
    <n v="0"/>
    <n v="0"/>
  </r>
  <r>
    <x v="16"/>
    <s v="Process Heat"/>
    <s v="PRH"/>
    <s v="IPLPRH"/>
    <x v="5"/>
    <n v="0.74672865094505603"/>
    <n v="5.0495885514788057E-2"/>
    <n v="6.7622804416143295E-2"/>
    <n v="0"/>
    <n v="0"/>
  </r>
  <r>
    <x v="16"/>
    <s v="Process Heat"/>
    <s v="PRH"/>
    <s v="IPLPRH"/>
    <x v="6"/>
    <n v="8.353314580454235"/>
    <n v="0.39134311273960742"/>
    <n v="4.684884173466948E-2"/>
    <n v="0"/>
    <n v="0"/>
  </r>
  <r>
    <x v="17"/>
    <s v="Other Heat"/>
    <s v="OHT"/>
    <s v="IMLOHT"/>
    <x v="7"/>
    <n v="3.981350532008201"/>
    <n v="0.46531186402484209"/>
    <n v="0.11687287021927655"/>
    <n v="0"/>
    <n v="0"/>
  </r>
  <r>
    <x v="17"/>
    <s v="Other Heat"/>
    <s v="OHT"/>
    <s v="IMLOHT"/>
    <x v="8"/>
    <n v="11.29378602509215"/>
    <n v="1.2808470116229715"/>
    <n v="0.1134116591882677"/>
    <n v="0"/>
    <n v="0"/>
  </r>
  <r>
    <x v="17"/>
    <s v="Other Heat"/>
    <s v="OHT"/>
    <s v="IMLOHT"/>
    <x v="0"/>
    <n v="5.8562470054176563"/>
    <n v="0.92536768596065311"/>
    <n v="0.15801377317326076"/>
    <n v="0"/>
    <n v="0"/>
  </r>
  <r>
    <x v="17"/>
    <s v="Other Heat"/>
    <s v="OHT"/>
    <s v="IMLOHT"/>
    <x v="1"/>
    <n v="3.9604264401412914"/>
    <n v="0.62677353683740356"/>
    <n v="0.158259103233096"/>
    <n v="0"/>
    <n v="0"/>
  </r>
  <r>
    <x v="17"/>
    <s v="Other Heat"/>
    <s v="OHT"/>
    <s v="IMLOHT"/>
    <x v="2"/>
    <n v="1.5351732425452957"/>
    <n v="0.23758501280380395"/>
    <n v="0.15476104339200919"/>
    <n v="0"/>
    <n v="0"/>
  </r>
  <r>
    <x v="17"/>
    <s v="Other Heat"/>
    <s v="OHT"/>
    <s v="IMLOHT"/>
    <x v="3"/>
    <n v="1.3381270947095341"/>
    <n v="0.20708994536836534"/>
    <n v="0.15476104339200913"/>
    <n v="0"/>
    <n v="0"/>
  </r>
  <r>
    <x v="17"/>
    <s v="Other Heat"/>
    <s v="OHT"/>
    <s v="IMLOHT"/>
    <x v="4"/>
    <n v="4.6486566849000708"/>
    <n v="0.71943095892637332"/>
    <n v="0.15476104339200916"/>
    <n v="0"/>
    <n v="0"/>
  </r>
  <r>
    <x v="17"/>
    <s v="Other Heat"/>
    <s v="OHT"/>
    <s v="IMLOHT"/>
    <x v="5"/>
    <n v="0.70238912238446283"/>
    <n v="0.11924537281588643"/>
    <n v="0.16977109840635565"/>
    <n v="0"/>
    <n v="0"/>
  </r>
  <r>
    <x v="17"/>
    <s v="Other Heat"/>
    <s v="OHT"/>
    <s v="IMLOHT"/>
    <x v="6"/>
    <n v="0.48599275309370837"/>
    <n v="7.4772280033870667E-2"/>
    <n v="0.1538547222317391"/>
    <n v="0"/>
    <n v="0"/>
  </r>
  <r>
    <x v="18"/>
    <s v="Electrochemical"/>
    <s v="ETC"/>
    <s v="IMTETC"/>
    <x v="7"/>
    <n v="11.914283276028124"/>
    <n v="2.1391739821283791E-2"/>
    <n v="1.795470136615316E-3"/>
    <n v="0"/>
    <n v="0"/>
  </r>
  <r>
    <x v="18"/>
    <s v="Electrochemical"/>
    <s v="ETC"/>
    <s v="IMTETC"/>
    <x v="8"/>
    <n v="34.782310266219753"/>
    <n v="5.888426266742397E-2"/>
    <n v="1.6929370768281543E-3"/>
    <n v="0"/>
    <n v="0"/>
  </r>
  <r>
    <x v="18"/>
    <s v="Electrochemical"/>
    <s v="ETC"/>
    <s v="IMTETC"/>
    <x v="0"/>
    <n v="71.108509024448225"/>
    <n v="0.16032957495081002"/>
    <n v="2.2547171520033724E-3"/>
    <n v="0"/>
    <n v="0"/>
  </r>
  <r>
    <x v="18"/>
    <s v="Electrochemical"/>
    <s v="ETC"/>
    <s v="IMTETC"/>
    <x v="1"/>
    <n v="46.632401256480648"/>
    <n v="0.10859503338636103"/>
    <n v="2.3287463321711157E-3"/>
    <n v="0"/>
    <n v="0"/>
  </r>
  <r>
    <x v="18"/>
    <s v="Other Heat"/>
    <s v="OHT"/>
    <s v="IMTOHT"/>
    <x v="2"/>
    <n v="11.178498065655996"/>
    <n v="0.27404767953867748"/>
    <n v="2.4515608262315816E-2"/>
    <n v="0"/>
    <n v="0"/>
  </r>
  <r>
    <x v="18"/>
    <s v="Other Heat"/>
    <s v="OHT"/>
    <s v="IMTOHT"/>
    <x v="3"/>
    <n v="9.8215847569887522"/>
    <n v="0.23887247059164396"/>
    <n v="2.4321173873866873E-2"/>
    <n v="0"/>
    <n v="0"/>
  </r>
  <r>
    <x v="18"/>
    <s v="Other Heat"/>
    <s v="OHT"/>
    <s v="IMTOHT"/>
    <x v="4"/>
    <n v="33.41401859280657"/>
    <n v="0.82984352655640881"/>
    <n v="2.4835190782322093E-2"/>
    <n v="0"/>
    <n v="0"/>
  </r>
  <r>
    <x v="18"/>
    <s v="Electrochemical"/>
    <s v="ETC"/>
    <s v="IMTETC"/>
    <x v="5"/>
    <n v="3.1863909507277564"/>
    <n v="2.466925484442322E-2"/>
    <n v="7.7420678208958886E-3"/>
    <n v="0"/>
    <n v="0"/>
  </r>
  <r>
    <x v="18"/>
    <s v="Electrochemical"/>
    <s v="ETC"/>
    <s v="IMTETC"/>
    <x v="6"/>
    <n v="2.6990009622077644"/>
    <n v="1.5468746399930667E-2"/>
    <n v="5.7312859893452342E-3"/>
    <n v="0"/>
    <n v="0"/>
  </r>
</pivotCacheRecords>
</file>

<file path=xl/pivotCache/pivotCacheRecords4.xml><?xml version="1.0" encoding="utf-8"?>
<pivotCacheRecords xmlns="http://schemas.openxmlformats.org/spreadsheetml/2006/main" xmlns:r="http://schemas.openxmlformats.org/officeDocument/2006/relationships" count="373">
  <r>
    <x v="0"/>
    <s v="ICAOH"/>
    <n v="0"/>
    <n v="0"/>
    <n v="0.36588093453079751"/>
    <n v="0.24781985677311991"/>
    <n v="0"/>
    <n v="0"/>
    <n v="0"/>
    <n v="0"/>
    <n v="0"/>
    <n v="0"/>
    <n v="0"/>
    <n v="1"/>
    <n v="1"/>
    <n v="0"/>
    <n v="0"/>
    <n v="0"/>
    <n v="0"/>
    <n v="0"/>
  </r>
  <r>
    <x v="1"/>
    <s v="INCOH"/>
    <n v="0.16085723185265216"/>
    <n v="0.44278584030561763"/>
    <n v="2.1593078695080341"/>
    <n v="1.4625505634415852"/>
    <n v="0.44351597368938994"/>
    <n v="0.38658877375055772"/>
    <n v="1.343010312329824"/>
    <n v="0.44520676627078398"/>
    <n v="0.27916492031913992"/>
    <n v="1"/>
    <n v="7.7581753534048281E-2"/>
    <n v="0.10286677908937605"/>
    <n v="0.10286677908937605"/>
    <n v="0.10286677908937605"/>
    <n v="0.10286677908937607"/>
    <n v="0.10286677908937605"/>
    <n v="0.10286677908937605"/>
    <n v="0.10286677908937607"/>
  </r>
  <r>
    <x v="2"/>
    <s v="INCOH"/>
    <n v="0"/>
    <n v="5.2645592522655669"/>
    <n v="18.831996501283182"/>
    <n v="12.755359012310219"/>
    <n v="3.8680409508648435"/>
    <n v="3.3715611087753556"/>
    <n v="11.712811248515843"/>
    <n v="3.8827868796074929"/>
    <n v="2.4346842231111872"/>
    <n v="0"/>
    <n v="0.92241824646595172"/>
    <n v="0.89713322091062397"/>
    <n v="0.89713322091062397"/>
    <n v="0.89713322091062386"/>
    <n v="0.89713322091062397"/>
    <n v="0.89713322091062397"/>
    <n v="0.89713322091062386"/>
    <n v="0.89713322091062397"/>
  </r>
  <r>
    <x v="3"/>
    <s v="IFDOH"/>
    <n v="6.945642626533291E-2"/>
    <n v="0.19119017351170173"/>
    <n v="0.15539432710535508"/>
    <n v="0.10525227267167958"/>
    <n v="0.10639190959468799"/>
    <n v="9.2736046291751764E-2"/>
    <n v="0.32216524366762961"/>
    <n v="0.58738626026710739"/>
    <n v="0.3683179389153533"/>
    <n v="0.11882275445893777"/>
    <n v="0.13148637144937569"/>
    <n v="1.2023187733122255E-2"/>
    <n v="1.3751338441226552E-2"/>
    <n v="3.0727200145896871E-2"/>
    <n v="3.7954893248665085E-2"/>
    <n v="3.1419423967828597E-2"/>
    <n v="0.1130721310747199"/>
    <n v="0.14882417066258122"/>
  </r>
  <r>
    <x v="4"/>
    <s v="IFDOH"/>
    <n v="0.13106152157581302"/>
    <n v="0.36076827441515114"/>
    <n v="1.3805913047597638"/>
    <n v="0.93510731803102576"/>
    <n v="0.33041307876487963"/>
    <n v="0.28800312621957086"/>
    <n v="1.0005235401524735"/>
    <n v="0.5164017911648302"/>
    <n v="0.3238074436530668"/>
    <n v="0.22421382490550693"/>
    <n v="0.24810956790097558"/>
    <n v="0.10681926907530472"/>
    <n v="0.12217291734140669"/>
    <n v="9.5427075617950496E-2"/>
    <n v="0.11787355993758682"/>
    <n v="9.7576861302502885E-2"/>
    <n v="9.9407587421703247E-2"/>
    <n v="0.13083906365775266"/>
  </r>
  <r>
    <x v="5"/>
    <s v="IFDOH"/>
    <n v="0.22391972669142832"/>
    <n v="0.61637567178135921"/>
    <n v="2.2454364912588893"/>
    <n v="1.5208875268959263"/>
    <n v="0.45018170077226466"/>
    <n v="0.3923989258352471"/>
    <n v="1.3631947943835561"/>
    <n v="1.1620231836527724"/>
    <n v="0.72864146291099952"/>
    <n v="0.38307123089700346"/>
    <n v="0.42389731147580106"/>
    <n v="0.17373417022427839"/>
    <n v="0.19870581967028031"/>
    <n v="0.13001762327932018"/>
    <n v="0.16060054246988445"/>
    <n v="0.13294666646182793"/>
    <n v="0.22369000880970616"/>
    <n v="0.29441808277771925"/>
  </r>
  <r>
    <x v="6"/>
    <s v="IFDOH"/>
    <n v="2.0921172611519149E-3"/>
    <n v="0.20752188524388357"/>
    <n v="4.3775165705747332"/>
    <n v="4.5525429504724588"/>
    <n v="0.88852272185710401"/>
    <n v="1.5967658788315486"/>
    <n v="7.3899106599631175"/>
    <n v="0.13993091348282916"/>
    <n v="1.0130084585814745"/>
    <n v="3.5790948222920037E-3"/>
    <n v="0.1427181072430061"/>
    <n v="0.33869771511794"/>
    <n v="0.59479531691871701"/>
    <n v="0.25661552285967648"/>
    <n v="0.6535223453833261"/>
    <n v="0.72070696846894777"/>
    <n v="2.6936766589570449E-2"/>
    <n v="0.40932066509314208"/>
  </r>
  <r>
    <x v="7"/>
    <s v="IFDOH"/>
    <n v="0.12959496197258127"/>
    <n v="0"/>
    <n v="4.2445129759785445"/>
    <n v="0.18722130289582223"/>
    <n v="1.6282068241363417"/>
    <n v="2.2208912680700799E-2"/>
    <n v="0"/>
    <n v="2.72354052735938"/>
    <n v="0"/>
    <n v="0.22170490440665339"/>
    <n v="0"/>
    <n v="0.32840694571343093"/>
    <n v="2.4460692716429842E-2"/>
    <n v="0.4702447503268653"/>
    <n v="9.0896360549273976E-3"/>
    <n v="0"/>
    <n v="0.52428283112521523"/>
    <n v="0"/>
  </r>
  <r>
    <x v="8"/>
    <s v="IFDOH"/>
    <n v="2.6993181105503441E-2"/>
    <n v="7.4303145967788822E-2"/>
    <n v="6.0391636020816916E-2"/>
    <n v="4.0904691052475364E-2"/>
    <n v="4.1347593567208386E-2"/>
    <n v="3.6040450497681654E-2"/>
    <n v="0.12520461008169453"/>
    <n v="0"/>
    <n v="0"/>
    <n v="4.6178651897697091E-2"/>
    <n v="5.110017356608499E-2"/>
    <n v="4.6726286017917821E-3"/>
    <n v="5.3442480263682863E-3"/>
    <n v="1.1941657856606835E-2"/>
    <n v="1.4750590584483133E-2"/>
    <n v="1.2210680091058784E-2"/>
    <n v="0"/>
    <n v="0"/>
  </r>
  <r>
    <x v="9"/>
    <s v="IFDOH"/>
    <n v="1.4201578664393994E-3"/>
    <n v="3.9092168068266724E-3"/>
    <n v="0.46070969593762284"/>
    <n v="0.31204963168595751"/>
    <n v="1.7402946331757266E-2"/>
    <n v="1.5169202646920933E-2"/>
    <n v="5.2697845793578953E-2"/>
    <n v="6.5509840002164643E-2"/>
    <n v="4.1077653463156769E-2"/>
    <n v="2.4295386119093021E-3"/>
    <n v="2.6884683647566987E-3"/>
    <n v="3.5646083534131942E-2"/>
    <n v="4.0769666885571286E-2"/>
    <n v="5.0261699136839848E-3"/>
    <n v="6.2084323211271135E-3"/>
    <n v="5.1393997078340772E-3"/>
    <n v="1.2610674979084947E-2"/>
    <n v="1.659801780880453E-2"/>
  </r>
  <r>
    <x v="10"/>
    <s v="INGOH"/>
    <n v="1.3868583455578707"/>
    <n v="3.8175544291674051"/>
    <n v="5.5474436879025086"/>
    <n v="3.7574155153941993"/>
    <n v="2.3496717693370841"/>
    <n v="2.0480812009275708"/>
    <n v="7.1150389253397455"/>
    <n v="2.6171092224432893"/>
    <n v="1.6410466841501188"/>
    <n v="0.43829122263782361"/>
    <n v="0.43829122263782355"/>
    <n v="0.43881856721223877"/>
    <n v="0.43881856721223889"/>
    <n v="0.43872253590973198"/>
    <n v="0.43872253590973204"/>
    <n v="0.43872253590973204"/>
    <n v="0.43888153309934547"/>
    <n v="0.43888153309934547"/>
  </r>
  <r>
    <x v="11"/>
    <s v="INGOH"/>
    <n v="1.659602183921792"/>
    <n v="4.568326453945085"/>
    <n v="6.6384210681032325"/>
    <n v="4.4963604359617921"/>
    <n v="2.8117654642822254"/>
    <n v="2.4508631647894057"/>
    <n v="8.5143044183308554"/>
    <n v="3.1317979915112431"/>
    <n v="1.9637799849252928"/>
    <n v="0.52448692587337642"/>
    <n v="0.52448692587337631"/>
    <n v="0.52511797965776752"/>
    <n v="0.52511797965776763"/>
    <n v="0.5250030625432146"/>
    <n v="0.5250030625432146"/>
    <n v="0.5250030625432146"/>
    <n v="0.52519332861037649"/>
    <n v="0.52519332861037649"/>
  </r>
  <r>
    <x v="12"/>
    <s v="INGOH"/>
    <n v="7.1136144814775537E-2"/>
    <n v="0.19581387355195348"/>
    <n v="0.26933474356217929"/>
    <n v="0.18242682598151599"/>
    <n v="0.11525130220949183"/>
    <n v="0.10045829741754858"/>
    <n v="0.34899236230257874"/>
    <n v="0.12620800219340686"/>
    <n v="7.913816578100008E-2"/>
    <n v="2.2481277907346477E-2"/>
    <n v="2.2481277907346477E-2"/>
    <n v="2.1305143940112462E-2"/>
    <n v="2.1305143940112466E-2"/>
    <n v="2.1519322073871045E-2"/>
    <n v="2.1519322073871045E-2"/>
    <n v="2.1519322073871045E-2"/>
    <n v="2.1164711436971073E-2"/>
    <n v="2.1164711436971073E-2"/>
  </r>
  <r>
    <x v="13"/>
    <s v="INGOH"/>
    <n v="3.4664592245157139E-2"/>
    <n v="9.5419959857219391E-2"/>
    <n v="0.13865862657138037"/>
    <n v="9.391678476317164E-2"/>
    <n v="5.8730160910026544E-2"/>
    <n v="5.1191889887332032E-2"/>
    <n v="0.17784074627759561"/>
    <n v="6.5414773143643509E-2"/>
    <n v="4.1018042212846384E-2"/>
    <n v="1.0955110567734303E-2"/>
    <n v="1.0955110567734301E-2"/>
    <n v="1.0968291571189592E-2"/>
    <n v="1.0968291571189597E-2"/>
    <n v="1.0965891264081928E-2"/>
    <n v="1.0965891264081928E-2"/>
    <n v="1.0965891264081927E-2"/>
    <n v="1.0969865406620516E-2"/>
    <n v="1.0969865406620516E-2"/>
  </r>
  <r>
    <x v="14"/>
    <s v="INGOH"/>
    <n v="1.197811113072512E-2"/>
    <n v="3.297171001394892E-2"/>
    <n v="4.7912533531610867E-2"/>
    <n v="3.2452298211897289E-2"/>
    <n v="2.0293802654030822E-2"/>
    <n v="1.7689005014849754E-2"/>
    <n v="6.1451645166307467E-2"/>
    <n v="2.2603624377413561E-2"/>
    <n v="1.4173502013683385E-2"/>
    <n v="3.7854630137192833E-3"/>
    <n v="3.7854630137192829E-3"/>
    <n v="3.7900176186915664E-3"/>
    <n v="3.7900176186915673E-3"/>
    <n v="3.7891882091003566E-3"/>
    <n v="3.789188209100357E-3"/>
    <n v="3.789188209100357E-3"/>
    <n v="3.7905614466864183E-3"/>
    <n v="3.7905614466864188E-3"/>
  </r>
  <r>
    <x v="15"/>
    <s v="ICIOH"/>
    <n v="3.1637407864545747E-2"/>
    <n v="8.7087139726652427E-2"/>
    <n v="0.1540552213983461"/>
    <n v="0.10434526453543817"/>
    <n v="0.1582126210098726"/>
    <n v="0.13790534451167966"/>
    <n v="0.47908349227980052"/>
    <n v="8.584636035138643E-2"/>
    <n v="5.3829577991199654E-2"/>
    <n v="8.8197194102193094E-2"/>
    <n v="8.8197194102193122E-2"/>
    <n v="1.8369700671230452E-2"/>
    <n v="1.8369700671230449E-2"/>
    <n v="7.7669945260955872E-2"/>
    <n v="7.7669945260955872E-2"/>
    <n v="7.7669945260955872E-2"/>
    <n v="0.10217119088131919"/>
    <n v="0.10217119088131918"/>
  </r>
  <r>
    <x v="16"/>
    <s v="ICIOH"/>
    <n v="0.32707477324960438"/>
    <n v="0.90032680935823028"/>
    <n v="8.2323210269429428"/>
    <n v="5.5759467773951972"/>
    <n v="1.8787737638563589"/>
    <n v="1.6376249979952526"/>
    <n v="5.6891131077071497"/>
    <n v="0.75437444563984957"/>
    <n v="0.47302713696798526"/>
    <n v="0.91180280589780682"/>
    <n v="0.91180280589780693"/>
    <n v="0.98163029932876955"/>
    <n v="0.98163029932876955"/>
    <n v="0.92233005473904406"/>
    <n v="0.92233005473904417"/>
    <n v="0.92233005473904417"/>
    <n v="0.8978288091186809"/>
    <n v="0.89782880911868079"/>
  </r>
  <r>
    <x v="17"/>
    <s v="ICOOH"/>
    <n v="0"/>
    <n v="0"/>
    <n v="0"/>
    <n v="0"/>
    <n v="2.696709218706173"/>
    <n v="2.3505748876399122"/>
    <n v="8.1659027068407344"/>
    <n v="0"/>
    <n v="0"/>
    <n v="0"/>
    <n v="0"/>
    <n v="0"/>
    <n v="0"/>
    <n v="7.807369312700671E-2"/>
    <n v="7.8073693127006724E-2"/>
    <n v="7.8073693127006724E-2"/>
    <n v="0"/>
    <n v="0"/>
  </r>
  <r>
    <x v="18"/>
    <s v="ICOOH"/>
    <n v="0"/>
    <n v="0"/>
    <n v="0"/>
    <n v="0"/>
    <n v="3.1979798246112536"/>
    <n v="2.7875052359248627"/>
    <n v="9.6837997679053629"/>
    <n v="0"/>
    <n v="0"/>
    <n v="0"/>
    <n v="0"/>
    <n v="0"/>
    <n v="0"/>
    <n v="9.2586213493514258E-2"/>
    <n v="9.2586213493514258E-2"/>
    <n v="9.2586213493514272E-2"/>
    <n v="0"/>
    <n v="0"/>
  </r>
  <r>
    <x v="19"/>
    <s v="ICOOH"/>
    <n v="1.3789460689416781E-2"/>
    <n v="3.7957745936581098E-2"/>
    <n v="0.35324456955598149"/>
    <n v="0.23926094631169439"/>
    <n v="0.3390146671705595"/>
    <n v="0.29550066342527165"/>
    <n v="1.026570002098701"/>
    <n v="1.2721759810332748E-2"/>
    <n v="7.9771228400664085E-3"/>
    <n v="4.0454407697944755E-2"/>
    <n v="4.0454407697944769E-2"/>
    <n v="7.7451047228946426E-2"/>
    <n v="7.7451047228946412E-2"/>
    <n v="9.8149725994289647E-3"/>
    <n v="9.8149725994289647E-3"/>
    <n v="9.8149725994289665E-3"/>
    <n v="2.1990843155058143E-2"/>
    <n v="2.1990843155058143E-2"/>
  </r>
  <r>
    <x v="20"/>
    <s v="ICOOH"/>
    <n v="0.32707477324960438"/>
    <n v="0.90032680935823028"/>
    <n v="4.2076307471041714"/>
    <n v="2.849928352890879"/>
    <n v="28.306858042102476"/>
    <n v="24.67354996979514"/>
    <n v="85.715970822787725"/>
    <n v="0.56578083422988712"/>
    <n v="0.35477035272598889"/>
    <n v="0.95954559230205527"/>
    <n v="0.95954559230205527"/>
    <n v="0.92254895277105364"/>
    <n v="0.92254895277105353"/>
    <n v="0.81952512078005002"/>
    <n v="0.81952512078005013"/>
    <n v="0.81952512078005013"/>
    <n v="0.97800915684494183"/>
    <n v="0.97800915684494183"/>
  </r>
  <r>
    <x v="21"/>
    <s v="IOTOH"/>
    <n v="6.9361949520139937E-2"/>
    <n v="0.19093011081804595"/>
    <n v="0.13301396143849059"/>
    <n v="9.0093518851383017E-2"/>
    <n v="7.5890851486278429E-2"/>
    <n v="6.614993135627828E-2"/>
    <n v="0.22980501764056607"/>
    <n v="0.29710264810727693"/>
    <n v="0.1862968925207826"/>
    <n v="1.0232556187651025E-2"/>
    <n v="7.3627044327429867E-3"/>
    <n v="6.353502973603712E-3"/>
    <n v="6.3300367645542184E-3"/>
    <n v="4.2551645832463953E-3"/>
    <n v="4.358787398017581E-3"/>
    <n v="4.1208869159545065E-3"/>
    <n v="2.0990197959918216E-2"/>
    <n v="2.0644601898254483E-2"/>
  </r>
  <r>
    <x v="22"/>
    <s v="IOTOH"/>
    <n v="1.0842306441873439"/>
    <n v="2.984522183692413"/>
    <n v="6.7871739294347897"/>
    <n v="4.5971142859459473"/>
    <n v="2.9105973692998037"/>
    <n v="2.5370095658994933"/>
    <n v="8.8135772190863175"/>
    <n v="3.283747497588644"/>
    <n v="2.0590592460918455"/>
    <n v="0.15995010324498848"/>
    <n v="0.11509004324851101"/>
    <n v="0.32419401149082011"/>
    <n v="0.32299662408455865"/>
    <n v="0.16319583453578668"/>
    <n v="0.16717001964724224"/>
    <n v="0.15804596182357772"/>
    <n v="0.23199560981322495"/>
    <n v="0.22817588551963675"/>
  </r>
  <r>
    <x v="23"/>
    <s v="IOTOH"/>
    <n v="3.914540777800786E-2"/>
    <n v="0.10775413748863097"/>
    <n v="1.0509566290135028"/>
    <n v="0.71183791418616371"/>
    <n v="0.32979166941303556"/>
    <n v="0.28746147745475148"/>
    <n v="0.99864185106524073"/>
    <n v="0.27085820467124266"/>
    <n v="0.169840431128674"/>
    <n v="5.7748893643866078E-3"/>
    <n v="4.1552475004322633E-3"/>
    <n v="5.0199663218462781E-2"/>
    <n v="5.0014254350914798E-2"/>
    <n v="1.8491264810617941E-2"/>
    <n v="1.894156864043919E-2"/>
    <n v="1.7907747098089875E-2"/>
    <n v="1.9136037229343619E-2"/>
    <n v="1.8820969257381654E-2"/>
  </r>
  <r>
    <x v="24"/>
    <s v="IOTOH"/>
    <n v="1.1880488897872588"/>
    <n v="3.2702988851037733"/>
    <n v="7.8918312945284343"/>
    <n v="5.3453249855604046"/>
    <n v="2.3545204915732247"/>
    <n v="2.0523075686228172"/>
    <n v="7.1297213366869396"/>
    <n v="2.4011617889676962"/>
    <n v="1.5056378075863017"/>
    <n v="0.17526579201604914"/>
    <n v="0.12611025047114893"/>
    <n v="0.37695872714949358"/>
    <n v="0.3755664570378604"/>
    <n v="0.1320168638255661"/>
    <n v="0.13523177097175043"/>
    <n v="0.12785088712339968"/>
    <n v="0.16964123882875901"/>
    <n v="0.16684815683177509"/>
  </r>
  <r>
    <x v="25"/>
    <s v="IOTOH"/>
    <n v="0"/>
    <n v="0"/>
    <n v="4.01940044733536E-3"/>
    <n v="2.7224354951695868E-3"/>
    <n v="0"/>
    <n v="0"/>
    <n v="0"/>
    <n v="0"/>
    <n v="0"/>
    <n v="0"/>
    <n v="0"/>
    <n v="1.9198941538222251E-4"/>
    <n v="1.9128031620097287E-4"/>
    <n v="0"/>
    <n v="0"/>
    <n v="0"/>
    <n v="0"/>
    <n v="0"/>
  </r>
  <r>
    <x v="26"/>
    <s v="IOTOH"/>
    <n v="4.1955878506586473"/>
    <n v="4.390912781645592"/>
    <n v="4.4236881180214533"/>
    <n v="1.3623332812683804"/>
    <n v="1.8323299349143622"/>
    <n v="2.0150254310653484"/>
    <n v="8.4324641952465527"/>
    <n v="4.7903108777335994"/>
    <n v="3.8369529383850143"/>
    <n v="0.6189501408063075"/>
    <n v="0.16932370102701597"/>
    <n v="0.21130049288203237"/>
    <n v="9.5718536315914468E-2"/>
    <n v="0.10273788330441243"/>
    <n v="0.13277515600594775"/>
    <n v="0.15121180437320572"/>
    <n v="0.33843378459848561"/>
    <n v="0.42519424153282503"/>
  </r>
  <r>
    <x v="27"/>
    <s v="IOTOH"/>
    <n v="0"/>
    <n v="0.78727736837772433"/>
    <n v="0.33977160960623287"/>
    <n v="0.23013539018142376"/>
    <n v="0.40691550524634501"/>
    <n v="0.3546861342663663"/>
    <n v="1.232180467473917"/>
    <n v="0.40293221070292418"/>
    <n v="0.25265684849560732"/>
    <n v="0"/>
    <n v="3.0359226971155371E-2"/>
    <n v="1.6229423653227427E-2"/>
    <n v="1.6169481437133142E-2"/>
    <n v="2.2815562250097107E-2"/>
    <n v="2.3371172435012334E-2"/>
    <n v="2.2095585286348599E-2"/>
    <n v="2.8467019466039901E-2"/>
    <n v="2.7998320226825753E-2"/>
  </r>
  <r>
    <x v="28"/>
    <s v="IOTOH"/>
    <n v="3.3764133874989E-2"/>
    <n v="13.736772769326777"/>
    <n v="0.30507652591560147"/>
    <n v="1.8931389140222685"/>
    <n v="9.8282107189937218"/>
    <n v="7.7792591008209664"/>
    <n v="28.636579562455879"/>
    <n v="2.7082386594575345"/>
    <n v="1.0135560775466981"/>
    <n v="4.9810220069272824E-3"/>
    <n v="0.52972156841563034"/>
    <n v="1.4572189216977727E-2"/>
    <n v="0.13301332969286334"/>
    <n v="0.55106318283576161"/>
    <n v="0.51259518852628094"/>
    <n v="0.51351405312302201"/>
    <n v="0.19133611210422879"/>
    <n v="0.11231782473330131"/>
  </r>
  <r>
    <x v="29"/>
    <s v="IOTOH"/>
    <n v="0.16841657486860231"/>
    <n v="0.46359416835481571"/>
    <n v="0"/>
    <n v="0"/>
    <n v="9.6741377856191191E-2"/>
    <n v="8.4324202182075758E-2"/>
    <n v="0.29294247737929663"/>
    <n v="0"/>
    <n v="0"/>
    <n v="2.4845496373690042E-2"/>
    <n v="1.7877257933363061E-2"/>
    <n v="0"/>
    <n v="0"/>
    <n v="5.4242438545119105E-3"/>
    <n v="5.5563363753095441E-3"/>
    <n v="5.2530742564019014E-3"/>
    <n v="0"/>
    <n v="0"/>
  </r>
  <r>
    <x v="30"/>
    <s v="ICTOH"/>
    <n v="7.8034533723176008E-2"/>
    <n v="0.21480281731519707"/>
    <n v="0.28127754239960445"/>
    <n v="0.19051596760666337"/>
    <n v="8.6328432840047473E-2"/>
    <n v="7.5247803847565714E-2"/>
    <n v="0.26141104814559241"/>
    <n v="5.9993680276141825E-2"/>
    <n v="3.761877006998255E-2"/>
    <n v="0.20328170016599073"/>
    <n v="0.13329930315523866"/>
    <n v="6.347320774312161E-2"/>
    <n v="6.4378153107171585E-2"/>
    <n v="5.8481307323240854E-2"/>
    <n v="5.8481307323240854E-2"/>
    <n v="5.8481307323240861E-2"/>
    <n v="0.25596063690549908"/>
    <n v="0.25596063690549908"/>
  </r>
  <r>
    <x v="31"/>
    <s v="ICTOH"/>
    <n v="1.0779281174605011E-2"/>
    <n v="2.9671734480424674E-2"/>
    <n v="0.11254321252539011"/>
    <n v="7.6228193864748453E-2"/>
    <n v="3.3022957554517993E-2"/>
    <n v="2.8784317643446428E-2"/>
    <n v="9.9996787422154371E-2"/>
    <n v="4.1436061544878758E-3"/>
    <n v="2.5982297880170727E-3"/>
    <n v="2.8080267789056781E-2"/>
    <n v="1.841326654409783E-2"/>
    <n v="2.5396548362022441E-2"/>
    <n v="2.5758630089419834E-2"/>
    <n v="2.2370679808891604E-2"/>
    <n v="2.2370679808891607E-2"/>
    <n v="2.2370679808891607E-2"/>
    <n v="1.7678529896923829E-2"/>
    <n v="1.7678529896923825E-2"/>
  </r>
  <r>
    <x v="32"/>
    <s v="ICTOH"/>
    <n v="0"/>
    <n v="0"/>
    <n v="0.42778656688941252"/>
    <n v="0"/>
    <n v="0"/>
    <n v="0"/>
    <n v="0"/>
    <n v="0"/>
    <n v="0"/>
    <n v="0"/>
    <n v="0"/>
    <n v="9.6534495424852845E-2"/>
    <n v="0"/>
    <n v="0"/>
    <n v="0"/>
    <n v="0"/>
    <n v="0"/>
    <n v="0"/>
  </r>
  <r>
    <x v="33"/>
    <s v="ICTOH"/>
    <n v="0"/>
    <n v="0.55475678612612134"/>
    <n v="1.5434497717767783"/>
    <n v="1.0454152301451214"/>
    <n v="0.45288627503338963"/>
    <n v="0.39475635625297956"/>
    <n v="1.3713845132181171"/>
    <n v="5.6826598690119433E-2"/>
    <n v="3.5632865664234133E-2"/>
    <n v="0"/>
    <n v="0.34426314298634642"/>
    <n v="0.34829552039345052"/>
    <n v="0.35326121265490046"/>
    <n v="0.30679789452194201"/>
    <n v="0.30679789452194201"/>
    <n v="0.30679789452194201"/>
    <n v="0.24244841001495532"/>
    <n v="0.24244841001495529"/>
  </r>
  <r>
    <x v="34"/>
    <s v="ICTOH"/>
    <n v="0.29506005894062404"/>
    <n v="0.81220107193144642"/>
    <n v="2.0663802388017976"/>
    <n v="1.6471670011351769"/>
    <n v="0.90393372661854221"/>
    <n v="0.7879099100272019"/>
    <n v="2.7372008868425386"/>
    <n v="0.11342246819298928"/>
    <n v="7.1121053619022476E-2"/>
    <n v="0.76863803204495251"/>
    <n v="0.50402428731431714"/>
    <n v="0.46630022807655253"/>
    <n v="0.55660200414850813"/>
    <n v="0.61235011834592545"/>
    <n v="0.61235011834592545"/>
    <n v="0.61235011834592545"/>
    <n v="0.48391242318262173"/>
    <n v="0.48391242318262179"/>
  </r>
  <r>
    <x v="35"/>
    <s v="IMOOH"/>
    <n v="0.11332939368808261"/>
    <n v="0.31195769215691904"/>
    <n v="0.58316725156757587"/>
    <n v="0.39499304587592782"/>
    <n v="0.1258568164330314"/>
    <n v="0.10970254786599717"/>
    <n v="0.38110691017622383"/>
    <n v="0.28752470714149186"/>
    <n v="0.18029108728801005"/>
    <n v="0.15602021365729318"/>
    <n v="0.15602021365729318"/>
    <n v="8.6182678506574351E-2"/>
    <n v="8.6182678506574351E-2"/>
    <n v="2.285742033538166E-2"/>
    <n v="2.285742033538166E-2"/>
    <n v="2.285742033538166E-2"/>
    <n v="0.817855770822846"/>
    <n v="0.81785577082284588"/>
  </r>
  <r>
    <x v="36"/>
    <s v="IMOOH"/>
    <n v="0"/>
    <n v="0"/>
    <n v="0"/>
    <n v="0"/>
    <n v="2.4767218165888491E-2"/>
    <n v="2.1588238232584815E-2"/>
    <n v="7.4997590566615757E-2"/>
    <n v="0"/>
    <n v="0"/>
    <n v="0"/>
    <n v="0"/>
    <n v="0"/>
    <n v="0"/>
    <n v="4.4980854609257036E-3"/>
    <n v="4.4980854609257036E-3"/>
    <n v="4.4980854609257045E-3"/>
    <n v="0"/>
    <n v="0"/>
  </r>
  <r>
    <x v="37"/>
    <s v="IMOOH"/>
    <n v="0"/>
    <n v="0"/>
    <n v="3.2162167468048271"/>
    <n v="2.178420076920931"/>
    <n v="1.3912166134250004"/>
    <n v="1.2126479236620127"/>
    <n v="4.2127417485595897"/>
    <n v="0"/>
    <n v="0"/>
    <n v="0"/>
    <n v="0"/>
    <n v="0.47530476574647251"/>
    <n v="0.47530476574647257"/>
    <n v="0.2526650825268732"/>
    <n v="0.2526650825268732"/>
    <n v="0.2526650825268732"/>
    <n v="0"/>
    <n v="0"/>
  </r>
  <r>
    <x v="38"/>
    <s v="IMOOH"/>
    <n v="0"/>
    <n v="0"/>
    <n v="0.19894483013480199"/>
    <n v="0.13475006390530941"/>
    <n v="0.81039902500807814"/>
    <n v="0.70638079327877712"/>
    <n v="2.4539685428559364"/>
    <n v="0"/>
    <n v="0"/>
    <n v="0"/>
    <n v="0"/>
    <n v="2.9400825046270451E-2"/>
    <n v="2.9400825046270448E-2"/>
    <n v="0.14718019793428963"/>
    <n v="0.14718019793428966"/>
    <n v="0.14718019793428966"/>
    <n v="0"/>
    <n v="0"/>
  </r>
  <r>
    <x v="39"/>
    <s v="IMOOH"/>
    <n v="3.4516762302639323E-2"/>
    <n v="9.5013033761536969E-2"/>
    <n v="0.17962993973344174"/>
    <n v="0.12166762937235974"/>
    <n v="5.2297362521016875E-2"/>
    <n v="4.5584769087815037E-2"/>
    <n v="0.15836159538769085"/>
    <n v="6.4034476517764838E-2"/>
    <n v="4.0152533359942226E-2"/>
    <n v="4.7519116214790921E-2"/>
    <n v="4.7519116214790928E-2"/>
    <n v="2.6546396946311789E-2"/>
    <n v="2.6546396946311789E-2"/>
    <n v="9.4979583264032646E-3"/>
    <n v="9.4979583264032663E-3"/>
    <n v="9.4979583264032663E-3"/>
    <n v="0.18214422917715403"/>
    <n v="0.18214422917715403"/>
  </r>
  <r>
    <x v="40"/>
    <s v="IMOOH"/>
    <n v="0.57853019635178116"/>
    <n v="1.5924989892182695"/>
    <n v="2.5886822978419022"/>
    <n v="1.7533760732982153"/>
    <n v="3.101631840302761"/>
    <n v="2.7035239335214376"/>
    <n v="9.3920485251663166"/>
    <n v="0"/>
    <n v="0"/>
    <n v="0.79646067012791588"/>
    <n v="0.79646067012791588"/>
    <n v="0.38256533375437085"/>
    <n v="0.38256533375437085"/>
    <n v="0.56330125541612652"/>
    <n v="0.56330125541612652"/>
    <n v="0.56330125541612663"/>
    <n v="0"/>
    <n v="0"/>
  </r>
  <r>
    <x v="41"/>
    <s v="INOOH"/>
    <n v="3.7791296839802216E-2"/>
    <n v="0.10402672565433035"/>
    <n v="0.12682526568007951"/>
    <n v="8.5901768061119391E-2"/>
    <n v="0.12301183580420917"/>
    <n v="0.10722273284717955"/>
    <n v="0.37249202694867478"/>
    <n v="0.1089536358929941"/>
    <n v="6.8318892224671662E-2"/>
    <n v="0.1514259306605148"/>
    <n v="6.9653018684773901E-2"/>
    <n v="2.2138511847602606E-2"/>
    <n v="2.2138511847602599E-2"/>
    <n v="7.9931773936096379E-2"/>
    <n v="7.9931773936096392E-2"/>
    <n v="7.9931773936096379E-2"/>
    <n v="0.14532619983773126"/>
    <n v="0.14532619983773123"/>
  </r>
  <r>
    <x v="42"/>
    <s v="INOOH"/>
    <n v="0.18167700089427755"/>
    <n v="0.50009565985112281"/>
    <n v="0.8468011535701544"/>
    <n v="0.57355855631609642"/>
    <n v="0.70731800840684989"/>
    <n v="0.61653067249657034"/>
    <n v="2.1418290112190324"/>
    <n v="0.62853740815960435"/>
    <n v="0.39412158295849631"/>
    <n v="0.72796149485541539"/>
    <n v="0.33484830096000029"/>
    <n v="0.14781689807901582"/>
    <n v="0.14781689807901585"/>
    <n v="0.4596076692887765"/>
    <n v="0.45960766928877655"/>
    <n v="0.4596076692887765"/>
    <n v="0.8383653490316042"/>
    <n v="0.83836534903160409"/>
  </r>
  <r>
    <x v="43"/>
    <s v="INOOH"/>
    <n v="2.684824006388933E-2"/>
    <n v="7.3904172044349278E-2"/>
    <n v="0.50242263746936966"/>
    <n v="0.34030279882416736"/>
    <n v="3.7457195594483725E-2"/>
    <n v="3.2649401987824428E-2"/>
    <n v="0.11342409955583146"/>
    <n v="0"/>
    <n v="0"/>
    <n v="0.10757820128547456"/>
    <n v="4.948390563971887E-2"/>
    <n v="8.7702473576339326E-2"/>
    <n v="8.7702473576339326E-2"/>
    <n v="2.4339284679108661E-2"/>
    <n v="2.4339284679108661E-2"/>
    <n v="2.4339284679108661E-2"/>
    <n v="0"/>
    <n v="0"/>
  </r>
  <r>
    <x v="44"/>
    <s v="INOOH"/>
    <n v="0"/>
    <n v="0.8065182475861965"/>
    <n v="4.122159323783988"/>
    <n v="2.7920365255603143"/>
    <n v="0.47150402015797421"/>
    <n v="0.41098443299583476"/>
    <n v="1.4277608901198346"/>
    <n v="0"/>
    <n v="0"/>
    <n v="0"/>
    <n v="0.54001921347981963"/>
    <n v="0.7195606690665215"/>
    <n v="0.7195606690665215"/>
    <n v="0.30637826435834908"/>
    <n v="0.30637826435834908"/>
    <n v="0.30637826435834908"/>
    <n v="0"/>
    <n v="0"/>
  </r>
  <r>
    <x v="45"/>
    <s v="INOOH"/>
    <n v="0"/>
    <n v="0"/>
    <n v="0.11002259925186521"/>
    <n v="7.4520922560146544E-2"/>
    <n v="0.18831952637886293"/>
    <n v="0.16414789792233372"/>
    <n v="0.57025018475886213"/>
    <n v="0"/>
    <n v="0"/>
    <n v="0"/>
    <n v="0"/>
    <n v="1.9205452509641643E-2"/>
    <n v="1.9205452509641646E-2"/>
    <n v="0.12236801208484153"/>
    <n v="0.12236801208484156"/>
    <n v="0.12236801208484156"/>
    <n v="0"/>
    <n v="0"/>
  </r>
  <r>
    <x v="46"/>
    <s v="INOOH"/>
    <n v="3.2529822634751559E-3"/>
    <n v="8.9543657344018177E-3"/>
    <n v="2.048586233045362E-2"/>
    <n v="1.3875561663570462E-2"/>
    <n v="1.1349826353506377E-2"/>
    <n v="9.8930268864603921E-3"/>
    <n v="3.436839875036167E-2"/>
    <n v="1.2226735774093991E-2"/>
    <n v="7.6667202224462629E-3"/>
    <n v="1.3034373198595199E-2"/>
    <n v="5.995561235687381E-3"/>
    <n v="3.575994920879073E-3"/>
    <n v="3.575994920879073E-3"/>
    <n v="7.3749956528278903E-3"/>
    <n v="7.3749956528278912E-3"/>
    <n v="7.3749956528278921E-3"/>
    <n v="1.630845113066462E-2"/>
    <n v="1.630845113066462E-2"/>
  </r>
  <r>
    <x v="47"/>
    <s v="IPOOH"/>
    <n v="0.23609084864974855"/>
    <n v="0.20831545469095461"/>
    <n v="0.80813170042014781"/>
    <n v="0.15474862348470914"/>
    <n v="0.66660945501105484"/>
    <n v="0.38706355452254798"/>
    <n v="0.27954590048850692"/>
    <n v="2.5394645905183037E-2"/>
    <n v="0.19680850576516856"/>
    <n v="1.3080658791186365E-2"/>
    <n v="1.2957324560927474E-2"/>
    <n v="0.43060012278195647"/>
    <n v="0.40683663572757567"/>
    <n v="8.7963796466011462E-2"/>
    <n v="8.0650721016225474E-2"/>
    <n v="9.3399409224027313E-2"/>
    <n v="0.60722982241348145"/>
    <n v="0.60722982241348145"/>
  </r>
  <r>
    <x v="48"/>
    <s v="IPOOH"/>
    <n v="0.10689628339976348"/>
    <n v="9.432025005861483E-2"/>
    <n v="0.67551264803884148"/>
    <n v="0.12935348579467176"/>
    <n v="0.30182480018756747"/>
    <n v="0.17525310978632952"/>
    <n v="0.12657169040123797"/>
    <n v="1.6425839465990064E-2"/>
    <n v="0.12730025586142299"/>
    <n v="5.9226091023657917E-3"/>
    <n v="5.8667663159721302E-3"/>
    <n v="0.35993617010081813"/>
    <n v="0.34007240772347813"/>
    <n v="3.9827900868362978E-2"/>
    <n v="3.6516715406177097E-2"/>
    <n v="4.2289016176962853E-2"/>
    <n v="0.39277017758651867"/>
    <n v="0.39277017758651861"/>
  </r>
  <r>
    <x v="49"/>
    <s v="IPOOH"/>
    <n v="0.11152370924542657"/>
    <n v="9.8403272863611668E-2"/>
    <n v="5.5058974102258915E-3"/>
    <n v="1.0543207806815536E-3"/>
    <n v="4.5921527336352116E-2"/>
    <n v="2.6664112646914134E-2"/>
    <n v="1.9257414689437986E-2"/>
    <n v="0"/>
    <n v="0"/>
    <n v="6.1789925196596759E-3"/>
    <n v="6.120732358734054E-3"/>
    <n v="2.9337298606595002E-3"/>
    <n v="2.7718263964560436E-3"/>
    <n v="6.0596678514802495E-3"/>
    <n v="5.5558832266813362E-3"/>
    <n v="6.4341174455876567E-3"/>
    <n v="0"/>
    <n v="0"/>
  </r>
  <r>
    <x v="50"/>
    <s v="IPOOH"/>
    <n v="0"/>
    <n v="0.20992698210903829"/>
    <n v="5.5058974102258924E-3"/>
    <n v="1.0543207806815538E-3"/>
    <n v="4.5921527336352123E-2"/>
    <n v="2.6664112646914137E-2"/>
    <n v="1.9257414689437986E-2"/>
    <n v="0"/>
    <n v="0"/>
    <n v="0"/>
    <n v="1.3057562365299319E-2"/>
    <n v="2.9337298606595006E-3"/>
    <n v="2.771826396456044E-3"/>
    <n v="6.0596678514802504E-3"/>
    <n v="5.5558832266813371E-3"/>
    <n v="6.4341174455876567E-3"/>
    <n v="0"/>
    <n v="0"/>
  </r>
  <r>
    <x v="51"/>
    <s v="IPOOH"/>
    <n v="17.594339176016465"/>
    <n v="15.250760024073726"/>
    <n v="0"/>
    <n v="0"/>
    <n v="6.1470843963766022"/>
    <n v="4.1836123227993722"/>
    <n v="2.5483833044667428"/>
    <n v="0"/>
    <n v="0"/>
    <n v="0.9748177395867883"/>
    <n v="0.94860483455681821"/>
    <n v="0"/>
    <n v="0"/>
    <n v="0.81115093198505439"/>
    <n v="0.87172079712423478"/>
    <n v="0.85144333970783459"/>
    <n v="0"/>
    <n v="0"/>
  </r>
  <r>
    <x v="52"/>
    <s v="IPOOH"/>
    <n v="0"/>
    <n v="0.21531628765608407"/>
    <n v="0.3821006379288226"/>
    <n v="9.4159672801071972E-2"/>
    <n v="0.37086344764964874"/>
    <n v="0"/>
    <n v="0"/>
    <n v="0"/>
    <n v="0"/>
    <n v="0"/>
    <n v="1.3392779842248768E-2"/>
    <n v="0.20359624739590637"/>
    <n v="0.24754730375603404"/>
    <n v="4.8938034977610685E-2"/>
    <n v="0"/>
    <n v="0"/>
    <n v="0"/>
    <n v="0"/>
  </r>
  <r>
    <x v="53"/>
    <s v="IPAOH"/>
    <n v="0.14242293058276079"/>
    <n v="0.12566729169067126"/>
    <n v="1.260024044685131"/>
    <n v="0.24128120004608886"/>
    <n v="1.0723608890937282"/>
    <n v="0.62266116140926153"/>
    <n v="0.4496997276844667"/>
    <n v="0.17157774225499653"/>
    <n v="1.329727502476223"/>
    <n v="3.8090393001137374E-3"/>
    <n v="3.9233942340726339E-3"/>
    <n v="2.1284852937532593E-2"/>
    <n v="2.0961141888615548E-2"/>
    <n v="1.0170620104777964E-2"/>
    <n v="1.0662227904815968E-2"/>
    <n v="1.0533264808687205E-2"/>
    <n v="3.4513595738728364E-2"/>
    <n v="4.6324273610043078E-2"/>
  </r>
  <r>
    <x v="54"/>
    <s v="IPAOH"/>
    <n v="0.71206014085066949"/>
    <n v="0.6282883595741201"/>
    <n v="0.86024467831885132"/>
    <n v="0.16472770435892897"/>
    <n v="0.74901827964914725"/>
    <n v="0.43491383979627907"/>
    <n v="0.31410443985286818"/>
    <n v="8.4100298065869161E-2"/>
    <n v="0.65177731001048589"/>
    <n v="1.9043738599162221E-2"/>
    <n v="1.9615469499857492E-2"/>
    <n v="1.4531612746237186E-2"/>
    <n v="1.4310608465947054E-2"/>
    <n v="7.1039334344652535E-3"/>
    <n v="7.4473096545340026E-3"/>
    <n v="7.3572320347858305E-3"/>
    <n v="1.6917134185377943E-2"/>
    <n v="2.2706238974164187E-2"/>
  </r>
  <r>
    <x v="55"/>
    <s v="IPAOH"/>
    <n v="0.30669020042492307"/>
    <n v="0.27060900037493213"/>
    <n v="0.46800127986920087"/>
    <n v="8.9617266357932074E-2"/>
    <n v="0.82658749205433812"/>
    <n v="0.47995402764445444"/>
    <n v="0.34663346440988374"/>
    <n v="3.4488004203627708E-2"/>
    <n v="0.26728203257811473"/>
    <n v="8.2022959476982689E-3"/>
    <n v="8.4485451820872047E-3"/>
    <n v="7.9056732755304095E-3"/>
    <n v="7.7854397086869797E-3"/>
    <n v="7.8396251211200734E-3"/>
    <n v="8.2185617856707395E-3"/>
    <n v="8.1191556218682456E-3"/>
    <n v="6.9374093590213806E-3"/>
    <n v="9.3114160496341487E-3"/>
  </r>
  <r>
    <x v="56"/>
    <s v="IPAOH"/>
    <n v="0"/>
    <n v="0.57729920079985531"/>
    <n v="0.46800127986920093"/>
    <n v="8.9617266357932088E-2"/>
    <n v="0.82658749205433835"/>
    <n v="0.47995402764445455"/>
    <n v="0.34663346440988385"/>
    <n v="3.4488004203627722E-2"/>
    <n v="0.26728203257811484"/>
    <n v="0"/>
    <n v="1.8023563055119374E-2"/>
    <n v="7.9056732755304095E-3"/>
    <n v="7.7854397086869814E-3"/>
    <n v="7.8396251211200751E-3"/>
    <n v="8.2185617856707412E-3"/>
    <n v="8.1191556218682473E-3"/>
    <n v="6.9374093590213832E-3"/>
    <n v="9.3114160496341521E-3"/>
  </r>
  <r>
    <x v="57"/>
    <s v="IPAOH"/>
    <n v="14.151617550586852"/>
    <n v="7.372461001719337"/>
    <n v="17.528259308439878"/>
    <n v="8.9794525485840033"/>
    <n v="52.605550579029092"/>
    <n v="13.243182390636454"/>
    <n v="10.316814673679492"/>
    <n v="2.6122230914708036"/>
    <n v="10.520641274186449"/>
    <n v="0.37847885301757234"/>
    <n v="0.23017183386325987"/>
    <n v="0.29609468422827645"/>
    <n v="0.78008389761409769"/>
    <n v="0.49892818339743061"/>
    <n v="0.22677153737103345"/>
    <n v="0.24164955913930292"/>
    <n v="0.52545983280514397"/>
    <n v="0.36651198386959727"/>
  </r>
  <r>
    <x v="58"/>
    <s v="IPAOH"/>
    <n v="22.077983953364551"/>
    <n v="23.0559234954248"/>
    <n v="38.613625411261651"/>
    <n v="1.9461845440020347"/>
    <n v="49.357014936953838"/>
    <n v="43.138120150766028"/>
    <n v="30.91940409329062"/>
    <n v="2.0344316609430511"/>
    <n v="15.668057324285744"/>
    <n v="0.59046607313545341"/>
    <n v="0.71981719416560341"/>
    <n v="0.65227750353689307"/>
    <n v="0.16907347261396577"/>
    <n v="0.468118012821086"/>
    <n v="0.73868180149827511"/>
    <n v="0.7242216327734875"/>
    <n v="0.40923461855270682"/>
    <n v="0.54583467144692721"/>
  </r>
  <r>
    <x v="59"/>
    <s v="IPBOH"/>
    <n v="4.7796169924384124E-2"/>
    <n v="4.2173091109750697E-2"/>
    <n v="0.13591784791942513"/>
    <n v="2.6026821942017574E-2"/>
    <n v="0.29689856141264487"/>
    <n v="0.17239271307830994"/>
    <n v="0.12450584833433496"/>
    <n v="2.4677283026505549E-2"/>
    <n v="0.19124894345541804"/>
    <n v="1.658559161855816E-2"/>
    <n v="1.3706468043442445E-2"/>
    <n v="2.3438193099943737E-2"/>
    <n v="2.4725948861811668E-2"/>
    <n v="1.4993509873622102E-3"/>
    <n v="1.4941520110203388E-3"/>
    <n v="1.5245291256483328E-3"/>
    <n v="4.599706439746244E-3"/>
    <n v="4.4265090703911915E-3"/>
  </r>
  <r>
    <x v="60"/>
    <s v="IPBOH"/>
    <n v="8.3177655168205022E-2"/>
    <n v="7.3392048677827976E-2"/>
    <n v="0.21901119287986756"/>
    <n v="4.1938313530187399E-2"/>
    <n v="0.56756517644186955"/>
    <n v="0.32955397341785975"/>
    <n v="0.23801120302400983"/>
    <n v="3.5787360879093254E-2"/>
    <n v="0.27735204681297271"/>
    <n v="2.8863204365362719E-2"/>
    <n v="2.385278724833239E-2"/>
    <n v="3.7767127042876956E-2"/>
    <n v="3.9842151992593743E-2"/>
    <n v="2.8662294746109912E-3"/>
    <n v="2.8562908682709951E-3"/>
    <n v="2.9143611813826505E-3"/>
    <n v="6.6705623192099845E-3"/>
    <n v="6.4193889321818654E-3"/>
  </r>
  <r>
    <x v="61"/>
    <s v="IPBOH"/>
    <n v="2.4395811397437062E-2"/>
    <n v="2.1525715938915054E-2"/>
    <n v="4.4047179281807132E-2"/>
    <n v="8.4345662454524285E-3"/>
    <n v="1.5383711657677959"/>
    <n v="0.89324777367162345"/>
    <n v="0.64512339209617253"/>
    <n v="4.1985396421807646E-2"/>
    <n v="0.32538682226900928"/>
    <n v="8.4655102214546644E-3"/>
    <n v="6.9959666191208667E-3"/>
    <n v="7.5956639199206291E-3"/>
    <n v="8.0129896043870507E-3"/>
    <n v="7.7688430531589071E-3"/>
    <n v="7.7419047101174665E-3"/>
    <n v="7.8993028363346547E-3"/>
    <n v="7.8258412033958245E-3"/>
    <n v="7.5311669394675131E-3"/>
  </r>
  <r>
    <x v="62"/>
    <s v="IPBOH"/>
    <n v="0"/>
    <n v="4.592152733635213E-2"/>
    <n v="4.4047179281807139E-2"/>
    <n v="8.4345662454524302E-3"/>
    <n v="1.5383711657677963"/>
    <n v="0.89324777367162378"/>
    <n v="0.64512339209617264"/>
    <n v="4.1985396421807659E-2"/>
    <n v="0.32538682226900939"/>
    <n v="0"/>
    <n v="1.4924728787457854E-2"/>
    <n v="7.59566391992063E-3"/>
    <n v="8.0129896043870524E-3"/>
    <n v="7.7688430531589088E-3"/>
    <n v="7.7419047101174691E-3"/>
    <n v="7.8993028363346564E-3"/>
    <n v="7.825841203395828E-3"/>
    <n v="7.5311669394675157E-3"/>
  </r>
  <r>
    <x v="63"/>
    <s v="IPBOH"/>
    <n v="0"/>
    <n v="2.8938627809899002"/>
    <n v="5.3559666226004934"/>
    <n v="0.14463250919817305"/>
    <n v="153.87186734673588"/>
    <n v="88.792646662706488"/>
    <n v="44.83863345192411"/>
    <n v="1.6583334880365097"/>
    <n v="32.974925798129803"/>
    <n v="0"/>
    <n v="0.94052004930164634"/>
    <n v="0.92360335201733812"/>
    <n v="0.13740348453439763"/>
    <n v="0.77705979825528948"/>
    <n v="0.76957841898245227"/>
    <n v="0.54903286525277972"/>
    <n v="0.3091040134351668"/>
    <n v="0.76321367064139434"/>
  </r>
  <r>
    <x v="64"/>
    <s v="IPBOH"/>
    <n v="2.7264190282509664"/>
    <n v="0"/>
    <n v="0"/>
    <n v="0.8231448773995278"/>
    <n v="40.204978337703068"/>
    <n v="24.29720715820757"/>
    <n v="35.176998704229632"/>
    <n v="3.5622001987366336"/>
    <n v="9.1110653336624488"/>
    <n v="0.94608569379462437"/>
    <n v="0"/>
    <n v="0"/>
    <n v="0.78200243540242287"/>
    <n v="0.20303693517641946"/>
    <n v="0.21058732871802147"/>
    <n v="0.43072963876752007"/>
    <n v="0.66397403539908539"/>
    <n v="0.21087809747709763"/>
  </r>
  <r>
    <x v="65"/>
    <s v="ICPOH"/>
    <n v="0"/>
    <n v="0"/>
    <n v="0"/>
    <n v="0"/>
    <n v="2.696709218706173"/>
    <n v="2.3505748876399122"/>
    <n v="8.1659027068407344"/>
    <n v="0"/>
    <n v="0"/>
    <n v="0"/>
    <n v="0"/>
    <n v="0"/>
    <n v="0"/>
    <n v="0.29686036117062414"/>
    <n v="0.2968603611706242"/>
    <n v="0.29686036117062414"/>
    <n v="0"/>
    <n v="0"/>
  </r>
  <r>
    <x v="66"/>
    <s v="ICPOH"/>
    <n v="1.2459782580800294E-2"/>
    <n v="3.4297589461931254E-2"/>
    <n v="0.11150470210638364"/>
    <n v="7.552478606454259E-2"/>
    <n v="0.20676105547269111"/>
    <n v="0.18022237672670069"/>
    <n v="0.62609296205979215"/>
    <n v="9.5791975270144627E-3"/>
    <n v="6.0065931538960601E-3"/>
    <n v="3.669665536789686E-2"/>
    <n v="3.6696655367896854E-2"/>
    <n v="5.2501217317712172E-2"/>
    <n v="5.2501217317712186E-2"/>
    <n v="2.2760763814606243E-2"/>
    <n v="2.2760763814606247E-2"/>
    <n v="2.2760763814606247E-2"/>
    <n v="1"/>
    <n v="1"/>
  </r>
  <r>
    <x v="67"/>
    <s v="ICPOH"/>
    <n v="0.32707477324960438"/>
    <n v="0.90032680935823028"/>
    <n v="2.0123451399193866"/>
    <n v="1.3630092122521595"/>
    <n v="4.8848117860265337"/>
    <n v="4.257824994787657"/>
    <n v="14.791694080038591"/>
    <n v="0"/>
    <n v="0"/>
    <n v="0.96330334463210321"/>
    <n v="0.9633033446321031"/>
    <n v="0.94749878268228782"/>
    <n v="0.94749878268228793"/>
    <n v="0.53773205542201197"/>
    <n v="0.53773205542201197"/>
    <n v="0.53773205542201197"/>
    <n v="0"/>
    <n v="0"/>
  </r>
  <r>
    <x v="68"/>
    <s v="ICPOH"/>
    <n v="0"/>
    <n v="0"/>
    <n v="0"/>
    <n v="0"/>
    <n v="1.295817979530814"/>
    <n v="1.1294941184273442"/>
    <n v="3.9238652329376347"/>
    <n v="0"/>
    <n v="0"/>
    <n v="0"/>
    <n v="0"/>
    <n v="0"/>
    <n v="0"/>
    <n v="0.14264681959275766"/>
    <n v="0.14264681959275766"/>
    <n v="0.14264681959275766"/>
    <n v="0"/>
    <n v="0"/>
  </r>
  <r>
    <x v="69"/>
    <s v="IMAOH"/>
    <n v="0"/>
    <n v="1.5850931959191099"/>
    <n v="1.8900265017063882"/>
    <n v="1.2801598901318325"/>
    <n v="1.6175262994380317"/>
    <n v="1.4099097793644706"/>
    <n v="4.8980299007930492"/>
    <n v="0"/>
    <n v="0"/>
    <n v="0"/>
    <n v="1"/>
    <n v="1"/>
    <n v="1"/>
    <n v="1"/>
    <n v="1"/>
    <n v="1"/>
    <n v="0"/>
    <n v="0"/>
  </r>
  <r>
    <x v="70"/>
    <s v="IMSOH"/>
    <n v="4.0236843949557614E-2"/>
    <n v="0.11075849406491654"/>
    <n v="0.30157229574080935"/>
    <n v="0.20426208660767908"/>
    <n v="0.117104525796597"/>
    <n v="0.10207365171485817"/>
    <n v="0.35460410694354666"/>
    <n v="4.640169363593892E-2"/>
    <n v="2.9095975371298162E-2"/>
    <n v="8.3494741649662821E-2"/>
    <n v="8.3494741649662849E-2"/>
    <n v="1.77707772069968E-2"/>
    <n v="1.7770777206996796E-2"/>
    <n v="0.11358990965923264"/>
    <n v="0.11358990965923266"/>
    <n v="0.11358990965923264"/>
    <n v="0.24176610051785763"/>
    <n v="0.24176610051785757"/>
  </r>
  <r>
    <x v="71"/>
    <s v="IMSOH"/>
    <n v="0"/>
    <n v="0"/>
    <n v="12.846659395729736"/>
    <n v="8.7013478730327734"/>
    <n v="0.41883634287173044"/>
    <n v="0.36507688064995597"/>
    <n v="1.2682779449318862"/>
    <n v="0"/>
    <n v="0"/>
    <n v="0"/>
    <n v="0"/>
    <n v="0.75701622861238149"/>
    <n v="0.7570162286123816"/>
    <n v="0.40626595791386377"/>
    <n v="0.40626595791386383"/>
    <n v="0.40626595791386383"/>
    <n v="0"/>
    <n v="0"/>
  </r>
  <r>
    <x v="72"/>
    <s v="IMSOH"/>
    <n v="0"/>
    <n v="0"/>
    <n v="1.1905926380645611"/>
    <n v="0.80641670334275062"/>
    <n v="3.8816586555001496E-2"/>
    <n v="3.3834309219242888E-2"/>
    <n v="0.11754047007407102"/>
    <n v="0"/>
    <n v="0"/>
    <n v="0"/>
    <n v="0"/>
    <n v="7.015815714557623E-2"/>
    <n v="7.015815714557623E-2"/>
    <n v="3.7651598262913019E-2"/>
    <n v="3.7651598262913019E-2"/>
    <n v="3.7651598262913026E-2"/>
    <n v="0"/>
    <n v="0"/>
  </r>
  <r>
    <x v="73"/>
    <s v="IMSOH"/>
    <n v="0.44167187454661011"/>
    <n v="1.2157740740535667"/>
    <n v="2.6312998371261473"/>
    <n v="1.7822419460034666"/>
    <n v="0.45618381542217223"/>
    <n v="0.3976306430226037"/>
    <n v="1.3813697922388917"/>
    <n v="0.14552634564064917"/>
    <n v="9.1251647016518958E-2"/>
    <n v="0.91650525835033714"/>
    <n v="0.91650525835033725"/>
    <n v="0.15505483703504547"/>
    <n v="0.15505483703504547"/>
    <n v="0.44249253416399048"/>
    <n v="0.44249253416399048"/>
    <n v="0.44249253416399054"/>
    <n v="0.75823389948214248"/>
    <n v="0.75823389948214237"/>
  </r>
  <r>
    <x v="74"/>
    <s v="IPLOH"/>
    <n v="0"/>
    <n v="0"/>
    <n v="0"/>
    <n v="0"/>
    <n v="0.61010029175439262"/>
    <n v="0.35425178230900217"/>
    <n v="0.25584850944539045"/>
    <n v="3.7486961090899694E-3"/>
    <n v="2.9052394845447263E-2"/>
    <n v="0"/>
    <n v="0"/>
    <n v="0"/>
    <n v="0"/>
    <n v="7.6545956728427521E-3"/>
    <n v="7.4132741813752534E-3"/>
    <n v="7.460422967017391E-3"/>
    <n v="7.0581995902039719E-3"/>
    <n v="7.0581995902039745E-3"/>
  </r>
  <r>
    <x v="75"/>
    <s v="IPLOH"/>
    <n v="0"/>
    <n v="0"/>
    <n v="0"/>
    <n v="0"/>
    <n v="0.61010029175439262"/>
    <n v="0.35425178230900217"/>
    <n v="0.25584850944539045"/>
    <n v="3.7486961090899694E-3"/>
    <n v="2.9052394845447263E-2"/>
    <n v="0"/>
    <n v="0"/>
    <n v="0"/>
    <n v="0"/>
    <n v="7.6545956728427521E-3"/>
    <n v="7.4132741813752534E-3"/>
    <n v="7.460422967017391E-3"/>
    <n v="7.0581995902039719E-3"/>
    <n v="7.0581995902039745E-3"/>
  </r>
  <r>
    <x v="76"/>
    <s v="IPLOH"/>
    <n v="5.6207975420737117"/>
    <n v="4.6402930034413856"/>
    <n v="0"/>
    <n v="0"/>
    <n v="57.925374950459165"/>
    <n v="39.632008969944955"/>
    <n v="31.043295642516075"/>
    <n v="0.52361483564978228"/>
    <n v="4.0580149762858113"/>
    <n v="1"/>
    <n v="1"/>
    <n v="0"/>
    <n v="0"/>
    <n v="0.7267580927859576"/>
    <n v="0.82936194967863497"/>
    <n v="0.90520799314162437"/>
    <n v="0.98588360081959214"/>
    <n v="0.98588360081959214"/>
  </r>
  <r>
    <x v="77"/>
    <s v="IPLOH"/>
    <n v="0"/>
    <n v="0"/>
    <n v="0"/>
    <n v="0"/>
    <n v="20.558215212149207"/>
    <n v="7.4456307594496876"/>
    <n v="2.7391097744066943"/>
    <n v="0"/>
    <n v="0"/>
    <n v="0"/>
    <n v="0"/>
    <n v="0"/>
    <n v="0"/>
    <n v="0.25793271586835681"/>
    <n v="0.15581150195861457"/>
    <n v="7.9871160924340878E-2"/>
    <n v="0"/>
    <n v="0"/>
  </r>
  <r>
    <x v="78"/>
    <s v="IMLOH"/>
    <n v="1.5848343229962696E-2"/>
    <n v="4.362515687798825E-2"/>
    <n v="3.1517667686714733E-2"/>
    <n v="2.1347665742575003E-2"/>
    <n v="8.0920542120730098E-3"/>
    <n v="7.053403937056839E-3"/>
    <n v="2.4503541922837456E-2"/>
    <n v="4.0614515620219314E-3"/>
    <n v="2.5467151166392856E-3"/>
    <n v="3.405961561538131E-2"/>
    <n v="3.405961561538131E-2"/>
    <n v="3.4059615615381317E-2"/>
    <n v="3.405961561538131E-2"/>
    <n v="3.405961561538131E-2"/>
    <n v="3.405961561538131E-2"/>
    <n v="3.405961561538131E-2"/>
    <n v="3.405961561538131E-2"/>
    <n v="3.405961561538131E-2"/>
  </r>
  <r>
    <x v="79"/>
    <s v="IMLOH"/>
    <n v="0.44946352079487939"/>
    <n v="1.2372218547449834"/>
    <n v="0.8938500182739384"/>
    <n v="0.60542587109482859"/>
    <n v="0.22949295859173094"/>
    <n v="0.2000365414313085"/>
    <n v="0.69492741700353589"/>
    <n v="0.11518392125386449"/>
    <n v="7.222556491723138E-2"/>
    <n v="0.96594038438461871"/>
    <n v="0.96594038438461871"/>
    <n v="0.96594038438461871"/>
    <n v="0.96594038438461871"/>
    <n v="0.96594038438461871"/>
    <n v="0.96594038438461871"/>
    <n v="0.96594038438461871"/>
    <n v="0.9659403843846186"/>
    <n v="0.96594038438461871"/>
  </r>
  <r>
    <x v="80"/>
    <s v="IMTOH"/>
    <n v="1.0695869910641895E-2"/>
    <n v="2.9442131333711985E-2"/>
    <n v="8.0164787475405008E-2"/>
    <n v="5.4297516693180517E-2"/>
    <n v="3.1129051161120712E-2"/>
    <n v="2.7133502354582548E-2"/>
    <n v="9.4261851212841502E-2"/>
    <n v="1.233462742221161E-2"/>
    <n v="7.7343731999653335E-3"/>
    <n v="8.3494741649662821E-2"/>
    <n v="8.3494741649662821E-2"/>
    <n v="1.7770777206996803E-2"/>
    <n v="1.7770777206996796E-2"/>
    <n v="0.11358990965923264"/>
    <n v="0.11358990965923266"/>
    <n v="0.11358990965923264"/>
    <n v="0.2417661005178576"/>
    <n v="0.2417661005178576"/>
  </r>
  <r>
    <x v="81"/>
    <s v="IMTOH"/>
    <n v="0"/>
    <n v="0"/>
    <n v="3.4149347760800559"/>
    <n v="2.3130165232112434"/>
    <n v="0.11133624304185237"/>
    <n v="9.7045753084165479E-2"/>
    <n v="0.33713717523505826"/>
    <n v="0"/>
    <n v="0"/>
    <n v="0"/>
    <n v="0"/>
    <n v="0.7570162286123816"/>
    <n v="0.75701622861238149"/>
    <n v="0.40626595791386377"/>
    <n v="0.40626595791386372"/>
    <n v="0.40626595791386377"/>
    <n v="0"/>
    <n v="0"/>
  </r>
  <r>
    <x v="82"/>
    <s v="IMTOH"/>
    <n v="0"/>
    <n v="0"/>
    <n v="0.31648665062475667"/>
    <n v="0.2143639337999716"/>
    <n v="1.0318333134873814E-2"/>
    <n v="8.9939302987860851E-3"/>
    <n v="3.1244935082980901E-2"/>
    <n v="0"/>
    <n v="0"/>
    <n v="0"/>
    <n v="0"/>
    <n v="7.015815714557623E-2"/>
    <n v="7.0158157145576203E-2"/>
    <n v="3.7651598262913026E-2"/>
    <n v="3.7651598262913026E-2"/>
    <n v="3.7651598262913026E-2"/>
    <n v="0"/>
    <n v="0"/>
  </r>
  <r>
    <x v="83"/>
    <s v="IMTOH"/>
    <n v="0.11740644766428876"/>
    <n v="0.32318045006487217"/>
    <n v="0.69945945037530499"/>
    <n v="0.47376051729206081"/>
    <n v="0.12126405220083059"/>
    <n v="0.10569928485410984"/>
    <n v="0.36719956502552814"/>
    <n v="3.8684218461438387E-2"/>
    <n v="2.4256766928441746E-2"/>
    <n v="0.91650525835033725"/>
    <n v="0.91650525835033714"/>
    <n v="0.1550548370350455"/>
    <n v="0.15505483703504547"/>
    <n v="0.44249253416399059"/>
    <n v="0.44249253416399054"/>
    <n v="0.44249253416399059"/>
    <n v="0.75823389948214248"/>
    <n v="0.75823389948214248"/>
  </r>
  <r>
    <x v="84"/>
    <s v="ICAST"/>
    <n v="0"/>
    <n v="0"/>
    <n v="0.92128434782039714"/>
    <n v="9.6525691443906911"/>
    <n v="0.91713297987527909"/>
    <n v="1.0027150267438636"/>
    <n v="5.7116436204906824"/>
    <n v="1.2575451513749474"/>
    <n v="0"/>
    <n v="0"/>
    <n v="0"/>
    <n v="1"/>
    <n v="1"/>
    <n v="1"/>
    <n v="0.14472352862675894"/>
    <n v="0.55102052545069291"/>
    <n v="1"/>
    <n v="0"/>
  </r>
  <r>
    <x v="85"/>
    <s v="ICAST"/>
    <n v="0"/>
    <n v="0"/>
    <n v="0"/>
    <n v="0"/>
    <n v="0"/>
    <n v="5.9257715590818547"/>
    <n v="4.6539296325546404"/>
    <n v="0"/>
    <n v="0"/>
    <n v="0"/>
    <n v="0"/>
    <n v="0"/>
    <n v="0"/>
    <n v="0"/>
    <n v="0.85527647137324114"/>
    <n v="0.44897947454930703"/>
    <n v="0"/>
    <n v="0"/>
  </r>
  <r>
    <x v="86"/>
    <s v="INCST"/>
    <n v="0"/>
    <n v="0"/>
    <n v="0"/>
    <n v="0"/>
    <n v="0"/>
    <n v="0"/>
    <n v="0"/>
    <n v="0"/>
    <n v="0"/>
    <n v="0"/>
    <n v="0"/>
    <n v="0"/>
    <n v="0"/>
    <n v="0"/>
    <n v="0"/>
    <n v="0"/>
    <n v="0"/>
    <n v="0"/>
  </r>
  <r>
    <x v="87"/>
    <s v="INCST"/>
    <n v="0"/>
    <n v="5.9265639808539997E-19"/>
    <n v="2.0363210904890515E-17"/>
    <n v="0"/>
    <n v="0"/>
    <n v="0"/>
    <n v="0"/>
    <n v="0"/>
    <n v="0"/>
    <n v="0"/>
    <n v="1"/>
    <n v="1"/>
    <n v="0"/>
    <n v="0"/>
    <n v="0"/>
    <n v="0"/>
    <n v="0"/>
    <n v="0"/>
  </r>
  <r>
    <x v="88"/>
    <s v="IFDST"/>
    <n v="0"/>
    <n v="7.4069983675223341E-2"/>
    <n v="0.1792834045259043"/>
    <n v="0.32023497887711372"/>
    <n v="3.2584804177315851E-2"/>
    <n v="0"/>
    <n v="8.2929008657982295E-4"/>
    <n v="4.9121844104149531E-6"/>
    <n v="1.472113652940294E-3"/>
    <n v="0"/>
    <n v="8.2825682621795443E-3"/>
    <n v="1.9831054166707671E-3"/>
    <n v="2.5963517461389247E-3"/>
    <n v="6.0753089509078546E-4"/>
    <n v="0"/>
    <n v="1.3421556252094627E-4"/>
    <n v="4.511225878262755E-7"/>
    <n v="2.9024085164059417E-5"/>
  </r>
  <r>
    <x v="89"/>
    <s v="IFDST"/>
    <n v="3.4594684765029093"/>
    <n v="3.7180848302558616"/>
    <n v="35.882075137201475"/>
    <n v="20.065943691422735"/>
    <n v="43.221717089283104"/>
    <n v="2.2600785531742131"/>
    <n v="3.3741647607521612"/>
    <n v="5.5374134505715524"/>
    <n v="50.265611735770278"/>
    <n v="0.94963260594347765"/>
    <n v="0.41575939244427762"/>
    <n v="0.39690197625452961"/>
    <n v="0.1626875618766894"/>
    <n v="0.80585196485216049"/>
    <n v="0.13135666439816926"/>
    <n v="0.54608806825416578"/>
    <n v="0.50854204096845856"/>
    <n v="0.99103312636807106"/>
  </r>
  <r>
    <x v="90"/>
    <s v="IFDST"/>
    <n v="0.18348613020613821"/>
    <n v="0.50507558418121157"/>
    <n v="1.9328278266636691"/>
    <n v="1.309150245243436"/>
    <n v="0.46257831027083146"/>
    <n v="0.40320437670739923"/>
    <n v="1.4007329562134629"/>
    <n v="0.72296250763076231"/>
    <n v="0.4533304211142935"/>
    <n v="5.0367394056522408E-2"/>
    <n v="5.6477979283535762E-2"/>
    <n v="2.1379565736631724E-2"/>
    <n v="1.0614126342832547E-2"/>
    <n v="8.624591185484639E-3"/>
    <n v="2.3434398738327512E-2"/>
    <n v="0.22670011941801027"/>
    <n v="6.6395047517406228E-2"/>
    <n v="8.937829442448501E-3"/>
  </r>
  <r>
    <x v="91"/>
    <s v="IFDST"/>
    <n v="0"/>
    <n v="3.9117821712528396"/>
    <n v="45.343384832265279"/>
    <n v="92.533589319106028"/>
    <n v="8.6640922066501158"/>
    <n v="12.393318381016744"/>
    <n v="1.4030653103469068"/>
    <n v="3.9684746664883885"/>
    <n v="0"/>
    <n v="0"/>
    <n v="0.43741879304634346"/>
    <n v="0.50155625005469984"/>
    <n v="0.75022955658243706"/>
    <n v="0.16153860139259665"/>
    <n v="0.72030459342595787"/>
    <n v="0.2270775967653029"/>
    <n v="0.36445467264491926"/>
    <n v="0"/>
  </r>
  <r>
    <x v="92"/>
    <s v="IFDST"/>
    <n v="0"/>
    <n v="0"/>
    <n v="1.0614424856193321"/>
    <n v="0.48657786686258087"/>
    <n v="9.1967182834690769E-2"/>
    <n v="0"/>
    <n v="0"/>
    <n v="0"/>
    <n v="0"/>
    <n v="0"/>
    <n v="0"/>
    <n v="1.1740921298781114E-2"/>
    <n v="3.9450009449030288E-3"/>
    <n v="1.7146920571471146E-3"/>
    <n v="0"/>
    <n v="0"/>
    <n v="0"/>
    <n v="0"/>
  </r>
  <r>
    <x v="93"/>
    <s v="IFDST"/>
    <n v="0"/>
    <n v="0.73386376205575876"/>
    <n v="6.0063692140871918"/>
    <n v="8.6248715329352379"/>
    <n v="1.1618704890705152"/>
    <n v="2.1490620905674955"/>
    <n v="0"/>
    <n v="0.65994618348255896"/>
    <n v="1.0196992778445369E-6"/>
    <n v="0"/>
    <n v="8.2061266963663615E-2"/>
    <n v="6.6438181238686889E-2"/>
    <n v="6.9927402506999178E-2"/>
    <n v="2.1662619617520269E-2"/>
    <n v="0.12490434343754535"/>
    <n v="0"/>
    <n v="6.0607787746628311E-2"/>
    <n v="2.0104316417945807E-8"/>
  </r>
  <r>
    <x v="94"/>
    <s v="INGST"/>
    <n v="0"/>
    <n v="0"/>
    <n v="0"/>
    <n v="0"/>
    <n v="0"/>
    <n v="0"/>
    <n v="0"/>
    <n v="0"/>
    <n v="0"/>
    <n v="0"/>
    <n v="0"/>
    <n v="0"/>
    <n v="0"/>
    <n v="0"/>
    <n v="0"/>
    <n v="0"/>
    <n v="0"/>
    <n v="0"/>
  </r>
  <r>
    <x v="95"/>
    <s v="INGST"/>
    <n v="0"/>
    <n v="0"/>
    <n v="0"/>
    <n v="0"/>
    <n v="0"/>
    <n v="0"/>
    <n v="1.0566564568276462"/>
    <n v="0"/>
    <n v="0"/>
    <n v="0"/>
    <n v="0"/>
    <n v="0"/>
    <n v="0"/>
    <n v="0"/>
    <n v="0"/>
    <n v="1"/>
    <n v="0"/>
    <n v="0"/>
  </r>
  <r>
    <x v="96"/>
    <s v="ICIST"/>
    <n v="0"/>
    <n v="0"/>
    <n v="0"/>
    <n v="0"/>
    <n v="0"/>
    <n v="0"/>
    <n v="0"/>
    <n v="0"/>
    <n v="0"/>
    <n v="0"/>
    <n v="0"/>
    <n v="0"/>
    <n v="0"/>
    <n v="0"/>
    <n v="0"/>
    <n v="0"/>
    <n v="0"/>
    <n v="0"/>
  </r>
  <r>
    <x v="97"/>
    <s v="ICIST"/>
    <n v="0"/>
    <n v="0.10260283412550769"/>
    <n v="1.348961564199902"/>
    <n v="1.2973151399976981"/>
    <n v="0.58737731195898435"/>
    <n v="1.2262673782924474"/>
    <n v="4.4965385473330066"/>
    <n v="0"/>
    <n v="0.16218196987767"/>
    <n v="0"/>
    <n v="8.4483533226041879E-2"/>
    <n v="0.78980025658507613"/>
    <n v="0.91527640388969644"/>
    <n v="4.204073469310448E-2"/>
    <n v="0.64694308602566986"/>
    <n v="0.12809364772372178"/>
    <n v="0"/>
    <n v="0.36958969567162492"/>
  </r>
  <r>
    <x v="98"/>
    <s v="ICIST"/>
    <n v="1.1127368669517117"/>
    <n v="1.1118685570151339"/>
    <n v="0.27605790041729994"/>
    <n v="0.12008744405716491"/>
    <n v="12.891904436828773"/>
    <n v="0.58545195731165578"/>
    <n v="30.606986313098368"/>
    <n v="1.8909303666907864"/>
    <n v="0.27663429523207567"/>
    <n v="1"/>
    <n v="0.91551646677395815"/>
    <n v="0.1616284750939064"/>
    <n v="8.4723596110303639E-2"/>
    <n v="0.92272058025186532"/>
    <n v="0.30886746454136194"/>
    <n v="0.87190635227627811"/>
    <n v="1"/>
    <n v="0.63041030432837497"/>
  </r>
  <r>
    <x v="99"/>
    <s v="ICIST"/>
    <n v="0"/>
    <n v="0"/>
    <n v="8.2958663970040175E-2"/>
    <n v="0"/>
    <n v="0.49234163617002102"/>
    <n v="8.3760196955257951E-2"/>
    <n v="0"/>
    <n v="0"/>
    <n v="0"/>
    <n v="0"/>
    <n v="0"/>
    <n v="4.8571268321017443E-2"/>
    <n v="0"/>
    <n v="3.5238685055030118E-2"/>
    <n v="4.4189449432968125E-2"/>
    <n v="0"/>
    <n v="0"/>
    <n v="0"/>
  </r>
  <r>
    <x v="100"/>
    <s v="ICOST"/>
    <n v="0"/>
    <n v="0"/>
    <n v="0"/>
    <n v="0"/>
    <n v="0"/>
    <n v="0"/>
    <n v="0"/>
    <n v="0"/>
    <n v="0"/>
    <n v="0"/>
    <n v="0"/>
    <n v="0"/>
    <n v="0"/>
    <n v="0"/>
    <n v="0"/>
    <n v="0"/>
    <n v="0"/>
    <n v="0"/>
  </r>
  <r>
    <x v="101"/>
    <s v="ICOST"/>
    <n v="2.295959936237358E-2"/>
    <n v="6.3200052491648617E-2"/>
    <n v="0.59928557124591975"/>
    <n v="0.40591036705100608"/>
    <n v="0.28721380151746689"/>
    <n v="0.25034866367774705"/>
    <n v="0.86971184842048221"/>
    <n v="3.5303109987199363E-2"/>
    <n v="2.2136657915482107E-2"/>
    <n v="1"/>
    <n v="2.1389458501140917E-3"/>
    <n v="1.4174397900830792E-2"/>
    <n v="4.7925673799264969E-2"/>
    <n v="2.1918394495291742E-2"/>
    <n v="6.2193465631006695E-2"/>
    <n v="6.3285104575444917E-3"/>
    <n v="0.10126036925984895"/>
    <n v="0.10966616428955242"/>
  </r>
  <r>
    <x v="102"/>
    <s v="ICOST"/>
    <n v="0"/>
    <n v="2.5448803320722764"/>
    <n v="3.2251125229978284"/>
    <n v="1.9003150245886453"/>
    <n v="3.5133835671933666"/>
    <n v="3.0120751921690507"/>
    <n v="85.451655777984712"/>
    <n v="0"/>
    <n v="0"/>
    <n v="0"/>
    <n v="8.612906177636899E-2"/>
    <n v="7.628087571153043E-2"/>
    <n v="0.22436943073403545"/>
    <n v="0.26811986970039925"/>
    <n v="0.74828198477348296"/>
    <n v="0.62179410133092161"/>
    <n v="0"/>
    <n v="0"/>
  </r>
  <r>
    <x v="103"/>
    <s v="ICOST"/>
    <n v="0"/>
    <n v="26.939209224603843"/>
    <n v="36.135555454915938"/>
    <n v="5.2446197628352333"/>
    <n v="8.2649093085008847"/>
    <n v="0"/>
    <n v="47.31805556279955"/>
    <n v="0.31333387647891164"/>
    <n v="0.17971829031663183"/>
    <n v="0"/>
    <n v="0.91173199237351688"/>
    <n v="0.85468392025632711"/>
    <n v="0.61923014625353312"/>
    <n v="0.63072715076512231"/>
    <n v="0"/>
    <n v="0.34431267091933526"/>
    <n v="0.89873963074015106"/>
    <n v="0.89033383571044755"/>
  </r>
  <r>
    <x v="104"/>
    <s v="ICOST"/>
    <n v="0"/>
    <n v="0"/>
    <n v="0"/>
    <n v="0"/>
    <n v="1.0382725060292286"/>
    <n v="0.31323427776792584"/>
    <n v="3.7881522655629918"/>
    <n v="0"/>
    <n v="0"/>
    <n v="0"/>
    <n v="0"/>
    <n v="0"/>
    <n v="0"/>
    <n v="7.923458503918665E-2"/>
    <n v="7.7815974739490229E-2"/>
    <n v="2.7564717292198806E-2"/>
    <n v="0"/>
    <n v="0"/>
  </r>
  <r>
    <x v="105"/>
    <s v="ICOST"/>
    <n v="0"/>
    <n v="0"/>
    <n v="2.3194840282766243"/>
    <n v="0.91873565415698932"/>
    <n v="0"/>
    <n v="0.44966287298528701"/>
    <n v="0"/>
    <n v="0"/>
    <n v="0"/>
    <n v="0"/>
    <n v="0"/>
    <n v="5.4860806131311605E-2"/>
    <n v="0.10847474921316635"/>
    <n v="0"/>
    <n v="0.11170857485601997"/>
    <n v="0"/>
    <n v="0"/>
    <n v="0"/>
  </r>
  <r>
    <x v="106"/>
    <s v="IOTST"/>
    <n v="6.0080788177421608E-2"/>
    <n v="6.1111827464060728E-2"/>
    <n v="5.6645470424386779E-2"/>
    <n v="0.1723980685007323"/>
    <n v="0.43718699282092388"/>
    <n v="5.2753386934128602E-3"/>
    <n v="0"/>
    <n v="0"/>
    <n v="2.2536246898259737E-2"/>
    <n v="6.5672259645444941E-3"/>
    <n v="2.8680633422953107E-3"/>
    <n v="1.1607307344683709E-3"/>
    <n v="9.4230763835093014E-3"/>
    <n v="1.0986777037897282E-2"/>
    <n v="3.7285664744338951E-4"/>
    <n v="0"/>
    <n v="0"/>
    <n v="1.3487666277902295E-3"/>
  </r>
  <r>
    <x v="107"/>
    <s v="IOTST"/>
    <n v="6.4591369471662796"/>
    <n v="14.027909022272729"/>
    <n v="14.524962643256993"/>
    <n v="0.29848824381787992"/>
    <n v="17.417004725287129"/>
    <n v="0"/>
    <n v="4.1244039001955803"/>
    <n v="2.3253086101935803"/>
    <n v="5.7712079005684576"/>
    <n v="0.70602622160539474"/>
    <n v="0.65834934586917182"/>
    <n v="0.29763316344134422"/>
    <n v="1.6315017595823489E-2"/>
    <n v="0.43770000189167269"/>
    <n v="0"/>
    <n v="0.21631988080180395"/>
    <n v="0.62117838165519124"/>
    <n v="0.34539968671212662"/>
  </r>
  <r>
    <x v="108"/>
    <s v="IOTST"/>
    <n v="0.36141021472911461"/>
    <n v="0.99484072789747091"/>
    <n v="2.2623913098115964"/>
    <n v="1.5323714286486489"/>
    <n v="0.9701991230999345"/>
    <n v="0.84566985529983107"/>
    <n v="2.9378590730287724"/>
    <n v="1.0945824991962145"/>
    <n v="0.68635308203061518"/>
    <n v="3.9504517467575287E-2"/>
    <n v="4.6689263625492111E-2"/>
    <n v="4.6358995821172096E-2"/>
    <n v="8.375762643768922E-2"/>
    <n v="2.4381698501786439E-2"/>
    <n v="5.9771257433148879E-2"/>
    <n v="0.15408707291251128"/>
    <n v="0.29240462210398621"/>
    <n v="4.107738684720165E-2"/>
  </r>
  <r>
    <x v="109"/>
    <s v="IOTST"/>
    <n v="1.6375619910311745"/>
    <n v="6.1812647290778626"/>
    <n v="27.549123783531954"/>
    <n v="9.4391833323244647"/>
    <n v="16.339702327616411"/>
    <n v="11.201772588974356"/>
    <n v="11.973354960071228"/>
    <n v="0.32349191691186963"/>
    <n v="10.197941795029575"/>
    <n v="0.17899631400129595"/>
    <n v="0.29009537947326136"/>
    <n v="0.56451318073002454"/>
    <n v="0.51593469875831854"/>
    <n v="0.41062673246700687"/>
    <n v="0.79173217411869423"/>
    <n v="0.62798765117002098"/>
    <n v="8.6416996240822483E-2"/>
    <n v="0.61033425962089638"/>
  </r>
  <r>
    <x v="110"/>
    <s v="IOTST"/>
    <n v="0.24551987470361292"/>
    <n v="4.2571665938975184E-2"/>
    <n v="5.6940438587137918E-2"/>
    <n v="0.11289125159782387"/>
    <n v="0.28721081569736773"/>
    <n v="8.8836854961335893E-2"/>
    <n v="3.0608827315621086E-2"/>
    <n v="0"/>
    <n v="3.0742490316999344E-2"/>
    <n v="2.6836939808509579E-2"/>
    <n v="1.9979476897793867E-3"/>
    <n v="1.1667749708323702E-3"/>
    <n v="6.1705035102045946E-3"/>
    <n v="7.2177838013404039E-3"/>
    <n v="6.2789166412496782E-3"/>
    <n v="1.6053951156636648E-3"/>
    <n v="0"/>
    <n v="1.8399001919851569E-3"/>
  </r>
  <r>
    <x v="111"/>
    <s v="IOTST"/>
    <n v="0.384869584656019"/>
    <n v="0"/>
    <n v="4.3514962185980464"/>
    <n v="6.7399739513531722"/>
    <n v="4.3408016814903192"/>
    <n v="2.0068821127228293"/>
    <n v="0"/>
    <n v="0"/>
    <n v="0"/>
    <n v="4.2068781152679834E-2"/>
    <n v="0"/>
    <n v="8.9167154302158463E-2"/>
    <n v="0.36839907731445476"/>
    <n v="0.10908700630029637"/>
    <n v="0.1418447951594638"/>
    <n v="0"/>
    <n v="0"/>
    <n v="0"/>
  </r>
  <r>
    <x v="112"/>
    <s v="ICTST"/>
    <n v="0"/>
    <n v="5.897433226639133E-2"/>
    <n v="0.10209509197542703"/>
    <n v="0"/>
    <n v="1.152582665852989E-2"/>
    <n v="0"/>
    <n v="0"/>
    <n v="5.9290934342980051E-2"/>
    <n v="0"/>
    <n v="0"/>
    <n v="3.1105290345738602E-3"/>
    <n v="6.3164011606154941E-3"/>
    <n v="0"/>
    <n v="5.6657820510849733E-4"/>
    <n v="0"/>
    <n v="0"/>
    <n v="6.5637699738873678E-2"/>
    <n v="0"/>
  </r>
  <r>
    <x v="113"/>
    <s v="ICTST"/>
    <n v="0.67790500013447119"/>
    <n v="16.687891522038147"/>
    <n v="1.2949963577296182"/>
    <n v="0.66344715397526155"/>
    <n v="16.022489755321025"/>
    <n v="2.7878288365522597"/>
    <n v="7.6337187582697643"/>
    <n v="0"/>
    <n v="2.389101114603144"/>
    <n v="0.81286100669883621"/>
    <n v="0.88018243039439015"/>
    <n v="8.0118606474490955E-2"/>
    <n v="0.28972953403796448"/>
    <n v="0.78762189957288187"/>
    <n v="0.62931664052838043"/>
    <n v="0.60548414534100026"/>
    <n v="0"/>
    <n v="0.91996120052832231"/>
  </r>
  <r>
    <x v="114"/>
    <s v="ICTST"/>
    <n v="0.15606906744635202"/>
    <n v="0.42960563463039414"/>
    <n v="0.5625550847992089"/>
    <n v="0.38103193521332673"/>
    <n v="0.17265686568009495"/>
    <n v="0.15049560769513143"/>
    <n v="0.52282209629118481"/>
    <n v="0.11998736055228365"/>
    <n v="7.5237540139965101E-2"/>
    <n v="0.18713899330116382"/>
    <n v="2.2659023825792601E-2"/>
    <n v="3.4804058861038198E-2"/>
    <n v="0.16639788773147327"/>
    <n v="8.4873406441776586E-3"/>
    <n v="3.3972455197825338E-2"/>
    <n v="4.146871271558461E-2"/>
    <n v="0.13283134144643885"/>
    <n v="2.8971405742890713E-2"/>
  </r>
  <r>
    <x v="115"/>
    <s v="ICTST"/>
    <n v="0"/>
    <n v="1.7831111450432005"/>
    <n v="6.654463221259789"/>
    <n v="0.98004187975898827"/>
    <n v="1.2692895811870943"/>
    <n v="1.4784044194779689"/>
    <n v="4.3955810490582827"/>
    <n v="0.72402780173604797"/>
    <n v="0.13261990528215375"/>
    <n v="0"/>
    <n v="9.4048016745243351E-2"/>
    <n v="0.41169715801965356"/>
    <n v="0.42798748243759932"/>
    <n v="6.2394814183647236E-2"/>
    <n v="0.33373085549929354"/>
    <n v="0.34864457534316978"/>
    <n v="0.8015309588146875"/>
    <n v="5.1067393728786971E-2"/>
  </r>
  <r>
    <x v="116"/>
    <s v="ICTST"/>
    <n v="0"/>
    <n v="0"/>
    <n v="0"/>
    <n v="0"/>
    <n v="1.7331848898587448E-2"/>
    <n v="1.3201408278208558E-2"/>
    <n v="5.5505921169740513E-2"/>
    <n v="0"/>
    <n v="0"/>
    <n v="0"/>
    <n v="0"/>
    <n v="0"/>
    <n v="0"/>
    <n v="8.5198642414997729E-4"/>
    <n v="2.9800487745008744E-3"/>
    <n v="4.4025666002454012E-3"/>
    <n v="0"/>
    <n v="0"/>
  </r>
  <r>
    <x v="117"/>
    <s v="ICTST"/>
    <n v="0"/>
    <n v="0"/>
    <n v="7.5493810326326987"/>
    <n v="0.26536347855347564"/>
    <n v="2.8495759231195632"/>
    <n v="0"/>
    <n v="0"/>
    <n v="0"/>
    <n v="0"/>
    <n v="0"/>
    <n v="0"/>
    <n v="0.46706377548420169"/>
    <n v="0.11588509579296304"/>
    <n v="0.14007738097003453"/>
    <n v="0"/>
    <n v="0"/>
    <n v="0"/>
    <n v="0"/>
  </r>
  <r>
    <x v="118"/>
    <s v="IMOST"/>
    <n v="0"/>
    <n v="0"/>
    <n v="0"/>
    <n v="0"/>
    <n v="0"/>
    <n v="0"/>
    <n v="0"/>
    <n v="0"/>
    <n v="0"/>
    <n v="0"/>
    <n v="0"/>
    <n v="0"/>
    <n v="0"/>
    <n v="0"/>
    <n v="0"/>
    <n v="0"/>
    <n v="0"/>
    <n v="0"/>
  </r>
  <r>
    <x v="119"/>
    <s v="IMOST"/>
    <n v="3.9236971327340879E-2"/>
    <n v="0.10800618113420313"/>
    <n v="0.29470535391836827"/>
    <n v="0.19961094363110116"/>
    <n v="7.5127971065641203E-2"/>
    <n v="6.5484969948283997E-2"/>
    <n v="0.22749494013993504"/>
    <n v="9.6961342463843095E-2"/>
    <n v="6.0799178030668449E-2"/>
    <n v="0.16523698015830299"/>
    <n v="7.1300398291281847E-2"/>
    <n v="0.1041377298148624"/>
    <n v="1"/>
    <n v="0.31506141241163554"/>
    <n v="1"/>
    <n v="0.15424758386518284"/>
    <n v="1.0148738443570978E-2"/>
    <n v="0.14734207588732678"/>
  </r>
  <r>
    <x v="120"/>
    <s v="IMOST"/>
    <n v="0"/>
    <n v="1.1849013863281961"/>
    <n v="2.1344348736462946"/>
    <n v="0"/>
    <n v="0.16332703518401226"/>
    <n v="0"/>
    <n v="0"/>
    <n v="0.13928064199288731"/>
    <n v="0.33386389183589166"/>
    <n v="0"/>
    <n v="0.78221394270126854"/>
    <n v="0.75422858534414949"/>
    <n v="0"/>
    <n v="0.68493858758836446"/>
    <n v="0"/>
    <n v="0"/>
    <n v="1.4578209933155213E-2"/>
    <n v="0.80909315685334726"/>
  </r>
  <r>
    <x v="121"/>
    <s v="IMOST"/>
    <n v="0.19822180630070857"/>
    <n v="0.22189717027508163"/>
    <n v="0.40081731464698139"/>
    <n v="0"/>
    <n v="0"/>
    <n v="0"/>
    <n v="1.247373802950217"/>
    <n v="9.3177871200440521"/>
    <n v="1.7976548955980991E-2"/>
    <n v="0.83476301984169721"/>
    <n v="0.14648565900744953"/>
    <n v="0.14163368484098812"/>
    <n v="0"/>
    <n v="0"/>
    <n v="0"/>
    <n v="0.84575241613481711"/>
    <n v="0.97527305162327371"/>
    <n v="4.3564767259325982E-2"/>
  </r>
  <r>
    <x v="122"/>
    <s v="IMOST"/>
    <n v="-6.6040718692496739E-17"/>
    <n v="0"/>
    <n v="0"/>
    <n v="0"/>
    <n v="0"/>
    <n v="0"/>
    <n v="0"/>
    <n v="0"/>
    <n v="-9.9489913874410677E-18"/>
    <n v="-2.7811445570540912E-16"/>
    <n v="0"/>
    <n v="0"/>
    <n v="0"/>
    <n v="0"/>
    <n v="0"/>
    <n v="0"/>
    <n v="0"/>
    <n v="-2.4110606286013729E-17"/>
  </r>
  <r>
    <x v="123"/>
    <s v="INOST"/>
    <n v="0"/>
    <n v="9.0314115683091285E-3"/>
    <n v="0.93625633258137952"/>
    <n v="1.385538953399531"/>
    <n v="0.81282704114782156"/>
    <n v="0"/>
    <n v="0"/>
    <n v="0"/>
    <n v="0"/>
    <n v="0"/>
    <n v="1.708181752734771E-2"/>
    <n v="1.0000000000000007"/>
    <n v="1"/>
    <n v="0.78979695607337208"/>
    <n v="0"/>
    <n v="0"/>
    <n v="0"/>
    <n v="0"/>
  </r>
  <r>
    <x v="124"/>
    <s v="INOST"/>
    <n v="0"/>
    <n v="0.51968349560418503"/>
    <n v="-6.1931724624495442E-16"/>
    <n v="0"/>
    <n v="0.21633245978131346"/>
    <n v="9.4280639717008938E-2"/>
    <n v="0"/>
    <n v="1.687486853645511"/>
    <n v="5.5286984479474832E-2"/>
    <n v="0"/>
    <n v="0.98291818247265228"/>
    <n v="-6.6148257127128562E-16"/>
    <n v="0"/>
    <n v="0.21020304392662795"/>
    <n v="1"/>
    <n v="0"/>
    <n v="1"/>
    <n v="1"/>
  </r>
  <r>
    <x v="125"/>
    <s v="IPOST"/>
    <n v="0"/>
    <n v="0"/>
    <n v="0"/>
    <n v="0"/>
    <n v="0"/>
    <n v="0"/>
    <n v="0"/>
    <n v="0"/>
    <n v="0"/>
    <n v="0"/>
    <n v="0"/>
    <n v="0"/>
    <n v="0"/>
    <n v="0"/>
    <n v="0"/>
    <n v="0"/>
    <n v="0"/>
    <n v="0"/>
  </r>
  <r>
    <x v="126"/>
    <s v="IPOST"/>
    <n v="7.8696949549916184E-2"/>
    <n v="6.943848489698487E-2"/>
    <n v="0.2693772334733826"/>
    <n v="5.1582874494903043E-2"/>
    <n v="0.2222031516703516"/>
    <n v="0.12902118484084932"/>
    <n v="9.3181966829502291E-2"/>
    <n v="8.4648819683943461E-3"/>
    <n v="6.5602835255056183E-2"/>
    <n v="6.8331663640588862E-3"/>
    <n v="1.790936841360536E-2"/>
    <n v="0.10255280968714472"/>
    <n v="0.1042715403344594"/>
    <n v="0.14782130695798915"/>
    <n v="6.1977428274291674E-2"/>
    <n v="0.21704429278562601"/>
    <n v="7.9487821564267674E-2"/>
    <n v="4.4802899170169358E-2"/>
  </r>
  <r>
    <x v="127"/>
    <s v="IPOST"/>
    <n v="0.64665007095829918"/>
    <n v="5.294211107260928E-2"/>
    <n v="0.91715484625540333"/>
    <n v="0.42017548470324828"/>
    <n v="1.1451672747844681"/>
    <n v="1.9527235476098759"/>
    <n v="0.33614038776259858"/>
    <n v="0"/>
    <n v="0.10504387117581207"/>
    <n v="5.6147888062495405E-2"/>
    <n v="1.3654672523457463E-2"/>
    <n v="0.34916390367846989"/>
    <n v="0.84935834673414579"/>
    <n v="0.76182593258305109"/>
    <n v="0.93802257172570846"/>
    <n v="0.78295570721437402"/>
    <n v="0"/>
    <n v="7.1738819678093771E-2"/>
  </r>
  <r>
    <x v="128"/>
    <s v="IPOST"/>
    <n v="10.335884427789098"/>
    <n v="3.3527674335094897"/>
    <n v="0"/>
    <n v="2.2939180796432042E-2"/>
    <n v="0.13581714672434184"/>
    <n v="0"/>
    <n v="0"/>
    <n v="0"/>
    <n v="0.53389104766039452"/>
    <n v="0.89745305527974828"/>
    <n v="0.86473584872913689"/>
    <n v="0"/>
    <n v="4.6370112931394827E-2"/>
    <n v="9.0352760458959763E-2"/>
    <n v="0"/>
    <n v="0"/>
    <n v="0"/>
    <n v="0.36461635664353659"/>
  </r>
  <r>
    <x v="129"/>
    <s v="IPOST"/>
    <n v="0.45567672531992659"/>
    <n v="0.40206769881169996"/>
    <n v="0"/>
    <n v="0"/>
    <n v="0"/>
    <n v="0"/>
    <n v="0"/>
    <n v="9.8027934186471599E-2"/>
    <n v="0.75971648994515495"/>
    <n v="3.9565890293697399E-2"/>
    <n v="0.10370011033380025"/>
    <n v="0"/>
    <n v="0"/>
    <n v="0"/>
    <n v="0"/>
    <n v="0"/>
    <n v="0.9205121784357323"/>
    <n v="0.51884192450820033"/>
  </r>
  <r>
    <x v="130"/>
    <s v="IPOST"/>
    <n v="0"/>
    <n v="0"/>
    <n v="1.4401851627842661"/>
    <n v="0"/>
    <n v="0"/>
    <n v="0"/>
    <n v="0"/>
    <n v="0"/>
    <n v="0"/>
    <n v="0"/>
    <n v="0"/>
    <n v="0.54828328663438541"/>
    <n v="0"/>
    <n v="0"/>
    <n v="0"/>
    <n v="0"/>
    <n v="0"/>
    <n v="0"/>
  </r>
  <r>
    <x v="131"/>
    <s v="IPAST"/>
    <n v="0"/>
    <n v="0"/>
    <n v="0"/>
    <n v="0"/>
    <n v="0"/>
    <n v="0"/>
    <n v="0"/>
    <n v="0"/>
    <n v="0"/>
    <n v="0"/>
    <n v="0"/>
    <n v="0"/>
    <n v="0"/>
    <n v="0"/>
    <n v="0"/>
    <n v="0"/>
    <n v="0"/>
    <n v="0"/>
  </r>
  <r>
    <x v="132"/>
    <s v="IPAST"/>
    <n v="19.841903235372016"/>
    <n v="11.168076854270486"/>
    <n v="24.021780446272672"/>
    <n v="8.2202721647397912"/>
    <n v="46.432315085060914"/>
    <n v="16.384826570704551"/>
    <n v="9.2661190648207636"/>
    <n v="3.8555426560941504"/>
    <n v="3.7224339644901199"/>
    <n v="0.95477578012113562"/>
    <n v="0.81386095301019634"/>
    <n v="0.75366628275641545"/>
    <n v="0.92652559519101307"/>
    <n v="0.92824176815294712"/>
    <n v="0.75423783372658382"/>
    <n v="0.77919483884697116"/>
    <n v="0.99117820068327867"/>
    <n v="0.53113842286786939"/>
  </r>
  <r>
    <x v="133"/>
    <s v="IPAST"/>
    <n v="2.848458611655216E-2"/>
    <n v="2.5133458338134258E-2"/>
    <n v="0.2520048089370262"/>
    <n v="4.8256240009217778E-2"/>
    <n v="0.21447217781874567"/>
    <n v="0.12453223228185233"/>
    <n v="8.9939945536893343E-2"/>
    <n v="3.4315548450999309E-2"/>
    <n v="0.26594550049524462"/>
    <n v="1.3706544482273227E-3"/>
    <n v="1.8315723129801267E-3"/>
    <n v="7.9064717127484713E-3"/>
    <n v="5.4390707023063848E-3"/>
    <n v="4.2875750044636092E-3"/>
    <n v="5.732555099077938E-3"/>
    <n v="7.5631168645986478E-3"/>
    <n v="8.8217993167213418E-3"/>
    <n v="3.794664325796808E-2"/>
  </r>
  <r>
    <x v="134"/>
    <s v="IPAST"/>
    <n v="0"/>
    <n v="1.5538295710813932"/>
    <n v="5.8643651257988409"/>
    <n v="0.44395130602325522"/>
    <n v="1.9495253003629904"/>
    <n v="3.9154574968181444"/>
    <n v="2.2660818837882686"/>
    <n v="0"/>
    <n v="3.0200270147999349"/>
    <n v="0"/>
    <n v="0.11323357029479653"/>
    <n v="0.18399028643911211"/>
    <n v="5.0038762683965787E-2"/>
    <n v="3.8973521103841668E-2"/>
    <n v="0.18023908692013957"/>
    <n v="0.19055650978585773"/>
    <n v="0"/>
    <n v="0.43091493387416258"/>
  </r>
  <r>
    <x v="135"/>
    <s v="IPAST"/>
    <n v="0.91135345063985318"/>
    <n v="0.80413539762339992"/>
    <n v="0.17997316042047523"/>
    <n v="3.446294561243142E-2"/>
    <n v="0.64330831809872013"/>
    <n v="0.37353386212183748"/>
    <n v="0.26977445597688265"/>
    <n v="0"/>
    <n v="0"/>
    <n v="4.3853565430637002E-2"/>
    <n v="5.8600456425831358E-2"/>
    <n v="5.6465299528232959E-3"/>
    <n v="3.8843970802521824E-3"/>
    <n v="1.2860561649048155E-2"/>
    <n v="1.7194772845141232E-2"/>
    <n v="2.2685534502572515E-2"/>
    <n v="0"/>
    <n v="0"/>
  </r>
  <r>
    <x v="136"/>
    <s v="IPAST"/>
    <n v="0"/>
    <n v="0.17116489603942248"/>
    <n v="1.5551086780313079"/>
    <n v="0.12520529873476929"/>
    <n v="0.78216943030750441"/>
    <n v="0.92533676816224308"/>
    <n v="0"/>
    <n v="0"/>
    <n v="0"/>
    <n v="0"/>
    <n v="1.2473447956195597E-2"/>
    <n v="4.8790429138900776E-2"/>
    <n v="1.4112174342462641E-2"/>
    <n v="1.563657408969938E-2"/>
    <n v="4.2595751409057331E-2"/>
    <n v="0"/>
    <n v="0"/>
    <n v="0"/>
  </r>
  <r>
    <x v="137"/>
    <s v="IPBST"/>
    <n v="0"/>
    <n v="0"/>
    <n v="0"/>
    <n v="0"/>
    <n v="0"/>
    <n v="0"/>
    <n v="0"/>
    <n v="0"/>
    <n v="0"/>
    <n v="0"/>
    <n v="0"/>
    <n v="0"/>
    <n v="0"/>
    <n v="0"/>
    <n v="0"/>
    <n v="0"/>
    <n v="0"/>
    <n v="0"/>
  </r>
  <r>
    <x v="138"/>
    <s v="IPBST"/>
    <n v="6.1819282312309056"/>
    <n v="4.3715248508121469"/>
    <n v="7.0524889862664715"/>
    <n v="2.2502594879101219"/>
    <n v="43.004297702818235"/>
    <n v="16.050591562476814"/>
    <n v="20.269882203273845"/>
    <n v="0"/>
    <n v="4.6970635709086928"/>
    <n v="0.86580317311953237"/>
    <n v="0.96367958858446068"/>
    <n v="0.81697879434169107"/>
    <n v="0.97739071928783605"/>
    <n v="0.91343297847944971"/>
    <n v="0.95010894958043479"/>
    <n v="0.87921858785336238"/>
    <n v="0"/>
    <n v="0.53943414831018976"/>
  </r>
  <r>
    <x v="139"/>
    <s v="IPBST"/>
    <n v="9.5592339848768249E-2"/>
    <n v="8.4346182219501395E-2"/>
    <n v="0.27183569583885026"/>
    <n v="5.2053643884035147E-2"/>
    <n v="0.59379712282528974"/>
    <n v="0.34478542615661989"/>
    <n v="0.24901169666866993"/>
    <n v="4.9354566053011098E-2"/>
    <n v="0.38249788691083608"/>
    <n v="1.3388080235040969E-2"/>
    <n v="1.8593670848024178E-2"/>
    <n v="3.1490158932247825E-2"/>
    <n v="2.2609280712163834E-2"/>
    <n v="1.2612550453981415E-2"/>
    <n v="2.0409448324766811E-2"/>
    <n v="1.080103525557918E-2"/>
    <n v="3.1173716151014497E-2"/>
    <n v="4.3927960254597352E-2"/>
  </r>
  <r>
    <x v="140"/>
    <s v="IPBST"/>
    <n v="0.77145216287516383"/>
    <n v="0"/>
    <n v="1.2128667067822319"/>
    <n v="0"/>
    <n v="1.8029274367780637"/>
    <n v="0"/>
    <n v="2.1758354775311801"/>
    <n v="1.533856297031881"/>
    <n v="3.6278286575866403"/>
    <n v="0.1080448859229558"/>
    <n v="0"/>
    <n v="0.14050165576064119"/>
    <n v="0"/>
    <n v="3.8295088317430698E-2"/>
    <n v="0"/>
    <n v="9.4378199970359511E-2"/>
    <n v="0.9688262838489855"/>
    <n v="0.41663789143521274"/>
  </r>
  <r>
    <x v="141"/>
    <s v="IPBST"/>
    <n v="9.1135345063985324E-2"/>
    <n v="8.0413539762340003E-2"/>
    <n v="0"/>
    <n v="0"/>
    <n v="0.85774442413162666"/>
    <n v="0.49804514949578327"/>
    <n v="0.35969927463584345"/>
    <n v="0"/>
    <n v="0"/>
    <n v="1.2763860722470875E-2"/>
    <n v="1.7726740567515078E-2"/>
    <n v="0"/>
    <n v="0"/>
    <n v="1.8218924292707307E-2"/>
    <n v="2.9481602094798356E-2"/>
    <n v="1.5602176920698924E-2"/>
    <n v="0"/>
    <n v="0"/>
  </r>
  <r>
    <x v="142"/>
    <s v="IPBST"/>
    <n v="0"/>
    <n v="0"/>
    <n v="9.5210131337042911E-2"/>
    <n v="0"/>
    <n v="0.82109436072968167"/>
    <n v="0"/>
    <n v="0"/>
    <n v="0"/>
    <n v="0"/>
    <n v="0"/>
    <n v="0"/>
    <n v="1.1029390965419987E-2"/>
    <n v="0"/>
    <n v="1.7440458456431007E-2"/>
    <n v="0"/>
    <n v="0"/>
    <n v="0"/>
    <n v="0"/>
  </r>
  <r>
    <x v="143"/>
    <s v="ICPST"/>
    <n v="0"/>
    <n v="0"/>
    <n v="0"/>
    <n v="0"/>
    <n v="0"/>
    <n v="0"/>
    <n v="0"/>
    <n v="0"/>
    <n v="0"/>
    <n v="0"/>
    <n v="0"/>
    <n v="0"/>
    <n v="0"/>
    <n v="0"/>
    <n v="0"/>
    <n v="0"/>
    <n v="0"/>
    <n v="0"/>
  </r>
  <r>
    <x v="144"/>
    <s v="ICPST"/>
    <n v="1.2459782580800294E-2"/>
    <n v="3.4297589461931254E-2"/>
    <n v="0.11150470210638364"/>
    <n v="7.552478606454259E-2"/>
    <n v="0.20676105547269111"/>
    <n v="0.18022237672670069"/>
    <n v="0.62609296205979215"/>
    <n v="9.5791975270144627E-3"/>
    <n v="6.0065931538960601E-3"/>
    <n v="3.7498324511151186E-3"/>
    <n v="5.9223117534515342E-3"/>
    <n v="8.1039411677870932E-3"/>
    <n v="1"/>
    <n v="1.158759832755845E-2"/>
    <n v="7.9820050659828688E-3"/>
    <n v="1.2060942794508235E-2"/>
    <n v="1"/>
    <n v="1.8732360900821053E-2"/>
  </r>
  <r>
    <x v="145"/>
    <s v="ICPST"/>
    <n v="0"/>
    <n v="1.046432719108054"/>
    <n v="2.8013142162609643"/>
    <n v="0"/>
    <n v="2.7036106377753084"/>
    <n v="2.0684721549359772"/>
    <n v="3.286727508999046"/>
    <n v="0"/>
    <n v="8.0445656678376554E-2"/>
    <n v="0"/>
    <n v="0.1806920220573692"/>
    <n v="0.20359397561015319"/>
    <n v="0"/>
    <n v="0.15151960814396323"/>
    <n v="9.1612126748172915E-2"/>
    <n v="6.3314930640265388E-2"/>
    <n v="0"/>
    <n v="0.25088049667979423"/>
  </r>
  <r>
    <x v="146"/>
    <s v="ICPST"/>
    <n v="0"/>
    <n v="2.6291038414464998"/>
    <n v="7.0381457236429297"/>
    <n v="0"/>
    <n v="6.7926709321640679"/>
    <n v="5.1969209191993446"/>
    <n v="8.2577195474762277"/>
    <n v="0"/>
    <n v="0.2021152255073618"/>
    <n v="0"/>
    <n v="0.4539786272305108"/>
    <n v="0.51151850816387479"/>
    <n v="0"/>
    <n v="0.38068456437917209"/>
    <n v="0.23017035874222719"/>
    <n v="0.159075231811489"/>
    <n v="0"/>
    <n v="0.63032325492179497"/>
  </r>
  <r>
    <x v="147"/>
    <s v="ICPST"/>
    <n v="3.3102973654339132"/>
    <n v="2.081416106598688"/>
    <n v="1.3701612761968145"/>
    <n v="0"/>
    <n v="6.3387893040239929"/>
    <n v="11.477558883311074"/>
    <n v="39.740241147334814"/>
    <n v="0"/>
    <n v="3.2085814744734258E-2"/>
    <n v="0.99625016754888485"/>
    <n v="0.35940703895866843"/>
    <n v="9.9580611067731653E-2"/>
    <n v="0"/>
    <n v="0.35524748202765499"/>
    <n v="0.50833828082643795"/>
    <n v="0.76554889475373744"/>
    <n v="0"/>
    <n v="0.10006388749758967"/>
  </r>
  <r>
    <x v="148"/>
    <s v="ICPST"/>
    <n v="0"/>
    <n v="0"/>
    <n v="0"/>
    <n v="0"/>
    <n v="0"/>
    <n v="0"/>
    <n v="0"/>
    <n v="0"/>
    <n v="0"/>
    <n v="0"/>
    <n v="0"/>
    <n v="0"/>
    <n v="0"/>
    <n v="0"/>
    <n v="0"/>
    <n v="0"/>
    <n v="0"/>
    <n v="0"/>
  </r>
  <r>
    <x v="149"/>
    <s v="ICPST"/>
    <n v="0"/>
    <n v="0"/>
    <n v="2.4381918998455934"/>
    <n v="0"/>
    <n v="1.8014734413548208"/>
    <n v="3.6554102741929579"/>
    <n v="0"/>
    <n v="0"/>
    <n v="0"/>
    <n v="0"/>
    <n v="0"/>
    <n v="0.17720296399045338"/>
    <n v="0"/>
    <n v="0.10096074712165132"/>
    <n v="0.16189722861717898"/>
    <n v="0"/>
    <n v="0"/>
    <n v="0"/>
  </r>
  <r>
    <x v="150"/>
    <s v="IMAST"/>
    <n v="0"/>
    <n v="2.9466434176386258"/>
    <n v="0"/>
    <n v="0"/>
    <n v="0"/>
    <n v="4.1200271499421494E-2"/>
    <n v="0"/>
    <n v="0"/>
    <n v="0"/>
    <n v="0"/>
    <n v="0.5024802737623747"/>
    <n v="0"/>
    <n v="0"/>
    <n v="0"/>
    <n v="1"/>
    <n v="0"/>
    <n v="0"/>
    <n v="0"/>
  </r>
  <r>
    <x v="151"/>
    <s v="IMAST"/>
    <n v="0"/>
    <n v="2.917553788702071"/>
    <n v="6.4017528284246672E-2"/>
    <n v="0"/>
    <n v="0"/>
    <n v="0"/>
    <n v="2.6560676530619074"/>
    <n v="0"/>
    <n v="0"/>
    <n v="0"/>
    <n v="0.49751972623762541"/>
    <n v="1"/>
    <n v="0"/>
    <n v="0"/>
    <n v="0"/>
    <n v="1"/>
    <n v="0"/>
    <n v="0"/>
  </r>
  <r>
    <x v="152"/>
    <s v="IMSST"/>
    <n v="0"/>
    <n v="0"/>
    <n v="0"/>
    <n v="0"/>
    <n v="0"/>
    <n v="0"/>
    <n v="0"/>
    <n v="0"/>
    <n v="0"/>
    <n v="0"/>
    <n v="0"/>
    <n v="0"/>
    <n v="0"/>
    <n v="0"/>
    <n v="0"/>
    <n v="0"/>
    <n v="0"/>
    <n v="0"/>
  </r>
  <r>
    <x v="153"/>
    <s v="IMSST"/>
    <n v="0"/>
    <n v="2.3312024457930116"/>
    <n v="5.8370650389501568"/>
    <n v="0"/>
    <n v="0.50000557126521816"/>
    <n v="0.76471440311151018"/>
    <n v="0"/>
    <n v="0.21764948396250672"/>
    <n v="0.22235541875088524"/>
    <n v="0"/>
    <n v="0.98873979647718213"/>
    <n v="0.6864112728916566"/>
    <n v="0"/>
    <n v="0.92399170938735109"/>
    <n v="1"/>
    <n v="0"/>
    <n v="1"/>
    <n v="8.0170579686959745E-2"/>
  </r>
  <r>
    <x v="154"/>
    <s v="IMSST"/>
    <n v="5.8014724722938614E-3"/>
    <n v="2.6548758415557597E-2"/>
    <n v="2.6666779347924692"/>
    <n v="0"/>
    <n v="4.1130854727981669E-2"/>
    <n v="0"/>
    <n v="0"/>
    <n v="0"/>
    <n v="2.5511734695160007"/>
    <n v="1"/>
    <n v="1.1260203522817952E-2"/>
    <n v="0.31358872710834346"/>
    <n v="0"/>
    <n v="7.6008290612649618E-2"/>
    <n v="0"/>
    <n v="0"/>
    <n v="0"/>
    <n v="0.91982942031304016"/>
  </r>
  <r>
    <x v="155"/>
    <s v="IMSST"/>
    <n v="0"/>
    <n v="0"/>
    <n v="-7.111500999108398E-16"/>
    <n v="0"/>
    <n v="-4.4113348367226244E-16"/>
    <n v="0"/>
    <n v="0"/>
    <n v="0"/>
    <n v="0"/>
    <n v="0"/>
    <n v="0"/>
    <n v="-8.3627892106651002E-17"/>
    <n v="0"/>
    <n v="-8.1519827992101612E-16"/>
    <n v="0"/>
    <n v="0"/>
    <n v="0"/>
    <n v="0"/>
  </r>
  <r>
    <x v="156"/>
    <s v="IMSST"/>
    <n v="0"/>
    <n v="0"/>
    <n v="3.6928411495384947E-16"/>
    <n v="0"/>
    <n v="0"/>
    <n v="0"/>
    <n v="0"/>
    <n v="0"/>
    <n v="0"/>
    <n v="0"/>
    <n v="0"/>
    <n v="4.3426067332244639E-17"/>
    <n v="0"/>
    <n v="0"/>
    <n v="0"/>
    <n v="0"/>
    <n v="0"/>
    <n v="0"/>
  </r>
  <r>
    <x v="157"/>
    <s v="IPLST"/>
    <n v="0"/>
    <n v="0"/>
    <n v="0"/>
    <n v="0"/>
    <n v="0"/>
    <n v="0"/>
    <n v="0"/>
    <n v="0"/>
    <n v="0"/>
    <n v="0"/>
    <n v="0"/>
    <n v="0"/>
    <n v="0"/>
    <n v="0"/>
    <n v="0"/>
    <n v="0"/>
    <n v="0"/>
    <n v="0"/>
  </r>
  <r>
    <x v="158"/>
    <s v="IPLST"/>
    <n v="0.68093370485576654"/>
    <n v="0.52510028453236013"/>
    <n v="0"/>
    <n v="0"/>
    <n v="3.1725078976564047"/>
    <n v="1.0956975032870886"/>
    <n v="0.79133708570734185"/>
    <n v="6.4012225162040096E-2"/>
    <n v="3.0622622806358617"/>
    <n v="1"/>
    <n v="1"/>
    <n v="0"/>
    <n v="0"/>
    <n v="0.94686436387333184"/>
    <n v="0.86220263486541715"/>
    <n v="0.63270476011734322"/>
    <n v="1"/>
    <n v="1"/>
  </r>
  <r>
    <x v="159"/>
    <s v="IPLST"/>
    <n v="0"/>
    <n v="0"/>
    <n v="0"/>
    <n v="0"/>
    <n v="0.17803312880978034"/>
    <n v="0.17511455292765277"/>
    <n v="0.45938384384687581"/>
    <n v="0"/>
    <n v="0"/>
    <n v="0"/>
    <n v="0"/>
    <n v="0"/>
    <n v="0"/>
    <n v="5.3135636126668127E-2"/>
    <n v="0.13779736513458288"/>
    <n v="0.36729523988265672"/>
    <n v="0"/>
    <n v="0"/>
  </r>
  <r>
    <x v="160"/>
    <s v="IMLST"/>
    <n v="0"/>
    <n v="0.3344675004435278"/>
    <n v="9.0782356205638647E-3"/>
    <n v="0"/>
    <n v="0"/>
    <n v="0"/>
    <n v="0"/>
    <n v="0"/>
    <n v="4.556278158642952E-2"/>
    <n v="0"/>
    <n v="1"/>
    <n v="1"/>
    <n v="0"/>
    <n v="0"/>
    <n v="0"/>
    <n v="0"/>
    <n v="0"/>
    <n v="1"/>
  </r>
  <r>
    <x v="161"/>
    <s v="IMTST"/>
    <n v="0"/>
    <n v="0"/>
    <n v="0"/>
    <n v="0"/>
    <n v="0"/>
    <n v="0"/>
    <n v="0"/>
    <n v="0"/>
    <n v="0"/>
    <n v="0"/>
    <n v="0"/>
    <n v="0"/>
    <n v="0"/>
    <n v="0"/>
    <n v="0"/>
    <n v="0"/>
    <n v="0"/>
    <n v="0"/>
  </r>
  <r>
    <x v="162"/>
    <s v="IMTST"/>
    <n v="0"/>
    <n v="0.61968672609687625"/>
    <n v="1.55162488377156"/>
    <n v="0"/>
    <n v="0.13291287337429847"/>
    <n v="0.20327851221951532"/>
    <n v="0"/>
    <n v="5.7856191939400517E-2"/>
    <n v="5.9107136629982147E-2"/>
    <n v="0"/>
    <n v="0.98873979647718202"/>
    <n v="0.68641127289165638"/>
    <n v="0"/>
    <n v="0.92399170938734976"/>
    <n v="1"/>
    <n v="0"/>
    <n v="1"/>
    <n v="8.0170579686959773E-2"/>
  </r>
  <r>
    <x v="163"/>
    <s v="IMTST"/>
    <n v="1.5421635685844439E-3"/>
    <n v="7.0572648952748019E-3"/>
    <n v="0.70886375481825148"/>
    <n v="0"/>
    <n v="1.0933518345412844E-2"/>
    <n v="0"/>
    <n v="0"/>
    <n v="0"/>
    <n v="0.67816003620045562"/>
    <n v="1"/>
    <n v="1.1260203522817952E-2"/>
    <n v="0.31358872710834351"/>
    <n v="0"/>
    <n v="7.6008290612649493E-2"/>
    <n v="0"/>
    <n v="0"/>
    <n v="0"/>
    <n v="0.91982942031304027"/>
  </r>
  <r>
    <x v="164"/>
    <s v="IMTST"/>
    <n v="0"/>
    <n v="0"/>
    <n v="1.8903989997629917E-16"/>
    <n v="0"/>
    <n v="1.1726333110275329E-16"/>
    <n v="0"/>
    <n v="0"/>
    <n v="0"/>
    <n v="0"/>
    <n v="0"/>
    <n v="0"/>
    <n v="8.3627892106650989E-17"/>
    <n v="0"/>
    <n v="8.1519827992101503E-16"/>
    <n v="0"/>
    <n v="0"/>
    <n v="0"/>
    <n v="0"/>
  </r>
  <r>
    <x v="165"/>
    <s v="IMTST"/>
    <n v="0"/>
    <n v="0"/>
    <n v="0"/>
    <n v="0"/>
    <n v="0"/>
    <n v="0"/>
    <n v="0"/>
    <n v="0"/>
    <n v="0"/>
    <n v="0"/>
    <n v="0"/>
    <n v="0"/>
    <n v="0"/>
    <n v="0"/>
    <n v="0"/>
    <n v="0"/>
    <n v="0"/>
    <n v="0"/>
  </r>
  <r>
    <x v="166"/>
    <s v="ICAFA"/>
    <n v="0"/>
    <n v="0"/>
    <n v="0"/>
    <n v="0"/>
    <n v="2.696709218706173"/>
    <n v="2.3505748876399122"/>
    <n v="8.1659027068407344"/>
    <n v="0"/>
    <n v="0"/>
    <n v="0"/>
    <n v="0"/>
    <n v="0"/>
    <n v="0"/>
    <n v="0.90292323818747011"/>
    <n v="0.90292323818747011"/>
    <n v="0.90292323818747011"/>
    <n v="0"/>
    <n v="0"/>
  </r>
  <r>
    <x v="167"/>
    <s v="ICAFA"/>
    <n v="0"/>
    <n v="0"/>
    <n v="0.19048719943173875"/>
    <n v="0.12902150952692693"/>
    <n v="0.16302313989192954"/>
    <n v="0.14209841241912938"/>
    <n v="0.49365022008560533"/>
    <n v="9.8186774651898234E-2"/>
    <n v="6.1567579827434611E-2"/>
    <n v="0"/>
    <n v="0"/>
    <n v="0.67269814648255322"/>
    <n v="0.67269814648255311"/>
    <n v="5.4584076158323183E-2"/>
    <n v="5.4584076158323176E-2"/>
    <n v="5.4584076158323183E-2"/>
    <n v="0.89991859324804668"/>
    <n v="0.89991859324804679"/>
  </r>
  <r>
    <x v="168"/>
    <s v="ICAFA"/>
    <n v="0"/>
    <n v="0"/>
    <n v="9.2681708387868489E-2"/>
    <n v="6.2775524851066827E-2"/>
    <n v="0.12691047509344414"/>
    <n v="0.11062096486480834"/>
    <n v="0.38429749299748883"/>
    <n v="1.0919510503868942E-2"/>
    <n v="6.8470304377236668E-3"/>
    <n v="0"/>
    <n v="0"/>
    <n v="0.32730185351744684"/>
    <n v="0.32730185351744684"/>
    <n v="4.2492685654206733E-2"/>
    <n v="4.2492685654206733E-2"/>
    <n v="4.249268565420674E-2"/>
    <n v="0.10008140675195333"/>
    <n v="0.10008140675195333"/>
  </r>
  <r>
    <x v="169"/>
    <s v="INCFA"/>
    <n v="0.23054268601481484"/>
    <n v="0.63460645056289322"/>
    <n v="0.51579137437156486"/>
    <n v="0.3493577622061434"/>
    <n v="0.17657024646290415"/>
    <n v="0.15390668907166088"/>
    <n v="0.53467220104314317"/>
    <n v="0"/>
    <n v="0"/>
    <n v="0.81761852800874757"/>
    <n v="0.81761852800874768"/>
    <n v="0.59909197536010239"/>
    <n v="0.59909197536010239"/>
    <n v="0.50848876386171049"/>
    <n v="0.50848876386171049"/>
    <n v="0.5084887638617106"/>
    <n v="0"/>
    <n v="0"/>
  </r>
  <r>
    <x v="170"/>
    <s v="INCFA"/>
    <n v="5.1425833676495655E-2"/>
    <n v="0.14155801834711618"/>
    <n v="0.34516386386465564"/>
    <n v="0.23378769220618006"/>
    <n v="0.17067488265645728"/>
    <n v="0.1487680207937426"/>
    <n v="0.51682045531878495"/>
    <n v="0.23721997502796063"/>
    <n v="0.14874772901926309"/>
    <n v="0.18238147199125243"/>
    <n v="0.18238147199125243"/>
    <n v="0.40090802463989766"/>
    <n v="0.40090802463989761"/>
    <n v="0.49151123613828945"/>
    <n v="0.49151123613828956"/>
    <n v="0.49151123613828956"/>
    <n v="1"/>
    <n v="1"/>
  </r>
  <r>
    <x v="171"/>
    <s v="IFDFA"/>
    <n v="0.34728213132666452"/>
    <n v="0.95595086755850878"/>
    <n v="0.77697163552677562"/>
    <n v="0.5262613633583979"/>
    <n v="0.53195954797344003"/>
    <n v="0.46368023145875886"/>
    <n v="1.6108262183381481"/>
    <n v="2.9369313013355374"/>
    <n v="1.8415896945767669"/>
    <n v="0.10503464974097179"/>
    <n v="0.10503464974097179"/>
    <n v="2.5449289281047761E-2"/>
    <n v="2.5449289281047754E-2"/>
    <n v="7.5027987556788342E-2"/>
    <n v="7.5027987556788342E-2"/>
    <n v="7.5027987556788342E-2"/>
    <n v="0.17809519200379684"/>
    <n v="0.17809519200379678"/>
  </r>
  <r>
    <x v="172"/>
    <s v="IFDFA"/>
    <n v="1.2581906071278048"/>
    <n v="3.4633754343854508"/>
    <n v="13.253676525693733"/>
    <n v="8.9770302530978476"/>
    <n v="3.1719655561428444"/>
    <n v="2.7648300117078803"/>
    <n v="9.6050259854637456"/>
    <n v="4.9574571951823696"/>
    <n v="3.108551459069441"/>
    <n v="0.38053673888202955"/>
    <n v="0.38053673888202955"/>
    <n v="0.43411706749259849"/>
    <n v="0.43411706749259837"/>
    <n v="0.44737648413959641"/>
    <n v="0.44737648413959635"/>
    <n v="0.44737648413959641"/>
    <n v="0.30061966060463158"/>
    <n v="0.30061966060463152"/>
  </r>
  <r>
    <x v="173"/>
    <s v="IFDFA"/>
    <n v="0.10003826432157566"/>
    <n v="0.27537168469316808"/>
    <n v="0"/>
    <n v="0"/>
    <n v="0.15323653326262257"/>
    <n v="0.13356795922139969"/>
    <n v="0.46401540554546533"/>
    <n v="0.23073106323846596"/>
    <n v="0.14467888577627783"/>
    <n v="3.0256333700704522E-2"/>
    <n v="3.0256333700704519E-2"/>
    <n v="0"/>
    <n v="0"/>
    <n v="2.1612599594598235E-2"/>
    <n v="2.1612599594598235E-2"/>
    <n v="2.1612599594598235E-2"/>
    <n v="1.3991506369253037E-2"/>
    <n v="1.3991506369253033E-2"/>
  </r>
  <r>
    <x v="174"/>
    <s v="IFDFA"/>
    <n v="1.5994266192244877"/>
    <n v="4.4026833698668515"/>
    <n v="16.038832080420637"/>
    <n v="10.863482334970902"/>
    <n v="3.2155835769447472"/>
    <n v="2.8028494702517648"/>
    <n v="9.7371056741682569"/>
    <n v="8.3001655975198005"/>
    <n v="5.20458187793571"/>
    <n v="0.48374275432734293"/>
    <n v="0.48374275432734298"/>
    <n v="0.52534334418532003"/>
    <n v="0.52534334418532003"/>
    <n v="0.45352840365010078"/>
    <n v="0.45352840365010089"/>
    <n v="0.45352840365010083"/>
    <n v="0.50332113150940705"/>
    <n v="0.50332113150940694"/>
  </r>
  <r>
    <x v="175"/>
    <s v="IFDFA"/>
    <n v="1.4201578664393994E-3"/>
    <n v="3.9092168068266724E-3"/>
    <n v="0.46070969593762284"/>
    <n v="0.31204963168595751"/>
    <n v="1.7402946331757266E-2"/>
    <n v="1.5169202646920933E-2"/>
    <n v="5.2697845793578953E-2"/>
    <n v="6.5509840002164643E-2"/>
    <n v="4.1077653463156769E-2"/>
    <n v="4.2952334895122513E-4"/>
    <n v="4.2952334895122508E-4"/>
    <n v="1.509029904103374E-2"/>
    <n v="1.5090299041033735E-2"/>
    <n v="2.4545250589161935E-3"/>
    <n v="2.4545250589161939E-3"/>
    <n v="2.4545250589161935E-3"/>
    <n v="3.972509512911687E-3"/>
    <n v="3.9725095129116853E-3"/>
  </r>
  <r>
    <x v="176"/>
    <s v="INGFA"/>
    <n v="0.37294259199249696"/>
    <n v="1.02658548253782"/>
    <n v="1.7879605422443103"/>
    <n v="1.211028188892084"/>
    <n v="0.73448448181904291"/>
    <n v="0.64021021115260501"/>
    <n v="2.2240917843920252"/>
    <n v="0.86016527136786403"/>
    <n v="0.539362803162453"/>
    <n v="0.4282288135952661"/>
    <n v="0.42822881359526621"/>
    <n v="0.48674453987562055"/>
    <n v="0.48674453987562061"/>
    <n v="0.47655314391096465"/>
    <n v="0.47655314391096465"/>
    <n v="0.47655314391096459"/>
    <n v="0.49332115747744332"/>
    <n v="0.49332115747744326"/>
  </r>
  <r>
    <x v="177"/>
    <s v="INGFA"/>
    <n v="0.49795301370342876"/>
    <n v="1.3706971148636744"/>
    <n v="1.8853432049352552"/>
    <n v="1.2769877818706121"/>
    <n v="0.80675911546644286"/>
    <n v="0.70320808192284001"/>
    <n v="2.4429465361180513"/>
    <n v="0.88345601535384799"/>
    <n v="0.55396716046700056"/>
    <n v="0.5717711864047339"/>
    <n v="0.5717711864047339"/>
    <n v="0.5132554601243795"/>
    <n v="0.5132554601243795"/>
    <n v="0.52344685608903541"/>
    <n v="0.52344685608903541"/>
    <n v="0.5234468560890353"/>
    <n v="0.50667884252255668"/>
    <n v="0.50667884252255668"/>
  </r>
  <r>
    <x v="178"/>
    <s v="ICIFA"/>
    <n v="0.18982444718727448"/>
    <n v="0.52252283835991453"/>
    <n v="0.92433132839007659"/>
    <n v="0.62607158721262912"/>
    <n v="0.9492757260592356"/>
    <n v="0.82743206707007799"/>
    <n v="2.8745009536788033"/>
    <n v="0.51507816210831858"/>
    <n v="0.32297746794719795"/>
    <n v="0.95861942709059278"/>
    <n v="0.95861942709059289"/>
    <n v="0.93508897720003326"/>
    <n v="0.93508897720003326"/>
    <n v="0.7971120255594536"/>
    <n v="0.7971120255594536"/>
    <n v="0.7971120255594536"/>
    <n v="0.81957076511032101"/>
    <n v="0.81957076511032101"/>
  </r>
  <r>
    <x v="179"/>
    <s v="ICIFA"/>
    <n v="8.1941218327495884E-3"/>
    <n v="2.2555660566160696E-2"/>
    <n v="6.4164259653139738E-2"/>
    <n v="4.3459978743046267E-2"/>
    <n v="0.24161801988944176"/>
    <n v="0.21060529849261592"/>
    <n v="0.73164330397598842"/>
    <n v="0.11339491677094671"/>
    <n v="7.1103777622515005E-2"/>
    <n v="4.13805729094072E-2"/>
    <n v="4.1380572909407214E-2"/>
    <n v="6.4911022799966731E-2"/>
    <n v="6.4911022799966717E-2"/>
    <n v="0.20288797444054635"/>
    <n v="0.20288797444054635"/>
    <n v="0.20288797444054638"/>
    <n v="0.18042923488967899"/>
    <n v="0.18042923488967899"/>
  </r>
  <r>
    <x v="180"/>
    <s v="ICOFA"/>
    <n v="0.10331819713068111"/>
    <n v="0.28440023621241878"/>
    <n v="2.696785070606639"/>
    <n v="1.8265966517295276"/>
    <n v="1.2924621068286009"/>
    <n v="1.1265689865498618"/>
    <n v="3.9137033178921699"/>
    <n v="0.15886399494239714"/>
    <n v="9.9614960619669485E-2"/>
    <n v="0.71408279677845998"/>
    <n v="0.71408279677845987"/>
    <n v="0.71789473953525973"/>
    <n v="0.71789473953525984"/>
    <n v="0.55962705712756289"/>
    <n v="0.55962705712756289"/>
    <n v="0.55962705712756289"/>
    <n v="0.80629640162674399"/>
    <n v="0.80629640162674399"/>
  </r>
  <r>
    <x v="181"/>
    <s v="ICOFA"/>
    <n v="4.1368382068250338E-2"/>
    <n v="0.11387323780974329"/>
    <n v="1.0597337086679444"/>
    <n v="0.7177828389350831"/>
    <n v="1.0170440015116784"/>
    <n v="0.88650199027581478"/>
    <n v="3.0797100062961027"/>
    <n v="3.816527943099824E-2"/>
    <n v="2.3931368520199222E-2"/>
    <n v="0.28591720322154013"/>
    <n v="0.28591720322154013"/>
    <n v="0.28210526046474022"/>
    <n v="0.28210526046474027"/>
    <n v="0.44037294287243711"/>
    <n v="0.44037294287243706"/>
    <n v="0.44037294287243711"/>
    <n v="0.19370359837325601"/>
    <n v="0.19370359837325599"/>
  </r>
  <r>
    <x v="182"/>
    <s v="IOTFA"/>
    <n v="0.48553364664097953"/>
    <n v="1.3365107757263217"/>
    <n v="0.93109773006943419"/>
    <n v="0.63065463195968108"/>
    <n v="0.53123596040394905"/>
    <n v="0.46304951949394796"/>
    <n v="1.6086351234839626"/>
    <n v="2.0797185367509385"/>
    <n v="1.3040782476454782"/>
    <n v="2.3017295773850262E-2"/>
    <n v="2.3017295773850262E-2"/>
    <n v="6.7448153912901395E-3"/>
    <n v="6.7448153912901395E-3"/>
    <n v="1.0517231041382755E-2"/>
    <n v="1.0517231041382753E-2"/>
    <n v="1.0517231041382757E-2"/>
    <n v="3.7858383190949176E-2"/>
    <n v="3.7858383190949169E-2"/>
  </r>
  <r>
    <x v="183"/>
    <s v="IOTFA"/>
    <n v="10.641522989246154"/>
    <n v="29.292532543647756"/>
    <n v="66.614855233341444"/>
    <n v="45.119825399099113"/>
    <n v="28.566974180164738"/>
    <n v="24.90027907271725"/>
    <n v="86.503628261402753"/>
    <n v="32.229373587444094"/>
    <n v="20.209285193123669"/>
    <n v="0.50447396142830525"/>
    <n v="0.50447396142830525"/>
    <n v="0.4825539643758987"/>
    <n v="0.4825539643758987"/>
    <n v="0.56555935591700357"/>
    <n v="0.56555935591700357"/>
    <n v="0.56555935591700379"/>
    <n v="0.58669091692759046"/>
    <n v="0.58669091692759046"/>
  </r>
  <r>
    <x v="184"/>
    <s v="IOTFA"/>
    <n v="0.27401785444605503"/>
    <n v="0.75427896242041692"/>
    <n v="7.3566964030945217"/>
    <n v="4.9828653993031464"/>
    <n v="2.3085416858912491"/>
    <n v="2.0122303421832606"/>
    <n v="6.9904929574566861"/>
    <n v="1.8960074326986989"/>
    <n v="1.1888830179007182"/>
    <n v="1.2990139914576145E-2"/>
    <n v="1.2990139914576149E-2"/>
    <n v="5.3291461815657623E-2"/>
    <n v="5.3291461815657609E-2"/>
    <n v="4.5703732595059152E-2"/>
    <n v="4.5703732595059152E-2"/>
    <n v="4.5703732595059166E-2"/>
    <n v="3.4514178073410742E-2"/>
    <n v="3.4514178073410742E-2"/>
  </r>
  <r>
    <x v="185"/>
    <s v="IOTFA"/>
    <n v="9.2667813403406178"/>
    <n v="25.508331303809427"/>
    <n v="61.556284097321786"/>
    <n v="41.69353488737115"/>
    <n v="18.36525983427115"/>
    <n v="16.007999035257971"/>
    <n v="55.611826426158125"/>
    <n v="18.729061953948026"/>
    <n v="11.743974899173153"/>
    <n v="0.43930271044621388"/>
    <n v="0.43930271044621394"/>
    <n v="0.4459099823809935"/>
    <n v="0.4459099823809935"/>
    <n v="0.36358924321535935"/>
    <n v="0.36358924321535929"/>
    <n v="0.36358924321535935"/>
    <n v="0.34093652180804973"/>
    <n v="0.34093652180804973"/>
  </r>
  <r>
    <x v="186"/>
    <s v="IOTFA"/>
    <n v="0.16841657486860231"/>
    <n v="0.46359416835481571"/>
    <n v="0"/>
    <n v="0"/>
    <n v="9.6741377856191191E-2"/>
    <n v="8.4324202182075758E-2"/>
    <n v="0.29294247737929663"/>
    <n v="0"/>
    <n v="0"/>
    <n v="7.9839865759825102E-3"/>
    <n v="7.9839865759825119E-3"/>
    <n v="0"/>
    <n v="0"/>
    <n v="1.9152532923441543E-3"/>
    <n v="1.9152532923441543E-3"/>
    <n v="1.9152532923441541E-3"/>
    <n v="0"/>
    <n v="0"/>
  </r>
  <r>
    <x v="187"/>
    <s v="IOTFA"/>
    <n v="0.25802344100051522"/>
    <n v="0.71025172338296949"/>
    <n v="1.5875031031097457"/>
    <n v="1.0752535989448377"/>
    <n v="0.64225678079049853"/>
    <n v="0.5598203357894509"/>
    <n v="1.9448171676663768"/>
    <n v="0"/>
    <n v="0"/>
    <n v="1.2231905861072005E-2"/>
    <n v="1.2231905861072007E-2"/>
    <n v="1.1499776036160021E-2"/>
    <n v="1.1499776036160017E-2"/>
    <n v="1.2715183938851021E-2"/>
    <n v="1.2715183938851019E-2"/>
    <n v="1.2715183938851021E-2"/>
    <n v="0"/>
    <n v="0"/>
  </r>
  <r>
    <x v="188"/>
    <s v="ICTFA"/>
    <n v="6.0879237432483579E-2"/>
    <n v="0.16758005837375106"/>
    <n v="0.13620464864357343"/>
    <n v="9.2254647162661255E-2"/>
    <n v="9.3253550079975378E-2"/>
    <n v="8.1284052236981083E-2"/>
    <n v="0.28238098929551292"/>
    <n v="0.14041358351430774"/>
    <n v="8.8045712291926953E-2"/>
    <n v="1.7063536213557315E-2"/>
    <n v="1.7063536213557318E-2"/>
    <n v="1.2432935954658853E-2"/>
    <n v="1.2432935954658855E-2"/>
    <n v="3.7137729939871147E-2"/>
    <n v="3.7137729939871141E-2"/>
    <n v="3.7137729939871141E-2"/>
    <n v="6.2779459262254519E-2"/>
    <n v="6.2779459262254533E-2"/>
  </r>
  <r>
    <x v="189"/>
    <s v="ICTFA"/>
    <n v="2.1069324105257521"/>
    <n v="5.7996760675103207"/>
    <n v="7.5944936447893205"/>
    <n v="5.1439311253799112"/>
    <n v="2.3308676866812816"/>
    <n v="2.0316907038842742"/>
    <n v="7.0580982999309949"/>
    <n v="1.6198293674558293"/>
    <n v="1.0157067918895288"/>
    <n v="0.59054152125993742"/>
    <n v="0.59054152125993731"/>
    <n v="0.69323517247063082"/>
    <n v="0.69323517247063104"/>
    <n v="0.92825564924127857"/>
    <n v="0.92825564924127868"/>
    <n v="0.92825564924127868"/>
    <n v="0.72423200975876101"/>
    <n v="0.72423200975876112"/>
  </r>
  <r>
    <x v="190"/>
    <s v="ICTFA"/>
    <n v="1.2392504969211955"/>
    <n v="3.4112396832182506"/>
    <n v="2.9706059833685186"/>
    <n v="2.0120620667808882"/>
    <n v="0"/>
    <n v="0"/>
    <n v="0"/>
    <n v="0.47637369346040709"/>
    <n v="0.29870800322950075"/>
    <n v="0.3473433082228583"/>
    <n v="0.34734330822285836"/>
    <n v="0.27116074455282407"/>
    <n v="0.27116074455282413"/>
    <n v="0"/>
    <n v="0"/>
    <n v="0"/>
    <n v="0.2129885309789844"/>
    <n v="0.21298853097898446"/>
  </r>
  <r>
    <x v="191"/>
    <s v="ICTFA"/>
    <n v="0.16073509659234689"/>
    <n v="0.44244964302531908"/>
    <n v="0.25384333598227571"/>
    <n v="0.1719341272772533"/>
    <n v="8.6897886673591412E-2"/>
    <n v="7.5744165810328931E-2"/>
    <n v="0.26313541077560865"/>
    <n v="0"/>
    <n v="0"/>
    <n v="4.5051634303646941E-2"/>
    <n v="4.5051634303646941E-2"/>
    <n v="2.3171147021886128E-2"/>
    <n v="2.3171147021886135E-2"/>
    <n v="3.4606620818850201E-2"/>
    <n v="3.4606620818850201E-2"/>
    <n v="3.4606620818850201E-2"/>
    <n v="0"/>
    <n v="0"/>
  </r>
  <r>
    <x v="192"/>
    <s v="IMOFA"/>
    <n v="9.4701036006085551E-2"/>
    <n v="0.26068009080361271"/>
    <n v="0.21187389789000305"/>
    <n v="0.14350722891969525"/>
    <n v="7.2530538951091933E-2"/>
    <n v="6.3220929517651944E-2"/>
    <n v="0.21962965834095444"/>
    <n v="0"/>
    <n v="0"/>
    <n v="5.7190905697047663E-2"/>
    <n v="5.7190905697047684E-2"/>
    <n v="2.204670840101873E-2"/>
    <n v="2.204670840101873E-2"/>
    <n v="3.1862348644862856E-2"/>
    <n v="3.1862348644862863E-2"/>
    <n v="3.1862348644862863E-2"/>
    <n v="0"/>
    <n v="0"/>
  </r>
  <r>
    <x v="193"/>
    <s v="IMOFA"/>
    <n v="0.58855456991011323"/>
    <n v="1.6200927170130468"/>
    <n v="4.4205803087755244"/>
    <n v="2.9941641544665174"/>
    <n v="1.1269195659846181"/>
    <n v="0.98227454922425983"/>
    <n v="3.4124241020990254"/>
    <n v="1.4544201369576464"/>
    <n v="0.91198767046002671"/>
    <n v="0.35543400922385604"/>
    <n v="0.3554340092238561"/>
    <n v="0.45998703002791075"/>
    <n v="0.45998703002791064"/>
    <n v="0.49505083824527224"/>
    <n v="0.4950508382452723"/>
    <n v="0.49505083824527224"/>
    <n v="0.37308319914119692"/>
    <n v="0.37308319914119692"/>
  </r>
  <r>
    <x v="194"/>
    <s v="IMOFA"/>
    <n v="9.3203351852399682E-3"/>
    <n v="2.5655747021102616E-2"/>
    <n v="2.085231406772823E-2"/>
    <n v="1.4123768138614358E-2"/>
    <n v="7.1383478227929767E-3"/>
    <n v="6.2221099016179972E-3"/>
    <n v="2.1615624481931616E-2"/>
    <n v="0"/>
    <n v="0"/>
    <n v="5.6286439211676725E-3"/>
    <n v="5.6286439211676734E-3"/>
    <n v="2.1698042671416599E-3"/>
    <n v="2.1698042671416604E-3"/>
    <n v="3.1358449884330191E-3"/>
    <n v="3.1358449884330191E-3"/>
    <n v="3.1358449884330195E-3"/>
    <n v="0"/>
    <n v="0"/>
  </r>
  <r>
    <x v="195"/>
    <s v="IMOFA"/>
    <n v="0.96329984634870203"/>
    <n v="2.6516403833338114"/>
    <n v="4.9569216383243946"/>
    <n v="3.3574408899453863"/>
    <n v="1.0697829396807668"/>
    <n v="0.93247165686097588"/>
    <n v="3.2394087364979023"/>
    <n v="2.4439600107026802"/>
    <n v="1.5324742419480852"/>
    <n v="0.58174644115792862"/>
    <n v="0.58174644115792873"/>
    <n v="0.51579645730392887"/>
    <n v="0.51579645730392887"/>
    <n v="0.46995096812143189"/>
    <n v="0.46995096812143189"/>
    <n v="0.46995096812143183"/>
    <n v="0.62691680085880308"/>
    <n v="0.62691680085880297"/>
  </r>
  <r>
    <x v="196"/>
    <s v="INOFA"/>
    <n v="0.12712560617959778"/>
    <n v="0.34993402353309327"/>
    <n v="0.42662570821036222"/>
    <n v="0.28896373635867451"/>
    <n v="0.48682090078180223"/>
    <n v="0.42433532552128927"/>
    <n v="1.4741419222603644"/>
    <n v="0.87961820841968508"/>
    <n v="0.55156068071838826"/>
    <n v="0.18710458223393969"/>
    <n v="0.18710458223393972"/>
    <n v="0.15489136652960711"/>
    <n v="0.15489136652960711"/>
    <n v="0.19290315354167084"/>
    <n v="0.19290315354167087"/>
    <n v="0.19290315354167087"/>
    <n v="0.32286029581756304"/>
    <n v="0.32286029581756309"/>
  </r>
  <r>
    <x v="197"/>
    <s v="INOFA"/>
    <n v="0.18895648419901112"/>
    <n v="0.52013362827165188"/>
    <n v="0.63412632840039751"/>
    <n v="0.42950884030559705"/>
    <n v="0.6150591790210459"/>
    <n v="0.53611366423589779"/>
    <n v="1.8624601347433742"/>
    <n v="0.54476817946497058"/>
    <n v="0.34159446112335834"/>
    <n v="0.27810781084105479"/>
    <n v="0.27810781084105479"/>
    <n v="0.23022685147213148"/>
    <n v="0.23022685147213151"/>
    <n v="0.24371766918259224"/>
    <n v="0.24371766918259227"/>
    <n v="0.24371766918259227"/>
    <n v="0.19995495078489506"/>
    <n v="0.19995495078489503"/>
  </r>
  <r>
    <x v="198"/>
    <s v="INOFA"/>
    <n v="0"/>
    <n v="0"/>
    <n v="0"/>
    <n v="0"/>
    <n v="7.1383478227929767E-3"/>
    <n v="6.2221099016179972E-3"/>
    <n v="2.1615624481931616E-2"/>
    <n v="4.2993365820832165E-2"/>
    <n v="2.695879859185301E-2"/>
    <n v="0"/>
    <n v="0"/>
    <n v="0"/>
    <n v="0"/>
    <n v="2.8285757737243791E-3"/>
    <n v="2.8285757737243795E-3"/>
    <n v="2.8285757737243795E-3"/>
    <n v="1.5780540550706428E-2"/>
    <n v="1.5780540550706424E-2"/>
  </r>
  <r>
    <x v="199"/>
    <s v="INOFA"/>
    <n v="0.36335400178855509"/>
    <n v="1.0001913197022456"/>
    <n v="1.6936023071403088"/>
    <n v="1.1471171126321928"/>
    <n v="1.4146360168136998"/>
    <n v="1.2330613449931407"/>
    <n v="4.2836580224380647"/>
    <n v="1.2570748163192087"/>
    <n v="0.78824316591699262"/>
    <n v="0.53478760692500549"/>
    <n v="0.53478760692500549"/>
    <n v="0.61488178199826138"/>
    <n v="0.61488178199826149"/>
    <n v="0.56055060150201252"/>
    <n v="0.56055060150201264"/>
    <n v="0.56055060150201252"/>
    <n v="0.46140421284683547"/>
    <n v="0.46140421284683547"/>
  </r>
  <r>
    <x v="200"/>
    <s v="IPOFA"/>
    <n v="0.86566644504907808"/>
    <n v="0.76382333386683365"/>
    <n v="2.9631495682072089"/>
    <n v="0.56741161944393348"/>
    <n v="2.4442346683738676"/>
    <n v="1.4192330332493426"/>
    <n v="1.0250016351245252"/>
    <n v="9.3113701652337802E-2"/>
    <n v="0.72163118780561808"/>
    <n v="0.32842803974946944"/>
    <n v="0.32842803974946949"/>
    <n v="0.35731526948525572"/>
    <n v="0.35731526948525577"/>
    <n v="0.47773357024944541"/>
    <n v="0.47773357024944541"/>
    <n v="0.47773357024944541"/>
    <n v="0.21111291981610286"/>
    <n v="0.21111291981610289"/>
  </r>
  <r>
    <x v="201"/>
    <s v="IPOFA"/>
    <n v="1.2356394041959469"/>
    <n v="1.0902700625258355"/>
    <n v="1.952102588141496"/>
    <n v="0.37380687858028638"/>
    <n v="1.1629547333608912"/>
    <n v="0.67526403872567875"/>
    <n v="0.48769069463521242"/>
    <n v="0.26581822476820371"/>
    <n v="2.0600912419535784"/>
    <n v="0.46879329755500648"/>
    <n v="0.46879329755500659"/>
    <n v="0.23539684591981672"/>
    <n v="0.23539684591981674"/>
    <n v="0.22730326346963059"/>
    <n v="0.22730326346963056"/>
    <n v="0.22730326346963053"/>
    <n v="0.60267888157510119"/>
    <n v="0.60267888157510108"/>
  </r>
  <r>
    <x v="202"/>
    <s v="IPOFA"/>
    <n v="0.53448141699881746"/>
    <n v="0.47160125029307415"/>
    <n v="3.3775632401942075"/>
    <n v="0.64676742897335882"/>
    <n v="1.5091240009378373"/>
    <n v="0.87626554893164754"/>
    <n v="0.63285845200618984"/>
    <n v="8.2129197329950318E-2"/>
    <n v="0.63650127930711498"/>
    <n v="0.202778662695524"/>
    <n v="0.202778662695524"/>
    <n v="0.40728788459492743"/>
    <n v="0.40728788459492754"/>
    <n v="0.29496316628092406"/>
    <n v="0.29496316628092406"/>
    <n v="0.29496316628092401"/>
    <n v="0.18620819860879598"/>
    <n v="0.18620819860879598"/>
  </r>
  <r>
    <x v="203"/>
    <s v="IPAFA"/>
    <n v="0.57799499607535354"/>
    <n v="0.50999558477237084"/>
    <n v="0"/>
    <n v="0"/>
    <n v="0.54399529042386219"/>
    <n v="0.31586823314933937"/>
    <n v="0.22812705727452287"/>
    <n v="0"/>
    <n v="0"/>
    <n v="0.39654038858981616"/>
    <n v="0.39654038858981616"/>
    <n v="0"/>
    <n v="0"/>
    <n v="0.21944904476003813"/>
    <n v="0.2194490447600381"/>
    <n v="0.2194490447600381"/>
    <n v="0"/>
    <n v="0"/>
  </r>
  <r>
    <x v="204"/>
    <s v="IPAFA"/>
    <n v="0.17090751669931295"/>
    <n v="0.15080075002880552"/>
    <n v="1.5120288536221571"/>
    <n v="0.28953744005530663"/>
    <n v="1.2868330669124739"/>
    <n v="0.74719339369111393"/>
    <n v="0.53963967322136008"/>
    <n v="0.20589329070599582"/>
    <n v="1.5956730029714676"/>
    <n v="0.11725314846156663"/>
    <n v="0.11725314846156661"/>
    <n v="0.72562620211717044"/>
    <n v="0.72562620211717033"/>
    <n v="0.51911163988118503"/>
    <n v="0.51911163988118492"/>
    <n v="0.51911163988118503"/>
    <n v="0.803161708991179"/>
    <n v="0.80316170899117889"/>
  </r>
  <r>
    <x v="205"/>
    <s v="IPAFA"/>
    <n v="0.42723608451040174"/>
    <n v="0.37697301574447206"/>
    <n v="0.51614680699131088"/>
    <n v="9.8836622615357403E-2"/>
    <n v="0.44941096778948836"/>
    <n v="0.26094830387776746"/>
    <n v="0.18846266391172092"/>
    <n v="5.0460178839521502E-2"/>
    <n v="0.39106638600629157"/>
    <n v="0.293110431961697"/>
    <n v="0.29311043196169695"/>
    <n v="0.24770006630151306"/>
    <n v="0.24770006630151309"/>
    <n v="0.18129349522354141"/>
    <n v="0.18129349522354138"/>
    <n v="0.18129349522354138"/>
    <n v="0.19683829100882114"/>
    <n v="0.19683829100882111"/>
  </r>
  <r>
    <x v="206"/>
    <s v="IPAFA"/>
    <n v="0.28145566727605104"/>
    <n v="0.24834323583180976"/>
    <n v="5.5581581352833614E-2"/>
    <n v="1.0643281535648988E-2"/>
    <n v="0.19867458866544785"/>
    <n v="0.11535943857993747"/>
    <n v="8.3315150085510395E-2"/>
    <n v="0"/>
    <n v="0"/>
    <n v="0.19309603098692019"/>
    <n v="0.19309603098692019"/>
    <n v="2.6673731581316553E-2"/>
    <n v="2.667373158131655E-2"/>
    <n v="8.014582013523544E-2"/>
    <n v="8.0145820135235427E-2"/>
    <n v="8.014582013523544E-2"/>
    <n v="0"/>
    <n v="0"/>
  </r>
  <r>
    <x v="207"/>
    <s v="IPBFA"/>
    <n v="0"/>
    <n v="0"/>
    <n v="0"/>
    <n v="0"/>
    <n v="0.54399529042386219"/>
    <n v="0.31586823314933937"/>
    <n v="0.22812705727452287"/>
    <n v="0.12434178066831135"/>
    <n v="0.96364880017941301"/>
    <n v="0"/>
    <n v="0"/>
    <n v="0"/>
    <n v="0"/>
    <n v="0.21168603614300222"/>
    <n v="0.21168603614300222"/>
    <n v="0.21168603614300216"/>
    <n v="0.4606132246210104"/>
    <n v="0.46061322462101045"/>
  </r>
  <r>
    <x v="208"/>
    <s v="IPBFA"/>
    <n v="0.14338850977315237"/>
    <n v="0.12651927332925211"/>
    <n v="0.40775354375827538"/>
    <n v="7.8080465826052728E-2"/>
    <n v="0.89069568423793477"/>
    <n v="0.51717813923492983"/>
    <n v="0.37351754500300494"/>
    <n v="7.4031849079516654E-2"/>
    <n v="0.57374683036625418"/>
    <n v="0.46292613593528054"/>
    <n v="0.46292613593528054"/>
    <n v="0.4821058740589193"/>
    <n v="0.48210587405891936"/>
    <n v="0.34659829253135194"/>
    <n v="0.34659829253135188"/>
    <n v="0.34659829253135188"/>
    <n v="0.27424449405414203"/>
    <n v="0.27424449405414214"/>
  </r>
  <r>
    <x v="209"/>
    <s v="IPBFA"/>
    <n v="0.16635531033641004"/>
    <n v="0.14678409735565595"/>
    <n v="0.43802238575973512"/>
    <n v="8.3876627060374798E-2"/>
    <n v="1.1351303528837391"/>
    <n v="0.65910794683571949"/>
    <n v="0.47602240604801965"/>
    <n v="7.1574721758186508E-2"/>
    <n v="0.55470409362594542"/>
    <n v="0.53707386406471946"/>
    <n v="0.53707386406471946"/>
    <n v="0.51789412594108064"/>
    <n v="0.51789412594108075"/>
    <n v="0.44171567132564599"/>
    <n v="0.44171567132564593"/>
    <n v="0.44171567132564588"/>
    <n v="0.26514228132484741"/>
    <n v="0.26514228132484741"/>
  </r>
  <r>
    <x v="210"/>
    <s v="ICPFA"/>
    <n v="0.12459782580800292"/>
    <n v="0.34297589461931255"/>
    <n v="1.1150470210638364"/>
    <n v="0.75524786064542593"/>
    <n v="2.0676105547269108"/>
    <n v="1.8022237672670067"/>
    <n v="6.2609296205979206"/>
    <n v="9.5791975270144616E-2"/>
    <n v="6.0065931538960594E-2"/>
    <n v="0.91052383318281016"/>
    <n v="0.91052383318281016"/>
    <n v="0.92291060872029185"/>
    <n v="0.92291060872029185"/>
    <n v="0.77886381564532114"/>
    <n v="0.77886381564532114"/>
    <n v="0.77886381564532103"/>
    <n v="0.94432154190793849"/>
    <n v="0.94432154190793849"/>
  </r>
  <r>
    <x v="211"/>
    <s v="ICPFA"/>
    <n v="1.2244090094913175E-2"/>
    <n v="3.3703860616102178E-2"/>
    <n v="9.3138268527710191E-2"/>
    <n v="6.3084763889742032E-2"/>
    <n v="0.5870390941514485"/>
    <n v="0.51169007885741391"/>
    <n v="1.7776125415006994"/>
    <n v="5.6480226744149691E-3"/>
    <n v="3.5415674677881028E-3"/>
    <n v="8.947616681718977E-2"/>
    <n v="8.9476166817189756E-2"/>
    <n v="7.7089391279708111E-2"/>
    <n v="7.7089391279708111E-2"/>
    <n v="0.22113618435467894"/>
    <n v="0.22113618435467886"/>
    <n v="0.22113618435467886"/>
    <n v="5.5678458092061532E-2"/>
    <n v="5.5678458092061532E-2"/>
  </r>
  <r>
    <x v="212"/>
    <s v="IMAFA"/>
    <n v="0"/>
    <n v="0"/>
    <n v="0"/>
    <n v="0"/>
    <n v="0.14981717881700962"/>
    <n v="0.1305874937577729"/>
    <n v="0.45366126149115193"/>
    <n v="0"/>
    <n v="0"/>
    <n v="0"/>
    <n v="0"/>
    <n v="0"/>
    <n v="0"/>
    <n v="0.11502317166408933"/>
    <n v="0.11502317166408933"/>
    <n v="0.11502317166408933"/>
    <n v="0"/>
    <n v="0"/>
  </r>
  <r>
    <x v="213"/>
    <s v="IMAFA"/>
    <n v="4.8230233378123336E-2"/>
    <n v="0.13276160585699079"/>
    <n v="1.5826085641332643"/>
    <n v="1.0719384113150761"/>
    <n v="0.5294594921445902"/>
    <n v="0.46150106864497525"/>
    <n v="1.6032558015804039"/>
    <n v="0.63035753619445312"/>
    <n v="0.39526288613786026"/>
    <n v="0.27811585079141826"/>
    <n v="0.27811585079141821"/>
    <n v="0.76353064622711486"/>
    <n v="0.76353064622711486"/>
    <n v="0.40649617443746988"/>
    <n v="0.40649617443746988"/>
    <n v="0.40649617443746988"/>
    <n v="0.74430322001841887"/>
    <n v="0.74430322001841887"/>
  </r>
  <r>
    <x v="214"/>
    <s v="IMAFA"/>
    <n v="0.12518754644592245"/>
    <n v="0.34459919712924225"/>
    <n v="0.49014198223119904"/>
    <n v="0.33198481902533933"/>
    <n v="0.62321896230551088"/>
    <n v="0.54322610392498283"/>
    <n v="1.8871687670080775"/>
    <n v="0.2165520555427074"/>
    <n v="0.13578800213866618"/>
    <n v="0.72188414920858179"/>
    <n v="0.72188414920858168"/>
    <n v="0.23646935377288503"/>
    <n v="0.23646935377288508"/>
    <n v="0.4784806538984408"/>
    <n v="0.4784806538984408"/>
    <n v="0.47848065389844074"/>
    <n v="0.25569677998158108"/>
    <n v="0.25569677998158108"/>
  </r>
  <r>
    <x v="215"/>
    <s v="IMSFA"/>
    <n v="0"/>
    <n v="0"/>
    <n v="0.85569789008242614"/>
    <n v="0.57958452749999201"/>
    <n v="0.19528669258797207"/>
    <n v="0.17022079811325702"/>
    <n v="0.59134745435371672"/>
    <n v="0"/>
    <n v="0"/>
    <n v="0"/>
    <n v="0"/>
    <n v="9.0678123577887987E-2"/>
    <n v="9.0678123577888015E-2"/>
    <n v="0.10428855147546413"/>
    <n v="0.10428855147546413"/>
    <n v="0.10428855147546415"/>
    <n v="0"/>
    <n v="0"/>
  </r>
  <r>
    <x v="216"/>
    <s v="IMSFA"/>
    <n v="0.32189475159646092"/>
    <n v="0.88606795251933235"/>
    <n v="2.4125783659264748"/>
    <n v="1.6340966928614327"/>
    <n v="0.93683620637277598"/>
    <n v="0.81658921371886539"/>
    <n v="2.8368328555483733"/>
    <n v="0.37121354908751136"/>
    <n v="0.2327678029703853"/>
    <n v="0.42732639955689078"/>
    <n v="0.42732639955689089"/>
    <n v="0.25566041676899176"/>
    <n v="0.25566041676899171"/>
    <n v="0.50029671575483137"/>
    <n v="0.50029671575483126"/>
    <n v="0.50029671575483126"/>
    <n v="0.51470442380766956"/>
    <n v="0.51470442380766956"/>
  </r>
  <r>
    <x v="217"/>
    <s v="IMSFA"/>
    <n v="0.40856110885618713"/>
    <n v="1.1246312759304085"/>
    <n v="5.2493769868928748"/>
    <n v="3.5555278514530047"/>
    <n v="0.67052722673844156"/>
    <n v="0.5844621473153887"/>
    <n v="2.0304228790603043"/>
    <n v="0.35000339002747732"/>
    <n v="0.21946806717897258"/>
    <n v="0.54237898188957268"/>
    <n v="0.54237898188957268"/>
    <n v="0.55627536381858056"/>
    <n v="0.55627536381858067"/>
    <n v="0.35808027815265042"/>
    <n v="0.35808027815265037"/>
    <n v="0.35808027815265048"/>
    <n v="0.48529557619233038"/>
    <n v="0.48529557619233049"/>
  </r>
  <r>
    <x v="218"/>
    <s v="IMSFA"/>
    <n v="2.2820211257979894E-2"/>
    <n v="6.2816363936140582E-2"/>
    <n v="0.91899868944025409"/>
    <n v="0.62245966405390407"/>
    <n v="6.9911050240788683E-2"/>
    <n v="6.0937663551049417E-2"/>
    <n v="0.21169758698464158"/>
    <n v="0"/>
    <n v="0"/>
    <n v="3.0294618553536518E-2"/>
    <n v="3.0294618553536518E-2"/>
    <n v="9.7386095834539582E-2"/>
    <n v="9.7386095834539596E-2"/>
    <n v="3.7334454617054154E-2"/>
    <n v="3.7334454617054154E-2"/>
    <n v="3.7334454617054161E-2"/>
    <n v="0"/>
    <n v="0"/>
  </r>
  <r>
    <x v="219"/>
    <s v="IMTFA"/>
    <n v="0"/>
    <n v="0"/>
    <n v="0.22746399609786019"/>
    <n v="0.15406677313290928"/>
    <n v="5.1911652460093834E-2"/>
    <n v="4.5248566587068315E-2"/>
    <n v="0.15719362710668416"/>
    <n v="0"/>
    <n v="0"/>
    <n v="0"/>
    <n v="0"/>
    <n v="9.0678123577888056E-2"/>
    <n v="9.0678123577888042E-2"/>
    <n v="0.10428855147546415"/>
    <n v="0.10428855147546415"/>
    <n v="0.10428855147546416"/>
    <n v="0"/>
    <n v="0"/>
  </r>
  <r>
    <x v="220"/>
    <s v="IMTFA"/>
    <n v="8.5566959285135163E-2"/>
    <n v="0.23553705066969588"/>
    <n v="0.64131829980324007"/>
    <n v="0.43438013354544414"/>
    <n v="0.24903240928896569"/>
    <n v="0.21706801883666038"/>
    <n v="0.75409480970273202"/>
    <n v="9.8677019377692882E-2"/>
    <n v="6.1874985599722668E-2"/>
    <n v="0.42732639955689083"/>
    <n v="0.427326399556891"/>
    <n v="0.25566041676899182"/>
    <n v="0.25566041676899176"/>
    <n v="0.50029671575483137"/>
    <n v="0.50029671575483137"/>
    <n v="0.50029671575483137"/>
    <n v="0.51470442380766968"/>
    <n v="0.51470442380766968"/>
  </r>
  <r>
    <x v="221"/>
    <s v="IMTFA"/>
    <n v="0.1086048517212649"/>
    <n v="0.29895261765238695"/>
    <n v="1.3954040091740549"/>
    <n v="0.9451403149432035"/>
    <n v="0.17824141470262364"/>
    <n v="0.15536335561548303"/>
    <n v="0.53973266405400466"/>
    <n v="9.303887583008888E-2"/>
    <n v="5.8339612794410398E-2"/>
    <n v="0.54237898188957268"/>
    <n v="0.54237898188957279"/>
    <n v="0.55627536381858067"/>
    <n v="0.55627536381858056"/>
    <n v="0.35808027815265037"/>
    <n v="0.35808027815265037"/>
    <n v="0.35808027815265042"/>
    <n v="0.48529557619233038"/>
    <n v="0.48529557619233038"/>
  </r>
  <r>
    <x v="222"/>
    <s v="IMTFA"/>
    <n v="6.0661321065515941E-3"/>
    <n v="1.669802079315123E-2"/>
    <n v="0.24429079086386504"/>
    <n v="0.16546396133078464"/>
    <n v="1.8583950064007093E-2"/>
    <n v="1.6198619424962483E-2"/>
    <n v="5.6274042109841355E-2"/>
    <n v="0"/>
    <n v="0"/>
    <n v="3.029461855353641E-2"/>
    <n v="3.0294618553536417E-2"/>
    <n v="9.7386095834539624E-2"/>
    <n v="9.7386095834539624E-2"/>
    <n v="3.7334454617054119E-2"/>
    <n v="3.7334454617054119E-2"/>
    <n v="3.7334454617054119E-2"/>
    <n v="0"/>
    <n v="0"/>
  </r>
  <r>
    <x v="223"/>
    <s v="ICAFS"/>
    <n v="0"/>
    <n v="0"/>
    <n v="27.641561400806346"/>
    <n v="18.722286790148743"/>
    <n v="39.00397483585008"/>
    <n v="33.99764540104006"/>
    <n v="118.10790035509548"/>
    <n v="0"/>
    <n v="0"/>
    <n v="0"/>
    <n v="0"/>
    <n v="0.94551044791230698"/>
    <n v="0.94551044791230698"/>
    <n v="1"/>
    <n v="1"/>
    <n v="1"/>
    <n v="0"/>
    <n v="0"/>
  </r>
  <r>
    <x v="224"/>
    <s v="ICAFS"/>
    <n v="0"/>
    <n v="0"/>
    <n v="1.592976897357451"/>
    <n v="1.0789611299431703"/>
    <n v="0"/>
    <n v="0"/>
    <n v="0"/>
    <n v="0"/>
    <n v="0"/>
    <n v="0"/>
    <n v="0"/>
    <n v="5.4489552087692961E-2"/>
    <n v="5.4489552087692961E-2"/>
    <n v="0"/>
    <n v="0"/>
    <n v="0"/>
    <n v="0"/>
    <n v="0"/>
  </r>
  <r>
    <x v="225"/>
    <s v="INCFS"/>
    <n v="0"/>
    <n v="0"/>
    <n v="0"/>
    <n v="0"/>
    <n v="2.4639776316077222E-2"/>
    <n v="2.1477154097253207E-2"/>
    <n v="7.4611684018323562E-2"/>
    <n v="0"/>
    <n v="0"/>
    <n v="0"/>
    <n v="0"/>
    <n v="0"/>
    <n v="0"/>
    <n v="0.10286677908937605"/>
    <n v="0.10286677908937605"/>
    <n v="0.10286677908937605"/>
    <n v="0"/>
    <n v="0"/>
  </r>
  <r>
    <x v="226"/>
    <s v="INCFS"/>
    <n v="0"/>
    <n v="0"/>
    <n v="0"/>
    <n v="0"/>
    <n v="0.21489116393693578"/>
    <n v="0.18730895048751978"/>
    <n v="0.65071173602865795"/>
    <n v="0"/>
    <n v="0"/>
    <n v="0"/>
    <n v="0"/>
    <n v="0"/>
    <n v="0"/>
    <n v="0.89713322091062397"/>
    <n v="0.89713322091062397"/>
    <n v="0.89713322091062397"/>
    <n v="0"/>
    <n v="0"/>
  </r>
  <r>
    <x v="227"/>
    <s v="IFDFS"/>
    <n v="0"/>
    <n v="0"/>
    <n v="0.44762967532056602"/>
    <n v="0.30319022270892154"/>
    <n v="0"/>
    <n v="0"/>
    <n v="0"/>
    <n v="0"/>
    <n v="0"/>
    <n v="0"/>
    <n v="0"/>
    <n v="0.1768504963325806"/>
    <n v="0.17685049633258057"/>
    <n v="0"/>
    <n v="0"/>
    <n v="0"/>
    <n v="0"/>
    <n v="0"/>
  </r>
  <r>
    <x v="228"/>
    <s v="IFDFS"/>
    <n v="0"/>
    <n v="0"/>
    <n v="1.4799177329981752"/>
    <n v="1.0023834696331717"/>
    <n v="0"/>
    <n v="0"/>
    <n v="0"/>
    <n v="0.76282474301015324"/>
    <n v="0.47832585830551999"/>
    <n v="0"/>
    <n v="0"/>
    <n v="0.58468908573740852"/>
    <n v="0.58468908573740852"/>
    <n v="0"/>
    <n v="0"/>
    <n v="0"/>
    <n v="1"/>
    <n v="1"/>
  </r>
  <r>
    <x v="229"/>
    <s v="IFDFS"/>
    <n v="0"/>
    <n v="0"/>
    <n v="0.60357172678826432"/>
    <n v="0.40881348211485419"/>
    <n v="0"/>
    <n v="0"/>
    <n v="0"/>
    <n v="0"/>
    <n v="0"/>
    <n v="0"/>
    <n v="0"/>
    <n v="0.23846041793001094"/>
    <n v="0.23846041793001091"/>
    <n v="0"/>
    <n v="0"/>
    <n v="0"/>
    <n v="0"/>
    <n v="0"/>
  </r>
  <r>
    <x v="230"/>
    <s v="ICIFS"/>
    <n v="0"/>
    <n v="0"/>
    <n v="3.3709221220495542"/>
    <n v="2.2832057061157003"/>
    <n v="24.464031553846791"/>
    <n v="21.32396693793045"/>
    <n v="74.079511465326149"/>
    <n v="6.9501776865670202"/>
    <n v="4.3580779697634888"/>
    <n v="0"/>
    <n v="0"/>
    <n v="0.80887689485810976"/>
    <n v="0.80887689485810976"/>
    <n v="0.95732116523251576"/>
    <n v="0.95732116523251576"/>
    <n v="0.95732116523251554"/>
    <n v="0.80887689485810976"/>
    <n v="0.80887689485810987"/>
  </r>
  <r>
    <x v="231"/>
    <s v="ICIFS"/>
    <n v="0"/>
    <n v="0"/>
    <n v="0.79648844867872548"/>
    <n v="0.53948056497158514"/>
    <n v="1.0906437654907157"/>
    <n v="0.95065490514898487"/>
    <n v="3.302577383961542"/>
    <n v="1.6422023538916635"/>
    <n v="1.0297356734089578"/>
    <n v="0"/>
    <n v="0"/>
    <n v="0.19112310514189015"/>
    <n v="0.19112310514189015"/>
    <n v="4.2678834767484346E-2"/>
    <n v="4.2678834767484353E-2"/>
    <n v="4.2678834767484339E-2"/>
    <n v="0.19112310514189015"/>
    <n v="0.19112310514189015"/>
  </r>
  <r>
    <x v="232"/>
    <s v="ICOFS"/>
    <n v="0"/>
    <n v="0"/>
    <n v="0"/>
    <n v="0"/>
    <n v="270.89648076900465"/>
    <n v="236.12574185924154"/>
    <n v="820.3013844579699"/>
    <n v="0"/>
    <n v="0"/>
    <n v="0"/>
    <n v="0"/>
    <n v="0"/>
    <n v="0"/>
    <n v="0.6509019799395046"/>
    <n v="0.6509019799395046"/>
    <n v="0.6509019799395046"/>
    <n v="0"/>
    <n v="0"/>
  </r>
  <r>
    <x v="233"/>
    <s v="ICOFS"/>
    <n v="0"/>
    <n v="0"/>
    <n v="0"/>
    <n v="0"/>
    <n v="21.925311298258926"/>
    <n v="19.111102444371635"/>
    <n v="66.392014992509303"/>
    <n v="0.69501776865670206"/>
    <n v="0.43580779697634892"/>
    <n v="0"/>
    <n v="0"/>
    <n v="0"/>
    <n v="0"/>
    <n v="5.2681483695596262E-2"/>
    <n v="5.2681483695596255E-2"/>
    <n v="5.2681483695596255E-2"/>
    <n v="0.45841902488758174"/>
    <n v="0.45841902488758174"/>
  </r>
  <r>
    <x v="234"/>
    <s v="ICOFS"/>
    <n v="0"/>
    <n v="0"/>
    <n v="0.79648844867872548"/>
    <n v="0.53948056497158514"/>
    <n v="123.36449883045654"/>
    <n v="107.53013004356467"/>
    <n v="373.55992553435095"/>
    <n v="0.82110117694583173"/>
    <n v="0.51486783670447889"/>
    <n v="0"/>
    <n v="0"/>
    <n v="1"/>
    <n v="1"/>
    <n v="0.29641653636489912"/>
    <n v="0.29641653636489912"/>
    <n v="0.29641653636489912"/>
    <n v="0.54158097511241832"/>
    <n v="0.54158097511241832"/>
  </r>
  <r>
    <x v="235"/>
    <s v="IOTFS"/>
    <n v="0"/>
    <n v="0"/>
    <n v="0.8727703713351026"/>
    <n v="0.59114812499715508"/>
    <n v="0.29877444104201978"/>
    <n v="0.26042544494988917"/>
    <n v="0.90471861034034873"/>
    <n v="0"/>
    <n v="0"/>
    <n v="0"/>
    <n v="0"/>
    <n v="0.18406266480206943"/>
    <n v="0.1840626648020694"/>
    <n v="6.3999184651115593E-2"/>
    <n v="6.3999184651115565E-2"/>
    <n v="6.3999184651115593E-2"/>
    <n v="0"/>
    <n v="0"/>
  </r>
  <r>
    <x v="236"/>
    <s v="IOTFS"/>
    <n v="0.21482386651380481"/>
    <n v="0.5913378289336052"/>
    <n v="0.48062378066441269"/>
    <n v="0.32553791478299726"/>
    <n v="0.32906273204450326"/>
    <n v="0.28682610236082262"/>
    <n v="0.99643455648949442"/>
    <n v="0"/>
    <n v="0"/>
    <n v="0.57974052008675592"/>
    <n v="0.49802882893587908"/>
    <n v="0.10136101859302324"/>
    <n v="0.10136101859302324"/>
    <n v="7.0487108858668671E-2"/>
    <n v="7.0487108858668671E-2"/>
    <n v="7.0487108858668684E-2"/>
    <n v="0"/>
    <n v="0"/>
  </r>
  <r>
    <x v="237"/>
    <s v="IOTFS"/>
    <n v="0"/>
    <n v="0"/>
    <n v="0"/>
    <n v="0"/>
    <n v="1.0793181908062981"/>
    <n v="0.9407830171246413"/>
    <n v="3.2682824216680602"/>
    <n v="0"/>
    <n v="0"/>
    <n v="0"/>
    <n v="0"/>
    <n v="0"/>
    <n v="0"/>
    <n v="0.23119609545518477"/>
    <n v="0.23119609545518477"/>
    <n v="0.2311960954551848"/>
    <n v="0"/>
    <n v="0"/>
  </r>
  <r>
    <x v="238"/>
    <s v="IOTFS"/>
    <n v="0"/>
    <n v="0"/>
    <n v="3.1805833857237262"/>
    <n v="2.1542847541805217"/>
    <n v="0.8166039898359585"/>
    <n v="0.71178932394345951"/>
    <n v="2.4727577911487679"/>
    <n v="0"/>
    <n v="0"/>
    <n v="0"/>
    <n v="0"/>
    <n v="0.67076824881893382"/>
    <n v="0.67076824881893371"/>
    <n v="0.17492121933214186"/>
    <n v="0.1749212193321418"/>
    <n v="0.17492121933214186"/>
    <n v="0"/>
    <n v="0"/>
  </r>
  <r>
    <x v="239"/>
    <s v="IOTFS"/>
    <n v="0"/>
    <n v="0"/>
    <n v="4.01940044733536E-3"/>
    <n v="2.7224354951695868E-3"/>
    <n v="3.3022957554517986E-2"/>
    <n v="2.8784317643446418E-2"/>
    <n v="9.9996787422154343E-2"/>
    <n v="0"/>
    <n v="0"/>
    <n v="0"/>
    <n v="0"/>
    <n v="8.4767033980707822E-4"/>
    <n v="8.4767033980707811E-4"/>
    <n v="7.0737053373327655E-3"/>
    <n v="7.0737053373327646E-3"/>
    <n v="7.0737053373327672E-3"/>
    <n v="0"/>
    <n v="0"/>
  </r>
  <r>
    <x v="240"/>
    <s v="IOTFS"/>
    <n v="0"/>
    <n v="0.16735231431487405"/>
    <n v="9.2916319402799388E-2"/>
    <n v="6.2934432469995194E-2"/>
    <n v="0.86116156775197827"/>
    <n v="0.75062774336848959"/>
    <n v="2.6076825518870663"/>
    <n v="0"/>
    <n v="0"/>
    <n v="0"/>
    <n v="0.14094528210422322"/>
    <n v="1.9595561346471235E-2"/>
    <n v="1.9595561346471235E-2"/>
    <n v="0.18446570595793313"/>
    <n v="0.18446570595793313"/>
    <n v="0.18446570595793316"/>
    <n v="0"/>
    <n v="0"/>
  </r>
  <r>
    <x v="241"/>
    <s v="IOTFS"/>
    <n v="0.15572788736680584"/>
    <n v="0.4286664806584064"/>
    <n v="0.11078909838039874"/>
    <n v="7.5040090645506041E-2"/>
    <n v="1.1053541701960603"/>
    <n v="0.96347716557200247"/>
    <n v="3.3471219469306739"/>
    <n v="0"/>
    <n v="0"/>
    <n v="0.42025947991324403"/>
    <n v="0.36102588895989779"/>
    <n v="2.3364836099695242E-2"/>
    <n v="2.3364836099695238E-2"/>
    <n v="0.23677315032884341"/>
    <n v="0.23677315032884338"/>
    <n v="0.23677315032884344"/>
    <n v="0"/>
    <n v="0"/>
  </r>
  <r>
    <x v="242"/>
    <s v="IOTFS"/>
    <n v="0"/>
    <n v="0"/>
    <n v="0"/>
    <n v="0"/>
    <n v="0.14511206678428679"/>
    <n v="0.12648630327311364"/>
    <n v="0.43941371606894497"/>
    <n v="0"/>
    <n v="0"/>
    <n v="0"/>
    <n v="0"/>
    <n v="0"/>
    <n v="0"/>
    <n v="3.1083830078779903E-2"/>
    <n v="3.1083830078779899E-2"/>
    <n v="3.1083830078779903E-2"/>
    <n v="0"/>
    <n v="0"/>
  </r>
  <r>
    <x v="243"/>
    <s v="ICTFS"/>
    <n v="0"/>
    <n v="0"/>
    <n v="4.0226956024782021"/>
    <n v="2.7246673820991196"/>
    <n v="4.9575045286959503"/>
    <n v="4.3211873084724752"/>
    <n v="15.011814907309937"/>
    <n v="0"/>
    <n v="0"/>
    <n v="0"/>
    <n v="0"/>
    <n v="0.88797479116026246"/>
    <n v="0.88797479116026246"/>
    <n v="0.77064058983215245"/>
    <n v="0.77064058983215245"/>
    <n v="0.77064058983215245"/>
    <n v="0"/>
    <n v="0"/>
  </r>
  <r>
    <x v="244"/>
    <s v="ICTFS"/>
    <n v="0"/>
    <n v="0"/>
    <n v="1.2058201342006084E-2"/>
    <n v="8.1673064855087626E-3"/>
    <n v="8.2557393886294999E-3"/>
    <n v="7.1960794108616071E-3"/>
    <n v="2.4999196855538593E-2"/>
    <n v="0"/>
    <n v="0"/>
    <n v="0"/>
    <n v="0"/>
    <n v="2.6617422436437683E-3"/>
    <n v="2.6617422436437674E-3"/>
    <n v="1.2833488774699156E-3"/>
    <n v="1.2833488774699156E-3"/>
    <n v="1.2833488774699156E-3"/>
    <n v="0"/>
    <n v="0"/>
  </r>
  <r>
    <x v="245"/>
    <s v="ICTFS"/>
    <n v="0"/>
    <n v="0"/>
    <n v="0.16536961840465483"/>
    <n v="0.11200877465840588"/>
    <n v="0.11322156875834741"/>
    <n v="9.8689089063244875E-2"/>
    <n v="0.34284612830452921"/>
    <n v="0"/>
    <n v="0"/>
    <n v="0"/>
    <n v="0"/>
    <n v="3.650389362711453E-2"/>
    <n v="3.6503893627114523E-2"/>
    <n v="1.7600213176730269E-2"/>
    <n v="1.7600213176730269E-2"/>
    <n v="1.7600213176730269E-2"/>
    <n v="0"/>
    <n v="0"/>
  </r>
  <r>
    <x v="246"/>
    <s v="ICTFS"/>
    <n v="0"/>
    <n v="0"/>
    <n v="0.33006779775559564"/>
    <n v="0.22356276768043964"/>
    <n v="0.22598343165463555"/>
    <n v="0.1969774775068005"/>
    <n v="0.68430022171063465"/>
    <n v="0"/>
    <n v="0"/>
    <n v="0"/>
    <n v="0"/>
    <n v="7.2859572968979325E-2"/>
    <n v="7.2859572968979325E-2"/>
    <n v="3.512896540075016E-2"/>
    <n v="3.512896540075016E-2"/>
    <n v="3.512896540075016E-2"/>
    <n v="0"/>
    <n v="0"/>
  </r>
  <r>
    <x v="247"/>
    <s v="ICTFS"/>
    <n v="0"/>
    <n v="0"/>
    <n v="0"/>
    <n v="0"/>
    <n v="1.1280004928513268"/>
    <n v="0.98321673443675361"/>
    <n v="3.4156972557507155"/>
    <n v="0"/>
    <n v="0"/>
    <n v="0"/>
    <n v="0"/>
    <n v="0"/>
    <n v="0"/>
    <n v="0.17534688271289711"/>
    <n v="0.17534688271289711"/>
    <n v="0.17534688271289711"/>
    <n v="0"/>
    <n v="0"/>
  </r>
  <r>
    <x v="248"/>
    <s v="IMOFS"/>
    <n v="0.34848788559085392"/>
    <n v="0.95926990338252582"/>
    <n v="0.77966926024795458"/>
    <n v="0.52808852872542511"/>
    <n v="0"/>
    <n v="0"/>
    <n v="0"/>
    <n v="0"/>
    <n v="0"/>
    <n v="0.50893671755404779"/>
    <n v="0.16535311479886236"/>
    <n v="0.68333146985981752"/>
    <n v="0.68333146985981752"/>
    <n v="0"/>
    <n v="0"/>
    <n v="0"/>
    <n v="0"/>
    <n v="0"/>
  </r>
  <r>
    <x v="249"/>
    <s v="IMOFS"/>
    <n v="8.9827343121708404E-3"/>
    <n v="2.4726445400353889E-2"/>
    <n v="4.01940044733536E-3"/>
    <n v="2.7224354951695872E-3"/>
    <n v="0"/>
    <n v="0"/>
    <n v="0"/>
    <n v="0"/>
    <n v="0"/>
    <n v="1.3118514314336117E-2"/>
    <n v="4.2621943526379132E-3"/>
    <n v="3.5227537568422239E-3"/>
    <n v="3.5227537568422243E-3"/>
    <n v="0"/>
    <n v="0"/>
    <n v="0"/>
    <n v="0"/>
    <n v="0"/>
  </r>
  <r>
    <x v="250"/>
    <s v="IMOFS"/>
    <n v="0"/>
    <n v="3.9164905549101037"/>
    <n v="0.22577653416250074"/>
    <n v="0.15292381504008834"/>
    <n v="0"/>
    <n v="0"/>
    <n v="0"/>
    <n v="0"/>
    <n v="0"/>
    <n v="0"/>
    <n v="0.6751008345525743"/>
    <n v="0.19787904796971464"/>
    <n v="0.19787904796971467"/>
    <n v="0"/>
    <n v="0"/>
    <n v="0"/>
    <n v="0"/>
    <n v="0"/>
  </r>
  <r>
    <x v="251"/>
    <s v="IMOFS"/>
    <n v="0.3272665459782037"/>
    <n v="0.90085469515983574"/>
    <n v="0.13151732188170664"/>
    <n v="8.9079809292892831E-2"/>
    <n v="0"/>
    <n v="0"/>
    <n v="0"/>
    <n v="0"/>
    <n v="0"/>
    <n v="0.47794476813161613"/>
    <n v="0.1552838562959255"/>
    <n v="0.11526672841362558"/>
    <n v="0.11526672841362559"/>
    <n v="0"/>
    <n v="0"/>
    <n v="0"/>
    <n v="0"/>
    <n v="0"/>
  </r>
  <r>
    <x v="252"/>
    <s v="IPBFS"/>
    <n v="0"/>
    <n v="0"/>
    <n v="0"/>
    <n v="0"/>
    <n v="0"/>
    <n v="0"/>
    <n v="0"/>
    <n v="0.21025074516467288"/>
    <n v="1.6294432750262149"/>
    <n v="0"/>
    <n v="0"/>
    <n v="0"/>
    <n v="0"/>
    <n v="0"/>
    <n v="0"/>
    <n v="0"/>
    <n v="1"/>
    <n v="1"/>
  </r>
  <r>
    <x v="253"/>
    <s v="ICPFS"/>
    <n v="2.2655034990113574"/>
    <n v="6.2361689242790588"/>
    <n v="64.62456732362125"/>
    <n v="43.771756073331559"/>
    <n v="135.77357643026176"/>
    <n v="118.34644868205382"/>
    <n v="411.13584201015948"/>
    <n v="0"/>
    <n v="0"/>
    <n v="0.72310525197315345"/>
    <n v="0.72310525197315345"/>
    <n v="0.72310525197315345"/>
    <n v="0.72310525197315345"/>
    <n v="0.70345531839048947"/>
    <n v="0.70345531839048947"/>
    <n v="0.70345531839048947"/>
    <n v="0"/>
    <n v="0"/>
  </r>
  <r>
    <x v="254"/>
    <s v="ICPFS"/>
    <n v="0"/>
    <n v="0"/>
    <n v="0"/>
    <n v="0"/>
    <n v="4.1542695091437949"/>
    <n v="3.6210509894598881"/>
    <n v="12.579539682791234"/>
    <n v="0"/>
    <n v="0"/>
    <n v="0"/>
    <n v="0"/>
    <n v="0"/>
    <n v="0"/>
    <n v="2.1523650308612679E-2"/>
    <n v="2.1523650308612682E-2"/>
    <n v="2.1523650308612682E-2"/>
    <n v="0"/>
    <n v="0"/>
  </r>
  <r>
    <x v="255"/>
    <s v="ICPFS"/>
    <n v="0.86751689162946188"/>
    <n v="2.3879821343148109"/>
    <n v="24.746332897721008"/>
    <n v="16.761279683068484"/>
    <n v="53.08167844788975"/>
    <n v="46.26841466179647"/>
    <n v="160.73658172505441"/>
    <n v="0"/>
    <n v="0"/>
    <n v="0.27689474802684649"/>
    <n v="0.27689474802684644"/>
    <n v="0.27689474802684655"/>
    <n v="0.2768947480268466"/>
    <n v="0.27502103130089789"/>
    <n v="0.27502103130089789"/>
    <n v="0.27502103130089789"/>
    <n v="0"/>
    <n v="0"/>
  </r>
  <r>
    <x v="256"/>
    <s v="IMAFS"/>
    <n v="0"/>
    <n v="0"/>
    <n v="0.6091764636302045"/>
    <n v="0.41260970364577887"/>
    <n v="1.2512319166287564"/>
    <n v="1.0906308701878502"/>
    <n v="3.7888542168392942"/>
    <n v="0"/>
    <n v="0"/>
    <n v="0"/>
    <n v="0"/>
    <n v="0.17686940232344492"/>
    <n v="0.17686940232344495"/>
    <n v="0.39195759562254628"/>
    <n v="0.39195759562254628"/>
    <n v="0.39195759562254628"/>
    <n v="0"/>
    <n v="0"/>
  </r>
  <r>
    <x v="257"/>
    <s v="IMAFS"/>
    <n v="0"/>
    <n v="0"/>
    <n v="2.8350397525595818"/>
    <n v="1.9202398351977488"/>
    <n v="1.9410315593256378"/>
    <n v="1.6918917352373644"/>
    <n v="5.8776358809516589"/>
    <n v="10.716371884255038"/>
    <n v="6.7196532708551739"/>
    <n v="0"/>
    <n v="0"/>
    <n v="0.82313059767655505"/>
    <n v="0.82313059767655505"/>
    <n v="0.60804240437745372"/>
    <n v="0.60804240437745372"/>
    <n v="0.60804240437745372"/>
    <n v="1"/>
    <n v="1"/>
  </r>
  <r>
    <x v="258"/>
    <s v="IMSFS"/>
    <n v="32.494369388274151"/>
    <n v="89.44606648439526"/>
    <n v="92.821558117644997"/>
    <n v="62.870248398352565"/>
    <n v="15.110024816771393"/>
    <n v="13.170587558920854"/>
    <n v="45.754652261285621"/>
    <n v="0"/>
    <n v="0"/>
    <n v="0.98231893334568399"/>
    <n v="0.92992317137375868"/>
    <n v="0.927213147853719"/>
    <n v="0.927213147853719"/>
    <n v="0.90538195206144401"/>
    <n v="0.90538195206144401"/>
    <n v="0.90538195206144401"/>
    <n v="0"/>
    <n v="0"/>
  </r>
  <r>
    <x v="259"/>
    <s v="IMSFS"/>
    <n v="0.45817210064586705"/>
    <n v="1.2611936451505297"/>
    <n v="4.612792091094299"/>
    <n v="3.1243537649894875"/>
    <n v="1.5790916189690298"/>
    <n v="1.3764083569277406"/>
    <n v="4.7816458801870159"/>
    <n v="0"/>
    <n v="0"/>
    <n v="1.385074207218224E-2"/>
    <n v="1.3111959422155473E-2"/>
    <n v="4.6078104719567685E-2"/>
    <n v="4.6078104719567671E-2"/>
    <n v="9.461804793855598E-2"/>
    <n v="9.4618047938555994E-2"/>
    <n v="9.4618047938555994E-2"/>
    <n v="0"/>
    <n v="0"/>
  </r>
  <r>
    <x v="260"/>
    <s v="IMSFS"/>
    <n v="0"/>
    <n v="5.1304779211339309"/>
    <n v="2.4469827420437595"/>
    <n v="1.6573995948633853"/>
    <n v="0"/>
    <n v="0"/>
    <n v="0"/>
    <n v="1.2612991517901575"/>
    <n v="0.79089201666341513"/>
    <n v="0"/>
    <n v="5.3338849729252791E-2"/>
    <n v="2.4443401048261603E-2"/>
    <n v="2.4443401048261596E-2"/>
    <n v="0"/>
    <n v="0"/>
    <n v="0"/>
    <n v="0.91518335389303818"/>
    <n v="0.91518335389303818"/>
  </r>
  <r>
    <x v="261"/>
    <s v="IMSFS"/>
    <n v="0.12670424810496989"/>
    <n v="0.34877416651581861"/>
    <n v="0.22677955010753539"/>
    <n v="0.15360318158909533"/>
    <n v="0"/>
    <n v="0"/>
    <n v="0"/>
    <n v="0.11689369494902337"/>
    <n v="7.3297670899292025E-2"/>
    <n v="3.83032458213375E-3"/>
    <n v="3.6260194748330551E-3"/>
    <n v="2.2653463784517752E-3"/>
    <n v="2.2653463784517748E-3"/>
    <n v="0"/>
    <n v="0"/>
    <n v="0"/>
    <n v="8.481664610696181E-2"/>
    <n v="8.4816646106961796E-2"/>
  </r>
  <r>
    <x v="262"/>
    <s v="IMTFS"/>
    <n v="8.6377437614399657"/>
    <n v="23.776802483193681"/>
    <n v="24.674085069247404"/>
    <n v="16.712344510954477"/>
    <n v="4.0165888753442944"/>
    <n v="3.5010422624979487"/>
    <n v="12.162629082113899"/>
    <n v="0"/>
    <n v="0"/>
    <n v="0.98231893334568399"/>
    <n v="0.92992317137375879"/>
    <n v="0.92721314785371889"/>
    <n v="0.927213147853719"/>
    <n v="0.9053819520614439"/>
    <n v="0.90538195206144401"/>
    <n v="0.90538195206144401"/>
    <n v="0"/>
    <n v="0"/>
  </r>
  <r>
    <x v="263"/>
    <s v="IMTFS"/>
    <n v="0.12179258371598996"/>
    <n v="0.33525400693874829"/>
    <n v="1.2261852394048132"/>
    <n v="0.83052441854150905"/>
    <n v="0.4197585316246788"/>
    <n v="0.36588070247446264"/>
    <n v="1.2710704238471813"/>
    <n v="0"/>
    <n v="0"/>
    <n v="1.3850742072182237E-2"/>
    <n v="1.311195942215547E-2"/>
    <n v="4.6078104719567657E-2"/>
    <n v="4.6078104719567664E-2"/>
    <n v="9.4618047938555966E-2"/>
    <n v="9.461804793855598E-2"/>
    <n v="9.461804793855598E-2"/>
    <n v="0"/>
    <n v="0"/>
  </r>
  <r>
    <x v="264"/>
    <s v="IMTFS"/>
    <n v="0"/>
    <n v="1.3637979284026902"/>
    <n v="0.6504637668723916"/>
    <n v="0.44057457584976062"/>
    <n v="0"/>
    <n v="0"/>
    <n v="0"/>
    <n v="0.33528205300751013"/>
    <n v="0.21023711835356598"/>
    <n v="0"/>
    <n v="5.3338849729252784E-2"/>
    <n v="2.4443401048261596E-2"/>
    <n v="2.44434010482616E-2"/>
    <n v="0"/>
    <n v="0"/>
    <n v="0"/>
    <n v="0.91518335389303818"/>
    <n v="0.91518335389303818"/>
  </r>
  <r>
    <x v="265"/>
    <s v="IMTFS"/>
    <n v="3.3680876078536287E-2"/>
    <n v="9.2712120213065699E-2"/>
    <n v="6.0283171547572699E-2"/>
    <n v="4.0831225485708882E-2"/>
    <n v="0"/>
    <n v="0"/>
    <n v="0"/>
    <n v="3.1073007518094817E-2"/>
    <n v="1.948419099854598E-2"/>
    <n v="3.8303245821337483E-3"/>
    <n v="3.6260194748330547E-3"/>
    <n v="2.2653463784517752E-3"/>
    <n v="2.2653463784517752E-3"/>
    <n v="0"/>
    <n v="0"/>
    <n v="0"/>
    <n v="8.4816646106961824E-2"/>
    <n v="8.4816646106961824E-2"/>
  </r>
  <r>
    <x v="266"/>
    <s v="ICAMD"/>
    <n v="0"/>
    <n v="0"/>
    <n v="2.6668207920443425"/>
    <n v="1.806301133376977"/>
    <n v="2.2823239584870136"/>
    <n v="1.9893777738678113"/>
    <n v="6.9111030811984744"/>
    <n v="1.3746148451265752"/>
    <n v="0.86194611758408457"/>
    <n v="0"/>
    <n v="0"/>
    <n v="0.90558309512875135"/>
    <n v="0.90558309512875124"/>
    <n v="0.85703210395056717"/>
    <n v="0.85703210395056717"/>
    <n v="0.85703210395056717"/>
    <n v="0.97672363847761734"/>
    <n v="0.97672363847761734"/>
  </r>
  <r>
    <x v="267"/>
    <s v="ICAMD"/>
    <n v="0"/>
    <n v="0"/>
    <n v="0.27804512516360547"/>
    <n v="0.18832657455320048"/>
    <n v="0.38073142528033238"/>
    <n v="0.33186289459442503"/>
    <n v="1.1528924789924664"/>
    <n v="3.2758531511606827E-2"/>
    <n v="2.0541091313171E-2"/>
    <n v="0"/>
    <n v="0"/>
    <n v="9.4416904871248736E-2"/>
    <n v="9.4416904871248736E-2"/>
    <n v="0.14296789604943283"/>
    <n v="0.14296789604943286"/>
    <n v="0.14296789604943283"/>
    <n v="2.3276361522382723E-2"/>
    <n v="2.3276361522382719E-2"/>
  </r>
  <r>
    <x v="268"/>
    <s v="INCMD"/>
    <n v="0.56568417044145214"/>
    <n v="1.5571382018182778"/>
    <n v="3.7968025025112118"/>
    <n v="2.5716646142679807"/>
    <n v="1.87742370922103"/>
    <n v="1.6364482287311684"/>
    <n v="5.6850250085066341"/>
    <n v="2.6094197253075668"/>
    <n v="1.6362250192118939"/>
    <n v="1"/>
    <n v="1"/>
    <n v="1"/>
    <n v="1"/>
    <n v="1"/>
    <n v="1"/>
    <n v="1"/>
    <n v="1"/>
    <n v="1"/>
  </r>
  <r>
    <x v="269"/>
    <s v="IFDMD"/>
    <n v="2.9866263294093153E-2"/>
    <n v="8.2211774610031749E-2"/>
    <n v="6.6819560655302701E-2"/>
    <n v="4.5258477248822225E-2"/>
    <n v="4.5748521125715841E-2"/>
    <n v="3.9876499905453264E-2"/>
    <n v="0.13853105477708075"/>
    <n v="0.25257609191485619"/>
    <n v="0.15837671373360196"/>
    <n v="6.2590605998687444E-3"/>
    <n v="6.2590605998687427E-3"/>
    <n v="1.3384216014749595E-3"/>
    <n v="1.3384216014749595E-3"/>
    <n v="3.8422503162122879E-3"/>
    <n v="3.8422503162122879E-3"/>
    <n v="3.8422503162122879E-3"/>
    <n v="1.3179280101272724E-2"/>
    <n v="1.3179280101272726E-2"/>
  </r>
  <r>
    <x v="270"/>
    <s v="IFDMD"/>
    <n v="4.5588439664930807"/>
    <n v="12.548963657256619"/>
    <n v="48.022487944763633"/>
    <n v="32.526772950391205"/>
    <n v="11.493088531757575"/>
    <n v="10.017900742421554"/>
    <n v="34.802210820663646"/>
    <n v="17.962519903877457"/>
    <n v="11.263318120028277"/>
    <n v="0.95539506802880025"/>
    <n v="0.95539506802880003"/>
    <n v="0.96190897682506327"/>
    <n v="0.96190897682506327"/>
    <n v="0.96526230703835425"/>
    <n v="0.96526230703835425"/>
    <n v="0.96526230703835436"/>
    <n v="0.93727430550984425"/>
    <n v="0.93727430550984436"/>
  </r>
  <r>
    <x v="271"/>
    <s v="IFDMD"/>
    <n v="0.18297440523928141"/>
    <n v="0.50366697751276779"/>
    <n v="1.8348423900001212"/>
    <n v="1.2427823791206711"/>
    <n v="0.36786276120247913"/>
    <n v="0.32064597939680189"/>
    <n v="1.1139248891248485"/>
    <n v="0.94953894435626529"/>
    <n v="0.59540416683584529"/>
    <n v="3.8345871371331094E-2"/>
    <n v="3.8345871371331088E-2"/>
    <n v="3.6752601573461802E-2"/>
    <n v="3.6752601573461802E-2"/>
    <n v="3.0895442645433372E-2"/>
    <n v="3.0895442645433379E-2"/>
    <n v="3.0895442645433372E-2"/>
    <n v="4.9546414388882881E-2"/>
    <n v="4.9546414388882888E-2"/>
  </r>
  <r>
    <x v="272"/>
    <s v="INGMD"/>
    <n v="0.95899523655213514"/>
    <n v="2.6397912408115372"/>
    <n v="4.5976128229139412"/>
    <n v="3.1140724857225015"/>
    <n v="1.8886743818203962"/>
    <n v="1.6462548286781273"/>
    <n v="5.7190931598652073"/>
    <n v="2.2118535549459364"/>
    <n v="1.3869329224177365"/>
    <n v="1"/>
    <n v="1"/>
    <n v="1"/>
    <n v="1"/>
    <n v="1"/>
    <n v="1"/>
    <n v="1"/>
    <n v="1"/>
    <n v="1"/>
  </r>
  <r>
    <x v="273"/>
    <s v="ICIMD"/>
    <n v="3.4484774572354859"/>
    <n v="9.4924982302051149"/>
    <n v="16.792019132419725"/>
    <n v="11.37363383436276"/>
    <n v="17.245175690076113"/>
    <n v="15.031682551773082"/>
    <n v="52.220100658498254"/>
    <n v="9.3572532783011209"/>
    <n v="5.8674240010407619"/>
    <n v="0.96007735556805163"/>
    <n v="0.96007735556805174"/>
    <n v="0.93732172994069696"/>
    <n v="0.93732172994069696"/>
    <n v="0.80309138646553224"/>
    <n v="0.80309138646553224"/>
    <n v="0.80309138646553213"/>
    <n v="0.82503352354745874"/>
    <n v="0.82503352354745874"/>
  </r>
  <r>
    <x v="274"/>
    <s v="ICIMD"/>
    <n v="0.1433971320731178"/>
    <n v="0.39472405990781217"/>
    <n v="1.1228745439299455"/>
    <n v="0.76054962800330972"/>
    <n v="4.2283153480652311"/>
    <n v="3.6855927236207786"/>
    <n v="12.803757819579797"/>
    <n v="1.9844110434915676"/>
    <n v="1.2443161083940126"/>
    <n v="3.9922644431948325E-2"/>
    <n v="3.9922644431948325E-2"/>
    <n v="6.2678270059303071E-2"/>
    <n v="6.2678270059303071E-2"/>
    <n v="0.19690861353446779"/>
    <n v="0.19690861353446779"/>
    <n v="0.19690861353446776"/>
    <n v="0.17496647645254124"/>
    <n v="0.17496647645254126"/>
  </r>
  <r>
    <x v="275"/>
    <s v="ICOMD"/>
    <n v="0.78636627816129512"/>
    <n v="2.1646017978389649"/>
    <n v="20.52553081517275"/>
    <n v="13.90243007149696"/>
    <n v="9.8370727019732414"/>
    <n v="8.5744417309628371"/>
    <n v="29.787630808401516"/>
    <n v="1.2091315170615782"/>
    <n v="0.75818053360526216"/>
    <n v="0.8615166628447759"/>
    <n v="0.8615166628447759"/>
    <n v="0.86373805322262864"/>
    <n v="0.86373805322262864"/>
    <n v="0.75993010789629334"/>
    <n v="0.75993010789629323"/>
    <n v="0.75993010789629334"/>
    <n v="0.91203745923071211"/>
    <n v="0.91203745923071211"/>
  </r>
  <r>
    <x v="276"/>
    <s v="ICOMD"/>
    <n v="0.12640338965298714"/>
    <n v="0.34794600441866003"/>
    <n v="3.2380752209298298"/>
    <n v="2.1932253411905318"/>
    <n v="3.107634449063462"/>
    <n v="2.7087560813983234"/>
    <n v="9.4102250192380925"/>
    <n v="0.11661613159471686"/>
    <n v="7.3123626033942069E-2"/>
    <n v="0.1384833371552241"/>
    <n v="0.13848333715522412"/>
    <n v="0.13626194677737133"/>
    <n v="0.13626194677737133"/>
    <n v="0.24006989210370672"/>
    <n v="0.24006989210370669"/>
    <n v="0.24006989210370672"/>
    <n v="8.7962540769287847E-2"/>
    <n v="8.7962540769287834E-2"/>
  </r>
  <r>
    <x v="277"/>
    <s v="IOTMD"/>
    <n v="0.51882738241064674"/>
    <n v="1.4281572289189839"/>
    <n v="0.99494443155990975"/>
    <n v="0.67389952100834505"/>
    <n v="0.56766356911736271"/>
    <n v="0.49480148654496153"/>
    <n v="1.7189415319514345"/>
    <n v="2.2223278078424316"/>
    <n v="1.393500756055454"/>
    <n v="3.0028824207806254E-2"/>
    <n v="3.0028824207806247E-2"/>
    <n v="9.2709535006068149E-3"/>
    <n v="9.2709535006068166E-3"/>
    <n v="1.2481248041981474E-2"/>
    <n v="1.2481248041981472E-2"/>
    <n v="1.2481248041981479E-2"/>
    <n v="4.2427140732580235E-2"/>
    <n v="4.2427140732580228E-2"/>
  </r>
  <r>
    <x v="278"/>
    <s v="IOTMD"/>
    <n v="16.051432336835745"/>
    <n v="44.184192861686348"/>
    <n v="100.48033937309904"/>
    <n v="68.057723051048669"/>
    <n v="43.089777053945099"/>
    <n v="37.559017173383168"/>
    <n v="130.48011429678456"/>
    <n v="48.614057397634554"/>
    <n v="30.483228216586394"/>
    <n v="0.92902891456263703"/>
    <n v="0.92902891456263692"/>
    <n v="0.93628199174166737"/>
    <n v="0.93628199174166726"/>
    <n v="0.94741714061410742"/>
    <n v="0.94741714061410731"/>
    <n v="0.94741714061410764"/>
    <n v="0.92810585707138593"/>
    <n v="0.92810585707138604"/>
  </r>
  <r>
    <x v="279"/>
    <s v="IOTMD"/>
    <n v="5.8718111667011789E-2"/>
    <n v="0.16163120623294647"/>
    <n v="1.5764349435202545"/>
    <n v="1.0677568712792456"/>
    <n v="0.49468750411955337"/>
    <n v="0.43119221618212727"/>
    <n v="1.4979627765978611"/>
    <n v="0.406287307006864"/>
    <n v="0.25476064669301102"/>
    <n v="3.3985019157440127E-3"/>
    <n v="3.3985019157440123E-3"/>
    <n v="1.4689317910140972E-2"/>
    <n v="1.468931791014097E-2"/>
    <n v="1.0876719553775621E-2"/>
    <n v="1.0876719553775621E-2"/>
    <n v="1.0876719553775624E-2"/>
    <n v="7.7565553971880273E-3"/>
    <n v="7.7565553971880273E-3"/>
  </r>
  <r>
    <x v="280"/>
    <s v="IOTMD"/>
    <n v="0.56265995420324577"/>
    <n v="1.5488135519851469"/>
    <n v="3.7375713010886664"/>
    <n v="2.5315459131614073"/>
    <n v="1.1151009048090792"/>
    <n v="0.97197286449976616"/>
    <n v="3.3766360250549345"/>
    <n v="1.1371902232551008"/>
    <n v="0.71307006567287246"/>
    <n v="3.2565777031730671E-2"/>
    <n v="3.2565777031730664E-2"/>
    <n v="3.4826919613257887E-2"/>
    <n v="3.4826919613257887E-2"/>
    <n v="2.4517780851077687E-2"/>
    <n v="2.4517780851077683E-2"/>
    <n v="2.4517780851077687E-2"/>
    <n v="2.1710446798845696E-2"/>
    <n v="2.1710446798845696E-2"/>
  </r>
  <r>
    <x v="281"/>
    <s v="IOTMD"/>
    <n v="8.6007813666838406E-2"/>
    <n v="0.23675057446098982"/>
    <n v="0.52916770103658195"/>
    <n v="0.35841786631494593"/>
    <n v="0.21408559359683282"/>
    <n v="0.18660677859648364"/>
    <n v="0.6482723892221256"/>
    <n v="0"/>
    <n v="0"/>
    <n v="4.9779822820821256E-3"/>
    <n v="4.9779822820821239E-3"/>
    <n v="4.9308172343268761E-3"/>
    <n v="4.9308172343268753E-3"/>
    <n v="4.7071109390577643E-3"/>
    <n v="4.7071109390577643E-3"/>
    <n v="4.7071109390577652E-3"/>
    <n v="0"/>
    <n v="0"/>
  </r>
  <r>
    <x v="282"/>
    <s v="ICTMD"/>
    <n v="2.0293079144161192E-2"/>
    <n v="5.5860019457917021E-2"/>
    <n v="4.5401549547857807E-2"/>
    <n v="3.0751549054220416E-2"/>
    <n v="3.1084516693325126E-2"/>
    <n v="2.7094684078993694E-2"/>
    <n v="9.412699643183764E-2"/>
    <n v="4.6804527838102579E-2"/>
    <n v="2.9348570763975651E-2"/>
    <n v="4.5136435431352116E-3"/>
    <n v="4.5136435431352134E-3"/>
    <n v="3.1629069234161006E-3"/>
    <n v="3.1629069234161006E-3"/>
    <n v="9.3866546558713758E-3"/>
    <n v="9.3866546558713723E-3"/>
    <n v="9.3866546558713723E-3"/>
    <n v="1.609982673054336E-2"/>
    <n v="1.6099826730543356E-2"/>
  </r>
  <r>
    <x v="283"/>
    <s v="ICTMD"/>
    <n v="2.9653122814806885"/>
    <n v="8.1625070579774892"/>
    <n v="10.68854661118497"/>
    <n v="7.239606769053208"/>
    <n v="3.2804804479218039"/>
    <n v="2.8594165462074974"/>
    <n v="9.9336198295325122"/>
    <n v="2.2797598504933894"/>
    <n v="1.429513262659337"/>
    <n v="0.65955306918200518"/>
    <n v="0.65955306918200518"/>
    <n v="0.74461947696601816"/>
    <n v="0.74461947696601816"/>
    <n v="0.9906133453441287"/>
    <n v="0.99061334534412859"/>
    <n v="0.99061334534412859"/>
    <n v="0.7841920488366354"/>
    <n v="0.78419204883663529"/>
  </r>
  <r>
    <x v="284"/>
    <s v="ICTMD"/>
    <n v="1.5103365431227072"/>
    <n v="4.157448363922243"/>
    <n v="3.620426042230382"/>
    <n v="2.4522006438892077"/>
    <n v="0"/>
    <n v="0"/>
    <n v="0"/>
    <n v="0.58058043890487121"/>
    <n v="0.36405037893595404"/>
    <n v="0.3359332872748596"/>
    <n v="0.33593328727485966"/>
    <n v="0.25221761611056565"/>
    <n v="0.2522176161105657"/>
    <n v="0"/>
    <n v="0"/>
    <n v="0"/>
    <n v="0.19970812443282135"/>
    <n v="0.19970812443282132"/>
  </r>
  <r>
    <x v="285"/>
    <s v="IMOMD"/>
    <n v="4.7350518003042776E-2"/>
    <n v="0.13034004540180635"/>
    <n v="0.10593694894500152"/>
    <n v="7.1753614459847626E-2"/>
    <n v="3.6265269475545966E-2"/>
    <n v="3.1610464758825972E-2"/>
    <n v="0.10981482917047722"/>
    <n v="0"/>
    <n v="0"/>
    <n v="3.314766416658424E-2"/>
    <n v="3.3147664166584247E-2"/>
    <n v="1.0347242196857632E-2"/>
    <n v="1.0347242196857632E-2"/>
    <n v="1.395511378469186E-2"/>
    <n v="1.3955113784691863E-2"/>
    <n v="1.3955113784691862E-2"/>
    <n v="0"/>
    <n v="0"/>
  </r>
  <r>
    <x v="286"/>
    <s v="IMOMD"/>
    <n v="1.2791252652713128"/>
    <n v="3.5210015049750218"/>
    <n v="9.6073945377388057"/>
    <n v="6.5073167623738986"/>
    <n v="2.4491718567399032"/>
    <n v="2.1348100203140583"/>
    <n v="7.4163350485618826"/>
    <n v="3.1609397643212849"/>
    <n v="1.9820532037997916"/>
    <n v="0.89544986007295224"/>
    <n v="0.89544986007295224"/>
    <n v="0.93838872228008419"/>
    <n v="0.93838872228008419"/>
    <n v="0.94245740989508608"/>
    <n v="0.94245740989508642"/>
    <n v="0.9424574098950862"/>
    <n v="0.92432923112510834"/>
    <n v="0.92432923112510834"/>
  </r>
  <r>
    <x v="287"/>
    <s v="IMOMD"/>
    <n v="0.10199645431927434"/>
    <n v="0.28076192294122709"/>
    <n v="0.52485052641081831"/>
    <n v="0.35549374128833505"/>
    <n v="0.11327113478972824"/>
    <n v="9.8732293079397446E-2"/>
    <n v="0.34299621915860146"/>
    <n v="0.25877223642734265"/>
    <n v="0.16226197855920904"/>
    <n v="7.1402475760463588E-2"/>
    <n v="7.1402475760463588E-2"/>
    <n v="5.1264035523058187E-2"/>
    <n v="5.1264035523058193E-2"/>
    <n v="4.3587476320221905E-2"/>
    <n v="4.3587476320221911E-2"/>
    <n v="4.3587476320221911E-2"/>
    <n v="7.5670768874891645E-2"/>
    <n v="7.5670768874891631E-2"/>
  </r>
  <r>
    <x v="288"/>
    <s v="INOMD"/>
    <n v="0.15890700772449723"/>
    <n v="0.43741752941636658"/>
    <n v="0.53328213526295276"/>
    <n v="0.36120467044834309"/>
    <n v="0.60852612597725275"/>
    <n v="0.53041915690161157"/>
    <n v="1.8426774028254553"/>
    <n v="1.0995227605246063"/>
    <n v="0.6894508508979853"/>
    <n v="0.13974600831475964"/>
    <n v="0.13974600831475964"/>
    <n v="0.1347235469199993"/>
    <n v="0.1347235469199993"/>
    <n v="0.15755989715453728"/>
    <n v="0.1575598971545373"/>
    <n v="0.1575598971545373"/>
    <n v="0.27608311277539188"/>
    <n v="0.27608311277539194"/>
  </r>
  <r>
    <x v="289"/>
    <s v="INOMD"/>
    <n v="0.86919982731545098"/>
    <n v="2.3926146900495984"/>
    <n v="2.9169811106418284"/>
    <n v="1.9757406654057461"/>
    <n v="2.8292722234968108"/>
    <n v="2.4661228554851298"/>
    <n v="8.5673166198195201"/>
    <n v="2.505933625538864"/>
    <n v="1.5713345211674481"/>
    <n v="0.76439175360852996"/>
    <n v="0.76439175360853007"/>
    <n v="0.73691956947054116"/>
    <n v="0.73691956947054116"/>
    <n v="0.73255661758228308"/>
    <n v="0.73255661758228319"/>
    <n v="0.73255661758228319"/>
    <n v="0.6292238601929423"/>
    <n v="0.6292238601929423"/>
  </r>
  <r>
    <x v="290"/>
    <s v="INOMD"/>
    <n v="0.10900620053656652"/>
    <n v="0.30005739591067365"/>
    <n v="0.50808069214209262"/>
    <n v="0.34413513378965782"/>
    <n v="0.42439080504410986"/>
    <n v="0.36991840349794214"/>
    <n v="1.2850974067314194"/>
    <n v="0.37712244489576263"/>
    <n v="0.23647294977509775"/>
    <n v="9.5862238076710224E-2"/>
    <n v="9.586223807671021E-2"/>
    <n v="0.12835688360945963"/>
    <n v="0.12835688360945965"/>
    <n v="0.10988348526317961"/>
    <n v="0.10988348526317963"/>
    <n v="0.10988348526317963"/>
    <n v="9.4693027031665794E-2"/>
    <n v="9.4693027031665794E-2"/>
  </r>
  <r>
    <x v="291"/>
    <s v="IPOMD"/>
    <n v="2.0122809999913569"/>
    <n v="1.775542058815903"/>
    <n v="6.887975859914393"/>
    <n v="1.3189741008346707"/>
    <n v="5.6817345882108903"/>
    <n v="3.2990716963805173"/>
    <n v="2.3826628918303734"/>
    <n v="0.21644703193184339"/>
    <n v="1.6774644974717865"/>
    <n v="0.97412625855869817"/>
    <n v="0.97412625855869805"/>
    <n v="0.95325645686531102"/>
    <n v="0.95325645686531102"/>
    <n v="0.97412625855869805"/>
    <n v="0.97412625855869794"/>
    <n v="0.97412625855869805"/>
    <n v="0.96344288480375184"/>
    <n v="0.96344288480375184"/>
  </r>
  <r>
    <x v="292"/>
    <s v="IPOMD"/>
    <n v="5.344814169988174E-2"/>
    <n v="4.7160125029307415E-2"/>
    <n v="0.33775632401942074"/>
    <n v="6.4676742897335882E-2"/>
    <n v="0.15091240009378373"/>
    <n v="8.762655489316476E-2"/>
    <n v="6.3285845200618987E-2"/>
    <n v="8.2129197329950318E-3"/>
    <n v="6.3650127930711495E-2"/>
    <n v="2.5873741441301969E-2"/>
    <n v="2.5873741441301966E-2"/>
    <n v="4.6743543134688995E-2"/>
    <n v="4.6743543134689002E-2"/>
    <n v="2.5873741441301962E-2"/>
    <n v="2.5873741441301962E-2"/>
    <n v="2.5873741441301966E-2"/>
    <n v="3.6557115196248116E-2"/>
    <n v="3.6557115196248109E-2"/>
  </r>
  <r>
    <x v="293"/>
    <s v="IPAMD"/>
    <n v="2.1810647589443986"/>
    <n v="1.9244689049509396"/>
    <n v="19.296008220308092"/>
    <n v="3.6949802975058046"/>
    <n v="16.422134655581353"/>
    <n v="9.5354330258214315"/>
    <n v="6.8867016297599228"/>
    <n v="2.6275415448930164"/>
    <n v="20.363446972920876"/>
    <n v="0.75387853427928131"/>
    <n v="0.75387853427928131"/>
    <n v="0.95732120039149493"/>
    <n v="0.95732120039149482"/>
    <n v="0.95637926687424901"/>
    <n v="0.9563792668742489"/>
    <n v="0.9563792668742489"/>
    <n v="0.9689854697130279"/>
    <n v="0.96898546971302779"/>
  </r>
  <r>
    <x v="294"/>
    <s v="IPAMD"/>
    <n v="0.71206014085066949"/>
    <n v="0.6282883595741201"/>
    <n v="0.86024467831885132"/>
    <n v="0.16472770435892897"/>
    <n v="0.74901827964914725"/>
    <n v="0.43491383979627907"/>
    <n v="0.31410443985286818"/>
    <n v="8.4100298065869161E-2"/>
    <n v="0.65177731001048589"/>
    <n v="0.24612146572071866"/>
    <n v="0.24612146572071869"/>
    <n v="4.2678799608505201E-2"/>
    <n v="4.2678799608505201E-2"/>
    <n v="4.3620733125751099E-2"/>
    <n v="4.3620733125751099E-2"/>
    <n v="4.3620733125751092E-2"/>
    <n v="3.1014530286972087E-2"/>
    <n v="3.101453028697208E-2"/>
  </r>
  <r>
    <x v="295"/>
    <s v="IPBMD"/>
    <n v="2.3692561431517212"/>
    <n v="2.0905201263103423"/>
    <n v="6.7374477213659034"/>
    <n v="1.2901495636658111"/>
    <n v="14.717261689224808"/>
    <n v="8.5455067872918242"/>
    <n v="6.1717549019329843"/>
    <n v="1.2232529196238802"/>
    <n v="9.4802101270850727"/>
    <n v="0.93439242826121394"/>
    <n v="0.93439242826121405"/>
    <n v="0.93895558350598451"/>
    <n v="0.93895558350598451"/>
    <n v="0.92839374967080657"/>
    <n v="0.92839374967080646"/>
    <n v="0.92839374967080657"/>
    <n v="0.94472258741573545"/>
    <n v="0.94472258741573556"/>
  </r>
  <r>
    <x v="296"/>
    <s v="IPBMD"/>
    <n v="0.16635531033641004"/>
    <n v="0.14678409735565595"/>
    <n v="0.43802238575973512"/>
    <n v="8.3876627060374798E-2"/>
    <n v="1.1351303528837391"/>
    <n v="0.65910794683571949"/>
    <n v="0.47602240604801965"/>
    <n v="7.1574721758186508E-2"/>
    <n v="0.55470409362594542"/>
    <n v="6.5607571738786008E-2"/>
    <n v="6.5607571738786022E-2"/>
    <n v="6.1044416494015444E-2"/>
    <n v="6.1044416494015444E-2"/>
    <n v="7.1606250329193474E-2"/>
    <n v="7.1606250329193474E-2"/>
    <n v="7.1606250329193474E-2"/>
    <n v="5.5277412584264447E-2"/>
    <n v="5.527741258426444E-2"/>
  </r>
  <r>
    <x v="297"/>
    <s v="ICPMD"/>
    <n v="0.66659836807281569"/>
    <n v="1.8349210362133221"/>
    <n v="5.9655015626915251"/>
    <n v="4.0405760544530285"/>
    <n v="11.061716467788974"/>
    <n v="9.6418971548784871"/>
    <n v="33.495973470198876"/>
    <n v="0.51248706769527375"/>
    <n v="0.3213527337334392"/>
    <n v="0.97101705622816414"/>
    <n v="0.97101705622816425"/>
    <n v="0.97525692873746794"/>
    <n v="0.97525692873746805"/>
    <n v="0.92060869521214339"/>
    <n v="0.9206086952121435"/>
    <n v="0.9206086952121435"/>
    <n v="0.98240626646093887"/>
    <n v="0.98240626646093876"/>
  </r>
  <r>
    <x v="298"/>
    <s v="ICPMD"/>
    <n v="1.9896646404233911E-2"/>
    <n v="5.4768773501166046E-2"/>
    <n v="0.15134968635752907"/>
    <n v="0.10251274132083081"/>
    <n v="0.9539385279961039"/>
    <n v="0.83149637814329769"/>
    <n v="2.8886203799386365"/>
    <n v="9.1780368459243259E-3"/>
    <n v="5.755047135155668E-3"/>
    <n v="2.8982943771835766E-2"/>
    <n v="2.8982943771835773E-2"/>
    <n v="2.4743071262532074E-2"/>
    <n v="2.4743071262532081E-2"/>
    <n v="7.9391304787856512E-2"/>
    <n v="7.9391304787856498E-2"/>
    <n v="7.9391304787856498E-2"/>
    <n v="1.7593733539061168E-2"/>
    <n v="1.7593733539061164E-2"/>
  </r>
  <r>
    <x v="299"/>
    <s v="IMAMD"/>
    <n v="0.20256698018811803"/>
    <n v="0.55759874459936132"/>
    <n v="6.64695596935971"/>
    <n v="4.5021413275233204"/>
    <n v="2.2237298670072789"/>
    <n v="1.938304488308896"/>
    <n v="6.7336743666376968"/>
    <n v="2.647501652016703"/>
    <n v="1.6601041217790131"/>
    <n v="0.61804479794202016"/>
    <n v="0.61804479794202016"/>
    <n v="0.93132475054206831"/>
    <n v="0.93132475054206831"/>
    <n v="0.78109232035057463"/>
    <n v="0.78109232035057452"/>
    <n v="0.78109232035057463"/>
    <n v="0.9243896666563417"/>
    <n v="0.9243896666563417"/>
  </r>
  <r>
    <x v="300"/>
    <s v="IMAMD"/>
    <n v="0.12518754644592245"/>
    <n v="0.34459919712924225"/>
    <n v="0.49014198223119904"/>
    <n v="0.33198481902533933"/>
    <n v="0.62321896230551088"/>
    <n v="0.54322610392498283"/>
    <n v="1.8871687670080775"/>
    <n v="0.2165520555427074"/>
    <n v="0.13578800213866618"/>
    <n v="0.38195520205797978"/>
    <n v="0.38195520205797978"/>
    <n v="6.86752494579317E-2"/>
    <n v="6.86752494579317E-2"/>
    <n v="0.2189076796494254"/>
    <n v="0.21890767964942537"/>
    <n v="0.21890767964942537"/>
    <n v="7.5610333343658284E-2"/>
    <n v="7.561033334365827E-2"/>
  </r>
  <r>
    <x v="301"/>
    <s v="IMSMD"/>
    <n v="1.299650059570711"/>
    <n v="3.5774993582968042"/>
    <n v="9.7407851524281419"/>
    <n v="6.5976653974280346"/>
    <n v="3.7824761832300831"/>
    <n v="3.2969789503899189"/>
    <n v="11.453712654276558"/>
    <n v="1.4987747044408273"/>
    <n v="0.93980000449293066"/>
    <n v="0.87007808007920939"/>
    <n v="0.87007808007920961"/>
    <n v="0.79619050897313715"/>
    <n v="0.79619050897313715"/>
    <n v="0.92233546724858217"/>
    <n v="0.92233546724858217"/>
    <n v="0.92233546724858217"/>
    <n v="0.90015076110516656"/>
    <n v="0.90015076110516656"/>
  </r>
  <r>
    <x v="302"/>
    <s v="IMSMD"/>
    <n v="0.19406652670668889"/>
    <n v="0.53419985606694409"/>
    <n v="2.4934540687741156"/>
    <n v="1.6888757294401773"/>
    <n v="0.31850043270075978"/>
    <n v="0.27761951997480966"/>
    <n v="0.96445086755364451"/>
    <n v="0.16625161026305174"/>
    <n v="0.10424733191001197"/>
    <n v="0.1299219199207905"/>
    <n v="0.1299219199207905"/>
    <n v="0.20380949102686291"/>
    <n v="0.20380949102686291"/>
    <n v="7.7664532751417881E-2"/>
    <n v="7.7664532751417867E-2"/>
    <n v="7.7664532751417881E-2"/>
    <n v="9.9849238894833436E-2"/>
    <n v="9.9849238894833464E-2"/>
  </r>
  <r>
    <x v="303"/>
    <s v="IPLMD"/>
    <n v="0.46999567092311051"/>
    <n v="0.41470206257921516"/>
    <n v="0.7425141691894519"/>
    <n v="0.14218356431287374"/>
    <n v="1.7693954670046512"/>
    <n v="1.0273909163252815"/>
    <n v="0.74200455067936988"/>
    <n v="0.10110831240026578"/>
    <n v="0.78358942110205987"/>
    <n v="1"/>
    <n v="1"/>
    <n v="1"/>
    <n v="1"/>
    <n v="1"/>
    <n v="1"/>
    <n v="1"/>
    <n v="1"/>
    <n v="1"/>
  </r>
  <r>
    <x v="304"/>
    <s v="IMLMD"/>
    <n v="0.33448560000198496"/>
    <n v="0.9207263221007973"/>
    <n v="0.10690600780445661"/>
    <n v="7.2409981067369414E-2"/>
    <n v="3.6597006239968442E-2"/>
    <n v="3.1899621669904621E-2"/>
    <n v="0.11081936096195298"/>
    <n v="0"/>
    <n v="0"/>
    <n v="1"/>
    <n v="1"/>
    <n v="1"/>
    <n v="1"/>
    <n v="1"/>
    <n v="1"/>
    <n v="1"/>
    <n v="0"/>
    <n v="0"/>
  </r>
  <r>
    <x v="305"/>
    <s v="IMTMD"/>
    <n v="0.34547659811373327"/>
    <n v="0.95098084207889733"/>
    <n v="2.5893226354555821"/>
    <n v="1.7538097891897311"/>
    <n v="1.0054683525041992"/>
    <n v="0.87641212605301644"/>
    <n v="3.044657794174781"/>
    <n v="0.39840846573743505"/>
    <n v="0.24982025435888031"/>
    <n v="0.8700780800792095"/>
    <n v="0.8700780800792095"/>
    <n v="0.79619050897313715"/>
    <n v="0.79619050897313715"/>
    <n v="0.92233546724858206"/>
    <n v="0.92233546724858217"/>
    <n v="0.92233546724858217"/>
    <n v="0.90015076110516667"/>
    <n v="0.90015076110516667"/>
  </r>
  <r>
    <x v="306"/>
    <s v="IMTMD"/>
    <n v="5.1587304567600835E-2"/>
    <n v="0.14200249338488383"/>
    <n v="0.66281690435767615"/>
    <n v="0.44894164959802169"/>
    <n v="8.4664671983746248E-2"/>
    <n v="7.3797593917354451E-2"/>
    <n v="0.25637301542565227"/>
    <n v="4.4193466019292221E-2"/>
    <n v="2.7711316077344943E-2"/>
    <n v="0.12992191992079047"/>
    <n v="0.12992191992079044"/>
    <n v="0.20380949102686285"/>
    <n v="0.20380949102686283"/>
    <n v="7.7664532751417853E-2"/>
    <n v="7.7664532751417853E-2"/>
    <n v="7.7664532751417867E-2"/>
    <n v="9.9849238894833436E-2"/>
    <n v="9.9849238894833423E-2"/>
  </r>
  <r>
    <x v="307"/>
    <s v="ICAPH"/>
    <n v="0"/>
    <n v="0"/>
    <n v="0.19048719943173875"/>
    <n v="0.12902150952692693"/>
    <n v="0.16302313989192954"/>
    <n v="0.14209841241912938"/>
    <n v="0.49365022008560533"/>
    <n v="9.8186774651898234E-2"/>
    <n v="6.1567579827434611E-2"/>
    <n v="0"/>
    <n v="0"/>
    <n v="1.6304621158902417E-2"/>
    <n v="1.6304621158902414E-2"/>
    <n v="1.0048144560620078E-2"/>
    <n v="1.0048144560620077E-2"/>
    <n v="1.0048144560620077E-2"/>
    <n v="6.7612149679082564E-2"/>
    <n v="6.7612149679082564E-2"/>
  </r>
  <r>
    <x v="308"/>
    <s v="ICAPH"/>
    <n v="0"/>
    <n v="0"/>
    <n v="11.492531840095692"/>
    <n v="7.7841650815322865"/>
    <n v="15.736898911587071"/>
    <n v="13.716999643236234"/>
    <n v="47.65288913168861"/>
    <n v="1.3540193024797487"/>
    <n v="0.84903177427773469"/>
    <n v="0"/>
    <n v="0"/>
    <n v="0.9836953788410977"/>
    <n v="0.98369537884109759"/>
    <n v="0.96996435784708934"/>
    <n v="0.96996435784708934"/>
    <n v="0.96996435784708934"/>
    <n v="0.93238785032091742"/>
    <n v="0.93238785032091742"/>
  </r>
  <r>
    <x v="309"/>
    <s v="ICAPH"/>
    <n v="0"/>
    <n v="0"/>
    <n v="0"/>
    <n v="0"/>
    <n v="0.32428122390354136"/>
    <n v="0.28265832153995119"/>
    <n v="0.98195567608213818"/>
    <n v="0"/>
    <n v="0"/>
    <n v="0"/>
    <n v="0"/>
    <n v="0"/>
    <n v="0"/>
    <n v="1.9987497592290571E-2"/>
    <n v="1.9987497592290571E-2"/>
    <n v="1.9987497592290571E-2"/>
    <n v="0"/>
    <n v="0"/>
  </r>
  <r>
    <x v="310"/>
    <s v="INCPH"/>
    <n v="0.15427750102948698"/>
    <n v="0.42467405504134859"/>
    <n v="1.0354915915939669"/>
    <n v="0.70136307661854025"/>
    <n v="0.51202464796937186"/>
    <n v="0.44630406238122777"/>
    <n v="1.5504613659563551"/>
    <n v="0.71165992508388198"/>
    <n v="0.44624318705778931"/>
    <n v="3.7546362451419756E-2"/>
    <n v="3.7546362451419749E-2"/>
    <n v="5.7991144941847275E-2"/>
    <n v="5.7991144941847268E-2"/>
    <n v="4.5039082106168665E-2"/>
    <n v="4.5039082106168665E-2"/>
    <n v="4.5039082106168672E-2"/>
    <n v="3.8284910284606871E-2"/>
    <n v="3.8284910284606864E-2"/>
  </r>
  <r>
    <x v="311"/>
    <s v="INCPH"/>
    <n v="0"/>
    <n v="0"/>
    <n v="0.68624095601715829"/>
    <n v="0.46480731675759435"/>
    <n v="1.0571402187179706"/>
    <n v="0.92145168399907229"/>
    <n v="3.2011253247693436"/>
    <n v="0.70744686578801352"/>
    <n v="0.44360140698673906"/>
    <n v="0"/>
    <n v="0"/>
    <n v="3.8431889808167065E-2"/>
    <n v="3.8431889808167058E-2"/>
    <n v="9.298893187544334E-2"/>
    <n v="9.2988931875443326E-2"/>
    <n v="9.298893187544334E-2"/>
    <n v="3.8058261865213237E-2"/>
    <n v="3.8058261865213237E-2"/>
  </r>
  <r>
    <x v="312"/>
    <s v="INCPH"/>
    <n v="3.9547091212858589"/>
    <n v="10.88598368419566"/>
    <n v="16.134296896752211"/>
    <n v="10.928142925008208"/>
    <n v="9.799287242580748"/>
    <n v="8.5415061992600361"/>
    <n v="29.673212693540613"/>
    <n v="17.169415940237062"/>
    <n v="10.766005811257568"/>
    <n v="0.96245363754858027"/>
    <n v="0.96245363754858027"/>
    <n v="0.90357696524998565"/>
    <n v="0.90357696524998565"/>
    <n v="0.86197198601838798"/>
    <n v="0.86197198601838798"/>
    <n v="0.86197198601838809"/>
    <n v="0.92365682785017977"/>
    <n v="0.92365682785017977"/>
  </r>
  <r>
    <x v="313"/>
    <s v="IFDPH"/>
    <n v="7.4318376103906209E-2"/>
    <n v="0.20457348565752087"/>
    <n v="0.16627193000272997"/>
    <n v="0.11261993175869715"/>
    <n v="0.11383934326631616"/>
    <n v="9.9227569532174389E-2"/>
    <n v="0.34471681072436372"/>
    <n v="0.628503298485805"/>
    <n v="0.39410019463942808"/>
    <n v="1.1238660550257639E-2"/>
    <n v="1.1238660550257639E-2"/>
    <n v="2.2664148438224143E-3"/>
    <n v="2.2664148438224134E-3"/>
    <n v="8.2534283510194793E-3"/>
    <n v="8.2534283510194758E-3"/>
    <n v="8.2534283510194793E-3"/>
    <n v="1.8182786608356774E-2"/>
    <n v="1.8182786608356774E-2"/>
  </r>
  <r>
    <x v="314"/>
    <s v="IFDPH"/>
    <n v="0.604979983593953"/>
    <n v="1.6653063547003377"/>
    <n v="6.3728094627710705"/>
    <n v="4.3164553800312158"/>
    <n v="1.5251867715786847"/>
    <n v="1.3294224306295395"/>
    <n v="4.6184166613438187"/>
    <n v="2.3837106680168567"/>
    <n v="1.4946951599025564"/>
    <n v="9.1486991935975648E-2"/>
    <n v="9.1486991935975648E-2"/>
    <n v="8.6866315697659596E-2"/>
    <n v="8.6866315697659569E-2"/>
    <n v="0.11057705868610757"/>
    <n v="0.11057705868610754"/>
    <n v="0.11057705868610757"/>
    <n v="6.8961455758522139E-2"/>
    <n v="6.8961455758522153E-2"/>
  </r>
  <r>
    <x v="315"/>
    <s v="IFDPH"/>
    <n v="5.0019132160787828E-2"/>
    <n v="0.13768584234658404"/>
    <n v="0"/>
    <n v="0"/>
    <n v="7.6618266631311285E-2"/>
    <n v="6.6783979610699845E-2"/>
    <n v="0.23200770277273267"/>
    <n v="0.11536553161923298"/>
    <n v="7.2339442888138913E-2"/>
    <n v="7.5640518111915866E-3"/>
    <n v="7.5640518111915866E-3"/>
    <n v="0"/>
    <n v="0"/>
    <n v="5.5548754576129379E-3"/>
    <n v="5.554875457612937E-3"/>
    <n v="5.5548754576129379E-3"/>
    <n v="3.3375590047750973E-3"/>
    <n v="3.3375590047750973E-3"/>
  </r>
  <r>
    <x v="316"/>
    <s v="IFDPH"/>
    <n v="5.830869683044793"/>
    <n v="16.050422493186591"/>
    <n v="58.471166232381478"/>
    <n v="39.603911200369922"/>
    <n v="11.722731488109771"/>
    <n v="10.218068028749833"/>
    <n v="35.497592445747792"/>
    <n v="30.259083702318186"/>
    <n v="18.973823694202423"/>
    <n v="0.88176260725756661"/>
    <n v="0.88176260725756661"/>
    <n v="0.79700716219810219"/>
    <n v="0.79700716219810208"/>
    <n v="0.84990585538613206"/>
    <n v="0.84990585538613195"/>
    <n v="0.84990585538613206"/>
    <n v="0.8754042552349216"/>
    <n v="0.87540425523492171"/>
  </r>
  <r>
    <x v="317"/>
    <s v="IFDPH"/>
    <n v="2.6993181105503441E-2"/>
    <n v="7.4303145967788822E-2"/>
    <n v="6.0391636020816916E-2"/>
    <n v="4.0904691052475364E-2"/>
    <n v="4.1347593567208386E-2"/>
    <n v="3.6040450497681654E-2"/>
    <n v="0.12520461008169453"/>
    <n v="0"/>
    <n v="0"/>
    <n v="4.0819944611308091E-3"/>
    <n v="4.0819944611308091E-3"/>
    <n v="8.2318464889445024E-4"/>
    <n v="8.2318464889444992E-4"/>
    <n v="2.9977281245876911E-3"/>
    <n v="2.9977281245876898E-3"/>
    <n v="2.9977281245876911E-3"/>
    <n v="0"/>
    <n v="0"/>
  </r>
  <r>
    <x v="318"/>
    <s v="IFDPH"/>
    <n v="2.5562841595909186E-2"/>
    <n v="7.0365902522880094E-2"/>
    <n v="8.29277452687721"/>
    <n v="5.6168933703472348"/>
    <n v="0.31325303397163073"/>
    <n v="0.27304564764457673"/>
    <n v="0.94856122428442102"/>
    <n v="1.1791771200389636"/>
    <n v="0.73939776233682175"/>
    <n v="3.8656939838776884E-3"/>
    <n v="3.8656939838776884E-3"/>
    <n v="0.11303692261152151"/>
    <n v="0.11303692261152146"/>
    <n v="2.2711053994540396E-2"/>
    <n v="2.2711053994540393E-2"/>
    <n v="2.27110539945404E-2"/>
    <n v="3.4113943393424245E-2"/>
    <n v="3.4113943393424245E-2"/>
  </r>
  <r>
    <x v="319"/>
    <s v="INGPH"/>
    <n v="1.0122727496939203"/>
    <n v="2.7864463097455117"/>
    <n v="4.8530357575202707"/>
    <n v="3.2870765127070847"/>
    <n v="1.9936007363659736"/>
    <n v="1.7377134302713566"/>
    <n v="6.0368205576354965"/>
    <n v="2.3347343079984881"/>
    <n v="1.4639847514409441"/>
    <n v="9.6651964191282261E-2"/>
    <n v="9.6651964191282261E-2"/>
    <n v="0.1193137960697684"/>
    <n v="0.11931379606976841"/>
    <n v="0.11509051969885416"/>
    <n v="0.11509051969885419"/>
    <n v="0.11509051969885417"/>
    <n v="0.12210698934029977"/>
    <n v="0.12210698934029976"/>
  </r>
  <r>
    <x v="320"/>
    <s v="INGPH"/>
    <n v="9.4611072603651465"/>
    <n v="26.043245182409816"/>
    <n v="35.821520893769851"/>
    <n v="24.262767855541629"/>
    <n v="15.328423193862415"/>
    <n v="13.360953556533961"/>
    <n v="46.415984186242973"/>
    <n v="16.785664291723112"/>
    <n v="10.525376048873012"/>
    <n v="0.9033480358087177"/>
    <n v="0.90334803580871781"/>
    <n v="0.88068620393023167"/>
    <n v="0.88068620393023156"/>
    <n v="0.8849094803011458"/>
    <n v="0.88490948030114591"/>
    <n v="0.88490948030114591"/>
    <n v="0.87789301065970027"/>
    <n v="0.87789301065970016"/>
  </r>
  <r>
    <x v="321"/>
    <s v="ICIPH"/>
    <n v="0.2214618550518202"/>
    <n v="0.60960997808656703"/>
    <n v="1.0783865497884226"/>
    <n v="0.73041685174806725"/>
    <n v="1.1074883470691081"/>
    <n v="0.96533741158175757"/>
    <n v="3.3535844459586035"/>
    <n v="0.60092452245970507"/>
    <n v="0.37680704593839759"/>
    <n v="0.10198617814764696"/>
    <n v="0.10198617814764697"/>
    <n v="0.34791592877879773"/>
    <n v="0.34791592877879773"/>
    <n v="0.12569229412014016"/>
    <n v="0.12569229412014016"/>
    <n v="0.12569229412014016"/>
    <n v="0.10277565040403912"/>
    <n v="0.1027756504040391"/>
  </r>
  <r>
    <x v="322"/>
    <s v="ICIPH"/>
    <n v="0.25811483773161198"/>
    <n v="0.71050330783406179"/>
    <n v="2.0211741790739013"/>
    <n v="1.3689893304059573"/>
    <n v="7.6109676265174144"/>
    <n v="6.6340669025174002"/>
    <n v="23.046764075243633"/>
    <n v="3.5719398782848208"/>
    <n v="2.2397689951092223"/>
    <n v="0.11886537217566222"/>
    <n v="0.11886537217566222"/>
    <n v="0.65208407122120238"/>
    <n v="0.65208407122120227"/>
    <n v="0.86379236764230882"/>
    <n v="0.86379236764230882"/>
    <n v="0.86379236764230882"/>
    <n v="0.61090607967236543"/>
    <n v="0.61090607967236554"/>
  </r>
  <r>
    <x v="323"/>
    <s v="ICIPH"/>
    <n v="1.6919122194808009"/>
    <n v="4.6572651114149908"/>
    <n v="0"/>
    <n v="0"/>
    <n v="0"/>
    <n v="0"/>
    <n v="0"/>
    <n v="0"/>
    <n v="0"/>
    <n v="0.77914844967669084"/>
    <n v="0.77914844967669084"/>
    <n v="0"/>
    <n v="0"/>
    <n v="0"/>
    <n v="0"/>
    <n v="0"/>
    <n v="0"/>
    <n v="0"/>
  </r>
  <r>
    <x v="324"/>
    <s v="ICIPH"/>
    <n v="0"/>
    <n v="0"/>
    <n v="0"/>
    <n v="0"/>
    <n v="9.2651778258154655E-2"/>
    <n v="8.0759520439986021E-2"/>
    <n v="0.28055876459489654"/>
    <n v="1.6740898155246668"/>
    <n v="1.0497305642335566"/>
    <n v="0"/>
    <n v="0"/>
    <n v="0"/>
    <n v="0"/>
    <n v="1.0515338237551033E-2"/>
    <n v="1.0515338237551032E-2"/>
    <n v="1.0515338237551033E-2"/>
    <n v="0.28631826992359538"/>
    <n v="0.28631826992359538"/>
  </r>
  <r>
    <x v="325"/>
    <s v="ICOPH"/>
    <n v="0.1090580969712745"/>
    <n v="0.3002002493353309"/>
    <n v="2.8466064634181185"/>
    <n v="1.9280742434922791"/>
    <n v="1.3642655572079676"/>
    <n v="1.1891561524692986"/>
    <n v="4.1311312799972901"/>
    <n v="0.16768977243919697"/>
    <n v="0.10514912509854001"/>
    <n v="5.553589878902114E-2"/>
    <n v="5.5535898789021133E-2"/>
    <n v="5.4850729455204576E-2"/>
    <n v="5.4850729455204583E-2"/>
    <n v="2.8687405887175641E-2"/>
    <n v="2.8687405887175641E-2"/>
    <n v="2.8687405887175645E-2"/>
    <n v="8.9255250927117169E-2"/>
    <n v="8.9255250927117197E-2"/>
  </r>
  <r>
    <x v="326"/>
    <s v="ICOPH"/>
    <n v="1.854682462726557"/>
    <n v="5.1053168284701576"/>
    <n v="47.511394605279506"/>
    <n v="32.180597278922896"/>
    <n v="45.597472734440252"/>
    <n v="39.744839230699036"/>
    <n v="138.07366528227527"/>
    <n v="1.7110766944897546"/>
    <n v="1.0729230219889319"/>
    <n v="0.9444641012109789"/>
    <n v="0.94446410121097879"/>
    <n v="0.91548820851211199"/>
    <n v="0.91548820851211221"/>
    <n v="0.95881128190272891"/>
    <n v="0.95881128190272868"/>
    <n v="0.95881128190272891"/>
    <n v="0.91074474907288283"/>
    <n v="0.91074474907288294"/>
  </r>
  <r>
    <x v="327"/>
    <s v="ICOPH"/>
    <n v="0"/>
    <n v="0"/>
    <n v="1.5393299548192365"/>
    <n v="1.0426247801599131"/>
    <n v="0.5945155771564925"/>
    <n v="0.51820692282324377"/>
    <n v="1.8002520728172531"/>
    <n v="0"/>
    <n v="0"/>
    <n v="0"/>
    <n v="0"/>
    <n v="2.9661062032683365E-2"/>
    <n v="2.9661062032683368E-2"/>
    <n v="1.250131221009556E-2"/>
    <n v="1.2501312210095556E-2"/>
    <n v="1.2501312210095561E-2"/>
    <n v="0"/>
    <n v="0"/>
  </r>
  <r>
    <x v="328"/>
    <s v="IOTPH"/>
    <n v="0.29132018798458775"/>
    <n v="0.80190646543579303"/>
    <n v="0.55865863804166049"/>
    <n v="0.37839277917580866"/>
    <n v="0.31874157624236943"/>
    <n v="0.27782971169636878"/>
    <n v="0.96518107409037757"/>
    <n v="1.2478311220505631"/>
    <n v="0.78244694858728692"/>
    <n v="1.3400301497432066E-2"/>
    <n v="1.3400301497432062E-2"/>
    <n v="3.9655951509275037E-3"/>
    <n v="3.9655951509275046E-3"/>
    <n v="6.6771744300516966E-3"/>
    <n v="6.6771744300516966E-3"/>
    <n v="6.6771744300516975E-3"/>
    <n v="2.4899173916744521E-2"/>
    <n v="2.4899173916744521E-2"/>
  </r>
  <r>
    <x v="329"/>
    <s v="IOTPH"/>
    <n v="6.2965690743916864"/>
    <n v="17.33233623714705"/>
    <n v="39.41588415316204"/>
    <n v="26.697315556900911"/>
    <n v="16.903024722452194"/>
    <n v="14.73344814566817"/>
    <n v="51.18403362787906"/>
    <n v="19.070059541551831"/>
    <n v="11.957795918044496"/>
    <n v="0.28963294504230941"/>
    <n v="0.28963294504230941"/>
    <n v="0.27979060632665526"/>
    <n v="0.27979060632665526"/>
    <n v="0.35409388946946768"/>
    <n v="0.35409388946946774"/>
    <n v="0.35409388946946774"/>
    <n v="0.38052323005655236"/>
    <n v="0.38052323005655242"/>
  </r>
  <r>
    <x v="330"/>
    <s v="IOTPH"/>
    <n v="7.8290815556015719E-2"/>
    <n v="0.21550827497726194"/>
    <n v="2.1019132580270057"/>
    <n v="1.4236758283723274"/>
    <n v="0.65958333882607112"/>
    <n v="0.57492295490950296"/>
    <n v="1.9972837021304815"/>
    <n v="0.54171640934248533"/>
    <n v="0.339680862257348"/>
    <n v="3.6012627212294629E-3"/>
    <n v="3.6012627212294625E-3"/>
    <n v="1.492026875825473E-2"/>
    <n v="1.4920268758254732E-2"/>
    <n v="1.3817315759110984E-2"/>
    <n v="1.3817315759110986E-2"/>
    <n v="1.3817315759110986E-2"/>
    <n v="1.0809388266905522E-2"/>
    <n v="1.0809388266905522E-2"/>
  </r>
  <r>
    <x v="331"/>
    <s v="IOTPH"/>
    <n v="14.475187673167961"/>
    <n v="39.845321616104371"/>
    <n v="96.154072492534439"/>
    <n v="65.127439624067961"/>
    <n v="28.687477669328167"/>
    <n v="25.005315416100402"/>
    <n v="86.868524766193673"/>
    <n v="29.255755236782406"/>
    <n v="18.3446910476315"/>
    <n v="0.66583740864064267"/>
    <n v="0.66583740864064267"/>
    <n v="0.68254224969110966"/>
    <n v="0.68254224969110966"/>
    <n v="0.60096111280651532"/>
    <n v="0.60096111280651532"/>
    <n v="0.60096111280651532"/>
    <n v="0.58376820775979754"/>
    <n v="0.58376820775979754"/>
  </r>
  <r>
    <x v="332"/>
    <s v="IOTPH"/>
    <n v="0.16841657486860231"/>
    <n v="0.46359416835481571"/>
    <n v="0"/>
    <n v="0"/>
    <n v="9.6741377856191191E-2"/>
    <n v="8.4324202182075758E-2"/>
    <n v="0.29294247737929663"/>
    <n v="0"/>
    <n v="0"/>
    <n v="7.7469155022085482E-3"/>
    <n v="7.7469155022085482E-3"/>
    <n v="0"/>
    <n v="0"/>
    <n v="2.0265917680539589E-3"/>
    <n v="2.0265917680539593E-3"/>
    <n v="2.0265917680539589E-3"/>
    <n v="0"/>
    <n v="0"/>
  </r>
  <r>
    <x v="333"/>
    <s v="IOTPH"/>
    <n v="0.43003906833419203"/>
    <n v="1.1837528723049493"/>
    <n v="2.6458385051829101"/>
    <n v="1.7920893315747297"/>
    <n v="1.0704279679841642"/>
    <n v="0.93303389298241823"/>
    <n v="3.2413619461106284"/>
    <n v="0"/>
    <n v="0"/>
    <n v="1.9781166596177797E-2"/>
    <n v="1.9781166596177801E-2"/>
    <n v="1.8781280073052745E-2"/>
    <n v="1.8781280073052738E-2"/>
    <n v="2.2423915766800327E-2"/>
    <n v="2.2423915766800334E-2"/>
    <n v="2.2423915766800331E-2"/>
    <n v="0"/>
    <n v="0"/>
  </r>
  <r>
    <x v="334"/>
    <s v="ICTPH"/>
    <n v="2.0293079144161192E-2"/>
    <n v="5.5860019457917021E-2"/>
    <n v="4.5401549547857807E-2"/>
    <n v="3.0751549054220416E-2"/>
    <n v="3.1084516693325126E-2"/>
    <n v="2.7094684078993694E-2"/>
    <n v="9.412699643183764E-2"/>
    <n v="4.6804527838102579E-2"/>
    <n v="2.9348570763975651E-2"/>
    <n v="3.3490383350895554E-3"/>
    <n v="3.3490383350895559E-3"/>
    <n v="2.8784566030521739E-3"/>
    <n v="2.8784566030521735E-3"/>
    <n v="2.5074577382736017E-2"/>
    <n v="2.5074577382736014E-2"/>
    <n v="2.5074577382736014E-2"/>
    <n v="1.6852382131241562E-2"/>
    <n v="1.6852382131241562E-2"/>
  </r>
  <r>
    <x v="335"/>
    <s v="ICTPH"/>
    <n v="1.0924834721244641"/>
    <n v="3.0072394424127591"/>
    <n v="3.9378855935944626"/>
    <n v="2.6672235464932874"/>
    <n v="1.2085980597606647"/>
    <n v="1.0534692538659201"/>
    <n v="3.6597546740382936"/>
    <n v="0.83991152386598555"/>
    <n v="0.52666278097975572"/>
    <n v="0.18029639576157117"/>
    <n v="0.18029639576157114"/>
    <n v="0.24966180453814121"/>
    <n v="0.24966180453814124"/>
    <n v="0.974925422617264"/>
    <n v="0.974925422617264"/>
    <n v="0.974925422617264"/>
    <n v="0.30241753544835714"/>
    <n v="0.30241753544835709"/>
  </r>
  <r>
    <x v="336"/>
    <s v="ICTPH"/>
    <n v="4.9182754096559949"/>
    <n v="13.538357492772432"/>
    <n v="11.789592496493809"/>
    <n v="7.98537132753665"/>
    <n v="0"/>
    <n v="0"/>
    <n v="0"/>
    <n v="1.8906080959209908"/>
    <n v="1.1854973878170811"/>
    <n v="0.81168031585810185"/>
    <n v="0.81168031585810174"/>
    <n v="0.74745973885880668"/>
    <n v="0.74745973885880657"/>
    <n v="0"/>
    <n v="0"/>
    <n v="0"/>
    <n v="0.68073008242040134"/>
    <n v="0.68073008242040123"/>
  </r>
  <r>
    <x v="337"/>
    <s v="ICTPH"/>
    <n v="2.8323033843405607E-2"/>
    <n v="7.7963783138109657E-2"/>
    <n v="0"/>
    <n v="0"/>
    <n v="0"/>
    <n v="0"/>
    <n v="0"/>
    <n v="0"/>
    <n v="0"/>
    <n v="4.6742500452375312E-3"/>
    <n v="4.6742500452375303E-3"/>
    <n v="0"/>
    <n v="0"/>
    <n v="0"/>
    <n v="0"/>
    <n v="0"/>
    <n v="0"/>
    <n v="0"/>
  </r>
  <r>
    <x v="338"/>
    <s v="IMOPH"/>
    <n v="2.0952542688800033"/>
    <n v="5.7675300725664469"/>
    <n v="15.737265899240867"/>
    <n v="10.659224389900803"/>
    <n v="4.0118336549052405"/>
    <n v="3.4968973952383653"/>
    <n v="12.148229803472532"/>
    <n v="5.1777356875692213"/>
    <n v="3.2466761068376955"/>
    <n v="0.30726360058145297"/>
    <n v="0.30726360058145297"/>
    <n v="0.39325590261246485"/>
    <n v="0.39325590261246479"/>
    <n v="0.43349544085826425"/>
    <n v="0.4334954408582643"/>
    <n v="0.43349544085826436"/>
    <n v="0.30210672351963019"/>
    <n v="0.30210672351963019"/>
  </r>
  <r>
    <x v="339"/>
    <s v="IMOPH"/>
    <n v="9.3203351852399682E-3"/>
    <n v="2.5655747021102616E-2"/>
    <n v="2.085231406772823E-2"/>
    <n v="1.4123768138614358E-2"/>
    <n v="7.1383478227929767E-3"/>
    <n v="6.2221099016179972E-3"/>
    <n v="2.1615624481931616E-2"/>
    <n v="0"/>
    <n v="0"/>
    <n v="1.3668029652428061E-3"/>
    <n v="1.3668029652428061E-3"/>
    <n v="5.2107498486497761E-4"/>
    <n v="5.2107498486497761E-4"/>
    <n v="7.7132840058254191E-4"/>
    <n v="7.7132840058254191E-4"/>
    <n v="7.7132840058254212E-4"/>
    <n v="0"/>
    <n v="0"/>
  </r>
  <r>
    <x v="340"/>
    <s v="IMOPH"/>
    <n v="4.7145027774242356"/>
    <n v="12.977439993727829"/>
    <n v="24.259757665211154"/>
    <n v="16.431710708438597"/>
    <n v="5.2356435636141052"/>
    <n v="4.5636259912254813"/>
    <n v="15.854047463330909"/>
    <n v="11.961027817086059"/>
    <n v="7.5001092311812174"/>
    <n v="0.69136959645330431"/>
    <n v="0.69136959645330431"/>
    <n v="0.60622302240267023"/>
    <n v="0.60622302240267023"/>
    <n v="0.56573323074115323"/>
    <n v="0.56573323074115311"/>
    <n v="0.56573323074115323"/>
    <n v="0.69789327648036981"/>
    <n v="0.69789327648036981"/>
  </r>
  <r>
    <x v="341"/>
    <s v="INOPH"/>
    <n v="3.1781401544899446E-2"/>
    <n v="8.7483505883273319E-2"/>
    <n v="0.10665642705259056"/>
    <n v="7.2240934089668626E-2"/>
    <n v="0.12170522519545056"/>
    <n v="0.10608383138032232"/>
    <n v="0.36853548056509111"/>
    <n v="0.21990455210492127"/>
    <n v="0.13789017017959707"/>
    <n v="5.7823849235497018E-3"/>
    <n v="5.7823849235497018E-3"/>
    <n v="3.12756635336023E-3"/>
    <n v="3.1275663533602296E-3"/>
    <n v="6.3714101220672557E-3"/>
    <n v="6.3714101220672548E-3"/>
    <n v="6.3714101220672557E-3"/>
    <n v="1.122304962992471E-2"/>
    <n v="1.1223049629924714E-2"/>
  </r>
  <r>
    <x v="342"/>
    <s v="INOPH"/>
    <n v="0.22674778103881332"/>
    <n v="0.62416035392598213"/>
    <n v="0.76095159408047697"/>
    <n v="0.51541060836671637"/>
    <n v="0.73807101482525506"/>
    <n v="0.64333639708307733"/>
    <n v="2.2349521616920489"/>
    <n v="0.65372181535796459"/>
    <n v="0.40991335334802997"/>
    <n v="4.1255038695346864E-2"/>
    <n v="4.125503869534685E-2"/>
    <n v="2.231395395430252E-2"/>
    <n v="2.2313953954302513E-2"/>
    <n v="3.8638876244714154E-2"/>
    <n v="3.8638876244714154E-2"/>
    <n v="3.8638876244714154E-2"/>
    <n v="3.3363349269943214E-2"/>
    <n v="3.3363349269943221E-2"/>
  </r>
  <r>
    <x v="343"/>
    <s v="INOPH"/>
    <n v="0"/>
    <n v="0"/>
    <n v="0"/>
    <n v="0"/>
    <n v="7.1383478227929767E-3"/>
    <n v="6.2221099016179972E-3"/>
    <n v="2.1615624481931616E-2"/>
    <n v="4.2993365820832165E-2"/>
    <n v="2.695879859185301E-2"/>
    <n v="0"/>
    <n v="0"/>
    <n v="0"/>
    <n v="0"/>
    <n v="3.7370081276247503E-4"/>
    <n v="3.7370081276247503E-4"/>
    <n v="3.7370081276247508E-4"/>
    <n v="2.1942095956908108E-3"/>
    <n v="2.1942095956908113E-3"/>
  </r>
  <r>
    <x v="344"/>
    <s v="INOPH"/>
    <n v="3.3065214162758512"/>
    <n v="9.1017410092904356"/>
    <n v="15.411780994976811"/>
    <n v="10.438765724952955"/>
    <n v="12.873187753004666"/>
    <n v="11.220858239437579"/>
    <n v="38.981288004186389"/>
    <n v="11.439380828504801"/>
    <n v="7.1730128098446322"/>
    <n v="0.60159648906157714"/>
    <n v="0.60159648906157714"/>
    <n v="0.45193120580983653"/>
    <n v="0.45193120580983648"/>
    <n v="0.67392635460841455"/>
    <n v="0.67392635460841455"/>
    <n v="0.67392635460841455"/>
    <n v="0.58382028723381529"/>
    <n v="0.58382028723381529"/>
  </r>
  <r>
    <x v="345"/>
    <s v="INOPH"/>
    <n v="1.9311939377959821"/>
    <n v="5.3159271777311146"/>
    <n v="17.822661908565095"/>
    <n v="12.07171269298418"/>
    <n v="5.3616699299285768"/>
    <n v="4.6734763265098449"/>
    <n v="16.235667787347307"/>
    <n v="7.2380099216522877"/>
    <n v="4.5385618910792447"/>
    <n v="0.35136608731952634"/>
    <n v="0.35136608731952634"/>
    <n v="0.52262727388250085"/>
    <n v="0.52262727388250074"/>
    <n v="0.28068965821204156"/>
    <n v="0.28068965821204156"/>
    <n v="0.28068965821204156"/>
    <n v="0.36939910427062589"/>
    <n v="0.36939910427062594"/>
  </r>
  <r>
    <x v="346"/>
    <s v="IPOPH"/>
    <n v="0"/>
    <n v="0"/>
    <n v="1.8262699035658232"/>
    <n v="0.34971125812962567"/>
    <n v="1.0879905808477244"/>
    <n v="0.63173646629867874"/>
    <n v="0.45625411454904574"/>
    <n v="0"/>
    <n v="0"/>
    <n v="0"/>
    <n v="0"/>
    <n v="0.18425775050743068"/>
    <n v="0.18425775050743068"/>
    <n v="0.21988416202473549"/>
    <n v="0.21988416202473549"/>
    <n v="0.21988416202473549"/>
    <n v="0"/>
    <n v="0"/>
  </r>
  <r>
    <x v="347"/>
    <s v="IPOPH"/>
    <n v="0.19123358740629634"/>
    <n v="0.16873551829967323"/>
    <n v="0.65458667734031972"/>
    <n v="0.12534638502261441"/>
    <n v="0.53995365855895439"/>
    <n v="0.31352147916326389"/>
    <n v="0.22643217939569057"/>
    <n v="2.0569663183198261E-2"/>
    <n v="0.15941488966978654"/>
    <n v="0.13988340858987777"/>
    <n v="0.13988340858987774"/>
    <n v="6.6043178198010255E-2"/>
    <n v="6.6043178198010255E-2"/>
    <n v="0.1091252625109288"/>
    <n v="0.1091252625109288"/>
    <n v="0.1091252625109288"/>
    <n v="0.10220752719937166"/>
    <n v="0.10220752719937168"/>
  </r>
  <r>
    <x v="348"/>
    <s v="IPOPH"/>
    <n v="1.1758591173973982"/>
    <n v="1.0375227506447631"/>
    <n v="7.4306391284272566"/>
    <n v="1.4228883437413895"/>
    <n v="3.3200728020632422"/>
    <n v="1.9277842076496248"/>
    <n v="1.3922885944136176"/>
    <n v="0.18068423412589069"/>
    <n v="1.4003028144756529"/>
    <n v="0.86011659141012231"/>
    <n v="0.8601165914101222"/>
    <n v="0.74969907129455904"/>
    <n v="0.74969907129455915"/>
    <n v="0.67099057546433571"/>
    <n v="0.67099057546433571"/>
    <n v="0.6709905754643356"/>
    <n v="0.89779247280062835"/>
    <n v="0.89779247280062835"/>
  </r>
  <r>
    <x v="349"/>
    <s v="IPAPH"/>
    <n v="0.29709423319563899"/>
    <n v="0.26214197046674026"/>
    <n v="2.6284101572131831"/>
    <n v="0.50331258329614137"/>
    <n v="2.236944814649517"/>
    <n v="1.2988711826997197"/>
    <n v="0.93807363194979754"/>
    <n v="0.35791117034392272"/>
    <n v="2.7738115701654009"/>
    <n v="2.9082321648500751E-2"/>
    <n v="2.908232164850074E-2"/>
    <n v="0.18376762831692692"/>
    <n v="0.18376762831692695"/>
    <n v="0.17255970084153813"/>
    <n v="0.17255970084153813"/>
    <n v="0.17255970084153813"/>
    <n v="0.25976355982138016"/>
    <n v="0.25976355982138016"/>
  </r>
  <r>
    <x v="350"/>
    <s v="IPAPH"/>
    <n v="8.1174856056976328"/>
    <n v="7.1624872991449697"/>
    <n v="9.8067893328349065"/>
    <n v="1.8778958296917907"/>
    <n v="8.5388083880002785"/>
    <n v="4.9580177736775815"/>
    <n v="3.580790614322698"/>
    <n v="0.95874339795090846"/>
    <n v="7.4302613341195398"/>
    <n v="0.79461430409696288"/>
    <n v="0.79461430409696265"/>
    <n v="0.68565037772095316"/>
    <n v="0.68565037772095339"/>
    <n v="0.65869046537359666"/>
    <n v="0.65869046537359677"/>
    <n v="0.65869046537359677"/>
    <n v="0.69583354374679363"/>
    <n v="0.69583354374679363"/>
  </r>
  <r>
    <x v="351"/>
    <s v="IPAPH"/>
    <n v="1.4072783363802552"/>
    <n v="1.2417161791590487"/>
    <n v="0.2779079067641681"/>
    <n v="5.321640767824494E-2"/>
    <n v="0.99337294332723924"/>
    <n v="0.57679719289968734"/>
    <n v="0.41657575042755196"/>
    <n v="0"/>
    <n v="0"/>
    <n v="0.13775737343453215"/>
    <n v="0.13775737343453212"/>
    <n v="1.9430177887731638E-2"/>
    <n v="1.9430177887731635E-2"/>
    <n v="7.6629578343658855E-2"/>
    <n v="7.6629578343658869E-2"/>
    <n v="7.6629578343658855E-2"/>
    <n v="0"/>
    <n v="0"/>
  </r>
  <r>
    <x v="352"/>
    <s v="IPAPH"/>
    <n v="0.39377167664906915"/>
    <n v="0.34744559704329631"/>
    <n v="1.5897933985346173"/>
    <n v="0.3044285231236501"/>
    <n v="1.1941833853932555"/>
    <n v="0.69339680442189033"/>
    <n v="0.50078658097136519"/>
    <n v="6.1179838463496831E-2"/>
    <n v="0.47414374809210041"/>
    <n v="3.8546000820004339E-2"/>
    <n v="3.8546000820004332E-2"/>
    <n v="0.11115181607438825"/>
    <n v="0.11115181607438826"/>
    <n v="9.2120255441206306E-2"/>
    <n v="9.2120255441206306E-2"/>
    <n v="9.2120255441206292E-2"/>
    <n v="4.4402896431826273E-2"/>
    <n v="4.4402896431826273E-2"/>
  </r>
  <r>
    <x v="353"/>
    <s v="IPBPH"/>
    <n v="0.11614469291625341"/>
    <n v="0.10248061139669419"/>
    <n v="0.330280370444203"/>
    <n v="6.3245177319102702E-2"/>
    <n v="0.72146350423272698"/>
    <n v="0.41891429278029313"/>
    <n v="0.30254921145243396"/>
    <n v="5.9965797754408481E-2"/>
    <n v="0.46473493259666576"/>
    <n v="6.6725776974475667E-2"/>
    <n v="6.6725776974475667E-2"/>
    <n v="7.933755826113531E-2"/>
    <n v="7.9337558261135338E-2"/>
    <n v="5.8927446308358562E-2"/>
    <n v="5.8927446308358548E-2"/>
    <n v="5.8927446308358562E-2"/>
    <n v="8.7382540578577153E-2"/>
    <n v="8.7382540578577153E-2"/>
  </r>
  <r>
    <x v="354"/>
    <s v="IPBPH"/>
    <n v="1.455608965443588"/>
    <n v="1.2843608518619896"/>
    <n v="3.8326958753976825"/>
    <n v="0.73392048677827948"/>
    <n v="9.9323905877327174"/>
    <n v="5.7671945348125462"/>
    <n v="4.1651960529201721"/>
    <n v="0.62627881538413188"/>
    <n v="4.8536608192270227"/>
    <n v="0.83625550812097504"/>
    <n v="0.83625550812097504"/>
    <n v="0.92066244173886458"/>
    <n v="0.92066244173886458"/>
    <n v="0.81125435956004344"/>
    <n v="0.81125435956004333"/>
    <n v="0.81125435956004333"/>
    <n v="0.91261745942142292"/>
    <n v="0.91261745942142292"/>
  </r>
  <r>
    <x v="355"/>
    <s v="IPBPH"/>
    <n v="0.16887340036563062"/>
    <n v="0.14900594149908586"/>
    <n v="0"/>
    <n v="0"/>
    <n v="1.5893967093235826"/>
    <n v="0.92287550863949952"/>
    <n v="0.66652120068408294"/>
    <n v="0"/>
    <n v="0"/>
    <n v="9.7018714904549205E-2"/>
    <n v="9.7018714904549219E-2"/>
    <n v="0"/>
    <n v="0"/>
    <n v="0.12981819413159809"/>
    <n v="0.12981819413159804"/>
    <n v="0.12981819413159804"/>
    <n v="0"/>
    <n v="0"/>
  </r>
  <r>
    <x v="356"/>
    <s v="ICPPH"/>
    <n v="9.3448369356002203E-2"/>
    <n v="0.25723192096448444"/>
    <n v="0.83628526579787732"/>
    <n v="0.56643589548406936"/>
    <n v="1.5507079160451831"/>
    <n v="1.351667825450255"/>
    <n v="4.6956972154484404"/>
    <n v="7.1843981452608466E-2"/>
    <n v="4.5049448654220448E-2"/>
    <n v="0.28000464694404414"/>
    <n v="0.28000464694404414"/>
    <n v="0.31390630957206933"/>
    <n v="0.31390630957206928"/>
    <n v="0.11863410432607509"/>
    <n v="0.11863410432607512"/>
    <n v="0.11863410432607512"/>
    <n v="0.39326392690148743"/>
    <n v="0.39326392690148743"/>
  </r>
  <r>
    <x v="357"/>
    <s v="ICPPH"/>
    <n v="0.24029026811267107"/>
    <n v="0.6614382645910053"/>
    <n v="1.8278385198563125"/>
    <n v="1.2380384913361873"/>
    <n v="11.520642222722177"/>
    <n v="10.041917797576748"/>
    <n v="34.885646126951222"/>
    <n v="0.11084244498539376"/>
    <n v="6.950326155534152E-2"/>
    <n v="0.71999535305595586"/>
    <n v="0.71999535305595586"/>
    <n v="0.68609369042793078"/>
    <n v="0.68609369042793067"/>
    <n v="0.88136589567392487"/>
    <n v="0.88136589567392487"/>
    <n v="0.88136589567392487"/>
    <n v="0.60673607309851263"/>
    <n v="0.60673607309851263"/>
  </r>
  <r>
    <x v="358"/>
    <s v="IMAPH"/>
    <n v="3.8584186702498677E-2"/>
    <n v="0.10620928468559264"/>
    <n v="1.2660868513066115"/>
    <n v="0.85755072905206098"/>
    <n v="0.42356759371567221"/>
    <n v="0.36920085491598026"/>
    <n v="1.2826046412643233"/>
    <n v="0.50428602895556252"/>
    <n v="0.31621030891028823"/>
    <n v="2.5041093375784675E-2"/>
    <n v="2.5041093375784671E-2"/>
    <n v="0.17712981750771081"/>
    <n v="0.17712981750771081"/>
    <n v="5.3601257136457636E-2"/>
    <n v="5.3601257136457636E-2"/>
    <n v="5.3601257136457643E-2"/>
    <n v="0.16252031671169145"/>
    <n v="0.16252031671169145"/>
  </r>
  <r>
    <x v="359"/>
    <s v="IMAPH"/>
    <n v="1.5022505573510694"/>
    <n v="4.1351903655509075"/>
    <n v="5.8817037867743895"/>
    <n v="3.9838178283040722"/>
    <n v="7.4786275476661306"/>
    <n v="6.5187132470997948"/>
    <n v="22.646025204096929"/>
    <n v="2.5986246665124888"/>
    <n v="1.6294560256639943"/>
    <n v="0.97495890662421525"/>
    <n v="0.97495890662421547"/>
    <n v="0.82287018249228916"/>
    <n v="0.82287018249228927"/>
    <n v="0.94639874286354231"/>
    <n v="0.94639874286354242"/>
    <n v="0.94639874286354231"/>
    <n v="0.83747968328830857"/>
    <n v="0.83747968328830846"/>
  </r>
  <r>
    <x v="360"/>
    <s v="IMSPH"/>
    <n v="0"/>
    <n v="0"/>
    <n v="0.2852326300274754"/>
    <n v="0.19319484249999733"/>
    <n v="6.5095564195990691E-2"/>
    <n v="5.674026603775234E-2"/>
    <n v="0.19711581811790557"/>
    <n v="0"/>
    <n v="0"/>
    <n v="0"/>
    <n v="0"/>
    <n v="2.3839429391923563E-3"/>
    <n v="2.3839429391923567E-3"/>
    <n v="3.7020814350226063E-3"/>
    <n v="3.7020814350226063E-3"/>
    <n v="3.7020814350226063E-3"/>
    <n v="0"/>
    <n v="0"/>
  </r>
  <r>
    <x v="361"/>
    <s v="IMSPH"/>
    <n v="1.6979948146713315"/>
    <n v="4.6740084495394782"/>
    <n v="12.726350880262155"/>
    <n v="8.6198600548440574"/>
    <n v="4.9418109886163935"/>
    <n v="4.3075081023670148"/>
    <n v="14.96429331301767"/>
    <n v="1.9581514714366224"/>
    <n v="1.2278501606687824"/>
    <n v="0.19023070175143741"/>
    <n v="0.19023070175143739"/>
    <n v="0.10636544044684845"/>
    <n v="0.10636544044684844"/>
    <n v="0.28104813196279621"/>
    <n v="0.28104813196279621"/>
    <n v="0.28104813196279615"/>
    <n v="0.2536438603211999"/>
    <n v="0.2536438603211999"/>
  </r>
  <r>
    <x v="362"/>
    <s v="IMSPH"/>
    <n v="6.7259372545449807"/>
    <n v="18.514242380004351"/>
    <n v="86.417868646723946"/>
    <n v="58.532877254545085"/>
    <n v="11.038554470181595"/>
    <n v="9.6217081001795872"/>
    <n v="33.425836646530257"/>
    <n v="5.7619308083273459"/>
    <n v="3.6129930559338357"/>
    <n v="0.75352395237784486"/>
    <n v="0.75352395237784475"/>
    <n v="0.72227103806659632"/>
    <n v="0.72227103806659632"/>
    <n v="0.62777899044712548"/>
    <n v="0.62777899044712548"/>
    <n v="0.62777899044712548"/>
    <n v="0.7463561396788001"/>
    <n v="0.7463561396788001"/>
  </r>
  <r>
    <x v="363"/>
    <s v="IMSPH"/>
    <n v="0.50204464767555768"/>
    <n v="1.3819600065950928"/>
    <n v="20.217971167685587"/>
    <n v="13.694112609185886"/>
    <n v="1.5380431052973509"/>
    <n v="1.340628598123087"/>
    <n v="4.6573469136621144"/>
    <n v="0"/>
    <n v="0"/>
    <n v="5.624534587071784E-2"/>
    <n v="5.6245345870717826E-2"/>
    <n v="0.16897957854736295"/>
    <n v="0.16897957854736295"/>
    <n v="8.7470796155055666E-2"/>
    <n v="8.7470796155055666E-2"/>
    <n v="8.7470796155055666E-2"/>
    <n v="0"/>
    <n v="0"/>
  </r>
  <r>
    <x v="364"/>
    <s v="IPLPH"/>
    <n v="9.3999134184622093E-2"/>
    <n v="8.2940412515843026E-2"/>
    <n v="0.14850283383789037"/>
    <n v="2.8436712862574744E-2"/>
    <n v="0.35387909340093021"/>
    <n v="0.20547818326505629"/>
    <n v="0.14840091013587398"/>
    <n v="2.0221662480053155E-2"/>
    <n v="0.15671788422041194"/>
    <n v="0.1586106089125088"/>
    <n v="0.1586106089125088"/>
    <n v="0.3020681059947341"/>
    <n v="0.3020681059947341"/>
    <n v="7.755291958081674E-2"/>
    <n v="7.7552919580816754E-2"/>
    <n v="7.7552919580816754E-2"/>
    <n v="0.4004615875907574"/>
    <n v="0.4004615875907574"/>
  </r>
  <r>
    <x v="365"/>
    <s v="IPLPH"/>
    <n v="0.21718609960586868"/>
    <n v="0.19163479376988415"/>
    <n v="0.34311753551179258"/>
    <n v="6.5703357863960268E-2"/>
    <n v="3.6793880403817751"/>
    <n v="2.1364188621571598"/>
    <n v="1.5429691782246153"/>
    <n v="0"/>
    <n v="0"/>
    <n v="0.36647166811303655"/>
    <n v="0.36647166811303666"/>
    <n v="0.6979318940052659"/>
    <n v="0.69793189400526578"/>
    <n v="0.80634117732143096"/>
    <n v="0.80634117732143096"/>
    <n v="0.80634117732143096"/>
    <n v="0"/>
    <n v="0"/>
  </r>
  <r>
    <x v="366"/>
    <s v="IPLPH"/>
    <n v="0.28145566727605104"/>
    <n v="0.24834323583180976"/>
    <n v="0"/>
    <n v="0"/>
    <n v="0.52979890310786082"/>
    <n v="0.30762516954649988"/>
    <n v="0.222173733561361"/>
    <n v="3.0274223034734902E-2"/>
    <n v="0.23462522851919548"/>
    <n v="0.4749177229744545"/>
    <n v="0.47491772297445456"/>
    <n v="0"/>
    <n v="0"/>
    <n v="0.11610590309775233"/>
    <n v="0.11610590309775234"/>
    <n v="0.11610590309775234"/>
    <n v="0.59953841240924266"/>
    <n v="0.59953841240924266"/>
  </r>
  <r>
    <x v="367"/>
    <s v="IMLPH"/>
    <n v="0.33448560000198496"/>
    <n v="0.9207263221007973"/>
    <n v="0.10690600780445661"/>
    <n v="7.2409981067369414E-2"/>
    <n v="3.6597006239968442E-2"/>
    <n v="3.1899621669904621E-2"/>
    <n v="0.11081936096195298"/>
    <n v="0"/>
    <n v="0"/>
    <n v="0.39812421599769671"/>
    <n v="0.39812421599769676"/>
    <n v="2.628909723833656E-2"/>
    <n v="2.628909723833656E-2"/>
    <n v="3.6421738285916105E-2"/>
    <n v="3.6421738285916105E-2"/>
    <n v="3.6421738285916105E-2"/>
    <n v="0"/>
    <n v="0"/>
  </r>
  <r>
    <x v="368"/>
    <s v="IMLPH"/>
    <n v="0.50566826796549391"/>
    <n v="1.3919346141184752"/>
    <n v="3.9596470135963298"/>
    <n v="2.6819630736975628"/>
    <n v="0.96821517358177578"/>
    <n v="0.84394055431202697"/>
    <n v="2.9318514773161208"/>
    <n v="0.5831437495685764"/>
    <n v="0.36565769147340821"/>
    <n v="0.60187578400230324"/>
    <n v="0.60187578400230324"/>
    <n v="0.97371090276166339"/>
    <n v="0.97371090276166339"/>
    <n v="0.96357826171408389"/>
    <n v="0.96357826171408378"/>
    <n v="0.96357826171408389"/>
    <n v="1"/>
    <n v="1"/>
  </r>
  <r>
    <x v="369"/>
    <s v="IMTPH"/>
    <n v="0"/>
    <n v="0"/>
    <n v="7.5821332032620065E-2"/>
    <n v="5.1355591044303095E-2"/>
    <n v="1.7303884153364611E-2"/>
    <n v="1.5082855529022771E-2"/>
    <n v="5.239787570222805E-2"/>
    <n v="0"/>
    <n v="0"/>
    <n v="0"/>
    <n v="0"/>
    <n v="2.3839429391923571E-3"/>
    <n v="2.3839429391923567E-3"/>
    <n v="3.7020814350226072E-3"/>
    <n v="3.7020814350226068E-3"/>
    <n v="3.7020814350226072E-3"/>
    <n v="0"/>
    <n v="0"/>
  </r>
  <r>
    <x v="370"/>
    <s v="IMTPH"/>
    <n v="0.45136571022908806"/>
    <n v="1.2424579422826458"/>
    <n v="3.3829540314620914"/>
    <n v="2.2913552044522181"/>
    <n v="1.3136459589992941"/>
    <n v="1.1450337993633837"/>
    <n v="3.9778501211819122"/>
    <n v="0.52052127721732999"/>
    <n v="0.32639054903853709"/>
    <n v="0.19023070175143741"/>
    <n v="0.19023070175143744"/>
    <n v="0.10636544044684844"/>
    <n v="0.10636544044684844"/>
    <n v="0.28104813196279627"/>
    <n v="0.28104813196279627"/>
    <n v="0.28104813196279627"/>
    <n v="0.25364386032119995"/>
    <n v="0.2536438603211999"/>
  </r>
  <r>
    <x v="371"/>
    <s v="IMTPH"/>
    <n v="1.7879073714613236"/>
    <n v="4.9215074681024209"/>
    <n v="22.971838501027882"/>
    <n v="15.55937243475249"/>
    <n v="2.9342992895419422"/>
    <n v="2.5576692418198901"/>
    <n v="8.8853489819890541"/>
    <n v="1.5316524933528384"/>
    <n v="0.96041587562798136"/>
    <n v="0.75352395237784486"/>
    <n v="0.75352395237784486"/>
    <n v="0.7222710380665962"/>
    <n v="0.72227103806659609"/>
    <n v="0.6277789904471256"/>
    <n v="0.6277789904471256"/>
    <n v="0.6277789904471256"/>
    <n v="0.7463561396788001"/>
    <n v="0.74635613967879999"/>
  </r>
  <r>
    <x v="372"/>
    <s v="IMTPH"/>
    <n v="0.13345490634413507"/>
    <n v="0.3673564574493271"/>
    <n v="5.3743973990050318"/>
    <n v="3.6402071492772623"/>
    <n v="0.40884690140815605"/>
    <n v="0.3563696273491746"/>
    <n v="1.2380289264165099"/>
    <n v="0"/>
    <n v="0"/>
    <n v="5.6245345870717639E-2"/>
    <n v="5.6245345870717646E-2"/>
    <n v="0.16897957854736301"/>
    <n v="0.16897957854736298"/>
    <n v="8.7470796155055597E-2"/>
    <n v="8.7470796155055597E-2"/>
    <n v="8.7470796155055597E-2"/>
    <n v="0"/>
    <n v="0"/>
  </r>
</pivotCacheRecords>
</file>

<file path=xl/pivotCache/pivotCacheRecords5.xml><?xml version="1.0" encoding="utf-8"?>
<pivotCacheRecords xmlns="http://schemas.openxmlformats.org/spreadsheetml/2006/main" xmlns:r="http://schemas.openxmlformats.org/officeDocument/2006/relationships" count="171">
  <r>
    <x v="0"/>
    <x v="0"/>
    <n v="0"/>
    <n v="0"/>
  </r>
  <r>
    <x v="0"/>
    <x v="1"/>
    <n v="0"/>
    <n v="0"/>
  </r>
  <r>
    <x v="0"/>
    <x v="2"/>
    <n v="45.432757445069981"/>
    <n v="0.11140422373102106"/>
  </r>
  <r>
    <x v="0"/>
    <x v="3"/>
    <n v="39.801248254623111"/>
    <n v="9.759537863606145E-2"/>
  </r>
  <r>
    <x v="0"/>
    <x v="4"/>
    <n v="61.79500930856679"/>
    <n v="0.15152558263265017"/>
  </r>
  <r>
    <x v="0"/>
    <x v="5"/>
    <n v="59.992423297447175"/>
    <n v="0.14710551863983679"/>
  </r>
  <r>
    <x v="0"/>
    <x v="6"/>
    <n v="194.70981461611191"/>
    <n v="0.4774417616263959"/>
  </r>
  <r>
    <x v="0"/>
    <x v="7"/>
    <n v="4.2262308903005437"/>
    <n v="1.0363006740483103E-2"/>
  </r>
  <r>
    <x v="0"/>
    <x v="8"/>
    <n v="1.861501173267583"/>
    <n v="4.564527993551561E-3"/>
  </r>
  <r>
    <x v="1"/>
    <x v="0"/>
    <n v="5.1174965443007601"/>
    <n v="2.241952074250482E-2"/>
  </r>
  <r>
    <x v="1"/>
    <x v="1"/>
    <n v="19.35130550253648"/>
    <n v="8.4777193565832465E-2"/>
  </r>
  <r>
    <x v="1"/>
    <x v="2"/>
    <n v="43.505091555901984"/>
    <n v="0.19059383706440522"/>
  </r>
  <r>
    <x v="1"/>
    <x v="3"/>
    <n v="29.467032962816454"/>
    <n v="0.12909373773113203"/>
  </r>
  <r>
    <x v="1"/>
    <x v="4"/>
    <n v="18.14420881241573"/>
    <n v="7.9488957599652868E-2"/>
  </r>
  <r>
    <x v="1"/>
    <x v="5"/>
    <n v="15.815320871347595"/>
    <n v="6.9286204935384968E-2"/>
  </r>
  <r>
    <x v="1"/>
    <x v="6"/>
    <n v="54.942462030027514"/>
    <n v="0.24070043945575204"/>
  </r>
  <r>
    <x v="1"/>
    <x v="7"/>
    <n v="25.763156077322762"/>
    <n v="0.11286722073338459"/>
  </r>
  <r>
    <x v="1"/>
    <x v="8"/>
    <n v="16.154672296963582"/>
    <n v="7.0772888171950932E-2"/>
  </r>
  <r>
    <x v="2"/>
    <x v="0"/>
    <n v="18.94449061626074"/>
    <n v="1.8555045735389332E-2"/>
  </r>
  <r>
    <x v="2"/>
    <x v="1"/>
    <n v="50.907888561102567"/>
    <n v="4.9861367068512193E-2"/>
  </r>
  <r>
    <x v="2"/>
    <x v="2"/>
    <n v="259.95492691910863"/>
    <n v="0.25461099249528985"/>
  </r>
  <r>
    <x v="2"/>
    <x v="3"/>
    <n v="252.0757482429479"/>
    <n v="0.24689378733760778"/>
  </r>
  <r>
    <x v="2"/>
    <x v="4"/>
    <n v="89.95318394492989"/>
    <n v="8.8104002158254244E-2"/>
  </r>
  <r>
    <x v="2"/>
    <x v="5"/>
    <n v="48.287694773388225"/>
    <n v="4.7295037017658664E-2"/>
  </r>
  <r>
    <x v="2"/>
    <x v="6"/>
    <n v="115.92343106830126"/>
    <n v="0.11354037481637705"/>
  </r>
  <r>
    <x v="2"/>
    <x v="7"/>
    <n v="87.170969595435835"/>
    <n v="8.5378982227857808E-2"/>
  </r>
  <r>
    <x v="2"/>
    <x v="8"/>
    <n v="97.770290420185418"/>
    <n v="9.576041114305299E-2"/>
  </r>
  <r>
    <x v="3"/>
    <x v="0"/>
    <n v="15.467510229977448"/>
    <n v="4.5819966943574521E-2"/>
  </r>
  <r>
    <x v="3"/>
    <x v="1"/>
    <n v="42.57685175690397"/>
    <n v="0.12612695327537904"/>
  </r>
  <r>
    <x v="3"/>
    <x v="2"/>
    <n v="61.587243881054533"/>
    <n v="0.18244212784205124"/>
  </r>
  <r>
    <x v="3"/>
    <x v="3"/>
    <n v="41.714504685046485"/>
    <n v="0.12357239124575005"/>
  </r>
  <r>
    <x v="3"/>
    <x v="4"/>
    <n v="26.107654408727129"/>
    <n v="7.7339652225585684E-2"/>
  </r>
  <r>
    <x v="3"/>
    <x v="5"/>
    <n v="22.756623666595594"/>
    <n v="6.741277223336907E-2"/>
  </r>
  <r>
    <x v="3"/>
    <x v="6"/>
    <n v="80.113220778498487"/>
    <n v="0.23732230160092421"/>
  </r>
  <r>
    <x v="3"/>
    <x v="7"/>
    <n v="29.039007055058246"/>
    <n v="8.6023304562503997E-2"/>
  </r>
  <r>
    <x v="3"/>
    <x v="8"/>
    <n v="18.208780065444088"/>
    <n v="5.3940530070862178E-2"/>
  </r>
  <r>
    <x v="4"/>
    <x v="0"/>
    <n v="9.3310755905314675"/>
    <n v="1.6913204039400637E-2"/>
  </r>
  <r>
    <x v="4"/>
    <x v="1"/>
    <n v="23.836792910199289"/>
    <n v="4.3205795325914474E-2"/>
  </r>
  <r>
    <x v="4"/>
    <x v="2"/>
    <n v="45.508028224812783"/>
    <n v="8.2486371408038606E-2"/>
  </r>
  <r>
    <x v="4"/>
    <x v="3"/>
    <n v="31.08421797967484"/>
    <n v="5.6342242220063544E-2"/>
  </r>
  <r>
    <x v="4"/>
    <x v="4"/>
    <n v="82.531534885688572"/>
    <n v="0.14959397506360339"/>
  </r>
  <r>
    <x v="4"/>
    <x v="5"/>
    <n v="61.655428864342205"/>
    <n v="0.1117546244698225"/>
  </r>
  <r>
    <x v="4"/>
    <x v="6"/>
    <n v="242.70972986802403"/>
    <n v="0.43992776007207274"/>
  </r>
  <r>
    <x v="4"/>
    <x v="7"/>
    <n v="34.291404451165043"/>
    <n v="6.2155484076100172E-2"/>
  </r>
  <r>
    <x v="4"/>
    <x v="8"/>
    <n v="20.755389262999017"/>
    <n v="3.7620543324983775E-2"/>
  </r>
  <r>
    <x v="5"/>
    <x v="0"/>
    <n v="3.3850206400124399"/>
    <n v="1.1610898228889093E-3"/>
  </r>
  <r>
    <x v="5"/>
    <x v="1"/>
    <n v="38.801912518547859"/>
    <n v="1.3309374011304732E-2"/>
  </r>
  <r>
    <x v="5"/>
    <x v="2"/>
    <n v="127.05425718166921"/>
    <n v="4.3580651540075718E-2"/>
  </r>
  <r>
    <x v="5"/>
    <x v="3"/>
    <n v="65.889581878733225"/>
    <n v="2.2600666610269618E-2"/>
  </r>
  <r>
    <x v="5"/>
    <x v="4"/>
    <n v="526.64109896173318"/>
    <n v="0.18064221325316707"/>
  </r>
  <r>
    <x v="5"/>
    <x v="5"/>
    <n v="451.64789720574146"/>
    <n v="0.15491893041244068"/>
  </r>
  <r>
    <x v="5"/>
    <x v="6"/>
    <n v="1692.4694615261481"/>
    <n v="0.58053089665091706"/>
  </r>
  <r>
    <x v="5"/>
    <x v="7"/>
    <n v="5.8448019160675067"/>
    <n v="2.0048149607509156E-3"/>
  </r>
  <r>
    <x v="5"/>
    <x v="8"/>
    <n v="3.6482006933455415"/>
    <n v="1.2513627381853139E-3"/>
  </r>
  <r>
    <x v="6"/>
    <x v="0"/>
    <n v="76.931488421479614"/>
    <n v="3.4132325198429521E-2"/>
  </r>
  <r>
    <x v="6"/>
    <x v="1"/>
    <n v="215.33157369883469"/>
    <n v="9.5536528017130237E-2"/>
  </r>
  <r>
    <x v="6"/>
    <x v="2"/>
    <n v="463.98795361137593"/>
    <n v="0.20585832986945765"/>
  </r>
  <r>
    <x v="6"/>
    <x v="3"/>
    <n v="299.56349041084445"/>
    <n v="0.13290784673580755"/>
  </r>
  <r>
    <x v="6"/>
    <x v="4"/>
    <n v="207.42523353183208"/>
    <n v="9.2028708537139625E-2"/>
  </r>
  <r>
    <x v="6"/>
    <x v="5"/>
    <n v="159.89555005524713"/>
    <n v="7.0941132483583552E-2"/>
  </r>
  <r>
    <x v="6"/>
    <x v="6"/>
    <n v="528.43571851314016"/>
    <n v="0.23445198007790427"/>
  </r>
  <r>
    <x v="6"/>
    <x v="7"/>
    <n v="176.90818507978867"/>
    <n v="7.8489157395808126E-2"/>
  </r>
  <r>
    <x v="6"/>
    <x v="8"/>
    <n v="125.43957647223664"/>
    <n v="5.5653991684739362E-2"/>
  </r>
  <r>
    <x v="7"/>
    <x v="0"/>
    <n v="15.340962081406589"/>
    <n v="5.035677269649648E-2"/>
  </r>
  <r>
    <x v="7"/>
    <x v="1"/>
    <n v="59.447196675097828"/>
    <n v="0.19513567366417392"/>
  </r>
  <r>
    <x v="7"/>
    <x v="2"/>
    <n v="66.207520796153204"/>
    <n v="0.21732646608724043"/>
  </r>
  <r>
    <x v="7"/>
    <x v="3"/>
    <n v="36.143704422857745"/>
    <n v="0.1186418621187493"/>
  </r>
  <r>
    <x v="7"/>
    <x v="4"/>
    <n v="35.314273618764254"/>
    <n v="0.11591925200814673"/>
  </r>
  <r>
    <x v="7"/>
    <x v="5"/>
    <n v="17.47968943882789"/>
    <n v="5.7377154262263842E-2"/>
  </r>
  <r>
    <x v="7"/>
    <x v="6"/>
    <n v="57.942521966785321"/>
    <n v="0.19019657259172587"/>
  </r>
  <r>
    <x v="7"/>
    <x v="7"/>
    <n v="9.0587780592370351"/>
    <n v="2.9735477163449403E-2"/>
  </r>
  <r>
    <x v="7"/>
    <x v="8"/>
    <n v="7.7108109384975538"/>
    <n v="2.5310769407753998E-2"/>
  </r>
  <r>
    <x v="8"/>
    <x v="0"/>
    <n v="12.022841358313119"/>
    <n v="3.6748384812187819E-2"/>
  </r>
  <r>
    <x v="8"/>
    <x v="1"/>
    <n v="37.872488450142463"/>
    <n v="0.11575905710497086"/>
  </r>
  <r>
    <x v="8"/>
    <x v="2"/>
    <n v="74.140331422726135"/>
    <n v="0.22661343920516891"/>
  </r>
  <r>
    <x v="8"/>
    <x v="3"/>
    <n v="48.49982277120094"/>
    <n v="0.14824200847386612"/>
  </r>
  <r>
    <x v="8"/>
    <x v="4"/>
    <n v="20.77585475467971"/>
    <n v="6.3502385382402882E-2"/>
  </r>
  <r>
    <x v="8"/>
    <x v="5"/>
    <n v="17.96682033499857"/>
    <n v="5.4916438456159268E-2"/>
  </r>
  <r>
    <x v="8"/>
    <x v="6"/>
    <n v="63.664150047077896"/>
    <n v="0.19459249398256537"/>
  </r>
  <r>
    <x v="8"/>
    <x v="7"/>
    <n v="35.525980050790395"/>
    <n v="0.10858684289582327"/>
  </r>
  <r>
    <x v="8"/>
    <x v="8"/>
    <n v="16.698235808624542"/>
    <n v="5.103894968685551E-2"/>
  </r>
  <r>
    <x v="9"/>
    <x v="0"/>
    <n v="7.6001544813004713"/>
    <n v="2.615859386007182E-2"/>
  </r>
  <r>
    <x v="9"/>
    <x v="1"/>
    <n v="22.255901437411659"/>
    <n v="7.660148068351133E-2"/>
  </r>
  <r>
    <x v="9"/>
    <x v="2"/>
    <n v="47.606547646820282"/>
    <n v="0.16385460953949468"/>
  </r>
  <r>
    <x v="9"/>
    <x v="3"/>
    <n v="32.996436973779794"/>
    <n v="0.11356879596990374"/>
  </r>
  <r>
    <x v="9"/>
    <x v="4"/>
    <n v="28.178747619163488"/>
    <n v="9.6987030496389931E-2"/>
  </r>
  <r>
    <x v="9"/>
    <x v="5"/>
    <n v="23.759101302549464"/>
    <n v="8.1775269566277078E-2"/>
  </r>
  <r>
    <x v="9"/>
    <x v="6"/>
    <n v="82.211642829874165"/>
    <n v="0.28296016622388209"/>
  </r>
  <r>
    <x v="9"/>
    <x v="7"/>
    <n v="28.847202153789933"/>
    <n v="9.928775092624946E-2"/>
  </r>
  <r>
    <x v="9"/>
    <x v="8"/>
    <n v="17.085665523344243"/>
    <n v="5.8806302734219891E-2"/>
  </r>
  <r>
    <x v="10"/>
    <x v="0"/>
    <n v="35.634367303667425"/>
    <n v="0.22650469575631282"/>
  </r>
  <r>
    <x v="10"/>
    <x v="1"/>
    <n v="25.308913099218202"/>
    <n v="0.16087244127585204"/>
  </r>
  <r>
    <x v="10"/>
    <x v="2"/>
    <n v="29.933517313531446"/>
    <n v="0.19026806830157944"/>
  </r>
  <r>
    <x v="10"/>
    <x v="3"/>
    <n v="5.7446507212596147"/>
    <n v="3.6515040459586777E-2"/>
  </r>
  <r>
    <x v="10"/>
    <x v="4"/>
    <n v="24.978390159523929"/>
    <n v="0.15877152007082679"/>
  </r>
  <r>
    <x v="10"/>
    <x v="5"/>
    <n v="16.111504970144722"/>
    <n v="0.10241044832760002"/>
  </r>
  <r>
    <x v="10"/>
    <x v="6"/>
    <n v="10.088812486482739"/>
    <n v="6.412807566694409E-2"/>
  </r>
  <r>
    <x v="10"/>
    <x v="7"/>
    <n v="1.0152882742504583"/>
    <n v="6.4535328971698658E-3"/>
  </r>
  <r>
    <x v="10"/>
    <x v="8"/>
    <n v="8.5074190442772597"/>
    <n v="5.4076177244128089E-2"/>
  </r>
  <r>
    <x v="11"/>
    <x v="0"/>
    <n v="72.738865064216952"/>
    <n v="0.10042189704841441"/>
  </r>
  <r>
    <x v="11"/>
    <x v="1"/>
    <n v="58.60524942365312"/>
    <n v="8.0909295449179644E-2"/>
  </r>
  <r>
    <x v="11"/>
    <x v="2"/>
    <n v="127.61429915784434"/>
    <n v="0.17618188021796516"/>
  </r>
  <r>
    <x v="11"/>
    <x v="3"/>
    <n v="27.38060717468726"/>
    <n v="3.7801146778851255E-2"/>
  </r>
  <r>
    <x v="11"/>
    <x v="4"/>
    <n v="188.07228636087538"/>
    <n v="0.25964903029374831"/>
  </r>
  <r>
    <x v="11"/>
    <x v="5"/>
    <n v="99.059271716600307"/>
    <n v="0.13675935110113521"/>
  </r>
  <r>
    <x v="11"/>
    <x v="6"/>
    <n v="68.261782405227351"/>
    <n v="9.4240921672164413E-2"/>
  </r>
  <r>
    <x v="11"/>
    <x v="7"/>
    <n v="13.206996724949857"/>
    <n v="1.8233329104884601E-2"/>
  </r>
  <r>
    <x v="11"/>
    <x v="8"/>
    <n v="69.3933542801866"/>
    <n v="9.5803148333657107E-2"/>
  </r>
  <r>
    <x v="12"/>
    <x v="0"/>
    <n v="14.655675246007366"/>
    <n v="2.1443566141580935E-2"/>
  </r>
  <r>
    <x v="12"/>
    <x v="1"/>
    <n v="11.701787827065161"/>
    <n v="1.7121562605092424E-2"/>
  </r>
  <r>
    <x v="12"/>
    <x v="2"/>
    <n v="26.751531672592957"/>
    <n v="3.9141713307691013E-2"/>
  </r>
  <r>
    <x v="12"/>
    <x v="3"/>
    <n v="5.7141005560069811"/>
    <n v="8.3606310289770537E-3"/>
  </r>
  <r>
    <x v="12"/>
    <x v="4"/>
    <n v="276.06027553346769"/>
    <n v="0.40391975655148848"/>
  </r>
  <r>
    <x v="12"/>
    <x v="5"/>
    <n v="150.24986429554087"/>
    <n v="0.21983926695310257"/>
  </r>
  <r>
    <x v="12"/>
    <x v="6"/>
    <n v="117.70704127351154"/>
    <n v="0.17222398030182667"/>
  </r>
  <r>
    <x v="12"/>
    <x v="7"/>
    <n v="9.4341286208250494"/>
    <n v="1.3803619258277196E-2"/>
  </r>
  <r>
    <x v="12"/>
    <x v="8"/>
    <n v="71.178857797192777"/>
    <n v="0.10414590385196366"/>
  </r>
  <r>
    <x v="13"/>
    <x v="0"/>
    <n v="8.0645257055617776"/>
    <n v="5.5924833119716686E-3"/>
  </r>
  <r>
    <x v="13"/>
    <x v="1"/>
    <n v="18.843743769691979"/>
    <n v="1.3067516480776281E-2"/>
  </r>
  <r>
    <x v="13"/>
    <x v="2"/>
    <n v="116.24677052467294"/>
    <n v="8.0613311677025234E-2"/>
  </r>
  <r>
    <x v="13"/>
    <x v="3"/>
    <n v="69.492713422491462"/>
    <n v="4.8190910948536739E-2"/>
  </r>
  <r>
    <x v="13"/>
    <x v="4"/>
    <n v="249.53943408050742"/>
    <n v="0.17304738948400161"/>
  </r>
  <r>
    <x v="13"/>
    <x v="5"/>
    <n v="224.53550971197137"/>
    <n v="0.15570799038351868"/>
  </r>
  <r>
    <x v="13"/>
    <x v="6"/>
    <n v="753.50961557892583"/>
    <n v="0.52253413336250032"/>
  </r>
  <r>
    <x v="13"/>
    <x v="7"/>
    <n v="0.91116270172091884"/>
    <n v="6.3186136295045664E-4"/>
  </r>
  <r>
    <x v="13"/>
    <x v="8"/>
    <n v="0.8859872117082348"/>
    <n v="6.1440298871903156E-4"/>
  </r>
  <r>
    <x v="14"/>
    <x v="0"/>
    <n v="3.0427843931077136"/>
    <n v="1.016477036558552E-2"/>
  </r>
  <r>
    <x v="14"/>
    <x v="1"/>
    <n v="15.825052118743701"/>
    <n v="5.2865402220024463E-2"/>
  </r>
  <r>
    <x v="14"/>
    <x v="2"/>
    <n v="54.595027087982025"/>
    <n v="0.18238095170636479"/>
  </r>
  <r>
    <x v="14"/>
    <x v="3"/>
    <n v="36.935149398008399"/>
    <n v="0.12338610415505022"/>
  </r>
  <r>
    <x v="14"/>
    <x v="4"/>
    <n v="27.847713841354377"/>
    <n v="9.3028483071322304E-2"/>
  </r>
  <r>
    <x v="14"/>
    <x v="5"/>
    <n v="24.314539191249725"/>
    <n v="8.1225507789481358E-2"/>
  </r>
  <r>
    <x v="14"/>
    <x v="6"/>
    <n v="86.981704343525962"/>
    <n v="0.29057236282067894"/>
  </r>
  <r>
    <x v="14"/>
    <x v="7"/>
    <n v="30.610164755054562"/>
    <n v="0.10225676728612512"/>
  </r>
  <r>
    <x v="14"/>
    <x v="8"/>
    <n v="19.193967504984265"/>
    <n v="6.4119650585367297E-2"/>
  </r>
  <r>
    <x v="15"/>
    <x v="0"/>
    <n v="44.82039899077246"/>
    <n v="5.3014338658236494E-2"/>
  </r>
  <r>
    <x v="15"/>
    <x v="1"/>
    <n v="130.84773862054098"/>
    <n v="0.15476895529916873"/>
  </r>
  <r>
    <x v="15"/>
    <x v="2"/>
    <n v="267.50343871101956"/>
    <n v="0.31640766729873299"/>
  </r>
  <r>
    <x v="15"/>
    <x v="3"/>
    <n v="175.42665234580812"/>
    <n v="0.20749766103278292"/>
  </r>
  <r>
    <x v="15"/>
    <x v="4"/>
    <n v="42.052445104134478"/>
    <n v="4.9740355203363222E-2"/>
  </r>
  <r>
    <x v="15"/>
    <x v="5"/>
    <n v="36.947866466767216"/>
    <n v="4.3702571812708861E-2"/>
  </r>
  <r>
    <x v="15"/>
    <x v="6"/>
    <n v="125.70035565865331"/>
    <n v="0.14868054221740812"/>
  </r>
  <r>
    <x v="15"/>
    <x v="7"/>
    <n v="11.986899290832991"/>
    <n v="1.4178310608016362E-2"/>
  </r>
  <r>
    <x v="15"/>
    <x v="8"/>
    <n v="10.153384572114925"/>
    <n v="1.2009597869582405E-2"/>
  </r>
  <r>
    <x v="16"/>
    <x v="0"/>
    <n v="7.3643678189191304"/>
    <n v="3.6036439929291578E-2"/>
  </r>
  <r>
    <x v="16"/>
    <x v="1"/>
    <n v="6.1030137926704979"/>
    <n v="2.986419137868207E-2"/>
  </r>
  <r>
    <x v="16"/>
    <x v="2"/>
    <n v="1.2341345385391349"/>
    <n v="6.0390540310161951E-3"/>
  </r>
  <r>
    <x v="16"/>
    <x v="3"/>
    <n v="0.23632363503940876"/>
    <n v="1.1564146016839519E-3"/>
  </r>
  <r>
    <x v="16"/>
    <x v="4"/>
    <n v="89.386793276478571"/>
    <n v="0.43740099429914109"/>
  </r>
  <r>
    <x v="16"/>
    <x v="5"/>
    <n v="52.733868481521391"/>
    <n v="0.25804535168538356"/>
  </r>
  <r>
    <x v="16"/>
    <x v="6"/>
    <n v="38.200371737968986"/>
    <n v="0.18692784435283297"/>
  </r>
  <r>
    <x v="16"/>
    <x v="7"/>
    <n v="0.74672865094505603"/>
    <n v="3.6540057252615549E-3"/>
  </r>
  <r>
    <x v="16"/>
    <x v="8"/>
    <n v="8.353314580454235"/>
    <n v="4.0875703996707195E-2"/>
  </r>
  <r>
    <x v="17"/>
    <x v="0"/>
    <n v="3.981350532008201"/>
    <n v="0.11778394751624105"/>
  </r>
  <r>
    <x v="17"/>
    <x v="1"/>
    <n v="11.29378602509215"/>
    <n v="0.33411443924485124"/>
  </r>
  <r>
    <x v="17"/>
    <x v="2"/>
    <n v="5.8562470054176563"/>
    <n v="0.17325073097252122"/>
  </r>
  <r>
    <x v="17"/>
    <x v="3"/>
    <n v="3.9604264401412914"/>
    <n v="0.11716493089902448"/>
  </r>
  <r>
    <x v="17"/>
    <x v="4"/>
    <n v="1.5351732425452957"/>
    <n v="4.541643926466514E-2"/>
  </r>
  <r>
    <x v="17"/>
    <x v="5"/>
    <n v="1.3381270947095341"/>
    <n v="3.9587042192396241E-2"/>
  </r>
  <r>
    <x v="17"/>
    <x v="6"/>
    <n v="4.6486566849000708"/>
    <n v="0.13752547799882223"/>
  </r>
  <r>
    <x v="17"/>
    <x v="7"/>
    <n v="0.70238912238446283"/>
    <n v="2.0779422173907637E-2"/>
  </r>
  <r>
    <x v="17"/>
    <x v="8"/>
    <n v="0.48599275309370837"/>
    <n v="1.4377569737570881E-2"/>
  </r>
  <r>
    <x v="18"/>
    <x v="0"/>
    <n v="11.914283276028124"/>
    <n v="5.3014338658236501E-2"/>
  </r>
  <r>
    <x v="18"/>
    <x v="1"/>
    <n v="34.782310266219753"/>
    <n v="0.1547689552991687"/>
  </r>
  <r>
    <x v="18"/>
    <x v="2"/>
    <n v="71.108509024448225"/>
    <n v="0.31640766729873293"/>
  </r>
  <r>
    <x v="18"/>
    <x v="3"/>
    <n v="46.632401256480648"/>
    <n v="0.20749766103278294"/>
  </r>
  <r>
    <x v="18"/>
    <x v="4"/>
    <n v="11.178498065655996"/>
    <n v="4.9740355203363194E-2"/>
  </r>
  <r>
    <x v="18"/>
    <x v="5"/>
    <n v="9.8215847569887522"/>
    <n v="4.3702571812708847E-2"/>
  </r>
  <r>
    <x v="18"/>
    <x v="6"/>
    <n v="33.41401859280657"/>
    <n v="0.14868054221740809"/>
  </r>
  <r>
    <x v="18"/>
    <x v="7"/>
    <n v="3.1863909507277564"/>
    <n v="1.4178310608016359E-2"/>
  </r>
  <r>
    <x v="18"/>
    <x v="8"/>
    <n v="2.6990009622077644"/>
    <n v="1.2009597869582401E-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000-000001000000}" name="PivotTable2" cacheId="0" applyNumberFormats="0" applyBorderFormats="0" applyFontFormats="0" applyPatternFormats="0" applyAlignmentFormats="0" applyWidthHeightFormats="1" dataCaption="Values" updatedVersion="5" minRefreshableVersion="3" showCalcMbrs="0" useAutoFormatting="1" itemPrintTitles="1" createdVersion="3" indent="0" outline="1" outlineData="1" multipleFieldFilters="0">
  <location ref="AW6:BH144" firstHeaderRow="1" firstDataRow="2" firstDataCol="1"/>
  <pivotFields count="47">
    <pivotField axis="axisRow" showAll="0">
      <items count="20">
        <item x="0"/>
        <item x="1"/>
        <item x="2"/>
        <item x="3"/>
        <item x="4"/>
        <item x="5"/>
        <item x="6"/>
        <item x="7"/>
        <item x="8"/>
        <item x="9"/>
        <item x="10"/>
        <item x="11"/>
        <item x="12"/>
        <item x="13"/>
        <item x="14"/>
        <item x="15"/>
        <item x="16"/>
        <item x="17"/>
        <item x="18"/>
        <item t="default"/>
      </items>
    </pivotField>
    <pivotField axis="axisRow" showAll="0">
      <items count="8">
        <item x="6"/>
        <item x="0"/>
        <item x="1"/>
        <item x="2"/>
        <item x="3"/>
        <item x="4"/>
        <item x="5"/>
        <item t="default"/>
      </items>
    </pivotField>
    <pivotField showAll="0"/>
    <pivotField showAll="0"/>
    <pivotField showAll="0"/>
    <pivotField showAll="0" defaultSubtotal="0"/>
    <pivotField showAll="0"/>
    <pivotField showAll="0"/>
    <pivotField showAll="0"/>
    <pivotField numFmtId="169" showAll="0"/>
    <pivotField numFmtId="169" showAll="0"/>
    <pivotField numFmtId="169" showAll="0"/>
    <pivotField numFmtId="169" showAll="0"/>
    <pivotField numFmtId="169" showAll="0"/>
    <pivotField numFmtId="169" showAll="0"/>
    <pivotField numFmtId="169" showAll="0"/>
    <pivotField numFmtId="169" showAll="0"/>
    <pivotField numFmtId="169" showAll="0"/>
    <pivotField showAll="0"/>
    <pivotField showAll="0"/>
    <pivotField showAll="0"/>
    <pivotField showAll="0"/>
    <pivotField showAll="0"/>
    <pivotField showAll="0"/>
    <pivotField showAll="0"/>
    <pivotField showAll="0"/>
    <pivotField showAll="0"/>
    <pivotField dataField="1" numFmtId="169" showAll="0"/>
    <pivotField dataField="1" numFmtId="169" showAll="0"/>
    <pivotField dataField="1" numFmtId="169" showAll="0"/>
    <pivotField dataField="1" numFmtId="169" showAll="0"/>
    <pivotField dataField="1" numFmtId="169" showAll="0"/>
    <pivotField dataField="1" numFmtId="169" showAll="0"/>
    <pivotField dataField="1" numFmtId="169" showAll="0"/>
    <pivotField dataField="1" numFmtId="169" showAll="0"/>
    <pivotField dataField="1" numFmtId="169" showAll="0"/>
    <pivotField dataField="1" numFmtId="169" showAll="0"/>
    <pivotField showAll="0"/>
    <pivotField showAll="0"/>
    <pivotField showAll="0"/>
    <pivotField showAll="0"/>
    <pivotField showAll="0"/>
    <pivotField showAll="0"/>
    <pivotField showAll="0"/>
    <pivotField showAll="0"/>
    <pivotField showAll="0"/>
    <pivotField dataField="1" showAll="0"/>
  </pivotFields>
  <rowFields count="2">
    <field x="0"/>
    <field x="1"/>
  </rowFields>
  <rowItems count="137">
    <i>
      <x/>
    </i>
    <i r="1">
      <x v="1"/>
    </i>
    <i r="1">
      <x v="2"/>
    </i>
    <i r="1">
      <x v="3"/>
    </i>
    <i r="1">
      <x v="4"/>
    </i>
    <i r="1">
      <x v="5"/>
    </i>
    <i r="1">
      <x v="6"/>
    </i>
    <i>
      <x v="1"/>
    </i>
    <i r="1">
      <x v="1"/>
    </i>
    <i r="1">
      <x v="2"/>
    </i>
    <i r="1">
      <x v="3"/>
    </i>
    <i r="1">
      <x v="4"/>
    </i>
    <i r="1">
      <x v="5"/>
    </i>
    <i r="1">
      <x v="6"/>
    </i>
    <i>
      <x v="2"/>
    </i>
    <i r="1">
      <x/>
    </i>
    <i r="1">
      <x v="1"/>
    </i>
    <i r="1">
      <x v="2"/>
    </i>
    <i r="1">
      <x v="3"/>
    </i>
    <i r="1">
      <x v="4"/>
    </i>
    <i r="1">
      <x v="5"/>
    </i>
    <i r="1">
      <x v="6"/>
    </i>
    <i>
      <x v="3"/>
    </i>
    <i r="1">
      <x v="1"/>
    </i>
    <i r="1">
      <x v="3"/>
    </i>
    <i r="1">
      <x v="4"/>
    </i>
    <i r="1">
      <x v="5"/>
    </i>
    <i r="1">
      <x v="6"/>
    </i>
    <i>
      <x v="4"/>
    </i>
    <i r="1">
      <x/>
    </i>
    <i r="1">
      <x v="1"/>
    </i>
    <i r="1">
      <x v="2"/>
    </i>
    <i r="1">
      <x v="3"/>
    </i>
    <i r="1">
      <x v="4"/>
    </i>
    <i r="1">
      <x v="5"/>
    </i>
    <i r="1">
      <x v="6"/>
    </i>
    <i>
      <x v="5"/>
    </i>
    <i r="1">
      <x v="1"/>
    </i>
    <i r="1">
      <x v="2"/>
    </i>
    <i r="1">
      <x v="3"/>
    </i>
    <i r="1">
      <x v="4"/>
    </i>
    <i r="1">
      <x v="5"/>
    </i>
    <i r="1">
      <x v="6"/>
    </i>
    <i>
      <x v="6"/>
    </i>
    <i r="1">
      <x/>
    </i>
    <i r="1">
      <x v="1"/>
    </i>
    <i r="1">
      <x v="2"/>
    </i>
    <i r="1">
      <x v="3"/>
    </i>
    <i r="1">
      <x v="4"/>
    </i>
    <i r="1">
      <x v="5"/>
    </i>
    <i r="1">
      <x v="6"/>
    </i>
    <i>
      <x v="7"/>
    </i>
    <i r="1">
      <x v="1"/>
    </i>
    <i r="1">
      <x v="2"/>
    </i>
    <i r="1">
      <x v="3"/>
    </i>
    <i r="1">
      <x v="4"/>
    </i>
    <i r="1">
      <x v="5"/>
    </i>
    <i r="1">
      <x v="6"/>
    </i>
    <i>
      <x v="8"/>
    </i>
    <i r="1">
      <x/>
    </i>
    <i r="1">
      <x v="1"/>
    </i>
    <i r="1">
      <x v="2"/>
    </i>
    <i r="1">
      <x v="3"/>
    </i>
    <i r="1">
      <x v="4"/>
    </i>
    <i r="1">
      <x v="5"/>
    </i>
    <i r="1">
      <x v="6"/>
    </i>
    <i>
      <x v="9"/>
    </i>
    <i r="1">
      <x/>
    </i>
    <i r="1">
      <x v="1"/>
    </i>
    <i r="1">
      <x v="3"/>
    </i>
    <i r="1">
      <x v="4"/>
    </i>
    <i r="1">
      <x v="5"/>
    </i>
    <i r="1">
      <x v="6"/>
    </i>
    <i>
      <x v="10"/>
    </i>
    <i r="1">
      <x v="1"/>
    </i>
    <i r="1">
      <x v="3"/>
    </i>
    <i r="1">
      <x v="4"/>
    </i>
    <i r="1">
      <x v="5"/>
    </i>
    <i r="1">
      <x v="6"/>
    </i>
    <i>
      <x v="11"/>
    </i>
    <i r="1">
      <x v="1"/>
    </i>
    <i r="1">
      <x v="3"/>
    </i>
    <i r="1">
      <x v="4"/>
    </i>
    <i r="1">
      <x v="5"/>
    </i>
    <i r="1">
      <x v="6"/>
    </i>
    <i>
      <x v="12"/>
    </i>
    <i r="1">
      <x/>
    </i>
    <i r="1">
      <x v="1"/>
    </i>
    <i r="1">
      <x v="2"/>
    </i>
    <i r="1">
      <x v="3"/>
    </i>
    <i r="1">
      <x v="4"/>
    </i>
    <i r="1">
      <x v="5"/>
    </i>
    <i r="1">
      <x v="6"/>
    </i>
    <i>
      <x v="13"/>
    </i>
    <i r="1">
      <x/>
    </i>
    <i r="1">
      <x v="1"/>
    </i>
    <i r="1">
      <x v="2"/>
    </i>
    <i r="1">
      <x v="3"/>
    </i>
    <i r="1">
      <x v="4"/>
    </i>
    <i r="1">
      <x v="5"/>
    </i>
    <i r="1">
      <x v="6"/>
    </i>
    <i>
      <x v="14"/>
    </i>
    <i r="1">
      <x/>
    </i>
    <i r="1">
      <x v="1"/>
    </i>
    <i r="1">
      <x v="2"/>
    </i>
    <i r="1">
      <x v="3"/>
    </i>
    <i r="1">
      <x v="4"/>
    </i>
    <i r="1">
      <x v="5"/>
    </i>
    <i r="1">
      <x v="6"/>
    </i>
    <i>
      <x v="15"/>
    </i>
    <i r="1">
      <x/>
    </i>
    <i r="1">
      <x v="1"/>
    </i>
    <i r="1">
      <x v="2"/>
    </i>
    <i r="1">
      <x v="3"/>
    </i>
    <i r="1">
      <x v="4"/>
    </i>
    <i r="1">
      <x v="5"/>
    </i>
    <i r="1">
      <x v="6"/>
    </i>
    <i>
      <x v="16"/>
    </i>
    <i r="1">
      <x v="3"/>
    </i>
    <i r="1">
      <x v="4"/>
    </i>
    <i r="1">
      <x v="5"/>
    </i>
    <i r="1">
      <x v="6"/>
    </i>
    <i>
      <x v="17"/>
    </i>
    <i r="1">
      <x/>
    </i>
    <i r="1">
      <x v="3"/>
    </i>
    <i r="1">
      <x v="4"/>
    </i>
    <i r="1">
      <x v="5"/>
    </i>
    <i r="1">
      <x v="6"/>
    </i>
    <i>
      <x v="18"/>
    </i>
    <i r="1">
      <x/>
    </i>
    <i r="1">
      <x v="1"/>
    </i>
    <i r="1">
      <x v="2"/>
    </i>
    <i r="1">
      <x v="3"/>
    </i>
    <i r="1">
      <x v="4"/>
    </i>
    <i r="1">
      <x v="5"/>
    </i>
    <i r="1">
      <x v="6"/>
    </i>
    <i t="grand">
      <x/>
    </i>
  </rowItems>
  <colFields count="1">
    <field x="-2"/>
  </colFields>
  <colItems count="11">
    <i>
      <x/>
    </i>
    <i i="1">
      <x v="1"/>
    </i>
    <i i="2">
      <x v="2"/>
    </i>
    <i i="3">
      <x v="3"/>
    </i>
    <i i="4">
      <x v="4"/>
    </i>
    <i i="5">
      <x v="5"/>
    </i>
    <i i="6">
      <x v="6"/>
    </i>
    <i i="7">
      <x v="7"/>
    </i>
    <i i="8">
      <x v="8"/>
    </i>
    <i i="9">
      <x v="9"/>
    </i>
    <i i="10">
      <x v="10"/>
    </i>
  </colItems>
  <dataFields count="11">
    <dataField name="Sum of R1 (Out)" fld="27" baseField="0" baseItem="0"/>
    <dataField name="Sum of R2 (Out)" fld="28" baseField="0" baseItem="0"/>
    <dataField name="Sum of R3 (Out)" fld="29" baseField="0" baseItem="0"/>
    <dataField name="Sum of R4 (Out)" fld="30" baseField="0" baseItem="0"/>
    <dataField name="Sum of R5 (Out)" fld="31" baseField="0" baseItem="0"/>
    <dataField name="Sum of R6 (Out)" fld="32" baseField="0" baseItem="0"/>
    <dataField name="Sum of R7 (Out)" fld="33" baseField="0" baseItem="0"/>
    <dataField name="Sum of R8 (Out)" fld="34" baseField="0" baseItem="0"/>
    <dataField name="Sum of R9 (Out)" fld="35" baseField="0" baseItem="0"/>
    <dataField name="Sum of U.S. (Out)" fld="36" baseField="0" baseItem="0"/>
    <dataField name="Sum of U.S. (ELC)" fld="46" baseField="0" baseItem="0"/>
  </dataFields>
  <formats count="72">
    <format dxfId="75">
      <pivotArea dataOnly="0" labelOnly="1" outline="0" fieldPosition="0">
        <references count="1">
          <reference field="4294967294" count="11">
            <x v="0"/>
            <x v="1"/>
            <x v="2"/>
            <x v="3"/>
            <x v="4"/>
            <x v="5"/>
            <x v="6"/>
            <x v="7"/>
            <x v="8"/>
            <x v="9"/>
            <x v="10"/>
          </reference>
        </references>
      </pivotArea>
    </format>
    <format dxfId="74">
      <pivotArea dataOnly="0" labelOnly="1" outline="0" fieldPosition="0">
        <references count="1">
          <reference field="4294967294" count="11">
            <x v="0"/>
            <x v="1"/>
            <x v="2"/>
            <x v="3"/>
            <x v="4"/>
            <x v="5"/>
            <x v="6"/>
            <x v="7"/>
            <x v="8"/>
            <x v="9"/>
            <x v="10"/>
          </reference>
        </references>
      </pivotArea>
    </format>
    <format dxfId="73">
      <pivotArea dataOnly="0" labelOnly="1" outline="0" fieldPosition="0">
        <references count="1">
          <reference field="4294967294" count="11">
            <x v="0"/>
            <x v="1"/>
            <x v="2"/>
            <x v="3"/>
            <x v="4"/>
            <x v="5"/>
            <x v="6"/>
            <x v="7"/>
            <x v="8"/>
            <x v="9"/>
            <x v="10"/>
          </reference>
        </references>
      </pivotArea>
    </format>
    <format dxfId="72">
      <pivotArea field="0" type="button" dataOnly="0" labelOnly="1" outline="0" axis="axisRow" fieldPosition="0"/>
    </format>
    <format dxfId="71">
      <pivotArea field="0" type="button" dataOnly="0" labelOnly="1" outline="0" axis="axisRow" fieldPosition="0"/>
    </format>
    <format dxfId="70">
      <pivotArea field="-2" type="button" dataOnly="0" labelOnly="1" outline="0" axis="axisCol" fieldPosition="0"/>
    </format>
    <format dxfId="69">
      <pivotArea type="all" dataOnly="0" outline="0" fieldPosition="0"/>
    </format>
    <format dxfId="68">
      <pivotArea outline="0" collapsedLevelsAreSubtotals="1" fieldPosition="0"/>
    </format>
    <format dxfId="67">
      <pivotArea dataOnly="0" labelOnly="1" fieldPosition="0">
        <references count="1">
          <reference field="0" count="0"/>
        </references>
      </pivotArea>
    </format>
    <format dxfId="66">
      <pivotArea dataOnly="0" labelOnly="1" grandRow="1" outline="0" fieldPosition="0"/>
    </format>
    <format dxfId="65">
      <pivotArea dataOnly="0" labelOnly="1" fieldPosition="0">
        <references count="2">
          <reference field="0" count="1" selected="0">
            <x v="0"/>
          </reference>
          <reference field="1" count="0"/>
        </references>
      </pivotArea>
    </format>
    <format dxfId="64">
      <pivotArea dataOnly="0" labelOnly="1" fieldPosition="0">
        <references count="2">
          <reference field="0" count="1" selected="0">
            <x v="8"/>
          </reference>
          <reference field="1" count="0"/>
        </references>
      </pivotArea>
    </format>
    <format dxfId="63">
      <pivotArea dataOnly="0" labelOnly="1" fieldPosition="0">
        <references count="2">
          <reference field="0" count="1" selected="0">
            <x v="16"/>
          </reference>
          <reference field="1" count="0"/>
        </references>
      </pivotArea>
    </format>
    <format dxfId="62">
      <pivotArea dataOnly="0" labelOnly="1" outline="0" fieldPosition="0">
        <references count="1">
          <reference field="4294967294" count="11">
            <x v="0"/>
            <x v="1"/>
            <x v="2"/>
            <x v="3"/>
            <x v="4"/>
            <x v="5"/>
            <x v="6"/>
            <x v="7"/>
            <x v="8"/>
            <x v="9"/>
            <x v="10"/>
          </reference>
        </references>
      </pivotArea>
    </format>
    <format dxfId="61">
      <pivotArea type="all" dataOnly="0" outline="0" fieldPosition="0"/>
    </format>
    <format dxfId="60">
      <pivotArea outline="0" collapsedLevelsAreSubtotals="1" fieldPosition="0"/>
    </format>
    <format dxfId="59">
      <pivotArea dataOnly="0" labelOnly="1" outline="0" fieldPosition="0">
        <references count="1">
          <reference field="4294967294" count="11">
            <x v="0"/>
            <x v="1"/>
            <x v="2"/>
            <x v="3"/>
            <x v="4"/>
            <x v="5"/>
            <x v="6"/>
            <x v="7"/>
            <x v="8"/>
            <x v="9"/>
            <x v="10"/>
          </reference>
        </references>
      </pivotArea>
    </format>
    <format dxfId="58">
      <pivotArea dataOnly="0" labelOnly="1" fieldPosition="0">
        <references count="1">
          <reference field="0" count="0"/>
        </references>
      </pivotArea>
    </format>
    <format dxfId="57">
      <pivotArea dataOnly="0" labelOnly="1" grandRow="1" outline="0" fieldPosition="0"/>
    </format>
    <format dxfId="56">
      <pivotArea dataOnly="0" labelOnly="1" fieldPosition="0">
        <references count="2">
          <reference field="0" count="1" selected="0">
            <x v="0"/>
          </reference>
          <reference field="1" count="0"/>
        </references>
      </pivotArea>
    </format>
    <format dxfId="55">
      <pivotArea dataOnly="0" labelOnly="1" fieldPosition="0">
        <references count="2">
          <reference field="0" count="1" selected="0">
            <x v="8"/>
          </reference>
          <reference field="1" count="0"/>
        </references>
      </pivotArea>
    </format>
    <format dxfId="54">
      <pivotArea dataOnly="0" labelOnly="1" fieldPosition="0">
        <references count="2">
          <reference field="0" count="1" selected="0">
            <x v="16"/>
          </reference>
          <reference field="1" count="0"/>
        </references>
      </pivotArea>
    </format>
    <format dxfId="53">
      <pivotArea outline="0" collapsedLevelsAreSubtotals="1" fieldPosition="0">
        <references count="1">
          <reference field="4294967294" count="2" selected="0">
            <x v="9"/>
            <x v="10"/>
          </reference>
        </references>
      </pivotArea>
    </format>
    <format dxfId="52">
      <pivotArea type="topRight" dataOnly="0" labelOnly="1" outline="0" offset="I1:J1" fieldPosition="0"/>
    </format>
    <format dxfId="51">
      <pivotArea dataOnly="0" labelOnly="1" outline="0" fieldPosition="0">
        <references count="1">
          <reference field="4294967294" count="2">
            <x v="9"/>
            <x v="10"/>
          </reference>
        </references>
      </pivotArea>
    </format>
    <format dxfId="50">
      <pivotArea type="origin" dataOnly="0" labelOnly="1" outline="0" fieldPosition="0"/>
    </format>
    <format dxfId="49">
      <pivotArea dataOnly="0" outline="0" fieldPosition="0">
        <references count="1">
          <reference field="4294967294" count="4">
            <x v="1"/>
            <x v="3"/>
            <x v="5"/>
            <x v="7"/>
          </reference>
        </references>
      </pivotArea>
    </format>
    <format dxfId="48">
      <pivotArea dataOnly="0" outline="0" fieldPosition="0">
        <references count="1">
          <reference field="4294967294" count="4">
            <x v="1"/>
            <x v="3"/>
            <x v="5"/>
            <x v="7"/>
          </reference>
        </references>
      </pivotArea>
    </format>
    <format dxfId="47">
      <pivotArea dataOnly="0" outline="0" fieldPosition="0">
        <references count="1">
          <reference field="4294967294" count="1">
            <x v="9"/>
          </reference>
        </references>
      </pivotArea>
    </format>
    <format dxfId="46">
      <pivotArea dataOnly="0" labelOnly="1" outline="0" fieldPosition="0">
        <references count="1">
          <reference field="4294967294" count="11">
            <x v="0"/>
            <x v="1"/>
            <x v="2"/>
            <x v="3"/>
            <x v="4"/>
            <x v="5"/>
            <x v="6"/>
            <x v="7"/>
            <x v="8"/>
            <x v="9"/>
            <x v="10"/>
          </reference>
        </references>
      </pivotArea>
    </format>
    <format dxfId="45">
      <pivotArea collapsedLevelsAreSubtotals="1" fieldPosition="0">
        <references count="1">
          <reference field="0" count="1">
            <x v="1"/>
          </reference>
        </references>
      </pivotArea>
    </format>
    <format dxfId="44">
      <pivotArea collapsedLevelsAreSubtotals="1" fieldPosition="0">
        <references count="2">
          <reference field="0" count="1" selected="0">
            <x v="18"/>
          </reference>
          <reference field="1" count="2">
            <x v="5"/>
            <x v="6"/>
          </reference>
        </references>
      </pivotArea>
    </format>
    <format dxfId="43">
      <pivotArea grandRow="1" outline="0" collapsedLevelsAreSubtotals="1" fieldPosition="0"/>
    </format>
    <format dxfId="42">
      <pivotArea dataOnly="0" labelOnly="1" grandRow="1" outline="0" fieldPosition="0"/>
    </format>
    <format dxfId="41">
      <pivotArea grandRow="1" outline="0" collapsedLevelsAreSubtotals="1" fieldPosition="0"/>
    </format>
    <format dxfId="40">
      <pivotArea dataOnly="0" labelOnly="1" grandRow="1" outline="0" fieldPosition="0"/>
    </format>
    <format dxfId="39">
      <pivotArea field="0" type="button" dataOnly="0" labelOnly="1" outline="0" axis="axisRow" fieldPosition="0"/>
    </format>
    <format dxfId="38">
      <pivotArea field="-2" type="button" dataOnly="0" labelOnly="1" outline="0" axis="axisCol" fieldPosition="0"/>
    </format>
    <format dxfId="37">
      <pivotArea type="origin" dataOnly="0" labelOnly="1" outline="0" fieldPosition="0"/>
    </format>
    <format dxfId="36">
      <pivotArea type="topRight" dataOnly="0" labelOnly="1" outline="0" offset="B1" fieldPosition="0"/>
    </format>
    <format dxfId="35">
      <pivotArea type="topRight" dataOnly="0" labelOnly="1" outline="0" offset="A1" fieldPosition="0"/>
    </format>
    <format dxfId="34">
      <pivotArea type="topRight" dataOnly="0" labelOnly="1" outline="0" offset="C1:J1" fieldPosition="0"/>
    </format>
    <format dxfId="33">
      <pivotArea type="topRight" dataOnly="0" labelOnly="1" outline="0" fieldPosition="0"/>
    </format>
    <format dxfId="32">
      <pivotArea collapsedLevelsAreSubtotals="1" fieldPosition="0">
        <references count="1">
          <reference field="0" count="1">
            <x v="0"/>
          </reference>
        </references>
      </pivotArea>
    </format>
    <format dxfId="31">
      <pivotArea collapsedLevelsAreSubtotals="1" fieldPosition="0">
        <references count="1">
          <reference field="0" count="1">
            <x v="2"/>
          </reference>
        </references>
      </pivotArea>
    </format>
    <format dxfId="30">
      <pivotArea collapsedLevelsAreSubtotals="1" fieldPosition="0">
        <references count="1">
          <reference field="0" count="1">
            <x v="3"/>
          </reference>
        </references>
      </pivotArea>
    </format>
    <format dxfId="29">
      <pivotArea collapsedLevelsAreSubtotals="1" fieldPosition="0">
        <references count="1">
          <reference field="0" count="1">
            <x v="4"/>
          </reference>
        </references>
      </pivotArea>
    </format>
    <format dxfId="28">
      <pivotArea collapsedLevelsAreSubtotals="1" fieldPosition="0">
        <references count="1">
          <reference field="0" count="1">
            <x v="18"/>
          </reference>
        </references>
      </pivotArea>
    </format>
    <format dxfId="27">
      <pivotArea collapsedLevelsAreSubtotals="1" fieldPosition="0">
        <references count="1">
          <reference field="0" count="1">
            <x v="17"/>
          </reference>
        </references>
      </pivotArea>
    </format>
    <format dxfId="26">
      <pivotArea collapsedLevelsAreSubtotals="1" fieldPosition="0">
        <references count="1">
          <reference field="0" count="1">
            <x v="16"/>
          </reference>
        </references>
      </pivotArea>
    </format>
    <format dxfId="25">
      <pivotArea collapsedLevelsAreSubtotals="1" fieldPosition="0">
        <references count="1">
          <reference field="0" count="1">
            <x v="12"/>
          </reference>
        </references>
      </pivotArea>
    </format>
    <format dxfId="24">
      <pivotArea collapsedLevelsAreSubtotals="1" fieldPosition="0">
        <references count="1">
          <reference field="0" count="1">
            <x v="13"/>
          </reference>
        </references>
      </pivotArea>
    </format>
    <format dxfId="23">
      <pivotArea collapsedLevelsAreSubtotals="1" fieldPosition="0">
        <references count="1">
          <reference field="0" count="1">
            <x v="14"/>
          </reference>
        </references>
      </pivotArea>
    </format>
    <format dxfId="22">
      <pivotArea collapsedLevelsAreSubtotals="1" fieldPosition="0">
        <references count="1">
          <reference field="0" count="1">
            <x v="15"/>
          </reference>
        </references>
      </pivotArea>
    </format>
    <format dxfId="21">
      <pivotArea collapsedLevelsAreSubtotals="1" fieldPosition="0">
        <references count="1">
          <reference field="0" count="1">
            <x v="8"/>
          </reference>
        </references>
      </pivotArea>
    </format>
    <format dxfId="20">
      <pivotArea collapsedLevelsAreSubtotals="1" fieldPosition="0">
        <references count="1">
          <reference field="0" count="1">
            <x v="9"/>
          </reference>
        </references>
      </pivotArea>
    </format>
    <format dxfId="19">
      <pivotArea collapsedLevelsAreSubtotals="1" fieldPosition="0">
        <references count="1">
          <reference field="0" count="1">
            <x v="10"/>
          </reference>
        </references>
      </pivotArea>
    </format>
    <format dxfId="18">
      <pivotArea collapsedLevelsAreSubtotals="1" fieldPosition="0">
        <references count="1">
          <reference field="0" count="1">
            <x v="11"/>
          </reference>
        </references>
      </pivotArea>
    </format>
    <format dxfId="17">
      <pivotArea collapsedLevelsAreSubtotals="1" fieldPosition="0">
        <references count="1">
          <reference field="0" count="1">
            <x v="5"/>
          </reference>
        </references>
      </pivotArea>
    </format>
    <format dxfId="16">
      <pivotArea collapsedLevelsAreSubtotals="1" fieldPosition="0">
        <references count="1">
          <reference field="0" count="1">
            <x v="6"/>
          </reference>
        </references>
      </pivotArea>
    </format>
    <format dxfId="15">
      <pivotArea collapsedLevelsAreSubtotals="1" fieldPosition="0">
        <references count="1">
          <reference field="0" count="1">
            <x v="7"/>
          </reference>
        </references>
      </pivotArea>
    </format>
    <format dxfId="14">
      <pivotArea collapsedLevelsAreSubtotals="1" fieldPosition="0">
        <references count="2">
          <reference field="0" count="1" selected="0">
            <x v="18"/>
          </reference>
          <reference field="1" count="1">
            <x v="6"/>
          </reference>
        </references>
      </pivotArea>
    </format>
    <format dxfId="13">
      <pivotArea collapsedLevelsAreSubtotals="1" fieldPosition="0">
        <references count="2">
          <reference field="4294967294" count="8" selected="0">
            <x v="0"/>
            <x v="1"/>
            <x v="2"/>
            <x v="3"/>
            <x v="4"/>
            <x v="5"/>
            <x v="6"/>
            <x v="7"/>
          </reference>
          <reference field="0" count="1">
            <x v="0"/>
          </reference>
        </references>
      </pivotArea>
    </format>
    <format dxfId="12">
      <pivotArea dataOnly="0" labelOnly="1" fieldPosition="0">
        <references count="2">
          <reference field="0" count="1" selected="0">
            <x v="18"/>
          </reference>
          <reference field="1" count="2">
            <x v="5"/>
            <x v="6"/>
          </reference>
        </references>
      </pivotArea>
    </format>
    <format dxfId="11">
      <pivotArea field="-2" type="button" dataOnly="0" labelOnly="1" outline="0" axis="axisCol" fieldPosition="0"/>
    </format>
    <format dxfId="10">
      <pivotArea type="topRight" dataOnly="0" labelOnly="1" outline="0" fieldPosition="0"/>
    </format>
    <format dxfId="9">
      <pivotArea type="origin" dataOnly="0" labelOnly="1" outline="0" fieldPosition="0"/>
    </format>
    <format dxfId="8">
      <pivotArea outline="0" collapsedLevelsAreSubtotals="1" fieldPosition="0"/>
    </format>
    <format dxfId="7">
      <pivotArea field="0" type="button" dataOnly="0" labelOnly="1" outline="0" axis="axisRow" fieldPosition="0"/>
    </format>
    <format dxfId="6">
      <pivotArea dataOnly="0" labelOnly="1" outline="0" fieldPosition="0">
        <references count="1">
          <reference field="4294967294" count="11">
            <x v="0"/>
            <x v="1"/>
            <x v="2"/>
            <x v="3"/>
            <x v="4"/>
            <x v="5"/>
            <x v="6"/>
            <x v="7"/>
            <x v="8"/>
            <x v="9"/>
            <x v="10"/>
          </reference>
        </references>
      </pivotArea>
    </format>
    <format dxfId="5">
      <pivotArea dataOnly="0" labelOnly="1" fieldPosition="0">
        <references count="2">
          <reference field="0" count="1" selected="0">
            <x v="18"/>
          </reference>
          <reference field="1" count="1">
            <x v="6"/>
          </reference>
        </references>
      </pivotArea>
    </format>
    <format dxfId="4">
      <pivotArea dataOnly="0" labelOnly="1" fieldPosition="0">
        <references count="1">
          <reference field="0" count="0"/>
        </references>
      </pivotArea>
    </format>
  </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000-000002000000}" name="PivotTable3" cacheId="0" applyNumberFormats="0" applyBorderFormats="0" applyFontFormats="0" applyPatternFormats="0" applyAlignmentFormats="0" applyWidthHeightFormats="1" dataCaption="Values" updatedVersion="5" minRefreshableVersion="3" showCalcMbrs="0" useAutoFormatting="1" itemPrintTitles="1" createdVersion="3" indent="0" outline="1" outlineData="1" multipleFieldFilters="0">
  <location ref="CS6:DC393" firstHeaderRow="1" firstDataRow="2" firstDataCol="1"/>
  <pivotFields count="47">
    <pivotField showAll="0"/>
    <pivotField showAll="0"/>
    <pivotField showAll="0"/>
    <pivotField showAll="0"/>
    <pivotField showAll="0"/>
    <pivotField axis="axisRow" showAll="0" defaultSubtotal="0">
      <items count="764">
        <item m="1" x="656"/>
        <item m="1" x="699"/>
        <item m="1" x="483"/>
        <item m="1" x="499"/>
        <item m="1" x="427"/>
        <item m="1" x="482"/>
        <item m="1" x="665"/>
        <item m="1" x="753"/>
        <item m="1" x="673"/>
        <item m="1" x="674"/>
        <item m="1" x="459"/>
        <item m="1" x="685"/>
        <item m="1" x="660"/>
        <item m="1" x="585"/>
        <item m="1" x="762"/>
        <item m="1" x="555"/>
        <item m="1" x="576"/>
        <item m="1" x="467"/>
        <item m="1" x="552"/>
        <item m="1" x="709"/>
        <item m="1" x="546"/>
        <item m="1" x="417"/>
        <item m="1" x="722"/>
        <item m="1" x="723"/>
        <item m="1" x="509"/>
        <item m="1" x="538"/>
        <item m="1" x="742"/>
        <item m="1" x="540"/>
        <item m="1" x="473"/>
        <item m="1" x="700"/>
        <item m="1" x="411"/>
        <item m="1" x="597"/>
        <item m="1" x="624"/>
        <item m="1" x="611"/>
        <item m="1" x="508"/>
        <item m="1" x="596"/>
        <item m="1" x="757"/>
        <item m="1" x="525"/>
        <item m="1" x="394"/>
        <item m="1" x="750"/>
        <item m="1" x="441"/>
        <item m="1" x="390"/>
        <item m="1" x="391"/>
        <item m="1" x="570"/>
        <item m="1" x="403"/>
        <item m="1" x="589"/>
        <item m="1" x="517"/>
        <item m="1" x="590"/>
        <item m="1" x="744"/>
        <item m="1" x="388"/>
        <item m="1" x="623"/>
        <item m="1" x="416"/>
        <item m="1" x="606"/>
        <item m="1" x="630"/>
        <item m="1" x="613"/>
        <item m="1" x="514"/>
        <item m="1" x="605"/>
        <item m="1" x="385"/>
        <item m="1" x="536"/>
        <item m="1" x="598"/>
        <item m="1" x="445"/>
        <item m="1" x="397"/>
        <item m="1" x="396"/>
        <item m="1" x="578"/>
        <item m="1" x="408"/>
        <item m="1" x="594"/>
        <item m="1" x="529"/>
        <item m="1" x="595"/>
        <item m="1" x="755"/>
        <item m="1" x="393"/>
        <item m="1" x="428"/>
        <item m="1" x="398"/>
        <item m="1" x="429"/>
        <item m="1" x="622"/>
        <item m="1" x="646"/>
        <item m="1" x="631"/>
        <item m="1" x="696"/>
        <item m="1" x="424"/>
        <item m="1" x="638"/>
        <item m="1" x="579"/>
        <item m="1" x="621"/>
        <item m="1" x="405"/>
        <item m="1" x="420"/>
        <item m="1" x="423"/>
        <item m="1" x="618"/>
        <item m="1" x="464"/>
        <item m="1" x="603"/>
        <item m="1" x="745"/>
        <item m="1" x="414"/>
        <item m="1" x="602"/>
        <item m="1" x="614"/>
        <item m="1" x="422"/>
        <item m="1" x="616"/>
        <item m="1" x="569"/>
        <item m="1" x="617"/>
        <item m="1" x="401"/>
        <item m="1" x="413"/>
        <item m="1" x="593"/>
        <item m="1" x="387"/>
        <item m="1" x="707"/>
        <item m="1" x="389"/>
        <item m="1" x="588"/>
        <item m="1" x="565"/>
        <item m="1" x="609"/>
        <item m="1" x="604"/>
        <item m="1" x="582"/>
        <item m="1" x="490"/>
        <item m="1" x="564"/>
        <item m="1" x="717"/>
        <item m="1" x="748"/>
        <item m="1" x="758"/>
        <item m="1" x="559"/>
        <item m="1" x="485"/>
        <item m="1" x="560"/>
        <item m="1" x="713"/>
        <item m="1" x="735"/>
        <item m="1" x="733"/>
        <item m="1" x="679"/>
        <item m="1" x="734"/>
        <item m="1" x="557"/>
        <item m="1" x="519"/>
        <item m="1" x="549"/>
        <item m="1" x="754"/>
        <item m="1" x="550"/>
        <item m="1" x="481"/>
        <item m="1" x="554"/>
        <item m="1" x="710"/>
        <item m="1" x="730"/>
        <item m="1" x="641"/>
        <item m="1" x="406"/>
        <item m="1" x="438"/>
        <item m="1" x="629"/>
        <item m="1" x="635"/>
        <item m="1" x="431"/>
        <item m="1" x="628"/>
        <item m="1" x="412"/>
        <item m="1" x="612"/>
        <item m="1" x="419"/>
        <item m="1" x="610"/>
        <item m="1" x="425"/>
        <item m="1" x="407"/>
        <item m="1" x="698"/>
        <item m="1" x="676"/>
        <item m="1" x="672"/>
        <item m="1" x="475"/>
        <item m="1" x="471"/>
        <item m="1" x="655"/>
        <item m="1" x="486"/>
        <item m="1" x="720"/>
        <item m="1" x="465"/>
        <item m="1" x="526"/>
        <item m="1" x="714"/>
        <item m="1" x="691"/>
        <item m="1" x="741"/>
        <item m="1" x="708"/>
        <item m="1" x="418"/>
        <item m="1" x="512"/>
        <item m="1" x="649"/>
        <item m="1" x="690"/>
        <item m="1" x="476"/>
        <item m="1" x="503"/>
        <item m="1" x="686"/>
        <item m="1" x="472"/>
        <item m="1" x="586"/>
        <item m="1" x="671"/>
        <item m="1" x="493"/>
        <item m="1" x="492"/>
        <item m="1" x="684"/>
        <item m="1" x="670"/>
        <item m="1" x="507"/>
        <item m="1" x="642"/>
        <item m="1" x="681"/>
        <item m="1" x="469"/>
        <item m="1" x="487"/>
        <item m="1" x="751"/>
        <item m="1" x="566"/>
        <item m="1" x="494"/>
        <item m="1" x="567"/>
        <item m="1" x="719"/>
        <item m="1" x="392"/>
        <item m="1" x="491"/>
        <item m="1" x="739"/>
        <item m="1" x="556"/>
        <item m="1" x="718"/>
        <item m="1" x="502"/>
        <item m="1" x="543"/>
        <item m="1" x="715"/>
        <item m="1" x="689"/>
        <item m="1" x="524"/>
        <item m="1" x="520"/>
        <item m="1" x="463"/>
        <item m="1" x="522"/>
        <item m="1" x="687"/>
        <item m="1" x="545"/>
        <item m="1" x="711"/>
        <item m="1" x="666"/>
        <item m="1" x="495"/>
        <item m="1" x="516"/>
        <item m="1" x="760"/>
        <item m="1" x="575"/>
        <item m="1" x="498"/>
        <item m="1" x="577"/>
        <item m="1" x="729"/>
        <item m="1" x="399"/>
        <item m="1" x="497"/>
        <item m="1" x="743"/>
        <item m="1" x="562"/>
        <item m="1" x="727"/>
        <item m="1" x="510"/>
        <item m="1" x="551"/>
        <item m="1" x="721"/>
        <item m="1" x="694"/>
        <item m="1" x="533"/>
        <item m="1" x="531"/>
        <item m="1" x="470"/>
        <item m="1" x="532"/>
        <item m="1" x="693"/>
        <item m="1" x="558"/>
        <item m="1" x="716"/>
        <item m="1" x="669"/>
        <item m="1" x="501"/>
        <item m="1" x="528"/>
        <item m="1" x="421"/>
        <item m="1" x="457"/>
        <item m="1" x="740"/>
        <item m="1" x="450"/>
        <item m="1" x="640"/>
        <item m="1" x="500"/>
        <item m="1" x="627"/>
        <item m="1" x="435"/>
        <item m="1" x="437"/>
        <item m="1" x="626"/>
        <item m="1" x="448"/>
        <item m="1" x="607"/>
        <item m="1" x="479"/>
        <item m="1" x="664"/>
        <item m="1" x="663"/>
        <item m="1" x="659"/>
        <item m="1" x="625"/>
        <item m="1" x="460"/>
        <item m="1" x="443"/>
        <item m="1" x="455"/>
        <item m="1" x="453"/>
        <item m="1" x="639"/>
        <item m="1" x="466"/>
        <item m="1" x="440"/>
        <item m="1" x="736"/>
        <item m="1" x="478"/>
        <item m="1" x="548"/>
        <item m="1" x="731"/>
        <item m="1" x="706"/>
        <item m="1" x="661"/>
        <item m="1" x="705"/>
        <item m="1" x="488"/>
        <item m="1" x="521"/>
        <item m="1" x="701"/>
        <item m="1" x="484"/>
        <item m="1" x="600"/>
        <item m="1" x="680"/>
        <item m="1" x="506"/>
        <item m="1" x="504"/>
        <item m="1" x="452"/>
        <item m="1" x="505"/>
        <item m="1" x="697"/>
        <item m="1" x="678"/>
        <item m="1" x="527"/>
        <item m="1" x="480"/>
        <item m="1" x="404"/>
        <item m="1" x="599"/>
        <item m="1" x="537"/>
        <item m="1" x="601"/>
        <item m="1" x="402"/>
        <item m="1" x="763"/>
        <item m="1" x="400"/>
        <item m="1" x="415"/>
        <item m="1" x="534"/>
        <item m="1" x="561"/>
        <item m="1" x="410"/>
        <item m="1" x="395"/>
        <item m="1" x="456"/>
        <item m="1" x="592"/>
        <item m="1" x="409"/>
        <item m="1" x="759"/>
        <item m="1" x="695"/>
        <item m="1" x="761"/>
        <item m="1" x="581"/>
        <item m="1" x="553"/>
        <item m="1" x="584"/>
        <item m="1" x="591"/>
        <item m="1" x="692"/>
        <item m="1" x="756"/>
        <item m="1" x="580"/>
        <item m="1" x="547"/>
        <item m="1" x="632"/>
        <item m="1" x="725"/>
        <item m="1" x="574"/>
        <item m="1" x="572"/>
        <item m="1" x="496"/>
        <item m="1" x="573"/>
        <item m="1" x="752"/>
        <item m="1" x="724"/>
        <item m="1" x="746"/>
        <item m="1" x="587"/>
        <item m="1" x="747"/>
        <item m="1" x="688"/>
        <item m="1" x="749"/>
        <item m="1" x="542"/>
        <item m="1" x="571"/>
        <item m="1" x="426"/>
        <item m="1" x="468"/>
        <item m="1" x="653"/>
        <item m="1" x="667"/>
        <item m="1" x="652"/>
        <item m="1" x="436"/>
        <item m="1" x="454"/>
        <item m="1" x="647"/>
        <item m="1" x="433"/>
        <item m="1" x="518"/>
        <item m="1" x="634"/>
        <item m="1" x="446"/>
        <item m="1" x="447"/>
        <item m="1" x="633"/>
        <item m="1" x="643"/>
        <item m="1" x="458"/>
        <item m="1" x="644"/>
        <item m="1" x="615"/>
        <item m="1" x="645"/>
        <item m="1" x="430"/>
        <item m="1" x="444"/>
        <item m="1" x="677"/>
        <item m="1" x="432"/>
        <item m="1" x="474"/>
        <item m="1" x="658"/>
        <item m="1" x="668"/>
        <item m="1" x="657"/>
        <item m="1" x="442"/>
        <item m="1" x="461"/>
        <item m="1" x="654"/>
        <item m="1" x="439"/>
        <item m="1" x="530"/>
        <item m="1" x="637"/>
        <item m="1" x="451"/>
        <item m="1" x="636"/>
        <item m="1" x="648"/>
        <item m="1" x="462"/>
        <item m="1" x="650"/>
        <item m="1" x="619"/>
        <item m="1" x="651"/>
        <item m="1" x="434"/>
        <item m="1" x="449"/>
        <item m="1" x="712"/>
        <item m="1" x="535"/>
        <item m="1" x="608"/>
        <item m="1" x="683"/>
        <item m="1" x="513"/>
        <item m="1" x="682"/>
        <item m="1" x="702"/>
        <item m="1" x="539"/>
        <item m="1" x="662"/>
        <item m="1" x="489"/>
        <item m="1" x="583"/>
        <item m="1" x="386"/>
        <item m="1" x="738"/>
        <item m="1" x="737"/>
        <item m="1" x="523"/>
        <item m="1" x="563"/>
        <item m="1" x="732"/>
        <item m="1" x="515"/>
        <item m="1" x="620"/>
        <item m="1" x="704"/>
        <item m="1" x="477"/>
        <item m="1" x="544"/>
        <item m="1" x="703"/>
        <item m="1" x="568"/>
        <item m="1" x="726"/>
        <item m="1" x="675"/>
        <item m="1" x="728"/>
        <item m="1" x="511"/>
        <item m="1" x="54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3"/>
        <item x="131"/>
        <item x="132"/>
        <item x="134"/>
        <item x="135"/>
        <item x="136"/>
        <item x="137"/>
        <item x="138"/>
        <item x="139"/>
        <item x="140"/>
        <item x="141"/>
        <item x="142"/>
        <item x="143"/>
        <item x="144"/>
        <item x="145"/>
        <item x="146"/>
        <item x="147"/>
        <item x="148"/>
        <item x="149"/>
        <item x="150"/>
        <item x="151"/>
        <item x="152"/>
        <item x="153"/>
        <item x="154"/>
        <item x="155"/>
        <item x="156"/>
        <item x="157"/>
        <item x="158"/>
        <item x="159"/>
        <item x="160"/>
        <item x="163"/>
        <item x="161"/>
        <item x="162"/>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2"/>
        <item x="233"/>
        <item x="234"/>
        <item x="235"/>
        <item x="236"/>
        <item x="237"/>
        <item x="238"/>
        <item x="239"/>
        <item x="240"/>
        <item x="241"/>
        <item x="242"/>
        <item x="243"/>
        <item x="244"/>
        <item x="245"/>
        <item x="246"/>
        <item x="247"/>
        <item x="248"/>
        <item x="249"/>
        <item x="250"/>
        <item x="251"/>
        <item x="253"/>
        <item x="254"/>
        <item x="255"/>
        <item x="256"/>
        <item x="257"/>
        <item x="258"/>
        <item x="259"/>
        <item x="260"/>
        <item x="261"/>
        <item x="262"/>
        <item x="263"/>
        <item x="264"/>
        <item x="265"/>
        <item x="266"/>
        <item x="267"/>
        <item x="268"/>
        <item x="269"/>
        <item x="270"/>
        <item x="271"/>
        <item x="272"/>
        <item x="273"/>
        <item x="274"/>
        <item x="276"/>
        <item x="277"/>
        <item x="278"/>
        <item x="279"/>
        <item x="280"/>
        <item x="281"/>
        <item x="282"/>
        <item x="283"/>
        <item x="284"/>
        <item x="285"/>
        <item x="286"/>
        <item x="287"/>
        <item x="288"/>
        <item x="289"/>
        <item x="290"/>
        <item x="291"/>
        <item x="292"/>
        <item x="293"/>
        <item x="294"/>
        <item x="295"/>
        <item x="296"/>
        <item x="297"/>
        <item x="298"/>
        <item x="299"/>
        <item x="300"/>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47"/>
        <item x="252"/>
        <item x="275"/>
        <item x="231"/>
        <item x="301"/>
        <item x="56"/>
      </items>
    </pivotField>
    <pivotField showAll="0"/>
    <pivotField showAll="0"/>
    <pivotField showAll="0"/>
    <pivotField numFmtId="169" showAll="0"/>
    <pivotField numFmtId="169" showAll="0"/>
    <pivotField numFmtId="169" showAll="0"/>
    <pivotField numFmtId="169" showAll="0"/>
    <pivotField numFmtId="169" showAll="0"/>
    <pivotField numFmtId="169" showAll="0"/>
    <pivotField numFmtId="169" showAll="0"/>
    <pivotField numFmtId="169" showAll="0"/>
    <pivotField numFmtId="169" showAll="0"/>
    <pivotField showAll="0"/>
    <pivotField showAll="0"/>
    <pivotField showAll="0"/>
    <pivotField showAll="0"/>
    <pivotField showAll="0"/>
    <pivotField showAll="0"/>
    <pivotField showAll="0"/>
    <pivotField showAll="0"/>
    <pivotField showAll="0"/>
    <pivotField dataField="1" numFmtId="169" showAll="0"/>
    <pivotField dataField="1" numFmtId="169" showAll="0"/>
    <pivotField dataField="1" numFmtId="169" showAll="0"/>
    <pivotField dataField="1" numFmtId="169" showAll="0"/>
    <pivotField dataField="1" numFmtId="169" showAll="0"/>
    <pivotField dataField="1" numFmtId="169" showAll="0"/>
    <pivotField dataField="1" numFmtId="169" showAll="0"/>
    <pivotField dataField="1" numFmtId="169" showAll="0"/>
    <pivotField dataField="1" numFmtId="169" showAll="0"/>
    <pivotField dataField="1" numFmtId="169" showAll="0"/>
    <pivotField showAll="0"/>
    <pivotField showAll="0"/>
    <pivotField showAll="0"/>
    <pivotField showAll="0"/>
    <pivotField showAll="0"/>
    <pivotField showAll="0"/>
    <pivotField showAll="0"/>
    <pivotField showAll="0"/>
    <pivotField showAll="0"/>
    <pivotField showAll="0"/>
  </pivotFields>
  <rowFields count="1">
    <field x="5"/>
  </rowFields>
  <rowItems count="386">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t="grand">
      <x/>
    </i>
  </rowItems>
  <colFields count="1">
    <field x="-2"/>
  </colFields>
  <colItems count="10">
    <i>
      <x/>
    </i>
    <i i="1">
      <x v="1"/>
    </i>
    <i i="2">
      <x v="2"/>
    </i>
    <i i="3">
      <x v="3"/>
    </i>
    <i i="4">
      <x v="4"/>
    </i>
    <i i="5">
      <x v="5"/>
    </i>
    <i i="6">
      <x v="6"/>
    </i>
    <i i="7">
      <x v="7"/>
    </i>
    <i i="8">
      <x v="8"/>
    </i>
    <i i="9">
      <x v="9"/>
    </i>
  </colItems>
  <dataFields count="10">
    <dataField name="Sum of R1 (Out)" fld="27" baseField="0" baseItem="0"/>
    <dataField name="Sum of R2 (Out)" fld="28" baseField="0" baseItem="0"/>
    <dataField name="Sum of R3 (Out)" fld="29" baseField="0" baseItem="0"/>
    <dataField name="Sum of R4 (Out)" fld="30" baseField="0" baseItem="0"/>
    <dataField name="Sum of R5 (Out)" fld="31" baseField="0" baseItem="0"/>
    <dataField name="Sum of R6 (Out)" fld="32" baseField="0" baseItem="0"/>
    <dataField name="Sum of R7 (Out)" fld="33" baseField="0" baseItem="0"/>
    <dataField name="Sum of R8 (Out)" fld="34" baseField="0" baseItem="0"/>
    <dataField name="Sum of R9 (Out)" fld="35" baseField="0" baseItem="0"/>
    <dataField name="Sum of U.S. (Out)" fld="36" baseField="0" baseItem="0"/>
  </dataFields>
  <formats count="48">
    <format dxfId="123">
      <pivotArea dataOnly="0" labelOnly="1" outline="0" fieldPosition="0">
        <references count="1">
          <reference field="4294967294" count="10">
            <x v="0"/>
            <x v="1"/>
            <x v="2"/>
            <x v="3"/>
            <x v="4"/>
            <x v="5"/>
            <x v="6"/>
            <x v="7"/>
            <x v="8"/>
            <x v="9"/>
          </reference>
        </references>
      </pivotArea>
    </format>
    <format dxfId="122">
      <pivotArea dataOnly="0" labelOnly="1" outline="0" fieldPosition="0">
        <references count="1">
          <reference field="4294967294" count="10">
            <x v="0"/>
            <x v="1"/>
            <x v="2"/>
            <x v="3"/>
            <x v="4"/>
            <x v="5"/>
            <x v="6"/>
            <x v="7"/>
            <x v="8"/>
            <x v="9"/>
          </reference>
        </references>
      </pivotArea>
    </format>
    <format dxfId="121">
      <pivotArea dataOnly="0" labelOnly="1" outline="0" fieldPosition="0">
        <references count="1">
          <reference field="4294967294" count="10">
            <x v="0"/>
            <x v="1"/>
            <x v="2"/>
            <x v="3"/>
            <x v="4"/>
            <x v="5"/>
            <x v="6"/>
            <x v="7"/>
            <x v="8"/>
            <x v="9"/>
          </reference>
        </references>
      </pivotArea>
    </format>
    <format dxfId="120">
      <pivotArea field="5" type="button" dataOnly="0" labelOnly="1" outline="0" axis="axisRow" fieldPosition="0"/>
    </format>
    <format dxfId="119">
      <pivotArea field="5" type="button" dataOnly="0" labelOnly="1" outline="0" axis="axisRow" fieldPosition="0"/>
    </format>
    <format dxfId="118">
      <pivotArea field="-2" type="button" dataOnly="0" labelOnly="1" outline="0" axis="axisCol" fieldPosition="0"/>
    </format>
    <format dxfId="117">
      <pivotArea type="all" dataOnly="0" outline="0" fieldPosition="0"/>
    </format>
    <format dxfId="116">
      <pivotArea type="all" dataOnly="0" outline="0" fieldPosition="0"/>
    </format>
    <format dxfId="115">
      <pivotArea collapsedLevelsAreSubtotals="1" fieldPosition="0">
        <references count="1">
          <reference field="5" count="1">
            <x v="762"/>
          </reference>
        </references>
      </pivotArea>
    </format>
    <format dxfId="114">
      <pivotArea type="origin" dataOnly="0" labelOnly="1" outline="0" fieldPosition="0"/>
    </format>
    <format dxfId="113">
      <pivotArea field="5" type="button" dataOnly="0" labelOnly="1" outline="0" axis="axisRow" fieldPosition="0"/>
    </format>
    <format dxfId="112">
      <pivotArea dataOnly="0" labelOnly="1" fieldPosition="0">
        <references count="1">
          <reference field="5" count="50">
            <x v="379"/>
            <x v="380"/>
            <x v="381"/>
            <x v="382"/>
            <x v="383"/>
            <x v="384"/>
            <x v="385"/>
            <x v="386"/>
            <x v="387"/>
            <x v="388"/>
            <x v="389"/>
            <x v="390"/>
            <x v="391"/>
            <x v="392"/>
            <x v="393"/>
            <x v="394"/>
            <x v="395"/>
            <x v="396"/>
            <x v="397"/>
            <x v="398"/>
            <x v="399"/>
            <x v="400"/>
            <x v="401"/>
            <x v="402"/>
            <x v="403"/>
            <x v="404"/>
            <x v="405"/>
            <x v="406"/>
            <x v="407"/>
            <x v="408"/>
            <x v="409"/>
            <x v="410"/>
            <x v="411"/>
            <x v="412"/>
            <x v="413"/>
            <x v="414"/>
            <x v="415"/>
            <x v="416"/>
            <x v="417"/>
            <x v="418"/>
            <x v="419"/>
            <x v="420"/>
            <x v="421"/>
            <x v="422"/>
            <x v="423"/>
            <x v="424"/>
            <x v="425"/>
            <x v="426"/>
            <x v="427"/>
            <x v="428"/>
          </reference>
        </references>
      </pivotArea>
    </format>
    <format dxfId="111">
      <pivotArea dataOnly="0" labelOnly="1" fieldPosition="0">
        <references count="1">
          <reference field="5" count="50">
            <x v="429"/>
            <x v="430"/>
            <x v="431"/>
            <x v="432"/>
            <x v="433"/>
            <x v="434"/>
            <x v="435"/>
            <x v="436"/>
            <x v="437"/>
            <x v="438"/>
            <x v="439"/>
            <x v="440"/>
            <x v="441"/>
            <x v="442"/>
            <x v="443"/>
            <x v="444"/>
            <x v="445"/>
            <x v="446"/>
            <x v="447"/>
            <x v="448"/>
            <x v="449"/>
            <x v="450"/>
            <x v="451"/>
            <x v="452"/>
            <x v="453"/>
            <x v="454"/>
            <x v="455"/>
            <x v="456"/>
            <x v="457"/>
            <x v="458"/>
            <x v="459"/>
            <x v="460"/>
            <x v="461"/>
            <x v="462"/>
            <x v="463"/>
            <x v="464"/>
            <x v="465"/>
            <x v="466"/>
            <x v="467"/>
            <x v="468"/>
            <x v="469"/>
            <x v="470"/>
            <x v="471"/>
            <x v="472"/>
            <x v="473"/>
            <x v="474"/>
            <x v="475"/>
            <x v="476"/>
            <x v="477"/>
            <x v="478"/>
          </reference>
        </references>
      </pivotArea>
    </format>
    <format dxfId="110">
      <pivotArea dataOnly="0" labelOnly="1" fieldPosition="0">
        <references count="1">
          <reference field="5" count="50">
            <x v="479"/>
            <x v="480"/>
            <x v="481"/>
            <x v="482"/>
            <x v="483"/>
            <x v="484"/>
            <x v="485"/>
            <x v="486"/>
            <x v="487"/>
            <x v="488"/>
            <x v="489"/>
            <x v="490"/>
            <x v="491"/>
            <x v="492"/>
            <x v="493"/>
            <x v="494"/>
            <x v="495"/>
            <x v="496"/>
            <x v="497"/>
            <x v="498"/>
            <x v="499"/>
            <x v="500"/>
            <x v="501"/>
            <x v="502"/>
            <x v="503"/>
            <x v="504"/>
            <x v="505"/>
            <x v="506"/>
            <x v="507"/>
            <x v="508"/>
            <x v="509"/>
            <x v="510"/>
            <x v="511"/>
            <x v="512"/>
            <x v="513"/>
            <x v="514"/>
            <x v="515"/>
            <x v="516"/>
            <x v="517"/>
            <x v="518"/>
            <x v="519"/>
            <x v="520"/>
            <x v="521"/>
            <x v="522"/>
            <x v="523"/>
            <x v="524"/>
            <x v="525"/>
            <x v="526"/>
            <x v="527"/>
            <x v="528"/>
          </reference>
        </references>
      </pivotArea>
    </format>
    <format dxfId="109">
      <pivotArea dataOnly="0" labelOnly="1" fieldPosition="0">
        <references count="1">
          <reference field="5" count="50">
            <x v="529"/>
            <x v="530"/>
            <x v="531"/>
            <x v="532"/>
            <x v="533"/>
            <x v="534"/>
            <x v="535"/>
            <x v="536"/>
            <x v="537"/>
            <x v="538"/>
            <x v="539"/>
            <x v="540"/>
            <x v="541"/>
            <x v="542"/>
            <x v="543"/>
            <x v="544"/>
            <x v="545"/>
            <x v="546"/>
            <x v="547"/>
            <x v="548"/>
            <x v="549"/>
            <x v="550"/>
            <x v="551"/>
            <x v="552"/>
            <x v="553"/>
            <x v="554"/>
            <x v="555"/>
            <x v="556"/>
            <x v="557"/>
            <x v="558"/>
            <x v="559"/>
            <x v="560"/>
            <x v="561"/>
            <x v="562"/>
            <x v="563"/>
            <x v="564"/>
            <x v="565"/>
            <x v="566"/>
            <x v="567"/>
            <x v="568"/>
            <x v="569"/>
            <x v="570"/>
            <x v="571"/>
            <x v="572"/>
            <x v="573"/>
            <x v="574"/>
            <x v="575"/>
            <x v="576"/>
            <x v="577"/>
            <x v="578"/>
          </reference>
        </references>
      </pivotArea>
    </format>
    <format dxfId="108">
      <pivotArea dataOnly="0" labelOnly="1" fieldPosition="0">
        <references count="1">
          <reference field="5" count="50">
            <x v="579"/>
            <x v="580"/>
            <x v="581"/>
            <x v="582"/>
            <x v="583"/>
            <x v="584"/>
            <x v="585"/>
            <x v="586"/>
            <x v="587"/>
            <x v="588"/>
            <x v="589"/>
            <x v="590"/>
            <x v="591"/>
            <x v="592"/>
            <x v="593"/>
            <x v="594"/>
            <x v="595"/>
            <x v="596"/>
            <x v="597"/>
            <x v="598"/>
            <x v="599"/>
            <x v="600"/>
            <x v="601"/>
            <x v="602"/>
            <x v="603"/>
            <x v="604"/>
            <x v="605"/>
            <x v="606"/>
            <x v="607"/>
            <x v="608"/>
            <x v="609"/>
            <x v="610"/>
            <x v="611"/>
            <x v="612"/>
            <x v="613"/>
            <x v="614"/>
            <x v="615"/>
            <x v="616"/>
            <x v="617"/>
            <x v="618"/>
            <x v="619"/>
            <x v="620"/>
            <x v="621"/>
            <x v="622"/>
            <x v="623"/>
            <x v="624"/>
            <x v="625"/>
            <x v="626"/>
            <x v="627"/>
            <x v="628"/>
          </reference>
        </references>
      </pivotArea>
    </format>
    <format dxfId="107">
      <pivotArea dataOnly="0" labelOnly="1" fieldPosition="0">
        <references count="1">
          <reference field="5" count="50">
            <x v="629"/>
            <x v="630"/>
            <x v="631"/>
            <x v="632"/>
            <x v="633"/>
            <x v="634"/>
            <x v="635"/>
            <x v="636"/>
            <x v="637"/>
            <x v="638"/>
            <x v="639"/>
            <x v="640"/>
            <x v="641"/>
            <x v="642"/>
            <x v="643"/>
            <x v="644"/>
            <x v="645"/>
            <x v="646"/>
            <x v="647"/>
            <x v="648"/>
            <x v="649"/>
            <x v="650"/>
            <x v="651"/>
            <x v="652"/>
            <x v="653"/>
            <x v="654"/>
            <x v="655"/>
            <x v="656"/>
            <x v="657"/>
            <x v="658"/>
            <x v="659"/>
            <x v="660"/>
            <x v="661"/>
            <x v="662"/>
            <x v="663"/>
            <x v="664"/>
            <x v="665"/>
            <x v="666"/>
            <x v="667"/>
            <x v="668"/>
            <x v="669"/>
            <x v="670"/>
            <x v="671"/>
            <x v="672"/>
            <x v="673"/>
            <x v="674"/>
            <x v="675"/>
            <x v="676"/>
            <x v="677"/>
            <x v="678"/>
          </reference>
        </references>
      </pivotArea>
    </format>
    <format dxfId="106">
      <pivotArea dataOnly="0" labelOnly="1" fieldPosition="0">
        <references count="1">
          <reference field="5" count="50">
            <x v="679"/>
            <x v="680"/>
            <x v="681"/>
            <x v="682"/>
            <x v="683"/>
            <x v="684"/>
            <x v="685"/>
            <x v="686"/>
            <x v="687"/>
            <x v="688"/>
            <x v="689"/>
            <x v="690"/>
            <x v="691"/>
            <x v="692"/>
            <x v="693"/>
            <x v="694"/>
            <x v="695"/>
            <x v="696"/>
            <x v="697"/>
            <x v="698"/>
            <x v="699"/>
            <x v="700"/>
            <x v="701"/>
            <x v="702"/>
            <x v="703"/>
            <x v="704"/>
            <x v="705"/>
            <x v="706"/>
            <x v="707"/>
            <x v="708"/>
            <x v="709"/>
            <x v="710"/>
            <x v="711"/>
            <x v="712"/>
            <x v="713"/>
            <x v="714"/>
            <x v="715"/>
            <x v="716"/>
            <x v="717"/>
            <x v="718"/>
            <x v="719"/>
            <x v="720"/>
            <x v="721"/>
            <x v="722"/>
            <x v="723"/>
            <x v="724"/>
            <x v="725"/>
            <x v="726"/>
            <x v="727"/>
            <x v="728"/>
          </reference>
        </references>
      </pivotArea>
    </format>
    <format dxfId="105">
      <pivotArea dataOnly="0" labelOnly="1" fieldPosition="0">
        <references count="1">
          <reference field="5" count="34">
            <x v="729"/>
            <x v="730"/>
            <x v="731"/>
            <x v="732"/>
            <x v="733"/>
            <x v="734"/>
            <x v="735"/>
            <x v="736"/>
            <x v="737"/>
            <x v="738"/>
            <x v="739"/>
            <x v="740"/>
            <x v="741"/>
            <x v="742"/>
            <x v="743"/>
            <x v="744"/>
            <x v="745"/>
            <x v="746"/>
            <x v="747"/>
            <x v="748"/>
            <x v="749"/>
            <x v="750"/>
            <x v="751"/>
            <x v="752"/>
            <x v="753"/>
            <x v="754"/>
            <x v="755"/>
            <x v="756"/>
            <x v="757"/>
            <x v="758"/>
            <x v="759"/>
            <x v="760"/>
            <x v="761"/>
            <x v="762"/>
          </reference>
        </references>
      </pivotArea>
    </format>
    <format dxfId="104">
      <pivotArea dataOnly="0" labelOnly="1" grandRow="1" outline="0" fieldPosition="0"/>
    </format>
    <format dxfId="103">
      <pivotArea type="origin" dataOnly="0" labelOnly="1" outline="0" fieldPosition="0"/>
    </format>
    <format dxfId="102">
      <pivotArea field="5" type="button" dataOnly="0" labelOnly="1" outline="0" axis="axisRow" fieldPosition="0"/>
    </format>
    <format dxfId="101">
      <pivotArea dataOnly="0" labelOnly="1" fieldPosition="0">
        <references count="1">
          <reference field="5" count="50">
            <x v="379"/>
            <x v="380"/>
            <x v="381"/>
            <x v="382"/>
            <x v="383"/>
            <x v="384"/>
            <x v="385"/>
            <x v="386"/>
            <x v="387"/>
            <x v="388"/>
            <x v="389"/>
            <x v="390"/>
            <x v="391"/>
            <x v="392"/>
            <x v="393"/>
            <x v="394"/>
            <x v="395"/>
            <x v="396"/>
            <x v="397"/>
            <x v="398"/>
            <x v="399"/>
            <x v="400"/>
            <x v="401"/>
            <x v="402"/>
            <x v="403"/>
            <x v="404"/>
            <x v="405"/>
            <x v="406"/>
            <x v="407"/>
            <x v="408"/>
            <x v="409"/>
            <x v="410"/>
            <x v="411"/>
            <x v="412"/>
            <x v="413"/>
            <x v="414"/>
            <x v="415"/>
            <x v="416"/>
            <x v="417"/>
            <x v="418"/>
            <x v="419"/>
            <x v="420"/>
            <x v="421"/>
            <x v="422"/>
            <x v="423"/>
            <x v="424"/>
            <x v="425"/>
            <x v="426"/>
            <x v="427"/>
            <x v="428"/>
          </reference>
        </references>
      </pivotArea>
    </format>
    <format dxfId="100">
      <pivotArea dataOnly="0" labelOnly="1" fieldPosition="0">
        <references count="1">
          <reference field="5" count="50">
            <x v="429"/>
            <x v="430"/>
            <x v="431"/>
            <x v="432"/>
            <x v="433"/>
            <x v="434"/>
            <x v="435"/>
            <x v="436"/>
            <x v="437"/>
            <x v="438"/>
            <x v="439"/>
            <x v="440"/>
            <x v="441"/>
            <x v="442"/>
            <x v="443"/>
            <x v="444"/>
            <x v="445"/>
            <x v="446"/>
            <x v="447"/>
            <x v="448"/>
            <x v="449"/>
            <x v="450"/>
            <x v="451"/>
            <x v="452"/>
            <x v="453"/>
            <x v="454"/>
            <x v="455"/>
            <x v="456"/>
            <x v="457"/>
            <x v="458"/>
            <x v="459"/>
            <x v="460"/>
            <x v="461"/>
            <x v="462"/>
            <x v="463"/>
            <x v="464"/>
            <x v="465"/>
            <x v="466"/>
            <x v="467"/>
            <x v="468"/>
            <x v="469"/>
            <x v="470"/>
            <x v="471"/>
            <x v="472"/>
            <x v="473"/>
            <x v="474"/>
            <x v="475"/>
            <x v="476"/>
            <x v="477"/>
            <x v="478"/>
          </reference>
        </references>
      </pivotArea>
    </format>
    <format dxfId="99">
      <pivotArea dataOnly="0" labelOnly="1" fieldPosition="0">
        <references count="1">
          <reference field="5" count="50">
            <x v="479"/>
            <x v="480"/>
            <x v="481"/>
            <x v="482"/>
            <x v="483"/>
            <x v="484"/>
            <x v="485"/>
            <x v="486"/>
            <x v="487"/>
            <x v="488"/>
            <x v="489"/>
            <x v="490"/>
            <x v="491"/>
            <x v="492"/>
            <x v="493"/>
            <x v="494"/>
            <x v="495"/>
            <x v="496"/>
            <x v="497"/>
            <x v="498"/>
            <x v="499"/>
            <x v="500"/>
            <x v="501"/>
            <x v="502"/>
            <x v="503"/>
            <x v="504"/>
            <x v="505"/>
            <x v="506"/>
            <x v="507"/>
            <x v="508"/>
            <x v="509"/>
            <x v="510"/>
            <x v="511"/>
            <x v="512"/>
            <x v="513"/>
            <x v="514"/>
            <x v="515"/>
            <x v="516"/>
            <x v="517"/>
            <x v="518"/>
            <x v="519"/>
            <x v="520"/>
            <x v="521"/>
            <x v="522"/>
            <x v="523"/>
            <x v="524"/>
            <x v="525"/>
            <x v="526"/>
            <x v="527"/>
            <x v="528"/>
          </reference>
        </references>
      </pivotArea>
    </format>
    <format dxfId="98">
      <pivotArea dataOnly="0" labelOnly="1" fieldPosition="0">
        <references count="1">
          <reference field="5" count="50">
            <x v="529"/>
            <x v="530"/>
            <x v="531"/>
            <x v="532"/>
            <x v="533"/>
            <x v="534"/>
            <x v="535"/>
            <x v="536"/>
            <x v="537"/>
            <x v="538"/>
            <x v="539"/>
            <x v="540"/>
            <x v="541"/>
            <x v="542"/>
            <x v="543"/>
            <x v="544"/>
            <x v="545"/>
            <x v="546"/>
            <x v="547"/>
            <x v="548"/>
            <x v="549"/>
            <x v="550"/>
            <x v="551"/>
            <x v="552"/>
            <x v="553"/>
            <x v="554"/>
            <x v="555"/>
            <x v="556"/>
            <x v="557"/>
            <x v="558"/>
            <x v="559"/>
            <x v="560"/>
            <x v="561"/>
            <x v="562"/>
            <x v="563"/>
            <x v="564"/>
            <x v="565"/>
            <x v="566"/>
            <x v="567"/>
            <x v="568"/>
            <x v="569"/>
            <x v="570"/>
            <x v="571"/>
            <x v="572"/>
            <x v="573"/>
            <x v="574"/>
            <x v="575"/>
            <x v="576"/>
            <x v="577"/>
            <x v="578"/>
          </reference>
        </references>
      </pivotArea>
    </format>
    <format dxfId="97">
      <pivotArea dataOnly="0" labelOnly="1" fieldPosition="0">
        <references count="1">
          <reference field="5" count="50">
            <x v="579"/>
            <x v="580"/>
            <x v="581"/>
            <x v="582"/>
            <x v="583"/>
            <x v="584"/>
            <x v="585"/>
            <x v="586"/>
            <x v="587"/>
            <x v="588"/>
            <x v="589"/>
            <x v="590"/>
            <x v="591"/>
            <x v="592"/>
            <x v="593"/>
            <x v="594"/>
            <x v="595"/>
            <x v="596"/>
            <x v="597"/>
            <x v="598"/>
            <x v="599"/>
            <x v="600"/>
            <x v="601"/>
            <x v="602"/>
            <x v="603"/>
            <x v="604"/>
            <x v="605"/>
            <x v="606"/>
            <x v="607"/>
            <x v="608"/>
            <x v="609"/>
            <x v="610"/>
            <x v="611"/>
            <x v="612"/>
            <x v="613"/>
            <x v="614"/>
            <x v="615"/>
            <x v="616"/>
            <x v="617"/>
            <x v="618"/>
            <x v="619"/>
            <x v="620"/>
            <x v="621"/>
            <x v="622"/>
            <x v="623"/>
            <x v="624"/>
            <x v="625"/>
            <x v="626"/>
            <x v="627"/>
            <x v="628"/>
          </reference>
        </references>
      </pivotArea>
    </format>
    <format dxfId="96">
      <pivotArea dataOnly="0" labelOnly="1" fieldPosition="0">
        <references count="1">
          <reference field="5" count="50">
            <x v="629"/>
            <x v="630"/>
            <x v="631"/>
            <x v="632"/>
            <x v="633"/>
            <x v="634"/>
            <x v="635"/>
            <x v="636"/>
            <x v="637"/>
            <x v="638"/>
            <x v="639"/>
            <x v="640"/>
            <x v="641"/>
            <x v="642"/>
            <x v="643"/>
            <x v="644"/>
            <x v="645"/>
            <x v="646"/>
            <x v="647"/>
            <x v="648"/>
            <x v="649"/>
            <x v="650"/>
            <x v="651"/>
            <x v="652"/>
            <x v="653"/>
            <x v="654"/>
            <x v="655"/>
            <x v="656"/>
            <x v="657"/>
            <x v="658"/>
            <x v="659"/>
            <x v="660"/>
            <x v="661"/>
            <x v="662"/>
            <x v="663"/>
            <x v="664"/>
            <x v="665"/>
            <x v="666"/>
            <x v="667"/>
            <x v="668"/>
            <x v="669"/>
            <x v="670"/>
            <x v="671"/>
            <x v="672"/>
            <x v="673"/>
            <x v="674"/>
            <x v="675"/>
            <x v="676"/>
            <x v="677"/>
            <x v="678"/>
          </reference>
        </references>
      </pivotArea>
    </format>
    <format dxfId="95">
      <pivotArea dataOnly="0" labelOnly="1" fieldPosition="0">
        <references count="1">
          <reference field="5" count="50">
            <x v="679"/>
            <x v="680"/>
            <x v="681"/>
            <x v="682"/>
            <x v="683"/>
            <x v="684"/>
            <x v="685"/>
            <x v="686"/>
            <x v="687"/>
            <x v="688"/>
            <x v="689"/>
            <x v="690"/>
            <x v="691"/>
            <x v="692"/>
            <x v="693"/>
            <x v="694"/>
            <x v="695"/>
            <x v="696"/>
            <x v="697"/>
            <x v="698"/>
            <x v="699"/>
            <x v="700"/>
            <x v="701"/>
            <x v="702"/>
            <x v="703"/>
            <x v="704"/>
            <x v="705"/>
            <x v="706"/>
            <x v="707"/>
            <x v="708"/>
            <x v="709"/>
            <x v="710"/>
            <x v="711"/>
            <x v="712"/>
            <x v="713"/>
            <x v="714"/>
            <x v="715"/>
            <x v="716"/>
            <x v="717"/>
            <x v="718"/>
            <x v="719"/>
            <x v="720"/>
            <x v="721"/>
            <x v="722"/>
            <x v="723"/>
            <x v="724"/>
            <x v="725"/>
            <x v="726"/>
            <x v="727"/>
            <x v="728"/>
          </reference>
        </references>
      </pivotArea>
    </format>
    <format dxfId="94">
      <pivotArea dataOnly="0" labelOnly="1" fieldPosition="0">
        <references count="1">
          <reference field="5" count="34">
            <x v="729"/>
            <x v="730"/>
            <x v="731"/>
            <x v="732"/>
            <x v="733"/>
            <x v="734"/>
            <x v="735"/>
            <x v="736"/>
            <x v="737"/>
            <x v="738"/>
            <x v="739"/>
            <x v="740"/>
            <x v="741"/>
            <x v="742"/>
            <x v="743"/>
            <x v="744"/>
            <x v="745"/>
            <x v="746"/>
            <x v="747"/>
            <x v="748"/>
            <x v="749"/>
            <x v="750"/>
            <x v="751"/>
            <x v="752"/>
            <x v="753"/>
            <x v="754"/>
            <x v="755"/>
            <x v="756"/>
            <x v="757"/>
            <x v="758"/>
            <x v="759"/>
            <x v="760"/>
            <x v="761"/>
            <x v="762"/>
          </reference>
        </references>
      </pivotArea>
    </format>
    <format dxfId="93">
      <pivotArea dataOnly="0" labelOnly="1" grandRow="1" outline="0" fieldPosition="0"/>
    </format>
    <format dxfId="92">
      <pivotArea type="origin" dataOnly="0" labelOnly="1" outline="0" fieldPosition="0"/>
    </format>
    <format dxfId="91">
      <pivotArea field="5" type="button" dataOnly="0" labelOnly="1" outline="0" axis="axisRow" fieldPosition="0"/>
    </format>
    <format dxfId="90">
      <pivotArea field="-2" type="button" dataOnly="0" labelOnly="1" outline="0" axis="axisCol" fieldPosition="0"/>
    </format>
    <format dxfId="89">
      <pivotArea type="topRight" dataOnly="0" labelOnly="1" outline="0" fieldPosition="0"/>
    </format>
    <format dxfId="88">
      <pivotArea dataOnly="0" labelOnly="1" outline="0" fieldPosition="0">
        <references count="1">
          <reference field="4294967294" count="10">
            <x v="0"/>
            <x v="1"/>
            <x v="2"/>
            <x v="3"/>
            <x v="4"/>
            <x v="5"/>
            <x v="6"/>
            <x v="7"/>
            <x v="8"/>
            <x v="9"/>
          </reference>
        </references>
      </pivotArea>
    </format>
    <format dxfId="87">
      <pivotArea dataOnly="0" outline="0" fieldPosition="0">
        <references count="1">
          <reference field="4294967294" count="1">
            <x v="9"/>
          </reference>
        </references>
      </pivotArea>
    </format>
    <format dxfId="86">
      <pivotArea dataOnly="0" outline="0" fieldPosition="0">
        <references count="1">
          <reference field="4294967294" count="1">
            <x v="9"/>
          </reference>
        </references>
      </pivotArea>
    </format>
    <format dxfId="85">
      <pivotArea dataOnly="0" outline="0" fieldPosition="0">
        <references count="1">
          <reference field="4294967294" count="1">
            <x v="9"/>
          </reference>
        </references>
      </pivotArea>
    </format>
    <format dxfId="84">
      <pivotArea dataOnly="0" outline="0" fieldPosition="0">
        <references count="1">
          <reference field="4294967294" count="4">
            <x v="1"/>
            <x v="3"/>
            <x v="5"/>
            <x v="7"/>
          </reference>
        </references>
      </pivotArea>
    </format>
    <format dxfId="83">
      <pivotArea dataOnly="0" outline="0" fieldPosition="0">
        <references count="1">
          <reference field="4294967294" count="4">
            <x v="1"/>
            <x v="3"/>
            <x v="5"/>
            <x v="7"/>
          </reference>
        </references>
      </pivotArea>
    </format>
    <format dxfId="82">
      <pivotArea field="5" type="button" dataOnly="0" labelOnly="1" outline="0" axis="axisRow" fieldPosition="0"/>
    </format>
    <format dxfId="81">
      <pivotArea dataOnly="0" labelOnly="1" outline="0" fieldPosition="0">
        <references count="1">
          <reference field="4294967294" count="10">
            <x v="0"/>
            <x v="1"/>
            <x v="2"/>
            <x v="3"/>
            <x v="4"/>
            <x v="5"/>
            <x v="6"/>
            <x v="7"/>
            <x v="8"/>
            <x v="9"/>
          </reference>
        </references>
      </pivotArea>
    </format>
    <format dxfId="80">
      <pivotArea field="-2" type="button" dataOnly="0" labelOnly="1" outline="0" axis="axisCol" fieldPosition="0"/>
    </format>
    <format dxfId="79">
      <pivotArea type="topRight" dataOnly="0" labelOnly="1" outline="0" fieldPosition="0"/>
    </format>
    <format dxfId="78">
      <pivotArea type="origin" dataOnly="0" labelOnly="1" outline="0" fieldPosition="0"/>
    </format>
    <format dxfId="77">
      <pivotArea field="5" type="button" dataOnly="0" labelOnly="1" outline="0" axis="axisRow" fieldPosition="0"/>
    </format>
    <format dxfId="76">
      <pivotArea outline="0" collapsedLevelsAreSubtotals="1" fieldPosition="0"/>
    </format>
  </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000-000003000000}" name="PivotTable4" cacheId="4" applyNumberFormats="0" applyBorderFormats="0" applyFontFormats="0" applyPatternFormats="0" applyAlignmentFormats="0" applyWidthHeightFormats="1" dataCaption="Values" updatedVersion="5" minRefreshableVersion="3" showCalcMbrs="0" useAutoFormatting="1" itemPrintTitles="1" createdVersion="3" indent="0" outline="1" outlineData="1" multipleFieldFilters="0">
  <location ref="ET7:EU198" firstHeaderRow="1" firstDataRow="1" firstDataCol="1"/>
  <pivotFields count="4">
    <pivotField axis="axisRow" showAll="0">
      <items count="20">
        <item x="0"/>
        <item x="1"/>
        <item x="2"/>
        <item x="3"/>
        <item x="4"/>
        <item x="5"/>
        <item x="6"/>
        <item x="7"/>
        <item x="8"/>
        <item x="9"/>
        <item x="10"/>
        <item x="11"/>
        <item x="12"/>
        <item x="13"/>
        <item x="14"/>
        <item x="15"/>
        <item x="16"/>
        <item x="17"/>
        <item x="18"/>
        <item t="default"/>
      </items>
    </pivotField>
    <pivotField axis="axisRow" showAll="0">
      <items count="10">
        <item x="0"/>
        <item x="1"/>
        <item x="2"/>
        <item x="3"/>
        <item x="4"/>
        <item x="5"/>
        <item x="6"/>
        <item x="7"/>
        <item x="8"/>
        <item t="default"/>
      </items>
    </pivotField>
    <pivotField showAll="0"/>
    <pivotField dataField="1" numFmtId="10" showAll="0"/>
  </pivotFields>
  <rowFields count="2">
    <field x="0"/>
    <field x="1"/>
  </rowFields>
  <rowItems count="191">
    <i>
      <x/>
    </i>
    <i r="1">
      <x/>
    </i>
    <i r="1">
      <x v="1"/>
    </i>
    <i r="1">
      <x v="2"/>
    </i>
    <i r="1">
      <x v="3"/>
    </i>
    <i r="1">
      <x v="4"/>
    </i>
    <i r="1">
      <x v="5"/>
    </i>
    <i r="1">
      <x v="6"/>
    </i>
    <i r="1">
      <x v="7"/>
    </i>
    <i r="1">
      <x v="8"/>
    </i>
    <i>
      <x v="1"/>
    </i>
    <i r="1">
      <x/>
    </i>
    <i r="1">
      <x v="1"/>
    </i>
    <i r="1">
      <x v="2"/>
    </i>
    <i r="1">
      <x v="3"/>
    </i>
    <i r="1">
      <x v="4"/>
    </i>
    <i r="1">
      <x v="5"/>
    </i>
    <i r="1">
      <x v="6"/>
    </i>
    <i r="1">
      <x v="7"/>
    </i>
    <i r="1">
      <x v="8"/>
    </i>
    <i>
      <x v="2"/>
    </i>
    <i r="1">
      <x/>
    </i>
    <i r="1">
      <x v="1"/>
    </i>
    <i r="1">
      <x v="2"/>
    </i>
    <i r="1">
      <x v="3"/>
    </i>
    <i r="1">
      <x v="4"/>
    </i>
    <i r="1">
      <x v="5"/>
    </i>
    <i r="1">
      <x v="6"/>
    </i>
    <i r="1">
      <x v="7"/>
    </i>
    <i r="1">
      <x v="8"/>
    </i>
    <i>
      <x v="3"/>
    </i>
    <i r="1">
      <x/>
    </i>
    <i r="1">
      <x v="1"/>
    </i>
    <i r="1">
      <x v="2"/>
    </i>
    <i r="1">
      <x v="3"/>
    </i>
    <i r="1">
      <x v="4"/>
    </i>
    <i r="1">
      <x v="5"/>
    </i>
    <i r="1">
      <x v="6"/>
    </i>
    <i r="1">
      <x v="7"/>
    </i>
    <i r="1">
      <x v="8"/>
    </i>
    <i>
      <x v="4"/>
    </i>
    <i r="1">
      <x/>
    </i>
    <i r="1">
      <x v="1"/>
    </i>
    <i r="1">
      <x v="2"/>
    </i>
    <i r="1">
      <x v="3"/>
    </i>
    <i r="1">
      <x v="4"/>
    </i>
    <i r="1">
      <x v="5"/>
    </i>
    <i r="1">
      <x v="6"/>
    </i>
    <i r="1">
      <x v="7"/>
    </i>
    <i r="1">
      <x v="8"/>
    </i>
    <i>
      <x v="5"/>
    </i>
    <i r="1">
      <x/>
    </i>
    <i r="1">
      <x v="1"/>
    </i>
    <i r="1">
      <x v="2"/>
    </i>
    <i r="1">
      <x v="3"/>
    </i>
    <i r="1">
      <x v="4"/>
    </i>
    <i r="1">
      <x v="5"/>
    </i>
    <i r="1">
      <x v="6"/>
    </i>
    <i r="1">
      <x v="7"/>
    </i>
    <i r="1">
      <x v="8"/>
    </i>
    <i>
      <x v="6"/>
    </i>
    <i r="1">
      <x/>
    </i>
    <i r="1">
      <x v="1"/>
    </i>
    <i r="1">
      <x v="2"/>
    </i>
    <i r="1">
      <x v="3"/>
    </i>
    <i r="1">
      <x v="4"/>
    </i>
    <i r="1">
      <x v="5"/>
    </i>
    <i r="1">
      <x v="6"/>
    </i>
    <i r="1">
      <x v="7"/>
    </i>
    <i r="1">
      <x v="8"/>
    </i>
    <i>
      <x v="7"/>
    </i>
    <i r="1">
      <x/>
    </i>
    <i r="1">
      <x v="1"/>
    </i>
    <i r="1">
      <x v="2"/>
    </i>
    <i r="1">
      <x v="3"/>
    </i>
    <i r="1">
      <x v="4"/>
    </i>
    <i r="1">
      <x v="5"/>
    </i>
    <i r="1">
      <x v="6"/>
    </i>
    <i r="1">
      <x v="7"/>
    </i>
    <i r="1">
      <x v="8"/>
    </i>
    <i>
      <x v="8"/>
    </i>
    <i r="1">
      <x/>
    </i>
    <i r="1">
      <x v="1"/>
    </i>
    <i r="1">
      <x v="2"/>
    </i>
    <i r="1">
      <x v="3"/>
    </i>
    <i r="1">
      <x v="4"/>
    </i>
    <i r="1">
      <x v="5"/>
    </i>
    <i r="1">
      <x v="6"/>
    </i>
    <i r="1">
      <x v="7"/>
    </i>
    <i r="1">
      <x v="8"/>
    </i>
    <i>
      <x v="9"/>
    </i>
    <i r="1">
      <x/>
    </i>
    <i r="1">
      <x v="1"/>
    </i>
    <i r="1">
      <x v="2"/>
    </i>
    <i r="1">
      <x v="3"/>
    </i>
    <i r="1">
      <x v="4"/>
    </i>
    <i r="1">
      <x v="5"/>
    </i>
    <i r="1">
      <x v="6"/>
    </i>
    <i r="1">
      <x v="7"/>
    </i>
    <i r="1">
      <x v="8"/>
    </i>
    <i>
      <x v="10"/>
    </i>
    <i r="1">
      <x/>
    </i>
    <i r="1">
      <x v="1"/>
    </i>
    <i r="1">
      <x v="2"/>
    </i>
    <i r="1">
      <x v="3"/>
    </i>
    <i r="1">
      <x v="4"/>
    </i>
    <i r="1">
      <x v="5"/>
    </i>
    <i r="1">
      <x v="6"/>
    </i>
    <i r="1">
      <x v="7"/>
    </i>
    <i r="1">
      <x v="8"/>
    </i>
    <i>
      <x v="11"/>
    </i>
    <i r="1">
      <x/>
    </i>
    <i r="1">
      <x v="1"/>
    </i>
    <i r="1">
      <x v="2"/>
    </i>
    <i r="1">
      <x v="3"/>
    </i>
    <i r="1">
      <x v="4"/>
    </i>
    <i r="1">
      <x v="5"/>
    </i>
    <i r="1">
      <x v="6"/>
    </i>
    <i r="1">
      <x v="7"/>
    </i>
    <i r="1">
      <x v="8"/>
    </i>
    <i>
      <x v="12"/>
    </i>
    <i r="1">
      <x/>
    </i>
    <i r="1">
      <x v="1"/>
    </i>
    <i r="1">
      <x v="2"/>
    </i>
    <i r="1">
      <x v="3"/>
    </i>
    <i r="1">
      <x v="4"/>
    </i>
    <i r="1">
      <x v="5"/>
    </i>
    <i r="1">
      <x v="6"/>
    </i>
    <i r="1">
      <x v="7"/>
    </i>
    <i r="1">
      <x v="8"/>
    </i>
    <i>
      <x v="13"/>
    </i>
    <i r="1">
      <x/>
    </i>
    <i r="1">
      <x v="1"/>
    </i>
    <i r="1">
      <x v="2"/>
    </i>
    <i r="1">
      <x v="3"/>
    </i>
    <i r="1">
      <x v="4"/>
    </i>
    <i r="1">
      <x v="5"/>
    </i>
    <i r="1">
      <x v="6"/>
    </i>
    <i r="1">
      <x v="7"/>
    </i>
    <i r="1">
      <x v="8"/>
    </i>
    <i>
      <x v="14"/>
    </i>
    <i r="1">
      <x/>
    </i>
    <i r="1">
      <x v="1"/>
    </i>
    <i r="1">
      <x v="2"/>
    </i>
    <i r="1">
      <x v="3"/>
    </i>
    <i r="1">
      <x v="4"/>
    </i>
    <i r="1">
      <x v="5"/>
    </i>
    <i r="1">
      <x v="6"/>
    </i>
    <i r="1">
      <x v="7"/>
    </i>
    <i r="1">
      <x v="8"/>
    </i>
    <i>
      <x v="15"/>
    </i>
    <i r="1">
      <x/>
    </i>
    <i r="1">
      <x v="1"/>
    </i>
    <i r="1">
      <x v="2"/>
    </i>
    <i r="1">
      <x v="3"/>
    </i>
    <i r="1">
      <x v="4"/>
    </i>
    <i r="1">
      <x v="5"/>
    </i>
    <i r="1">
      <x v="6"/>
    </i>
    <i r="1">
      <x v="7"/>
    </i>
    <i r="1">
      <x v="8"/>
    </i>
    <i>
      <x v="16"/>
    </i>
    <i r="1">
      <x/>
    </i>
    <i r="1">
      <x v="1"/>
    </i>
    <i r="1">
      <x v="2"/>
    </i>
    <i r="1">
      <x v="3"/>
    </i>
    <i r="1">
      <x v="4"/>
    </i>
    <i r="1">
      <x v="5"/>
    </i>
    <i r="1">
      <x v="6"/>
    </i>
    <i r="1">
      <x v="7"/>
    </i>
    <i r="1">
      <x v="8"/>
    </i>
    <i>
      <x v="17"/>
    </i>
    <i r="1">
      <x/>
    </i>
    <i r="1">
      <x v="1"/>
    </i>
    <i r="1">
      <x v="2"/>
    </i>
    <i r="1">
      <x v="3"/>
    </i>
    <i r="1">
      <x v="4"/>
    </i>
    <i r="1">
      <x v="5"/>
    </i>
    <i r="1">
      <x v="6"/>
    </i>
    <i r="1">
      <x v="7"/>
    </i>
    <i r="1">
      <x v="8"/>
    </i>
    <i>
      <x v="18"/>
    </i>
    <i r="1">
      <x/>
    </i>
    <i r="1">
      <x v="1"/>
    </i>
    <i r="1">
      <x v="2"/>
    </i>
    <i r="1">
      <x v="3"/>
    </i>
    <i r="1">
      <x v="4"/>
    </i>
    <i r="1">
      <x v="5"/>
    </i>
    <i r="1">
      <x v="6"/>
    </i>
    <i r="1">
      <x v="7"/>
    </i>
    <i r="1">
      <x v="8"/>
    </i>
    <i t="grand">
      <x/>
    </i>
  </rowItems>
  <colItems count="1">
    <i/>
  </colItems>
  <dataFields count="1">
    <dataField name="Sum of Output (%)" fld="3" baseField="0" baseItem="0"/>
  </dataFields>
  <formats count="66">
    <format dxfId="189">
      <pivotArea field="0" type="button" dataOnly="0" labelOnly="1" outline="0" axis="axisRow" fieldPosition="0"/>
    </format>
    <format dxfId="188">
      <pivotArea dataOnly="0" labelOnly="1" fieldPosition="0">
        <references count="1">
          <reference field="1" count="0"/>
        </references>
      </pivotArea>
    </format>
    <format dxfId="187">
      <pivotArea dataOnly="0" labelOnly="1" grandCol="1" outline="0" fieldPosition="0"/>
    </format>
    <format dxfId="186">
      <pivotArea dataOnly="0" labelOnly="1" fieldPosition="0">
        <references count="1">
          <reference field="1" count="0"/>
        </references>
      </pivotArea>
    </format>
    <format dxfId="185">
      <pivotArea dataOnly="0" labelOnly="1" grandCol="1" outline="0" fieldPosition="0"/>
    </format>
    <format dxfId="184">
      <pivotArea dataOnly="0" labelOnly="1" grandCol="1" outline="0" fieldPosition="0"/>
    </format>
    <format dxfId="183">
      <pivotArea type="origin" dataOnly="0" labelOnly="1" outline="0" fieldPosition="0"/>
    </format>
    <format dxfId="182">
      <pivotArea field="1" type="button" dataOnly="0" labelOnly="1" outline="0" axis="axisRow" fieldPosition="1"/>
    </format>
    <format dxfId="181">
      <pivotArea field="0" type="button" dataOnly="0" labelOnly="1" outline="0" axis="axisRow" fieldPosition="0"/>
    </format>
    <format dxfId="180">
      <pivotArea field="0" type="button" dataOnly="0" labelOnly="1" outline="0" axis="axisRow" fieldPosition="0"/>
    </format>
    <format dxfId="179">
      <pivotArea dataOnly="0" labelOnly="1" outline="0" axis="axisValues" fieldPosition="0"/>
    </format>
    <format dxfId="178">
      <pivotArea dataOnly="0" labelOnly="1" fieldPosition="0">
        <references count="1">
          <reference field="0" count="0"/>
        </references>
      </pivotArea>
    </format>
    <format dxfId="177">
      <pivotArea dataOnly="0" labelOnly="1" grandRow="1" outline="0" fieldPosition="0"/>
    </format>
    <format dxfId="176">
      <pivotArea field="0" type="button" dataOnly="0" labelOnly="1" outline="0" axis="axisRow" fieldPosition="0"/>
    </format>
    <format dxfId="175">
      <pivotArea field="0" type="button" dataOnly="0" labelOnly="1" outline="0" axis="axisRow" fieldPosition="0"/>
    </format>
    <format dxfId="174">
      <pivotArea dataOnly="0" labelOnly="1" outline="0" axis="axisValues" fieldPosition="0"/>
    </format>
    <format dxfId="173">
      <pivotArea type="all" dataOnly="0" outline="0" fieldPosition="0"/>
    </format>
    <format dxfId="172">
      <pivotArea type="all" dataOnly="0" outline="0" fieldPosition="0"/>
    </format>
    <format dxfId="171">
      <pivotArea collapsedLevelsAreSubtotals="1" fieldPosition="0">
        <references count="1">
          <reference field="0" count="1">
            <x v="0"/>
          </reference>
        </references>
      </pivotArea>
    </format>
    <format dxfId="170">
      <pivotArea collapsedLevelsAreSubtotals="1" fieldPosition="0">
        <references count="1">
          <reference field="0" count="1">
            <x v="1"/>
          </reference>
        </references>
      </pivotArea>
    </format>
    <format dxfId="169">
      <pivotArea grandRow="1" outline="0" collapsedLevelsAreSubtotals="1" fieldPosition="0"/>
    </format>
    <format dxfId="168">
      <pivotArea dataOnly="0" labelOnly="1" grandRow="1" outline="0" fieldPosition="0"/>
    </format>
    <format dxfId="167">
      <pivotArea collapsedLevelsAreSubtotals="1" fieldPosition="0">
        <references count="1">
          <reference field="0" count="1">
            <x v="17"/>
          </reference>
        </references>
      </pivotArea>
    </format>
    <format dxfId="166">
      <pivotArea collapsedLevelsAreSubtotals="1" fieldPosition="0">
        <references count="1">
          <reference field="0" count="1">
            <x v="18"/>
          </reference>
        </references>
      </pivotArea>
    </format>
    <format dxfId="165">
      <pivotArea collapsedLevelsAreSubtotals="1" fieldPosition="0">
        <references count="2">
          <reference field="0" count="1" selected="0">
            <x v="18"/>
          </reference>
          <reference field="1" count="1">
            <x v="8"/>
          </reference>
        </references>
      </pivotArea>
    </format>
    <format dxfId="164">
      <pivotArea dataOnly="0" labelOnly="1" fieldPosition="0">
        <references count="2">
          <reference field="0" count="1" selected="0">
            <x v="18"/>
          </reference>
          <reference field="1" count="1">
            <x v="8"/>
          </reference>
        </references>
      </pivotArea>
    </format>
    <format dxfId="163">
      <pivotArea collapsedLevelsAreSubtotals="1" fieldPosition="0">
        <references count="1">
          <reference field="0" count="1">
            <x v="14"/>
          </reference>
        </references>
      </pivotArea>
    </format>
    <format dxfId="162">
      <pivotArea collapsedLevelsAreSubtotals="1" fieldPosition="0">
        <references count="1">
          <reference field="0" count="1">
            <x v="15"/>
          </reference>
        </references>
      </pivotArea>
    </format>
    <format dxfId="161">
      <pivotArea collapsedLevelsAreSubtotals="1" fieldPosition="0">
        <references count="1">
          <reference field="0" count="1">
            <x v="16"/>
          </reference>
        </references>
      </pivotArea>
    </format>
    <format dxfId="160">
      <pivotArea collapsedLevelsAreSubtotals="1" fieldPosition="0">
        <references count="1">
          <reference field="0" count="1">
            <x v="11"/>
          </reference>
        </references>
      </pivotArea>
    </format>
    <format dxfId="159">
      <pivotArea collapsedLevelsAreSubtotals="1" fieldPosition="0">
        <references count="1">
          <reference field="0" count="1">
            <x v="12"/>
          </reference>
        </references>
      </pivotArea>
    </format>
    <format dxfId="158">
      <pivotArea collapsedLevelsAreSubtotals="1" fieldPosition="0">
        <references count="1">
          <reference field="0" count="1">
            <x v="13"/>
          </reference>
        </references>
      </pivotArea>
    </format>
    <format dxfId="157">
      <pivotArea collapsedLevelsAreSubtotals="1" fieldPosition="0">
        <references count="1">
          <reference field="0" count="1">
            <x v="8"/>
          </reference>
        </references>
      </pivotArea>
    </format>
    <format dxfId="156">
      <pivotArea collapsedLevelsAreSubtotals="1" fieldPosition="0">
        <references count="1">
          <reference field="0" count="1">
            <x v="9"/>
          </reference>
        </references>
      </pivotArea>
    </format>
    <format dxfId="155">
      <pivotArea collapsedLevelsAreSubtotals="1" fieldPosition="0">
        <references count="1">
          <reference field="0" count="1">
            <x v="10"/>
          </reference>
        </references>
      </pivotArea>
    </format>
    <format dxfId="154">
      <pivotArea dataOnly="0" labelOnly="1" fieldPosition="0">
        <references count="1">
          <reference field="0" count="0"/>
        </references>
      </pivotArea>
    </format>
    <format dxfId="153">
      <pivotArea collapsedLevelsAreSubtotals="1" fieldPosition="0">
        <references count="1">
          <reference field="0" count="1">
            <x v="5"/>
          </reference>
        </references>
      </pivotArea>
    </format>
    <format dxfId="152">
      <pivotArea collapsedLevelsAreSubtotals="1" fieldPosition="0">
        <references count="1">
          <reference field="0" count="1">
            <x v="6"/>
          </reference>
        </references>
      </pivotArea>
    </format>
    <format dxfId="151">
      <pivotArea collapsedLevelsAreSubtotals="1" fieldPosition="0">
        <references count="1">
          <reference field="0" count="1">
            <x v="7"/>
          </reference>
        </references>
      </pivotArea>
    </format>
    <format dxfId="150">
      <pivotArea collapsedLevelsAreSubtotals="1" fieldPosition="0">
        <references count="1">
          <reference field="0" count="1">
            <x v="2"/>
          </reference>
        </references>
      </pivotArea>
    </format>
    <format dxfId="149">
      <pivotArea collapsedLevelsAreSubtotals="1" fieldPosition="0">
        <references count="1">
          <reference field="0" count="1">
            <x v="3"/>
          </reference>
        </references>
      </pivotArea>
    </format>
    <format dxfId="148">
      <pivotArea collapsedLevelsAreSubtotals="1" fieldPosition="0">
        <references count="1">
          <reference field="0" count="1">
            <x v="4"/>
          </reference>
        </references>
      </pivotArea>
    </format>
    <format dxfId="147">
      <pivotArea field="0" type="button" dataOnly="0" labelOnly="1" outline="0" axis="axisRow" fieldPosition="0"/>
    </format>
    <format dxfId="146">
      <pivotArea dataOnly="0" labelOnly="1" fieldPosition="0">
        <references count="1">
          <reference field="0" count="0"/>
        </references>
      </pivotArea>
    </format>
    <format dxfId="145">
      <pivotArea dataOnly="0" labelOnly="1" grandRow="1" outline="0" fieldPosition="0"/>
    </format>
    <format dxfId="144">
      <pivotArea dataOnly="0" labelOnly="1" fieldPosition="0">
        <references count="2">
          <reference field="0" count="1" selected="0">
            <x v="0"/>
          </reference>
          <reference field="1" count="0"/>
        </references>
      </pivotArea>
    </format>
    <format dxfId="143">
      <pivotArea dataOnly="0" labelOnly="1" fieldPosition="0">
        <references count="2">
          <reference field="0" count="1" selected="0">
            <x v="5"/>
          </reference>
          <reference field="1" count="0"/>
        </references>
      </pivotArea>
    </format>
    <format dxfId="142">
      <pivotArea dataOnly="0" labelOnly="1" fieldPosition="0">
        <references count="2">
          <reference field="0" count="1" selected="0">
            <x v="11"/>
          </reference>
          <reference field="1" count="0"/>
        </references>
      </pivotArea>
    </format>
    <format dxfId="141">
      <pivotArea dataOnly="0" labelOnly="1" fieldPosition="0">
        <references count="2">
          <reference field="0" count="1" selected="0">
            <x v="16"/>
          </reference>
          <reference field="1" count="0"/>
        </references>
      </pivotArea>
    </format>
    <format dxfId="140">
      <pivotArea dataOnly="0" labelOnly="1" fieldPosition="0">
        <references count="2">
          <reference field="0" count="1" selected="0">
            <x v="1"/>
          </reference>
          <reference field="1" count="0"/>
        </references>
      </pivotArea>
    </format>
    <format dxfId="139">
      <pivotArea dataOnly="0" labelOnly="1" fieldPosition="0">
        <references count="2">
          <reference field="0" count="1" selected="0">
            <x v="6"/>
          </reference>
          <reference field="1" count="0"/>
        </references>
      </pivotArea>
    </format>
    <format dxfId="138">
      <pivotArea dataOnly="0" labelOnly="1" fieldPosition="0">
        <references count="2">
          <reference field="0" count="1" selected="0">
            <x v="12"/>
          </reference>
          <reference field="1" count="0"/>
        </references>
      </pivotArea>
    </format>
    <format dxfId="137">
      <pivotArea dataOnly="0" labelOnly="1" fieldPosition="0">
        <references count="2">
          <reference field="0" count="1" selected="0">
            <x v="17"/>
          </reference>
          <reference field="1" count="0"/>
        </references>
      </pivotArea>
    </format>
    <format dxfId="136">
      <pivotArea dataOnly="0" outline="0" axis="axisValues" fieldPosition="0"/>
    </format>
    <format dxfId="135">
      <pivotArea outline="0" collapsedLevelsAreSubtotals="1" fieldPosition="0"/>
    </format>
    <format dxfId="134">
      <pivotArea outline="0" collapsedLevelsAreSubtotals="1" fieldPosition="0"/>
    </format>
    <format dxfId="133">
      <pivotArea dataOnly="0" labelOnly="1" outline="0" axis="axisValues" fieldPosition="0"/>
    </format>
    <format dxfId="132">
      <pivotArea dataOnly="0" labelOnly="1" fieldPosition="0">
        <references count="1">
          <reference field="0" count="0"/>
        </references>
      </pivotArea>
    </format>
    <format dxfId="131">
      <pivotArea dataOnly="0" labelOnly="1" grandRow="1" outline="0" fieldPosition="0"/>
    </format>
    <format dxfId="130">
      <pivotArea dataOnly="0" labelOnly="1" fieldPosition="0">
        <references count="2">
          <reference field="0" count="1" selected="0">
            <x v="0"/>
          </reference>
          <reference field="1" count="0"/>
        </references>
      </pivotArea>
    </format>
    <format dxfId="129">
      <pivotArea dataOnly="0" labelOnly="1" fieldPosition="0">
        <references count="2">
          <reference field="0" count="1" selected="0">
            <x v="5"/>
          </reference>
          <reference field="1" count="0"/>
        </references>
      </pivotArea>
    </format>
    <format dxfId="128">
      <pivotArea dataOnly="0" labelOnly="1" fieldPosition="0">
        <references count="2">
          <reference field="0" count="1" selected="0">
            <x v="11"/>
          </reference>
          <reference field="1" count="0"/>
        </references>
      </pivotArea>
    </format>
    <format dxfId="127">
      <pivotArea dataOnly="0" labelOnly="1" fieldPosition="0">
        <references count="2">
          <reference field="0" count="1" selected="0">
            <x v="16"/>
          </reference>
          <reference field="1" count="0"/>
        </references>
      </pivotArea>
    </format>
    <format dxfId="126">
      <pivotArea field="0" type="button" dataOnly="0" labelOnly="1" outline="0" axis="axisRow" fieldPosition="0"/>
    </format>
    <format dxfId="125">
      <pivotArea field="0" type="button" dataOnly="0" labelOnly="1" outline="0" axis="axisRow" fieldPosition="0"/>
    </format>
    <format dxfId="124">
      <pivotArea dataOnly="0" labelOnly="1" outline="0" axis="axisValues" fieldPosition="0"/>
    </format>
  </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000-000004000000}" name="PivotTable5" cacheId="3" applyNumberFormats="0" applyBorderFormats="0" applyFontFormats="0" applyPatternFormats="0" applyAlignmentFormats="0" applyWidthHeightFormats="1" dataCaption="Values" updatedVersion="5" minRefreshableVersion="3" showCalcMbrs="0" useAutoFormatting="1" itemPrintTitles="1" createdVersion="3" indent="0" outline="1" outlineData="1" multipleFieldFilters="0">
  <location ref="DZ6:EI381" firstHeaderRow="1" firstDataRow="2" firstDataCol="1"/>
  <pivotFields count="20">
    <pivotField axis="axisRow" showAll="0" sortType="ascending">
      <items count="374">
        <item x="166"/>
        <item x="167"/>
        <item x="168"/>
        <item x="223"/>
        <item x="224"/>
        <item x="266"/>
        <item x="267"/>
        <item x="0"/>
        <item x="309"/>
        <item x="307"/>
        <item x="308"/>
        <item x="85"/>
        <item x="84"/>
        <item x="178"/>
        <item x="179"/>
        <item x="230"/>
        <item x="231"/>
        <item x="273"/>
        <item x="274"/>
        <item x="15"/>
        <item x="16"/>
        <item x="324"/>
        <item x="321"/>
        <item x="322"/>
        <item x="323"/>
        <item x="98"/>
        <item x="99"/>
        <item x="96"/>
        <item x="97"/>
        <item x="180"/>
        <item x="181"/>
        <item x="232"/>
        <item x="233"/>
        <item x="234"/>
        <item x="275"/>
        <item x="276"/>
        <item x="17"/>
        <item x="18"/>
        <item x="19"/>
        <item x="20"/>
        <item x="327"/>
        <item x="325"/>
        <item x="326"/>
        <item x="103"/>
        <item x="105"/>
        <item x="100"/>
        <item x="101"/>
        <item x="102"/>
        <item x="104"/>
        <item x="210"/>
        <item x="211"/>
        <item x="253"/>
        <item x="254"/>
        <item x="255"/>
        <item x="297"/>
        <item x="298"/>
        <item x="65"/>
        <item x="66"/>
        <item x="67"/>
        <item x="68"/>
        <item x="356"/>
        <item x="357"/>
        <item x="147"/>
        <item x="149"/>
        <item x="143"/>
        <item x="144"/>
        <item x="145"/>
        <item x="146"/>
        <item x="148"/>
        <item x="191"/>
        <item x="188"/>
        <item x="189"/>
        <item x="190"/>
        <item x="246"/>
        <item x="243"/>
        <item x="244"/>
        <item x="245"/>
        <item x="247"/>
        <item x="282"/>
        <item x="283"/>
        <item x="284"/>
        <item x="34"/>
        <item x="32"/>
        <item x="30"/>
        <item x="31"/>
        <item x="33"/>
        <item x="334"/>
        <item x="335"/>
        <item x="336"/>
        <item x="337"/>
        <item x="113"/>
        <item x="117"/>
        <item x="112"/>
        <item x="114"/>
        <item x="115"/>
        <item x="116"/>
        <item x="175"/>
        <item x="171"/>
        <item x="172"/>
        <item x="173"/>
        <item x="174"/>
        <item x="229"/>
        <item x="227"/>
        <item x="228"/>
        <item x="269"/>
        <item x="270"/>
        <item x="271"/>
        <item x="7"/>
        <item x="6"/>
        <item x="9"/>
        <item x="3"/>
        <item x="4"/>
        <item x="5"/>
        <item x="8"/>
        <item x="318"/>
        <item x="313"/>
        <item x="314"/>
        <item x="315"/>
        <item x="316"/>
        <item x="317"/>
        <item x="89"/>
        <item x="93"/>
        <item x="88"/>
        <item x="90"/>
        <item x="91"/>
        <item x="92"/>
        <item x="212"/>
        <item x="213"/>
        <item x="214"/>
        <item x="256"/>
        <item x="257"/>
        <item x="299"/>
        <item x="300"/>
        <item x="69"/>
        <item x="358"/>
        <item x="359"/>
        <item x="151"/>
        <item x="150"/>
        <item x="304"/>
        <item x="79"/>
        <item x="78"/>
        <item x="367"/>
        <item x="368"/>
        <item x="160"/>
        <item x="192"/>
        <item x="193"/>
        <item x="194"/>
        <item x="195"/>
        <item x="251"/>
        <item x="248"/>
        <item x="249"/>
        <item x="250"/>
        <item x="285"/>
        <item x="286"/>
        <item x="287"/>
        <item x="38"/>
        <item x="40"/>
        <item x="35"/>
        <item x="36"/>
        <item x="37"/>
        <item x="39"/>
        <item x="338"/>
        <item x="339"/>
        <item x="340"/>
        <item x="121"/>
        <item x="118"/>
        <item x="119"/>
        <item x="120"/>
        <item x="122"/>
        <item x="218"/>
        <item x="215"/>
        <item x="216"/>
        <item x="217"/>
        <item x="261"/>
        <item x="258"/>
        <item x="259"/>
        <item x="260"/>
        <item x="301"/>
        <item x="302"/>
        <item x="72"/>
        <item x="70"/>
        <item x="71"/>
        <item x="73"/>
        <item x="363"/>
        <item x="360"/>
        <item x="361"/>
        <item x="362"/>
        <item x="154"/>
        <item x="156"/>
        <item x="152"/>
        <item x="153"/>
        <item x="155"/>
        <item x="222"/>
        <item x="219"/>
        <item x="220"/>
        <item x="221"/>
        <item x="265"/>
        <item x="262"/>
        <item x="263"/>
        <item x="264"/>
        <item x="305"/>
        <item x="306"/>
        <item x="82"/>
        <item x="80"/>
        <item x="81"/>
        <item x="83"/>
        <item x="372"/>
        <item x="369"/>
        <item x="370"/>
        <item x="371"/>
        <item x="163"/>
        <item x="165"/>
        <item x="161"/>
        <item x="162"/>
        <item x="164"/>
        <item x="169"/>
        <item x="170"/>
        <item x="225"/>
        <item x="226"/>
        <item x="268"/>
        <item x="1"/>
        <item x="2"/>
        <item x="312"/>
        <item x="310"/>
        <item x="311"/>
        <item x="87"/>
        <item x="86"/>
        <item x="176"/>
        <item x="177"/>
        <item x="272"/>
        <item x="14"/>
        <item x="10"/>
        <item x="11"/>
        <item x="12"/>
        <item x="13"/>
        <item x="319"/>
        <item x="320"/>
        <item x="95"/>
        <item x="94"/>
        <item x="196"/>
        <item x="197"/>
        <item x="198"/>
        <item x="199"/>
        <item x="288"/>
        <item x="289"/>
        <item x="290"/>
        <item x="45"/>
        <item x="41"/>
        <item x="42"/>
        <item x="43"/>
        <item x="44"/>
        <item x="46"/>
        <item x="345"/>
        <item x="341"/>
        <item x="342"/>
        <item x="343"/>
        <item x="344"/>
        <item x="124"/>
        <item x="123"/>
        <item x="187"/>
        <item x="182"/>
        <item x="183"/>
        <item x="184"/>
        <item x="185"/>
        <item x="186"/>
        <item x="241"/>
        <item x="235"/>
        <item x="236"/>
        <item x="237"/>
        <item x="238"/>
        <item x="239"/>
        <item x="240"/>
        <item x="242"/>
        <item x="281"/>
        <item x="277"/>
        <item x="278"/>
        <item x="279"/>
        <item x="280"/>
        <item x="28"/>
        <item x="26"/>
        <item x="21"/>
        <item x="22"/>
        <item x="23"/>
        <item x="24"/>
        <item x="25"/>
        <item x="27"/>
        <item x="29"/>
        <item x="333"/>
        <item x="328"/>
        <item x="329"/>
        <item x="330"/>
        <item x="331"/>
        <item x="332"/>
        <item x="107"/>
        <item x="111"/>
        <item x="106"/>
        <item x="108"/>
        <item x="109"/>
        <item x="110"/>
        <item x="203"/>
        <item x="204"/>
        <item x="205"/>
        <item x="206"/>
        <item x="293"/>
        <item x="294"/>
        <item x="57"/>
        <item x="58"/>
        <item x="53"/>
        <item x="54"/>
        <item x="55"/>
        <item x="56"/>
        <item x="352"/>
        <item x="349"/>
        <item x="350"/>
        <item x="351"/>
        <item x="132"/>
        <item x="136"/>
        <item x="131"/>
        <item x="133"/>
        <item x="134"/>
        <item x="135"/>
        <item x="207"/>
        <item x="208"/>
        <item x="209"/>
        <item x="252"/>
        <item x="295"/>
        <item x="296"/>
        <item x="63"/>
        <item x="64"/>
        <item x="59"/>
        <item x="60"/>
        <item x="61"/>
        <item x="62"/>
        <item x="353"/>
        <item x="354"/>
        <item x="355"/>
        <item x="138"/>
        <item x="142"/>
        <item x="137"/>
        <item x="139"/>
        <item x="140"/>
        <item x="141"/>
        <item x="303"/>
        <item x="76"/>
        <item x="77"/>
        <item x="74"/>
        <item x="75"/>
        <item x="364"/>
        <item x="365"/>
        <item x="366"/>
        <item x="158"/>
        <item x="157"/>
        <item x="159"/>
        <item x="200"/>
        <item x="201"/>
        <item x="202"/>
        <item x="291"/>
        <item x="292"/>
        <item x="51"/>
        <item x="52"/>
        <item x="47"/>
        <item x="48"/>
        <item x="49"/>
        <item x="50"/>
        <item x="346"/>
        <item x="347"/>
        <item x="348"/>
        <item x="128"/>
        <item x="130"/>
        <item x="125"/>
        <item x="126"/>
        <item x="127"/>
        <item x="129"/>
        <item t="default"/>
      </items>
    </pivotField>
    <pivotField showAll="0"/>
    <pivotField numFmtId="169" showAll="0"/>
    <pivotField numFmtId="169" showAll="0"/>
    <pivotField numFmtId="169" showAll="0"/>
    <pivotField numFmtId="169" showAll="0"/>
    <pivotField numFmtId="169" showAll="0"/>
    <pivotField numFmtId="169" showAll="0"/>
    <pivotField numFmtId="169" showAll="0"/>
    <pivotField numFmtId="169" showAll="0"/>
    <pivotField numFmtId="169" showAll="0"/>
    <pivotField dataField="1" numFmtId="169" showAll="0"/>
    <pivotField dataField="1" numFmtId="169" showAll="0"/>
    <pivotField dataField="1" numFmtId="169" showAll="0"/>
    <pivotField dataField="1" numFmtId="169" showAll="0"/>
    <pivotField dataField="1" numFmtId="169" showAll="0"/>
    <pivotField dataField="1" numFmtId="169" showAll="0"/>
    <pivotField dataField="1" numFmtId="169" showAll="0"/>
    <pivotField dataField="1" numFmtId="169" showAll="0"/>
    <pivotField dataField="1" numFmtId="169" showAll="0"/>
  </pivotFields>
  <rowFields count="1">
    <field x="0"/>
  </rowFields>
  <rowItems count="37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t="grand">
      <x/>
    </i>
  </rowItems>
  <colFields count="1">
    <field x="-2"/>
  </colFields>
  <colItems count="9">
    <i>
      <x/>
    </i>
    <i i="1">
      <x v="1"/>
    </i>
    <i i="2">
      <x v="2"/>
    </i>
    <i i="3">
      <x v="3"/>
    </i>
    <i i="4">
      <x v="4"/>
    </i>
    <i i="5">
      <x v="5"/>
    </i>
    <i i="6">
      <x v="6"/>
    </i>
    <i i="7">
      <x v="7"/>
    </i>
    <i i="8">
      <x v="8"/>
    </i>
  </colItems>
  <dataFields count="9">
    <dataField name="Sum of R1 (Frac)" fld="11" baseField="0" baseItem="0"/>
    <dataField name="Sum of R2 (Frac)" fld="12" baseField="0" baseItem="0"/>
    <dataField name="Sum of R3 (Frac)" fld="13" baseField="0" baseItem="0"/>
    <dataField name="Sum of R4 (Frac)" fld="14" baseField="0" baseItem="0"/>
    <dataField name="Sum of R5 (Frac)" fld="15" baseField="0" baseItem="0"/>
    <dataField name="Sum of R6 (Frac)" fld="16" baseField="0" baseItem="0"/>
    <dataField name="Sum of R7 (Frac)" fld="17" baseField="0" baseItem="0"/>
    <dataField name="Sum of R8 (Frac)" fld="18" baseField="0" baseItem="0"/>
    <dataField name="Sum of R9 (Frac)" fld="19" baseField="0" baseItem="0"/>
  </dataFields>
  <formats count="49">
    <format dxfId="238">
      <pivotArea dataOnly="0" labelOnly="1" outline="0" fieldPosition="0">
        <references count="1">
          <reference field="4294967294" count="9">
            <x v="0"/>
            <x v="1"/>
            <x v="2"/>
            <x v="3"/>
            <x v="4"/>
            <x v="5"/>
            <x v="6"/>
            <x v="7"/>
            <x v="8"/>
          </reference>
        </references>
      </pivotArea>
    </format>
    <format dxfId="237">
      <pivotArea dataOnly="0" labelOnly="1" outline="0" fieldPosition="0">
        <references count="1">
          <reference field="4294967294" count="9">
            <x v="0"/>
            <x v="1"/>
            <x v="2"/>
            <x v="3"/>
            <x v="4"/>
            <x v="5"/>
            <x v="6"/>
            <x v="7"/>
            <x v="8"/>
          </reference>
        </references>
      </pivotArea>
    </format>
    <format dxfId="236">
      <pivotArea dataOnly="0" labelOnly="1" outline="0" fieldPosition="0">
        <references count="1">
          <reference field="4294967294" count="9">
            <x v="0"/>
            <x v="1"/>
            <x v="2"/>
            <x v="3"/>
            <x v="4"/>
            <x v="5"/>
            <x v="6"/>
            <x v="7"/>
            <x v="8"/>
          </reference>
        </references>
      </pivotArea>
    </format>
    <format dxfId="235">
      <pivotArea field="0" type="button" dataOnly="0" labelOnly="1" outline="0" axis="axisRow" fieldPosition="0"/>
    </format>
    <format dxfId="234">
      <pivotArea field="0" type="button" dataOnly="0" labelOnly="1" outline="0" axis="axisRow" fieldPosition="0"/>
    </format>
    <format dxfId="233">
      <pivotArea field="-2" type="button" dataOnly="0" labelOnly="1" outline="0" axis="axisCol" fieldPosition="0"/>
    </format>
    <format dxfId="232">
      <pivotArea type="origin" dataOnly="0" labelOnly="1" outline="0" fieldPosition="0"/>
    </format>
    <format dxfId="231">
      <pivotArea field="0" type="button" dataOnly="0" labelOnly="1" outline="0" axis="axisRow" fieldPosition="0"/>
    </format>
    <format dxfId="230">
      <pivotArea field="-2" type="button" dataOnly="0" labelOnly="1" outline="0" axis="axisCol" fieldPosition="0"/>
    </format>
    <format dxfId="229">
      <pivotArea type="topRight" dataOnly="0" labelOnly="1" outline="0" fieldPosition="0"/>
    </format>
    <format dxfId="228">
      <pivotArea dataOnly="0" labelOnly="1" outline="0" fieldPosition="0">
        <references count="1">
          <reference field="4294967294" count="9">
            <x v="0"/>
            <x v="1"/>
            <x v="2"/>
            <x v="3"/>
            <x v="4"/>
            <x v="5"/>
            <x v="6"/>
            <x v="7"/>
            <x v="8"/>
          </reference>
        </references>
      </pivotArea>
    </format>
    <format dxfId="227">
      <pivotArea type="all" dataOnly="0" outline="0" fieldPosition="0"/>
    </format>
    <format dxfId="226">
      <pivotArea type="all" dataOnly="0" outline="0" fieldPosition="0"/>
    </format>
    <format dxfId="225">
      <pivotArea type="origin" dataOnly="0" labelOnly="1" outline="0" fieldPosition="0"/>
    </format>
    <format dxfId="224">
      <pivotArea field="0" type="button" dataOnly="0" labelOnly="1" outline="0" axis="axisRow" fieldPosition="0"/>
    </format>
    <format dxfId="223">
      <pivotArea dataOnly="0" labelOnly="1" fieldPosition="0">
        <references count="1">
          <reference field="0"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222">
      <pivotArea dataOnly="0" labelOnly="1" fieldPosition="0">
        <references count="1">
          <reference field="0" count="50">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reference>
        </references>
      </pivotArea>
    </format>
    <format dxfId="221">
      <pivotArea dataOnly="0" labelOnly="1" fieldPosition="0">
        <references count="1">
          <reference field="0" count="50">
            <x v="100"/>
            <x v="101"/>
            <x v="102"/>
            <x v="103"/>
            <x v="104"/>
            <x v="105"/>
            <x v="106"/>
            <x v="107"/>
            <x v="108"/>
            <x v="109"/>
            <x v="110"/>
            <x v="111"/>
            <x v="112"/>
            <x v="113"/>
            <x v="114"/>
            <x v="115"/>
            <x v="116"/>
            <x v="117"/>
            <x v="118"/>
            <x v="119"/>
            <x v="120"/>
            <x v="121"/>
            <x v="122"/>
            <x v="123"/>
            <x v="124"/>
            <x v="125"/>
            <x v="126"/>
            <x v="127"/>
            <x v="128"/>
            <x v="129"/>
            <x v="130"/>
            <x v="131"/>
            <x v="132"/>
            <x v="133"/>
            <x v="134"/>
            <x v="135"/>
            <x v="136"/>
            <x v="137"/>
            <x v="138"/>
            <x v="139"/>
            <x v="140"/>
            <x v="141"/>
            <x v="142"/>
            <x v="143"/>
            <x v="144"/>
            <x v="145"/>
            <x v="146"/>
            <x v="147"/>
            <x v="148"/>
            <x v="149"/>
          </reference>
        </references>
      </pivotArea>
    </format>
    <format dxfId="220">
      <pivotArea dataOnly="0" labelOnly="1" fieldPosition="0">
        <references count="1">
          <reference field="0" count="50">
            <x v="150"/>
            <x v="151"/>
            <x v="152"/>
            <x v="153"/>
            <x v="154"/>
            <x v="155"/>
            <x v="156"/>
            <x v="157"/>
            <x v="158"/>
            <x v="159"/>
            <x v="160"/>
            <x v="161"/>
            <x v="162"/>
            <x v="163"/>
            <x v="164"/>
            <x v="165"/>
            <x v="166"/>
            <x v="167"/>
            <x v="168"/>
            <x v="169"/>
            <x v="170"/>
            <x v="171"/>
            <x v="172"/>
            <x v="173"/>
            <x v="174"/>
            <x v="175"/>
            <x v="176"/>
            <x v="177"/>
            <x v="178"/>
            <x v="179"/>
            <x v="180"/>
            <x v="181"/>
            <x v="182"/>
            <x v="183"/>
            <x v="184"/>
            <x v="185"/>
            <x v="186"/>
            <x v="187"/>
            <x v="188"/>
            <x v="189"/>
            <x v="190"/>
            <x v="191"/>
            <x v="192"/>
            <x v="193"/>
            <x v="194"/>
            <x v="195"/>
            <x v="196"/>
            <x v="197"/>
            <x v="198"/>
            <x v="199"/>
          </reference>
        </references>
      </pivotArea>
    </format>
    <format dxfId="219">
      <pivotArea dataOnly="0" labelOnly="1" fieldPosition="0">
        <references count="1">
          <reference field="0" count="50">
            <x v="200"/>
            <x v="201"/>
            <x v="202"/>
            <x v="203"/>
            <x v="204"/>
            <x v="205"/>
            <x v="206"/>
            <x v="207"/>
            <x v="208"/>
            <x v="209"/>
            <x v="210"/>
            <x v="211"/>
            <x v="212"/>
            <x v="213"/>
            <x v="214"/>
            <x v="215"/>
            <x v="216"/>
            <x v="217"/>
            <x v="218"/>
            <x v="219"/>
            <x v="220"/>
            <x v="221"/>
            <x v="222"/>
            <x v="223"/>
            <x v="224"/>
            <x v="225"/>
            <x v="226"/>
            <x v="227"/>
            <x v="228"/>
            <x v="229"/>
            <x v="230"/>
            <x v="231"/>
            <x v="232"/>
            <x v="233"/>
            <x v="234"/>
            <x v="235"/>
            <x v="236"/>
            <x v="237"/>
            <x v="238"/>
            <x v="239"/>
            <x v="240"/>
            <x v="241"/>
            <x v="242"/>
            <x v="243"/>
            <x v="244"/>
            <x v="245"/>
            <x v="246"/>
            <x v="247"/>
            <x v="248"/>
            <x v="249"/>
          </reference>
        </references>
      </pivotArea>
    </format>
    <format dxfId="218">
      <pivotArea dataOnly="0" labelOnly="1" fieldPosition="0">
        <references count="1">
          <reference field="0" count="50">
            <x v="250"/>
            <x v="251"/>
            <x v="252"/>
            <x v="253"/>
            <x v="254"/>
            <x v="255"/>
            <x v="256"/>
            <x v="257"/>
            <x v="258"/>
            <x v="259"/>
            <x v="260"/>
            <x v="261"/>
            <x v="262"/>
            <x v="263"/>
            <x v="264"/>
            <x v="265"/>
            <x v="266"/>
            <x v="267"/>
            <x v="268"/>
            <x v="269"/>
            <x v="270"/>
            <x v="271"/>
            <x v="272"/>
            <x v="273"/>
            <x v="274"/>
            <x v="275"/>
            <x v="276"/>
            <x v="277"/>
            <x v="278"/>
            <x v="279"/>
            <x v="280"/>
            <x v="281"/>
            <x v="282"/>
            <x v="283"/>
            <x v="284"/>
            <x v="285"/>
            <x v="286"/>
            <x v="287"/>
            <x v="288"/>
            <x v="289"/>
            <x v="290"/>
            <x v="291"/>
            <x v="292"/>
            <x v="293"/>
            <x v="294"/>
            <x v="295"/>
            <x v="296"/>
            <x v="297"/>
            <x v="298"/>
            <x v="299"/>
          </reference>
        </references>
      </pivotArea>
    </format>
    <format dxfId="217">
      <pivotArea dataOnly="0" labelOnly="1" fieldPosition="0">
        <references count="1">
          <reference field="0" count="50">
            <x v="300"/>
            <x v="301"/>
            <x v="302"/>
            <x v="303"/>
            <x v="304"/>
            <x v="305"/>
            <x v="306"/>
            <x v="307"/>
            <x v="308"/>
            <x v="309"/>
            <x v="310"/>
            <x v="311"/>
            <x v="312"/>
            <x v="313"/>
            <x v="314"/>
            <x v="315"/>
            <x v="316"/>
            <x v="317"/>
            <x v="318"/>
            <x v="319"/>
            <x v="320"/>
            <x v="321"/>
            <x v="322"/>
            <x v="323"/>
            <x v="324"/>
            <x v="325"/>
            <x v="326"/>
            <x v="327"/>
            <x v="328"/>
            <x v="329"/>
            <x v="330"/>
            <x v="331"/>
            <x v="332"/>
            <x v="333"/>
            <x v="334"/>
            <x v="335"/>
            <x v="336"/>
            <x v="337"/>
            <x v="338"/>
            <x v="339"/>
            <x v="340"/>
            <x v="341"/>
            <x v="342"/>
            <x v="343"/>
            <x v="344"/>
            <x v="345"/>
            <x v="346"/>
            <x v="347"/>
            <x v="348"/>
            <x v="349"/>
          </reference>
        </references>
      </pivotArea>
    </format>
    <format dxfId="216">
      <pivotArea dataOnly="0" labelOnly="1" fieldPosition="0">
        <references count="1">
          <reference field="0" count="23">
            <x v="350"/>
            <x v="351"/>
            <x v="352"/>
            <x v="353"/>
            <x v="354"/>
            <x v="355"/>
            <x v="356"/>
            <x v="357"/>
            <x v="358"/>
            <x v="359"/>
            <x v="360"/>
            <x v="361"/>
            <x v="362"/>
            <x v="363"/>
            <x v="364"/>
            <x v="365"/>
            <x v="366"/>
            <x v="367"/>
            <x v="368"/>
            <x v="369"/>
            <x v="370"/>
            <x v="371"/>
            <x v="372"/>
          </reference>
        </references>
      </pivotArea>
    </format>
    <format dxfId="215">
      <pivotArea dataOnly="0" labelOnly="1" grandRow="1" outline="0" fieldPosition="0"/>
    </format>
    <format dxfId="214">
      <pivotArea dataOnly="0" labelOnly="1" fieldPosition="0">
        <references count="1">
          <reference field="0"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213">
      <pivotArea dataOnly="0" labelOnly="1" fieldPosition="0">
        <references count="1">
          <reference field="0" count="50">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reference>
        </references>
      </pivotArea>
    </format>
    <format dxfId="212">
      <pivotArea dataOnly="0" labelOnly="1" fieldPosition="0">
        <references count="1">
          <reference field="0" count="50">
            <x v="100"/>
            <x v="101"/>
            <x v="102"/>
            <x v="103"/>
            <x v="104"/>
            <x v="105"/>
            <x v="106"/>
            <x v="107"/>
            <x v="108"/>
            <x v="109"/>
            <x v="110"/>
            <x v="111"/>
            <x v="112"/>
            <x v="113"/>
            <x v="114"/>
            <x v="115"/>
            <x v="116"/>
            <x v="117"/>
            <x v="118"/>
            <x v="119"/>
            <x v="120"/>
            <x v="121"/>
            <x v="122"/>
            <x v="123"/>
            <x v="124"/>
            <x v="125"/>
            <x v="126"/>
            <x v="127"/>
            <x v="128"/>
            <x v="129"/>
            <x v="130"/>
            <x v="131"/>
            <x v="132"/>
            <x v="133"/>
            <x v="134"/>
            <x v="135"/>
            <x v="136"/>
            <x v="137"/>
            <x v="138"/>
            <x v="139"/>
            <x v="140"/>
            <x v="141"/>
            <x v="142"/>
            <x v="143"/>
            <x v="144"/>
            <x v="145"/>
            <x v="146"/>
            <x v="147"/>
            <x v="148"/>
            <x v="149"/>
          </reference>
        </references>
      </pivotArea>
    </format>
    <format dxfId="211">
      <pivotArea dataOnly="0" labelOnly="1" fieldPosition="0">
        <references count="1">
          <reference field="0" count="50">
            <x v="150"/>
            <x v="151"/>
            <x v="152"/>
            <x v="153"/>
            <x v="154"/>
            <x v="155"/>
            <x v="156"/>
            <x v="157"/>
            <x v="158"/>
            <x v="159"/>
            <x v="160"/>
            <x v="161"/>
            <x v="162"/>
            <x v="163"/>
            <x v="164"/>
            <x v="165"/>
            <x v="166"/>
            <x v="167"/>
            <x v="168"/>
            <x v="169"/>
            <x v="170"/>
            <x v="171"/>
            <x v="172"/>
            <x v="173"/>
            <x v="174"/>
            <x v="175"/>
            <x v="176"/>
            <x v="177"/>
            <x v="178"/>
            <x v="179"/>
            <x v="180"/>
            <x v="181"/>
            <x v="182"/>
            <x v="183"/>
            <x v="184"/>
            <x v="185"/>
            <x v="186"/>
            <x v="187"/>
            <x v="188"/>
            <x v="189"/>
            <x v="190"/>
            <x v="191"/>
            <x v="192"/>
            <x v="193"/>
            <x v="194"/>
            <x v="195"/>
            <x v="196"/>
            <x v="197"/>
            <x v="198"/>
            <x v="199"/>
          </reference>
        </references>
      </pivotArea>
    </format>
    <format dxfId="210">
      <pivotArea dataOnly="0" labelOnly="1" fieldPosition="0">
        <references count="1">
          <reference field="0" count="50">
            <x v="200"/>
            <x v="201"/>
            <x v="202"/>
            <x v="203"/>
            <x v="204"/>
            <x v="205"/>
            <x v="206"/>
            <x v="207"/>
            <x v="208"/>
            <x v="209"/>
            <x v="210"/>
            <x v="211"/>
            <x v="212"/>
            <x v="213"/>
            <x v="214"/>
            <x v="215"/>
            <x v="216"/>
            <x v="217"/>
            <x v="218"/>
            <x v="219"/>
            <x v="220"/>
            <x v="221"/>
            <x v="222"/>
            <x v="223"/>
            <x v="224"/>
            <x v="225"/>
            <x v="226"/>
            <x v="227"/>
            <x v="228"/>
            <x v="229"/>
            <x v="230"/>
            <x v="231"/>
            <x v="232"/>
            <x v="233"/>
            <x v="234"/>
            <x v="235"/>
            <x v="236"/>
            <x v="237"/>
            <x v="238"/>
            <x v="239"/>
            <x v="240"/>
            <x v="241"/>
            <x v="242"/>
            <x v="243"/>
            <x v="244"/>
            <x v="245"/>
            <x v="246"/>
            <x v="247"/>
            <x v="248"/>
            <x v="249"/>
          </reference>
        </references>
      </pivotArea>
    </format>
    <format dxfId="209">
      <pivotArea dataOnly="0" labelOnly="1" fieldPosition="0">
        <references count="1">
          <reference field="0" count="50">
            <x v="250"/>
            <x v="251"/>
            <x v="252"/>
            <x v="253"/>
            <x v="254"/>
            <x v="255"/>
            <x v="256"/>
            <x v="257"/>
            <x v="258"/>
            <x v="259"/>
            <x v="260"/>
            <x v="261"/>
            <x v="262"/>
            <x v="263"/>
            <x v="264"/>
            <x v="265"/>
            <x v="266"/>
            <x v="267"/>
            <x v="268"/>
            <x v="269"/>
            <x v="270"/>
            <x v="271"/>
            <x v="272"/>
            <x v="273"/>
            <x v="274"/>
            <x v="275"/>
            <x v="276"/>
            <x v="277"/>
            <x v="278"/>
            <x v="279"/>
            <x v="280"/>
            <x v="281"/>
            <x v="282"/>
            <x v="283"/>
            <x v="284"/>
            <x v="285"/>
            <x v="286"/>
            <x v="287"/>
            <x v="288"/>
            <x v="289"/>
            <x v="290"/>
            <x v="291"/>
            <x v="292"/>
            <x v="293"/>
            <x v="294"/>
            <x v="295"/>
            <x v="296"/>
            <x v="297"/>
            <x v="298"/>
            <x v="299"/>
          </reference>
        </references>
      </pivotArea>
    </format>
    <format dxfId="208">
      <pivotArea dataOnly="0" labelOnly="1" fieldPosition="0">
        <references count="1">
          <reference field="0" count="50">
            <x v="300"/>
            <x v="301"/>
            <x v="302"/>
            <x v="303"/>
            <x v="304"/>
            <x v="305"/>
            <x v="306"/>
            <x v="307"/>
            <x v="308"/>
            <x v="309"/>
            <x v="310"/>
            <x v="311"/>
            <x v="312"/>
            <x v="313"/>
            <x v="314"/>
            <x v="315"/>
            <x v="316"/>
            <x v="317"/>
            <x v="318"/>
            <x v="319"/>
            <x v="320"/>
            <x v="321"/>
            <x v="322"/>
            <x v="323"/>
            <x v="324"/>
            <x v="325"/>
            <x v="326"/>
            <x v="327"/>
            <x v="328"/>
            <x v="329"/>
            <x v="330"/>
            <x v="331"/>
            <x v="332"/>
            <x v="333"/>
            <x v="334"/>
            <x v="335"/>
            <x v="336"/>
            <x v="337"/>
            <x v="338"/>
            <x v="339"/>
            <x v="340"/>
            <x v="341"/>
            <x v="342"/>
            <x v="343"/>
            <x v="344"/>
            <x v="345"/>
            <x v="346"/>
            <x v="347"/>
            <x v="348"/>
            <x v="349"/>
          </reference>
        </references>
      </pivotArea>
    </format>
    <format dxfId="207">
      <pivotArea dataOnly="0" labelOnly="1" fieldPosition="0">
        <references count="1">
          <reference field="0" count="23">
            <x v="350"/>
            <x v="351"/>
            <x v="352"/>
            <x v="353"/>
            <x v="354"/>
            <x v="355"/>
            <x v="356"/>
            <x v="357"/>
            <x v="358"/>
            <x v="359"/>
            <x v="360"/>
            <x v="361"/>
            <x v="362"/>
            <x v="363"/>
            <x v="364"/>
            <x v="365"/>
            <x v="366"/>
            <x v="367"/>
            <x v="368"/>
            <x v="369"/>
            <x v="370"/>
            <x v="371"/>
            <x v="372"/>
          </reference>
        </references>
      </pivotArea>
    </format>
    <format dxfId="206">
      <pivotArea grandRow="1" outline="0" collapsedLevelsAreSubtotals="1" fieldPosition="0"/>
    </format>
    <format dxfId="205">
      <pivotArea dataOnly="0" labelOnly="1" grandRow="1" outline="0" fieldPosition="0"/>
    </format>
    <format dxfId="204">
      <pivotArea collapsedLevelsAreSubtotals="1" fieldPosition="0">
        <references count="1">
          <reference field="0" count="1">
            <x v="372"/>
          </reference>
        </references>
      </pivotArea>
    </format>
    <format dxfId="203">
      <pivotArea dataOnly="0" labelOnly="1" fieldPosition="0">
        <references count="1">
          <reference field="0" count="1">
            <x v="372"/>
          </reference>
        </references>
      </pivotArea>
    </format>
    <format dxfId="202">
      <pivotArea grandRow="1" outline="0" collapsedLevelsAreSubtotals="1" fieldPosition="0"/>
    </format>
    <format dxfId="201">
      <pivotArea dataOnly="0" labelOnly="1" grandRow="1" outline="0" fieldPosition="0"/>
    </format>
    <format dxfId="200">
      <pivotArea field="-2" type="button" dataOnly="0" labelOnly="1" outline="0" axis="axisCol" fieldPosition="0"/>
    </format>
    <format dxfId="199">
      <pivotArea field="-2" type="button" dataOnly="0" labelOnly="1" outline="0" axis="axisCol" fieldPosition="0"/>
    </format>
    <format dxfId="198">
      <pivotArea dataOnly="0" outline="0" fieldPosition="0">
        <references count="1">
          <reference field="4294967294" count="4">
            <x v="1"/>
            <x v="3"/>
            <x v="5"/>
            <x v="7"/>
          </reference>
        </references>
      </pivotArea>
    </format>
    <format dxfId="197">
      <pivotArea dataOnly="0" outline="0" fieldPosition="0">
        <references count="1">
          <reference field="4294967294" count="4">
            <x v="1"/>
            <x v="3"/>
            <x v="5"/>
            <x v="7"/>
          </reference>
        </references>
      </pivotArea>
    </format>
    <format dxfId="196">
      <pivotArea field="0" type="button" dataOnly="0" labelOnly="1" outline="0" axis="axisRow" fieldPosition="0"/>
    </format>
    <format dxfId="195">
      <pivotArea dataOnly="0" labelOnly="1" outline="0" fieldPosition="0">
        <references count="1">
          <reference field="4294967294" count="9">
            <x v="0"/>
            <x v="1"/>
            <x v="2"/>
            <x v="3"/>
            <x v="4"/>
            <x v="5"/>
            <x v="6"/>
            <x v="7"/>
            <x v="8"/>
          </reference>
        </references>
      </pivotArea>
    </format>
    <format dxfId="194">
      <pivotArea field="-2" type="button" dataOnly="0" labelOnly="1" outline="0" axis="axisCol" fieldPosition="0"/>
    </format>
    <format dxfId="193">
      <pivotArea type="topRight" dataOnly="0" labelOnly="1" outline="0" fieldPosition="0"/>
    </format>
    <format dxfId="192">
      <pivotArea type="origin" dataOnly="0" labelOnly="1" outline="0" fieldPosition="0"/>
    </format>
    <format dxfId="191">
      <pivotArea outline="0" collapsedLevelsAreSubtotals="1" fieldPosition="0"/>
    </format>
    <format dxfId="190">
      <pivotArea field="0" type="button" dataOnly="0" labelOnly="1" outline="0" axis="axisRow" fieldPosition="0"/>
    </format>
  </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000-000005000000}" name="PivotTable6" cacheId="2"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FI6:FS27" firstHeaderRow="1" firstDataRow="2" firstDataCol="1"/>
  <pivotFields count="10">
    <pivotField axis="axisRow" showAll="0">
      <items count="20">
        <item x="0"/>
        <item x="4"/>
        <item x="5"/>
        <item x="13"/>
        <item x="7"/>
        <item x="2"/>
        <item x="14"/>
        <item x="17"/>
        <item x="8"/>
        <item x="15"/>
        <item x="18"/>
        <item x="1"/>
        <item x="3"/>
        <item x="9"/>
        <item x="6"/>
        <item x="11"/>
        <item x="12"/>
        <item x="16"/>
        <item x="10"/>
        <item t="default"/>
      </items>
    </pivotField>
    <pivotField showAll="0"/>
    <pivotField showAll="0"/>
    <pivotField showAll="0"/>
    <pivotField axis="axisCol" showAll="0">
      <items count="10">
        <item x="7"/>
        <item x="8"/>
        <item x="0"/>
        <item x="1"/>
        <item x="2"/>
        <item x="3"/>
        <item x="4"/>
        <item x="5"/>
        <item x="6"/>
        <item t="default"/>
      </items>
    </pivotField>
    <pivotField numFmtId="169" showAll="0"/>
    <pivotField numFmtId="169" showAll="0"/>
    <pivotField numFmtId="169" showAll="0"/>
    <pivotField showAll="0"/>
    <pivotField dataField="1" showAll="0"/>
  </pivotFields>
  <rowFields count="1">
    <field x="0"/>
  </rowFields>
  <rowItems count="20">
    <i>
      <x/>
    </i>
    <i>
      <x v="1"/>
    </i>
    <i>
      <x v="2"/>
    </i>
    <i>
      <x v="3"/>
    </i>
    <i>
      <x v="4"/>
    </i>
    <i>
      <x v="5"/>
    </i>
    <i>
      <x v="6"/>
    </i>
    <i>
      <x v="7"/>
    </i>
    <i>
      <x v="8"/>
    </i>
    <i>
      <x v="9"/>
    </i>
    <i>
      <x v="10"/>
    </i>
    <i>
      <x v="11"/>
    </i>
    <i>
      <x v="12"/>
    </i>
    <i>
      <x v="13"/>
    </i>
    <i>
      <x v="14"/>
    </i>
    <i>
      <x v="15"/>
    </i>
    <i>
      <x v="16"/>
    </i>
    <i>
      <x v="17"/>
    </i>
    <i>
      <x v="18"/>
    </i>
    <i t="grand">
      <x/>
    </i>
  </rowItems>
  <colFields count="1">
    <field x="4"/>
  </colFields>
  <colItems count="10">
    <i>
      <x/>
    </i>
    <i>
      <x v="1"/>
    </i>
    <i>
      <x v="2"/>
    </i>
    <i>
      <x v="3"/>
    </i>
    <i>
      <x v="4"/>
    </i>
    <i>
      <x v="5"/>
    </i>
    <i>
      <x v="6"/>
    </i>
    <i>
      <x v="7"/>
    </i>
    <i>
      <x v="8"/>
    </i>
    <i t="grand">
      <x/>
    </i>
  </colItems>
  <dataFields count="1">
    <dataField name="Sum of Demand Adjustment" fld="9" baseField="0" baseItem="0"/>
  </dataFields>
  <formats count="59">
    <format dxfId="297">
      <pivotArea dataOnly="0" labelOnly="1" fieldPosition="0">
        <references count="1">
          <reference field="4" count="0"/>
        </references>
      </pivotArea>
    </format>
    <format dxfId="296">
      <pivotArea dataOnly="0" labelOnly="1" grandCol="1" outline="0" fieldPosition="0"/>
    </format>
    <format dxfId="295">
      <pivotArea dataOnly="0" labelOnly="1" fieldPosition="0">
        <references count="1">
          <reference field="4" count="0"/>
        </references>
      </pivotArea>
    </format>
    <format dxfId="294">
      <pivotArea dataOnly="0" labelOnly="1" grandCol="1" outline="0" fieldPosition="0"/>
    </format>
    <format dxfId="293">
      <pivotArea dataOnly="0" labelOnly="1" fieldPosition="0">
        <references count="1">
          <reference field="4" count="0"/>
        </references>
      </pivotArea>
    </format>
    <format dxfId="292">
      <pivotArea dataOnly="0" labelOnly="1" grandCol="1" outline="0" fieldPosition="0"/>
    </format>
    <format dxfId="291">
      <pivotArea collapsedLevelsAreSubtotals="1" fieldPosition="0">
        <references count="2">
          <reference field="0" count="4">
            <x v="1"/>
            <x v="2"/>
            <x v="3"/>
            <x v="4"/>
          </reference>
          <reference field="4" count="3" selected="0">
            <x v="4"/>
            <x v="5"/>
            <x v="6"/>
          </reference>
        </references>
      </pivotArea>
    </format>
    <format dxfId="290">
      <pivotArea collapsedLevelsAreSubtotals="1" fieldPosition="0">
        <references count="2">
          <reference field="0" count="1">
            <x v="0"/>
          </reference>
          <reference field="4" count="1" selected="0">
            <x v="6"/>
          </reference>
        </references>
      </pivotArea>
    </format>
    <format dxfId="289">
      <pivotArea collapsedLevelsAreSubtotals="1" fieldPosition="0">
        <references count="2">
          <reference field="0" count="1">
            <x v="1"/>
          </reference>
          <reference field="4" count="2" selected="0">
            <x v="7"/>
            <x v="8"/>
          </reference>
        </references>
      </pivotArea>
    </format>
    <format dxfId="288">
      <pivotArea field="0" grandCol="1" collapsedLevelsAreSubtotals="1" axis="axisRow" fieldPosition="0">
        <references count="1">
          <reference field="0" count="1">
            <x v="0"/>
          </reference>
        </references>
      </pivotArea>
    </format>
    <format dxfId="287">
      <pivotArea field="0" grandCol="1" collapsedLevelsAreSubtotals="1" axis="axisRow" fieldPosition="0">
        <references count="1">
          <reference field="0" count="5">
            <x v="1"/>
            <x v="2"/>
            <x v="3"/>
            <x v="4"/>
            <x v="5"/>
          </reference>
        </references>
      </pivotArea>
    </format>
    <format dxfId="286">
      <pivotArea field="0" grandCol="1" collapsedLevelsAreSubtotals="1" axis="axisRow" fieldPosition="0">
        <references count="1">
          <reference field="0" count="1">
            <x v="6"/>
          </reference>
        </references>
      </pivotArea>
    </format>
    <format dxfId="285">
      <pivotArea field="0" grandCol="1" collapsedLevelsAreSubtotals="1" axis="axisRow" fieldPosition="0">
        <references count="1">
          <reference field="0" count="2">
            <x v="8"/>
            <x v="9"/>
          </reference>
        </references>
      </pivotArea>
    </format>
    <format dxfId="284">
      <pivotArea collapsedLevelsAreSubtotals="1" fieldPosition="0">
        <references count="2">
          <reference field="0" count="1">
            <x v="6"/>
          </reference>
          <reference field="4" count="1" selected="0">
            <x v="6"/>
          </reference>
        </references>
      </pivotArea>
    </format>
    <format dxfId="283">
      <pivotArea collapsedLevelsAreSubtotals="1" fieldPosition="0">
        <references count="2">
          <reference field="0" count="1">
            <x v="9"/>
          </reference>
          <reference field="4" count="1" selected="0">
            <x v="6"/>
          </reference>
        </references>
      </pivotArea>
    </format>
    <format dxfId="282">
      <pivotArea field="0" grandCol="1" collapsedLevelsAreSubtotals="1" axis="axisRow" fieldPosition="0">
        <references count="1">
          <reference field="0" count="3">
            <x v="14"/>
            <x v="15"/>
            <x v="16"/>
          </reference>
        </references>
      </pivotArea>
    </format>
    <format dxfId="281">
      <pivotArea collapsedLevelsAreSubtotals="1" fieldPosition="0">
        <references count="2">
          <reference field="0" count="1">
            <x v="2"/>
          </reference>
          <reference field="4" count="1" selected="0">
            <x v="2"/>
          </reference>
        </references>
      </pivotArea>
    </format>
    <format dxfId="280">
      <pivotArea collapsedLevelsAreSubtotals="1" fieldPosition="0">
        <references count="2">
          <reference field="0" count="1">
            <x v="4"/>
          </reference>
          <reference field="4" count="1" selected="0">
            <x v="1"/>
          </reference>
        </references>
      </pivotArea>
    </format>
    <format dxfId="279">
      <pivotArea collapsedLevelsAreSubtotals="1" fieldPosition="0">
        <references count="2">
          <reference field="0" count="1">
            <x v="5"/>
          </reference>
          <reference field="4" count="2" selected="0">
            <x v="2"/>
            <x v="3"/>
          </reference>
        </references>
      </pivotArea>
    </format>
    <format dxfId="278">
      <pivotArea collapsedLevelsAreSubtotals="1" fieldPosition="0">
        <references count="2">
          <reference field="0" count="2">
            <x v="8"/>
            <x v="9"/>
          </reference>
          <reference field="4" count="1" selected="0">
            <x v="2"/>
          </reference>
        </references>
      </pivotArea>
    </format>
    <format dxfId="277">
      <pivotArea collapsedLevelsAreSubtotals="1" fieldPosition="0">
        <references count="2">
          <reference field="0" count="1">
            <x v="9"/>
          </reference>
          <reference field="4" count="1" selected="0">
            <x v="3"/>
          </reference>
        </references>
      </pivotArea>
    </format>
    <format dxfId="276">
      <pivotArea collapsedLevelsAreSubtotals="1" fieldPosition="0">
        <references count="2">
          <reference field="0" count="1">
            <x v="9"/>
          </reference>
          <reference field="4" count="1" selected="0">
            <x v="1"/>
          </reference>
        </references>
      </pivotArea>
    </format>
    <format dxfId="275">
      <pivotArea collapsedLevelsAreSubtotals="1" fieldPosition="0">
        <references count="2">
          <reference field="0" count="1">
            <x v="8"/>
          </reference>
          <reference field="4" count="1" selected="0">
            <x v="0"/>
          </reference>
        </references>
      </pivotArea>
    </format>
    <format dxfId="274">
      <pivotArea collapsedLevelsAreSubtotals="1" fieldPosition="0">
        <references count="2">
          <reference field="0" count="1">
            <x v="14"/>
          </reference>
          <reference field="4" count="1" selected="0">
            <x v="0"/>
          </reference>
        </references>
      </pivotArea>
    </format>
    <format dxfId="273">
      <pivotArea collapsedLevelsAreSubtotals="1" fieldPosition="0">
        <references count="2">
          <reference field="0" count="1">
            <x v="14"/>
          </reference>
          <reference field="4" count="2" selected="0">
            <x v="3"/>
            <x v="4"/>
          </reference>
        </references>
      </pivotArea>
    </format>
    <format dxfId="272">
      <pivotArea collapsedLevelsAreSubtotals="1" fieldPosition="0">
        <references count="2">
          <reference field="0" count="2">
            <x v="15"/>
            <x v="16"/>
          </reference>
          <reference field="4" count="1" selected="0">
            <x v="4"/>
          </reference>
        </references>
      </pivotArea>
    </format>
    <format dxfId="271">
      <pivotArea collapsedLevelsAreSubtotals="1" fieldPosition="0">
        <references count="2">
          <reference field="0" count="1">
            <x v="16"/>
          </reference>
          <reference field="4" count="1" selected="0">
            <x v="5"/>
          </reference>
        </references>
      </pivotArea>
    </format>
    <format dxfId="270">
      <pivotArea grandRow="1" outline="0" collapsedLevelsAreSubtotals="1" fieldPosition="0"/>
    </format>
    <format dxfId="269">
      <pivotArea field="0" type="button" dataOnly="0" labelOnly="1" outline="0" axis="axisRow" fieldPosition="0"/>
    </format>
    <format dxfId="268">
      <pivotArea field="0" type="button" dataOnly="0" labelOnly="1" outline="0" axis="axisRow" fieldPosition="0"/>
    </format>
    <format dxfId="267">
      <pivotArea field="0" type="button" dataOnly="0" labelOnly="1" outline="0" axis="axisRow" fieldPosition="0"/>
    </format>
    <format dxfId="266">
      <pivotArea outline="0" collapsedLevelsAreSubtotals="1" fieldPosition="0"/>
    </format>
    <format dxfId="265">
      <pivotArea dataOnly="0" labelOnly="1" fieldPosition="0">
        <references count="1">
          <reference field="4" count="0"/>
        </references>
      </pivotArea>
    </format>
    <format dxfId="264">
      <pivotArea dataOnly="0" labelOnly="1" grandCol="1" outline="0" fieldPosition="0"/>
    </format>
    <format dxfId="263">
      <pivotArea grandRow="1" outline="0" collapsedLevelsAreSubtotals="1" fieldPosition="0"/>
    </format>
    <format dxfId="262">
      <pivotArea dataOnly="0" labelOnly="1" grandRow="1" outline="0" fieldPosition="0"/>
    </format>
    <format dxfId="261">
      <pivotArea dataOnly="0" labelOnly="1" fieldPosition="0">
        <references count="1">
          <reference field="0" count="0"/>
        </references>
      </pivotArea>
    </format>
    <format dxfId="260">
      <pivotArea dataOnly="0" labelOnly="1" grandRow="1" outline="0" fieldPosition="0"/>
    </format>
    <format dxfId="259">
      <pivotArea dataOnly="0" labelOnly="1" fieldPosition="0">
        <references count="1">
          <reference field="4" count="0"/>
        </references>
      </pivotArea>
    </format>
    <format dxfId="258">
      <pivotArea dataOnly="0" labelOnly="1" grandCol="1" outline="0" fieldPosition="0"/>
    </format>
    <format dxfId="257">
      <pivotArea type="all" dataOnly="0" outline="0" fieldPosition="0"/>
    </format>
    <format dxfId="256">
      <pivotArea outline="0" collapsedLevelsAreSubtotals="1" fieldPosition="0"/>
    </format>
    <format dxfId="255">
      <pivotArea dataOnly="0" labelOnly="1" fieldPosition="0">
        <references count="1">
          <reference field="4" count="0"/>
        </references>
      </pivotArea>
    </format>
    <format dxfId="254">
      <pivotArea dataOnly="0" labelOnly="1" grandCol="1" outline="0" fieldPosition="0"/>
    </format>
    <format dxfId="253">
      <pivotArea grandRow="1" outline="0" collapsedLevelsAreSubtotals="1" fieldPosition="0"/>
    </format>
    <format dxfId="252">
      <pivotArea dataOnly="0" labelOnly="1" grandRow="1" outline="0" fieldPosition="0"/>
    </format>
    <format dxfId="251">
      <pivotArea grandRow="1" outline="0" collapsedLevelsAreSubtotals="1" fieldPosition="0"/>
    </format>
    <format dxfId="250">
      <pivotArea field="0" type="button" dataOnly="0" labelOnly="1" outline="0" axis="axisRow" fieldPosition="0"/>
    </format>
    <format dxfId="249">
      <pivotArea dataOnly="0" outline="0" fieldPosition="0">
        <references count="1">
          <reference field="4" count="4">
            <x v="1"/>
            <x v="3"/>
            <x v="5"/>
            <x v="7"/>
          </reference>
        </references>
      </pivotArea>
    </format>
    <format dxfId="248">
      <pivotArea dataOnly="0" outline="0" fieldPosition="0">
        <references count="1">
          <reference field="4" count="4">
            <x v="1"/>
            <x v="3"/>
            <x v="5"/>
            <x v="7"/>
          </reference>
        </references>
      </pivotArea>
    </format>
    <format dxfId="247">
      <pivotArea dataOnly="0" outline="0" fieldPosition="0">
        <references count="1">
          <reference field="4" count="1">
            <x v="8"/>
          </reference>
        </references>
      </pivotArea>
    </format>
    <format dxfId="246">
      <pivotArea type="origin" dataOnly="0" labelOnly="1" outline="0" fieldPosition="0"/>
    </format>
    <format dxfId="245">
      <pivotArea field="0" type="button" dataOnly="0" labelOnly="1" outline="0" axis="axisRow" fieldPosition="0"/>
    </format>
    <format dxfId="244">
      <pivotArea dataOnly="0" labelOnly="1" fieldPosition="0">
        <references count="1">
          <reference field="4" count="0"/>
        </references>
      </pivotArea>
    </format>
    <format dxfId="243">
      <pivotArea dataOnly="0" labelOnly="1" grandCol="1" outline="0" fieldPosition="0"/>
    </format>
    <format dxfId="242">
      <pivotArea dataOnly="0" labelOnly="1" fieldPosition="0">
        <references count="1">
          <reference field="0" count="0"/>
        </references>
      </pivotArea>
    </format>
    <format dxfId="241">
      <pivotArea dataOnly="0" labelOnly="1" grandRow="1" outline="0" fieldPosition="0"/>
    </format>
    <format dxfId="240">
      <pivotArea dataOnly="0" labelOnly="1" fieldPosition="0">
        <references count="1">
          <reference field="0" count="1">
            <x v="18"/>
          </reference>
        </references>
      </pivotArea>
    </format>
    <format dxfId="239">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ivotTable1" cacheId="1"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CH6:CQ142" firstHeaderRow="1" firstDataRow="2" firstDataCol="1"/>
  <pivotFields count="23">
    <pivotField showAll="0"/>
    <pivotField showAll="0"/>
    <pivotField showAll="0"/>
    <pivotField showAll="0"/>
    <pivotField axis="axisRow" showAll="0">
      <items count="135">
        <item x="0"/>
        <item x="1"/>
        <item x="2"/>
        <item x="3"/>
        <item x="4"/>
        <item x="5"/>
        <item x="6"/>
        <item x="29"/>
        <item x="30"/>
        <item x="31"/>
        <item x="32"/>
        <item x="33"/>
        <item x="34"/>
        <item x="35"/>
        <item x="36"/>
        <item x="37"/>
        <item x="38"/>
        <item x="39"/>
        <item x="40"/>
        <item x="41"/>
        <item x="42"/>
        <item x="92"/>
        <item x="93"/>
        <item x="94"/>
        <item x="95"/>
        <item x="96"/>
        <item x="97"/>
        <item x="98"/>
        <item x="50"/>
        <item x="51"/>
        <item x="52"/>
        <item x="53"/>
        <item x="54"/>
        <item x="55"/>
        <item x="56"/>
        <item x="15"/>
        <item x="16"/>
        <item x="17"/>
        <item x="18"/>
        <item x="19"/>
        <item x="20"/>
        <item x="21"/>
        <item x="99"/>
        <item x="100"/>
        <item x="101"/>
        <item x="102"/>
        <item x="103"/>
        <item x="104"/>
        <item x="105"/>
        <item x="120"/>
        <item x="121"/>
        <item x="122"/>
        <item x="123"/>
        <item x="124"/>
        <item x="125"/>
        <item x="126"/>
        <item x="57"/>
        <item x="58"/>
        <item x="59"/>
        <item x="60"/>
        <item x="61"/>
        <item x="62"/>
        <item x="63"/>
        <item x="106"/>
        <item x="107"/>
        <item x="108"/>
        <item x="109"/>
        <item x="110"/>
        <item x="111"/>
        <item x="112"/>
        <item x="127"/>
        <item x="128"/>
        <item x="129"/>
        <item x="130"/>
        <item x="131"/>
        <item x="132"/>
        <item x="133"/>
        <item x="8"/>
        <item x="9"/>
        <item x="10"/>
        <item x="11"/>
        <item x="12"/>
        <item x="13"/>
        <item x="14"/>
        <item x="22"/>
        <item x="23"/>
        <item x="24"/>
        <item x="25"/>
        <item x="26"/>
        <item x="27"/>
        <item x="28"/>
        <item x="64"/>
        <item x="65"/>
        <item x="66"/>
        <item x="67"/>
        <item x="68"/>
        <item x="69"/>
        <item x="70"/>
        <item x="43"/>
        <item x="44"/>
        <item x="45"/>
        <item x="46"/>
        <item x="47"/>
        <item x="48"/>
        <item x="49"/>
        <item x="78"/>
        <item x="79"/>
        <item x="80"/>
        <item x="81"/>
        <item x="82"/>
        <item x="83"/>
        <item x="84"/>
        <item x="85"/>
        <item x="86"/>
        <item x="87"/>
        <item x="88"/>
        <item x="89"/>
        <item x="90"/>
        <item x="91"/>
        <item x="113"/>
        <item x="114"/>
        <item x="115"/>
        <item x="116"/>
        <item x="117"/>
        <item x="118"/>
        <item x="119"/>
        <item x="71"/>
        <item x="72"/>
        <item x="73"/>
        <item x="74"/>
        <item x="75"/>
        <item x="76"/>
        <item x="77"/>
        <item x="7"/>
        <item t="default"/>
      </items>
    </pivotField>
    <pivotField numFmtId="169" showAll="0"/>
    <pivotField numFmtId="169" showAll="0"/>
    <pivotField numFmtId="169" showAll="0"/>
    <pivotField numFmtId="169" showAll="0"/>
    <pivotField numFmtId="169" showAll="0"/>
    <pivotField numFmtId="169" showAll="0"/>
    <pivotField numFmtId="169" showAll="0"/>
    <pivotField numFmtId="169" showAll="0"/>
    <pivotField numFmtId="169"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s>
  <rowFields count="1">
    <field x="4"/>
  </rowFields>
  <rowItems count="135">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t="grand">
      <x/>
    </i>
  </rowItems>
  <colFields count="1">
    <field x="-2"/>
  </colFields>
  <colItems count="9">
    <i>
      <x/>
    </i>
    <i i="1">
      <x v="1"/>
    </i>
    <i i="2">
      <x v="2"/>
    </i>
    <i i="3">
      <x v="3"/>
    </i>
    <i i="4">
      <x v="4"/>
    </i>
    <i i="5">
      <x v="5"/>
    </i>
    <i i="6">
      <x v="6"/>
    </i>
    <i i="7">
      <x v="7"/>
    </i>
    <i i="8">
      <x v="8"/>
    </i>
  </colItems>
  <dataFields count="9">
    <dataField name="Sum of R1 (%)" fld="14" baseField="4" baseItem="0"/>
    <dataField name="Sum of R2 (%)" fld="15" baseField="4" baseItem="16"/>
    <dataField name="Sum of R3 (%)" fld="16" baseField="4" baseItem="16"/>
    <dataField name="Sum of R4 (%)" fld="17" baseField="4" baseItem="16"/>
    <dataField name="Sum of R5 (%)" fld="18" baseField="4" baseItem="16"/>
    <dataField name="Sum of R6 (%)" fld="19" baseField="4" baseItem="16"/>
    <dataField name="Sum of R7 (%)" fld="20" baseField="4" baseItem="16"/>
    <dataField name="Sum of R8 (%)" fld="21" baseField="4" baseItem="16"/>
    <dataField name="Sum of R9 (%)" fld="22" baseField="4" baseItem="16"/>
  </dataFields>
  <formats count="37">
    <format dxfId="334">
      <pivotArea dataOnly="0" labelOnly="1" outline="0" fieldPosition="0">
        <references count="1">
          <reference field="4294967294" count="9">
            <x v="0"/>
            <x v="1"/>
            <x v="2"/>
            <x v="3"/>
            <x v="4"/>
            <x v="5"/>
            <x v="6"/>
            <x v="7"/>
            <x v="8"/>
          </reference>
        </references>
      </pivotArea>
    </format>
    <format dxfId="333">
      <pivotArea dataOnly="0" labelOnly="1" outline="0" fieldPosition="0">
        <references count="1">
          <reference field="4294967294" count="9">
            <x v="0"/>
            <x v="1"/>
            <x v="2"/>
            <x v="3"/>
            <x v="4"/>
            <x v="5"/>
            <x v="6"/>
            <x v="7"/>
            <x v="8"/>
          </reference>
        </references>
      </pivotArea>
    </format>
    <format dxfId="332">
      <pivotArea dataOnly="0" labelOnly="1" outline="0" fieldPosition="0">
        <references count="1">
          <reference field="4294967294" count="9">
            <x v="0"/>
            <x v="1"/>
            <x v="2"/>
            <x v="3"/>
            <x v="4"/>
            <x v="5"/>
            <x v="6"/>
            <x v="7"/>
            <x v="8"/>
          </reference>
        </references>
      </pivotArea>
    </format>
    <format dxfId="331">
      <pivotArea field="4" type="button" dataOnly="0" labelOnly="1" outline="0" axis="axisRow" fieldPosition="0"/>
    </format>
    <format dxfId="330">
      <pivotArea field="4" type="button" dataOnly="0" labelOnly="1" outline="0" axis="axisRow" fieldPosition="0"/>
    </format>
    <format dxfId="329">
      <pivotArea field="4" type="button" dataOnly="0" labelOnly="1" outline="0" axis="axisRow" fieldPosition="0"/>
    </format>
    <format dxfId="328">
      <pivotArea dataOnly="0" labelOnly="1" outline="0" fieldPosition="0">
        <references count="1">
          <reference field="4294967294" count="9">
            <x v="0"/>
            <x v="1"/>
            <x v="2"/>
            <x v="3"/>
            <x v="4"/>
            <x v="5"/>
            <x v="6"/>
            <x v="7"/>
            <x v="8"/>
          </reference>
        </references>
      </pivotArea>
    </format>
    <format dxfId="327">
      <pivotArea type="all" dataOnly="0" outline="0" fieldPosition="0"/>
    </format>
    <format dxfId="326">
      <pivotArea outline="0" collapsedLevelsAreSubtotals="1" fieldPosition="0"/>
    </format>
    <format dxfId="325">
      <pivotArea field="4" type="button" dataOnly="0" labelOnly="1" outline="0" axis="axisRow" fieldPosition="0"/>
    </format>
    <format dxfId="324">
      <pivotArea dataOnly="0" labelOnly="1" fieldPosition="0">
        <references count="1">
          <reference field="4"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323">
      <pivotArea dataOnly="0" labelOnly="1" fieldPosition="0">
        <references count="1">
          <reference field="4" count="50">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reference>
        </references>
      </pivotArea>
    </format>
    <format dxfId="322">
      <pivotArea dataOnly="0" labelOnly="1" fieldPosition="0">
        <references count="1">
          <reference field="4" count="34">
            <x v="100"/>
            <x v="101"/>
            <x v="102"/>
            <x v="103"/>
            <x v="104"/>
            <x v="105"/>
            <x v="106"/>
            <x v="107"/>
            <x v="108"/>
            <x v="109"/>
            <x v="110"/>
            <x v="111"/>
            <x v="112"/>
            <x v="113"/>
            <x v="114"/>
            <x v="115"/>
            <x v="116"/>
            <x v="117"/>
            <x v="118"/>
            <x v="119"/>
            <x v="120"/>
            <x v="121"/>
            <x v="122"/>
            <x v="123"/>
            <x v="124"/>
            <x v="125"/>
            <x v="126"/>
            <x v="127"/>
            <x v="128"/>
            <x v="129"/>
            <x v="130"/>
            <x v="131"/>
            <x v="132"/>
            <x v="133"/>
          </reference>
        </references>
      </pivotArea>
    </format>
    <format dxfId="321">
      <pivotArea dataOnly="0" labelOnly="1" grandRow="1" outline="0" fieldPosition="0"/>
    </format>
    <format dxfId="320">
      <pivotArea dataOnly="0" labelOnly="1" outline="0" fieldPosition="0">
        <references count="1">
          <reference field="4294967294" count="9">
            <x v="0"/>
            <x v="1"/>
            <x v="2"/>
            <x v="3"/>
            <x v="4"/>
            <x v="5"/>
            <x v="6"/>
            <x v="7"/>
            <x v="8"/>
          </reference>
        </references>
      </pivotArea>
    </format>
    <format dxfId="319">
      <pivotArea field="4" type="button" dataOnly="0" labelOnly="1" outline="0" axis="axisRow" fieldPosition="0"/>
    </format>
    <format dxfId="318">
      <pivotArea dataOnly="0" labelOnly="1" fieldPosition="0">
        <references count="1">
          <reference field="4"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317">
      <pivotArea dataOnly="0" labelOnly="1" fieldPosition="0">
        <references count="1">
          <reference field="4" count="50">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reference>
        </references>
      </pivotArea>
    </format>
    <format dxfId="316">
      <pivotArea dataOnly="0" labelOnly="1" fieldPosition="0">
        <references count="1">
          <reference field="4" count="34">
            <x v="100"/>
            <x v="101"/>
            <x v="102"/>
            <x v="103"/>
            <x v="104"/>
            <x v="105"/>
            <x v="106"/>
            <x v="107"/>
            <x v="108"/>
            <x v="109"/>
            <x v="110"/>
            <x v="111"/>
            <x v="112"/>
            <x v="113"/>
            <x v="114"/>
            <x v="115"/>
            <x v="116"/>
            <x v="117"/>
            <x v="118"/>
            <x v="119"/>
            <x v="120"/>
            <x v="121"/>
            <x v="122"/>
            <x v="123"/>
            <x v="124"/>
            <x v="125"/>
            <x v="126"/>
            <x v="127"/>
            <x v="128"/>
            <x v="129"/>
            <x v="130"/>
            <x v="131"/>
            <x v="132"/>
            <x v="133"/>
          </reference>
        </references>
      </pivotArea>
    </format>
    <format dxfId="315">
      <pivotArea dataOnly="0" labelOnly="1" grandRow="1" outline="0" fieldPosition="0"/>
    </format>
    <format dxfId="314">
      <pivotArea type="origin" dataOnly="0" labelOnly="1" outline="0" fieldPosition="0"/>
    </format>
    <format dxfId="313">
      <pivotArea field="-2" type="button" dataOnly="0" labelOnly="1" outline="0" axis="axisCol" fieldPosition="0"/>
    </format>
    <format dxfId="312">
      <pivotArea type="topRight" dataOnly="0" labelOnly="1" outline="0" fieldPosition="0"/>
    </format>
    <format dxfId="311">
      <pivotArea dataOnly="0" outline="0" fieldPosition="0">
        <references count="1">
          <reference field="4294967294" count="4">
            <x v="1"/>
            <x v="3"/>
            <x v="5"/>
            <x v="7"/>
          </reference>
        </references>
      </pivotArea>
    </format>
    <format dxfId="310">
      <pivotArea dataOnly="0" outline="0" fieldPosition="0">
        <references count="1">
          <reference field="4294967294" count="4">
            <x v="1"/>
            <x v="3"/>
            <x v="5"/>
            <x v="7"/>
          </reference>
        </references>
      </pivotArea>
    </format>
    <format dxfId="309">
      <pivotArea collapsedLevelsAreSubtotals="1" fieldPosition="0">
        <references count="1">
          <reference field="4" count="1">
            <x v="133"/>
          </reference>
        </references>
      </pivotArea>
    </format>
    <format dxfId="308">
      <pivotArea dataOnly="0" labelOnly="1" fieldPosition="0">
        <references count="1">
          <reference field="4" count="1">
            <x v="133"/>
          </reference>
        </references>
      </pivotArea>
    </format>
    <format dxfId="307">
      <pivotArea grandRow="1" outline="0" collapsedLevelsAreSubtotals="1" fieldPosition="0"/>
    </format>
    <format dxfId="306">
      <pivotArea dataOnly="0" labelOnly="1" grandRow="1" outline="0" fieldPosition="0"/>
    </format>
    <format dxfId="305">
      <pivotArea field="-2" type="button" dataOnly="0" labelOnly="1" outline="0" axis="axisCol" fieldPosition="0"/>
    </format>
    <format dxfId="304">
      <pivotArea field="-2" type="button" dataOnly="0" labelOnly="1" outline="0" axis="axisCol" fieldPosition="0"/>
    </format>
    <format dxfId="303">
      <pivotArea field="-2" type="button" dataOnly="0" labelOnly="1" outline="0" axis="axisCol" fieldPosition="0"/>
    </format>
    <format dxfId="302">
      <pivotArea type="topRight" dataOnly="0" labelOnly="1" outline="0" fieldPosition="0"/>
    </format>
    <format dxfId="301">
      <pivotArea type="origin" dataOnly="0" labelOnly="1" outline="0" fieldPosition="0"/>
    </format>
    <format dxfId="300">
      <pivotArea field="4" type="button" dataOnly="0" labelOnly="1" outline="0" axis="axisRow" fieldPosition="0"/>
    </format>
    <format dxfId="299">
      <pivotArea dataOnly="0" labelOnly="1" outline="0" fieldPosition="0">
        <references count="1">
          <reference field="4294967294" count="9">
            <x v="0"/>
            <x v="1"/>
            <x v="2"/>
            <x v="3"/>
            <x v="4"/>
            <x v="5"/>
            <x v="6"/>
            <x v="7"/>
            <x v="8"/>
          </reference>
        </references>
      </pivotArea>
    </format>
    <format dxfId="298">
      <pivotArea collapsedLevelsAreSubtotals="1" fieldPosition="0">
        <references count="1">
          <reference field="4" count="133">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x v="100"/>
            <x v="101"/>
            <x v="102"/>
            <x v="103"/>
            <x v="104"/>
            <x v="105"/>
            <x v="106"/>
            <x v="107"/>
            <x v="108"/>
            <x v="109"/>
            <x v="110"/>
            <x v="111"/>
            <x v="112"/>
            <x v="113"/>
            <x v="114"/>
            <x v="115"/>
            <x v="116"/>
            <x v="117"/>
            <x v="118"/>
            <x v="119"/>
            <x v="120"/>
            <x v="121"/>
            <x v="122"/>
            <x v="123"/>
            <x v="124"/>
            <x v="125"/>
            <x v="126"/>
            <x v="127"/>
            <x v="128"/>
            <x v="129"/>
            <x v="130"/>
            <x v="131"/>
            <x v="132"/>
          </reference>
        </references>
      </pivotArea>
    </format>
  </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pivotTable" Target="../pivotTables/pivotTable3.xml"/><Relationship Id="rId7" Type="http://schemas.openxmlformats.org/officeDocument/2006/relationships/hyperlink" Target="http://www.epa.gov/sectors/pdf/energy/report.pdf" TargetMode="Externa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comments" Target="../comments1.xml"/><Relationship Id="rId5" Type="http://schemas.openxmlformats.org/officeDocument/2006/relationships/pivotTable" Target="../pivotTables/pivotTable5.xml"/><Relationship Id="rId10" Type="http://schemas.openxmlformats.org/officeDocument/2006/relationships/vmlDrawing" Target="../drawings/vmlDrawing1.v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hyperlink" Target="http://www.eia.gov/naturalgas/crudeoilreserves/pdf/table_7.pdf" TargetMode="External"/></Relationships>
</file>

<file path=xl/worksheets/_rels/sheet7.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2" Type="http://schemas.openxmlformats.org/officeDocument/2006/relationships/printerSettings" Target="../printerSettings/printerSettings19.bin"/><Relationship Id="rId1" Type="http://schemas.openxmlformats.org/officeDocument/2006/relationships/hyperlink" Target="http://www.bea.gov/national/nipaweb/SelectTable.asp?Selected=Y"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FS597"/>
  <sheetViews>
    <sheetView showGridLines="0" tabSelected="1" zoomScale="80" zoomScaleNormal="80" workbookViewId="0">
      <pane ySplit="7" topLeftCell="A37" activePane="bottomLeft" state="frozen"/>
      <selection pane="bottomLeft" activeCell="J133" sqref="J133"/>
    </sheetView>
  </sheetViews>
  <sheetFormatPr defaultColWidth="9.140625" defaultRowHeight="15"/>
  <cols>
    <col min="1" max="1" width="28.5703125" style="1" bestFit="1" customWidth="1"/>
    <col min="2" max="2" width="16.7109375" style="1" bestFit="1" customWidth="1"/>
    <col min="3" max="4" width="25.85546875" style="1" bestFit="1" customWidth="1"/>
    <col min="5" max="5" width="14.42578125" style="1" bestFit="1" customWidth="1"/>
    <col min="6" max="6" width="14.42578125" style="1" customWidth="1"/>
    <col min="7" max="7" width="17.42578125" style="1" bestFit="1" customWidth="1"/>
    <col min="8" max="9" width="13.5703125" style="1" bestFit="1" customWidth="1"/>
    <col min="10" max="18" width="9.28515625" style="1" bestFit="1" customWidth="1"/>
    <col min="19" max="27" width="9.28515625" style="3" bestFit="1" customWidth="1"/>
    <col min="28" max="29" width="9.28515625" style="1" bestFit="1" customWidth="1"/>
    <col min="30" max="30" width="9.140625" style="1" customWidth="1"/>
    <col min="31" max="36" width="9.28515625" style="1" bestFit="1" customWidth="1"/>
    <col min="37" max="37" width="10.28515625" style="1" bestFit="1" customWidth="1"/>
    <col min="38" max="47" width="9.28515625" style="1" bestFit="1" customWidth="1"/>
    <col min="48" max="48" width="9.140625" style="1"/>
    <col min="49" max="49" width="26.85546875" style="1" customWidth="1"/>
    <col min="50" max="60" width="13" style="1" customWidth="1"/>
    <col min="61" max="61" width="9.140625" style="1"/>
    <col min="62" max="62" width="28.5703125" style="1" bestFit="1" customWidth="1"/>
    <col min="63" max="63" width="13.5703125" style="1" bestFit="1" customWidth="1"/>
    <col min="64" max="64" width="16.7109375" style="1" bestFit="1" customWidth="1"/>
    <col min="65" max="65" width="10.5703125" style="1" bestFit="1" customWidth="1"/>
    <col min="66" max="66" width="12" style="1" bestFit="1" customWidth="1"/>
    <col min="67" max="72" width="9.28515625" style="1" bestFit="1" customWidth="1"/>
    <col min="73" max="73" width="10.28515625" style="1" bestFit="1" customWidth="1"/>
    <col min="74" max="84" width="9.28515625" style="1" bestFit="1" customWidth="1"/>
    <col min="85" max="85" width="9.140625" style="1"/>
    <col min="86" max="86" width="17" style="1" bestFit="1" customWidth="1"/>
    <col min="87" max="95" width="9.140625" style="1" customWidth="1"/>
    <col min="96" max="96" width="9.140625" style="1"/>
    <col min="97" max="97" width="17" style="1" customWidth="1"/>
    <col min="98" max="107" width="9.140625" style="1" customWidth="1"/>
    <col min="108" max="108" width="9.140625" style="1"/>
    <col min="109" max="109" width="13.140625" style="1" bestFit="1" customWidth="1"/>
    <col min="110" max="110" width="12.140625" style="1" bestFit="1" customWidth="1"/>
    <col min="111" max="129" width="9.140625" style="1"/>
    <col min="130" max="130" width="17" style="1" bestFit="1" customWidth="1"/>
    <col min="131" max="139" width="9.140625" style="1" customWidth="1"/>
    <col min="140" max="140" width="9.140625" style="1"/>
    <col min="141" max="141" width="30.85546875" style="1" bestFit="1" customWidth="1"/>
    <col min="142" max="144" width="9.140625" style="1"/>
    <col min="145" max="145" width="28.5703125" style="1" bestFit="1" customWidth="1"/>
    <col min="146" max="149" width="9.140625" style="1"/>
    <col min="150" max="150" width="26.85546875" style="2" customWidth="1"/>
    <col min="151" max="151" width="9.140625" style="1" customWidth="1"/>
    <col min="152" max="152" width="14.28515625" style="1" customWidth="1"/>
    <col min="153" max="153" width="28.5703125" style="1" bestFit="1" customWidth="1"/>
    <col min="154" max="154" width="21.28515625" style="1" customWidth="1"/>
    <col min="155" max="155" width="16.7109375" style="1" bestFit="1" customWidth="1"/>
    <col min="156" max="157" width="11.7109375" style="1" customWidth="1"/>
    <col min="158" max="158" width="9.140625" style="1" customWidth="1"/>
    <col min="159" max="159" width="10.28515625" style="1" bestFit="1" customWidth="1"/>
    <col min="160" max="161" width="9.140625" style="1" customWidth="1"/>
    <col min="162" max="163" width="12.28515625" style="1" bestFit="1" customWidth="1"/>
    <col min="164" max="164" width="9.140625" style="1"/>
    <col min="165" max="175" width="9.140625" style="1" customWidth="1"/>
    <col min="176" max="16384" width="9.140625" style="1"/>
  </cols>
  <sheetData>
    <row r="1" spans="1:175" s="190" customFormat="1" ht="75" customHeight="1">
      <c r="A1" s="192"/>
      <c r="B1" s="192"/>
      <c r="C1" s="194" t="s">
        <v>2415</v>
      </c>
      <c r="D1" s="192"/>
      <c r="E1" s="192"/>
      <c r="F1" s="192"/>
      <c r="G1" s="192"/>
      <c r="H1" s="192"/>
      <c r="I1" s="192"/>
      <c r="J1" s="192">
        <v>29</v>
      </c>
      <c r="K1" s="192">
        <v>30</v>
      </c>
      <c r="L1" s="192">
        <v>31</v>
      </c>
      <c r="M1" s="192">
        <v>32</v>
      </c>
      <c r="N1" s="192">
        <v>33</v>
      </c>
      <c r="O1" s="192">
        <v>34</v>
      </c>
      <c r="P1" s="192">
        <v>35</v>
      </c>
      <c r="Q1" s="192">
        <v>36</v>
      </c>
      <c r="R1" s="192">
        <v>37</v>
      </c>
      <c r="S1" s="192">
        <v>40</v>
      </c>
      <c r="T1" s="192">
        <v>41</v>
      </c>
      <c r="U1" s="192">
        <v>42</v>
      </c>
      <c r="V1" s="192">
        <v>43</v>
      </c>
      <c r="W1" s="192">
        <v>44</v>
      </c>
      <c r="X1" s="192">
        <v>45</v>
      </c>
      <c r="Y1" s="192">
        <v>46</v>
      </c>
      <c r="Z1" s="192">
        <v>47</v>
      </c>
      <c r="AA1" s="192">
        <v>48</v>
      </c>
      <c r="AB1" s="192"/>
      <c r="AC1" s="192"/>
      <c r="AD1" s="192"/>
      <c r="AE1" s="192"/>
      <c r="AF1" s="192"/>
      <c r="AG1" s="192"/>
      <c r="AH1" s="192"/>
      <c r="AI1" s="192"/>
      <c r="AJ1" s="192"/>
      <c r="AK1" s="192"/>
      <c r="AL1" s="192"/>
      <c r="AM1" s="192"/>
      <c r="AN1" s="192"/>
      <c r="AO1" s="192"/>
      <c r="AP1" s="192"/>
      <c r="AQ1" s="192"/>
      <c r="AR1" s="192"/>
      <c r="AS1" s="192"/>
      <c r="AT1" s="192"/>
      <c r="AU1" s="192"/>
      <c r="AV1" s="192"/>
      <c r="AW1" s="192"/>
      <c r="AX1" s="192"/>
      <c r="AY1" s="192"/>
      <c r="AZ1" s="192"/>
      <c r="BA1" s="192"/>
      <c r="BB1" s="192"/>
      <c r="BC1" s="192"/>
      <c r="BD1" s="192"/>
      <c r="BE1" s="192"/>
      <c r="BF1" s="192"/>
      <c r="BG1" s="192"/>
      <c r="BH1" s="192"/>
      <c r="BI1" s="192"/>
      <c r="BJ1" s="192"/>
      <c r="BK1" s="192"/>
      <c r="BL1" s="192"/>
      <c r="BM1" s="192"/>
      <c r="BN1" s="192"/>
      <c r="BO1" s="192" t="s">
        <v>438</v>
      </c>
      <c r="BP1" s="192" t="s">
        <v>440</v>
      </c>
      <c r="BQ1" s="192" t="s">
        <v>439</v>
      </c>
      <c r="BR1" s="192" t="s">
        <v>518</v>
      </c>
      <c r="BS1" s="192" t="s">
        <v>517</v>
      </c>
      <c r="BT1" s="192" t="s">
        <v>519</v>
      </c>
      <c r="BU1" s="192" t="s">
        <v>520</v>
      </c>
      <c r="BV1" s="192" t="s">
        <v>521</v>
      </c>
      <c r="BW1" s="192" t="s">
        <v>522</v>
      </c>
      <c r="BX1" s="192"/>
      <c r="BY1" s="192"/>
      <c r="BZ1" s="192"/>
      <c r="CA1" s="192"/>
      <c r="CB1" s="192"/>
      <c r="CC1" s="192"/>
      <c r="CD1" s="192"/>
      <c r="CE1" s="192"/>
      <c r="CF1" s="192"/>
      <c r="CG1" s="192"/>
      <c r="CH1" s="192"/>
      <c r="CI1" s="192"/>
      <c r="CJ1" s="192"/>
      <c r="CK1" s="192"/>
      <c r="CL1" s="192"/>
      <c r="CM1" s="192"/>
      <c r="CN1" s="192"/>
      <c r="CO1" s="192"/>
      <c r="CP1" s="192"/>
      <c r="CQ1" s="192"/>
      <c r="CR1" s="192"/>
      <c r="CS1" s="192"/>
      <c r="CT1" s="192"/>
      <c r="CU1" s="192"/>
      <c r="CV1" s="192"/>
      <c r="CW1" s="192"/>
      <c r="CX1" s="192"/>
      <c r="CY1" s="192"/>
      <c r="CZ1" s="192"/>
      <c r="DA1" s="192"/>
      <c r="DB1" s="192"/>
      <c r="DC1" s="192"/>
      <c r="DD1" s="192"/>
      <c r="DE1" s="192"/>
      <c r="DF1" s="192"/>
      <c r="DG1" s="192" t="s">
        <v>438</v>
      </c>
      <c r="DH1" s="192" t="s">
        <v>440</v>
      </c>
      <c r="DI1" s="192" t="s">
        <v>439</v>
      </c>
      <c r="DJ1" s="192" t="s">
        <v>518</v>
      </c>
      <c r="DK1" s="192" t="s">
        <v>517</v>
      </c>
      <c r="DL1" s="192" t="s">
        <v>519</v>
      </c>
      <c r="DM1" s="192" t="s">
        <v>520</v>
      </c>
      <c r="DN1" s="192" t="s">
        <v>521</v>
      </c>
      <c r="DO1" s="192" t="s">
        <v>522</v>
      </c>
      <c r="DP1" s="192"/>
      <c r="DQ1" s="192"/>
      <c r="DR1" s="192"/>
      <c r="DS1" s="192"/>
      <c r="DT1" s="192"/>
      <c r="DU1" s="192"/>
      <c r="DV1" s="192"/>
      <c r="DW1" s="192"/>
      <c r="DX1" s="192"/>
      <c r="DY1" s="192"/>
      <c r="DZ1" s="192"/>
      <c r="EA1" s="192"/>
      <c r="EB1" s="192"/>
      <c r="EC1" s="192"/>
      <c r="ED1" s="192"/>
      <c r="EE1" s="192"/>
      <c r="EF1" s="192"/>
      <c r="EG1" s="192"/>
      <c r="EH1" s="192"/>
      <c r="EI1" s="192"/>
      <c r="EJ1" s="192"/>
      <c r="EK1" s="192"/>
      <c r="EL1" s="192"/>
      <c r="EM1" s="192"/>
      <c r="EN1" s="192"/>
      <c r="EO1" s="192"/>
      <c r="EP1" s="192"/>
      <c r="EQ1" s="192"/>
      <c r="ER1" s="192"/>
      <c r="ES1" s="192"/>
      <c r="ET1" s="193"/>
      <c r="EU1" s="192"/>
      <c r="EV1" s="192"/>
      <c r="EW1" s="192"/>
      <c r="EX1" s="192"/>
      <c r="EY1" s="192"/>
      <c r="EZ1" s="192"/>
      <c r="FA1" s="192"/>
      <c r="FB1" s="192"/>
      <c r="FC1" s="192"/>
      <c r="FD1" s="192"/>
      <c r="FE1" s="192"/>
      <c r="FF1" s="192"/>
      <c r="FG1" s="192"/>
      <c r="FH1" s="192"/>
      <c r="FI1" s="192"/>
      <c r="FJ1" s="192"/>
      <c r="FK1" s="192"/>
      <c r="FL1" s="192"/>
      <c r="FM1" s="192"/>
      <c r="FN1" s="192"/>
      <c r="FO1" s="192"/>
      <c r="FP1" s="192"/>
      <c r="FQ1" s="192"/>
      <c r="FR1" s="192"/>
      <c r="FS1" s="191"/>
    </row>
    <row r="2" spans="1:175" ht="11.25" customHeight="1"/>
    <row r="3" spans="1:175" ht="30" customHeight="1">
      <c r="A3" s="431" t="s">
        <v>2414</v>
      </c>
      <c r="B3" s="431"/>
      <c r="C3" s="431"/>
      <c r="D3" s="431"/>
      <c r="E3" s="431"/>
      <c r="F3" s="431"/>
      <c r="G3" s="431"/>
      <c r="H3" s="431"/>
      <c r="I3" s="431"/>
      <c r="J3" s="431"/>
      <c r="K3" s="431"/>
      <c r="L3" s="431"/>
      <c r="M3" s="431"/>
      <c r="N3" s="431"/>
      <c r="O3" s="189"/>
      <c r="P3" s="189"/>
      <c r="Q3" s="189"/>
      <c r="R3" s="189"/>
    </row>
    <row r="4" spans="1:175" ht="11.25" customHeight="1"/>
    <row r="5" spans="1:175" ht="15.75" thickBot="1">
      <c r="A5" s="187" t="s">
        <v>2413</v>
      </c>
      <c r="AW5" s="187" t="s">
        <v>2412</v>
      </c>
      <c r="BJ5" s="187" t="s">
        <v>2411</v>
      </c>
      <c r="CH5" s="187" t="s">
        <v>2410</v>
      </c>
      <c r="CS5" s="187" t="s">
        <v>2409</v>
      </c>
      <c r="DE5" s="187" t="s">
        <v>2408</v>
      </c>
      <c r="DZ5" s="187" t="s">
        <v>2407</v>
      </c>
      <c r="EK5" s="187" t="s">
        <v>2406</v>
      </c>
      <c r="EO5" s="187" t="s">
        <v>2405</v>
      </c>
      <c r="ET5" s="188" t="s">
        <v>2404</v>
      </c>
      <c r="EW5" s="187" t="s">
        <v>2403</v>
      </c>
      <c r="EX5" s="187"/>
      <c r="FI5" s="187" t="s">
        <v>2402</v>
      </c>
    </row>
    <row r="6" spans="1:175" ht="15.75" thickBot="1">
      <c r="A6" s="21"/>
      <c r="B6" s="21"/>
      <c r="C6" s="21"/>
      <c r="D6" s="21"/>
      <c r="E6" s="21"/>
      <c r="F6" s="21"/>
      <c r="G6" s="21"/>
      <c r="H6" s="21"/>
      <c r="I6" s="21"/>
      <c r="J6" s="435" t="s">
        <v>2401</v>
      </c>
      <c r="K6" s="436"/>
      <c r="L6" s="436"/>
      <c r="M6" s="436"/>
      <c r="N6" s="436"/>
      <c r="O6" s="436"/>
      <c r="P6" s="436"/>
      <c r="Q6" s="436"/>
      <c r="R6" s="437"/>
      <c r="S6" s="435" t="s">
        <v>2400</v>
      </c>
      <c r="T6" s="436"/>
      <c r="U6" s="436"/>
      <c r="V6" s="436"/>
      <c r="W6" s="436"/>
      <c r="X6" s="436"/>
      <c r="Y6" s="436"/>
      <c r="Z6" s="436"/>
      <c r="AA6" s="437"/>
      <c r="AB6" s="435" t="s">
        <v>2399</v>
      </c>
      <c r="AC6" s="436"/>
      <c r="AD6" s="436"/>
      <c r="AE6" s="436"/>
      <c r="AF6" s="436"/>
      <c r="AG6" s="436"/>
      <c r="AH6" s="436"/>
      <c r="AI6" s="436"/>
      <c r="AJ6" s="436"/>
      <c r="AK6" s="430"/>
      <c r="AL6" s="435" t="s">
        <v>2398</v>
      </c>
      <c r="AM6" s="436"/>
      <c r="AN6" s="436"/>
      <c r="AO6" s="436"/>
      <c r="AP6" s="436"/>
      <c r="AQ6" s="436"/>
      <c r="AR6" s="436"/>
      <c r="AS6" s="436"/>
      <c r="AT6" s="436"/>
      <c r="AU6" s="430"/>
      <c r="AW6" s="185"/>
      <c r="AX6" s="184" t="s">
        <v>2395</v>
      </c>
      <c r="AY6" s="186"/>
      <c r="AZ6" s="181"/>
      <c r="BA6" s="181"/>
      <c r="BB6" s="181"/>
      <c r="BC6" s="181"/>
      <c r="BD6" s="181"/>
      <c r="BE6" s="181"/>
      <c r="BF6" s="181"/>
      <c r="BG6" s="185"/>
      <c r="BH6" s="180"/>
      <c r="BO6" s="432" t="s">
        <v>2302</v>
      </c>
      <c r="BP6" s="433"/>
      <c r="BQ6" s="433"/>
      <c r="BR6" s="433"/>
      <c r="BS6" s="433"/>
      <c r="BT6" s="433"/>
      <c r="BU6" s="433"/>
      <c r="BV6" s="433"/>
      <c r="BW6" s="434"/>
      <c r="BX6" s="432" t="s">
        <v>2397</v>
      </c>
      <c r="BY6" s="433"/>
      <c r="BZ6" s="433"/>
      <c r="CA6" s="433"/>
      <c r="CB6" s="433"/>
      <c r="CC6" s="433"/>
      <c r="CD6" s="433"/>
      <c r="CE6" s="433"/>
      <c r="CF6" s="434"/>
      <c r="CH6" s="185"/>
      <c r="CI6" s="184" t="s">
        <v>2395</v>
      </c>
      <c r="CJ6" s="181"/>
      <c r="CK6" s="181"/>
      <c r="CL6" s="181"/>
      <c r="CM6" s="181"/>
      <c r="CN6" s="181"/>
      <c r="CO6" s="181"/>
      <c r="CP6" s="181"/>
      <c r="CQ6" s="180"/>
      <c r="CS6" s="183"/>
      <c r="CT6" s="184" t="s">
        <v>2395</v>
      </c>
      <c r="CU6" s="181"/>
      <c r="CV6" s="181"/>
      <c r="CW6" s="181"/>
      <c r="CX6" s="181"/>
      <c r="CY6" s="181"/>
      <c r="CZ6" s="181"/>
      <c r="DA6" s="181"/>
      <c r="DB6" s="181"/>
      <c r="DC6" s="180"/>
      <c r="DF6" s="82"/>
      <c r="DG6" s="428" t="s">
        <v>2302</v>
      </c>
      <c r="DH6" s="429"/>
      <c r="DI6" s="429"/>
      <c r="DJ6" s="429"/>
      <c r="DK6" s="429"/>
      <c r="DL6" s="429"/>
      <c r="DM6" s="429"/>
      <c r="DN6" s="429"/>
      <c r="DO6" s="430"/>
      <c r="DP6" s="428" t="s">
        <v>2396</v>
      </c>
      <c r="DQ6" s="429"/>
      <c r="DR6" s="429"/>
      <c r="DS6" s="429"/>
      <c r="DT6" s="429"/>
      <c r="DU6" s="429"/>
      <c r="DV6" s="429"/>
      <c r="DW6" s="429"/>
      <c r="DX6" s="430"/>
      <c r="DZ6" s="183"/>
      <c r="EA6" s="182" t="s">
        <v>2395</v>
      </c>
      <c r="EB6" s="181"/>
      <c r="EC6" s="181"/>
      <c r="ED6" s="181"/>
      <c r="EE6" s="181"/>
      <c r="EF6" s="181"/>
      <c r="EG6" s="181"/>
      <c r="EH6" s="181"/>
      <c r="EI6" s="180"/>
      <c r="EK6" s="21"/>
      <c r="EL6" s="21"/>
      <c r="EM6" s="21"/>
      <c r="EP6" s="21"/>
      <c r="EQ6" s="21"/>
      <c r="ER6" s="21"/>
      <c r="FI6" s="179" t="s">
        <v>2394</v>
      </c>
      <c r="FJ6" s="179" t="s">
        <v>2393</v>
      </c>
      <c r="FK6" s="179"/>
      <c r="FL6" s="179"/>
      <c r="FM6" s="179"/>
      <c r="FN6" s="179"/>
      <c r="FO6" s="179"/>
      <c r="FP6" s="179"/>
      <c r="FQ6" s="179"/>
      <c r="FR6" s="179"/>
      <c r="FS6" s="178"/>
    </row>
    <row r="7" spans="1:175" s="135" customFormat="1" ht="45.75" thickBot="1">
      <c r="A7" s="177" t="s">
        <v>2355</v>
      </c>
      <c r="B7" s="175" t="s">
        <v>2354</v>
      </c>
      <c r="C7" s="176" t="s">
        <v>2392</v>
      </c>
      <c r="D7" s="175" t="s">
        <v>2391</v>
      </c>
      <c r="E7" s="174" t="s">
        <v>2390</v>
      </c>
      <c r="F7" s="162" t="s">
        <v>2389</v>
      </c>
      <c r="G7" s="173" t="s">
        <v>2388</v>
      </c>
      <c r="H7" s="151" t="s">
        <v>2387</v>
      </c>
      <c r="I7" s="172" t="s">
        <v>2386</v>
      </c>
      <c r="J7" s="170" t="s">
        <v>2385</v>
      </c>
      <c r="K7" s="167" t="s">
        <v>2384</v>
      </c>
      <c r="L7" s="169" t="s">
        <v>2383</v>
      </c>
      <c r="M7" s="167" t="s">
        <v>2382</v>
      </c>
      <c r="N7" s="169" t="s">
        <v>2381</v>
      </c>
      <c r="O7" s="167" t="s">
        <v>2380</v>
      </c>
      <c r="P7" s="169" t="s">
        <v>2379</v>
      </c>
      <c r="Q7" s="167" t="s">
        <v>2378</v>
      </c>
      <c r="R7" s="171" t="s">
        <v>2377</v>
      </c>
      <c r="S7" s="170" t="s">
        <v>2376</v>
      </c>
      <c r="T7" s="167" t="s">
        <v>2375</v>
      </c>
      <c r="U7" s="169" t="s">
        <v>2374</v>
      </c>
      <c r="V7" s="167" t="s">
        <v>2373</v>
      </c>
      <c r="W7" s="169" t="s">
        <v>2372</v>
      </c>
      <c r="X7" s="167" t="s">
        <v>2371</v>
      </c>
      <c r="Y7" s="169" t="s">
        <v>2370</v>
      </c>
      <c r="Z7" s="167" t="s">
        <v>2369</v>
      </c>
      <c r="AA7" s="171" t="s">
        <v>2368</v>
      </c>
      <c r="AB7" s="170" t="s">
        <v>2351</v>
      </c>
      <c r="AC7" s="167" t="s">
        <v>2350</v>
      </c>
      <c r="AD7" s="169" t="s">
        <v>2349</v>
      </c>
      <c r="AE7" s="167" t="s">
        <v>2348</v>
      </c>
      <c r="AF7" s="169" t="s">
        <v>2347</v>
      </c>
      <c r="AG7" s="167" t="s">
        <v>2346</v>
      </c>
      <c r="AH7" s="169" t="s">
        <v>2345</v>
      </c>
      <c r="AI7" s="167" t="s">
        <v>2344</v>
      </c>
      <c r="AJ7" s="169" t="s">
        <v>2343</v>
      </c>
      <c r="AK7" s="159" t="s">
        <v>2367</v>
      </c>
      <c r="AL7" s="170" t="s">
        <v>2366</v>
      </c>
      <c r="AM7" s="167" t="s">
        <v>2365</v>
      </c>
      <c r="AN7" s="169" t="s">
        <v>2364</v>
      </c>
      <c r="AO7" s="167" t="s">
        <v>2363</v>
      </c>
      <c r="AP7" s="169" t="s">
        <v>2362</v>
      </c>
      <c r="AQ7" s="167" t="s">
        <v>2361</v>
      </c>
      <c r="AR7" s="168" t="s">
        <v>2360</v>
      </c>
      <c r="AS7" s="167" t="s">
        <v>2359</v>
      </c>
      <c r="AT7" s="166" t="s">
        <v>2358</v>
      </c>
      <c r="AU7" s="159" t="s">
        <v>2357</v>
      </c>
      <c r="AW7" s="165" t="s">
        <v>2289</v>
      </c>
      <c r="AX7" s="145" t="s">
        <v>2324</v>
      </c>
      <c r="AY7" s="143" t="s">
        <v>2323</v>
      </c>
      <c r="AZ7" s="144" t="s">
        <v>2322</v>
      </c>
      <c r="BA7" s="143" t="s">
        <v>2321</v>
      </c>
      <c r="BB7" s="144" t="s">
        <v>2320</v>
      </c>
      <c r="BC7" s="143" t="s">
        <v>2319</v>
      </c>
      <c r="BD7" s="144" t="s">
        <v>2318</v>
      </c>
      <c r="BE7" s="143" t="s">
        <v>2317</v>
      </c>
      <c r="BF7" s="144" t="s">
        <v>2316</v>
      </c>
      <c r="BG7" s="160" t="s">
        <v>2315</v>
      </c>
      <c r="BH7" s="142" t="s">
        <v>2356</v>
      </c>
      <c r="BJ7" s="164" t="s">
        <v>2355</v>
      </c>
      <c r="BK7" s="162" t="s">
        <v>2298</v>
      </c>
      <c r="BL7" s="163" t="s">
        <v>2354</v>
      </c>
      <c r="BM7" s="162" t="s">
        <v>2353</v>
      </c>
      <c r="BN7" s="161" t="s">
        <v>2352</v>
      </c>
      <c r="BO7" s="160" t="s">
        <v>2351</v>
      </c>
      <c r="BP7" s="144" t="s">
        <v>2350</v>
      </c>
      <c r="BQ7" s="143" t="s">
        <v>2349</v>
      </c>
      <c r="BR7" s="144" t="s">
        <v>2348</v>
      </c>
      <c r="BS7" s="143" t="s">
        <v>2347</v>
      </c>
      <c r="BT7" s="144" t="s">
        <v>2346</v>
      </c>
      <c r="BU7" s="143" t="s">
        <v>2345</v>
      </c>
      <c r="BV7" s="143" t="s">
        <v>2344</v>
      </c>
      <c r="BW7" s="142" t="s">
        <v>2343</v>
      </c>
      <c r="BX7" s="160" t="s">
        <v>2342</v>
      </c>
      <c r="BY7" s="144" t="s">
        <v>2341</v>
      </c>
      <c r="BZ7" s="143" t="s">
        <v>2340</v>
      </c>
      <c r="CA7" s="144" t="s">
        <v>2339</v>
      </c>
      <c r="CB7" s="143" t="s">
        <v>2338</v>
      </c>
      <c r="CC7" s="144" t="s">
        <v>2337</v>
      </c>
      <c r="CD7" s="143" t="s">
        <v>2336</v>
      </c>
      <c r="CE7" s="143" t="s">
        <v>2335</v>
      </c>
      <c r="CF7" s="142" t="s">
        <v>2334</v>
      </c>
      <c r="CH7" s="149" t="s">
        <v>2289</v>
      </c>
      <c r="CI7" s="145" t="s">
        <v>2333</v>
      </c>
      <c r="CJ7" s="143" t="s">
        <v>2332</v>
      </c>
      <c r="CK7" s="144" t="s">
        <v>2331</v>
      </c>
      <c r="CL7" s="143" t="s">
        <v>2330</v>
      </c>
      <c r="CM7" s="144" t="s">
        <v>2329</v>
      </c>
      <c r="CN7" s="143" t="s">
        <v>2328</v>
      </c>
      <c r="CO7" s="144" t="s">
        <v>2327</v>
      </c>
      <c r="CP7" s="143" t="s">
        <v>2326</v>
      </c>
      <c r="CQ7" s="142" t="s">
        <v>2325</v>
      </c>
      <c r="CS7" s="149" t="s">
        <v>2289</v>
      </c>
      <c r="CT7" s="156" t="s">
        <v>2324</v>
      </c>
      <c r="CU7" s="155" t="s">
        <v>2323</v>
      </c>
      <c r="CV7" s="156" t="s">
        <v>2322</v>
      </c>
      <c r="CW7" s="155" t="s">
        <v>2321</v>
      </c>
      <c r="CX7" s="156" t="s">
        <v>2320</v>
      </c>
      <c r="CY7" s="155" t="s">
        <v>2319</v>
      </c>
      <c r="CZ7" s="156" t="s">
        <v>2318</v>
      </c>
      <c r="DA7" s="155" t="s">
        <v>2317</v>
      </c>
      <c r="DB7" s="156" t="s">
        <v>2316</v>
      </c>
      <c r="DC7" s="159" t="s">
        <v>2315</v>
      </c>
      <c r="DE7" s="158" t="s">
        <v>2314</v>
      </c>
      <c r="DF7" s="157" t="s">
        <v>2313</v>
      </c>
      <c r="DG7" s="145" t="str">
        <f t="shared" ref="DG7:DO7" si="0">DG1&amp;" (Fuel)"</f>
        <v>R1 (Fuel)</v>
      </c>
      <c r="DH7" s="143" t="str">
        <f t="shared" si="0"/>
        <v>R2 (Fuel)</v>
      </c>
      <c r="DI7" s="144" t="str">
        <f t="shared" si="0"/>
        <v>R3 (Fuel)</v>
      </c>
      <c r="DJ7" s="143" t="str">
        <f t="shared" si="0"/>
        <v>R4 (Fuel)</v>
      </c>
      <c r="DK7" s="144" t="str">
        <f t="shared" si="0"/>
        <v>R5 (Fuel)</v>
      </c>
      <c r="DL7" s="143" t="str">
        <f t="shared" si="0"/>
        <v>R6 (Fuel)</v>
      </c>
      <c r="DM7" s="144" t="str">
        <f t="shared" si="0"/>
        <v>R7 (Fuel)</v>
      </c>
      <c r="DN7" s="143" t="str">
        <f t="shared" si="0"/>
        <v>R8 (Fuel)</v>
      </c>
      <c r="DO7" s="142" t="str">
        <f t="shared" si="0"/>
        <v>R9 (Fuel)</v>
      </c>
      <c r="DP7" s="145" t="str">
        <f t="shared" ref="DP7:DX7" si="1">DG1&amp;" (Frac)"</f>
        <v>R1 (Frac)</v>
      </c>
      <c r="DQ7" s="143" t="str">
        <f t="shared" si="1"/>
        <v>R2 (Frac)</v>
      </c>
      <c r="DR7" s="144" t="str">
        <f t="shared" si="1"/>
        <v>R3 (Frac)</v>
      </c>
      <c r="DS7" s="143" t="str">
        <f t="shared" si="1"/>
        <v>R4 (Frac)</v>
      </c>
      <c r="DT7" s="144" t="str">
        <f t="shared" si="1"/>
        <v>R5 (Frac)</v>
      </c>
      <c r="DU7" s="143" t="str">
        <f t="shared" si="1"/>
        <v>R6 (Frac)</v>
      </c>
      <c r="DV7" s="144" t="str">
        <f t="shared" si="1"/>
        <v>R7 (Frac)</v>
      </c>
      <c r="DW7" s="143" t="str">
        <f t="shared" si="1"/>
        <v>R8 (Frac)</v>
      </c>
      <c r="DX7" s="142" t="str">
        <f t="shared" si="1"/>
        <v>R9 (Frac)</v>
      </c>
      <c r="DZ7" s="149" t="s">
        <v>2289</v>
      </c>
      <c r="EA7" s="156" t="s">
        <v>2312</v>
      </c>
      <c r="EB7" s="155" t="s">
        <v>2311</v>
      </c>
      <c r="EC7" s="156" t="s">
        <v>2310</v>
      </c>
      <c r="ED7" s="155" t="s">
        <v>2309</v>
      </c>
      <c r="EE7" s="156" t="s">
        <v>2308</v>
      </c>
      <c r="EF7" s="155" t="s">
        <v>2307</v>
      </c>
      <c r="EG7" s="156" t="s">
        <v>2306</v>
      </c>
      <c r="EH7" s="155" t="s">
        <v>2305</v>
      </c>
      <c r="EI7" s="154" t="s">
        <v>2304</v>
      </c>
      <c r="EK7" s="153" t="s">
        <v>2303</v>
      </c>
      <c r="EL7" s="153" t="s">
        <v>665</v>
      </c>
      <c r="EM7" s="152" t="s">
        <v>663</v>
      </c>
      <c r="EO7" s="151" t="s">
        <v>2299</v>
      </c>
      <c r="EP7" s="150" t="s">
        <v>739</v>
      </c>
      <c r="EQ7" s="151" t="s">
        <v>2302</v>
      </c>
      <c r="ER7" s="150" t="s">
        <v>2301</v>
      </c>
      <c r="ET7" s="149" t="s">
        <v>2289</v>
      </c>
      <c r="EU7" s="148" t="s">
        <v>2300</v>
      </c>
      <c r="EV7" s="1"/>
      <c r="EW7" s="147" t="s">
        <v>2299</v>
      </c>
      <c r="EX7" s="143" t="s">
        <v>2298</v>
      </c>
      <c r="EY7" s="143" t="s">
        <v>2297</v>
      </c>
      <c r="EZ7" s="144" t="s">
        <v>2296</v>
      </c>
      <c r="FA7" s="143" t="s">
        <v>2295</v>
      </c>
      <c r="FB7" s="146" t="s">
        <v>739</v>
      </c>
      <c r="FC7" s="145" t="s">
        <v>2294</v>
      </c>
      <c r="FD7" s="143" t="s">
        <v>2293</v>
      </c>
      <c r="FE7" s="144" t="s">
        <v>2292</v>
      </c>
      <c r="FF7" s="143" t="s">
        <v>2291</v>
      </c>
      <c r="FG7" s="142" t="s">
        <v>2290</v>
      </c>
      <c r="FI7" s="141" t="s">
        <v>2289</v>
      </c>
      <c r="FJ7" s="140" t="s">
        <v>438</v>
      </c>
      <c r="FK7" s="138" t="s">
        <v>440</v>
      </c>
      <c r="FL7" s="139" t="s">
        <v>439</v>
      </c>
      <c r="FM7" s="138" t="s">
        <v>518</v>
      </c>
      <c r="FN7" s="139" t="s">
        <v>517</v>
      </c>
      <c r="FO7" s="138" t="s">
        <v>519</v>
      </c>
      <c r="FP7" s="139" t="s">
        <v>520</v>
      </c>
      <c r="FQ7" s="138" t="s">
        <v>521</v>
      </c>
      <c r="FR7" s="137" t="s">
        <v>522</v>
      </c>
      <c r="FS7" s="136" t="s">
        <v>1378</v>
      </c>
    </row>
    <row r="8" spans="1:175" ht="15.75" thickBot="1">
      <c r="A8" s="37" t="s">
        <v>2250</v>
      </c>
      <c r="B8" s="134" t="s">
        <v>1145</v>
      </c>
      <c r="C8" s="1" t="s">
        <v>1120</v>
      </c>
      <c r="D8" s="134" t="s">
        <v>1120</v>
      </c>
      <c r="E8" s="36" t="s">
        <v>2288</v>
      </c>
      <c r="F8" s="1" t="e">
        <f t="shared" ref="F8:F39" ca="1" si="2">EndUse(A8,B8,C8,G8)</f>
        <v>#NAME?</v>
      </c>
      <c r="G8" s="133" t="s">
        <v>1121</v>
      </c>
      <c r="H8" s="132">
        <v>1</v>
      </c>
      <c r="I8" s="131">
        <v>0</v>
      </c>
      <c r="J8" s="26">
        <v>0</v>
      </c>
      <c r="K8" s="25">
        <v>2.696709218706173</v>
      </c>
      <c r="L8" s="24"/>
      <c r="M8" s="25"/>
      <c r="N8" s="24"/>
      <c r="O8" s="25"/>
      <c r="P8" s="24"/>
      <c r="Q8" s="25"/>
      <c r="R8" s="32"/>
      <c r="S8" s="47">
        <v>1</v>
      </c>
      <c r="T8" s="45">
        <v>1</v>
      </c>
      <c r="U8" s="46">
        <v>1</v>
      </c>
      <c r="V8" s="45">
        <v>1</v>
      </c>
      <c r="W8" s="46">
        <v>1</v>
      </c>
      <c r="X8" s="45">
        <v>1</v>
      </c>
      <c r="Y8" s="46">
        <v>1</v>
      </c>
      <c r="Z8" s="45">
        <v>1</v>
      </c>
      <c r="AA8" s="44">
        <v>1</v>
      </c>
      <c r="AB8" s="26">
        <f t="shared" ref="AB8:AB19" si="3">J8*$H8*S8</f>
        <v>0</v>
      </c>
      <c r="AC8" s="25">
        <f t="shared" ref="AC8:AC19" si="4">K8*$H8*T8</f>
        <v>2.696709218706173</v>
      </c>
      <c r="AD8" s="24">
        <f t="shared" ref="AD8:AD19" si="5">L8*$H8*U8</f>
        <v>0</v>
      </c>
      <c r="AE8" s="25">
        <f t="shared" ref="AE8:AE19" si="6">M8*$H8*V8</f>
        <v>0</v>
      </c>
      <c r="AF8" s="24">
        <f t="shared" ref="AF8:AF19" si="7">N8*$H8*W8</f>
        <v>0</v>
      </c>
      <c r="AG8" s="25">
        <f t="shared" ref="AG8:AG19" si="8">O8*$H8*X8</f>
        <v>0</v>
      </c>
      <c r="AH8" s="24">
        <f t="shared" ref="AH8:AH19" si="9">P8*$H8*Y8</f>
        <v>0</v>
      </c>
      <c r="AI8" s="25">
        <f t="shared" ref="AI8:AI19" si="10">Q8*$H8*Z8</f>
        <v>0</v>
      </c>
      <c r="AJ8" s="24">
        <f t="shared" ref="AJ8:AJ19" si="11">R8*$H8*AA8</f>
        <v>0</v>
      </c>
      <c r="AK8" s="27">
        <f t="shared" ref="AK8:AK71" si="12">SUM(AB8:AJ8)</f>
        <v>2.696709218706173</v>
      </c>
      <c r="AL8" s="41">
        <v>0</v>
      </c>
      <c r="AM8" s="40">
        <v>0</v>
      </c>
      <c r="AN8" s="39">
        <v>0</v>
      </c>
      <c r="AO8" s="40">
        <v>0</v>
      </c>
      <c r="AP8" s="39">
        <v>0</v>
      </c>
      <c r="AQ8" s="40">
        <v>0</v>
      </c>
      <c r="AR8" s="39">
        <v>0</v>
      </c>
      <c r="AS8" s="40">
        <v>0</v>
      </c>
      <c r="AT8" s="39">
        <v>0</v>
      </c>
      <c r="AU8" s="38">
        <v>0</v>
      </c>
      <c r="AW8" s="51" t="s">
        <v>2250</v>
      </c>
      <c r="AX8" s="130">
        <v>0</v>
      </c>
      <c r="AY8" s="129">
        <v>0</v>
      </c>
      <c r="AZ8" s="128">
        <v>45.432757445069981</v>
      </c>
      <c r="BA8" s="129">
        <v>39.801248254623111</v>
      </c>
      <c r="BB8" s="128">
        <v>61.79500930856679</v>
      </c>
      <c r="BC8" s="129">
        <v>59.992423297447175</v>
      </c>
      <c r="BD8" s="128">
        <v>194.70981461611191</v>
      </c>
      <c r="BE8" s="129">
        <v>4.2262308903005437</v>
      </c>
      <c r="BF8" s="128">
        <v>1.861501173267583</v>
      </c>
      <c r="BG8" s="127">
        <v>407.81898498538715</v>
      </c>
      <c r="BH8" s="126">
        <v>1.8237279638273312</v>
      </c>
      <c r="BJ8" s="37" t="s">
        <v>2250</v>
      </c>
      <c r="BK8" s="36" t="s">
        <v>2269</v>
      </c>
      <c r="BL8" s="1" t="s">
        <v>1150</v>
      </c>
      <c r="BM8" s="36" t="s">
        <v>1902</v>
      </c>
      <c r="BN8" s="82" t="str">
        <f t="shared" ref="BN8:BN14" si="13">BK8&amp;BM8</f>
        <v>ICAETC</v>
      </c>
      <c r="BO8" s="26">
        <f t="shared" ref="BO8:BW14" si="14">IF(ISERROR(GETPIVOTDATA("Sum of "&amp;BO$1&amp;" (Out)",$AW$6,"Sub-Sector",$BJ8,"End-Use",$BL8)),0,GETPIVOTDATA("Sum of "&amp;BO$1&amp;" (Out)",$AW$6,"Sub-Sector",$BJ8,"End-Use",$BL8))</f>
        <v>0</v>
      </c>
      <c r="BP8" s="125">
        <f t="shared" si="14"/>
        <v>0</v>
      </c>
      <c r="BQ8" s="24">
        <f t="shared" si="14"/>
        <v>0</v>
      </c>
      <c r="BR8" s="125">
        <f t="shared" si="14"/>
        <v>0</v>
      </c>
      <c r="BS8" s="24">
        <f t="shared" si="14"/>
        <v>0</v>
      </c>
      <c r="BT8" s="125">
        <f t="shared" si="14"/>
        <v>0</v>
      </c>
      <c r="BU8" s="24">
        <f t="shared" si="14"/>
        <v>0</v>
      </c>
      <c r="BV8" s="125">
        <f t="shared" si="14"/>
        <v>0</v>
      </c>
      <c r="BW8" s="32">
        <f t="shared" si="14"/>
        <v>0</v>
      </c>
      <c r="BX8" s="26">
        <v>0</v>
      </c>
      <c r="BY8" s="125">
        <v>0</v>
      </c>
      <c r="BZ8" s="24">
        <f t="shared" ref="BZ8:CF8" si="15">BQ8/BQ15</f>
        <v>0</v>
      </c>
      <c r="CA8" s="125">
        <f t="shared" si="15"/>
        <v>0</v>
      </c>
      <c r="CB8" s="24">
        <f t="shared" si="15"/>
        <v>0</v>
      </c>
      <c r="CC8" s="125">
        <f t="shared" si="15"/>
        <v>0</v>
      </c>
      <c r="CD8" s="24">
        <f t="shared" si="15"/>
        <v>0</v>
      </c>
      <c r="CE8" s="125">
        <f t="shared" si="15"/>
        <v>0</v>
      </c>
      <c r="CF8" s="32">
        <f t="shared" si="15"/>
        <v>0</v>
      </c>
      <c r="CH8" s="67" t="s">
        <v>2287</v>
      </c>
      <c r="CI8" s="124">
        <v>0</v>
      </c>
      <c r="CJ8" s="122">
        <v>0</v>
      </c>
      <c r="CK8" s="123">
        <v>0</v>
      </c>
      <c r="CL8" s="122">
        <v>0</v>
      </c>
      <c r="CM8" s="123">
        <v>0</v>
      </c>
      <c r="CN8" s="122">
        <v>0</v>
      </c>
      <c r="CO8" s="123">
        <v>0</v>
      </c>
      <c r="CP8" s="122">
        <v>0</v>
      </c>
      <c r="CQ8" s="121">
        <v>0</v>
      </c>
      <c r="CS8" s="67" t="s">
        <v>1911</v>
      </c>
      <c r="CT8" s="39">
        <v>0</v>
      </c>
      <c r="CU8" s="40">
        <v>0</v>
      </c>
      <c r="CV8" s="39">
        <v>0</v>
      </c>
      <c r="CW8" s="40">
        <v>0</v>
      </c>
      <c r="CX8" s="39">
        <v>2.696709218706173</v>
      </c>
      <c r="CY8" s="40">
        <v>2.3505748876399122</v>
      </c>
      <c r="CZ8" s="39">
        <v>8.1659027068407344</v>
      </c>
      <c r="DA8" s="40">
        <v>0</v>
      </c>
      <c r="DB8" s="39">
        <v>0</v>
      </c>
      <c r="DC8" s="120">
        <v>13.21318681318682</v>
      </c>
      <c r="DE8" s="37" t="s">
        <v>2267</v>
      </c>
      <c r="DF8" s="35" t="str">
        <f t="shared" ref="DF8:DF71" si="16">LEFT(DE8,5)</f>
        <v>ICAOH</v>
      </c>
      <c r="DG8" s="26">
        <f t="shared" ref="DG8:DO17" si="17">GETPIVOTDATA("Sum of "&amp;DG$1&amp;" (Out)",$CS$6,"Constraint Identifier",$DE8)</f>
        <v>0</v>
      </c>
      <c r="DH8" s="25">
        <f t="shared" si="17"/>
        <v>0</v>
      </c>
      <c r="DI8" s="24">
        <f t="shared" si="17"/>
        <v>0.36588093453079751</v>
      </c>
      <c r="DJ8" s="25">
        <f t="shared" si="17"/>
        <v>0.24781985677311991</v>
      </c>
      <c r="DK8" s="24">
        <f t="shared" si="17"/>
        <v>0</v>
      </c>
      <c r="DL8" s="25">
        <f t="shared" si="17"/>
        <v>0</v>
      </c>
      <c r="DM8" s="24">
        <f t="shared" si="17"/>
        <v>0</v>
      </c>
      <c r="DN8" s="25">
        <f t="shared" si="17"/>
        <v>0</v>
      </c>
      <c r="DO8" s="32">
        <f t="shared" si="17"/>
        <v>0</v>
      </c>
      <c r="DP8" s="26">
        <f t="shared" ref="DP8:DP71" si="18">IF(SUMIF($DF$8:$DF$380,"="&amp;$DF8,DG$8:DG$380)=0,0,DG8/SUMIF($DF$8:$DF$380,"="&amp;$DF8,DG$8:DG$380))</f>
        <v>0</v>
      </c>
      <c r="DQ8" s="25">
        <f t="shared" ref="DQ8:DQ71" si="19">IF(SUMIF($DF$8:$DF$380,"="&amp;$DF8,DH$8:DH$380)=0,0,DH8/SUMIF($DF$8:$DF$380,"="&amp;$DF8,DH$8:DH$380))</f>
        <v>0</v>
      </c>
      <c r="DR8" s="24">
        <f t="shared" ref="DR8:DR71" si="20">IF(SUMIF($DF$8:$DF$380,"="&amp;$DF8,DI$8:DI$380)=0,0,DI8/SUMIF($DF$8:$DF$380,"="&amp;$DF8,DI$8:DI$380))</f>
        <v>1</v>
      </c>
      <c r="DS8" s="25">
        <f t="shared" ref="DS8:DS71" si="21">IF(SUMIF($DF$8:$DF$380,"="&amp;$DF8,DJ$8:DJ$380)=0,0,DJ8/SUMIF($DF$8:$DF$380,"="&amp;$DF8,DJ$8:DJ$380))</f>
        <v>1</v>
      </c>
      <c r="DT8" s="24">
        <f t="shared" ref="DT8:DT71" si="22">IF(SUMIF($DF$8:$DF$380,"="&amp;$DF8,DK$8:DK$380)=0,0,DK8/SUMIF($DF$8:$DF$380,"="&amp;$DF8,DK$8:DK$380))</f>
        <v>0</v>
      </c>
      <c r="DU8" s="25">
        <f t="shared" ref="DU8:DU71" si="23">IF(SUMIF($DF$8:$DF$380,"="&amp;$DF8,DL$8:DL$380)=0,0,DL8/SUMIF($DF$8:$DF$380,"="&amp;$DF8,DL$8:DL$380))</f>
        <v>0</v>
      </c>
      <c r="DV8" s="24">
        <f t="shared" ref="DV8:DV71" si="24">IF(SUMIF($DF$8:$DF$380,"="&amp;$DF8,DM$8:DM$380)=0,0,DM8/SUMIF($DF$8:$DF$380,"="&amp;$DF8,DM$8:DM$380))</f>
        <v>0</v>
      </c>
      <c r="DW8" s="25">
        <f t="shared" ref="DW8:DW71" si="25">IF(SUMIF($DF$8:$DF$380,"="&amp;$DF8,DN$8:DN$380)=0,0,DN8/SUMIF($DF$8:$DF$380,"="&amp;$DF8,DN$8:DN$380))</f>
        <v>0</v>
      </c>
      <c r="DX8" s="32">
        <f t="shared" ref="DX8:DX71" si="26">IF(SUMIF($DF$8:$DF$380,"="&amp;$DF8,DO$8:DO$380)=0,0,DO8/SUMIF($DF$8:$DF$380,"="&amp;$DF8,DO$8:DO$380))</f>
        <v>0</v>
      </c>
      <c r="DZ8" s="67" t="s">
        <v>1911</v>
      </c>
      <c r="EA8" s="39">
        <v>0</v>
      </c>
      <c r="EB8" s="40">
        <v>0</v>
      </c>
      <c r="EC8" s="39">
        <v>0</v>
      </c>
      <c r="ED8" s="40">
        <v>0</v>
      </c>
      <c r="EE8" s="39">
        <v>0.90292323818747011</v>
      </c>
      <c r="EF8" s="40">
        <v>0.90292323818747011</v>
      </c>
      <c r="EG8" s="39">
        <v>0.90292323818747011</v>
      </c>
      <c r="EH8" s="40">
        <v>0</v>
      </c>
      <c r="EI8" s="66">
        <v>0</v>
      </c>
      <c r="EK8" s="119" t="s">
        <v>2286</v>
      </c>
      <c r="EL8" s="119">
        <v>0.9</v>
      </c>
      <c r="EM8" s="118"/>
      <c r="EO8" s="83" t="s">
        <v>2250</v>
      </c>
      <c r="EP8" s="82" t="s">
        <v>438</v>
      </c>
      <c r="EQ8" s="81">
        <f t="shared" ref="EQ8:EQ39" si="27">GETPIVOTDATA("Sum of "&amp;EP8&amp;" (Out)",$AW$6,"Sub-Sector",EO8)</f>
        <v>0</v>
      </c>
      <c r="ER8" s="80">
        <f>EQ8/SUM(EQ8:EQ16)</f>
        <v>0</v>
      </c>
      <c r="ET8" s="74" t="s">
        <v>2250</v>
      </c>
      <c r="EU8" s="70">
        <v>1.0000000000000002</v>
      </c>
      <c r="EW8" s="37" t="s">
        <v>2250</v>
      </c>
      <c r="EX8" s="36" t="s">
        <v>2269</v>
      </c>
      <c r="EY8" s="36" t="s">
        <v>1145</v>
      </c>
      <c r="EZ8" s="1" t="s">
        <v>1945</v>
      </c>
      <c r="FA8" s="36" t="str">
        <f t="shared" ref="FA8:FA39" si="28">EX8&amp;EZ8</f>
        <v>ICAFAC</v>
      </c>
      <c r="FB8" s="35" t="s">
        <v>439</v>
      </c>
      <c r="FC8" s="26">
        <f t="shared" ref="FC8:FC39" si="29">GETPIVOTDATA("Sum of "&amp;FB8&amp;" (Out)",$AW$6,"Sub-Sector",EW8)</f>
        <v>45.432757445069981</v>
      </c>
      <c r="FD8" s="25">
        <f t="shared" ref="FD8:FD39" si="30">GETPIVOTDATA("Sum of "&amp;FB8&amp;" (Out)",$AW$6,"Sub-Sector",EW8,"End-Use",EY8)</f>
        <v>0.28316890781960724</v>
      </c>
      <c r="FE8" s="24">
        <f t="shared" ref="FE8:FE39" si="31">GETPIVOTDATA("Sum of "&amp;FB8&amp;" (%)",$CH$6,"End-Use Commodity",FA8)</f>
        <v>6.2327035325110908E-3</v>
      </c>
      <c r="FF8" s="36">
        <v>0</v>
      </c>
      <c r="FG8" s="86">
        <f t="shared" ref="FG8:FG39" si="32">FC8-((FD8-FF8)/FE8)</f>
        <v>0</v>
      </c>
      <c r="FI8" s="67" t="s">
        <v>2269</v>
      </c>
      <c r="FJ8" s="39"/>
      <c r="FK8" s="40"/>
      <c r="FL8" s="39">
        <v>0</v>
      </c>
      <c r="FM8" s="40">
        <v>0</v>
      </c>
      <c r="FN8" s="39">
        <v>0</v>
      </c>
      <c r="FO8" s="40">
        <v>0</v>
      </c>
      <c r="FP8" s="24">
        <v>0.43059052411382481</v>
      </c>
      <c r="FQ8" s="40">
        <v>0</v>
      </c>
      <c r="FR8" s="113">
        <v>0</v>
      </c>
      <c r="FS8" s="32">
        <v>0.43059052411382481</v>
      </c>
    </row>
    <row r="9" spans="1:175">
      <c r="A9" s="37" t="s">
        <v>2250</v>
      </c>
      <c r="B9" s="36" t="s">
        <v>1145</v>
      </c>
      <c r="C9" s="1" t="s">
        <v>1126</v>
      </c>
      <c r="D9" s="36" t="s">
        <v>1126</v>
      </c>
      <c r="E9" s="36" t="s">
        <v>2285</v>
      </c>
      <c r="F9" s="1" t="e">
        <f t="shared" ca="1" si="2"/>
        <v>#NAME?</v>
      </c>
      <c r="G9" s="35" t="s">
        <v>1121</v>
      </c>
      <c r="H9" s="43">
        <v>1</v>
      </c>
      <c r="I9" s="42">
        <v>0</v>
      </c>
      <c r="J9" s="26">
        <v>0.12902150952692693</v>
      </c>
      <c r="K9" s="25">
        <v>0.16302313989192954</v>
      </c>
      <c r="L9" s="24"/>
      <c r="M9" s="25"/>
      <c r="N9" s="24"/>
      <c r="O9" s="25"/>
      <c r="P9" s="24"/>
      <c r="Q9" s="25"/>
      <c r="R9" s="32"/>
      <c r="S9" s="47">
        <v>1</v>
      </c>
      <c r="T9" s="45">
        <v>1</v>
      </c>
      <c r="U9" s="46">
        <v>1</v>
      </c>
      <c r="V9" s="45">
        <v>1</v>
      </c>
      <c r="W9" s="46">
        <v>1</v>
      </c>
      <c r="X9" s="45">
        <v>1</v>
      </c>
      <c r="Y9" s="46">
        <v>1</v>
      </c>
      <c r="Z9" s="45">
        <v>1</v>
      </c>
      <c r="AA9" s="44">
        <v>1</v>
      </c>
      <c r="AB9" s="26">
        <f t="shared" si="3"/>
        <v>0.12902150952692693</v>
      </c>
      <c r="AC9" s="25">
        <f t="shared" si="4"/>
        <v>0.16302313989192954</v>
      </c>
      <c r="AD9" s="24">
        <f t="shared" si="5"/>
        <v>0</v>
      </c>
      <c r="AE9" s="25">
        <f t="shared" si="6"/>
        <v>0</v>
      </c>
      <c r="AF9" s="24">
        <f t="shared" si="7"/>
        <v>0</v>
      </c>
      <c r="AG9" s="25">
        <f t="shared" si="8"/>
        <v>0</v>
      </c>
      <c r="AH9" s="24">
        <f t="shared" si="9"/>
        <v>0</v>
      </c>
      <c r="AI9" s="25">
        <f t="shared" si="10"/>
        <v>0</v>
      </c>
      <c r="AJ9" s="24">
        <f t="shared" si="11"/>
        <v>0</v>
      </c>
      <c r="AK9" s="27">
        <f t="shared" si="12"/>
        <v>0.29204464941885644</v>
      </c>
      <c r="AL9" s="41">
        <v>0</v>
      </c>
      <c r="AM9" s="40">
        <v>0</v>
      </c>
      <c r="AN9" s="39">
        <v>0</v>
      </c>
      <c r="AO9" s="40">
        <v>0</v>
      </c>
      <c r="AP9" s="39">
        <v>0</v>
      </c>
      <c r="AQ9" s="40">
        <v>0</v>
      </c>
      <c r="AR9" s="39">
        <v>0</v>
      </c>
      <c r="AS9" s="40">
        <v>0</v>
      </c>
      <c r="AT9" s="39">
        <v>0</v>
      </c>
      <c r="AU9" s="38">
        <v>0</v>
      </c>
      <c r="AW9" s="105" t="s">
        <v>1145</v>
      </c>
      <c r="AX9" s="41">
        <v>0</v>
      </c>
      <c r="AY9" s="40">
        <v>0</v>
      </c>
      <c r="AZ9" s="39">
        <v>0.28316890781960724</v>
      </c>
      <c r="BA9" s="40">
        <v>0.19179703437799375</v>
      </c>
      <c r="BB9" s="39">
        <v>2.9866428336915467</v>
      </c>
      <c r="BC9" s="40">
        <v>2.60329426492385</v>
      </c>
      <c r="BD9" s="39">
        <v>9.0438504199238281</v>
      </c>
      <c r="BE9" s="40">
        <v>0.10910628515576717</v>
      </c>
      <c r="BF9" s="39">
        <v>6.8414610265158271E-2</v>
      </c>
      <c r="BG9" s="81">
        <v>15.286274356157753</v>
      </c>
      <c r="BH9" s="66">
        <v>0</v>
      </c>
      <c r="BJ9" s="37" t="s">
        <v>2250</v>
      </c>
      <c r="BK9" s="36" t="s">
        <v>2269</v>
      </c>
      <c r="BL9" s="1" t="s">
        <v>1145</v>
      </c>
      <c r="BM9" s="36" t="s">
        <v>1945</v>
      </c>
      <c r="BN9" s="82" t="str">
        <f t="shared" si="13"/>
        <v>ICAFAC</v>
      </c>
      <c r="BO9" s="26">
        <f t="shared" si="14"/>
        <v>0</v>
      </c>
      <c r="BP9" s="25">
        <f t="shared" si="14"/>
        <v>0</v>
      </c>
      <c r="BQ9" s="24">
        <f t="shared" si="14"/>
        <v>0.28316890781960724</v>
      </c>
      <c r="BR9" s="25">
        <f t="shared" si="14"/>
        <v>0.19179703437799375</v>
      </c>
      <c r="BS9" s="24">
        <f t="shared" si="14"/>
        <v>2.9866428336915467</v>
      </c>
      <c r="BT9" s="25">
        <f t="shared" si="14"/>
        <v>2.60329426492385</v>
      </c>
      <c r="BU9" s="24">
        <f t="shared" si="14"/>
        <v>9.0438504199238281</v>
      </c>
      <c r="BV9" s="25">
        <f t="shared" si="14"/>
        <v>0.10910628515576717</v>
      </c>
      <c r="BW9" s="32">
        <f t="shared" si="14"/>
        <v>6.8414610265158271E-2</v>
      </c>
      <c r="BX9" s="26">
        <v>0</v>
      </c>
      <c r="BY9" s="25">
        <v>0</v>
      </c>
      <c r="BZ9" s="24">
        <f t="shared" ref="BZ9:CF9" si="33">BQ9/BQ15</f>
        <v>6.2327035325110908E-3</v>
      </c>
      <c r="CA9" s="25">
        <f t="shared" si="33"/>
        <v>4.8188698291821933E-3</v>
      </c>
      <c r="CB9" s="24">
        <f t="shared" si="33"/>
        <v>4.8331456975401754E-2</v>
      </c>
      <c r="CC9" s="25">
        <f t="shared" si="33"/>
        <v>4.339371743689218E-2</v>
      </c>
      <c r="CD9" s="24">
        <f t="shared" si="33"/>
        <v>4.6447840535181036E-2</v>
      </c>
      <c r="CE9" s="25">
        <f t="shared" si="33"/>
        <v>2.5816451582466239E-2</v>
      </c>
      <c r="CF9" s="32">
        <f t="shared" si="33"/>
        <v>3.6752386325422937E-2</v>
      </c>
      <c r="CH9" s="54" t="s">
        <v>2284</v>
      </c>
      <c r="CI9" s="41">
        <v>0</v>
      </c>
      <c r="CJ9" s="40">
        <v>0</v>
      </c>
      <c r="CK9" s="39">
        <v>6.2327035325110908E-3</v>
      </c>
      <c r="CL9" s="40">
        <v>4.8188698291821933E-3</v>
      </c>
      <c r="CM9" s="39">
        <v>4.8331456975401754E-2</v>
      </c>
      <c r="CN9" s="40">
        <v>4.339371743689218E-2</v>
      </c>
      <c r="CO9" s="39">
        <v>4.6447840535181036E-2</v>
      </c>
      <c r="CP9" s="40">
        <v>2.5816451582466239E-2</v>
      </c>
      <c r="CQ9" s="66">
        <v>3.6752386325422937E-2</v>
      </c>
      <c r="CS9" s="54" t="s">
        <v>1907</v>
      </c>
      <c r="CT9" s="39">
        <v>0</v>
      </c>
      <c r="CU9" s="40">
        <v>0</v>
      </c>
      <c r="CV9" s="39">
        <v>0.19048719943173875</v>
      </c>
      <c r="CW9" s="40">
        <v>0.12902150952692693</v>
      </c>
      <c r="CX9" s="39">
        <v>0.16302313989192954</v>
      </c>
      <c r="CY9" s="40">
        <v>0.14209841241912938</v>
      </c>
      <c r="CZ9" s="39">
        <v>0.49365022008560533</v>
      </c>
      <c r="DA9" s="40">
        <v>9.8186774651898234E-2</v>
      </c>
      <c r="DB9" s="39">
        <v>6.1567579827434611E-2</v>
      </c>
      <c r="DC9" s="38">
        <v>1.2780348358346627</v>
      </c>
      <c r="DE9" s="37" t="s">
        <v>1813</v>
      </c>
      <c r="DF9" s="35" t="str">
        <f t="shared" si="16"/>
        <v>INCOH</v>
      </c>
      <c r="DG9" s="26">
        <f t="shared" si="17"/>
        <v>0.16085723185265216</v>
      </c>
      <c r="DH9" s="25">
        <f t="shared" si="17"/>
        <v>0.44278584030561763</v>
      </c>
      <c r="DI9" s="24">
        <f t="shared" si="17"/>
        <v>2.1593078695080341</v>
      </c>
      <c r="DJ9" s="25">
        <f t="shared" si="17"/>
        <v>1.4625505634415852</v>
      </c>
      <c r="DK9" s="24">
        <f t="shared" si="17"/>
        <v>0.44351597368938994</v>
      </c>
      <c r="DL9" s="25">
        <f t="shared" si="17"/>
        <v>0.38658877375055772</v>
      </c>
      <c r="DM9" s="24">
        <f t="shared" si="17"/>
        <v>1.343010312329824</v>
      </c>
      <c r="DN9" s="25">
        <f t="shared" si="17"/>
        <v>0.44520676627078398</v>
      </c>
      <c r="DO9" s="32">
        <f t="shared" si="17"/>
        <v>0.27916492031913992</v>
      </c>
      <c r="DP9" s="26">
        <f t="shared" si="18"/>
        <v>1</v>
      </c>
      <c r="DQ9" s="25">
        <f t="shared" si="19"/>
        <v>7.7581753534048281E-2</v>
      </c>
      <c r="DR9" s="24">
        <f t="shared" si="20"/>
        <v>0.10286677908937605</v>
      </c>
      <c r="DS9" s="25">
        <f t="shared" si="21"/>
        <v>0.10286677908937605</v>
      </c>
      <c r="DT9" s="24">
        <f t="shared" si="22"/>
        <v>0.10286677908937605</v>
      </c>
      <c r="DU9" s="25">
        <f t="shared" si="23"/>
        <v>0.10286677908937607</v>
      </c>
      <c r="DV9" s="24">
        <f t="shared" si="24"/>
        <v>0.10286677908937605</v>
      </c>
      <c r="DW9" s="25">
        <f t="shared" si="25"/>
        <v>0.10286677908937605</v>
      </c>
      <c r="DX9" s="32">
        <f t="shared" si="26"/>
        <v>0.10286677908937607</v>
      </c>
      <c r="DZ9" s="54" t="s">
        <v>1907</v>
      </c>
      <c r="EA9" s="39">
        <v>0</v>
      </c>
      <c r="EB9" s="40">
        <v>0</v>
      </c>
      <c r="EC9" s="39">
        <v>0.67269814648255322</v>
      </c>
      <c r="ED9" s="40">
        <v>0.67269814648255311</v>
      </c>
      <c r="EE9" s="39">
        <v>5.4584076158323183E-2</v>
      </c>
      <c r="EF9" s="40">
        <v>5.4584076158323176E-2</v>
      </c>
      <c r="EG9" s="39">
        <v>5.4584076158323183E-2</v>
      </c>
      <c r="EH9" s="40">
        <v>0.89991859324804668</v>
      </c>
      <c r="EI9" s="66">
        <v>0.89991859324804679</v>
      </c>
      <c r="EK9" s="37" t="s">
        <v>2075</v>
      </c>
      <c r="EL9" s="37">
        <v>28</v>
      </c>
      <c r="EM9" s="35">
        <v>20</v>
      </c>
      <c r="EO9" s="83" t="s">
        <v>2250</v>
      </c>
      <c r="EP9" s="82" t="s">
        <v>440</v>
      </c>
      <c r="EQ9" s="81">
        <f t="shared" si="27"/>
        <v>0</v>
      </c>
      <c r="ER9" s="80">
        <f>EQ9/SUM(EQ8:EQ16)</f>
        <v>0</v>
      </c>
      <c r="ET9" s="75" t="s">
        <v>438</v>
      </c>
      <c r="EU9" s="72">
        <v>0</v>
      </c>
      <c r="EW9" s="37" t="s">
        <v>2250</v>
      </c>
      <c r="EX9" s="36" t="s">
        <v>2269</v>
      </c>
      <c r="EY9" s="36" t="s">
        <v>1145</v>
      </c>
      <c r="EZ9" s="1" t="s">
        <v>1945</v>
      </c>
      <c r="FA9" s="36" t="str">
        <f t="shared" si="28"/>
        <v>ICAFAC</v>
      </c>
      <c r="FB9" s="1" t="s">
        <v>518</v>
      </c>
      <c r="FC9" s="26">
        <f t="shared" si="29"/>
        <v>39.801248254623111</v>
      </c>
      <c r="FD9" s="25">
        <f t="shared" si="30"/>
        <v>0.19179703437799375</v>
      </c>
      <c r="FE9" s="24">
        <f t="shared" si="31"/>
        <v>4.8188698291821933E-3</v>
      </c>
      <c r="FF9" s="36">
        <v>0</v>
      </c>
      <c r="FG9" s="86">
        <f t="shared" si="32"/>
        <v>0</v>
      </c>
      <c r="FI9" s="54" t="s">
        <v>2188</v>
      </c>
      <c r="FJ9" s="39">
        <v>0</v>
      </c>
      <c r="FK9" s="40">
        <v>0</v>
      </c>
      <c r="FL9" s="39">
        <v>0</v>
      </c>
      <c r="FM9" s="40">
        <v>0</v>
      </c>
      <c r="FN9" s="24">
        <v>6.4592121679766024E-2</v>
      </c>
      <c r="FO9" s="25">
        <v>0.6505523041031438</v>
      </c>
      <c r="FP9" s="24">
        <v>6.2730208883522209E-2</v>
      </c>
      <c r="FQ9" s="25">
        <v>7.9818174451546042E-2</v>
      </c>
      <c r="FR9" s="117">
        <v>7.7045683602293025E-2</v>
      </c>
      <c r="FS9" s="32">
        <v>0.9347384927202711</v>
      </c>
    </row>
    <row r="10" spans="1:175">
      <c r="A10" s="37" t="s">
        <v>2250</v>
      </c>
      <c r="B10" s="36" t="s">
        <v>1145</v>
      </c>
      <c r="C10" s="1" t="s">
        <v>665</v>
      </c>
      <c r="D10" s="36" t="s">
        <v>665</v>
      </c>
      <c r="E10" s="36" t="s">
        <v>2283</v>
      </c>
      <c r="F10" s="1" t="e">
        <f t="shared" ca="1" si="2"/>
        <v>#NAME?</v>
      </c>
      <c r="G10" s="35" t="s">
        <v>1121</v>
      </c>
      <c r="H10" s="43">
        <v>1</v>
      </c>
      <c r="I10" s="42">
        <v>0</v>
      </c>
      <c r="J10" s="26">
        <v>6.2775524851066827E-2</v>
      </c>
      <c r="K10" s="25">
        <v>0.12691047509344414</v>
      </c>
      <c r="L10" s="24"/>
      <c r="M10" s="25"/>
      <c r="N10" s="24"/>
      <c r="O10" s="25"/>
      <c r="P10" s="24"/>
      <c r="Q10" s="25"/>
      <c r="R10" s="32"/>
      <c r="S10" s="47">
        <v>1</v>
      </c>
      <c r="T10" s="45">
        <v>1</v>
      </c>
      <c r="U10" s="46">
        <v>1</v>
      </c>
      <c r="V10" s="45">
        <v>1</v>
      </c>
      <c r="W10" s="46">
        <v>1</v>
      </c>
      <c r="X10" s="45">
        <v>1</v>
      </c>
      <c r="Y10" s="46">
        <v>1</v>
      </c>
      <c r="Z10" s="45">
        <v>1</v>
      </c>
      <c r="AA10" s="44">
        <v>1</v>
      </c>
      <c r="AB10" s="26">
        <f t="shared" si="3"/>
        <v>6.2775524851066827E-2</v>
      </c>
      <c r="AC10" s="25">
        <f t="shared" si="4"/>
        <v>0.12691047509344414</v>
      </c>
      <c r="AD10" s="24">
        <f t="shared" si="5"/>
        <v>0</v>
      </c>
      <c r="AE10" s="25">
        <f t="shared" si="6"/>
        <v>0</v>
      </c>
      <c r="AF10" s="24">
        <f t="shared" si="7"/>
        <v>0</v>
      </c>
      <c r="AG10" s="25">
        <f t="shared" si="8"/>
        <v>0</v>
      </c>
      <c r="AH10" s="24">
        <f t="shared" si="9"/>
        <v>0</v>
      </c>
      <c r="AI10" s="25">
        <f t="shared" si="10"/>
        <v>0</v>
      </c>
      <c r="AJ10" s="24">
        <f t="shared" si="11"/>
        <v>0</v>
      </c>
      <c r="AK10" s="27">
        <f t="shared" si="12"/>
        <v>0.18968599994451096</v>
      </c>
      <c r="AL10" s="41">
        <v>0</v>
      </c>
      <c r="AM10" s="40">
        <v>0</v>
      </c>
      <c r="AN10" s="39">
        <v>0</v>
      </c>
      <c r="AO10" s="40">
        <v>0</v>
      </c>
      <c r="AP10" s="39">
        <v>0</v>
      </c>
      <c r="AQ10" s="40">
        <v>0</v>
      </c>
      <c r="AR10" s="39">
        <v>0</v>
      </c>
      <c r="AS10" s="40">
        <v>0</v>
      </c>
      <c r="AT10" s="39">
        <v>0</v>
      </c>
      <c r="AU10" s="38">
        <v>0</v>
      </c>
      <c r="AW10" s="104" t="s">
        <v>1139</v>
      </c>
      <c r="AX10" s="41">
        <v>0</v>
      </c>
      <c r="AY10" s="40">
        <v>0</v>
      </c>
      <c r="AZ10" s="39">
        <v>29.234538298163798</v>
      </c>
      <c r="BA10" s="40">
        <v>19.801247920091914</v>
      </c>
      <c r="BB10" s="39">
        <v>39.00397483585008</v>
      </c>
      <c r="BC10" s="40">
        <v>33.99764540104006</v>
      </c>
      <c r="BD10" s="39">
        <v>118.10790035509548</v>
      </c>
      <c r="BE10" s="40">
        <v>0</v>
      </c>
      <c r="BF10" s="39">
        <v>0</v>
      </c>
      <c r="BG10" s="81">
        <v>240.14530681024135</v>
      </c>
      <c r="BH10" s="66">
        <v>0</v>
      </c>
      <c r="BJ10" s="37" t="s">
        <v>2250</v>
      </c>
      <c r="BK10" s="36" t="s">
        <v>2269</v>
      </c>
      <c r="BL10" s="1" t="s">
        <v>1139</v>
      </c>
      <c r="BM10" s="36" t="s">
        <v>1943</v>
      </c>
      <c r="BN10" s="82" t="str">
        <f t="shared" si="13"/>
        <v>ICAFEED</v>
      </c>
      <c r="BO10" s="26">
        <f t="shared" si="14"/>
        <v>0</v>
      </c>
      <c r="BP10" s="25">
        <f t="shared" si="14"/>
        <v>0</v>
      </c>
      <c r="BQ10" s="24">
        <f t="shared" si="14"/>
        <v>29.234538298163798</v>
      </c>
      <c r="BR10" s="25">
        <f t="shared" si="14"/>
        <v>19.801247920091914</v>
      </c>
      <c r="BS10" s="24">
        <f t="shared" si="14"/>
        <v>39.00397483585008</v>
      </c>
      <c r="BT10" s="25">
        <f t="shared" si="14"/>
        <v>33.99764540104006</v>
      </c>
      <c r="BU10" s="24">
        <f t="shared" si="14"/>
        <v>118.10790035509548</v>
      </c>
      <c r="BV10" s="25">
        <f t="shared" si="14"/>
        <v>0</v>
      </c>
      <c r="BW10" s="32">
        <f t="shared" si="14"/>
        <v>0</v>
      </c>
      <c r="BX10" s="26">
        <v>0</v>
      </c>
      <c r="BY10" s="25">
        <v>0</v>
      </c>
      <c r="BZ10" s="24">
        <f t="shared" ref="BZ10:CF10" si="34">BQ10/BQ15</f>
        <v>0.64346828020530167</v>
      </c>
      <c r="CA10" s="25">
        <f t="shared" si="34"/>
        <v>0.49750318867931237</v>
      </c>
      <c r="CB10" s="24">
        <f t="shared" si="34"/>
        <v>0.63118325043188994</v>
      </c>
      <c r="CC10" s="25">
        <f t="shared" si="34"/>
        <v>0.566698985178129</v>
      </c>
      <c r="CD10" s="24">
        <f t="shared" si="34"/>
        <v>0.60658421655814287</v>
      </c>
      <c r="CE10" s="25">
        <f t="shared" si="34"/>
        <v>0</v>
      </c>
      <c r="CF10" s="32">
        <f t="shared" si="34"/>
        <v>0</v>
      </c>
      <c r="CH10" s="54" t="s">
        <v>2282</v>
      </c>
      <c r="CI10" s="41">
        <v>0</v>
      </c>
      <c r="CJ10" s="40">
        <v>0</v>
      </c>
      <c r="CK10" s="39">
        <v>0.64346828020530167</v>
      </c>
      <c r="CL10" s="40">
        <v>0.49750318867931237</v>
      </c>
      <c r="CM10" s="39">
        <v>0.63118325043188994</v>
      </c>
      <c r="CN10" s="40">
        <v>0.566698985178129</v>
      </c>
      <c r="CO10" s="39">
        <v>0.60658421655814287</v>
      </c>
      <c r="CP10" s="40">
        <v>0</v>
      </c>
      <c r="CQ10" s="66">
        <v>0</v>
      </c>
      <c r="CS10" s="54" t="s">
        <v>1904</v>
      </c>
      <c r="CT10" s="39">
        <v>0</v>
      </c>
      <c r="CU10" s="40">
        <v>0</v>
      </c>
      <c r="CV10" s="39">
        <v>9.2681708387868489E-2</v>
      </c>
      <c r="CW10" s="40">
        <v>6.2775524851066827E-2</v>
      </c>
      <c r="CX10" s="39">
        <v>0.12691047509344414</v>
      </c>
      <c r="CY10" s="40">
        <v>0.11062096486480834</v>
      </c>
      <c r="CZ10" s="39">
        <v>0.38429749299748883</v>
      </c>
      <c r="DA10" s="40">
        <v>1.0919510503868942E-2</v>
      </c>
      <c r="DB10" s="39">
        <v>6.8470304377236668E-3</v>
      </c>
      <c r="DC10" s="38">
        <v>0.79505270713626919</v>
      </c>
      <c r="DE10" s="37" t="s">
        <v>1811</v>
      </c>
      <c r="DF10" s="35" t="str">
        <f t="shared" si="16"/>
        <v>INCOH</v>
      </c>
      <c r="DG10" s="26">
        <f t="shared" si="17"/>
        <v>0</v>
      </c>
      <c r="DH10" s="25">
        <f t="shared" si="17"/>
        <v>5.2645592522655669</v>
      </c>
      <c r="DI10" s="24">
        <f t="shared" si="17"/>
        <v>18.831996501283182</v>
      </c>
      <c r="DJ10" s="25">
        <f t="shared" si="17"/>
        <v>12.755359012310219</v>
      </c>
      <c r="DK10" s="24">
        <f t="shared" si="17"/>
        <v>3.8680409508648435</v>
      </c>
      <c r="DL10" s="25">
        <f t="shared" si="17"/>
        <v>3.3715611087753556</v>
      </c>
      <c r="DM10" s="24">
        <f t="shared" si="17"/>
        <v>11.712811248515843</v>
      </c>
      <c r="DN10" s="25">
        <f t="shared" si="17"/>
        <v>3.8827868796074929</v>
      </c>
      <c r="DO10" s="32">
        <f t="shared" si="17"/>
        <v>2.4346842231111872</v>
      </c>
      <c r="DP10" s="26">
        <f t="shared" si="18"/>
        <v>0</v>
      </c>
      <c r="DQ10" s="25">
        <f t="shared" si="19"/>
        <v>0.92241824646595172</v>
      </c>
      <c r="DR10" s="24">
        <f t="shared" si="20"/>
        <v>0.89713322091062397</v>
      </c>
      <c r="DS10" s="25">
        <f t="shared" si="21"/>
        <v>0.89713322091062397</v>
      </c>
      <c r="DT10" s="24">
        <f t="shared" si="22"/>
        <v>0.89713322091062386</v>
      </c>
      <c r="DU10" s="25">
        <f t="shared" si="23"/>
        <v>0.89713322091062397</v>
      </c>
      <c r="DV10" s="24">
        <f t="shared" si="24"/>
        <v>0.89713322091062397</v>
      </c>
      <c r="DW10" s="25">
        <f t="shared" si="25"/>
        <v>0.89713322091062386</v>
      </c>
      <c r="DX10" s="32">
        <f t="shared" si="26"/>
        <v>0.89713322091062397</v>
      </c>
      <c r="DZ10" s="54" t="s">
        <v>1904</v>
      </c>
      <c r="EA10" s="39">
        <v>0</v>
      </c>
      <c r="EB10" s="40">
        <v>0</v>
      </c>
      <c r="EC10" s="39">
        <v>0.32730185351744684</v>
      </c>
      <c r="ED10" s="40">
        <v>0.32730185351744684</v>
      </c>
      <c r="EE10" s="39">
        <v>4.2492685654206733E-2</v>
      </c>
      <c r="EF10" s="40">
        <v>4.2492685654206733E-2</v>
      </c>
      <c r="EG10" s="39">
        <v>4.249268565420674E-2</v>
      </c>
      <c r="EH10" s="40">
        <v>0.10008140675195333</v>
      </c>
      <c r="EI10" s="66">
        <v>0.10008140675195333</v>
      </c>
      <c r="EK10" s="37" t="s">
        <v>1353</v>
      </c>
      <c r="EL10" s="37">
        <v>32</v>
      </c>
      <c r="EM10" s="35">
        <v>23</v>
      </c>
      <c r="EO10" s="83" t="s">
        <v>2250</v>
      </c>
      <c r="EP10" s="82" t="s">
        <v>439</v>
      </c>
      <c r="EQ10" s="81">
        <f t="shared" si="27"/>
        <v>45.432757445069981</v>
      </c>
      <c r="ER10" s="80">
        <f>EQ10/SUM(EQ8:EQ16)</f>
        <v>0.11140422373102106</v>
      </c>
      <c r="ET10" s="75" t="s">
        <v>440</v>
      </c>
      <c r="EU10" s="72">
        <v>0</v>
      </c>
      <c r="EW10" s="37" t="s">
        <v>2250</v>
      </c>
      <c r="EX10" s="36" t="s">
        <v>2269</v>
      </c>
      <c r="EY10" s="36" t="s">
        <v>1107</v>
      </c>
      <c r="EZ10" s="1" t="s">
        <v>1937</v>
      </c>
      <c r="FA10" s="36" t="str">
        <f t="shared" si="28"/>
        <v>ICASTM</v>
      </c>
      <c r="FB10" s="1" t="s">
        <v>517</v>
      </c>
      <c r="FC10" s="26">
        <f t="shared" si="29"/>
        <v>61.79500930856679</v>
      </c>
      <c r="FD10" s="25">
        <f t="shared" si="30"/>
        <v>0.91713297987527909</v>
      </c>
      <c r="FE10" s="24">
        <f t="shared" si="31"/>
        <v>1.4841538016373997E-2</v>
      </c>
      <c r="FF10" s="36">
        <v>0</v>
      </c>
      <c r="FG10" s="86">
        <f t="shared" si="32"/>
        <v>0</v>
      </c>
      <c r="FI10" s="54" t="s">
        <v>2168</v>
      </c>
      <c r="FJ10" s="39">
        <v>0</v>
      </c>
      <c r="FK10" s="40">
        <v>0</v>
      </c>
      <c r="FL10" s="24">
        <v>0.55714856627434983</v>
      </c>
      <c r="FM10" s="40">
        <v>0</v>
      </c>
      <c r="FN10" s="24">
        <v>0.80380032599339302</v>
      </c>
      <c r="FO10" s="25">
        <v>0.80056718798448401</v>
      </c>
      <c r="FP10" s="24">
        <v>4.8401814194860435</v>
      </c>
      <c r="FQ10" s="40">
        <v>0</v>
      </c>
      <c r="FR10" s="113">
        <v>0</v>
      </c>
      <c r="FS10" s="32">
        <v>7.0016974997382704</v>
      </c>
    </row>
    <row r="11" spans="1:175">
      <c r="A11" s="37" t="s">
        <v>2250</v>
      </c>
      <c r="B11" s="36" t="s">
        <v>1139</v>
      </c>
      <c r="C11" s="1" t="s">
        <v>665</v>
      </c>
      <c r="D11" s="36" t="s">
        <v>665</v>
      </c>
      <c r="E11" s="36" t="s">
        <v>2281</v>
      </c>
      <c r="F11" s="1" t="e">
        <f t="shared" ca="1" si="2"/>
        <v>#NAME?</v>
      </c>
      <c r="G11" s="35" t="s">
        <v>1121</v>
      </c>
      <c r="H11" s="43">
        <v>1</v>
      </c>
      <c r="I11" s="42">
        <v>0</v>
      </c>
      <c r="J11" s="26">
        <v>18.722286790148743</v>
      </c>
      <c r="K11" s="25">
        <v>39.00397483585008</v>
      </c>
      <c r="L11" s="24"/>
      <c r="M11" s="25"/>
      <c r="N11" s="24"/>
      <c r="O11" s="25"/>
      <c r="P11" s="24"/>
      <c r="Q11" s="25"/>
      <c r="R11" s="32"/>
      <c r="S11" s="47">
        <v>1</v>
      </c>
      <c r="T11" s="45">
        <v>1</v>
      </c>
      <c r="U11" s="46">
        <v>1</v>
      </c>
      <c r="V11" s="45">
        <v>1</v>
      </c>
      <c r="W11" s="46">
        <v>1</v>
      </c>
      <c r="X11" s="45">
        <v>1</v>
      </c>
      <c r="Y11" s="46">
        <v>1</v>
      </c>
      <c r="Z11" s="45">
        <v>1</v>
      </c>
      <c r="AA11" s="44">
        <v>1</v>
      </c>
      <c r="AB11" s="26">
        <f t="shared" si="3"/>
        <v>18.722286790148743</v>
      </c>
      <c r="AC11" s="25">
        <f t="shared" si="4"/>
        <v>39.00397483585008</v>
      </c>
      <c r="AD11" s="24">
        <f t="shared" si="5"/>
        <v>0</v>
      </c>
      <c r="AE11" s="25">
        <f t="shared" si="6"/>
        <v>0</v>
      </c>
      <c r="AF11" s="24">
        <f t="shared" si="7"/>
        <v>0</v>
      </c>
      <c r="AG11" s="25">
        <f t="shared" si="8"/>
        <v>0</v>
      </c>
      <c r="AH11" s="24">
        <f t="shared" si="9"/>
        <v>0</v>
      </c>
      <c r="AI11" s="25">
        <f t="shared" si="10"/>
        <v>0</v>
      </c>
      <c r="AJ11" s="24">
        <f t="shared" si="11"/>
        <v>0</v>
      </c>
      <c r="AK11" s="27">
        <f t="shared" si="12"/>
        <v>57.726261625998823</v>
      </c>
      <c r="AL11" s="41">
        <v>0</v>
      </c>
      <c r="AM11" s="40">
        <v>0</v>
      </c>
      <c r="AN11" s="39">
        <v>0</v>
      </c>
      <c r="AO11" s="40">
        <v>0</v>
      </c>
      <c r="AP11" s="39">
        <v>0</v>
      </c>
      <c r="AQ11" s="40">
        <v>0</v>
      </c>
      <c r="AR11" s="39">
        <v>0</v>
      </c>
      <c r="AS11" s="40">
        <v>0</v>
      </c>
      <c r="AT11" s="39">
        <v>0</v>
      </c>
      <c r="AU11" s="38">
        <v>0</v>
      </c>
      <c r="AW11" s="104" t="s">
        <v>1136</v>
      </c>
      <c r="AX11" s="41">
        <v>0</v>
      </c>
      <c r="AY11" s="40">
        <v>0</v>
      </c>
      <c r="AZ11" s="39">
        <v>2.9448659172079479</v>
      </c>
      <c r="BA11" s="40">
        <v>1.9946277079301775</v>
      </c>
      <c r="BB11" s="39">
        <v>2.6630553837673459</v>
      </c>
      <c r="BC11" s="40">
        <v>2.3212406684622362</v>
      </c>
      <c r="BD11" s="39">
        <v>8.063995560190941</v>
      </c>
      <c r="BE11" s="40">
        <v>1.407373376638182</v>
      </c>
      <c r="BF11" s="39">
        <v>0.88248720889725552</v>
      </c>
      <c r="BG11" s="81">
        <v>20.277645823094087</v>
      </c>
      <c r="BH11" s="66">
        <v>0</v>
      </c>
      <c r="BJ11" s="37" t="s">
        <v>2250</v>
      </c>
      <c r="BK11" s="36" t="s">
        <v>2269</v>
      </c>
      <c r="BL11" s="1" t="s">
        <v>1136</v>
      </c>
      <c r="BM11" s="36" t="s">
        <v>1941</v>
      </c>
      <c r="BN11" s="82" t="str">
        <f t="shared" si="13"/>
        <v>ICAMDR</v>
      </c>
      <c r="BO11" s="26">
        <f t="shared" si="14"/>
        <v>0</v>
      </c>
      <c r="BP11" s="25">
        <f t="shared" si="14"/>
        <v>0</v>
      </c>
      <c r="BQ11" s="24">
        <f t="shared" si="14"/>
        <v>2.9448659172079479</v>
      </c>
      <c r="BR11" s="25">
        <f t="shared" si="14"/>
        <v>1.9946277079301775</v>
      </c>
      <c r="BS11" s="24">
        <f t="shared" si="14"/>
        <v>2.6630553837673459</v>
      </c>
      <c r="BT11" s="25">
        <f t="shared" si="14"/>
        <v>2.3212406684622362</v>
      </c>
      <c r="BU11" s="24">
        <f t="shared" si="14"/>
        <v>8.063995560190941</v>
      </c>
      <c r="BV11" s="25">
        <f t="shared" si="14"/>
        <v>1.407373376638182</v>
      </c>
      <c r="BW11" s="32">
        <f t="shared" si="14"/>
        <v>0.88248720889725552</v>
      </c>
      <c r="BX11" s="26">
        <v>0</v>
      </c>
      <c r="BY11" s="25">
        <v>0</v>
      </c>
      <c r="BZ11" s="24">
        <f t="shared" ref="BZ11:CF11" si="35">BQ11/BQ15</f>
        <v>6.4818119850383465E-2</v>
      </c>
      <c r="CA11" s="25">
        <f t="shared" si="35"/>
        <v>5.0114702312093737E-2</v>
      </c>
      <c r="CB11" s="24">
        <f t="shared" si="35"/>
        <v>4.3094991222829386E-2</v>
      </c>
      <c r="CC11" s="25">
        <f t="shared" si="35"/>
        <v>3.8692230466393092E-2</v>
      </c>
      <c r="CD11" s="24">
        <f t="shared" si="35"/>
        <v>4.141545497380212E-2</v>
      </c>
      <c r="CE11" s="25">
        <f t="shared" si="35"/>
        <v>0.33300910744564127</v>
      </c>
      <c r="CF11" s="32">
        <f t="shared" si="35"/>
        <v>0.47407287278158577</v>
      </c>
      <c r="CH11" s="54" t="s">
        <v>2280</v>
      </c>
      <c r="CI11" s="41">
        <v>0</v>
      </c>
      <c r="CJ11" s="40">
        <v>0</v>
      </c>
      <c r="CK11" s="39">
        <v>6.4818119850383465E-2</v>
      </c>
      <c r="CL11" s="40">
        <v>5.0114702312093737E-2</v>
      </c>
      <c r="CM11" s="39">
        <v>4.3094991222829386E-2</v>
      </c>
      <c r="CN11" s="40">
        <v>3.8692230466393092E-2</v>
      </c>
      <c r="CO11" s="39">
        <v>4.141545497380212E-2</v>
      </c>
      <c r="CP11" s="40">
        <v>0.33300910744564127</v>
      </c>
      <c r="CQ11" s="66">
        <v>0.47407287278158577</v>
      </c>
      <c r="CS11" s="54" t="s">
        <v>1808</v>
      </c>
      <c r="CT11" s="39">
        <v>0</v>
      </c>
      <c r="CU11" s="40">
        <v>0</v>
      </c>
      <c r="CV11" s="39">
        <v>27.641561400806346</v>
      </c>
      <c r="CW11" s="40">
        <v>18.722286790148743</v>
      </c>
      <c r="CX11" s="39">
        <v>39.00397483585008</v>
      </c>
      <c r="CY11" s="40">
        <v>33.99764540104006</v>
      </c>
      <c r="CZ11" s="39">
        <v>118.10790035509548</v>
      </c>
      <c r="DA11" s="40">
        <v>0</v>
      </c>
      <c r="DB11" s="39">
        <v>0</v>
      </c>
      <c r="DC11" s="38">
        <v>237.47336878294072</v>
      </c>
      <c r="DE11" s="37" t="s">
        <v>2018</v>
      </c>
      <c r="DF11" s="35" t="str">
        <f t="shared" si="16"/>
        <v>IFDOH</v>
      </c>
      <c r="DG11" s="26">
        <f t="shared" si="17"/>
        <v>6.945642626533291E-2</v>
      </c>
      <c r="DH11" s="25">
        <f t="shared" si="17"/>
        <v>0.19119017351170173</v>
      </c>
      <c r="DI11" s="24">
        <f t="shared" si="17"/>
        <v>0.15539432710535508</v>
      </c>
      <c r="DJ11" s="25">
        <f t="shared" si="17"/>
        <v>0.10525227267167958</v>
      </c>
      <c r="DK11" s="24">
        <f t="shared" si="17"/>
        <v>0.10639190959468799</v>
      </c>
      <c r="DL11" s="25">
        <f t="shared" si="17"/>
        <v>9.2736046291751764E-2</v>
      </c>
      <c r="DM11" s="24">
        <f t="shared" si="17"/>
        <v>0.32216524366762961</v>
      </c>
      <c r="DN11" s="25">
        <f t="shared" si="17"/>
        <v>0.58738626026710739</v>
      </c>
      <c r="DO11" s="32">
        <f t="shared" si="17"/>
        <v>0.3683179389153533</v>
      </c>
      <c r="DP11" s="26">
        <f t="shared" si="18"/>
        <v>0.11882275445893777</v>
      </c>
      <c r="DQ11" s="25">
        <f t="shared" si="19"/>
        <v>0.13148637144937569</v>
      </c>
      <c r="DR11" s="24">
        <f t="shared" si="20"/>
        <v>1.2023187733122255E-2</v>
      </c>
      <c r="DS11" s="25">
        <f t="shared" si="21"/>
        <v>1.3751338441226552E-2</v>
      </c>
      <c r="DT11" s="24">
        <f t="shared" si="22"/>
        <v>3.0727200145896871E-2</v>
      </c>
      <c r="DU11" s="25">
        <f t="shared" si="23"/>
        <v>3.7954893248665085E-2</v>
      </c>
      <c r="DV11" s="24">
        <f t="shared" si="24"/>
        <v>3.1419423967828597E-2</v>
      </c>
      <c r="DW11" s="25">
        <f t="shared" si="25"/>
        <v>0.1130721310747199</v>
      </c>
      <c r="DX11" s="32">
        <f t="shared" si="26"/>
        <v>0.14882417066258122</v>
      </c>
      <c r="DZ11" s="54" t="s">
        <v>1808</v>
      </c>
      <c r="EA11" s="39">
        <v>0</v>
      </c>
      <c r="EB11" s="40">
        <v>0</v>
      </c>
      <c r="EC11" s="39">
        <v>0.94551044791230698</v>
      </c>
      <c r="ED11" s="40">
        <v>0.94551044791230698</v>
      </c>
      <c r="EE11" s="39">
        <v>1</v>
      </c>
      <c r="EF11" s="40">
        <v>1</v>
      </c>
      <c r="EG11" s="39">
        <v>1</v>
      </c>
      <c r="EH11" s="40">
        <v>0</v>
      </c>
      <c r="EI11" s="66">
        <v>0</v>
      </c>
      <c r="EK11" s="37" t="s">
        <v>2279</v>
      </c>
      <c r="EL11" s="37">
        <v>10</v>
      </c>
      <c r="EM11" s="35">
        <v>36</v>
      </c>
      <c r="EO11" s="83" t="s">
        <v>2250</v>
      </c>
      <c r="EP11" s="82" t="s">
        <v>518</v>
      </c>
      <c r="EQ11" s="81">
        <f t="shared" si="27"/>
        <v>39.801248254623111</v>
      </c>
      <c r="ER11" s="80">
        <f>EQ11/SUM(EQ8:EQ16)</f>
        <v>9.759537863606145E-2</v>
      </c>
      <c r="ET11" s="75" t="s">
        <v>439</v>
      </c>
      <c r="EU11" s="72">
        <v>0.11140422373102106</v>
      </c>
      <c r="EW11" s="37" t="s">
        <v>2250</v>
      </c>
      <c r="EX11" s="36" t="s">
        <v>2269</v>
      </c>
      <c r="EY11" s="36" t="s">
        <v>1136</v>
      </c>
      <c r="EZ11" s="1" t="s">
        <v>1941</v>
      </c>
      <c r="FA11" s="36" t="str">
        <f t="shared" si="28"/>
        <v>ICAMDR</v>
      </c>
      <c r="FB11" s="1" t="s">
        <v>519</v>
      </c>
      <c r="FC11" s="26">
        <f t="shared" si="29"/>
        <v>59.992423297447175</v>
      </c>
      <c r="FD11" s="25">
        <f t="shared" si="30"/>
        <v>2.3212406684622362</v>
      </c>
      <c r="FE11" s="24">
        <f t="shared" si="31"/>
        <v>3.8692230466393092E-2</v>
      </c>
      <c r="FF11" s="36">
        <v>0</v>
      </c>
      <c r="FG11" s="86">
        <f t="shared" si="32"/>
        <v>0</v>
      </c>
      <c r="FI11" s="54" t="s">
        <v>1983</v>
      </c>
      <c r="FJ11" s="39">
        <v>0</v>
      </c>
      <c r="FK11" s="40">
        <v>0</v>
      </c>
      <c r="FL11" s="39">
        <v>0</v>
      </c>
      <c r="FM11" s="40">
        <v>0</v>
      </c>
      <c r="FN11" s="24">
        <v>2.5857732655737209E-2</v>
      </c>
      <c r="FO11" s="25">
        <v>2.6692934217038555E-2</v>
      </c>
      <c r="FP11" s="24">
        <v>2.5785168422430615E-2</v>
      </c>
      <c r="FQ11" s="40">
        <v>0</v>
      </c>
      <c r="FR11" s="113">
        <v>0</v>
      </c>
      <c r="FS11" s="32">
        <v>7.833583529520638E-2</v>
      </c>
    </row>
    <row r="12" spans="1:175">
      <c r="A12" s="37" t="s">
        <v>2250</v>
      </c>
      <c r="B12" s="36" t="s">
        <v>1139</v>
      </c>
      <c r="C12" s="1" t="s">
        <v>1274</v>
      </c>
      <c r="D12" s="36" t="s">
        <v>1274</v>
      </c>
      <c r="E12" s="36" t="s">
        <v>2278</v>
      </c>
      <c r="F12" s="1" t="e">
        <f t="shared" ca="1" si="2"/>
        <v>#NAME?</v>
      </c>
      <c r="G12" s="35" t="s">
        <v>1121</v>
      </c>
      <c r="H12" s="43">
        <v>1</v>
      </c>
      <c r="I12" s="42">
        <v>0</v>
      </c>
      <c r="J12" s="26">
        <v>1.0789611299431703</v>
      </c>
      <c r="K12" s="25">
        <v>0</v>
      </c>
      <c r="L12" s="24"/>
      <c r="M12" s="25"/>
      <c r="N12" s="24"/>
      <c r="O12" s="25"/>
      <c r="P12" s="24"/>
      <c r="Q12" s="25"/>
      <c r="R12" s="32"/>
      <c r="S12" s="47">
        <v>1</v>
      </c>
      <c r="T12" s="45">
        <v>1</v>
      </c>
      <c r="U12" s="46">
        <v>1</v>
      </c>
      <c r="V12" s="45">
        <v>1</v>
      </c>
      <c r="W12" s="46">
        <v>1</v>
      </c>
      <c r="X12" s="45">
        <v>1</v>
      </c>
      <c r="Y12" s="46">
        <v>1</v>
      </c>
      <c r="Z12" s="45">
        <v>1</v>
      </c>
      <c r="AA12" s="44">
        <v>1</v>
      </c>
      <c r="AB12" s="26">
        <f t="shared" si="3"/>
        <v>1.0789611299431703</v>
      </c>
      <c r="AC12" s="25">
        <f t="shared" si="4"/>
        <v>0</v>
      </c>
      <c r="AD12" s="24">
        <f t="shared" si="5"/>
        <v>0</v>
      </c>
      <c r="AE12" s="25">
        <f t="shared" si="6"/>
        <v>0</v>
      </c>
      <c r="AF12" s="24">
        <f t="shared" si="7"/>
        <v>0</v>
      </c>
      <c r="AG12" s="25">
        <f t="shared" si="8"/>
        <v>0</v>
      </c>
      <c r="AH12" s="24">
        <f t="shared" si="9"/>
        <v>0</v>
      </c>
      <c r="AI12" s="25">
        <f t="shared" si="10"/>
        <v>0</v>
      </c>
      <c r="AJ12" s="24">
        <f t="shared" si="11"/>
        <v>0</v>
      </c>
      <c r="AK12" s="27">
        <f t="shared" si="12"/>
        <v>1.0789611299431703</v>
      </c>
      <c r="AL12" s="41">
        <v>0</v>
      </c>
      <c r="AM12" s="40">
        <v>0</v>
      </c>
      <c r="AN12" s="39">
        <v>0</v>
      </c>
      <c r="AO12" s="40">
        <v>0</v>
      </c>
      <c r="AP12" s="39">
        <v>0</v>
      </c>
      <c r="AQ12" s="40">
        <v>0</v>
      </c>
      <c r="AR12" s="39">
        <v>0</v>
      </c>
      <c r="AS12" s="40">
        <v>0</v>
      </c>
      <c r="AT12" s="39">
        <v>0</v>
      </c>
      <c r="AU12" s="38">
        <v>0</v>
      </c>
      <c r="AW12" s="104" t="s">
        <v>1129</v>
      </c>
      <c r="AX12" s="41">
        <v>0</v>
      </c>
      <c r="AY12" s="40">
        <v>0</v>
      </c>
      <c r="AZ12" s="39">
        <v>0.36588093453079751</v>
      </c>
      <c r="BA12" s="40">
        <v>0.24781985677311991</v>
      </c>
      <c r="BB12" s="39">
        <v>0</v>
      </c>
      <c r="BC12" s="40">
        <v>0</v>
      </c>
      <c r="BD12" s="39">
        <v>0</v>
      </c>
      <c r="BE12" s="40">
        <v>0</v>
      </c>
      <c r="BF12" s="39">
        <v>0</v>
      </c>
      <c r="BG12" s="81">
        <v>0.61370079130391741</v>
      </c>
      <c r="BH12" s="66">
        <v>0</v>
      </c>
      <c r="BJ12" s="37" t="s">
        <v>2250</v>
      </c>
      <c r="BK12" s="36" t="s">
        <v>2269</v>
      </c>
      <c r="BL12" s="1" t="s">
        <v>1129</v>
      </c>
      <c r="BM12" s="36" t="s">
        <v>1910</v>
      </c>
      <c r="BN12" s="82" t="str">
        <f t="shared" si="13"/>
        <v>ICAOHT</v>
      </c>
      <c r="BO12" s="26">
        <f t="shared" si="14"/>
        <v>0</v>
      </c>
      <c r="BP12" s="25">
        <f t="shared" si="14"/>
        <v>0</v>
      </c>
      <c r="BQ12" s="24">
        <f t="shared" si="14"/>
        <v>0.36588093453079751</v>
      </c>
      <c r="BR12" s="25">
        <f t="shared" si="14"/>
        <v>0.24781985677311991</v>
      </c>
      <c r="BS12" s="24">
        <f t="shared" si="14"/>
        <v>0</v>
      </c>
      <c r="BT12" s="25">
        <f t="shared" si="14"/>
        <v>0</v>
      </c>
      <c r="BU12" s="24">
        <f t="shared" si="14"/>
        <v>0</v>
      </c>
      <c r="BV12" s="25">
        <f t="shared" si="14"/>
        <v>0</v>
      </c>
      <c r="BW12" s="32">
        <f t="shared" si="14"/>
        <v>0</v>
      </c>
      <c r="BX12" s="26">
        <v>0</v>
      </c>
      <c r="BY12" s="25">
        <v>0</v>
      </c>
      <c r="BZ12" s="24">
        <f t="shared" ref="BZ12:CF12" si="36">BQ12/BQ15</f>
        <v>8.0532407695738523E-3</v>
      </c>
      <c r="CA12" s="25">
        <f t="shared" si="36"/>
        <v>6.2264342863752875E-3</v>
      </c>
      <c r="CB12" s="24">
        <f t="shared" si="36"/>
        <v>0</v>
      </c>
      <c r="CC12" s="25">
        <f t="shared" si="36"/>
        <v>0</v>
      </c>
      <c r="CD12" s="24">
        <f t="shared" si="36"/>
        <v>0</v>
      </c>
      <c r="CE12" s="25">
        <f t="shared" si="36"/>
        <v>0</v>
      </c>
      <c r="CF12" s="32">
        <f t="shared" si="36"/>
        <v>0</v>
      </c>
      <c r="CH12" s="54" t="s">
        <v>2277</v>
      </c>
      <c r="CI12" s="41">
        <v>0</v>
      </c>
      <c r="CJ12" s="40">
        <v>0</v>
      </c>
      <c r="CK12" s="39">
        <v>8.0532407695738523E-3</v>
      </c>
      <c r="CL12" s="40">
        <v>6.2264342863752875E-3</v>
      </c>
      <c r="CM12" s="39">
        <v>0</v>
      </c>
      <c r="CN12" s="40">
        <v>0</v>
      </c>
      <c r="CO12" s="39">
        <v>0</v>
      </c>
      <c r="CP12" s="40">
        <v>0</v>
      </c>
      <c r="CQ12" s="66">
        <v>0</v>
      </c>
      <c r="CS12" s="54" t="s">
        <v>1806</v>
      </c>
      <c r="CT12" s="39">
        <v>0</v>
      </c>
      <c r="CU12" s="40">
        <v>0</v>
      </c>
      <c r="CV12" s="39">
        <v>1.592976897357451</v>
      </c>
      <c r="CW12" s="40">
        <v>1.0789611299431703</v>
      </c>
      <c r="CX12" s="39">
        <v>0</v>
      </c>
      <c r="CY12" s="40">
        <v>0</v>
      </c>
      <c r="CZ12" s="39">
        <v>0</v>
      </c>
      <c r="DA12" s="40">
        <v>0</v>
      </c>
      <c r="DB12" s="39">
        <v>0</v>
      </c>
      <c r="DC12" s="38">
        <v>2.6719380273006212</v>
      </c>
      <c r="DE12" s="37" t="s">
        <v>2015</v>
      </c>
      <c r="DF12" s="35" t="str">
        <f t="shared" si="16"/>
        <v>IFDOH</v>
      </c>
      <c r="DG12" s="26">
        <f t="shared" si="17"/>
        <v>0.13106152157581302</v>
      </c>
      <c r="DH12" s="25">
        <f t="shared" si="17"/>
        <v>0.36076827441515114</v>
      </c>
      <c r="DI12" s="24">
        <f t="shared" si="17"/>
        <v>1.3805913047597638</v>
      </c>
      <c r="DJ12" s="25">
        <f t="shared" si="17"/>
        <v>0.93510731803102576</v>
      </c>
      <c r="DK12" s="24">
        <f t="shared" si="17"/>
        <v>0.33041307876487963</v>
      </c>
      <c r="DL12" s="25">
        <f t="shared" si="17"/>
        <v>0.28800312621957086</v>
      </c>
      <c r="DM12" s="24">
        <f t="shared" si="17"/>
        <v>1.0005235401524735</v>
      </c>
      <c r="DN12" s="25">
        <f t="shared" si="17"/>
        <v>0.5164017911648302</v>
      </c>
      <c r="DO12" s="32">
        <f t="shared" si="17"/>
        <v>0.3238074436530668</v>
      </c>
      <c r="DP12" s="26">
        <f t="shared" si="18"/>
        <v>0.22421382490550693</v>
      </c>
      <c r="DQ12" s="25">
        <f t="shared" si="19"/>
        <v>0.24810956790097558</v>
      </c>
      <c r="DR12" s="24">
        <f t="shared" si="20"/>
        <v>0.10681926907530472</v>
      </c>
      <c r="DS12" s="25">
        <f t="shared" si="21"/>
        <v>0.12217291734140669</v>
      </c>
      <c r="DT12" s="24">
        <f t="shared" si="22"/>
        <v>9.5427075617950496E-2</v>
      </c>
      <c r="DU12" s="25">
        <f t="shared" si="23"/>
        <v>0.11787355993758682</v>
      </c>
      <c r="DV12" s="24">
        <f t="shared" si="24"/>
        <v>9.7576861302502885E-2</v>
      </c>
      <c r="DW12" s="25">
        <f t="shared" si="25"/>
        <v>9.9407587421703247E-2</v>
      </c>
      <c r="DX12" s="32">
        <f t="shared" si="26"/>
        <v>0.13083906365775266</v>
      </c>
      <c r="DZ12" s="54" t="s">
        <v>1806</v>
      </c>
      <c r="EA12" s="39">
        <v>0</v>
      </c>
      <c r="EB12" s="40">
        <v>0</v>
      </c>
      <c r="EC12" s="39">
        <v>5.4489552087692961E-2</v>
      </c>
      <c r="ED12" s="40">
        <v>5.4489552087692961E-2</v>
      </c>
      <c r="EE12" s="39">
        <v>0</v>
      </c>
      <c r="EF12" s="40">
        <v>0</v>
      </c>
      <c r="EG12" s="39">
        <v>0</v>
      </c>
      <c r="EH12" s="40">
        <v>0</v>
      </c>
      <c r="EI12" s="66">
        <v>0</v>
      </c>
      <c r="EK12" s="37" t="s">
        <v>2276</v>
      </c>
      <c r="EL12" s="37">
        <v>29</v>
      </c>
      <c r="EM12" s="35">
        <v>51</v>
      </c>
      <c r="EO12" s="83" t="s">
        <v>2250</v>
      </c>
      <c r="EP12" s="82" t="s">
        <v>517</v>
      </c>
      <c r="EQ12" s="81">
        <f t="shared" si="27"/>
        <v>61.79500930856679</v>
      </c>
      <c r="ER12" s="80">
        <f>EQ12/SUM(EQ8:EQ16)</f>
        <v>0.15152558263265017</v>
      </c>
      <c r="ET12" s="75" t="s">
        <v>518</v>
      </c>
      <c r="EU12" s="72">
        <v>9.759537863606145E-2</v>
      </c>
      <c r="EW12" s="37" t="s">
        <v>2250</v>
      </c>
      <c r="EX12" s="36" t="s">
        <v>2269</v>
      </c>
      <c r="EY12" s="36" t="s">
        <v>1145</v>
      </c>
      <c r="EZ12" s="1" t="s">
        <v>1945</v>
      </c>
      <c r="FA12" s="36" t="str">
        <f t="shared" si="28"/>
        <v>ICAFAC</v>
      </c>
      <c r="FB12" s="1" t="s">
        <v>520</v>
      </c>
      <c r="FC12" s="26">
        <f t="shared" si="29"/>
        <v>194.70981461611191</v>
      </c>
      <c r="FD12" s="25">
        <f t="shared" si="30"/>
        <v>9.0438504199238281</v>
      </c>
      <c r="FE12" s="24">
        <f t="shared" si="31"/>
        <v>4.6447840535181036E-2</v>
      </c>
      <c r="FF12" s="36">
        <v>0.02</v>
      </c>
      <c r="FG12" s="32">
        <f t="shared" si="32"/>
        <v>0.43059052411382481</v>
      </c>
      <c r="FI12" s="54" t="s">
        <v>2129</v>
      </c>
      <c r="FJ12" s="39">
        <v>0</v>
      </c>
      <c r="FK12" s="25">
        <v>6.2709393790726153E-2</v>
      </c>
      <c r="FL12" s="39">
        <v>0</v>
      </c>
      <c r="FM12" s="40">
        <v>0</v>
      </c>
      <c r="FN12" s="24">
        <v>0.10979157958819741</v>
      </c>
      <c r="FO12" s="25">
        <v>6.2346559950359648E-2</v>
      </c>
      <c r="FP12" s="24">
        <v>5.9490287590875823E-2</v>
      </c>
      <c r="FQ12" s="40">
        <v>0</v>
      </c>
      <c r="FR12" s="113">
        <v>0</v>
      </c>
      <c r="FS12" s="32">
        <v>0.29433782092015903</v>
      </c>
    </row>
    <row r="13" spans="1:175">
      <c r="A13" s="37" t="s">
        <v>2250</v>
      </c>
      <c r="B13" s="36" t="s">
        <v>1136</v>
      </c>
      <c r="C13" s="1" t="s">
        <v>1126</v>
      </c>
      <c r="D13" s="36" t="s">
        <v>1126</v>
      </c>
      <c r="E13" s="36" t="s">
        <v>2275</v>
      </c>
      <c r="F13" s="1" t="e">
        <f t="shared" ca="1" si="2"/>
        <v>#NAME?</v>
      </c>
      <c r="G13" s="35" t="s">
        <v>1121</v>
      </c>
      <c r="H13" s="43">
        <v>1</v>
      </c>
      <c r="I13" s="42">
        <v>0</v>
      </c>
      <c r="J13" s="26">
        <v>1.806301133376977</v>
      </c>
      <c r="K13" s="25">
        <v>2.2823239584870136</v>
      </c>
      <c r="L13" s="24"/>
      <c r="M13" s="25"/>
      <c r="N13" s="24"/>
      <c r="O13" s="25"/>
      <c r="P13" s="24"/>
      <c r="Q13" s="25"/>
      <c r="R13" s="32"/>
      <c r="S13" s="47">
        <v>1</v>
      </c>
      <c r="T13" s="45">
        <v>1</v>
      </c>
      <c r="U13" s="46">
        <v>1</v>
      </c>
      <c r="V13" s="45">
        <v>1</v>
      </c>
      <c r="W13" s="46">
        <v>1</v>
      </c>
      <c r="X13" s="45">
        <v>1</v>
      </c>
      <c r="Y13" s="46">
        <v>1</v>
      </c>
      <c r="Z13" s="45">
        <v>1</v>
      </c>
      <c r="AA13" s="44">
        <v>1</v>
      </c>
      <c r="AB13" s="26">
        <f t="shared" si="3"/>
        <v>1.806301133376977</v>
      </c>
      <c r="AC13" s="25">
        <f t="shared" si="4"/>
        <v>2.2823239584870136</v>
      </c>
      <c r="AD13" s="24">
        <f t="shared" si="5"/>
        <v>0</v>
      </c>
      <c r="AE13" s="25">
        <f t="shared" si="6"/>
        <v>0</v>
      </c>
      <c r="AF13" s="24">
        <f t="shared" si="7"/>
        <v>0</v>
      </c>
      <c r="AG13" s="25">
        <f t="shared" si="8"/>
        <v>0</v>
      </c>
      <c r="AH13" s="24">
        <f t="shared" si="9"/>
        <v>0</v>
      </c>
      <c r="AI13" s="25">
        <f t="shared" si="10"/>
        <v>0</v>
      </c>
      <c r="AJ13" s="24">
        <f t="shared" si="11"/>
        <v>0</v>
      </c>
      <c r="AK13" s="27">
        <f t="shared" si="12"/>
        <v>4.0886250918639906</v>
      </c>
      <c r="AL13" s="41">
        <v>0</v>
      </c>
      <c r="AM13" s="40">
        <v>0</v>
      </c>
      <c r="AN13" s="39">
        <v>0</v>
      </c>
      <c r="AO13" s="40">
        <v>0</v>
      </c>
      <c r="AP13" s="39">
        <v>0</v>
      </c>
      <c r="AQ13" s="40">
        <v>0</v>
      </c>
      <c r="AR13" s="39">
        <v>0</v>
      </c>
      <c r="AS13" s="40">
        <v>0</v>
      </c>
      <c r="AT13" s="39">
        <v>0</v>
      </c>
      <c r="AU13" s="38">
        <v>0</v>
      </c>
      <c r="AW13" s="104" t="s">
        <v>1123</v>
      </c>
      <c r="AX13" s="41">
        <v>0</v>
      </c>
      <c r="AY13" s="40">
        <v>0</v>
      </c>
      <c r="AZ13" s="39">
        <v>11.68301903952743</v>
      </c>
      <c r="BA13" s="40">
        <v>7.9131865910592136</v>
      </c>
      <c r="BB13" s="39">
        <v>16.224203275382543</v>
      </c>
      <c r="BC13" s="40">
        <v>14.141756377195314</v>
      </c>
      <c r="BD13" s="39">
        <v>49.128495027856353</v>
      </c>
      <c r="BE13" s="40">
        <v>1.452206077131647</v>
      </c>
      <c r="BF13" s="39">
        <v>0.91059935410516935</v>
      </c>
      <c r="BG13" s="81">
        <v>101.45346574225766</v>
      </c>
      <c r="BH13" s="66">
        <v>0</v>
      </c>
      <c r="BJ13" s="37" t="s">
        <v>2250</v>
      </c>
      <c r="BK13" s="36" t="s">
        <v>2269</v>
      </c>
      <c r="BL13" s="1" t="s">
        <v>1123</v>
      </c>
      <c r="BM13" s="36" t="s">
        <v>1935</v>
      </c>
      <c r="BN13" s="82" t="str">
        <f t="shared" si="13"/>
        <v>ICAPRH</v>
      </c>
      <c r="BO13" s="26">
        <f t="shared" si="14"/>
        <v>0</v>
      </c>
      <c r="BP13" s="25">
        <f t="shared" si="14"/>
        <v>0</v>
      </c>
      <c r="BQ13" s="24">
        <f t="shared" si="14"/>
        <v>11.68301903952743</v>
      </c>
      <c r="BR13" s="25">
        <f t="shared" si="14"/>
        <v>7.9131865910592136</v>
      </c>
      <c r="BS13" s="24">
        <f t="shared" si="14"/>
        <v>16.224203275382543</v>
      </c>
      <c r="BT13" s="25">
        <f t="shared" si="14"/>
        <v>14.141756377195314</v>
      </c>
      <c r="BU13" s="24">
        <f t="shared" si="14"/>
        <v>49.128495027856353</v>
      </c>
      <c r="BV13" s="25">
        <f t="shared" si="14"/>
        <v>1.452206077131647</v>
      </c>
      <c r="BW13" s="32">
        <f t="shared" si="14"/>
        <v>0.91059935410516935</v>
      </c>
      <c r="BX13" s="26">
        <v>0</v>
      </c>
      <c r="BY13" s="25">
        <v>0</v>
      </c>
      <c r="BZ13" s="24">
        <f t="shared" ref="BZ13:CF13" si="37">BQ13/BQ15</f>
        <v>0.25714968002223215</v>
      </c>
      <c r="CA13" s="25">
        <f t="shared" si="37"/>
        <v>0.19881754814411023</v>
      </c>
      <c r="CB13" s="24">
        <f t="shared" si="37"/>
        <v>0.26254876335350502</v>
      </c>
      <c r="CC13" s="25">
        <f t="shared" si="37"/>
        <v>0.23572570667931464</v>
      </c>
      <c r="CD13" s="24">
        <f t="shared" si="37"/>
        <v>0.25231647990995032</v>
      </c>
      <c r="CE13" s="25">
        <f t="shared" si="37"/>
        <v>0.34361730696364651</v>
      </c>
      <c r="CF13" s="32">
        <f t="shared" si="37"/>
        <v>0.48917474089299134</v>
      </c>
      <c r="CH13" s="54" t="s">
        <v>2274</v>
      </c>
      <c r="CI13" s="41">
        <v>0</v>
      </c>
      <c r="CJ13" s="40">
        <v>0</v>
      </c>
      <c r="CK13" s="39">
        <v>0.25714968002223215</v>
      </c>
      <c r="CL13" s="40">
        <v>0.19881754814411023</v>
      </c>
      <c r="CM13" s="39">
        <v>0.26254876335350502</v>
      </c>
      <c r="CN13" s="40">
        <v>0.23572570667931464</v>
      </c>
      <c r="CO13" s="39">
        <v>0.25231647990995032</v>
      </c>
      <c r="CP13" s="40">
        <v>0.34361730696364651</v>
      </c>
      <c r="CQ13" s="66">
        <v>0.48917474089299134</v>
      </c>
      <c r="CS13" s="54" t="s">
        <v>1713</v>
      </c>
      <c r="CT13" s="39">
        <v>0</v>
      </c>
      <c r="CU13" s="40">
        <v>0</v>
      </c>
      <c r="CV13" s="39">
        <v>2.6668207920443425</v>
      </c>
      <c r="CW13" s="40">
        <v>1.806301133376977</v>
      </c>
      <c r="CX13" s="39">
        <v>2.2823239584870136</v>
      </c>
      <c r="CY13" s="40">
        <v>1.9893777738678113</v>
      </c>
      <c r="CZ13" s="39">
        <v>6.9111030811984744</v>
      </c>
      <c r="DA13" s="40">
        <v>1.3746148451265752</v>
      </c>
      <c r="DB13" s="39">
        <v>0.86194611758408457</v>
      </c>
      <c r="DC13" s="38">
        <v>17.89248770168528</v>
      </c>
      <c r="DE13" s="37" t="s">
        <v>2012</v>
      </c>
      <c r="DF13" s="35" t="str">
        <f t="shared" si="16"/>
        <v>IFDOH</v>
      </c>
      <c r="DG13" s="26">
        <f t="shared" si="17"/>
        <v>0.22391972669142832</v>
      </c>
      <c r="DH13" s="25">
        <f t="shared" si="17"/>
        <v>0.61637567178135921</v>
      </c>
      <c r="DI13" s="24">
        <f t="shared" si="17"/>
        <v>2.2454364912588893</v>
      </c>
      <c r="DJ13" s="25">
        <f t="shared" si="17"/>
        <v>1.5208875268959263</v>
      </c>
      <c r="DK13" s="24">
        <f t="shared" si="17"/>
        <v>0.45018170077226466</v>
      </c>
      <c r="DL13" s="25">
        <f t="shared" si="17"/>
        <v>0.3923989258352471</v>
      </c>
      <c r="DM13" s="24">
        <f t="shared" si="17"/>
        <v>1.3631947943835561</v>
      </c>
      <c r="DN13" s="25">
        <f t="shared" si="17"/>
        <v>1.1620231836527724</v>
      </c>
      <c r="DO13" s="32">
        <f t="shared" si="17"/>
        <v>0.72864146291099952</v>
      </c>
      <c r="DP13" s="26">
        <f t="shared" si="18"/>
        <v>0.38307123089700346</v>
      </c>
      <c r="DQ13" s="25">
        <f t="shared" si="19"/>
        <v>0.42389731147580106</v>
      </c>
      <c r="DR13" s="24">
        <f t="shared" si="20"/>
        <v>0.17373417022427839</v>
      </c>
      <c r="DS13" s="25">
        <f t="shared" si="21"/>
        <v>0.19870581967028031</v>
      </c>
      <c r="DT13" s="24">
        <f t="shared" si="22"/>
        <v>0.13001762327932018</v>
      </c>
      <c r="DU13" s="25">
        <f t="shared" si="23"/>
        <v>0.16060054246988445</v>
      </c>
      <c r="DV13" s="24">
        <f t="shared" si="24"/>
        <v>0.13294666646182793</v>
      </c>
      <c r="DW13" s="25">
        <f t="shared" si="25"/>
        <v>0.22369000880970616</v>
      </c>
      <c r="DX13" s="32">
        <f t="shared" si="26"/>
        <v>0.29441808277771925</v>
      </c>
      <c r="DZ13" s="54" t="s">
        <v>1713</v>
      </c>
      <c r="EA13" s="39">
        <v>0</v>
      </c>
      <c r="EB13" s="40">
        <v>0</v>
      </c>
      <c r="EC13" s="39">
        <v>0.90558309512875135</v>
      </c>
      <c r="ED13" s="40">
        <v>0.90558309512875124</v>
      </c>
      <c r="EE13" s="39">
        <v>0.85703210395056717</v>
      </c>
      <c r="EF13" s="40">
        <v>0.85703210395056717</v>
      </c>
      <c r="EG13" s="39">
        <v>0.85703210395056717</v>
      </c>
      <c r="EH13" s="40">
        <v>0.97672363847761734</v>
      </c>
      <c r="EI13" s="66">
        <v>0.97672363847761734</v>
      </c>
      <c r="EK13" s="37" t="s">
        <v>2273</v>
      </c>
      <c r="EL13" s="37">
        <v>12</v>
      </c>
      <c r="EM13" s="35">
        <v>3</v>
      </c>
      <c r="EO13" s="83" t="s">
        <v>2250</v>
      </c>
      <c r="EP13" s="82" t="s">
        <v>519</v>
      </c>
      <c r="EQ13" s="81">
        <f t="shared" si="27"/>
        <v>59.992423297447175</v>
      </c>
      <c r="ER13" s="80">
        <f>EQ13/SUM(EQ8:EQ16)</f>
        <v>0.14710551863983679</v>
      </c>
      <c r="ET13" s="75" t="s">
        <v>517</v>
      </c>
      <c r="EU13" s="72">
        <v>0.15152558263265017</v>
      </c>
      <c r="EW13" s="37" t="s">
        <v>2250</v>
      </c>
      <c r="EX13" s="36" t="s">
        <v>2269</v>
      </c>
      <c r="EY13" s="36" t="s">
        <v>1145</v>
      </c>
      <c r="EZ13" s="1" t="s">
        <v>1945</v>
      </c>
      <c r="FA13" s="36" t="str">
        <f t="shared" si="28"/>
        <v>ICAFAC</v>
      </c>
      <c r="FB13" s="1" t="s">
        <v>521</v>
      </c>
      <c r="FC13" s="26">
        <f t="shared" si="29"/>
        <v>4.2262308903005437</v>
      </c>
      <c r="FD13" s="25">
        <f t="shared" si="30"/>
        <v>0.10910628515576717</v>
      </c>
      <c r="FE13" s="24">
        <f t="shared" si="31"/>
        <v>2.5816451582466239E-2</v>
      </c>
      <c r="FF13" s="36">
        <v>0</v>
      </c>
      <c r="FG13" s="86">
        <f t="shared" si="32"/>
        <v>0</v>
      </c>
      <c r="FI13" s="54" t="s">
        <v>2228</v>
      </c>
      <c r="FJ13" s="39">
        <v>0</v>
      </c>
      <c r="FK13" s="40">
        <v>0</v>
      </c>
      <c r="FL13" s="24">
        <v>0.40226524953891385</v>
      </c>
      <c r="FM13" s="25">
        <v>0.65868010997292004</v>
      </c>
      <c r="FN13" s="39">
        <v>0</v>
      </c>
      <c r="FO13" s="40">
        <v>0</v>
      </c>
      <c r="FP13" s="39">
        <v>0</v>
      </c>
      <c r="FQ13" s="40">
        <v>0</v>
      </c>
      <c r="FR13" s="113">
        <v>0</v>
      </c>
      <c r="FS13" s="32">
        <v>1.0609453595118339</v>
      </c>
    </row>
    <row r="14" spans="1:175" ht="15.75" thickBot="1">
      <c r="A14" s="37" t="s">
        <v>2250</v>
      </c>
      <c r="B14" s="36" t="s">
        <v>1136</v>
      </c>
      <c r="C14" s="1" t="s">
        <v>665</v>
      </c>
      <c r="D14" s="36" t="s">
        <v>665</v>
      </c>
      <c r="E14" s="36" t="s">
        <v>2272</v>
      </c>
      <c r="F14" s="1" t="e">
        <f t="shared" ca="1" si="2"/>
        <v>#NAME?</v>
      </c>
      <c r="G14" s="35" t="s">
        <v>1121</v>
      </c>
      <c r="H14" s="43">
        <v>1</v>
      </c>
      <c r="I14" s="42">
        <v>0</v>
      </c>
      <c r="J14" s="26">
        <v>0.18832657455320048</v>
      </c>
      <c r="K14" s="25">
        <v>0.38073142528033238</v>
      </c>
      <c r="L14" s="24"/>
      <c r="M14" s="25"/>
      <c r="N14" s="24"/>
      <c r="O14" s="25"/>
      <c r="P14" s="24"/>
      <c r="Q14" s="25"/>
      <c r="R14" s="32"/>
      <c r="S14" s="47">
        <v>1</v>
      </c>
      <c r="T14" s="45">
        <v>1</v>
      </c>
      <c r="U14" s="46">
        <v>1</v>
      </c>
      <c r="V14" s="45">
        <v>1</v>
      </c>
      <c r="W14" s="46">
        <v>1</v>
      </c>
      <c r="X14" s="45">
        <v>1</v>
      </c>
      <c r="Y14" s="46">
        <v>1</v>
      </c>
      <c r="Z14" s="45">
        <v>1</v>
      </c>
      <c r="AA14" s="44">
        <v>1</v>
      </c>
      <c r="AB14" s="26">
        <f t="shared" si="3"/>
        <v>0.18832657455320048</v>
      </c>
      <c r="AC14" s="25">
        <f t="shared" si="4"/>
        <v>0.38073142528033238</v>
      </c>
      <c r="AD14" s="24">
        <f t="shared" si="5"/>
        <v>0</v>
      </c>
      <c r="AE14" s="25">
        <f t="shared" si="6"/>
        <v>0</v>
      </c>
      <c r="AF14" s="24">
        <f t="shared" si="7"/>
        <v>0</v>
      </c>
      <c r="AG14" s="25">
        <f t="shared" si="8"/>
        <v>0</v>
      </c>
      <c r="AH14" s="24">
        <f t="shared" si="9"/>
        <v>0</v>
      </c>
      <c r="AI14" s="25">
        <f t="shared" si="10"/>
        <v>0</v>
      </c>
      <c r="AJ14" s="24">
        <f t="shared" si="11"/>
        <v>0</v>
      </c>
      <c r="AK14" s="27">
        <f t="shared" si="12"/>
        <v>0.56905799983353289</v>
      </c>
      <c r="AL14" s="41">
        <v>0</v>
      </c>
      <c r="AM14" s="40">
        <v>0</v>
      </c>
      <c r="AN14" s="39">
        <v>0</v>
      </c>
      <c r="AO14" s="40">
        <v>0</v>
      </c>
      <c r="AP14" s="39">
        <v>0</v>
      </c>
      <c r="AQ14" s="40">
        <v>0</v>
      </c>
      <c r="AR14" s="39">
        <v>0</v>
      </c>
      <c r="AS14" s="40">
        <v>0</v>
      </c>
      <c r="AT14" s="39">
        <v>0</v>
      </c>
      <c r="AU14" s="38">
        <v>0</v>
      </c>
      <c r="AW14" s="103" t="s">
        <v>1107</v>
      </c>
      <c r="AX14" s="41">
        <v>0</v>
      </c>
      <c r="AY14" s="40">
        <v>0</v>
      </c>
      <c r="AZ14" s="39">
        <v>0.92128434782039714</v>
      </c>
      <c r="BA14" s="40">
        <v>9.6525691443906911</v>
      </c>
      <c r="BB14" s="39">
        <v>0.91713297987527909</v>
      </c>
      <c r="BC14" s="40">
        <v>6.9284865858257181</v>
      </c>
      <c r="BD14" s="39">
        <v>10.365573253045323</v>
      </c>
      <c r="BE14" s="40">
        <v>1.2575451513749474</v>
      </c>
      <c r="BF14" s="39">
        <v>0</v>
      </c>
      <c r="BG14" s="81">
        <v>30.042591462332357</v>
      </c>
      <c r="BH14" s="66">
        <v>1.8237279638273312</v>
      </c>
      <c r="BJ14" s="37" t="s">
        <v>2250</v>
      </c>
      <c r="BK14" s="36" t="s">
        <v>2269</v>
      </c>
      <c r="BL14" s="1" t="s">
        <v>1107</v>
      </c>
      <c r="BM14" s="36" t="s">
        <v>1937</v>
      </c>
      <c r="BN14" s="82" t="str">
        <f t="shared" si="13"/>
        <v>ICASTM</v>
      </c>
      <c r="BO14" s="26">
        <f t="shared" si="14"/>
        <v>0</v>
      </c>
      <c r="BP14" s="25">
        <f t="shared" si="14"/>
        <v>0</v>
      </c>
      <c r="BQ14" s="24">
        <f t="shared" si="14"/>
        <v>0.92128434782039714</v>
      </c>
      <c r="BR14" s="25">
        <f t="shared" si="14"/>
        <v>9.6525691443906911</v>
      </c>
      <c r="BS14" s="24">
        <f t="shared" si="14"/>
        <v>0.91713297987527909</v>
      </c>
      <c r="BT14" s="25">
        <f t="shared" si="14"/>
        <v>6.9284865858257181</v>
      </c>
      <c r="BU14" s="24">
        <f t="shared" si="14"/>
        <v>10.365573253045323</v>
      </c>
      <c r="BV14" s="25">
        <f t="shared" si="14"/>
        <v>1.2575451513749474</v>
      </c>
      <c r="BW14" s="32">
        <f t="shared" si="14"/>
        <v>0</v>
      </c>
      <c r="BX14" s="26">
        <v>0</v>
      </c>
      <c r="BY14" s="25">
        <v>0</v>
      </c>
      <c r="BZ14" s="24">
        <f t="shared" ref="BZ14:CF14" si="38">BQ14/BQ15</f>
        <v>2.0277975619997678E-2</v>
      </c>
      <c r="CA14" s="25">
        <f t="shared" si="38"/>
        <v>0.24251925674892616</v>
      </c>
      <c r="CB14" s="24">
        <f t="shared" si="38"/>
        <v>1.4841538016373997E-2</v>
      </c>
      <c r="CC14" s="25">
        <f t="shared" si="38"/>
        <v>0.11548936023927112</v>
      </c>
      <c r="CD14" s="24">
        <f t="shared" si="38"/>
        <v>5.3236008022923713E-2</v>
      </c>
      <c r="CE14" s="25">
        <f t="shared" si="38"/>
        <v>0.2975571340082459</v>
      </c>
      <c r="CF14" s="32">
        <f t="shared" si="38"/>
        <v>0</v>
      </c>
      <c r="CH14" s="54" t="s">
        <v>2271</v>
      </c>
      <c r="CI14" s="41">
        <v>0</v>
      </c>
      <c r="CJ14" s="40">
        <v>0</v>
      </c>
      <c r="CK14" s="39">
        <v>2.0277975619997678E-2</v>
      </c>
      <c r="CL14" s="40">
        <v>0.24251925674892616</v>
      </c>
      <c r="CM14" s="39">
        <v>1.4841538016373997E-2</v>
      </c>
      <c r="CN14" s="40">
        <v>0.11548936023927112</v>
      </c>
      <c r="CO14" s="39">
        <v>5.3236008022923713E-2</v>
      </c>
      <c r="CP14" s="40">
        <v>0.2975571340082459</v>
      </c>
      <c r="CQ14" s="66">
        <v>0</v>
      </c>
      <c r="CS14" s="54" t="s">
        <v>1710</v>
      </c>
      <c r="CT14" s="39">
        <v>0</v>
      </c>
      <c r="CU14" s="40">
        <v>0</v>
      </c>
      <c r="CV14" s="39">
        <v>0.27804512516360547</v>
      </c>
      <c r="CW14" s="40">
        <v>0.18832657455320048</v>
      </c>
      <c r="CX14" s="39">
        <v>0.38073142528033238</v>
      </c>
      <c r="CY14" s="40">
        <v>0.33186289459442503</v>
      </c>
      <c r="CZ14" s="39">
        <v>1.1528924789924664</v>
      </c>
      <c r="DA14" s="40">
        <v>3.2758531511606827E-2</v>
      </c>
      <c r="DB14" s="39">
        <v>2.0541091313171E-2</v>
      </c>
      <c r="DC14" s="38">
        <v>2.3851581214088076</v>
      </c>
      <c r="DE14" s="37" t="s">
        <v>2024</v>
      </c>
      <c r="DF14" s="35" t="str">
        <f t="shared" si="16"/>
        <v>IFDOH</v>
      </c>
      <c r="DG14" s="26">
        <f t="shared" si="17"/>
        <v>2.0921172611519149E-3</v>
      </c>
      <c r="DH14" s="25">
        <f t="shared" si="17"/>
        <v>0.20752188524388357</v>
      </c>
      <c r="DI14" s="24">
        <f t="shared" si="17"/>
        <v>4.3775165705747332</v>
      </c>
      <c r="DJ14" s="25">
        <f t="shared" si="17"/>
        <v>4.5525429504724588</v>
      </c>
      <c r="DK14" s="24">
        <f t="shared" si="17"/>
        <v>0.88852272185710401</v>
      </c>
      <c r="DL14" s="25">
        <f t="shared" si="17"/>
        <v>1.5967658788315486</v>
      </c>
      <c r="DM14" s="24">
        <f t="shared" si="17"/>
        <v>7.3899106599631175</v>
      </c>
      <c r="DN14" s="25">
        <f t="shared" si="17"/>
        <v>0.13993091348282916</v>
      </c>
      <c r="DO14" s="32">
        <f t="shared" si="17"/>
        <v>1.0130084585814745</v>
      </c>
      <c r="DP14" s="26">
        <f t="shared" si="18"/>
        <v>3.5790948222920037E-3</v>
      </c>
      <c r="DQ14" s="25">
        <f t="shared" si="19"/>
        <v>0.1427181072430061</v>
      </c>
      <c r="DR14" s="24">
        <f t="shared" si="20"/>
        <v>0.33869771511794</v>
      </c>
      <c r="DS14" s="25">
        <f t="shared" si="21"/>
        <v>0.59479531691871701</v>
      </c>
      <c r="DT14" s="24">
        <f t="shared" si="22"/>
        <v>0.25661552285967648</v>
      </c>
      <c r="DU14" s="25">
        <f t="shared" si="23"/>
        <v>0.6535223453833261</v>
      </c>
      <c r="DV14" s="24">
        <f t="shared" si="24"/>
        <v>0.72070696846894777</v>
      </c>
      <c r="DW14" s="25">
        <f t="shared" si="25"/>
        <v>2.6936766589570449E-2</v>
      </c>
      <c r="DX14" s="32">
        <f t="shared" si="26"/>
        <v>0.40932066509314208</v>
      </c>
      <c r="DZ14" s="54" t="s">
        <v>1710</v>
      </c>
      <c r="EA14" s="39">
        <v>0</v>
      </c>
      <c r="EB14" s="40">
        <v>0</v>
      </c>
      <c r="EC14" s="39">
        <v>9.4416904871248736E-2</v>
      </c>
      <c r="ED14" s="40">
        <v>9.4416904871248736E-2</v>
      </c>
      <c r="EE14" s="39">
        <v>0.14296789604943283</v>
      </c>
      <c r="EF14" s="40">
        <v>0.14296789604943286</v>
      </c>
      <c r="EG14" s="39">
        <v>0.14296789604943283</v>
      </c>
      <c r="EH14" s="40">
        <v>2.3276361522382723E-2</v>
      </c>
      <c r="EI14" s="66">
        <v>2.3276361522382719E-2</v>
      </c>
      <c r="EK14" s="116" t="s">
        <v>1793</v>
      </c>
      <c r="EL14" s="22">
        <v>20</v>
      </c>
      <c r="EM14" s="19">
        <v>20</v>
      </c>
      <c r="EO14" s="83" t="s">
        <v>2250</v>
      </c>
      <c r="EP14" s="82" t="s">
        <v>520</v>
      </c>
      <c r="EQ14" s="81">
        <f t="shared" si="27"/>
        <v>194.70981461611191</v>
      </c>
      <c r="ER14" s="80">
        <f>EQ14/SUM(EQ8:EQ16)</f>
        <v>0.4774417616263959</v>
      </c>
      <c r="ET14" s="75" t="s">
        <v>519</v>
      </c>
      <c r="EU14" s="72">
        <v>0.14710551863983679</v>
      </c>
      <c r="EW14" s="22" t="s">
        <v>2250</v>
      </c>
      <c r="EX14" s="20" t="s">
        <v>2269</v>
      </c>
      <c r="EY14" s="20" t="s">
        <v>1145</v>
      </c>
      <c r="EZ14" s="21" t="s">
        <v>1945</v>
      </c>
      <c r="FA14" s="20" t="str">
        <f t="shared" si="28"/>
        <v>ICAFAC</v>
      </c>
      <c r="FB14" s="21" t="s">
        <v>522</v>
      </c>
      <c r="FC14" s="11">
        <f t="shared" si="29"/>
        <v>1.861501173267583</v>
      </c>
      <c r="FD14" s="10">
        <f t="shared" si="30"/>
        <v>6.8414610265158271E-2</v>
      </c>
      <c r="FE14" s="9">
        <f t="shared" si="31"/>
        <v>3.6752386325422937E-2</v>
      </c>
      <c r="FF14" s="20">
        <v>0</v>
      </c>
      <c r="FG14" s="84">
        <f t="shared" si="32"/>
        <v>0</v>
      </c>
      <c r="FI14" s="54" t="s">
        <v>1961</v>
      </c>
      <c r="FJ14" s="39">
        <v>0</v>
      </c>
      <c r="FK14" s="40">
        <v>0</v>
      </c>
      <c r="FL14" s="39">
        <v>0</v>
      </c>
      <c r="FM14" s="40">
        <v>0</v>
      </c>
      <c r="FN14" s="39">
        <v>0</v>
      </c>
      <c r="FO14" s="40">
        <v>0</v>
      </c>
      <c r="FP14" s="24">
        <v>0.4410740946870817</v>
      </c>
      <c r="FQ14" s="40">
        <v>0</v>
      </c>
      <c r="FR14" s="113">
        <v>0</v>
      </c>
      <c r="FS14" s="32">
        <v>0.4410740946870817</v>
      </c>
    </row>
    <row r="15" spans="1:175">
      <c r="A15" s="37" t="s">
        <v>2250</v>
      </c>
      <c r="B15" s="36" t="s">
        <v>1129</v>
      </c>
      <c r="C15" s="1" t="s">
        <v>1197</v>
      </c>
      <c r="D15" s="36" t="s">
        <v>1197</v>
      </c>
      <c r="E15" s="36" t="s">
        <v>2270</v>
      </c>
      <c r="F15" s="1" t="e">
        <f t="shared" ca="1" si="2"/>
        <v>#NAME?</v>
      </c>
      <c r="G15" s="35" t="s">
        <v>1121</v>
      </c>
      <c r="H15" s="43">
        <v>1</v>
      </c>
      <c r="I15" s="42">
        <v>0</v>
      </c>
      <c r="J15" s="26">
        <v>0.24781985677311991</v>
      </c>
      <c r="K15" s="25">
        <v>0</v>
      </c>
      <c r="L15" s="24"/>
      <c r="M15" s="25"/>
      <c r="N15" s="24"/>
      <c r="O15" s="25"/>
      <c r="P15" s="24"/>
      <c r="Q15" s="25"/>
      <c r="R15" s="32"/>
      <c r="S15" s="47">
        <v>1</v>
      </c>
      <c r="T15" s="45">
        <v>1</v>
      </c>
      <c r="U15" s="46">
        <v>1</v>
      </c>
      <c r="V15" s="45">
        <v>1</v>
      </c>
      <c r="W15" s="46">
        <v>1</v>
      </c>
      <c r="X15" s="45">
        <v>1</v>
      </c>
      <c r="Y15" s="46">
        <v>1</v>
      </c>
      <c r="Z15" s="45">
        <v>1</v>
      </c>
      <c r="AA15" s="44">
        <v>1</v>
      </c>
      <c r="AB15" s="26">
        <f t="shared" si="3"/>
        <v>0.24781985677311991</v>
      </c>
      <c r="AC15" s="25">
        <f t="shared" si="4"/>
        <v>0</v>
      </c>
      <c r="AD15" s="24">
        <f t="shared" si="5"/>
        <v>0</v>
      </c>
      <c r="AE15" s="25">
        <f t="shared" si="6"/>
        <v>0</v>
      </c>
      <c r="AF15" s="24">
        <f t="shared" si="7"/>
        <v>0</v>
      </c>
      <c r="AG15" s="25">
        <f t="shared" si="8"/>
        <v>0</v>
      </c>
      <c r="AH15" s="24">
        <f t="shared" si="9"/>
        <v>0</v>
      </c>
      <c r="AI15" s="25">
        <f t="shared" si="10"/>
        <v>0</v>
      </c>
      <c r="AJ15" s="24">
        <f t="shared" si="11"/>
        <v>0</v>
      </c>
      <c r="AK15" s="27">
        <f t="shared" si="12"/>
        <v>0.24781985677311991</v>
      </c>
      <c r="AL15" s="41">
        <v>0</v>
      </c>
      <c r="AM15" s="40">
        <v>0</v>
      </c>
      <c r="AN15" s="39">
        <v>0</v>
      </c>
      <c r="AO15" s="40">
        <v>0</v>
      </c>
      <c r="AP15" s="39">
        <v>0</v>
      </c>
      <c r="AQ15" s="40">
        <v>0</v>
      </c>
      <c r="AR15" s="39">
        <v>0</v>
      </c>
      <c r="AS15" s="40">
        <v>0</v>
      </c>
      <c r="AT15" s="39">
        <v>0</v>
      </c>
      <c r="AU15" s="38">
        <v>0</v>
      </c>
      <c r="AW15" s="51" t="s">
        <v>2222</v>
      </c>
      <c r="AX15" s="7">
        <v>5.1174965443007601</v>
      </c>
      <c r="AY15" s="6">
        <v>19.35130550253648</v>
      </c>
      <c r="AZ15" s="5">
        <v>43.505091555901984</v>
      </c>
      <c r="BA15" s="6">
        <v>29.467032962816454</v>
      </c>
      <c r="BB15" s="5">
        <v>18.14420881241573</v>
      </c>
      <c r="BC15" s="6">
        <v>15.815320871347595</v>
      </c>
      <c r="BD15" s="5">
        <v>54.942462030027514</v>
      </c>
      <c r="BE15" s="6">
        <v>25.763156077322762</v>
      </c>
      <c r="BF15" s="5">
        <v>16.154672296963582</v>
      </c>
      <c r="BG15" s="77">
        <v>228.26074665363285</v>
      </c>
      <c r="BH15" s="59">
        <v>2.2933892927039983E-17</v>
      </c>
      <c r="BJ15" s="22" t="s">
        <v>2250</v>
      </c>
      <c r="BK15" s="20" t="s">
        <v>2269</v>
      </c>
      <c r="BL15" s="21" t="s">
        <v>1027</v>
      </c>
      <c r="BM15" s="20"/>
      <c r="BN15" s="78"/>
      <c r="BO15" s="11">
        <f t="shared" ref="BO15:BW15" si="39">GETPIVOTDATA("Sum of "&amp;BO$1&amp;" (Out)",$AW$6,"Sub-Sector",$BJ15)</f>
        <v>0</v>
      </c>
      <c r="BP15" s="10">
        <f t="shared" si="39"/>
        <v>0</v>
      </c>
      <c r="BQ15" s="9">
        <f t="shared" si="39"/>
        <v>45.432757445069981</v>
      </c>
      <c r="BR15" s="10">
        <f t="shared" si="39"/>
        <v>39.801248254623111</v>
      </c>
      <c r="BS15" s="9">
        <f t="shared" si="39"/>
        <v>61.79500930856679</v>
      </c>
      <c r="BT15" s="10">
        <f t="shared" si="39"/>
        <v>59.992423297447175</v>
      </c>
      <c r="BU15" s="9">
        <f t="shared" si="39"/>
        <v>194.70981461611191</v>
      </c>
      <c r="BV15" s="10">
        <f t="shared" si="39"/>
        <v>4.2262308903005437</v>
      </c>
      <c r="BW15" s="16">
        <f t="shared" si="39"/>
        <v>1.861501173267583</v>
      </c>
      <c r="BX15" s="11"/>
      <c r="BY15" s="6"/>
      <c r="BZ15" s="5"/>
      <c r="CA15" s="6"/>
      <c r="CB15" s="5"/>
      <c r="CC15" s="6"/>
      <c r="CD15" s="5"/>
      <c r="CE15" s="6"/>
      <c r="CF15" s="59"/>
      <c r="CH15" s="54" t="s">
        <v>2268</v>
      </c>
      <c r="CI15" s="41">
        <v>0.20343254681153286</v>
      </c>
      <c r="CJ15" s="40">
        <v>0.21920853209088265</v>
      </c>
      <c r="CK15" s="39">
        <v>0.20311390417176861</v>
      </c>
      <c r="CL15" s="40">
        <v>0.20141140035178007</v>
      </c>
      <c r="CM15" s="39">
        <v>0.11501975909863335</v>
      </c>
      <c r="CN15" s="40">
        <v>0.1342026294052128</v>
      </c>
      <c r="CO15" s="39">
        <v>0.11843369259410585</v>
      </c>
      <c r="CP15" s="40">
        <v>0.15020620191915732</v>
      </c>
      <c r="CQ15" s="66">
        <v>0.15561137584780224</v>
      </c>
      <c r="CS15" s="54" t="s">
        <v>2267</v>
      </c>
      <c r="CT15" s="39">
        <v>0</v>
      </c>
      <c r="CU15" s="40">
        <v>0</v>
      </c>
      <c r="CV15" s="39">
        <v>0.36588093453079751</v>
      </c>
      <c r="CW15" s="40">
        <v>0.24781985677311991</v>
      </c>
      <c r="CX15" s="39">
        <v>0</v>
      </c>
      <c r="CY15" s="40">
        <v>0</v>
      </c>
      <c r="CZ15" s="39">
        <v>0</v>
      </c>
      <c r="DA15" s="40">
        <v>0</v>
      </c>
      <c r="DB15" s="39">
        <v>0</v>
      </c>
      <c r="DC15" s="38">
        <v>0.61370079130391741</v>
      </c>
      <c r="DE15" s="37" t="s">
        <v>2027</v>
      </c>
      <c r="DF15" s="35" t="str">
        <f t="shared" si="16"/>
        <v>IFDOH</v>
      </c>
      <c r="DG15" s="26">
        <f t="shared" si="17"/>
        <v>0.12959496197258127</v>
      </c>
      <c r="DH15" s="25">
        <f t="shared" si="17"/>
        <v>0</v>
      </c>
      <c r="DI15" s="24">
        <f t="shared" si="17"/>
        <v>4.2445129759785445</v>
      </c>
      <c r="DJ15" s="25">
        <f t="shared" si="17"/>
        <v>0.18722130289582223</v>
      </c>
      <c r="DK15" s="24">
        <f t="shared" si="17"/>
        <v>1.6282068241363417</v>
      </c>
      <c r="DL15" s="25">
        <f t="shared" si="17"/>
        <v>2.2208912680700799E-2</v>
      </c>
      <c r="DM15" s="24">
        <f t="shared" si="17"/>
        <v>0</v>
      </c>
      <c r="DN15" s="25">
        <f t="shared" si="17"/>
        <v>2.72354052735938</v>
      </c>
      <c r="DO15" s="32">
        <f t="shared" si="17"/>
        <v>0</v>
      </c>
      <c r="DP15" s="26">
        <f t="shared" si="18"/>
        <v>0.22170490440665339</v>
      </c>
      <c r="DQ15" s="25">
        <f t="shared" si="19"/>
        <v>0</v>
      </c>
      <c r="DR15" s="24">
        <f t="shared" si="20"/>
        <v>0.32840694571343093</v>
      </c>
      <c r="DS15" s="25">
        <f t="shared" si="21"/>
        <v>2.4460692716429842E-2</v>
      </c>
      <c r="DT15" s="24">
        <f t="shared" si="22"/>
        <v>0.4702447503268653</v>
      </c>
      <c r="DU15" s="25">
        <f t="shared" si="23"/>
        <v>9.0896360549273976E-3</v>
      </c>
      <c r="DV15" s="24">
        <f t="shared" si="24"/>
        <v>0</v>
      </c>
      <c r="DW15" s="25">
        <f t="shared" si="25"/>
        <v>0.52428283112521523</v>
      </c>
      <c r="DX15" s="32">
        <f t="shared" si="26"/>
        <v>0</v>
      </c>
      <c r="DZ15" s="54" t="s">
        <v>2267</v>
      </c>
      <c r="EA15" s="39">
        <v>0</v>
      </c>
      <c r="EB15" s="40">
        <v>0</v>
      </c>
      <c r="EC15" s="39">
        <v>1</v>
      </c>
      <c r="ED15" s="40">
        <v>1</v>
      </c>
      <c r="EE15" s="39">
        <v>0</v>
      </c>
      <c r="EF15" s="40">
        <v>0</v>
      </c>
      <c r="EG15" s="39">
        <v>0</v>
      </c>
      <c r="EH15" s="40">
        <v>0</v>
      </c>
      <c r="EI15" s="66">
        <v>0</v>
      </c>
      <c r="EK15" s="1" t="s">
        <v>2266</v>
      </c>
      <c r="EO15" s="83" t="s">
        <v>2250</v>
      </c>
      <c r="EP15" s="82" t="s">
        <v>521</v>
      </c>
      <c r="EQ15" s="81">
        <f t="shared" si="27"/>
        <v>4.2262308903005437</v>
      </c>
      <c r="ER15" s="80">
        <f>EQ15/SUM(EQ8:EQ16)</f>
        <v>1.0363006740483103E-2</v>
      </c>
      <c r="ET15" s="75" t="s">
        <v>520</v>
      </c>
      <c r="EU15" s="72">
        <v>0.4774417616263959</v>
      </c>
      <c r="EW15" s="37" t="s">
        <v>2222</v>
      </c>
      <c r="EX15" s="36" t="s">
        <v>2247</v>
      </c>
      <c r="EY15" s="36" t="s">
        <v>1129</v>
      </c>
      <c r="EZ15" s="1" t="s">
        <v>1910</v>
      </c>
      <c r="FA15" s="36" t="str">
        <f t="shared" si="28"/>
        <v>INCOHT</v>
      </c>
      <c r="FB15" s="35" t="s">
        <v>438</v>
      </c>
      <c r="FC15" s="26">
        <f t="shared" si="29"/>
        <v>5.1174965443007601</v>
      </c>
      <c r="FD15" s="25">
        <f t="shared" si="30"/>
        <v>0.16085723185265216</v>
      </c>
      <c r="FE15" s="24">
        <f t="shared" si="31"/>
        <v>3.1432797357097426E-2</v>
      </c>
      <c r="FF15" s="102">
        <v>0</v>
      </c>
      <c r="FG15" s="86">
        <f t="shared" si="32"/>
        <v>0</v>
      </c>
      <c r="FI15" s="54" t="s">
        <v>1922</v>
      </c>
      <c r="FJ15" s="39">
        <v>0</v>
      </c>
      <c r="FK15" s="40">
        <v>0</v>
      </c>
      <c r="FL15" s="39">
        <v>0</v>
      </c>
      <c r="FM15" s="40">
        <v>0</v>
      </c>
      <c r="FN15" s="39">
        <v>0</v>
      </c>
      <c r="FO15" s="40">
        <v>0</v>
      </c>
      <c r="FP15" s="39">
        <v>0</v>
      </c>
      <c r="FQ15" s="40">
        <v>0</v>
      </c>
      <c r="FR15" s="113">
        <v>0</v>
      </c>
      <c r="FS15" s="66">
        <v>0</v>
      </c>
    </row>
    <row r="16" spans="1:175">
      <c r="A16" s="37" t="s">
        <v>2250</v>
      </c>
      <c r="B16" s="36" t="s">
        <v>1123</v>
      </c>
      <c r="C16" s="1" t="s">
        <v>1126</v>
      </c>
      <c r="D16" s="36" t="s">
        <v>1126</v>
      </c>
      <c r="E16" s="36" t="s">
        <v>2265</v>
      </c>
      <c r="F16" s="1" t="e">
        <f t="shared" ca="1" si="2"/>
        <v>#NAME?</v>
      </c>
      <c r="G16" s="35" t="s">
        <v>1121</v>
      </c>
      <c r="H16" s="43">
        <v>1</v>
      </c>
      <c r="I16" s="42">
        <v>0</v>
      </c>
      <c r="J16" s="26">
        <v>0.12902150952692693</v>
      </c>
      <c r="K16" s="25">
        <v>0.16302313989192954</v>
      </c>
      <c r="L16" s="24"/>
      <c r="M16" s="25"/>
      <c r="N16" s="24"/>
      <c r="O16" s="25"/>
      <c r="P16" s="24"/>
      <c r="Q16" s="25"/>
      <c r="R16" s="32"/>
      <c r="S16" s="47">
        <v>1</v>
      </c>
      <c r="T16" s="45">
        <v>1</v>
      </c>
      <c r="U16" s="46">
        <v>1</v>
      </c>
      <c r="V16" s="45">
        <v>1</v>
      </c>
      <c r="W16" s="46">
        <v>1</v>
      </c>
      <c r="X16" s="45">
        <v>1</v>
      </c>
      <c r="Y16" s="46">
        <v>1</v>
      </c>
      <c r="Z16" s="45">
        <v>1</v>
      </c>
      <c r="AA16" s="44">
        <v>1</v>
      </c>
      <c r="AB16" s="26">
        <f t="shared" si="3"/>
        <v>0.12902150952692693</v>
      </c>
      <c r="AC16" s="25">
        <f t="shared" si="4"/>
        <v>0.16302313989192954</v>
      </c>
      <c r="AD16" s="24">
        <f t="shared" si="5"/>
        <v>0</v>
      </c>
      <c r="AE16" s="25">
        <f t="shared" si="6"/>
        <v>0</v>
      </c>
      <c r="AF16" s="24">
        <f t="shared" si="7"/>
        <v>0</v>
      </c>
      <c r="AG16" s="25">
        <f t="shared" si="8"/>
        <v>0</v>
      </c>
      <c r="AH16" s="24">
        <f t="shared" si="9"/>
        <v>0</v>
      </c>
      <c r="AI16" s="25">
        <f t="shared" si="10"/>
        <v>0</v>
      </c>
      <c r="AJ16" s="24">
        <f t="shared" si="11"/>
        <v>0</v>
      </c>
      <c r="AK16" s="27">
        <f t="shared" si="12"/>
        <v>0.29204464941885644</v>
      </c>
      <c r="AL16" s="41">
        <v>0</v>
      </c>
      <c r="AM16" s="40">
        <v>0</v>
      </c>
      <c r="AN16" s="39">
        <v>0</v>
      </c>
      <c r="AO16" s="40">
        <v>0</v>
      </c>
      <c r="AP16" s="39">
        <v>0</v>
      </c>
      <c r="AQ16" s="40">
        <v>0</v>
      </c>
      <c r="AR16" s="39">
        <v>0</v>
      </c>
      <c r="AS16" s="40">
        <v>0</v>
      </c>
      <c r="AT16" s="39">
        <v>0</v>
      </c>
      <c r="AU16" s="38">
        <v>0</v>
      </c>
      <c r="AW16" s="100" t="s">
        <v>1145</v>
      </c>
      <c r="AX16" s="41">
        <v>0.28196851969131048</v>
      </c>
      <c r="AY16" s="40">
        <v>0.77616446891000934</v>
      </c>
      <c r="AZ16" s="39">
        <v>0.86095523823622044</v>
      </c>
      <c r="BA16" s="40">
        <v>0.58314545441232346</v>
      </c>
      <c r="BB16" s="39">
        <v>0.34724512911936145</v>
      </c>
      <c r="BC16" s="40">
        <v>0.30267470986540346</v>
      </c>
      <c r="BD16" s="39">
        <v>1.051492656361928</v>
      </c>
      <c r="BE16" s="40">
        <v>0.23721997502796063</v>
      </c>
      <c r="BF16" s="39">
        <v>0.14874772901926309</v>
      </c>
      <c r="BG16" s="81">
        <v>4.5896138806437801</v>
      </c>
      <c r="BH16" s="66">
        <v>0</v>
      </c>
      <c r="BJ16" s="37" t="s">
        <v>2222</v>
      </c>
      <c r="BK16" s="36" t="s">
        <v>2247</v>
      </c>
      <c r="BL16" s="1" t="s">
        <v>1150</v>
      </c>
      <c r="BM16" s="36" t="s">
        <v>1902</v>
      </c>
      <c r="BN16" s="82" t="str">
        <f t="shared" ref="BN16:BN22" si="40">BK16&amp;BM16</f>
        <v>INCETC</v>
      </c>
      <c r="BO16" s="26">
        <f t="shared" ref="BO16:BW22" si="41">IF(ISERROR(GETPIVOTDATA("Sum of "&amp;BO$1&amp;" (Out)",$AW$6,"Sub-Sector",$BJ16,"End-Use",$BL16)),0,GETPIVOTDATA("Sum of "&amp;BO$1&amp;" (Out)",$AW$6,"Sub-Sector",$BJ16,"End-Use",$BL16))</f>
        <v>0</v>
      </c>
      <c r="BP16" s="25">
        <f t="shared" si="41"/>
        <v>0</v>
      </c>
      <c r="BQ16" s="24">
        <f t="shared" si="41"/>
        <v>0</v>
      </c>
      <c r="BR16" s="25">
        <f t="shared" si="41"/>
        <v>0</v>
      </c>
      <c r="BS16" s="24">
        <f t="shared" si="41"/>
        <v>0</v>
      </c>
      <c r="BT16" s="25">
        <f t="shared" si="41"/>
        <v>0</v>
      </c>
      <c r="BU16" s="24">
        <f t="shared" si="41"/>
        <v>0</v>
      </c>
      <c r="BV16" s="25">
        <f t="shared" si="41"/>
        <v>0</v>
      </c>
      <c r="BW16" s="32">
        <f t="shared" si="41"/>
        <v>0</v>
      </c>
      <c r="BX16" s="26">
        <f t="shared" ref="BX16:CF16" si="42">BO16/BO23</f>
        <v>0</v>
      </c>
      <c r="BY16" s="25">
        <f t="shared" si="42"/>
        <v>0</v>
      </c>
      <c r="BZ16" s="24">
        <f t="shared" si="42"/>
        <v>0</v>
      </c>
      <c r="CA16" s="25">
        <f t="shared" si="42"/>
        <v>0</v>
      </c>
      <c r="CB16" s="24">
        <f t="shared" si="42"/>
        <v>0</v>
      </c>
      <c r="CC16" s="25">
        <f t="shared" si="42"/>
        <v>0</v>
      </c>
      <c r="CD16" s="24">
        <f t="shared" si="42"/>
        <v>0</v>
      </c>
      <c r="CE16" s="25">
        <f t="shared" si="42"/>
        <v>0</v>
      </c>
      <c r="CF16" s="32">
        <f t="shared" si="42"/>
        <v>0</v>
      </c>
      <c r="CH16" s="54" t="s">
        <v>2264</v>
      </c>
      <c r="CI16" s="41">
        <v>2.1221408732446628E-2</v>
      </c>
      <c r="CJ16" s="40">
        <v>2.2867107206055684E-2</v>
      </c>
      <c r="CK16" s="39">
        <v>2.1721345147277759E-2</v>
      </c>
      <c r="CL16" s="40">
        <v>2.1539276503383959E-2</v>
      </c>
      <c r="CM16" s="39">
        <v>1.4429560138414257E-2</v>
      </c>
      <c r="CN16" s="40">
        <v>1.6836106482150063E-2</v>
      </c>
      <c r="CO16" s="39">
        <v>1.4857847930594586E-2</v>
      </c>
      <c r="CP16" s="40">
        <v>1.8327423123607672E-2</v>
      </c>
      <c r="CQ16" s="66">
        <v>1.8986935902582578E-2</v>
      </c>
      <c r="CS16" s="54" t="s">
        <v>1598</v>
      </c>
      <c r="CT16" s="39">
        <v>0</v>
      </c>
      <c r="CU16" s="40">
        <v>0</v>
      </c>
      <c r="CV16" s="39">
        <v>0.19048719943173875</v>
      </c>
      <c r="CW16" s="40">
        <v>0.12902150952692693</v>
      </c>
      <c r="CX16" s="39">
        <v>0.16302313989192954</v>
      </c>
      <c r="CY16" s="40">
        <v>0.14209841241912938</v>
      </c>
      <c r="CZ16" s="39">
        <v>0.49365022008560533</v>
      </c>
      <c r="DA16" s="40">
        <v>9.8186774651898234E-2</v>
      </c>
      <c r="DB16" s="39">
        <v>6.1567579827434611E-2</v>
      </c>
      <c r="DC16" s="38">
        <v>1.2780348358346627</v>
      </c>
      <c r="DE16" s="37" t="s">
        <v>2009</v>
      </c>
      <c r="DF16" s="35" t="str">
        <f t="shared" si="16"/>
        <v>IFDOH</v>
      </c>
      <c r="DG16" s="26">
        <f t="shared" si="17"/>
        <v>2.6993181105503441E-2</v>
      </c>
      <c r="DH16" s="25">
        <f t="shared" si="17"/>
        <v>7.4303145967788822E-2</v>
      </c>
      <c r="DI16" s="24">
        <f t="shared" si="17"/>
        <v>6.0391636020816916E-2</v>
      </c>
      <c r="DJ16" s="25">
        <f t="shared" si="17"/>
        <v>4.0904691052475364E-2</v>
      </c>
      <c r="DK16" s="24">
        <f t="shared" si="17"/>
        <v>4.1347593567208386E-2</v>
      </c>
      <c r="DL16" s="25">
        <f t="shared" si="17"/>
        <v>3.6040450497681654E-2</v>
      </c>
      <c r="DM16" s="24">
        <f t="shared" si="17"/>
        <v>0.12520461008169453</v>
      </c>
      <c r="DN16" s="25">
        <f t="shared" si="17"/>
        <v>0</v>
      </c>
      <c r="DO16" s="32">
        <f t="shared" si="17"/>
        <v>0</v>
      </c>
      <c r="DP16" s="26">
        <f t="shared" si="18"/>
        <v>4.6178651897697091E-2</v>
      </c>
      <c r="DQ16" s="25">
        <f t="shared" si="19"/>
        <v>5.110017356608499E-2</v>
      </c>
      <c r="DR16" s="24">
        <f t="shared" si="20"/>
        <v>4.6726286017917821E-3</v>
      </c>
      <c r="DS16" s="25">
        <f t="shared" si="21"/>
        <v>5.3442480263682863E-3</v>
      </c>
      <c r="DT16" s="24">
        <f t="shared" si="22"/>
        <v>1.1941657856606835E-2</v>
      </c>
      <c r="DU16" s="25">
        <f t="shared" si="23"/>
        <v>1.4750590584483133E-2</v>
      </c>
      <c r="DV16" s="24">
        <f t="shared" si="24"/>
        <v>1.2210680091058784E-2</v>
      </c>
      <c r="DW16" s="25">
        <f t="shared" si="25"/>
        <v>0</v>
      </c>
      <c r="DX16" s="32">
        <f t="shared" si="26"/>
        <v>0</v>
      </c>
      <c r="DZ16" s="54" t="s">
        <v>1592</v>
      </c>
      <c r="EA16" s="39">
        <v>0</v>
      </c>
      <c r="EB16" s="40">
        <v>0</v>
      </c>
      <c r="EC16" s="39">
        <v>0</v>
      </c>
      <c r="ED16" s="40">
        <v>0</v>
      </c>
      <c r="EE16" s="39">
        <v>1.9987497592290571E-2</v>
      </c>
      <c r="EF16" s="40">
        <v>1.9987497592290571E-2</v>
      </c>
      <c r="EG16" s="39">
        <v>1.9987497592290571E-2</v>
      </c>
      <c r="EH16" s="40">
        <v>0</v>
      </c>
      <c r="EI16" s="66">
        <v>0</v>
      </c>
      <c r="EK16" s="115" t="s">
        <v>2263</v>
      </c>
      <c r="EL16" s="114"/>
      <c r="EM16" s="114"/>
      <c r="EO16" s="79" t="s">
        <v>2250</v>
      </c>
      <c r="EP16" s="78" t="s">
        <v>522</v>
      </c>
      <c r="EQ16" s="77">
        <f t="shared" si="27"/>
        <v>1.861501173267583</v>
      </c>
      <c r="ER16" s="76">
        <f>EQ16/SUM(EQ8:EQ16)</f>
        <v>4.564527993551561E-3</v>
      </c>
      <c r="ET16" s="75" t="s">
        <v>521</v>
      </c>
      <c r="EU16" s="72">
        <v>1.0363006740483103E-2</v>
      </c>
      <c r="EW16" s="37" t="s">
        <v>2222</v>
      </c>
      <c r="EX16" s="36" t="s">
        <v>2247</v>
      </c>
      <c r="EY16" s="36" t="s">
        <v>1145</v>
      </c>
      <c r="EZ16" s="1" t="s">
        <v>1945</v>
      </c>
      <c r="FA16" s="36" t="str">
        <f t="shared" si="28"/>
        <v>INCFAC</v>
      </c>
      <c r="FB16" s="1" t="s">
        <v>440</v>
      </c>
      <c r="FC16" s="26">
        <f t="shared" si="29"/>
        <v>19.35130550253648</v>
      </c>
      <c r="FD16" s="25">
        <f t="shared" si="30"/>
        <v>0.77616446891000934</v>
      </c>
      <c r="FE16" s="24">
        <f t="shared" si="31"/>
        <v>4.0109152780843302E-2</v>
      </c>
      <c r="FF16" s="36">
        <v>0</v>
      </c>
      <c r="FG16" s="86">
        <f t="shared" si="32"/>
        <v>0</v>
      </c>
      <c r="FI16" s="54" t="s">
        <v>2108</v>
      </c>
      <c r="FJ16" s="24">
        <v>0.35116660690792934</v>
      </c>
      <c r="FK16" s="40">
        <v>0</v>
      </c>
      <c r="FL16" s="24">
        <v>0.41929071662573847</v>
      </c>
      <c r="FM16" s="40">
        <v>0</v>
      </c>
      <c r="FN16" s="39">
        <v>0</v>
      </c>
      <c r="FO16" s="40">
        <v>0</v>
      </c>
      <c r="FP16" s="39">
        <v>0</v>
      </c>
      <c r="FQ16" s="40">
        <v>0</v>
      </c>
      <c r="FR16" s="113">
        <v>0</v>
      </c>
      <c r="FS16" s="32">
        <v>0.7704573235336678</v>
      </c>
    </row>
    <row r="17" spans="1:175">
      <c r="A17" s="37" t="s">
        <v>2250</v>
      </c>
      <c r="B17" s="36" t="s">
        <v>1123</v>
      </c>
      <c r="C17" s="1" t="s">
        <v>665</v>
      </c>
      <c r="D17" s="36" t="s">
        <v>665</v>
      </c>
      <c r="E17" s="36" t="s">
        <v>2262</v>
      </c>
      <c r="F17" s="1" t="e">
        <f t="shared" ca="1" si="2"/>
        <v>#NAME?</v>
      </c>
      <c r="G17" s="35" t="s">
        <v>1121</v>
      </c>
      <c r="H17" s="43">
        <v>1</v>
      </c>
      <c r="I17" s="42">
        <v>0</v>
      </c>
      <c r="J17" s="26">
        <v>7.7841650815322865</v>
      </c>
      <c r="K17" s="25">
        <v>15.736898911587071</v>
      </c>
      <c r="L17" s="24"/>
      <c r="M17" s="25"/>
      <c r="N17" s="24"/>
      <c r="O17" s="25"/>
      <c r="P17" s="24"/>
      <c r="Q17" s="25"/>
      <c r="R17" s="32"/>
      <c r="S17" s="47">
        <v>1</v>
      </c>
      <c r="T17" s="45">
        <v>1</v>
      </c>
      <c r="U17" s="46">
        <v>1</v>
      </c>
      <c r="V17" s="45">
        <v>1</v>
      </c>
      <c r="W17" s="46">
        <v>1</v>
      </c>
      <c r="X17" s="45">
        <v>1</v>
      </c>
      <c r="Y17" s="46">
        <v>1</v>
      </c>
      <c r="Z17" s="45">
        <v>1</v>
      </c>
      <c r="AA17" s="44">
        <v>1</v>
      </c>
      <c r="AB17" s="26">
        <f t="shared" si="3"/>
        <v>7.7841650815322865</v>
      </c>
      <c r="AC17" s="25">
        <f t="shared" si="4"/>
        <v>15.736898911587071</v>
      </c>
      <c r="AD17" s="24">
        <f t="shared" si="5"/>
        <v>0</v>
      </c>
      <c r="AE17" s="25">
        <f t="shared" si="6"/>
        <v>0</v>
      </c>
      <c r="AF17" s="24">
        <f t="shared" si="7"/>
        <v>0</v>
      </c>
      <c r="AG17" s="25">
        <f t="shared" si="8"/>
        <v>0</v>
      </c>
      <c r="AH17" s="24">
        <f t="shared" si="9"/>
        <v>0</v>
      </c>
      <c r="AI17" s="25">
        <f t="shared" si="10"/>
        <v>0</v>
      </c>
      <c r="AJ17" s="24">
        <f t="shared" si="11"/>
        <v>0</v>
      </c>
      <c r="AK17" s="27">
        <f t="shared" si="12"/>
        <v>23.521063993119355</v>
      </c>
      <c r="AL17" s="41">
        <v>0</v>
      </c>
      <c r="AM17" s="40">
        <v>0</v>
      </c>
      <c r="AN17" s="39">
        <v>0</v>
      </c>
      <c r="AO17" s="40">
        <v>0</v>
      </c>
      <c r="AP17" s="39">
        <v>0</v>
      </c>
      <c r="AQ17" s="40">
        <v>0</v>
      </c>
      <c r="AR17" s="39">
        <v>0</v>
      </c>
      <c r="AS17" s="40">
        <v>0</v>
      </c>
      <c r="AT17" s="39">
        <v>0</v>
      </c>
      <c r="AU17" s="38">
        <v>0</v>
      </c>
      <c r="AW17" s="100" t="s">
        <v>1139</v>
      </c>
      <c r="AX17" s="41">
        <v>0</v>
      </c>
      <c r="AY17" s="40">
        <v>0</v>
      </c>
      <c r="AZ17" s="39">
        <v>0</v>
      </c>
      <c r="BA17" s="40">
        <v>0</v>
      </c>
      <c r="BB17" s="39">
        <v>0.239530940253013</v>
      </c>
      <c r="BC17" s="40">
        <v>0.20878610458477298</v>
      </c>
      <c r="BD17" s="39">
        <v>0.72532342004698147</v>
      </c>
      <c r="BE17" s="40">
        <v>0</v>
      </c>
      <c r="BF17" s="39">
        <v>0</v>
      </c>
      <c r="BG17" s="81">
        <v>1.1736404648847676</v>
      </c>
      <c r="BH17" s="66">
        <v>0</v>
      </c>
      <c r="BJ17" s="37" t="s">
        <v>2222</v>
      </c>
      <c r="BK17" s="36" t="s">
        <v>2247</v>
      </c>
      <c r="BL17" s="1" t="s">
        <v>1145</v>
      </c>
      <c r="BM17" s="36" t="s">
        <v>1945</v>
      </c>
      <c r="BN17" s="82" t="str">
        <f t="shared" si="40"/>
        <v>INCFAC</v>
      </c>
      <c r="BO17" s="26">
        <f t="shared" si="41"/>
        <v>0.28196851969131048</v>
      </c>
      <c r="BP17" s="25">
        <f t="shared" si="41"/>
        <v>0.77616446891000934</v>
      </c>
      <c r="BQ17" s="24">
        <f t="shared" si="41"/>
        <v>0.86095523823622044</v>
      </c>
      <c r="BR17" s="25">
        <f t="shared" si="41"/>
        <v>0.58314545441232346</v>
      </c>
      <c r="BS17" s="24">
        <f t="shared" si="41"/>
        <v>0.34724512911936145</v>
      </c>
      <c r="BT17" s="25">
        <f t="shared" si="41"/>
        <v>0.30267470986540346</v>
      </c>
      <c r="BU17" s="24">
        <f t="shared" si="41"/>
        <v>1.051492656361928</v>
      </c>
      <c r="BV17" s="25">
        <f t="shared" si="41"/>
        <v>0.23721997502796063</v>
      </c>
      <c r="BW17" s="32">
        <f t="shared" si="41"/>
        <v>0.14874772901926309</v>
      </c>
      <c r="BX17" s="26">
        <f t="shared" ref="BX17:CF17" si="43">BO17/BO23</f>
        <v>5.5098917459032275E-2</v>
      </c>
      <c r="BY17" s="25">
        <f t="shared" si="43"/>
        <v>4.0109152780843302E-2</v>
      </c>
      <c r="BZ17" s="24">
        <f t="shared" si="43"/>
        <v>1.978975810520784E-2</v>
      </c>
      <c r="CA17" s="25">
        <f t="shared" si="43"/>
        <v>1.978975810520784E-2</v>
      </c>
      <c r="CB17" s="24">
        <f t="shared" si="43"/>
        <v>1.9138069491448331E-2</v>
      </c>
      <c r="CC17" s="25">
        <f t="shared" si="43"/>
        <v>1.9138069491448331E-2</v>
      </c>
      <c r="CD17" s="24">
        <f t="shared" si="43"/>
        <v>1.9138069491448334E-2</v>
      </c>
      <c r="CE17" s="25">
        <f t="shared" si="43"/>
        <v>9.207721845723953E-3</v>
      </c>
      <c r="CF17" s="32">
        <f t="shared" si="43"/>
        <v>9.2077218457239512E-3</v>
      </c>
      <c r="CH17" s="54" t="s">
        <v>2261</v>
      </c>
      <c r="CI17" s="41">
        <v>0</v>
      </c>
      <c r="CJ17" s="40">
        <v>0</v>
      </c>
      <c r="CK17" s="39">
        <v>9.1575283159731416E-2</v>
      </c>
      <c r="CL17" s="40">
        <v>9.080769774980238E-2</v>
      </c>
      <c r="CM17" s="39">
        <v>0.30963528492148312</v>
      </c>
      <c r="CN17" s="40">
        <v>0.3612759209264334</v>
      </c>
      <c r="CO17" s="39">
        <v>0.31882565602691337</v>
      </c>
      <c r="CP17" s="40">
        <v>0.25056949920774563</v>
      </c>
      <c r="CQ17" s="66">
        <v>0.25958624889668502</v>
      </c>
      <c r="CS17" s="54" t="s">
        <v>1595</v>
      </c>
      <c r="CT17" s="39">
        <v>0</v>
      </c>
      <c r="CU17" s="40">
        <v>0</v>
      </c>
      <c r="CV17" s="39">
        <v>11.492531840095692</v>
      </c>
      <c r="CW17" s="40">
        <v>7.7841650815322865</v>
      </c>
      <c r="CX17" s="39">
        <v>15.736898911587071</v>
      </c>
      <c r="CY17" s="40">
        <v>13.716999643236234</v>
      </c>
      <c r="CZ17" s="39">
        <v>47.65288913168861</v>
      </c>
      <c r="DA17" s="40">
        <v>1.3540193024797487</v>
      </c>
      <c r="DB17" s="39">
        <v>0.84903177427773469</v>
      </c>
      <c r="DC17" s="38">
        <v>98.58653568489737</v>
      </c>
      <c r="DE17" s="37" t="s">
        <v>2021</v>
      </c>
      <c r="DF17" s="35" t="str">
        <f t="shared" si="16"/>
        <v>IFDOH</v>
      </c>
      <c r="DG17" s="26">
        <f t="shared" si="17"/>
        <v>1.4201578664393994E-3</v>
      </c>
      <c r="DH17" s="25">
        <f t="shared" si="17"/>
        <v>3.9092168068266724E-3</v>
      </c>
      <c r="DI17" s="24">
        <f t="shared" si="17"/>
        <v>0.46070969593762284</v>
      </c>
      <c r="DJ17" s="25">
        <f t="shared" si="17"/>
        <v>0.31204963168595751</v>
      </c>
      <c r="DK17" s="24">
        <f t="shared" si="17"/>
        <v>1.7402946331757266E-2</v>
      </c>
      <c r="DL17" s="25">
        <f t="shared" si="17"/>
        <v>1.5169202646920933E-2</v>
      </c>
      <c r="DM17" s="24">
        <f t="shared" si="17"/>
        <v>5.2697845793578953E-2</v>
      </c>
      <c r="DN17" s="25">
        <f t="shared" si="17"/>
        <v>6.5509840002164643E-2</v>
      </c>
      <c r="DO17" s="32">
        <f t="shared" si="17"/>
        <v>4.1077653463156769E-2</v>
      </c>
      <c r="DP17" s="26">
        <f t="shared" si="18"/>
        <v>2.4295386119093021E-3</v>
      </c>
      <c r="DQ17" s="25">
        <f t="shared" si="19"/>
        <v>2.6884683647566987E-3</v>
      </c>
      <c r="DR17" s="24">
        <f t="shared" si="20"/>
        <v>3.5646083534131942E-2</v>
      </c>
      <c r="DS17" s="25">
        <f t="shared" si="21"/>
        <v>4.0769666885571286E-2</v>
      </c>
      <c r="DT17" s="24">
        <f t="shared" si="22"/>
        <v>5.0261699136839848E-3</v>
      </c>
      <c r="DU17" s="25">
        <f t="shared" si="23"/>
        <v>6.2084323211271135E-3</v>
      </c>
      <c r="DV17" s="24">
        <f t="shared" si="24"/>
        <v>5.1393997078340772E-3</v>
      </c>
      <c r="DW17" s="25">
        <f t="shared" si="25"/>
        <v>1.2610674979084947E-2</v>
      </c>
      <c r="DX17" s="32">
        <f t="shared" si="26"/>
        <v>1.659801780880453E-2</v>
      </c>
      <c r="DZ17" s="54" t="s">
        <v>1598</v>
      </c>
      <c r="EA17" s="39">
        <v>0</v>
      </c>
      <c r="EB17" s="40">
        <v>0</v>
      </c>
      <c r="EC17" s="39">
        <v>1.6304621158902417E-2</v>
      </c>
      <c r="ED17" s="40">
        <v>1.6304621158902414E-2</v>
      </c>
      <c r="EE17" s="39">
        <v>1.0048144560620078E-2</v>
      </c>
      <c r="EF17" s="40">
        <v>1.0048144560620077E-2</v>
      </c>
      <c r="EG17" s="39">
        <v>1.0048144560620077E-2</v>
      </c>
      <c r="EH17" s="40">
        <v>6.7612149679082564E-2</v>
      </c>
      <c r="EI17" s="66">
        <v>6.7612149679082564E-2</v>
      </c>
      <c r="EK17" s="114"/>
      <c r="EL17" s="114"/>
      <c r="EO17" s="83" t="s">
        <v>2222</v>
      </c>
      <c r="EP17" s="82" t="s">
        <v>438</v>
      </c>
      <c r="EQ17" s="81">
        <f t="shared" si="27"/>
        <v>5.1174965443007601</v>
      </c>
      <c r="ER17" s="80">
        <f>EQ17/SUM(EQ17:EQ25)</f>
        <v>2.241952074250482E-2</v>
      </c>
      <c r="ET17" s="75" t="s">
        <v>522</v>
      </c>
      <c r="EU17" s="72">
        <v>4.564527993551561E-3</v>
      </c>
      <c r="EW17" s="37" t="s">
        <v>2222</v>
      </c>
      <c r="EX17" s="36" t="s">
        <v>2247</v>
      </c>
      <c r="EY17" s="36" t="s">
        <v>1145</v>
      </c>
      <c r="EZ17" s="1" t="s">
        <v>1945</v>
      </c>
      <c r="FA17" s="36" t="str">
        <f t="shared" si="28"/>
        <v>INCFAC</v>
      </c>
      <c r="FB17" s="1" t="s">
        <v>439</v>
      </c>
      <c r="FC17" s="26">
        <f t="shared" si="29"/>
        <v>43.505091555901984</v>
      </c>
      <c r="FD17" s="25">
        <f t="shared" si="30"/>
        <v>0.86095523823622044</v>
      </c>
      <c r="FE17" s="24">
        <f t="shared" si="31"/>
        <v>1.978975810520784E-2</v>
      </c>
      <c r="FF17" s="36">
        <v>0</v>
      </c>
      <c r="FG17" s="86">
        <f t="shared" si="32"/>
        <v>0</v>
      </c>
      <c r="FI17" s="54" t="s">
        <v>1950</v>
      </c>
      <c r="FJ17" s="39">
        <v>0</v>
      </c>
      <c r="FK17" s="25">
        <v>1.2620858902727718</v>
      </c>
      <c r="FL17" s="24">
        <v>0.56694565112485407</v>
      </c>
      <c r="FM17" s="25">
        <v>0.54892285440689648</v>
      </c>
      <c r="FN17" s="39">
        <v>0</v>
      </c>
      <c r="FO17" s="40">
        <v>0</v>
      </c>
      <c r="FP17" s="24">
        <v>0.80530889314674425</v>
      </c>
      <c r="FQ17" s="40">
        <v>0</v>
      </c>
      <c r="FR17" s="113">
        <v>0</v>
      </c>
      <c r="FS17" s="32">
        <v>3.1832632889512666</v>
      </c>
    </row>
    <row r="18" spans="1:175">
      <c r="A18" s="37" t="s">
        <v>2250</v>
      </c>
      <c r="B18" s="36" t="s">
        <v>1123</v>
      </c>
      <c r="C18" s="1" t="s">
        <v>1106</v>
      </c>
      <c r="D18" s="36" t="s">
        <v>1106</v>
      </c>
      <c r="E18" s="36" t="s">
        <v>2260</v>
      </c>
      <c r="F18" s="1" t="e">
        <f t="shared" ca="1" si="2"/>
        <v>#NAME?</v>
      </c>
      <c r="G18" s="35" t="s">
        <v>1121</v>
      </c>
      <c r="H18" s="43">
        <v>1</v>
      </c>
      <c r="I18" s="42">
        <v>0</v>
      </c>
      <c r="J18" s="26">
        <v>0</v>
      </c>
      <c r="K18" s="25">
        <v>0.32428122390354136</v>
      </c>
      <c r="L18" s="24"/>
      <c r="M18" s="25"/>
      <c r="N18" s="24"/>
      <c r="O18" s="25"/>
      <c r="P18" s="24"/>
      <c r="Q18" s="25"/>
      <c r="R18" s="32"/>
      <c r="S18" s="47">
        <v>1</v>
      </c>
      <c r="T18" s="45">
        <v>1</v>
      </c>
      <c r="U18" s="46">
        <v>1</v>
      </c>
      <c r="V18" s="45">
        <v>1</v>
      </c>
      <c r="W18" s="46">
        <v>1</v>
      </c>
      <c r="X18" s="45">
        <v>1</v>
      </c>
      <c r="Y18" s="46">
        <v>1</v>
      </c>
      <c r="Z18" s="45">
        <v>1</v>
      </c>
      <c r="AA18" s="44">
        <v>1</v>
      </c>
      <c r="AB18" s="26">
        <f t="shared" si="3"/>
        <v>0</v>
      </c>
      <c r="AC18" s="25">
        <f t="shared" si="4"/>
        <v>0.32428122390354136</v>
      </c>
      <c r="AD18" s="24">
        <f t="shared" si="5"/>
        <v>0</v>
      </c>
      <c r="AE18" s="25">
        <f t="shared" si="6"/>
        <v>0</v>
      </c>
      <c r="AF18" s="24">
        <f t="shared" si="7"/>
        <v>0</v>
      </c>
      <c r="AG18" s="25">
        <f t="shared" si="8"/>
        <v>0</v>
      </c>
      <c r="AH18" s="24">
        <f t="shared" si="9"/>
        <v>0</v>
      </c>
      <c r="AI18" s="25">
        <f t="shared" si="10"/>
        <v>0</v>
      </c>
      <c r="AJ18" s="24">
        <f t="shared" si="11"/>
        <v>0</v>
      </c>
      <c r="AK18" s="27">
        <f t="shared" si="12"/>
        <v>0.32428122390354136</v>
      </c>
      <c r="AL18" s="41">
        <v>0</v>
      </c>
      <c r="AM18" s="40">
        <v>0</v>
      </c>
      <c r="AN18" s="39">
        <v>0</v>
      </c>
      <c r="AO18" s="40">
        <v>0</v>
      </c>
      <c r="AP18" s="39">
        <v>0</v>
      </c>
      <c r="AQ18" s="40">
        <v>0</v>
      </c>
      <c r="AR18" s="39">
        <v>0</v>
      </c>
      <c r="AS18" s="40">
        <v>0</v>
      </c>
      <c r="AT18" s="39">
        <v>0</v>
      </c>
      <c r="AU18" s="38">
        <v>0</v>
      </c>
      <c r="AW18" s="100" t="s">
        <v>1136</v>
      </c>
      <c r="AX18" s="41">
        <v>0.56568417044145214</v>
      </c>
      <c r="AY18" s="40">
        <v>1.5571382018182778</v>
      </c>
      <c r="AZ18" s="39">
        <v>3.7968025025112118</v>
      </c>
      <c r="BA18" s="40">
        <v>2.5716646142679807</v>
      </c>
      <c r="BB18" s="39">
        <v>1.87742370922103</v>
      </c>
      <c r="BC18" s="40">
        <v>1.6364482287311684</v>
      </c>
      <c r="BD18" s="39">
        <v>5.6850250085066341</v>
      </c>
      <c r="BE18" s="40">
        <v>2.6094197253075668</v>
      </c>
      <c r="BF18" s="39">
        <v>1.6362250192118939</v>
      </c>
      <c r="BG18" s="81">
        <v>21.935831180017217</v>
      </c>
      <c r="BH18" s="66">
        <v>0</v>
      </c>
      <c r="BJ18" s="37" t="s">
        <v>2222</v>
      </c>
      <c r="BK18" s="36" t="s">
        <v>2247</v>
      </c>
      <c r="BL18" s="1" t="s">
        <v>1139</v>
      </c>
      <c r="BM18" s="36" t="s">
        <v>1943</v>
      </c>
      <c r="BN18" s="82" t="str">
        <f t="shared" si="40"/>
        <v>INCFEED</v>
      </c>
      <c r="BO18" s="26">
        <f t="shared" si="41"/>
        <v>0</v>
      </c>
      <c r="BP18" s="25">
        <f t="shared" si="41"/>
        <v>0</v>
      </c>
      <c r="BQ18" s="24">
        <f t="shared" si="41"/>
        <v>0</v>
      </c>
      <c r="BR18" s="25">
        <f t="shared" si="41"/>
        <v>0</v>
      </c>
      <c r="BS18" s="24">
        <f t="shared" si="41"/>
        <v>0.239530940253013</v>
      </c>
      <c r="BT18" s="25">
        <f t="shared" si="41"/>
        <v>0.20878610458477298</v>
      </c>
      <c r="BU18" s="24">
        <f t="shared" si="41"/>
        <v>0.72532342004698147</v>
      </c>
      <c r="BV18" s="25">
        <f t="shared" si="41"/>
        <v>0</v>
      </c>
      <c r="BW18" s="32">
        <f t="shared" si="41"/>
        <v>0</v>
      </c>
      <c r="BX18" s="26">
        <f t="shared" ref="BX18:CF18" si="44">BO18/BO23</f>
        <v>0</v>
      </c>
      <c r="BY18" s="25">
        <f t="shared" si="44"/>
        <v>0</v>
      </c>
      <c r="BZ18" s="24">
        <f t="shared" si="44"/>
        <v>0</v>
      </c>
      <c r="CA18" s="25">
        <f t="shared" si="44"/>
        <v>0</v>
      </c>
      <c r="CB18" s="24">
        <f t="shared" si="44"/>
        <v>1.3201509237983782E-2</v>
      </c>
      <c r="CC18" s="25">
        <f t="shared" si="44"/>
        <v>1.3201509237983782E-2</v>
      </c>
      <c r="CD18" s="24">
        <f t="shared" si="44"/>
        <v>1.3201509237983784E-2</v>
      </c>
      <c r="CE18" s="25">
        <f t="shared" si="44"/>
        <v>0</v>
      </c>
      <c r="CF18" s="32">
        <f t="shared" si="44"/>
        <v>0</v>
      </c>
      <c r="CH18" s="54" t="s">
        <v>2259</v>
      </c>
      <c r="CI18" s="41">
        <v>0.38493682260525153</v>
      </c>
      <c r="CJ18" s="40">
        <v>0.41478827824536668</v>
      </c>
      <c r="CK18" s="39">
        <v>0.3936644670221453</v>
      </c>
      <c r="CL18" s="40">
        <v>0.3903647654993378</v>
      </c>
      <c r="CM18" s="39">
        <v>0.26018528636215837</v>
      </c>
      <c r="CN18" s="40">
        <v>0.3035787053979736</v>
      </c>
      <c r="CO18" s="39">
        <v>0.26790791829167898</v>
      </c>
      <c r="CP18" s="40">
        <v>0.33074365145774476</v>
      </c>
      <c r="CQ18" s="66">
        <v>0.34264547001838186</v>
      </c>
      <c r="CS18" s="54" t="s">
        <v>1592</v>
      </c>
      <c r="CT18" s="39">
        <v>0</v>
      </c>
      <c r="CU18" s="40">
        <v>0</v>
      </c>
      <c r="CV18" s="39">
        <v>0</v>
      </c>
      <c r="CW18" s="40">
        <v>0</v>
      </c>
      <c r="CX18" s="39">
        <v>0.32428122390354136</v>
      </c>
      <c r="CY18" s="40">
        <v>0.28265832153995119</v>
      </c>
      <c r="CZ18" s="39">
        <v>0.98195567608213818</v>
      </c>
      <c r="DA18" s="40">
        <v>0</v>
      </c>
      <c r="DB18" s="39">
        <v>0</v>
      </c>
      <c r="DC18" s="38">
        <v>1.5888952215256307</v>
      </c>
      <c r="DE18" s="37" t="s">
        <v>1785</v>
      </c>
      <c r="DF18" s="35" t="str">
        <f t="shared" si="16"/>
        <v>INGOH</v>
      </c>
      <c r="DG18" s="26">
        <f t="shared" ref="DG18:DO27" si="45">GETPIVOTDATA("Sum of "&amp;DG$1&amp;" (Out)",$CS$6,"Constraint Identifier",$DE18)</f>
        <v>1.3868583455578707</v>
      </c>
      <c r="DH18" s="25">
        <f t="shared" si="45"/>
        <v>3.8175544291674051</v>
      </c>
      <c r="DI18" s="24">
        <f t="shared" si="45"/>
        <v>5.5474436879025086</v>
      </c>
      <c r="DJ18" s="25">
        <f t="shared" si="45"/>
        <v>3.7574155153941993</v>
      </c>
      <c r="DK18" s="24">
        <f t="shared" si="45"/>
        <v>2.3496717693370841</v>
      </c>
      <c r="DL18" s="25">
        <f t="shared" si="45"/>
        <v>2.0480812009275708</v>
      </c>
      <c r="DM18" s="24">
        <f t="shared" si="45"/>
        <v>7.1150389253397455</v>
      </c>
      <c r="DN18" s="25">
        <f t="shared" si="45"/>
        <v>2.6171092224432893</v>
      </c>
      <c r="DO18" s="32">
        <f t="shared" si="45"/>
        <v>1.6410466841501188</v>
      </c>
      <c r="DP18" s="26">
        <f t="shared" si="18"/>
        <v>0.43829122263782361</v>
      </c>
      <c r="DQ18" s="25">
        <f t="shared" si="19"/>
        <v>0.43829122263782355</v>
      </c>
      <c r="DR18" s="24">
        <f t="shared" si="20"/>
        <v>0.43881856721223877</v>
      </c>
      <c r="DS18" s="25">
        <f t="shared" si="21"/>
        <v>0.43881856721223889</v>
      </c>
      <c r="DT18" s="24">
        <f t="shared" si="22"/>
        <v>0.43872253590973198</v>
      </c>
      <c r="DU18" s="25">
        <f t="shared" si="23"/>
        <v>0.43872253590973204</v>
      </c>
      <c r="DV18" s="24">
        <f t="shared" si="24"/>
        <v>0.43872253590973204</v>
      </c>
      <c r="DW18" s="25">
        <f t="shared" si="25"/>
        <v>0.43888153309934547</v>
      </c>
      <c r="DX18" s="32">
        <f t="shared" si="26"/>
        <v>0.43888153309934547</v>
      </c>
      <c r="DZ18" s="54" t="s">
        <v>1595</v>
      </c>
      <c r="EA18" s="39">
        <v>0</v>
      </c>
      <c r="EB18" s="40">
        <v>0</v>
      </c>
      <c r="EC18" s="39">
        <v>0.9836953788410977</v>
      </c>
      <c r="ED18" s="40">
        <v>0.98369537884109759</v>
      </c>
      <c r="EE18" s="39">
        <v>0.96996435784708934</v>
      </c>
      <c r="EF18" s="40">
        <v>0.96996435784708934</v>
      </c>
      <c r="EG18" s="39">
        <v>0.96996435784708934</v>
      </c>
      <c r="EH18" s="40">
        <v>0.93238785032091742</v>
      </c>
      <c r="EI18" s="66">
        <v>0.93238785032091742</v>
      </c>
      <c r="EO18" s="83" t="s">
        <v>2222</v>
      </c>
      <c r="EP18" s="82" t="s">
        <v>440</v>
      </c>
      <c r="EQ18" s="81">
        <f t="shared" si="27"/>
        <v>19.35130550253648</v>
      </c>
      <c r="ER18" s="80">
        <f>EQ18/SUM(EQ17:EQ25)</f>
        <v>8.4777193565832465E-2</v>
      </c>
      <c r="ET18" s="74" t="s">
        <v>2222</v>
      </c>
      <c r="EU18" s="70">
        <v>1</v>
      </c>
      <c r="EW18" s="37" t="s">
        <v>2222</v>
      </c>
      <c r="EX18" s="36" t="s">
        <v>2247</v>
      </c>
      <c r="EY18" s="36" t="s">
        <v>1145</v>
      </c>
      <c r="EZ18" s="1" t="s">
        <v>1945</v>
      </c>
      <c r="FA18" s="36" t="str">
        <f t="shared" si="28"/>
        <v>INCFAC</v>
      </c>
      <c r="FB18" s="1" t="s">
        <v>518</v>
      </c>
      <c r="FC18" s="26">
        <f t="shared" si="29"/>
        <v>29.467032962816454</v>
      </c>
      <c r="FD18" s="25">
        <f t="shared" si="30"/>
        <v>0.58314545441232346</v>
      </c>
      <c r="FE18" s="24">
        <f t="shared" si="31"/>
        <v>1.978975810520784E-2</v>
      </c>
      <c r="FF18" s="36">
        <v>0</v>
      </c>
      <c r="FG18" s="86">
        <f t="shared" si="32"/>
        <v>0</v>
      </c>
      <c r="FI18" s="54" t="s">
        <v>1903</v>
      </c>
      <c r="FJ18" s="39">
        <v>0</v>
      </c>
      <c r="FK18" s="40">
        <v>0</v>
      </c>
      <c r="FL18" s="39">
        <v>0</v>
      </c>
      <c r="FM18" s="40">
        <v>0</v>
      </c>
      <c r="FN18" s="39">
        <v>0</v>
      </c>
      <c r="FO18" s="40">
        <v>0</v>
      </c>
      <c r="FP18" s="39">
        <v>0</v>
      </c>
      <c r="FQ18" s="40">
        <v>0</v>
      </c>
      <c r="FR18" s="113">
        <v>0</v>
      </c>
      <c r="FS18" s="66">
        <v>0</v>
      </c>
    </row>
    <row r="19" spans="1:175">
      <c r="A19" s="37" t="s">
        <v>2250</v>
      </c>
      <c r="B19" s="36" t="s">
        <v>1107</v>
      </c>
      <c r="C19" s="1" t="s">
        <v>665</v>
      </c>
      <c r="D19" s="36" t="s">
        <v>665</v>
      </c>
      <c r="E19" s="36" t="s">
        <v>2258</v>
      </c>
      <c r="F19" s="1" t="e">
        <f t="shared" ca="1" si="2"/>
        <v>#NAME?</v>
      </c>
      <c r="G19" s="35" t="s">
        <v>1104</v>
      </c>
      <c r="H19" s="43">
        <v>1</v>
      </c>
      <c r="I19" s="42">
        <v>0</v>
      </c>
      <c r="J19" s="26">
        <v>2.6542449599999998</v>
      </c>
      <c r="K19" s="25">
        <v>2.9019251999999995</v>
      </c>
      <c r="L19" s="24"/>
      <c r="M19" s="25"/>
      <c r="N19" s="24"/>
      <c r="O19" s="25"/>
      <c r="P19" s="24"/>
      <c r="Q19" s="25"/>
      <c r="R19" s="32"/>
      <c r="S19" s="31" t="e">
        <v>#REF!</v>
      </c>
      <c r="T19" s="29" t="e">
        <f t="shared" ref="T19:AA23" si="46">S19</f>
        <v>#REF!</v>
      </c>
      <c r="U19" s="30" t="e">
        <f t="shared" si="46"/>
        <v>#REF!</v>
      </c>
      <c r="V19" s="29" t="e">
        <f t="shared" si="46"/>
        <v>#REF!</v>
      </c>
      <c r="W19" s="30" t="e">
        <f t="shared" si="46"/>
        <v>#REF!</v>
      </c>
      <c r="X19" s="29" t="e">
        <f t="shared" si="46"/>
        <v>#REF!</v>
      </c>
      <c r="Y19" s="30" t="e">
        <f t="shared" si="46"/>
        <v>#REF!</v>
      </c>
      <c r="Z19" s="29" t="e">
        <f t="shared" si="46"/>
        <v>#REF!</v>
      </c>
      <c r="AA19" s="28" t="e">
        <f t="shared" si="46"/>
        <v>#REF!</v>
      </c>
      <c r="AB19" s="26" t="e">
        <f t="shared" si="3"/>
        <v>#REF!</v>
      </c>
      <c r="AC19" s="25" t="e">
        <f t="shared" si="4"/>
        <v>#REF!</v>
      </c>
      <c r="AD19" s="24" t="e">
        <f t="shared" si="5"/>
        <v>#REF!</v>
      </c>
      <c r="AE19" s="25" t="e">
        <f t="shared" si="6"/>
        <v>#REF!</v>
      </c>
      <c r="AF19" s="24" t="e">
        <f t="shared" si="7"/>
        <v>#REF!</v>
      </c>
      <c r="AG19" s="25" t="e">
        <f t="shared" si="8"/>
        <v>#REF!</v>
      </c>
      <c r="AH19" s="24" t="e">
        <f t="shared" si="9"/>
        <v>#REF!</v>
      </c>
      <c r="AI19" s="25" t="e">
        <f t="shared" si="10"/>
        <v>#REF!</v>
      </c>
      <c r="AJ19" s="24" t="e">
        <f t="shared" si="11"/>
        <v>#REF!</v>
      </c>
      <c r="AK19" s="27" t="e">
        <f t="shared" si="12"/>
        <v>#REF!</v>
      </c>
      <c r="AL19" s="41">
        <v>0</v>
      </c>
      <c r="AM19" s="40">
        <v>0</v>
      </c>
      <c r="AN19" s="39">
        <v>0</v>
      </c>
      <c r="AO19" s="40">
        <v>0</v>
      </c>
      <c r="AP19" s="39">
        <v>0</v>
      </c>
      <c r="AQ19" s="40">
        <v>0</v>
      </c>
      <c r="AR19" s="39">
        <v>0</v>
      </c>
      <c r="AS19" s="40">
        <v>0</v>
      </c>
      <c r="AT19" s="39">
        <v>0</v>
      </c>
      <c r="AU19" s="38">
        <v>0</v>
      </c>
      <c r="AW19" s="100" t="s">
        <v>1129</v>
      </c>
      <c r="AX19" s="41">
        <v>0.16085723185265216</v>
      </c>
      <c r="AY19" s="40">
        <v>5.7073450925711846</v>
      </c>
      <c r="AZ19" s="39">
        <v>20.991304370791216</v>
      </c>
      <c r="BA19" s="40">
        <v>14.217909575751804</v>
      </c>
      <c r="BB19" s="39">
        <v>4.3115569245542336</v>
      </c>
      <c r="BC19" s="40">
        <v>3.7581498825259132</v>
      </c>
      <c r="BD19" s="39">
        <v>13.055821560845667</v>
      </c>
      <c r="BE19" s="40">
        <v>4.3279936458782773</v>
      </c>
      <c r="BF19" s="39">
        <v>2.7138491434303269</v>
      </c>
      <c r="BG19" s="81">
        <v>69.244787428201278</v>
      </c>
      <c r="BH19" s="66">
        <v>0</v>
      </c>
      <c r="BJ19" s="37" t="s">
        <v>2222</v>
      </c>
      <c r="BK19" s="36" t="s">
        <v>2247</v>
      </c>
      <c r="BL19" s="1" t="s">
        <v>1136</v>
      </c>
      <c r="BM19" s="36" t="s">
        <v>1941</v>
      </c>
      <c r="BN19" s="82" t="str">
        <f t="shared" si="40"/>
        <v>INCMDR</v>
      </c>
      <c r="BO19" s="26">
        <f t="shared" si="41"/>
        <v>0.56568417044145214</v>
      </c>
      <c r="BP19" s="25">
        <f t="shared" si="41"/>
        <v>1.5571382018182778</v>
      </c>
      <c r="BQ19" s="24">
        <f t="shared" si="41"/>
        <v>3.7968025025112118</v>
      </c>
      <c r="BR19" s="25">
        <f t="shared" si="41"/>
        <v>2.5716646142679807</v>
      </c>
      <c r="BS19" s="24">
        <f t="shared" si="41"/>
        <v>1.87742370922103</v>
      </c>
      <c r="BT19" s="25">
        <f t="shared" si="41"/>
        <v>1.6364482287311684</v>
      </c>
      <c r="BU19" s="24">
        <f t="shared" si="41"/>
        <v>5.6850250085066341</v>
      </c>
      <c r="BV19" s="25">
        <f t="shared" si="41"/>
        <v>2.6094197253075668</v>
      </c>
      <c r="BW19" s="32">
        <f t="shared" si="41"/>
        <v>1.6362250192118939</v>
      </c>
      <c r="BX19" s="26">
        <f t="shared" ref="BX19:CF19" si="47">BO19/BO23</f>
        <v>0.11053923838433106</v>
      </c>
      <c r="BY19" s="25">
        <f t="shared" si="47"/>
        <v>8.0466829569414589E-2</v>
      </c>
      <c r="BZ19" s="24">
        <f t="shared" si="47"/>
        <v>8.7272601130663069E-2</v>
      </c>
      <c r="CA19" s="25">
        <f t="shared" si="47"/>
        <v>8.7272601130663055E-2</v>
      </c>
      <c r="CB19" s="24">
        <f t="shared" si="47"/>
        <v>0.10347233812346479</v>
      </c>
      <c r="CC19" s="25">
        <f t="shared" si="47"/>
        <v>0.1034723381234648</v>
      </c>
      <c r="CD19" s="24">
        <f t="shared" si="47"/>
        <v>0.10347233812346482</v>
      </c>
      <c r="CE19" s="25">
        <f t="shared" si="47"/>
        <v>0.10128494030296348</v>
      </c>
      <c r="CF19" s="32">
        <f t="shared" si="47"/>
        <v>0.10128494030296345</v>
      </c>
      <c r="CH19" s="54" t="s">
        <v>2257</v>
      </c>
      <c r="CI19" s="41">
        <v>3.8442747316091465E-2</v>
      </c>
      <c r="CJ19" s="40">
        <v>4.1423942927422415E-2</v>
      </c>
      <c r="CK19" s="39">
        <v>0.18428344570131702</v>
      </c>
      <c r="CL19" s="40">
        <v>0.18273877906932806</v>
      </c>
      <c r="CM19" s="39">
        <v>2.4681309849472536E-2</v>
      </c>
      <c r="CN19" s="40">
        <v>2.8797631858397343E-2</v>
      </c>
      <c r="CO19" s="39">
        <v>2.5413882679285134E-2</v>
      </c>
      <c r="CP19" s="40">
        <v>2.4502373683405364E-2</v>
      </c>
      <c r="CQ19" s="66">
        <v>2.5384092212542664E-2</v>
      </c>
      <c r="CS19" s="54" t="s">
        <v>2095</v>
      </c>
      <c r="CT19" s="39">
        <v>0</v>
      </c>
      <c r="CU19" s="40">
        <v>0</v>
      </c>
      <c r="CV19" s="39">
        <v>0.92128434782039714</v>
      </c>
      <c r="CW19" s="40">
        <v>9.6525691443906911</v>
      </c>
      <c r="CX19" s="39">
        <v>0.91713297987527909</v>
      </c>
      <c r="CY19" s="40">
        <v>1.0027150267438636</v>
      </c>
      <c r="CZ19" s="39">
        <v>5.7116436204906824</v>
      </c>
      <c r="DA19" s="40">
        <v>1.2575451513749474</v>
      </c>
      <c r="DB19" s="39">
        <v>0</v>
      </c>
      <c r="DC19" s="38">
        <v>19.462890270695862</v>
      </c>
      <c r="DE19" s="37" t="s">
        <v>1782</v>
      </c>
      <c r="DF19" s="35" t="str">
        <f t="shared" si="16"/>
        <v>INGOH</v>
      </c>
      <c r="DG19" s="26">
        <f t="shared" si="45"/>
        <v>1.659602183921792</v>
      </c>
      <c r="DH19" s="25">
        <f t="shared" si="45"/>
        <v>4.568326453945085</v>
      </c>
      <c r="DI19" s="24">
        <f t="shared" si="45"/>
        <v>6.6384210681032325</v>
      </c>
      <c r="DJ19" s="25">
        <f t="shared" si="45"/>
        <v>4.4963604359617921</v>
      </c>
      <c r="DK19" s="24">
        <f t="shared" si="45"/>
        <v>2.8117654642822254</v>
      </c>
      <c r="DL19" s="25">
        <f t="shared" si="45"/>
        <v>2.4508631647894057</v>
      </c>
      <c r="DM19" s="24">
        <f t="shared" si="45"/>
        <v>8.5143044183308554</v>
      </c>
      <c r="DN19" s="25">
        <f t="shared" si="45"/>
        <v>3.1317979915112431</v>
      </c>
      <c r="DO19" s="32">
        <f t="shared" si="45"/>
        <v>1.9637799849252928</v>
      </c>
      <c r="DP19" s="26">
        <f t="shared" si="18"/>
        <v>0.52448692587337642</v>
      </c>
      <c r="DQ19" s="25">
        <f t="shared" si="19"/>
        <v>0.52448692587337631</v>
      </c>
      <c r="DR19" s="24">
        <f t="shared" si="20"/>
        <v>0.52511797965776752</v>
      </c>
      <c r="DS19" s="25">
        <f t="shared" si="21"/>
        <v>0.52511797965776763</v>
      </c>
      <c r="DT19" s="24">
        <f t="shared" si="22"/>
        <v>0.5250030625432146</v>
      </c>
      <c r="DU19" s="25">
        <f t="shared" si="23"/>
        <v>0.5250030625432146</v>
      </c>
      <c r="DV19" s="24">
        <f t="shared" si="24"/>
        <v>0.5250030625432146</v>
      </c>
      <c r="DW19" s="25">
        <f t="shared" si="25"/>
        <v>0.52519332861037649</v>
      </c>
      <c r="DX19" s="32">
        <f t="shared" si="26"/>
        <v>0.52519332861037649</v>
      </c>
      <c r="DZ19" s="54" t="s">
        <v>2092</v>
      </c>
      <c r="EA19" s="39">
        <v>0</v>
      </c>
      <c r="EB19" s="40">
        <v>0</v>
      </c>
      <c r="EC19" s="39">
        <v>0</v>
      </c>
      <c r="ED19" s="40">
        <v>0</v>
      </c>
      <c r="EE19" s="39">
        <v>0</v>
      </c>
      <c r="EF19" s="40">
        <v>0.85527647137324114</v>
      </c>
      <c r="EG19" s="39">
        <v>0.44897947454930703</v>
      </c>
      <c r="EH19" s="40">
        <v>0</v>
      </c>
      <c r="EI19" s="66">
        <v>0</v>
      </c>
      <c r="EK19" s="114"/>
      <c r="EL19" s="114"/>
      <c r="EM19" s="114"/>
      <c r="EO19" s="83" t="s">
        <v>2222</v>
      </c>
      <c r="EP19" s="82" t="s">
        <v>439</v>
      </c>
      <c r="EQ19" s="81">
        <f t="shared" si="27"/>
        <v>43.505091555901984</v>
      </c>
      <c r="ER19" s="80">
        <f>EQ19/SUM(EQ17:EQ25)</f>
        <v>0.19059383706440522</v>
      </c>
      <c r="ET19" s="75" t="s">
        <v>438</v>
      </c>
      <c r="EU19" s="72">
        <v>2.241952074250482E-2</v>
      </c>
      <c r="EW19" s="37" t="s">
        <v>2222</v>
      </c>
      <c r="EX19" s="36" t="s">
        <v>2247</v>
      </c>
      <c r="EY19" s="36" t="s">
        <v>1139</v>
      </c>
      <c r="EZ19" s="1" t="s">
        <v>1943</v>
      </c>
      <c r="FA19" s="36" t="str">
        <f t="shared" si="28"/>
        <v>INCFEED</v>
      </c>
      <c r="FB19" s="1" t="s">
        <v>517</v>
      </c>
      <c r="FC19" s="26">
        <f t="shared" si="29"/>
        <v>18.14420881241573</v>
      </c>
      <c r="FD19" s="25">
        <f t="shared" si="30"/>
        <v>0.239530940253013</v>
      </c>
      <c r="FE19" s="24">
        <f t="shared" si="31"/>
        <v>1.3201509237983782E-2</v>
      </c>
      <c r="FF19" s="36">
        <v>0</v>
      </c>
      <c r="FG19" s="86">
        <f t="shared" si="32"/>
        <v>0</v>
      </c>
      <c r="FI19" s="54" t="s">
        <v>2247</v>
      </c>
      <c r="FJ19" s="39">
        <v>0</v>
      </c>
      <c r="FK19" s="40">
        <v>0</v>
      </c>
      <c r="FL19" s="39">
        <v>0</v>
      </c>
      <c r="FM19" s="40">
        <v>0</v>
      </c>
      <c r="FN19" s="39">
        <v>0</v>
      </c>
      <c r="FO19" s="40">
        <v>0</v>
      </c>
      <c r="FP19" s="39">
        <v>0</v>
      </c>
      <c r="FQ19" s="40">
        <v>0</v>
      </c>
      <c r="FR19" s="113">
        <v>0</v>
      </c>
      <c r="FS19" s="66">
        <v>0</v>
      </c>
    </row>
    <row r="20" spans="1:175">
      <c r="A20" s="37" t="s">
        <v>2250</v>
      </c>
      <c r="B20" s="36" t="s">
        <v>1107</v>
      </c>
      <c r="C20" s="1" t="s">
        <v>665</v>
      </c>
      <c r="D20" s="36" t="s">
        <v>665</v>
      </c>
      <c r="E20" s="36" t="s">
        <v>2256</v>
      </c>
      <c r="F20" s="1" t="e">
        <f t="shared" ca="1" si="2"/>
        <v>#NAME?</v>
      </c>
      <c r="G20" s="35" t="s">
        <v>1109</v>
      </c>
      <c r="H20" s="34">
        <f>1-I20</f>
        <v>0.91317837324206397</v>
      </c>
      <c r="I20" s="33">
        <v>8.6821626757936074E-2</v>
      </c>
      <c r="J20" s="26" t="e">
        <v>#REF!</v>
      </c>
      <c r="K20" s="25" t="e">
        <v>#REF!</v>
      </c>
      <c r="L20" s="24"/>
      <c r="M20" s="25"/>
      <c r="N20" s="24"/>
      <c r="O20" s="25"/>
      <c r="P20" s="24"/>
      <c r="Q20" s="25"/>
      <c r="R20" s="32"/>
      <c r="S20" s="31" t="e">
        <v>#REF!</v>
      </c>
      <c r="T20" s="29" t="e">
        <f t="shared" si="46"/>
        <v>#REF!</v>
      </c>
      <c r="U20" s="30" t="e">
        <f t="shared" si="46"/>
        <v>#REF!</v>
      </c>
      <c r="V20" s="29" t="e">
        <f t="shared" si="46"/>
        <v>#REF!</v>
      </c>
      <c r="W20" s="30" t="e">
        <f t="shared" si="46"/>
        <v>#REF!</v>
      </c>
      <c r="X20" s="29" t="e">
        <f t="shared" si="46"/>
        <v>#REF!</v>
      </c>
      <c r="Y20" s="30" t="e">
        <f t="shared" si="46"/>
        <v>#REF!</v>
      </c>
      <c r="Z20" s="29" t="e">
        <f t="shared" si="46"/>
        <v>#REF!</v>
      </c>
      <c r="AA20" s="28" t="e">
        <f t="shared" si="46"/>
        <v>#REF!</v>
      </c>
      <c r="AB20" s="26" t="e">
        <f t="shared" ref="AB20:AJ23" si="48">J20*31.536*$H20*S20</f>
        <v>#REF!</v>
      </c>
      <c r="AC20" s="25" t="e">
        <f t="shared" si="48"/>
        <v>#REF!</v>
      </c>
      <c r="AD20" s="24" t="e">
        <f t="shared" si="48"/>
        <v>#REF!</v>
      </c>
      <c r="AE20" s="25" t="e">
        <f t="shared" si="48"/>
        <v>#REF!</v>
      </c>
      <c r="AF20" s="24" t="e">
        <f t="shared" si="48"/>
        <v>#REF!</v>
      </c>
      <c r="AG20" s="25" t="e">
        <f t="shared" si="48"/>
        <v>#REF!</v>
      </c>
      <c r="AH20" s="24" t="e">
        <f t="shared" si="48"/>
        <v>#REF!</v>
      </c>
      <c r="AI20" s="25" t="e">
        <f t="shared" si="48"/>
        <v>#REF!</v>
      </c>
      <c r="AJ20" s="24" t="e">
        <f t="shared" si="48"/>
        <v>#REF!</v>
      </c>
      <c r="AK20" s="27" t="e">
        <f t="shared" si="12"/>
        <v>#REF!</v>
      </c>
      <c r="AL20" s="26" t="e">
        <f t="shared" ref="AL20:AT23" si="49">J20*31.536*$I20*S20</f>
        <v>#REF!</v>
      </c>
      <c r="AM20" s="25" t="e">
        <f t="shared" si="49"/>
        <v>#REF!</v>
      </c>
      <c r="AN20" s="24" t="e">
        <f t="shared" si="49"/>
        <v>#REF!</v>
      </c>
      <c r="AO20" s="25" t="e">
        <f t="shared" si="49"/>
        <v>#REF!</v>
      </c>
      <c r="AP20" s="24" t="e">
        <f t="shared" si="49"/>
        <v>#REF!</v>
      </c>
      <c r="AQ20" s="25" t="e">
        <f t="shared" si="49"/>
        <v>#REF!</v>
      </c>
      <c r="AR20" s="24" t="e">
        <f t="shared" si="49"/>
        <v>#REF!</v>
      </c>
      <c r="AS20" s="25" t="e">
        <f t="shared" si="49"/>
        <v>#REF!</v>
      </c>
      <c r="AT20" s="24" t="e">
        <f t="shared" si="49"/>
        <v>#REF!</v>
      </c>
      <c r="AU20" s="23" t="e">
        <f>SUM(AL20:AT20)</f>
        <v>#REF!</v>
      </c>
      <c r="AW20" s="100" t="s">
        <v>1123</v>
      </c>
      <c r="AX20" s="41">
        <v>4.1089866223153457</v>
      </c>
      <c r="AY20" s="40">
        <v>11.310657739237008</v>
      </c>
      <c r="AZ20" s="39">
        <v>17.856029444363337</v>
      </c>
      <c r="BA20" s="40">
        <v>12.094313318384343</v>
      </c>
      <c r="BB20" s="39">
        <v>11.368452109268091</v>
      </c>
      <c r="BC20" s="40">
        <v>9.9092619456403366</v>
      </c>
      <c r="BD20" s="39">
        <v>34.424799384266308</v>
      </c>
      <c r="BE20" s="40">
        <v>18.588522731108959</v>
      </c>
      <c r="BF20" s="39">
        <v>11.655850405302097</v>
      </c>
      <c r="BG20" s="81">
        <v>131.3168736998858</v>
      </c>
      <c r="BH20" s="66">
        <v>0</v>
      </c>
      <c r="BJ20" s="37" t="s">
        <v>2222</v>
      </c>
      <c r="BK20" s="36" t="s">
        <v>2247</v>
      </c>
      <c r="BL20" s="1" t="s">
        <v>1129</v>
      </c>
      <c r="BM20" s="36" t="s">
        <v>1910</v>
      </c>
      <c r="BN20" s="82" t="str">
        <f t="shared" si="40"/>
        <v>INCOHT</v>
      </c>
      <c r="BO20" s="26">
        <f t="shared" si="41"/>
        <v>0.16085723185265216</v>
      </c>
      <c r="BP20" s="25">
        <f t="shared" si="41"/>
        <v>5.7073450925711846</v>
      </c>
      <c r="BQ20" s="24">
        <f t="shared" si="41"/>
        <v>20.991304370791216</v>
      </c>
      <c r="BR20" s="25">
        <f t="shared" si="41"/>
        <v>14.217909575751804</v>
      </c>
      <c r="BS20" s="24">
        <f t="shared" si="41"/>
        <v>4.3115569245542336</v>
      </c>
      <c r="BT20" s="25">
        <f t="shared" si="41"/>
        <v>3.7581498825259132</v>
      </c>
      <c r="BU20" s="24">
        <f t="shared" si="41"/>
        <v>13.055821560845667</v>
      </c>
      <c r="BV20" s="25">
        <f t="shared" si="41"/>
        <v>4.3279936458782773</v>
      </c>
      <c r="BW20" s="32">
        <f t="shared" si="41"/>
        <v>2.7138491434303269</v>
      </c>
      <c r="BX20" s="26">
        <f t="shared" ref="BX20:CF20" si="50">BO20/BO23</f>
        <v>3.1432797357097426E-2</v>
      </c>
      <c r="BY20" s="25">
        <f t="shared" si="50"/>
        <v>0.29493333624561363</v>
      </c>
      <c r="BZ20" s="24">
        <f t="shared" si="50"/>
        <v>0.48250224560080246</v>
      </c>
      <c r="CA20" s="25">
        <f t="shared" si="50"/>
        <v>0.4825022456008024</v>
      </c>
      <c r="CB20" s="24">
        <f t="shared" si="50"/>
        <v>0.23762716628370806</v>
      </c>
      <c r="CC20" s="25">
        <f t="shared" si="50"/>
        <v>0.23762716628370803</v>
      </c>
      <c r="CD20" s="24">
        <f t="shared" si="50"/>
        <v>0.23762716628370811</v>
      </c>
      <c r="CE20" s="25">
        <f t="shared" si="50"/>
        <v>0.16799159361099639</v>
      </c>
      <c r="CF20" s="32">
        <f t="shared" si="50"/>
        <v>0.16799159361099633</v>
      </c>
      <c r="CH20" s="54" t="s">
        <v>2255</v>
      </c>
      <c r="CI20" s="41">
        <v>0.2327158205070925</v>
      </c>
      <c r="CJ20" s="40">
        <v>0.25076269361630515</v>
      </c>
      <c r="CK20" s="39">
        <v>6.8110196151551131E-2</v>
      </c>
      <c r="CL20" s="40">
        <v>6.7539295456194887E-2</v>
      </c>
      <c r="CM20" s="39">
        <v>0.10676049783938493</v>
      </c>
      <c r="CN20" s="40">
        <v>0.1245658975373844</v>
      </c>
      <c r="CO20" s="39">
        <v>0.10992928590174426</v>
      </c>
      <c r="CP20" s="40">
        <v>0.17050786661701003</v>
      </c>
      <c r="CQ20" s="66">
        <v>0.17664359645700131</v>
      </c>
      <c r="CS20" s="54" t="s">
        <v>2092</v>
      </c>
      <c r="CT20" s="39">
        <v>0</v>
      </c>
      <c r="CU20" s="40">
        <v>0</v>
      </c>
      <c r="CV20" s="39">
        <v>0</v>
      </c>
      <c r="CW20" s="40">
        <v>0</v>
      </c>
      <c r="CX20" s="39">
        <v>0</v>
      </c>
      <c r="CY20" s="40">
        <v>5.9257715590818547</v>
      </c>
      <c r="CZ20" s="39">
        <v>4.6539296325546404</v>
      </c>
      <c r="DA20" s="40">
        <v>0</v>
      </c>
      <c r="DB20" s="39">
        <v>0</v>
      </c>
      <c r="DC20" s="38">
        <v>10.579701191636497</v>
      </c>
      <c r="DE20" s="37" t="s">
        <v>1779</v>
      </c>
      <c r="DF20" s="35" t="str">
        <f t="shared" si="16"/>
        <v>INGOH</v>
      </c>
      <c r="DG20" s="26">
        <f t="shared" si="45"/>
        <v>7.1136144814775537E-2</v>
      </c>
      <c r="DH20" s="25">
        <f t="shared" si="45"/>
        <v>0.19581387355195348</v>
      </c>
      <c r="DI20" s="24">
        <f t="shared" si="45"/>
        <v>0.26933474356217929</v>
      </c>
      <c r="DJ20" s="25">
        <f t="shared" si="45"/>
        <v>0.18242682598151599</v>
      </c>
      <c r="DK20" s="24">
        <f t="shared" si="45"/>
        <v>0.11525130220949183</v>
      </c>
      <c r="DL20" s="25">
        <f t="shared" si="45"/>
        <v>0.10045829741754858</v>
      </c>
      <c r="DM20" s="24">
        <f t="shared" si="45"/>
        <v>0.34899236230257874</v>
      </c>
      <c r="DN20" s="25">
        <f t="shared" si="45"/>
        <v>0.12620800219340686</v>
      </c>
      <c r="DO20" s="32">
        <f t="shared" si="45"/>
        <v>7.913816578100008E-2</v>
      </c>
      <c r="DP20" s="26">
        <f t="shared" si="18"/>
        <v>2.2481277907346477E-2</v>
      </c>
      <c r="DQ20" s="25">
        <f t="shared" si="19"/>
        <v>2.2481277907346477E-2</v>
      </c>
      <c r="DR20" s="24">
        <f t="shared" si="20"/>
        <v>2.1305143940112462E-2</v>
      </c>
      <c r="DS20" s="25">
        <f t="shared" si="21"/>
        <v>2.1305143940112466E-2</v>
      </c>
      <c r="DT20" s="24">
        <f t="shared" si="22"/>
        <v>2.1519322073871045E-2</v>
      </c>
      <c r="DU20" s="25">
        <f t="shared" si="23"/>
        <v>2.1519322073871045E-2</v>
      </c>
      <c r="DV20" s="24">
        <f t="shared" si="24"/>
        <v>2.1519322073871045E-2</v>
      </c>
      <c r="DW20" s="25">
        <f t="shared" si="25"/>
        <v>2.1164711436971073E-2</v>
      </c>
      <c r="DX20" s="32">
        <f t="shared" si="26"/>
        <v>2.1164711436971073E-2</v>
      </c>
      <c r="DZ20" s="54" t="s">
        <v>2095</v>
      </c>
      <c r="EA20" s="39">
        <v>0</v>
      </c>
      <c r="EB20" s="40">
        <v>0</v>
      </c>
      <c r="EC20" s="39">
        <v>1</v>
      </c>
      <c r="ED20" s="40">
        <v>1</v>
      </c>
      <c r="EE20" s="39">
        <v>1</v>
      </c>
      <c r="EF20" s="40">
        <v>0.14472352862675894</v>
      </c>
      <c r="EG20" s="39">
        <v>0.55102052545069291</v>
      </c>
      <c r="EH20" s="40">
        <v>1</v>
      </c>
      <c r="EI20" s="66">
        <v>0</v>
      </c>
      <c r="EK20" s="114"/>
      <c r="EL20" s="114"/>
      <c r="EM20" s="114"/>
      <c r="EO20" s="83" t="s">
        <v>2222</v>
      </c>
      <c r="EP20" s="82" t="s">
        <v>518</v>
      </c>
      <c r="EQ20" s="81">
        <f t="shared" si="27"/>
        <v>29.467032962816454</v>
      </c>
      <c r="ER20" s="80">
        <f>EQ20/SUM(EQ17:EQ25)</f>
        <v>0.12909373773113203</v>
      </c>
      <c r="ET20" s="75" t="s">
        <v>440</v>
      </c>
      <c r="EU20" s="72">
        <v>8.4777193565832465E-2</v>
      </c>
      <c r="EW20" s="37" t="s">
        <v>2222</v>
      </c>
      <c r="EX20" s="36" t="s">
        <v>2247</v>
      </c>
      <c r="EY20" s="36" t="s">
        <v>1139</v>
      </c>
      <c r="EZ20" s="1" t="s">
        <v>1943</v>
      </c>
      <c r="FA20" s="36" t="str">
        <f t="shared" si="28"/>
        <v>INCFEED</v>
      </c>
      <c r="FB20" s="1" t="s">
        <v>519</v>
      </c>
      <c r="FC20" s="26">
        <f t="shared" si="29"/>
        <v>15.815320871347595</v>
      </c>
      <c r="FD20" s="25">
        <f t="shared" si="30"/>
        <v>0.20878610458477298</v>
      </c>
      <c r="FE20" s="24">
        <f t="shared" si="31"/>
        <v>1.3201509237983782E-2</v>
      </c>
      <c r="FF20" s="36">
        <v>0</v>
      </c>
      <c r="FG20" s="86">
        <f t="shared" si="32"/>
        <v>0</v>
      </c>
      <c r="FI20" s="54" t="s">
        <v>2207</v>
      </c>
      <c r="FJ20" s="39">
        <v>0</v>
      </c>
      <c r="FK20" s="40">
        <v>0</v>
      </c>
      <c r="FL20" s="39">
        <v>0</v>
      </c>
      <c r="FM20" s="40">
        <v>0</v>
      </c>
      <c r="FN20" s="39">
        <v>0</v>
      </c>
      <c r="FO20" s="40">
        <v>0</v>
      </c>
      <c r="FP20" s="39">
        <v>0</v>
      </c>
      <c r="FQ20" s="40">
        <v>0</v>
      </c>
      <c r="FR20" s="113">
        <v>0</v>
      </c>
      <c r="FS20" s="66">
        <v>0</v>
      </c>
    </row>
    <row r="21" spans="1:175" ht="15.75" thickBot="1">
      <c r="A21" s="37" t="s">
        <v>2250</v>
      </c>
      <c r="B21" s="36" t="s">
        <v>1107</v>
      </c>
      <c r="C21" s="1" t="s">
        <v>665</v>
      </c>
      <c r="D21" s="36" t="s">
        <v>665</v>
      </c>
      <c r="E21" s="36" t="s">
        <v>2254</v>
      </c>
      <c r="F21" s="1" t="e">
        <f t="shared" ca="1" si="2"/>
        <v>#NAME?</v>
      </c>
      <c r="G21" s="35" t="s">
        <v>1109</v>
      </c>
      <c r="H21" s="34">
        <f>1-I21</f>
        <v>0.91317837324206397</v>
      </c>
      <c r="I21" s="33">
        <v>8.6821626757936074E-2</v>
      </c>
      <c r="J21" s="26" t="e">
        <v>#REF!</v>
      </c>
      <c r="K21" s="25" t="e">
        <v>#REF!</v>
      </c>
      <c r="L21" s="24"/>
      <c r="M21" s="25"/>
      <c r="N21" s="24"/>
      <c r="O21" s="25"/>
      <c r="P21" s="24"/>
      <c r="Q21" s="25"/>
      <c r="R21" s="32"/>
      <c r="S21" s="31" t="e">
        <v>#REF!</v>
      </c>
      <c r="T21" s="29" t="e">
        <f t="shared" si="46"/>
        <v>#REF!</v>
      </c>
      <c r="U21" s="30" t="e">
        <f t="shared" si="46"/>
        <v>#REF!</v>
      </c>
      <c r="V21" s="29" t="e">
        <f t="shared" si="46"/>
        <v>#REF!</v>
      </c>
      <c r="W21" s="30" t="e">
        <f t="shared" si="46"/>
        <v>#REF!</v>
      </c>
      <c r="X21" s="29" t="e">
        <f t="shared" si="46"/>
        <v>#REF!</v>
      </c>
      <c r="Y21" s="30" t="e">
        <f t="shared" si="46"/>
        <v>#REF!</v>
      </c>
      <c r="Z21" s="29" t="e">
        <f t="shared" si="46"/>
        <v>#REF!</v>
      </c>
      <c r="AA21" s="28" t="e">
        <f t="shared" si="46"/>
        <v>#REF!</v>
      </c>
      <c r="AB21" s="26" t="e">
        <f t="shared" si="48"/>
        <v>#REF!</v>
      </c>
      <c r="AC21" s="25" t="e">
        <f t="shared" si="48"/>
        <v>#REF!</v>
      </c>
      <c r="AD21" s="24" t="e">
        <f t="shared" si="48"/>
        <v>#REF!</v>
      </c>
      <c r="AE21" s="25" t="e">
        <f t="shared" si="48"/>
        <v>#REF!</v>
      </c>
      <c r="AF21" s="24" t="e">
        <f t="shared" si="48"/>
        <v>#REF!</v>
      </c>
      <c r="AG21" s="25" t="e">
        <f t="shared" si="48"/>
        <v>#REF!</v>
      </c>
      <c r="AH21" s="24" t="e">
        <f t="shared" si="48"/>
        <v>#REF!</v>
      </c>
      <c r="AI21" s="25" t="e">
        <f t="shared" si="48"/>
        <v>#REF!</v>
      </c>
      <c r="AJ21" s="24" t="e">
        <f t="shared" si="48"/>
        <v>#REF!</v>
      </c>
      <c r="AK21" s="27" t="e">
        <f t="shared" si="12"/>
        <v>#REF!</v>
      </c>
      <c r="AL21" s="26" t="e">
        <f t="shared" si="49"/>
        <v>#REF!</v>
      </c>
      <c r="AM21" s="25" t="e">
        <f t="shared" si="49"/>
        <v>#REF!</v>
      </c>
      <c r="AN21" s="24" t="e">
        <f t="shared" si="49"/>
        <v>#REF!</v>
      </c>
      <c r="AO21" s="25" t="e">
        <f t="shared" si="49"/>
        <v>#REF!</v>
      </c>
      <c r="AP21" s="24" t="e">
        <f t="shared" si="49"/>
        <v>#REF!</v>
      </c>
      <c r="AQ21" s="25" t="e">
        <f t="shared" si="49"/>
        <v>#REF!</v>
      </c>
      <c r="AR21" s="24" t="e">
        <f t="shared" si="49"/>
        <v>#REF!</v>
      </c>
      <c r="AS21" s="25" t="e">
        <f t="shared" si="49"/>
        <v>#REF!</v>
      </c>
      <c r="AT21" s="24" t="e">
        <f t="shared" si="49"/>
        <v>#REF!</v>
      </c>
      <c r="AU21" s="23" t="e">
        <f>SUM(AL21:AT21)</f>
        <v>#REF!</v>
      </c>
      <c r="AW21" s="100" t="s">
        <v>1107</v>
      </c>
      <c r="AX21" s="41">
        <v>0</v>
      </c>
      <c r="AY21" s="40">
        <v>5.9265639808539997E-19</v>
      </c>
      <c r="AZ21" s="39">
        <v>2.0363210904890515E-17</v>
      </c>
      <c r="BA21" s="40">
        <v>0</v>
      </c>
      <c r="BB21" s="39">
        <v>0</v>
      </c>
      <c r="BC21" s="40">
        <v>0</v>
      </c>
      <c r="BD21" s="39">
        <v>0</v>
      </c>
      <c r="BE21" s="40">
        <v>0</v>
      </c>
      <c r="BF21" s="39">
        <v>0</v>
      </c>
      <c r="BG21" s="81">
        <v>2.0955867302975916E-17</v>
      </c>
      <c r="BH21" s="66">
        <v>2.2933892927039983E-17</v>
      </c>
      <c r="BJ21" s="37" t="s">
        <v>2222</v>
      </c>
      <c r="BK21" s="36" t="s">
        <v>2247</v>
      </c>
      <c r="BL21" s="1" t="s">
        <v>1123</v>
      </c>
      <c r="BM21" s="36" t="s">
        <v>1935</v>
      </c>
      <c r="BN21" s="82" t="str">
        <f t="shared" si="40"/>
        <v>INCPRH</v>
      </c>
      <c r="BO21" s="26">
        <f t="shared" si="41"/>
        <v>4.1089866223153457</v>
      </c>
      <c r="BP21" s="25">
        <f t="shared" si="41"/>
        <v>11.310657739237008</v>
      </c>
      <c r="BQ21" s="24">
        <f t="shared" si="41"/>
        <v>17.856029444363337</v>
      </c>
      <c r="BR21" s="25">
        <f t="shared" si="41"/>
        <v>12.094313318384343</v>
      </c>
      <c r="BS21" s="24">
        <f t="shared" si="41"/>
        <v>11.368452109268091</v>
      </c>
      <c r="BT21" s="25">
        <f t="shared" si="41"/>
        <v>9.9092619456403366</v>
      </c>
      <c r="BU21" s="24">
        <f t="shared" si="41"/>
        <v>34.424799384266308</v>
      </c>
      <c r="BV21" s="25">
        <f t="shared" si="41"/>
        <v>18.588522731108959</v>
      </c>
      <c r="BW21" s="32">
        <f t="shared" si="41"/>
        <v>11.655850405302097</v>
      </c>
      <c r="BX21" s="26">
        <f t="shared" ref="BX21:CF21" si="51">BO21/BO23</f>
        <v>0.80292904679953936</v>
      </c>
      <c r="BY21" s="25">
        <f t="shared" si="51"/>
        <v>0.58449068140412852</v>
      </c>
      <c r="BZ21" s="24">
        <f t="shared" si="51"/>
        <v>0.41043539516332667</v>
      </c>
      <c r="CA21" s="25">
        <f t="shared" si="51"/>
        <v>0.41043539516332661</v>
      </c>
      <c r="CB21" s="24">
        <f t="shared" si="51"/>
        <v>0.62656091686339499</v>
      </c>
      <c r="CC21" s="25">
        <f t="shared" si="51"/>
        <v>0.62656091686339499</v>
      </c>
      <c r="CD21" s="24">
        <f t="shared" si="51"/>
        <v>0.62656091686339499</v>
      </c>
      <c r="CE21" s="25">
        <f t="shared" si="51"/>
        <v>0.72151574424031628</v>
      </c>
      <c r="CF21" s="32">
        <f t="shared" si="51"/>
        <v>0.72151574424031617</v>
      </c>
      <c r="CH21" s="54" t="s">
        <v>2253</v>
      </c>
      <c r="CI21" s="41">
        <v>0.11925065402758503</v>
      </c>
      <c r="CJ21" s="40">
        <v>5.0949445913967453E-2</v>
      </c>
      <c r="CK21" s="39">
        <v>3.7531358646208816E-2</v>
      </c>
      <c r="CL21" s="40">
        <v>4.5598785370172916E-2</v>
      </c>
      <c r="CM21" s="39">
        <v>0.16928830179045337</v>
      </c>
      <c r="CN21" s="40">
        <v>3.0743108392448346E-2</v>
      </c>
      <c r="CO21" s="39">
        <v>0.1446317165756778</v>
      </c>
      <c r="CP21" s="40">
        <v>5.5142983991329129E-2</v>
      </c>
      <c r="CQ21" s="66">
        <v>2.1142280665004478E-2</v>
      </c>
      <c r="CS21" s="54" t="s">
        <v>1820</v>
      </c>
      <c r="CT21" s="39">
        <v>0.23054268601481484</v>
      </c>
      <c r="CU21" s="40">
        <v>0.63460645056289322</v>
      </c>
      <c r="CV21" s="39">
        <v>0.51579137437156486</v>
      </c>
      <c r="CW21" s="40">
        <v>0.3493577622061434</v>
      </c>
      <c r="CX21" s="39">
        <v>0.17657024646290415</v>
      </c>
      <c r="CY21" s="40">
        <v>0.15390668907166088</v>
      </c>
      <c r="CZ21" s="39">
        <v>0.53467220104314317</v>
      </c>
      <c r="DA21" s="40">
        <v>0</v>
      </c>
      <c r="DB21" s="39">
        <v>0</v>
      </c>
      <c r="DC21" s="38">
        <v>2.5954474097331244</v>
      </c>
      <c r="DE21" s="37" t="s">
        <v>1776</v>
      </c>
      <c r="DF21" s="35" t="str">
        <f t="shared" si="16"/>
        <v>INGOH</v>
      </c>
      <c r="DG21" s="26">
        <f t="shared" si="45"/>
        <v>3.4664592245157139E-2</v>
      </c>
      <c r="DH21" s="25">
        <f t="shared" si="45"/>
        <v>9.5419959857219391E-2</v>
      </c>
      <c r="DI21" s="24">
        <f t="shared" si="45"/>
        <v>0.13865862657138037</v>
      </c>
      <c r="DJ21" s="25">
        <f t="shared" si="45"/>
        <v>9.391678476317164E-2</v>
      </c>
      <c r="DK21" s="24">
        <f t="shared" si="45"/>
        <v>5.8730160910026544E-2</v>
      </c>
      <c r="DL21" s="25">
        <f t="shared" si="45"/>
        <v>5.1191889887332032E-2</v>
      </c>
      <c r="DM21" s="24">
        <f t="shared" si="45"/>
        <v>0.17784074627759561</v>
      </c>
      <c r="DN21" s="25">
        <f t="shared" si="45"/>
        <v>6.5414773143643509E-2</v>
      </c>
      <c r="DO21" s="32">
        <f t="shared" si="45"/>
        <v>4.1018042212846384E-2</v>
      </c>
      <c r="DP21" s="26">
        <f t="shared" si="18"/>
        <v>1.0955110567734303E-2</v>
      </c>
      <c r="DQ21" s="25">
        <f t="shared" si="19"/>
        <v>1.0955110567734301E-2</v>
      </c>
      <c r="DR21" s="24">
        <f t="shared" si="20"/>
        <v>1.0968291571189592E-2</v>
      </c>
      <c r="DS21" s="25">
        <f t="shared" si="21"/>
        <v>1.0968291571189597E-2</v>
      </c>
      <c r="DT21" s="24">
        <f t="shared" si="22"/>
        <v>1.0965891264081928E-2</v>
      </c>
      <c r="DU21" s="25">
        <f t="shared" si="23"/>
        <v>1.0965891264081928E-2</v>
      </c>
      <c r="DV21" s="24">
        <f t="shared" si="24"/>
        <v>1.0965891264081927E-2</v>
      </c>
      <c r="DW21" s="25">
        <f t="shared" si="25"/>
        <v>1.0969865406620516E-2</v>
      </c>
      <c r="DX21" s="32">
        <f t="shared" si="26"/>
        <v>1.0969865406620516E-2</v>
      </c>
      <c r="DZ21" s="54" t="s">
        <v>1881</v>
      </c>
      <c r="EA21" s="39">
        <v>0.95861942709059278</v>
      </c>
      <c r="EB21" s="40">
        <v>0.95861942709059289</v>
      </c>
      <c r="EC21" s="39">
        <v>0.93508897720003326</v>
      </c>
      <c r="ED21" s="40">
        <v>0.93508897720003326</v>
      </c>
      <c r="EE21" s="39">
        <v>0.7971120255594536</v>
      </c>
      <c r="EF21" s="40">
        <v>0.7971120255594536</v>
      </c>
      <c r="EG21" s="39">
        <v>0.7971120255594536</v>
      </c>
      <c r="EH21" s="40">
        <v>0.81957076511032101</v>
      </c>
      <c r="EI21" s="66">
        <v>0.81957076511032101</v>
      </c>
      <c r="EK21" s="114"/>
      <c r="EL21" s="114"/>
      <c r="EM21" s="114"/>
      <c r="EO21" s="83" t="s">
        <v>2222</v>
      </c>
      <c r="EP21" s="82" t="s">
        <v>517</v>
      </c>
      <c r="EQ21" s="81">
        <f t="shared" si="27"/>
        <v>18.14420881241573</v>
      </c>
      <c r="ER21" s="80">
        <f>EQ21/SUM(EQ17:EQ25)</f>
        <v>7.9488957599652868E-2</v>
      </c>
      <c r="ET21" s="75" t="s">
        <v>439</v>
      </c>
      <c r="EU21" s="72">
        <v>0.19059383706440522</v>
      </c>
      <c r="EW21" s="37" t="s">
        <v>2222</v>
      </c>
      <c r="EX21" s="36" t="s">
        <v>2247</v>
      </c>
      <c r="EY21" s="36" t="s">
        <v>1139</v>
      </c>
      <c r="EZ21" s="1" t="s">
        <v>1943</v>
      </c>
      <c r="FA21" s="36" t="str">
        <f t="shared" si="28"/>
        <v>INCFEED</v>
      </c>
      <c r="FB21" s="1" t="s">
        <v>520</v>
      </c>
      <c r="FC21" s="26">
        <f t="shared" si="29"/>
        <v>54.942462030027514</v>
      </c>
      <c r="FD21" s="25">
        <f t="shared" si="30"/>
        <v>0.72532342004698147</v>
      </c>
      <c r="FE21" s="24">
        <f t="shared" si="31"/>
        <v>1.3201509237983784E-2</v>
      </c>
      <c r="FF21" s="36">
        <v>0</v>
      </c>
      <c r="FG21" s="86">
        <f t="shared" si="32"/>
        <v>0</v>
      </c>
      <c r="FI21" s="54" t="s">
        <v>2087</v>
      </c>
      <c r="FJ21" s="39">
        <v>0</v>
      </c>
      <c r="FK21" s="40">
        <v>0</v>
      </c>
      <c r="FL21" s="39">
        <v>0</v>
      </c>
      <c r="FM21" s="40">
        <v>0</v>
      </c>
      <c r="FN21" s="39">
        <v>0</v>
      </c>
      <c r="FO21" s="40">
        <v>0</v>
      </c>
      <c r="FP21" s="39">
        <v>0</v>
      </c>
      <c r="FQ21" s="40">
        <v>0</v>
      </c>
      <c r="FR21" s="113">
        <v>0</v>
      </c>
      <c r="FS21" s="66">
        <v>0</v>
      </c>
    </row>
    <row r="22" spans="1:175">
      <c r="A22" s="37" t="s">
        <v>2250</v>
      </c>
      <c r="B22" s="36" t="s">
        <v>1107</v>
      </c>
      <c r="C22" s="1" t="s">
        <v>665</v>
      </c>
      <c r="D22" s="36" t="s">
        <v>665</v>
      </c>
      <c r="E22" s="36" t="s">
        <v>2252</v>
      </c>
      <c r="F22" s="1" t="e">
        <f t="shared" ca="1" si="2"/>
        <v>#NAME?</v>
      </c>
      <c r="G22" s="35" t="s">
        <v>1109</v>
      </c>
      <c r="H22" s="34">
        <f>1-I22</f>
        <v>0.51728585667103122</v>
      </c>
      <c r="I22" s="33">
        <v>0.48271414332896873</v>
      </c>
      <c r="J22" s="26">
        <v>0</v>
      </c>
      <c r="K22" s="25">
        <v>0</v>
      </c>
      <c r="L22" s="24"/>
      <c r="M22" s="25"/>
      <c r="N22" s="24"/>
      <c r="O22" s="25"/>
      <c r="P22" s="24"/>
      <c r="Q22" s="25"/>
      <c r="R22" s="32"/>
      <c r="S22" s="31" t="e">
        <v>#REF!</v>
      </c>
      <c r="T22" s="29" t="e">
        <f t="shared" si="46"/>
        <v>#REF!</v>
      </c>
      <c r="U22" s="30" t="e">
        <f t="shared" si="46"/>
        <v>#REF!</v>
      </c>
      <c r="V22" s="29" t="e">
        <f t="shared" si="46"/>
        <v>#REF!</v>
      </c>
      <c r="W22" s="30" t="e">
        <f t="shared" si="46"/>
        <v>#REF!</v>
      </c>
      <c r="X22" s="29" t="e">
        <f t="shared" si="46"/>
        <v>#REF!</v>
      </c>
      <c r="Y22" s="30" t="e">
        <f t="shared" si="46"/>
        <v>#REF!</v>
      </c>
      <c r="Z22" s="29" t="e">
        <f t="shared" si="46"/>
        <v>#REF!</v>
      </c>
      <c r="AA22" s="28" t="e">
        <f t="shared" si="46"/>
        <v>#REF!</v>
      </c>
      <c r="AB22" s="26" t="e">
        <f t="shared" si="48"/>
        <v>#REF!</v>
      </c>
      <c r="AC22" s="25" t="e">
        <f t="shared" si="48"/>
        <v>#REF!</v>
      </c>
      <c r="AD22" s="24" t="e">
        <f t="shared" si="48"/>
        <v>#REF!</v>
      </c>
      <c r="AE22" s="25" t="e">
        <f t="shared" si="48"/>
        <v>#REF!</v>
      </c>
      <c r="AF22" s="24" t="e">
        <f t="shared" si="48"/>
        <v>#REF!</v>
      </c>
      <c r="AG22" s="25" t="e">
        <f t="shared" si="48"/>
        <v>#REF!</v>
      </c>
      <c r="AH22" s="24" t="e">
        <f t="shared" si="48"/>
        <v>#REF!</v>
      </c>
      <c r="AI22" s="25" t="e">
        <f t="shared" si="48"/>
        <v>#REF!</v>
      </c>
      <c r="AJ22" s="24" t="e">
        <f t="shared" si="48"/>
        <v>#REF!</v>
      </c>
      <c r="AK22" s="27" t="e">
        <f t="shared" si="12"/>
        <v>#REF!</v>
      </c>
      <c r="AL22" s="26" t="e">
        <f t="shared" si="49"/>
        <v>#REF!</v>
      </c>
      <c r="AM22" s="25" t="e">
        <f t="shared" si="49"/>
        <v>#REF!</v>
      </c>
      <c r="AN22" s="24" t="e">
        <f t="shared" si="49"/>
        <v>#REF!</v>
      </c>
      <c r="AO22" s="25" t="e">
        <f t="shared" si="49"/>
        <v>#REF!</v>
      </c>
      <c r="AP22" s="24" t="e">
        <f t="shared" si="49"/>
        <v>#REF!</v>
      </c>
      <c r="AQ22" s="25" t="e">
        <f t="shared" si="49"/>
        <v>#REF!</v>
      </c>
      <c r="AR22" s="24" t="e">
        <f t="shared" si="49"/>
        <v>#REF!</v>
      </c>
      <c r="AS22" s="25" t="e">
        <f t="shared" si="49"/>
        <v>#REF!</v>
      </c>
      <c r="AT22" s="24" t="e">
        <f t="shared" si="49"/>
        <v>#REF!</v>
      </c>
      <c r="AU22" s="23" t="e">
        <f>SUM(AL22:AT22)</f>
        <v>#REF!</v>
      </c>
      <c r="AW22" s="51" t="s">
        <v>2075</v>
      </c>
      <c r="AX22" s="7">
        <v>18.94449061626074</v>
      </c>
      <c r="AY22" s="6">
        <v>50.907888561102567</v>
      </c>
      <c r="AZ22" s="5">
        <v>259.95492691910863</v>
      </c>
      <c r="BA22" s="6">
        <v>252.0757482429479</v>
      </c>
      <c r="BB22" s="5">
        <v>89.95318394492989</v>
      </c>
      <c r="BC22" s="6">
        <v>48.287694773388225</v>
      </c>
      <c r="BD22" s="5">
        <v>115.92343106830126</v>
      </c>
      <c r="BE22" s="6">
        <v>87.170969595435835</v>
      </c>
      <c r="BF22" s="5">
        <v>97.770290420185418</v>
      </c>
      <c r="BG22" s="77">
        <v>1020.9886241416605</v>
      </c>
      <c r="BH22" s="59">
        <v>83.627932971027704</v>
      </c>
      <c r="BJ22" s="37" t="s">
        <v>2222</v>
      </c>
      <c r="BK22" s="36" t="s">
        <v>2247</v>
      </c>
      <c r="BL22" s="1" t="s">
        <v>1107</v>
      </c>
      <c r="BM22" s="36" t="s">
        <v>1937</v>
      </c>
      <c r="BN22" s="82" t="str">
        <f t="shared" si="40"/>
        <v>INCSTM</v>
      </c>
      <c r="BO22" s="26">
        <f t="shared" si="41"/>
        <v>0</v>
      </c>
      <c r="BP22" s="25">
        <f t="shared" si="41"/>
        <v>5.9265639808539997E-19</v>
      </c>
      <c r="BQ22" s="24">
        <f t="shared" si="41"/>
        <v>2.0363210904890515E-17</v>
      </c>
      <c r="BR22" s="25">
        <f t="shared" si="41"/>
        <v>0</v>
      </c>
      <c r="BS22" s="24">
        <f t="shared" si="41"/>
        <v>0</v>
      </c>
      <c r="BT22" s="25">
        <f t="shared" si="41"/>
        <v>0</v>
      </c>
      <c r="BU22" s="24">
        <f t="shared" si="41"/>
        <v>0</v>
      </c>
      <c r="BV22" s="25">
        <f t="shared" si="41"/>
        <v>0</v>
      </c>
      <c r="BW22" s="32">
        <f t="shared" si="41"/>
        <v>0</v>
      </c>
      <c r="BX22" s="26">
        <f t="shared" ref="BX22:CF22" si="52">BO22/BO23</f>
        <v>0</v>
      </c>
      <c r="BY22" s="25">
        <f t="shared" si="52"/>
        <v>3.0626171345789424E-20</v>
      </c>
      <c r="BZ22" s="24">
        <f t="shared" si="52"/>
        <v>4.6806500518967427E-19</v>
      </c>
      <c r="CA22" s="25">
        <f t="shared" si="52"/>
        <v>0</v>
      </c>
      <c r="CB22" s="24">
        <f t="shared" si="52"/>
        <v>0</v>
      </c>
      <c r="CC22" s="25">
        <f t="shared" si="52"/>
        <v>0</v>
      </c>
      <c r="CD22" s="24">
        <f t="shared" si="52"/>
        <v>0</v>
      </c>
      <c r="CE22" s="25">
        <f t="shared" si="52"/>
        <v>0</v>
      </c>
      <c r="CF22" s="32">
        <f t="shared" si="52"/>
        <v>0</v>
      </c>
      <c r="CH22" s="54" t="s">
        <v>2251</v>
      </c>
      <c r="CI22" s="41">
        <v>0</v>
      </c>
      <c r="CJ22" s="40">
        <v>0</v>
      </c>
      <c r="CK22" s="39">
        <v>0</v>
      </c>
      <c r="CL22" s="40">
        <v>0</v>
      </c>
      <c r="CM22" s="39">
        <v>0</v>
      </c>
      <c r="CN22" s="40">
        <v>0</v>
      </c>
      <c r="CO22" s="39">
        <v>0</v>
      </c>
      <c r="CP22" s="40">
        <v>0</v>
      </c>
      <c r="CQ22" s="66">
        <v>0</v>
      </c>
      <c r="CS22" s="54" t="s">
        <v>1818</v>
      </c>
      <c r="CT22" s="39">
        <v>5.1425833676495655E-2</v>
      </c>
      <c r="CU22" s="40">
        <v>0.14155801834711618</v>
      </c>
      <c r="CV22" s="39">
        <v>0.34516386386465564</v>
      </c>
      <c r="CW22" s="40">
        <v>0.23378769220618006</v>
      </c>
      <c r="CX22" s="39">
        <v>0.17067488265645728</v>
      </c>
      <c r="CY22" s="40">
        <v>0.1487680207937426</v>
      </c>
      <c r="CZ22" s="39">
        <v>0.51682045531878495</v>
      </c>
      <c r="DA22" s="40">
        <v>0.23721997502796063</v>
      </c>
      <c r="DB22" s="39">
        <v>0.14874772901926309</v>
      </c>
      <c r="DC22" s="38">
        <v>1.9941664709106561</v>
      </c>
      <c r="DE22" s="37" t="s">
        <v>1788</v>
      </c>
      <c r="DF22" s="35" t="str">
        <f t="shared" si="16"/>
        <v>INGOH</v>
      </c>
      <c r="DG22" s="26">
        <f t="shared" si="45"/>
        <v>1.197811113072512E-2</v>
      </c>
      <c r="DH22" s="25">
        <f t="shared" si="45"/>
        <v>3.297171001394892E-2</v>
      </c>
      <c r="DI22" s="24">
        <f t="shared" si="45"/>
        <v>4.7912533531610867E-2</v>
      </c>
      <c r="DJ22" s="25">
        <f t="shared" si="45"/>
        <v>3.2452298211897289E-2</v>
      </c>
      <c r="DK22" s="24">
        <f t="shared" si="45"/>
        <v>2.0293802654030822E-2</v>
      </c>
      <c r="DL22" s="25">
        <f t="shared" si="45"/>
        <v>1.7689005014849754E-2</v>
      </c>
      <c r="DM22" s="24">
        <f t="shared" si="45"/>
        <v>6.1451645166307467E-2</v>
      </c>
      <c r="DN22" s="25">
        <f t="shared" si="45"/>
        <v>2.2603624377413561E-2</v>
      </c>
      <c r="DO22" s="32">
        <f t="shared" si="45"/>
        <v>1.4173502013683385E-2</v>
      </c>
      <c r="DP22" s="26">
        <f t="shared" si="18"/>
        <v>3.7854630137192833E-3</v>
      </c>
      <c r="DQ22" s="25">
        <f t="shared" si="19"/>
        <v>3.7854630137192829E-3</v>
      </c>
      <c r="DR22" s="24">
        <f t="shared" si="20"/>
        <v>3.7900176186915664E-3</v>
      </c>
      <c r="DS22" s="25">
        <f t="shared" si="21"/>
        <v>3.7900176186915673E-3</v>
      </c>
      <c r="DT22" s="24">
        <f t="shared" si="22"/>
        <v>3.7891882091003566E-3</v>
      </c>
      <c r="DU22" s="25">
        <f t="shared" si="23"/>
        <v>3.789188209100357E-3</v>
      </c>
      <c r="DV22" s="24">
        <f t="shared" si="24"/>
        <v>3.789188209100357E-3</v>
      </c>
      <c r="DW22" s="25">
        <f t="shared" si="25"/>
        <v>3.7905614466864183E-3</v>
      </c>
      <c r="DX22" s="32">
        <f t="shared" si="26"/>
        <v>3.7905614466864188E-3</v>
      </c>
      <c r="DZ22" s="54" t="s">
        <v>1879</v>
      </c>
      <c r="EA22" s="39">
        <v>4.13805729094072E-2</v>
      </c>
      <c r="EB22" s="40">
        <v>4.1380572909407214E-2</v>
      </c>
      <c r="EC22" s="39">
        <v>6.4911022799966731E-2</v>
      </c>
      <c r="ED22" s="40">
        <v>6.4911022799966717E-2</v>
      </c>
      <c r="EE22" s="39">
        <v>0.20288797444054635</v>
      </c>
      <c r="EF22" s="40">
        <v>0.20288797444054635</v>
      </c>
      <c r="EG22" s="39">
        <v>0.20288797444054638</v>
      </c>
      <c r="EH22" s="40">
        <v>0.18042923488967899</v>
      </c>
      <c r="EI22" s="66">
        <v>0.18042923488967899</v>
      </c>
      <c r="EK22" s="114"/>
      <c r="EL22" s="114"/>
      <c r="EM22" s="114"/>
      <c r="EO22" s="83" t="s">
        <v>2222</v>
      </c>
      <c r="EP22" s="82" t="s">
        <v>519</v>
      </c>
      <c r="EQ22" s="81">
        <f t="shared" si="27"/>
        <v>15.815320871347595</v>
      </c>
      <c r="ER22" s="80">
        <f>EQ22/SUM(EQ17:EQ25)</f>
        <v>6.9286204935384968E-2</v>
      </c>
      <c r="ET22" s="75" t="s">
        <v>518</v>
      </c>
      <c r="EU22" s="72">
        <v>0.12909373773113203</v>
      </c>
      <c r="EW22" s="37" t="s">
        <v>2222</v>
      </c>
      <c r="EX22" s="36" t="s">
        <v>2247</v>
      </c>
      <c r="EY22" s="36" t="s">
        <v>1145</v>
      </c>
      <c r="EZ22" s="1" t="s">
        <v>1945</v>
      </c>
      <c r="FA22" s="36" t="str">
        <f t="shared" si="28"/>
        <v>INCFAC</v>
      </c>
      <c r="FB22" s="1" t="s">
        <v>521</v>
      </c>
      <c r="FC22" s="26">
        <f t="shared" si="29"/>
        <v>25.763156077322762</v>
      </c>
      <c r="FD22" s="25">
        <f t="shared" si="30"/>
        <v>0.23721997502796063</v>
      </c>
      <c r="FE22" s="24">
        <f t="shared" si="31"/>
        <v>9.207721845723953E-3</v>
      </c>
      <c r="FF22" s="36">
        <v>0</v>
      </c>
      <c r="FG22" s="86">
        <f t="shared" si="32"/>
        <v>0</v>
      </c>
      <c r="FI22" s="54" t="s">
        <v>2149</v>
      </c>
      <c r="FJ22" s="24">
        <v>4.1522668623647405</v>
      </c>
      <c r="FK22" s="40">
        <v>0</v>
      </c>
      <c r="FL22" s="39">
        <v>0</v>
      </c>
      <c r="FM22" s="25">
        <v>1.8654699893598945</v>
      </c>
      <c r="FN22" s="24">
        <v>0.10425446457790599</v>
      </c>
      <c r="FO22" s="40">
        <v>0</v>
      </c>
      <c r="FP22" s="39">
        <v>0</v>
      </c>
      <c r="FQ22" s="40">
        <v>0</v>
      </c>
      <c r="FR22" s="113">
        <v>0</v>
      </c>
      <c r="FS22" s="32">
        <v>6.121991316302541</v>
      </c>
    </row>
    <row r="23" spans="1:175">
      <c r="A23" s="22" t="s">
        <v>2250</v>
      </c>
      <c r="B23" s="20" t="s">
        <v>1107</v>
      </c>
      <c r="C23" s="21" t="s">
        <v>1106</v>
      </c>
      <c r="D23" s="20" t="s">
        <v>1106</v>
      </c>
      <c r="E23" s="20" t="s">
        <v>2249</v>
      </c>
      <c r="F23" s="21" t="e">
        <f t="shared" ca="1" si="2"/>
        <v>#NAME?</v>
      </c>
      <c r="G23" s="19" t="s">
        <v>1109</v>
      </c>
      <c r="H23" s="50">
        <f>1-I23</f>
        <v>0.88332652522877819</v>
      </c>
      <c r="I23" s="49">
        <v>0.11667347477122178</v>
      </c>
      <c r="J23" s="11" t="e">
        <v>#REF!</v>
      </c>
      <c r="K23" s="10" t="e">
        <v>#REF!</v>
      </c>
      <c r="L23" s="9"/>
      <c r="M23" s="10"/>
      <c r="N23" s="9"/>
      <c r="O23" s="10"/>
      <c r="P23" s="9"/>
      <c r="Q23" s="10"/>
      <c r="R23" s="16"/>
      <c r="S23" s="15" t="e">
        <v>#REF!</v>
      </c>
      <c r="T23" s="13" t="e">
        <f t="shared" si="46"/>
        <v>#REF!</v>
      </c>
      <c r="U23" s="14" t="e">
        <f t="shared" si="46"/>
        <v>#REF!</v>
      </c>
      <c r="V23" s="13" t="e">
        <f t="shared" si="46"/>
        <v>#REF!</v>
      </c>
      <c r="W23" s="14" t="e">
        <f t="shared" si="46"/>
        <v>#REF!</v>
      </c>
      <c r="X23" s="13" t="e">
        <f t="shared" si="46"/>
        <v>#REF!</v>
      </c>
      <c r="Y23" s="14" t="e">
        <f t="shared" si="46"/>
        <v>#REF!</v>
      </c>
      <c r="Z23" s="13" t="e">
        <f t="shared" si="46"/>
        <v>#REF!</v>
      </c>
      <c r="AA23" s="12" t="e">
        <f t="shared" si="46"/>
        <v>#REF!</v>
      </c>
      <c r="AB23" s="11" t="e">
        <f t="shared" si="48"/>
        <v>#REF!</v>
      </c>
      <c r="AC23" s="10" t="e">
        <f t="shared" si="48"/>
        <v>#REF!</v>
      </c>
      <c r="AD23" s="9" t="e">
        <f t="shared" si="48"/>
        <v>#REF!</v>
      </c>
      <c r="AE23" s="10" t="e">
        <f t="shared" si="48"/>
        <v>#REF!</v>
      </c>
      <c r="AF23" s="9" t="e">
        <f t="shared" si="48"/>
        <v>#REF!</v>
      </c>
      <c r="AG23" s="10" t="e">
        <f t="shared" si="48"/>
        <v>#REF!</v>
      </c>
      <c r="AH23" s="9" t="e">
        <f t="shared" si="48"/>
        <v>#REF!</v>
      </c>
      <c r="AI23" s="10" t="e">
        <f t="shared" si="48"/>
        <v>#REF!</v>
      </c>
      <c r="AJ23" s="9" t="e">
        <f t="shared" si="48"/>
        <v>#REF!</v>
      </c>
      <c r="AK23" s="8" t="e">
        <f t="shared" si="12"/>
        <v>#REF!</v>
      </c>
      <c r="AL23" s="11" t="e">
        <f t="shared" si="49"/>
        <v>#REF!</v>
      </c>
      <c r="AM23" s="10" t="e">
        <f t="shared" si="49"/>
        <v>#REF!</v>
      </c>
      <c r="AN23" s="9" t="e">
        <f t="shared" si="49"/>
        <v>#REF!</v>
      </c>
      <c r="AO23" s="10" t="e">
        <f t="shared" si="49"/>
        <v>#REF!</v>
      </c>
      <c r="AP23" s="9" t="e">
        <f t="shared" si="49"/>
        <v>#REF!</v>
      </c>
      <c r="AQ23" s="10" t="e">
        <f t="shared" si="49"/>
        <v>#REF!</v>
      </c>
      <c r="AR23" s="9" t="e">
        <f t="shared" si="49"/>
        <v>#REF!</v>
      </c>
      <c r="AS23" s="10" t="e">
        <f t="shared" si="49"/>
        <v>#REF!</v>
      </c>
      <c r="AT23" s="9" t="e">
        <f t="shared" si="49"/>
        <v>#REF!</v>
      </c>
      <c r="AU23" s="48" t="e">
        <f>SUM(AL23:AT23)</f>
        <v>#REF!</v>
      </c>
      <c r="AW23" s="100" t="s">
        <v>1150</v>
      </c>
      <c r="AX23" s="41">
        <v>2.6212304315162603E-2</v>
      </c>
      <c r="AY23" s="40">
        <v>7.215365488303023E-2</v>
      </c>
      <c r="AZ23" s="39">
        <v>0.27611826095195274</v>
      </c>
      <c r="BA23" s="40">
        <v>0.18702146360620517</v>
      </c>
      <c r="BB23" s="39">
        <v>6.6082615752975929E-2</v>
      </c>
      <c r="BC23" s="40">
        <v>5.7600625243914176E-2</v>
      </c>
      <c r="BD23" s="39">
        <v>0.20010470803049471</v>
      </c>
      <c r="BE23" s="40">
        <v>0.10328035823296604</v>
      </c>
      <c r="BF23" s="39">
        <v>6.4761488730613354E-2</v>
      </c>
      <c r="BG23" s="81">
        <v>1.0533354797473149</v>
      </c>
      <c r="BH23" s="66">
        <v>0</v>
      </c>
      <c r="BJ23" s="22" t="s">
        <v>2222</v>
      </c>
      <c r="BK23" s="20" t="s">
        <v>2247</v>
      </c>
      <c r="BL23" s="21" t="s">
        <v>1027</v>
      </c>
      <c r="BM23" s="20"/>
      <c r="BN23" s="78"/>
      <c r="BO23" s="11">
        <f t="shared" ref="BO23:BW23" si="53">GETPIVOTDATA("Sum of "&amp;BO$1&amp;" (Out)",$AW$6,"Sub-Sector",$BJ23)</f>
        <v>5.1174965443007601</v>
      </c>
      <c r="BP23" s="10">
        <f t="shared" si="53"/>
        <v>19.35130550253648</v>
      </c>
      <c r="BQ23" s="9">
        <f t="shared" si="53"/>
        <v>43.505091555901984</v>
      </c>
      <c r="BR23" s="10">
        <f t="shared" si="53"/>
        <v>29.467032962816454</v>
      </c>
      <c r="BS23" s="9">
        <f t="shared" si="53"/>
        <v>18.14420881241573</v>
      </c>
      <c r="BT23" s="10">
        <f t="shared" si="53"/>
        <v>15.815320871347595</v>
      </c>
      <c r="BU23" s="9">
        <f t="shared" si="53"/>
        <v>54.942462030027514</v>
      </c>
      <c r="BV23" s="10">
        <f t="shared" si="53"/>
        <v>25.763156077322762</v>
      </c>
      <c r="BW23" s="16">
        <f t="shared" si="53"/>
        <v>16.154672296963582</v>
      </c>
      <c r="BX23" s="11"/>
      <c r="BY23" s="6"/>
      <c r="BZ23" s="5"/>
      <c r="CA23" s="6"/>
      <c r="CB23" s="5"/>
      <c r="CC23" s="6"/>
      <c r="CD23" s="5"/>
      <c r="CE23" s="6"/>
      <c r="CF23" s="59"/>
      <c r="CH23" s="54" t="s">
        <v>2248</v>
      </c>
      <c r="CI23" s="41">
        <v>4.2743189654051772E-2</v>
      </c>
      <c r="CJ23" s="40">
        <v>1.0264274314617398E-2</v>
      </c>
      <c r="CK23" s="39">
        <v>2.9566256673346291E-2</v>
      </c>
      <c r="CL23" s="40">
        <v>3.8615808722954489E-2</v>
      </c>
      <c r="CM23" s="39">
        <v>4.3853510728529234E-3</v>
      </c>
      <c r="CN23" s="40">
        <v>4.4571689346505523E-3</v>
      </c>
      <c r="CO23" s="39">
        <v>4.1320765208266224E-3</v>
      </c>
      <c r="CP23" s="40">
        <v>3.3710171397213134E-2</v>
      </c>
      <c r="CQ23" s="66">
        <v>3.3865003470127608E-2</v>
      </c>
      <c r="CS23" s="54" t="s">
        <v>1804</v>
      </c>
      <c r="CT23" s="39">
        <v>0</v>
      </c>
      <c r="CU23" s="40">
        <v>0</v>
      </c>
      <c r="CV23" s="39">
        <v>0</v>
      </c>
      <c r="CW23" s="40">
        <v>0</v>
      </c>
      <c r="CX23" s="39">
        <v>2.4639776316077222E-2</v>
      </c>
      <c r="CY23" s="40">
        <v>2.1477154097253207E-2</v>
      </c>
      <c r="CZ23" s="39">
        <v>7.4611684018323562E-2</v>
      </c>
      <c r="DA23" s="40">
        <v>0</v>
      </c>
      <c r="DB23" s="39">
        <v>0</v>
      </c>
      <c r="DC23" s="38">
        <v>0.12072861443165399</v>
      </c>
      <c r="DE23" s="37" t="s">
        <v>2116</v>
      </c>
      <c r="DF23" s="35" t="str">
        <f t="shared" si="16"/>
        <v>ICIOH</v>
      </c>
      <c r="DG23" s="26">
        <f t="shared" si="45"/>
        <v>3.1637407864545747E-2</v>
      </c>
      <c r="DH23" s="25">
        <f t="shared" si="45"/>
        <v>8.7087139726652427E-2</v>
      </c>
      <c r="DI23" s="24">
        <f t="shared" si="45"/>
        <v>0.1540552213983461</v>
      </c>
      <c r="DJ23" s="25">
        <f t="shared" si="45"/>
        <v>0.10434526453543817</v>
      </c>
      <c r="DK23" s="24">
        <f t="shared" si="45"/>
        <v>0.1582126210098726</v>
      </c>
      <c r="DL23" s="25">
        <f t="shared" si="45"/>
        <v>0.13790534451167966</v>
      </c>
      <c r="DM23" s="24">
        <f t="shared" si="45"/>
        <v>0.47908349227980052</v>
      </c>
      <c r="DN23" s="25">
        <f t="shared" si="45"/>
        <v>8.584636035138643E-2</v>
      </c>
      <c r="DO23" s="32">
        <f t="shared" si="45"/>
        <v>5.3829577991199654E-2</v>
      </c>
      <c r="DP23" s="26">
        <f t="shared" si="18"/>
        <v>8.8197194102193094E-2</v>
      </c>
      <c r="DQ23" s="25">
        <f t="shared" si="19"/>
        <v>8.8197194102193122E-2</v>
      </c>
      <c r="DR23" s="24">
        <f t="shared" si="20"/>
        <v>1.8369700671230452E-2</v>
      </c>
      <c r="DS23" s="25">
        <f t="shared" si="21"/>
        <v>1.8369700671230449E-2</v>
      </c>
      <c r="DT23" s="24">
        <f t="shared" si="22"/>
        <v>7.7669945260955872E-2</v>
      </c>
      <c r="DU23" s="25">
        <f t="shared" si="23"/>
        <v>7.7669945260955872E-2</v>
      </c>
      <c r="DV23" s="24">
        <f t="shared" si="24"/>
        <v>7.7669945260955872E-2</v>
      </c>
      <c r="DW23" s="25">
        <f t="shared" si="25"/>
        <v>0.10217119088131919</v>
      </c>
      <c r="DX23" s="32">
        <f t="shared" si="26"/>
        <v>0.10217119088131918</v>
      </c>
      <c r="DZ23" s="54" t="s">
        <v>1789</v>
      </c>
      <c r="EA23" s="39">
        <v>0</v>
      </c>
      <c r="EB23" s="40">
        <v>0</v>
      </c>
      <c r="EC23" s="39">
        <v>0.80887689485810976</v>
      </c>
      <c r="ED23" s="40">
        <v>0.80887689485810976</v>
      </c>
      <c r="EE23" s="39">
        <v>0.95732116523251576</v>
      </c>
      <c r="EF23" s="40">
        <v>0.95732116523251576</v>
      </c>
      <c r="EG23" s="39">
        <v>0.95732116523251554</v>
      </c>
      <c r="EH23" s="40">
        <v>0.80887689485810976</v>
      </c>
      <c r="EI23" s="66">
        <v>0.80887689485810987</v>
      </c>
      <c r="EK23" s="114"/>
      <c r="EL23" s="114"/>
      <c r="EM23" s="114"/>
      <c r="EO23" s="83" t="s">
        <v>2222</v>
      </c>
      <c r="EP23" s="82" t="s">
        <v>520</v>
      </c>
      <c r="EQ23" s="81">
        <f t="shared" si="27"/>
        <v>54.942462030027514</v>
      </c>
      <c r="ER23" s="80">
        <f>EQ23/SUM(EQ17:EQ25)</f>
        <v>0.24070043945575204</v>
      </c>
      <c r="ET23" s="75" t="s">
        <v>517</v>
      </c>
      <c r="EU23" s="72">
        <v>7.9488957599652868E-2</v>
      </c>
      <c r="EW23" s="22" t="s">
        <v>2222</v>
      </c>
      <c r="EX23" s="20" t="s">
        <v>2247</v>
      </c>
      <c r="EY23" s="20" t="s">
        <v>1145</v>
      </c>
      <c r="EZ23" s="21" t="s">
        <v>1945</v>
      </c>
      <c r="FA23" s="20" t="str">
        <f t="shared" si="28"/>
        <v>INCFAC</v>
      </c>
      <c r="FB23" s="21" t="s">
        <v>522</v>
      </c>
      <c r="FC23" s="11">
        <f t="shared" si="29"/>
        <v>16.154672296963582</v>
      </c>
      <c r="FD23" s="10">
        <f t="shared" si="30"/>
        <v>0.14874772901926309</v>
      </c>
      <c r="FE23" s="101">
        <f t="shared" si="31"/>
        <v>9.2077218457239512E-3</v>
      </c>
      <c r="FF23" s="20">
        <v>0</v>
      </c>
      <c r="FG23" s="84">
        <f t="shared" si="32"/>
        <v>0</v>
      </c>
      <c r="FI23" s="54" t="s">
        <v>2033</v>
      </c>
      <c r="FJ23" s="39">
        <v>0</v>
      </c>
      <c r="FK23" s="40">
        <v>0</v>
      </c>
      <c r="FL23" s="39">
        <v>0</v>
      </c>
      <c r="FM23" s="40">
        <v>0</v>
      </c>
      <c r="FN23" s="24">
        <v>1.5173765035933684</v>
      </c>
      <c r="FO23" s="40">
        <v>0</v>
      </c>
      <c r="FP23" s="39">
        <v>0</v>
      </c>
      <c r="FQ23" s="40">
        <v>0</v>
      </c>
      <c r="FR23" s="113">
        <v>0</v>
      </c>
      <c r="FS23" s="32">
        <v>1.5173765035933684</v>
      </c>
    </row>
    <row r="24" spans="1:175">
      <c r="A24" s="37" t="s">
        <v>2222</v>
      </c>
      <c r="B24" s="36" t="s">
        <v>1145</v>
      </c>
      <c r="C24" s="1" t="s">
        <v>1120</v>
      </c>
      <c r="D24" s="36" t="s">
        <v>1120</v>
      </c>
      <c r="E24" s="36" t="s">
        <v>2246</v>
      </c>
      <c r="F24" s="1" t="e">
        <f t="shared" ca="1" si="2"/>
        <v>#NAME?</v>
      </c>
      <c r="G24" s="35" t="s">
        <v>1121</v>
      </c>
      <c r="H24" s="43">
        <v>1</v>
      </c>
      <c r="I24" s="42">
        <v>0</v>
      </c>
      <c r="J24" s="26">
        <v>0.3493577622061434</v>
      </c>
      <c r="K24" s="25">
        <v>0.17657024646290415</v>
      </c>
      <c r="L24" s="24"/>
      <c r="M24" s="25"/>
      <c r="N24" s="24"/>
      <c r="O24" s="25"/>
      <c r="P24" s="24"/>
      <c r="Q24" s="25"/>
      <c r="R24" s="32"/>
      <c r="S24" s="47">
        <v>1</v>
      </c>
      <c r="T24" s="45">
        <v>1</v>
      </c>
      <c r="U24" s="46">
        <v>1</v>
      </c>
      <c r="V24" s="45">
        <v>1</v>
      </c>
      <c r="W24" s="46">
        <v>1</v>
      </c>
      <c r="X24" s="45">
        <v>1</v>
      </c>
      <c r="Y24" s="46">
        <v>1</v>
      </c>
      <c r="Z24" s="45">
        <v>1</v>
      </c>
      <c r="AA24" s="44">
        <v>1</v>
      </c>
      <c r="AB24" s="26">
        <f t="shared" ref="AB24:AB34" si="54">J24*$H24*S24</f>
        <v>0.3493577622061434</v>
      </c>
      <c r="AC24" s="25">
        <f t="shared" ref="AC24:AC34" si="55">K24*$H24*T24</f>
        <v>0.17657024646290415</v>
      </c>
      <c r="AD24" s="24">
        <f t="shared" ref="AD24:AD34" si="56">L24*$H24*U24</f>
        <v>0</v>
      </c>
      <c r="AE24" s="25">
        <f t="shared" ref="AE24:AE34" si="57">M24*$H24*V24</f>
        <v>0</v>
      </c>
      <c r="AF24" s="24">
        <f t="shared" ref="AF24:AF34" si="58">N24*$H24*W24</f>
        <v>0</v>
      </c>
      <c r="AG24" s="25">
        <f t="shared" ref="AG24:AG34" si="59">O24*$H24*X24</f>
        <v>0</v>
      </c>
      <c r="AH24" s="24">
        <f t="shared" ref="AH24:AH34" si="60">P24*$H24*Y24</f>
        <v>0</v>
      </c>
      <c r="AI24" s="25">
        <f t="shared" ref="AI24:AI34" si="61">Q24*$H24*Z24</f>
        <v>0</v>
      </c>
      <c r="AJ24" s="24">
        <f t="shared" ref="AJ24:AJ34" si="62">R24*$H24*AA24</f>
        <v>0</v>
      </c>
      <c r="AK24" s="27">
        <f t="shared" si="12"/>
        <v>0.52592800866904754</v>
      </c>
      <c r="AL24" s="41">
        <v>0</v>
      </c>
      <c r="AM24" s="40">
        <v>0</v>
      </c>
      <c r="AN24" s="39">
        <v>0</v>
      </c>
      <c r="AO24" s="40">
        <v>0</v>
      </c>
      <c r="AP24" s="39">
        <v>0</v>
      </c>
      <c r="AQ24" s="40">
        <v>0</v>
      </c>
      <c r="AR24" s="39">
        <v>0</v>
      </c>
      <c r="AS24" s="40">
        <v>0</v>
      </c>
      <c r="AT24" s="39">
        <v>0</v>
      </c>
      <c r="AU24" s="38">
        <v>0</v>
      </c>
      <c r="AW24" s="100" t="s">
        <v>1145</v>
      </c>
      <c r="AX24" s="41">
        <v>3.3063577798669721</v>
      </c>
      <c r="AY24" s="40">
        <v>9.1012905733108056</v>
      </c>
      <c r="AZ24" s="39">
        <v>30.530189937578768</v>
      </c>
      <c r="BA24" s="40">
        <v>20.678823583113108</v>
      </c>
      <c r="BB24" s="39">
        <v>7.0901481606554118</v>
      </c>
      <c r="BC24" s="40">
        <v>6.1800968752867247</v>
      </c>
      <c r="BD24" s="39">
        <v>21.469671129309194</v>
      </c>
      <c r="BE24" s="40">
        <v>16.490794997278336</v>
      </c>
      <c r="BF24" s="39">
        <v>10.340479570821353</v>
      </c>
      <c r="BG24" s="81">
        <v>125.18785260722068</v>
      </c>
      <c r="BH24" s="66">
        <v>0</v>
      </c>
      <c r="BJ24" s="37" t="s">
        <v>2075</v>
      </c>
      <c r="BK24" s="36" t="s">
        <v>2228</v>
      </c>
      <c r="BL24" s="1" t="s">
        <v>1150</v>
      </c>
      <c r="BM24" s="36" t="s">
        <v>1902</v>
      </c>
      <c r="BN24" s="82" t="str">
        <f t="shared" ref="BN24:BN30" si="63">BK24&amp;BM24</f>
        <v>IFDETC</v>
      </c>
      <c r="BO24" s="26">
        <f t="shared" ref="BO24:BW30" si="64">IF(ISERROR(GETPIVOTDATA("Sum of "&amp;BO$1&amp;" (Out)",$AW$6,"Sub-Sector",$BJ24,"End-Use",$BL24)),0,GETPIVOTDATA("Sum of "&amp;BO$1&amp;" (Out)",$AW$6,"Sub-Sector",$BJ24,"End-Use",$BL24))</f>
        <v>2.6212304315162603E-2</v>
      </c>
      <c r="BP24" s="25">
        <f t="shared" si="64"/>
        <v>7.215365488303023E-2</v>
      </c>
      <c r="BQ24" s="24">
        <f t="shared" si="64"/>
        <v>0.27611826095195274</v>
      </c>
      <c r="BR24" s="25">
        <f t="shared" si="64"/>
        <v>0.18702146360620517</v>
      </c>
      <c r="BS24" s="24">
        <f t="shared" si="64"/>
        <v>6.6082615752975929E-2</v>
      </c>
      <c r="BT24" s="25">
        <f t="shared" si="64"/>
        <v>5.7600625243914176E-2</v>
      </c>
      <c r="BU24" s="24">
        <f t="shared" si="64"/>
        <v>0.20010470803049471</v>
      </c>
      <c r="BV24" s="25">
        <f t="shared" si="64"/>
        <v>0.10328035823296604</v>
      </c>
      <c r="BW24" s="32">
        <f t="shared" si="64"/>
        <v>6.4761488730613354E-2</v>
      </c>
      <c r="BX24" s="26">
        <f t="shared" ref="BX24:CF24" si="65">BO24/BO31</f>
        <v>1.3836373247567626E-3</v>
      </c>
      <c r="BY24" s="25">
        <f t="shared" si="65"/>
        <v>1.4173374092391845E-3</v>
      </c>
      <c r="BZ24" s="24">
        <f t="shared" si="65"/>
        <v>1.062177448315391E-3</v>
      </c>
      <c r="CA24" s="25">
        <f t="shared" si="65"/>
        <v>7.4192565095931363E-4</v>
      </c>
      <c r="CB24" s="24">
        <f t="shared" si="65"/>
        <v>7.3463342657700999E-4</v>
      </c>
      <c r="CC24" s="25">
        <f t="shared" si="65"/>
        <v>1.1928634306158344E-3</v>
      </c>
      <c r="CD24" s="24">
        <f t="shared" si="65"/>
        <v>1.7261799981799577E-3</v>
      </c>
      <c r="CE24" s="25">
        <f t="shared" si="65"/>
        <v>1.1848022192743129E-3</v>
      </c>
      <c r="CF24" s="32">
        <f t="shared" si="65"/>
        <v>6.6238412970125388E-4</v>
      </c>
      <c r="CH24" s="54" t="s">
        <v>2245</v>
      </c>
      <c r="CI24" s="41">
        <v>0</v>
      </c>
      <c r="CJ24" s="40">
        <v>0</v>
      </c>
      <c r="CK24" s="39">
        <v>6.2688843833061192E-3</v>
      </c>
      <c r="CL24" s="40">
        <v>8.1876459007506619E-3</v>
      </c>
      <c r="CM24" s="39">
        <v>0.79026549906231514</v>
      </c>
      <c r="CN24" s="40">
        <v>0.8032074910379241</v>
      </c>
      <c r="CO24" s="39">
        <v>0.74462396730539748</v>
      </c>
      <c r="CP24" s="40">
        <v>0.25939612109602633</v>
      </c>
      <c r="CQ24" s="66">
        <v>0.26058753714259653</v>
      </c>
      <c r="CS24" s="54" t="s">
        <v>1801</v>
      </c>
      <c r="CT24" s="39">
        <v>0</v>
      </c>
      <c r="CU24" s="40">
        <v>0</v>
      </c>
      <c r="CV24" s="39">
        <v>0</v>
      </c>
      <c r="CW24" s="40">
        <v>0</v>
      </c>
      <c r="CX24" s="39">
        <v>0.21489116393693578</v>
      </c>
      <c r="CY24" s="40">
        <v>0.18730895048751978</v>
      </c>
      <c r="CZ24" s="39">
        <v>0.65071173602865795</v>
      </c>
      <c r="DA24" s="40">
        <v>0</v>
      </c>
      <c r="DB24" s="39">
        <v>0</v>
      </c>
      <c r="DC24" s="38">
        <v>1.0529118504531136</v>
      </c>
      <c r="DE24" s="37" t="s">
        <v>2113</v>
      </c>
      <c r="DF24" s="35" t="str">
        <f t="shared" si="16"/>
        <v>ICIOH</v>
      </c>
      <c r="DG24" s="26">
        <f t="shared" si="45"/>
        <v>0.32707477324960438</v>
      </c>
      <c r="DH24" s="25">
        <f t="shared" si="45"/>
        <v>0.90032680935823028</v>
      </c>
      <c r="DI24" s="24">
        <f t="shared" si="45"/>
        <v>8.2323210269429428</v>
      </c>
      <c r="DJ24" s="25">
        <f t="shared" si="45"/>
        <v>5.5759467773951972</v>
      </c>
      <c r="DK24" s="24">
        <f t="shared" si="45"/>
        <v>1.8787737638563589</v>
      </c>
      <c r="DL24" s="25">
        <f t="shared" si="45"/>
        <v>1.6376249979952526</v>
      </c>
      <c r="DM24" s="24">
        <f t="shared" si="45"/>
        <v>5.6891131077071497</v>
      </c>
      <c r="DN24" s="25">
        <f t="shared" si="45"/>
        <v>0.75437444563984957</v>
      </c>
      <c r="DO24" s="32">
        <f t="shared" si="45"/>
        <v>0.47302713696798526</v>
      </c>
      <c r="DP24" s="26">
        <f t="shared" si="18"/>
        <v>0.91180280589780682</v>
      </c>
      <c r="DQ24" s="25">
        <f t="shared" si="19"/>
        <v>0.91180280589780693</v>
      </c>
      <c r="DR24" s="24">
        <f t="shared" si="20"/>
        <v>0.98163029932876955</v>
      </c>
      <c r="DS24" s="25">
        <f t="shared" si="21"/>
        <v>0.98163029932876955</v>
      </c>
      <c r="DT24" s="24">
        <f t="shared" si="22"/>
        <v>0.92233005473904406</v>
      </c>
      <c r="DU24" s="25">
        <f t="shared" si="23"/>
        <v>0.92233005473904417</v>
      </c>
      <c r="DV24" s="24">
        <f t="shared" si="24"/>
        <v>0.92233005473904417</v>
      </c>
      <c r="DW24" s="25">
        <f t="shared" si="25"/>
        <v>0.8978288091186809</v>
      </c>
      <c r="DX24" s="32">
        <f t="shared" si="26"/>
        <v>0.89782880911868079</v>
      </c>
      <c r="DZ24" s="54" t="s">
        <v>1786</v>
      </c>
      <c r="EA24" s="39">
        <v>0</v>
      </c>
      <c r="EB24" s="40">
        <v>0</v>
      </c>
      <c r="EC24" s="39">
        <v>0.19112310514189015</v>
      </c>
      <c r="ED24" s="40">
        <v>0.19112310514189015</v>
      </c>
      <c r="EE24" s="39">
        <v>4.2678834767484346E-2</v>
      </c>
      <c r="EF24" s="40">
        <v>4.2678834767484353E-2</v>
      </c>
      <c r="EG24" s="39">
        <v>4.2678834767484339E-2</v>
      </c>
      <c r="EH24" s="40">
        <v>0.19112310514189015</v>
      </c>
      <c r="EI24" s="66">
        <v>0.19112310514189015</v>
      </c>
      <c r="EO24" s="83" t="s">
        <v>2222</v>
      </c>
      <c r="EP24" s="82" t="s">
        <v>521</v>
      </c>
      <c r="EQ24" s="81">
        <f t="shared" si="27"/>
        <v>25.763156077322762</v>
      </c>
      <c r="ER24" s="80">
        <f>EQ24/SUM(EQ17:EQ25)</f>
        <v>0.11286722073338459</v>
      </c>
      <c r="ET24" s="75" t="s">
        <v>519</v>
      </c>
      <c r="EU24" s="72">
        <v>6.9286204935384968E-2</v>
      </c>
      <c r="EW24" s="37" t="s">
        <v>2075</v>
      </c>
      <c r="EX24" s="36" t="s">
        <v>2228</v>
      </c>
      <c r="EY24" s="36" t="s">
        <v>1150</v>
      </c>
      <c r="EZ24" s="1" t="s">
        <v>1902</v>
      </c>
      <c r="FA24" s="36" t="str">
        <f t="shared" si="28"/>
        <v>IFDETC</v>
      </c>
      <c r="FB24" s="35" t="s">
        <v>438</v>
      </c>
      <c r="FC24" s="26">
        <f t="shared" si="29"/>
        <v>18.94449061626074</v>
      </c>
      <c r="FD24" s="25">
        <f t="shared" si="30"/>
        <v>2.6212304315162603E-2</v>
      </c>
      <c r="FE24" s="24">
        <f t="shared" si="31"/>
        <v>1.3836373247567626E-3</v>
      </c>
      <c r="FF24" s="36">
        <v>0</v>
      </c>
      <c r="FG24" s="86">
        <f t="shared" si="32"/>
        <v>0</v>
      </c>
      <c r="FI24" s="54" t="s">
        <v>2006</v>
      </c>
      <c r="FJ24" s="39">
        <v>0</v>
      </c>
      <c r="FK24" s="40">
        <v>0</v>
      </c>
      <c r="FL24" s="39">
        <v>0</v>
      </c>
      <c r="FM24" s="40">
        <v>0</v>
      </c>
      <c r="FN24" s="24">
        <v>0.45095911210836448</v>
      </c>
      <c r="FO24" s="25">
        <v>2.0138649516369185</v>
      </c>
      <c r="FP24" s="39">
        <v>0</v>
      </c>
      <c r="FQ24" s="40">
        <v>0</v>
      </c>
      <c r="FR24" s="113">
        <v>0</v>
      </c>
      <c r="FS24" s="32">
        <v>2.464824063745283</v>
      </c>
    </row>
    <row r="25" spans="1:175">
      <c r="A25" s="37" t="s">
        <v>2222</v>
      </c>
      <c r="B25" s="36" t="s">
        <v>1145</v>
      </c>
      <c r="C25" s="1" t="s">
        <v>1126</v>
      </c>
      <c r="D25" s="36" t="s">
        <v>1126</v>
      </c>
      <c r="E25" s="36" t="s">
        <v>2244</v>
      </c>
      <c r="F25" s="1" t="e">
        <f t="shared" ca="1" si="2"/>
        <v>#NAME?</v>
      </c>
      <c r="G25" s="35" t="s">
        <v>1121</v>
      </c>
      <c r="H25" s="43">
        <v>1</v>
      </c>
      <c r="I25" s="42">
        <v>0</v>
      </c>
      <c r="J25" s="26">
        <v>0.23378769220618006</v>
      </c>
      <c r="K25" s="25">
        <v>0.17067488265645728</v>
      </c>
      <c r="L25" s="24"/>
      <c r="M25" s="25"/>
      <c r="N25" s="24"/>
      <c r="O25" s="25"/>
      <c r="P25" s="24"/>
      <c r="Q25" s="25"/>
      <c r="R25" s="32"/>
      <c r="S25" s="47">
        <v>1</v>
      </c>
      <c r="T25" s="45">
        <v>1</v>
      </c>
      <c r="U25" s="46">
        <v>1</v>
      </c>
      <c r="V25" s="45">
        <v>1</v>
      </c>
      <c r="W25" s="46">
        <v>1</v>
      </c>
      <c r="X25" s="45">
        <v>1</v>
      </c>
      <c r="Y25" s="46">
        <v>1</v>
      </c>
      <c r="Z25" s="45">
        <v>1</v>
      </c>
      <c r="AA25" s="44">
        <v>1</v>
      </c>
      <c r="AB25" s="26">
        <f t="shared" si="54"/>
        <v>0.23378769220618006</v>
      </c>
      <c r="AC25" s="25">
        <f t="shared" si="55"/>
        <v>0.17067488265645728</v>
      </c>
      <c r="AD25" s="24">
        <f t="shared" si="56"/>
        <v>0</v>
      </c>
      <c r="AE25" s="25">
        <f t="shared" si="57"/>
        <v>0</v>
      </c>
      <c r="AF25" s="24">
        <f t="shared" si="58"/>
        <v>0</v>
      </c>
      <c r="AG25" s="25">
        <f t="shared" si="59"/>
        <v>0</v>
      </c>
      <c r="AH25" s="24">
        <f t="shared" si="60"/>
        <v>0</v>
      </c>
      <c r="AI25" s="25">
        <f t="shared" si="61"/>
        <v>0</v>
      </c>
      <c r="AJ25" s="24">
        <f t="shared" si="62"/>
        <v>0</v>
      </c>
      <c r="AK25" s="27">
        <f t="shared" si="12"/>
        <v>0.40446257486263737</v>
      </c>
      <c r="AL25" s="41">
        <v>0</v>
      </c>
      <c r="AM25" s="40">
        <v>0</v>
      </c>
      <c r="AN25" s="39">
        <v>0</v>
      </c>
      <c r="AO25" s="40">
        <v>0</v>
      </c>
      <c r="AP25" s="39">
        <v>0</v>
      </c>
      <c r="AQ25" s="40">
        <v>0</v>
      </c>
      <c r="AR25" s="39">
        <v>0</v>
      </c>
      <c r="AS25" s="40">
        <v>0</v>
      </c>
      <c r="AT25" s="39">
        <v>0</v>
      </c>
      <c r="AU25" s="38">
        <v>0</v>
      </c>
      <c r="AW25" s="100" t="s">
        <v>1139</v>
      </c>
      <c r="AX25" s="41">
        <v>0</v>
      </c>
      <c r="AY25" s="40">
        <v>0</v>
      </c>
      <c r="AZ25" s="39">
        <v>2.5311191351070055</v>
      </c>
      <c r="BA25" s="40">
        <v>1.7143871744569474</v>
      </c>
      <c r="BB25" s="39">
        <v>0</v>
      </c>
      <c r="BC25" s="40">
        <v>0</v>
      </c>
      <c r="BD25" s="39">
        <v>0</v>
      </c>
      <c r="BE25" s="40">
        <v>0.76282474301015324</v>
      </c>
      <c r="BF25" s="39">
        <v>0.47832585830551999</v>
      </c>
      <c r="BG25" s="81">
        <v>5.4866569108796259</v>
      </c>
      <c r="BH25" s="66">
        <v>0</v>
      </c>
      <c r="BJ25" s="37" t="s">
        <v>2075</v>
      </c>
      <c r="BK25" s="36" t="s">
        <v>2228</v>
      </c>
      <c r="BL25" s="1" t="s">
        <v>1145</v>
      </c>
      <c r="BM25" s="36" t="s">
        <v>1945</v>
      </c>
      <c r="BN25" s="82" t="str">
        <f t="shared" si="63"/>
        <v>IFDFAC</v>
      </c>
      <c r="BO25" s="26">
        <f t="shared" si="64"/>
        <v>3.3063577798669721</v>
      </c>
      <c r="BP25" s="25">
        <f t="shared" si="64"/>
        <v>9.1012905733108056</v>
      </c>
      <c r="BQ25" s="24">
        <f t="shared" si="64"/>
        <v>30.530189937578768</v>
      </c>
      <c r="BR25" s="25">
        <f t="shared" si="64"/>
        <v>20.678823583113108</v>
      </c>
      <c r="BS25" s="24">
        <f t="shared" si="64"/>
        <v>7.0901481606554118</v>
      </c>
      <c r="BT25" s="25">
        <f t="shared" si="64"/>
        <v>6.1800968752867247</v>
      </c>
      <c r="BU25" s="24">
        <f t="shared" si="64"/>
        <v>21.469671129309194</v>
      </c>
      <c r="BV25" s="25">
        <f t="shared" si="64"/>
        <v>16.490794997278336</v>
      </c>
      <c r="BW25" s="32">
        <f t="shared" si="64"/>
        <v>10.340479570821353</v>
      </c>
      <c r="BX25" s="26">
        <f t="shared" ref="BX25:CF25" si="66">BO25/BO31</f>
        <v>0.17452872430515529</v>
      </c>
      <c r="BY25" s="25">
        <f t="shared" si="66"/>
        <v>0.17877957288263713</v>
      </c>
      <c r="BZ25" s="24">
        <f t="shared" si="66"/>
        <v>0.11744416733859016</v>
      </c>
      <c r="CA25" s="25">
        <f t="shared" si="66"/>
        <v>8.2034165235058951E-2</v>
      </c>
      <c r="CB25" s="24">
        <f t="shared" si="66"/>
        <v>7.8820424688869947E-2</v>
      </c>
      <c r="CC25" s="25">
        <f t="shared" si="66"/>
        <v>0.12798492254164576</v>
      </c>
      <c r="CD25" s="24">
        <f t="shared" si="66"/>
        <v>0.18520562177511307</v>
      </c>
      <c r="CE25" s="25">
        <f t="shared" si="66"/>
        <v>0.18917760205963996</v>
      </c>
      <c r="CF25" s="32">
        <f t="shared" si="66"/>
        <v>0.1057630035298175</v>
      </c>
      <c r="CH25" s="54" t="s">
        <v>2243</v>
      </c>
      <c r="CI25" s="41">
        <v>0.26964966092819093</v>
      </c>
      <c r="CJ25" s="40">
        <v>6.4753194860088195E-2</v>
      </c>
      <c r="CK25" s="39">
        <v>0.18703510266581669</v>
      </c>
      <c r="CL25" s="40">
        <v>0.24428225151452337</v>
      </c>
      <c r="CM25" s="39">
        <v>2.4579751137078065E-2</v>
      </c>
      <c r="CN25" s="40">
        <v>2.4982287933073822E-2</v>
      </c>
      <c r="CO25" s="39">
        <v>2.3160155452550252E-2</v>
      </c>
      <c r="CP25" s="40">
        <v>0.22682507768343382</v>
      </c>
      <c r="CQ25" s="66">
        <v>0.22786689371435487</v>
      </c>
      <c r="CS25" s="54" t="s">
        <v>1707</v>
      </c>
      <c r="CT25" s="39">
        <v>0.56568417044145214</v>
      </c>
      <c r="CU25" s="40">
        <v>1.5571382018182778</v>
      </c>
      <c r="CV25" s="39">
        <v>3.7968025025112118</v>
      </c>
      <c r="CW25" s="40">
        <v>2.5716646142679807</v>
      </c>
      <c r="CX25" s="39">
        <v>1.87742370922103</v>
      </c>
      <c r="CY25" s="40">
        <v>1.6364482287311684</v>
      </c>
      <c r="CZ25" s="39">
        <v>5.6850250085066341</v>
      </c>
      <c r="DA25" s="40">
        <v>2.6094197253075668</v>
      </c>
      <c r="DB25" s="39">
        <v>1.6362250192118939</v>
      </c>
      <c r="DC25" s="38">
        <v>21.935831180017217</v>
      </c>
      <c r="DE25" s="37" t="s">
        <v>2076</v>
      </c>
      <c r="DF25" s="35" t="str">
        <f t="shared" si="16"/>
        <v>ICOOH</v>
      </c>
      <c r="DG25" s="26">
        <f t="shared" si="45"/>
        <v>0</v>
      </c>
      <c r="DH25" s="25">
        <f t="shared" si="45"/>
        <v>0</v>
      </c>
      <c r="DI25" s="24">
        <f t="shared" si="45"/>
        <v>0</v>
      </c>
      <c r="DJ25" s="25">
        <f t="shared" si="45"/>
        <v>0</v>
      </c>
      <c r="DK25" s="24">
        <f t="shared" si="45"/>
        <v>2.696709218706173</v>
      </c>
      <c r="DL25" s="25">
        <f t="shared" si="45"/>
        <v>2.3505748876399122</v>
      </c>
      <c r="DM25" s="24">
        <f t="shared" si="45"/>
        <v>8.1659027068407344</v>
      </c>
      <c r="DN25" s="25">
        <f t="shared" si="45"/>
        <v>0</v>
      </c>
      <c r="DO25" s="32">
        <f t="shared" si="45"/>
        <v>0</v>
      </c>
      <c r="DP25" s="26">
        <f t="shared" si="18"/>
        <v>0</v>
      </c>
      <c r="DQ25" s="25">
        <f t="shared" si="19"/>
        <v>0</v>
      </c>
      <c r="DR25" s="24">
        <f t="shared" si="20"/>
        <v>0</v>
      </c>
      <c r="DS25" s="25">
        <f t="shared" si="21"/>
        <v>0</v>
      </c>
      <c r="DT25" s="24">
        <f t="shared" si="22"/>
        <v>7.807369312700671E-2</v>
      </c>
      <c r="DU25" s="25">
        <f t="shared" si="23"/>
        <v>7.8073693127006724E-2</v>
      </c>
      <c r="DV25" s="24">
        <f t="shared" si="24"/>
        <v>7.8073693127006724E-2</v>
      </c>
      <c r="DW25" s="25">
        <f t="shared" si="25"/>
        <v>0</v>
      </c>
      <c r="DX25" s="32">
        <f t="shared" si="26"/>
        <v>0</v>
      </c>
      <c r="DZ25" s="54" t="s">
        <v>1691</v>
      </c>
      <c r="EA25" s="39">
        <v>0.96007735556805163</v>
      </c>
      <c r="EB25" s="40">
        <v>0.96007735556805174</v>
      </c>
      <c r="EC25" s="39">
        <v>0.93732172994069696</v>
      </c>
      <c r="ED25" s="40">
        <v>0.93732172994069696</v>
      </c>
      <c r="EE25" s="39">
        <v>0.80309138646553224</v>
      </c>
      <c r="EF25" s="40">
        <v>0.80309138646553224</v>
      </c>
      <c r="EG25" s="39">
        <v>0.80309138646553213</v>
      </c>
      <c r="EH25" s="40">
        <v>0.82503352354745874</v>
      </c>
      <c r="EI25" s="66">
        <v>0.82503352354745874</v>
      </c>
      <c r="EO25" s="79" t="s">
        <v>2222</v>
      </c>
      <c r="EP25" s="78" t="s">
        <v>522</v>
      </c>
      <c r="EQ25" s="77">
        <f t="shared" si="27"/>
        <v>16.154672296963582</v>
      </c>
      <c r="ER25" s="76">
        <f>EQ25/SUM(EQ17:EQ25)</f>
        <v>7.0772888171950932E-2</v>
      </c>
      <c r="ET25" s="75" t="s">
        <v>520</v>
      </c>
      <c r="EU25" s="72">
        <v>0.24070043945575204</v>
      </c>
      <c r="EW25" s="37" t="s">
        <v>2075</v>
      </c>
      <c r="EX25" s="36" t="s">
        <v>2228</v>
      </c>
      <c r="EY25" s="36" t="s">
        <v>1150</v>
      </c>
      <c r="EZ25" s="1" t="s">
        <v>1902</v>
      </c>
      <c r="FA25" s="36" t="str">
        <f t="shared" si="28"/>
        <v>IFDETC</v>
      </c>
      <c r="FB25" s="1" t="s">
        <v>440</v>
      </c>
      <c r="FC25" s="26">
        <f t="shared" si="29"/>
        <v>50.907888561102567</v>
      </c>
      <c r="FD25" s="25">
        <f t="shared" si="30"/>
        <v>7.215365488303023E-2</v>
      </c>
      <c r="FE25" s="24">
        <f t="shared" si="31"/>
        <v>1.4173374092391845E-3</v>
      </c>
      <c r="FF25" s="36">
        <v>0</v>
      </c>
      <c r="FG25" s="86">
        <f t="shared" si="32"/>
        <v>0</v>
      </c>
      <c r="FI25" s="54" t="s">
        <v>1936</v>
      </c>
      <c r="FJ25" s="39">
        <v>0</v>
      </c>
      <c r="FK25" s="40">
        <v>0</v>
      </c>
      <c r="FL25" s="39">
        <v>0</v>
      </c>
      <c r="FM25" s="40">
        <v>0</v>
      </c>
      <c r="FN25" s="39">
        <v>0</v>
      </c>
      <c r="FO25" s="40">
        <v>0</v>
      </c>
      <c r="FP25" s="39">
        <v>0</v>
      </c>
      <c r="FQ25" s="40">
        <v>0</v>
      </c>
      <c r="FR25" s="113">
        <v>0</v>
      </c>
      <c r="FS25" s="66">
        <v>0</v>
      </c>
    </row>
    <row r="26" spans="1:175">
      <c r="A26" s="37" t="s">
        <v>2222</v>
      </c>
      <c r="B26" s="36" t="s">
        <v>1139</v>
      </c>
      <c r="C26" s="1" t="s">
        <v>1197</v>
      </c>
      <c r="D26" s="36" t="s">
        <v>1197</v>
      </c>
      <c r="E26" s="36" t="s">
        <v>2242</v>
      </c>
      <c r="F26" s="1" t="e">
        <f t="shared" ca="1" si="2"/>
        <v>#NAME?</v>
      </c>
      <c r="G26" s="35" t="s">
        <v>1121</v>
      </c>
      <c r="H26" s="43">
        <v>1</v>
      </c>
      <c r="I26" s="42">
        <v>0</v>
      </c>
      <c r="J26" s="26">
        <v>0</v>
      </c>
      <c r="K26" s="25">
        <v>2.4639776316077222E-2</v>
      </c>
      <c r="L26" s="24"/>
      <c r="M26" s="25"/>
      <c r="N26" s="24"/>
      <c r="O26" s="25"/>
      <c r="P26" s="24"/>
      <c r="Q26" s="25"/>
      <c r="R26" s="32"/>
      <c r="S26" s="47">
        <v>1</v>
      </c>
      <c r="T26" s="45">
        <v>1</v>
      </c>
      <c r="U26" s="46">
        <v>1</v>
      </c>
      <c r="V26" s="45">
        <v>1</v>
      </c>
      <c r="W26" s="46">
        <v>1</v>
      </c>
      <c r="X26" s="45">
        <v>1</v>
      </c>
      <c r="Y26" s="46">
        <v>1</v>
      </c>
      <c r="Z26" s="45">
        <v>1</v>
      </c>
      <c r="AA26" s="44">
        <v>1</v>
      </c>
      <c r="AB26" s="26">
        <f t="shared" si="54"/>
        <v>0</v>
      </c>
      <c r="AC26" s="25">
        <f t="shared" si="55"/>
        <v>2.4639776316077222E-2</v>
      </c>
      <c r="AD26" s="24">
        <f t="shared" si="56"/>
        <v>0</v>
      </c>
      <c r="AE26" s="25">
        <f t="shared" si="57"/>
        <v>0</v>
      </c>
      <c r="AF26" s="24">
        <f t="shared" si="58"/>
        <v>0</v>
      </c>
      <c r="AG26" s="25">
        <f t="shared" si="59"/>
        <v>0</v>
      </c>
      <c r="AH26" s="24">
        <f t="shared" si="60"/>
        <v>0</v>
      </c>
      <c r="AI26" s="25">
        <f t="shared" si="61"/>
        <v>0</v>
      </c>
      <c r="AJ26" s="24">
        <f t="shared" si="62"/>
        <v>0</v>
      </c>
      <c r="AK26" s="27">
        <f t="shared" si="12"/>
        <v>2.4639776316077222E-2</v>
      </c>
      <c r="AL26" s="41">
        <v>0</v>
      </c>
      <c r="AM26" s="40">
        <v>0</v>
      </c>
      <c r="AN26" s="39">
        <v>0</v>
      </c>
      <c r="AO26" s="40">
        <v>0</v>
      </c>
      <c r="AP26" s="39">
        <v>0</v>
      </c>
      <c r="AQ26" s="40">
        <v>0</v>
      </c>
      <c r="AR26" s="39">
        <v>0</v>
      </c>
      <c r="AS26" s="40">
        <v>0</v>
      </c>
      <c r="AT26" s="39">
        <v>0</v>
      </c>
      <c r="AU26" s="38">
        <v>0</v>
      </c>
      <c r="AW26" s="100" t="s">
        <v>1136</v>
      </c>
      <c r="AX26" s="41">
        <v>4.771684635026455</v>
      </c>
      <c r="AY26" s="40">
        <v>13.13484240937942</v>
      </c>
      <c r="AZ26" s="39">
        <v>49.924149895419056</v>
      </c>
      <c r="BA26" s="40">
        <v>33.814813806760696</v>
      </c>
      <c r="BB26" s="39">
        <v>11.906699814085771</v>
      </c>
      <c r="BC26" s="40">
        <v>10.378423221723811</v>
      </c>
      <c r="BD26" s="39">
        <v>36.054666764565575</v>
      </c>
      <c r="BE26" s="40">
        <v>19.164634940148581</v>
      </c>
      <c r="BF26" s="39">
        <v>12.017099000597725</v>
      </c>
      <c r="BG26" s="81">
        <v>191.16701448770712</v>
      </c>
      <c r="BH26" s="66">
        <v>0</v>
      </c>
      <c r="BJ26" s="37" t="s">
        <v>2075</v>
      </c>
      <c r="BK26" s="36" t="s">
        <v>2228</v>
      </c>
      <c r="BL26" s="1" t="s">
        <v>1139</v>
      </c>
      <c r="BM26" s="36" t="s">
        <v>1943</v>
      </c>
      <c r="BN26" s="82" t="str">
        <f t="shared" si="63"/>
        <v>IFDFEED</v>
      </c>
      <c r="BO26" s="26">
        <f t="shared" si="64"/>
        <v>0</v>
      </c>
      <c r="BP26" s="25">
        <f t="shared" si="64"/>
        <v>0</v>
      </c>
      <c r="BQ26" s="24">
        <f t="shared" si="64"/>
        <v>2.5311191351070055</v>
      </c>
      <c r="BR26" s="25">
        <f t="shared" si="64"/>
        <v>1.7143871744569474</v>
      </c>
      <c r="BS26" s="24">
        <f t="shared" si="64"/>
        <v>0</v>
      </c>
      <c r="BT26" s="25">
        <f t="shared" si="64"/>
        <v>0</v>
      </c>
      <c r="BU26" s="24">
        <f t="shared" si="64"/>
        <v>0</v>
      </c>
      <c r="BV26" s="25">
        <f t="shared" si="64"/>
        <v>0.76282474301015324</v>
      </c>
      <c r="BW26" s="32">
        <f t="shared" si="64"/>
        <v>0.47832585830551999</v>
      </c>
      <c r="BX26" s="26">
        <f t="shared" ref="BX26:CF26" si="67">BO26/BO31</f>
        <v>0</v>
      </c>
      <c r="BY26" s="25">
        <f t="shared" si="67"/>
        <v>0</v>
      </c>
      <c r="BZ26" s="24">
        <f t="shared" si="67"/>
        <v>9.7367615421062037E-3</v>
      </c>
      <c r="CA26" s="25">
        <f t="shared" si="67"/>
        <v>6.801079383505943E-3</v>
      </c>
      <c r="CB26" s="24">
        <f t="shared" si="67"/>
        <v>0</v>
      </c>
      <c r="CC26" s="25">
        <f t="shared" si="67"/>
        <v>0</v>
      </c>
      <c r="CD26" s="24">
        <f t="shared" si="67"/>
        <v>0</v>
      </c>
      <c r="CE26" s="25">
        <f t="shared" si="67"/>
        <v>8.7509035009069557E-3</v>
      </c>
      <c r="CF26" s="32">
        <f t="shared" si="67"/>
        <v>4.8923436378252383E-3</v>
      </c>
      <c r="CH26" s="54" t="s">
        <v>2241</v>
      </c>
      <c r="CI26" s="41">
        <v>0.1006978302908571</v>
      </c>
      <c r="CJ26" s="40">
        <v>2.4181399688644165E-2</v>
      </c>
      <c r="CK26" s="39">
        <v>3.5897068054467157E-2</v>
      </c>
      <c r="CL26" s="40">
        <v>4.6884336053127272E-2</v>
      </c>
      <c r="CM26" s="39">
        <v>6.5586529081544873E-2</v>
      </c>
      <c r="CN26" s="40">
        <v>6.6660624223099901E-2</v>
      </c>
      <c r="CO26" s="39">
        <v>6.1798600020421465E-2</v>
      </c>
      <c r="CP26" s="40">
        <v>9.8977279700429494E-2</v>
      </c>
      <c r="CQ26" s="66">
        <v>9.9431886032947878E-2</v>
      </c>
      <c r="CS26" s="54" t="s">
        <v>1813</v>
      </c>
      <c r="CT26" s="39">
        <v>0.16085723185265216</v>
      </c>
      <c r="CU26" s="40">
        <v>0.44278584030561763</v>
      </c>
      <c r="CV26" s="39">
        <v>2.1593078695080341</v>
      </c>
      <c r="CW26" s="40">
        <v>1.4625505634415852</v>
      </c>
      <c r="CX26" s="39">
        <v>0.44351597368938994</v>
      </c>
      <c r="CY26" s="40">
        <v>0.38658877375055772</v>
      </c>
      <c r="CZ26" s="39">
        <v>1.343010312329824</v>
      </c>
      <c r="DA26" s="40">
        <v>0.44520676627078398</v>
      </c>
      <c r="DB26" s="39">
        <v>0.27916492031913992</v>
      </c>
      <c r="DC26" s="38">
        <v>7.1229882514675849</v>
      </c>
      <c r="DE26" s="37" t="s">
        <v>2072</v>
      </c>
      <c r="DF26" s="35" t="str">
        <f t="shared" si="16"/>
        <v>ICOOH</v>
      </c>
      <c r="DG26" s="26">
        <f t="shared" si="45"/>
        <v>0</v>
      </c>
      <c r="DH26" s="25">
        <f t="shared" si="45"/>
        <v>0</v>
      </c>
      <c r="DI26" s="24">
        <f t="shared" si="45"/>
        <v>0</v>
      </c>
      <c r="DJ26" s="25">
        <f t="shared" si="45"/>
        <v>0</v>
      </c>
      <c r="DK26" s="24">
        <f t="shared" si="45"/>
        <v>3.1979798246112536</v>
      </c>
      <c r="DL26" s="25">
        <f t="shared" si="45"/>
        <v>2.7875052359248627</v>
      </c>
      <c r="DM26" s="24">
        <f t="shared" si="45"/>
        <v>9.6837997679053629</v>
      </c>
      <c r="DN26" s="25">
        <f t="shared" si="45"/>
        <v>0</v>
      </c>
      <c r="DO26" s="32">
        <f t="shared" si="45"/>
        <v>0</v>
      </c>
      <c r="DP26" s="26">
        <f t="shared" si="18"/>
        <v>0</v>
      </c>
      <c r="DQ26" s="25">
        <f t="shared" si="19"/>
        <v>0</v>
      </c>
      <c r="DR26" s="24">
        <f t="shared" si="20"/>
        <v>0</v>
      </c>
      <c r="DS26" s="25">
        <f t="shared" si="21"/>
        <v>0</v>
      </c>
      <c r="DT26" s="24">
        <f t="shared" si="22"/>
        <v>9.2586213493514258E-2</v>
      </c>
      <c r="DU26" s="25">
        <f t="shared" si="23"/>
        <v>9.2586213493514258E-2</v>
      </c>
      <c r="DV26" s="24">
        <f t="shared" si="24"/>
        <v>9.2586213493514272E-2</v>
      </c>
      <c r="DW26" s="25">
        <f t="shared" si="25"/>
        <v>0</v>
      </c>
      <c r="DX26" s="32">
        <f t="shared" si="26"/>
        <v>0</v>
      </c>
      <c r="DZ26" s="54" t="s">
        <v>1689</v>
      </c>
      <c r="EA26" s="39">
        <v>3.9922644431948325E-2</v>
      </c>
      <c r="EB26" s="40">
        <v>3.9922644431948325E-2</v>
      </c>
      <c r="EC26" s="39">
        <v>6.2678270059303071E-2</v>
      </c>
      <c r="ED26" s="40">
        <v>6.2678270059303071E-2</v>
      </c>
      <c r="EE26" s="39">
        <v>0.19690861353446779</v>
      </c>
      <c r="EF26" s="40">
        <v>0.19690861353446779</v>
      </c>
      <c r="EG26" s="39">
        <v>0.19690861353446776</v>
      </c>
      <c r="EH26" s="40">
        <v>0.17496647645254124</v>
      </c>
      <c r="EI26" s="66">
        <v>0.17496647645254126</v>
      </c>
      <c r="EO26" s="83" t="s">
        <v>2075</v>
      </c>
      <c r="EP26" s="82" t="s">
        <v>438</v>
      </c>
      <c r="EQ26" s="81">
        <f t="shared" si="27"/>
        <v>18.94449061626074</v>
      </c>
      <c r="ER26" s="80">
        <f>EQ26/SUM(EQ26:EQ34)</f>
        <v>1.8555045735389332E-2</v>
      </c>
      <c r="ET26" s="75" t="s">
        <v>521</v>
      </c>
      <c r="EU26" s="72">
        <v>0.11286722073338459</v>
      </c>
      <c r="EW26" s="37" t="s">
        <v>2075</v>
      </c>
      <c r="EX26" s="36" t="s">
        <v>2228</v>
      </c>
      <c r="EY26" s="36" t="s">
        <v>1129</v>
      </c>
      <c r="EZ26" s="1" t="s">
        <v>1910</v>
      </c>
      <c r="FA26" s="36" t="str">
        <f t="shared" si="28"/>
        <v>IFDOHT</v>
      </c>
      <c r="FB26" s="1" t="s">
        <v>439</v>
      </c>
      <c r="FC26" s="26">
        <f t="shared" si="29"/>
        <v>259.95492691910863</v>
      </c>
      <c r="FD26" s="25">
        <f t="shared" si="30"/>
        <v>12.924553001635728</v>
      </c>
      <c r="FE26" s="24">
        <f t="shared" si="31"/>
        <v>4.9718438326262306E-2</v>
      </c>
      <c r="FF26" s="36">
        <v>0.02</v>
      </c>
      <c r="FG26" s="32">
        <f t="shared" si="32"/>
        <v>0.40226524953891385</v>
      </c>
      <c r="FI26" s="53" t="s">
        <v>2062</v>
      </c>
      <c r="FJ26" s="39">
        <v>0</v>
      </c>
      <c r="FK26" s="40">
        <v>0</v>
      </c>
      <c r="FL26" s="39">
        <v>0</v>
      </c>
      <c r="FM26" s="40">
        <v>0</v>
      </c>
      <c r="FN26" s="39">
        <v>0</v>
      </c>
      <c r="FO26" s="40">
        <v>0</v>
      </c>
      <c r="FP26" s="39">
        <v>0</v>
      </c>
      <c r="FQ26" s="40">
        <v>0</v>
      </c>
      <c r="FR26" s="113">
        <v>0</v>
      </c>
      <c r="FS26" s="66">
        <v>0</v>
      </c>
    </row>
    <row r="27" spans="1:175">
      <c r="A27" s="37" t="s">
        <v>2222</v>
      </c>
      <c r="B27" s="36" t="s">
        <v>1139</v>
      </c>
      <c r="C27" s="1" t="s">
        <v>468</v>
      </c>
      <c r="D27" s="36" t="s">
        <v>468</v>
      </c>
      <c r="E27" s="36" t="s">
        <v>2240</v>
      </c>
      <c r="F27" s="1" t="e">
        <f t="shared" ca="1" si="2"/>
        <v>#NAME?</v>
      </c>
      <c r="G27" s="35" t="s">
        <v>1121</v>
      </c>
      <c r="H27" s="43">
        <v>1</v>
      </c>
      <c r="I27" s="42">
        <v>0</v>
      </c>
      <c r="J27" s="26">
        <v>0</v>
      </c>
      <c r="K27" s="25">
        <v>0.21489116393693578</v>
      </c>
      <c r="L27" s="24"/>
      <c r="M27" s="25"/>
      <c r="N27" s="24"/>
      <c r="O27" s="25"/>
      <c r="P27" s="24"/>
      <c r="Q27" s="25"/>
      <c r="R27" s="32"/>
      <c r="S27" s="47">
        <v>1</v>
      </c>
      <c r="T27" s="45">
        <v>1</v>
      </c>
      <c r="U27" s="46">
        <v>1</v>
      </c>
      <c r="V27" s="45">
        <v>1</v>
      </c>
      <c r="W27" s="46">
        <v>1</v>
      </c>
      <c r="X27" s="45">
        <v>1</v>
      </c>
      <c r="Y27" s="46">
        <v>1</v>
      </c>
      <c r="Z27" s="45">
        <v>1</v>
      </c>
      <c r="AA27" s="44">
        <v>1</v>
      </c>
      <c r="AB27" s="26">
        <f t="shared" si="54"/>
        <v>0</v>
      </c>
      <c r="AC27" s="25">
        <f t="shared" si="55"/>
        <v>0.21489116393693578</v>
      </c>
      <c r="AD27" s="24">
        <f t="shared" si="56"/>
        <v>0</v>
      </c>
      <c r="AE27" s="25">
        <f t="shared" si="57"/>
        <v>0</v>
      </c>
      <c r="AF27" s="24">
        <f t="shared" si="58"/>
        <v>0</v>
      </c>
      <c r="AG27" s="25">
        <f t="shared" si="59"/>
        <v>0</v>
      </c>
      <c r="AH27" s="24">
        <f t="shared" si="60"/>
        <v>0</v>
      </c>
      <c r="AI27" s="25">
        <f t="shared" si="61"/>
        <v>0</v>
      </c>
      <c r="AJ27" s="24">
        <f t="shared" si="62"/>
        <v>0</v>
      </c>
      <c r="AK27" s="27">
        <f t="shared" si="12"/>
        <v>0.21489116393693578</v>
      </c>
      <c r="AL27" s="41">
        <v>0</v>
      </c>
      <c r="AM27" s="40">
        <v>0</v>
      </c>
      <c r="AN27" s="39">
        <v>0</v>
      </c>
      <c r="AO27" s="40">
        <v>0</v>
      </c>
      <c r="AP27" s="39">
        <v>0</v>
      </c>
      <c r="AQ27" s="40">
        <v>0</v>
      </c>
      <c r="AR27" s="39">
        <v>0</v>
      </c>
      <c r="AS27" s="40">
        <v>0</v>
      </c>
      <c r="AT27" s="39">
        <v>0</v>
      </c>
      <c r="AU27" s="38">
        <v>0</v>
      </c>
      <c r="AW27" s="100" t="s">
        <v>1129</v>
      </c>
      <c r="AX27" s="41">
        <v>0.5845380927382503</v>
      </c>
      <c r="AY27" s="40">
        <v>1.454068367726711</v>
      </c>
      <c r="AZ27" s="39">
        <v>12.924553001635728</v>
      </c>
      <c r="BA27" s="40">
        <v>7.653965693705346</v>
      </c>
      <c r="BB27" s="39">
        <v>3.462466775024243</v>
      </c>
      <c r="BC27" s="40">
        <v>2.4433225430034216</v>
      </c>
      <c r="BD27" s="39">
        <v>10.25369669404205</v>
      </c>
      <c r="BE27" s="40">
        <v>5.194792515929084</v>
      </c>
      <c r="BF27" s="39">
        <v>2.4748529575240514</v>
      </c>
      <c r="BG27" s="81">
        <v>46.446256641328887</v>
      </c>
      <c r="BH27" s="66">
        <v>2.6468776370799625</v>
      </c>
      <c r="BJ27" s="37" t="s">
        <v>2075</v>
      </c>
      <c r="BK27" s="36" t="s">
        <v>2228</v>
      </c>
      <c r="BL27" s="1" t="s">
        <v>1136</v>
      </c>
      <c r="BM27" s="36" t="s">
        <v>1941</v>
      </c>
      <c r="BN27" s="82" t="str">
        <f t="shared" si="63"/>
        <v>IFDMDR</v>
      </c>
      <c r="BO27" s="26">
        <f t="shared" si="64"/>
        <v>4.771684635026455</v>
      </c>
      <c r="BP27" s="25">
        <f t="shared" si="64"/>
        <v>13.13484240937942</v>
      </c>
      <c r="BQ27" s="24">
        <f t="shared" si="64"/>
        <v>49.924149895419056</v>
      </c>
      <c r="BR27" s="25">
        <f t="shared" si="64"/>
        <v>33.814813806760696</v>
      </c>
      <c r="BS27" s="24">
        <f t="shared" si="64"/>
        <v>11.906699814085771</v>
      </c>
      <c r="BT27" s="25">
        <f t="shared" si="64"/>
        <v>10.378423221723811</v>
      </c>
      <c r="BU27" s="24">
        <f t="shared" si="64"/>
        <v>36.054666764565575</v>
      </c>
      <c r="BV27" s="25">
        <f t="shared" si="64"/>
        <v>19.164634940148581</v>
      </c>
      <c r="BW27" s="32">
        <f t="shared" si="64"/>
        <v>12.017099000597725</v>
      </c>
      <c r="BX27" s="26">
        <f t="shared" ref="BX27:CF27" si="68">BO27/BO31</f>
        <v>0.25187716744047717</v>
      </c>
      <c r="BY27" s="25">
        <f t="shared" si="68"/>
        <v>0.25801192665090067</v>
      </c>
      <c r="BZ27" s="24">
        <f t="shared" si="68"/>
        <v>0.19204925441153181</v>
      </c>
      <c r="CA27" s="25">
        <f t="shared" si="68"/>
        <v>0.13414544652732854</v>
      </c>
      <c r="CB27" s="24">
        <f t="shared" si="68"/>
        <v>0.13236551828310106</v>
      </c>
      <c r="CC27" s="25">
        <f t="shared" si="68"/>
        <v>0.21492894350060071</v>
      </c>
      <c r="CD27" s="24">
        <f t="shared" si="68"/>
        <v>0.31102139086378855</v>
      </c>
      <c r="CE27" s="25">
        <f t="shared" si="68"/>
        <v>0.21985111590581663</v>
      </c>
      <c r="CF27" s="32">
        <f t="shared" si="68"/>
        <v>0.12291156085301659</v>
      </c>
      <c r="CH27" s="54" t="s">
        <v>2239</v>
      </c>
      <c r="CI27" s="41">
        <v>0.58012661325770076</v>
      </c>
      <c r="CJ27" s="40">
        <v>0.13931058360129997</v>
      </c>
      <c r="CK27" s="39">
        <v>0.40846589618253548</v>
      </c>
      <c r="CL27" s="40">
        <v>0.53348792480227669</v>
      </c>
      <c r="CM27" s="39">
        <v>9.0301068341535271E-2</v>
      </c>
      <c r="CN27" s="40">
        <v>9.177990767243327E-2</v>
      </c>
      <c r="CO27" s="39">
        <v>8.5085758950850632E-2</v>
      </c>
      <c r="CP27" s="40">
        <v>0.32144228220364074</v>
      </c>
      <c r="CQ27" s="66">
        <v>0.32291867857936674</v>
      </c>
      <c r="CS27" s="54" t="s">
        <v>1811</v>
      </c>
      <c r="CT27" s="39">
        <v>0</v>
      </c>
      <c r="CU27" s="40">
        <v>5.2645592522655669</v>
      </c>
      <c r="CV27" s="39">
        <v>18.831996501283182</v>
      </c>
      <c r="CW27" s="40">
        <v>12.755359012310219</v>
      </c>
      <c r="CX27" s="39">
        <v>3.8680409508648435</v>
      </c>
      <c r="CY27" s="40">
        <v>3.3715611087753556</v>
      </c>
      <c r="CZ27" s="39">
        <v>11.712811248515843</v>
      </c>
      <c r="DA27" s="40">
        <v>3.8827868796074929</v>
      </c>
      <c r="DB27" s="39">
        <v>2.4346842231111872</v>
      </c>
      <c r="DC27" s="38">
        <v>62.121799176733688</v>
      </c>
      <c r="DE27" s="37" t="s">
        <v>2069</v>
      </c>
      <c r="DF27" s="35" t="str">
        <f t="shared" si="16"/>
        <v>ICOOH</v>
      </c>
      <c r="DG27" s="26">
        <f t="shared" si="45"/>
        <v>1.3789460689416781E-2</v>
      </c>
      <c r="DH27" s="25">
        <f t="shared" si="45"/>
        <v>3.7957745936581098E-2</v>
      </c>
      <c r="DI27" s="24">
        <f t="shared" si="45"/>
        <v>0.35324456955598149</v>
      </c>
      <c r="DJ27" s="25">
        <f t="shared" si="45"/>
        <v>0.23926094631169439</v>
      </c>
      <c r="DK27" s="24">
        <f t="shared" si="45"/>
        <v>0.3390146671705595</v>
      </c>
      <c r="DL27" s="25">
        <f t="shared" si="45"/>
        <v>0.29550066342527165</v>
      </c>
      <c r="DM27" s="24">
        <f t="shared" si="45"/>
        <v>1.026570002098701</v>
      </c>
      <c r="DN27" s="25">
        <f t="shared" si="45"/>
        <v>1.2721759810332748E-2</v>
      </c>
      <c r="DO27" s="32">
        <f t="shared" si="45"/>
        <v>7.9771228400664085E-3</v>
      </c>
      <c r="DP27" s="26">
        <f t="shared" si="18"/>
        <v>4.0454407697944755E-2</v>
      </c>
      <c r="DQ27" s="25">
        <f t="shared" si="19"/>
        <v>4.0454407697944769E-2</v>
      </c>
      <c r="DR27" s="24">
        <f t="shared" si="20"/>
        <v>7.7451047228946426E-2</v>
      </c>
      <c r="DS27" s="25">
        <f t="shared" si="21"/>
        <v>7.7451047228946412E-2</v>
      </c>
      <c r="DT27" s="24">
        <f t="shared" si="22"/>
        <v>9.8149725994289647E-3</v>
      </c>
      <c r="DU27" s="25">
        <f t="shared" si="23"/>
        <v>9.8149725994289647E-3</v>
      </c>
      <c r="DV27" s="24">
        <f t="shared" si="24"/>
        <v>9.8149725994289665E-3</v>
      </c>
      <c r="DW27" s="25">
        <f t="shared" si="25"/>
        <v>2.1990843155058143E-2</v>
      </c>
      <c r="DX27" s="32">
        <f t="shared" si="26"/>
        <v>2.1990843155058143E-2</v>
      </c>
      <c r="DZ27" s="54" t="s">
        <v>2116</v>
      </c>
      <c r="EA27" s="39">
        <v>8.8197194102193094E-2</v>
      </c>
      <c r="EB27" s="40">
        <v>8.8197194102193122E-2</v>
      </c>
      <c r="EC27" s="39">
        <v>1.8369700671230452E-2</v>
      </c>
      <c r="ED27" s="40">
        <v>1.8369700671230449E-2</v>
      </c>
      <c r="EE27" s="39">
        <v>7.7669945260955872E-2</v>
      </c>
      <c r="EF27" s="40">
        <v>7.7669945260955872E-2</v>
      </c>
      <c r="EG27" s="39">
        <v>7.7669945260955872E-2</v>
      </c>
      <c r="EH27" s="40">
        <v>0.10217119088131919</v>
      </c>
      <c r="EI27" s="66">
        <v>0.10217119088131918</v>
      </c>
      <c r="EO27" s="83" t="s">
        <v>2075</v>
      </c>
      <c r="EP27" s="82" t="s">
        <v>440</v>
      </c>
      <c r="EQ27" s="81">
        <f t="shared" si="27"/>
        <v>50.907888561102567</v>
      </c>
      <c r="ER27" s="80">
        <f>EQ27/SUM(EQ26:EQ34)</f>
        <v>4.9861367068512193E-2</v>
      </c>
      <c r="ET27" s="75" t="s">
        <v>522</v>
      </c>
      <c r="EU27" s="72">
        <v>7.0772888171950932E-2</v>
      </c>
      <c r="EW27" s="37" t="s">
        <v>2075</v>
      </c>
      <c r="EX27" s="36" t="s">
        <v>2228</v>
      </c>
      <c r="EY27" s="36" t="s">
        <v>1129</v>
      </c>
      <c r="EZ27" s="1" t="s">
        <v>1910</v>
      </c>
      <c r="FA27" s="36" t="str">
        <f t="shared" si="28"/>
        <v>IFDOHT</v>
      </c>
      <c r="FB27" s="1" t="s">
        <v>518</v>
      </c>
      <c r="FC27" s="26">
        <f t="shared" si="29"/>
        <v>252.0757482429479</v>
      </c>
      <c r="FD27" s="25">
        <f t="shared" si="30"/>
        <v>7.653965693705346</v>
      </c>
      <c r="FE27" s="24">
        <f t="shared" si="31"/>
        <v>3.0363752749147991E-2</v>
      </c>
      <c r="FF27" s="36">
        <v>0.02</v>
      </c>
      <c r="FG27" s="32">
        <f t="shared" si="32"/>
        <v>0.65868010997292004</v>
      </c>
      <c r="FI27" s="112" t="s">
        <v>1378</v>
      </c>
      <c r="FJ27" s="111">
        <v>4.5034334692726699</v>
      </c>
      <c r="FK27" s="110">
        <v>1.324795284063498</v>
      </c>
      <c r="FL27" s="111">
        <v>1.9456501835638562</v>
      </c>
      <c r="FM27" s="110">
        <v>3.073072953739711</v>
      </c>
      <c r="FN27" s="111">
        <v>3.0766318401967325</v>
      </c>
      <c r="FO27" s="110">
        <v>3.5540239378919445</v>
      </c>
      <c r="FP27" s="111">
        <v>6.6651605963305229</v>
      </c>
      <c r="FQ27" s="110">
        <v>7.9818174451546042E-2</v>
      </c>
      <c r="FR27" s="109">
        <v>7.7045683602293025E-2</v>
      </c>
      <c r="FS27" s="108">
        <v>24.299632123112772</v>
      </c>
    </row>
    <row r="28" spans="1:175">
      <c r="A28" s="37" t="s">
        <v>2222</v>
      </c>
      <c r="B28" s="36" t="s">
        <v>1136</v>
      </c>
      <c r="C28" s="1" t="s">
        <v>1126</v>
      </c>
      <c r="D28" s="36" t="s">
        <v>1126</v>
      </c>
      <c r="E28" s="36" t="s">
        <v>2238</v>
      </c>
      <c r="F28" s="1" t="e">
        <f t="shared" ca="1" si="2"/>
        <v>#NAME?</v>
      </c>
      <c r="G28" s="35" t="s">
        <v>1121</v>
      </c>
      <c r="H28" s="43">
        <v>1</v>
      </c>
      <c r="I28" s="42">
        <v>0</v>
      </c>
      <c r="J28" s="26">
        <v>2.5716646142679807</v>
      </c>
      <c r="K28" s="25">
        <v>1.87742370922103</v>
      </c>
      <c r="L28" s="24"/>
      <c r="M28" s="25"/>
      <c r="N28" s="24"/>
      <c r="O28" s="25"/>
      <c r="P28" s="24"/>
      <c r="Q28" s="25"/>
      <c r="R28" s="32"/>
      <c r="S28" s="47">
        <v>1</v>
      </c>
      <c r="T28" s="45">
        <v>1</v>
      </c>
      <c r="U28" s="46">
        <v>1</v>
      </c>
      <c r="V28" s="45">
        <v>1</v>
      </c>
      <c r="W28" s="46">
        <v>1</v>
      </c>
      <c r="X28" s="45">
        <v>1</v>
      </c>
      <c r="Y28" s="46">
        <v>1</v>
      </c>
      <c r="Z28" s="45">
        <v>1</v>
      </c>
      <c r="AA28" s="44">
        <v>1</v>
      </c>
      <c r="AB28" s="26">
        <f t="shared" si="54"/>
        <v>2.5716646142679807</v>
      </c>
      <c r="AC28" s="25">
        <f t="shared" si="55"/>
        <v>1.87742370922103</v>
      </c>
      <c r="AD28" s="24">
        <f t="shared" si="56"/>
        <v>0</v>
      </c>
      <c r="AE28" s="25">
        <f t="shared" si="57"/>
        <v>0</v>
      </c>
      <c r="AF28" s="24">
        <f t="shared" si="58"/>
        <v>0</v>
      </c>
      <c r="AG28" s="25">
        <f t="shared" si="59"/>
        <v>0</v>
      </c>
      <c r="AH28" s="24">
        <f t="shared" si="60"/>
        <v>0</v>
      </c>
      <c r="AI28" s="25">
        <f t="shared" si="61"/>
        <v>0</v>
      </c>
      <c r="AJ28" s="24">
        <f t="shared" si="62"/>
        <v>0</v>
      </c>
      <c r="AK28" s="27">
        <f t="shared" si="12"/>
        <v>4.4490883234890104</v>
      </c>
      <c r="AL28" s="41">
        <v>0</v>
      </c>
      <c r="AM28" s="40">
        <v>0</v>
      </c>
      <c r="AN28" s="39">
        <v>0</v>
      </c>
      <c r="AO28" s="40">
        <v>0</v>
      </c>
      <c r="AP28" s="39">
        <v>0</v>
      </c>
      <c r="AQ28" s="40">
        <v>0</v>
      </c>
      <c r="AR28" s="39">
        <v>0</v>
      </c>
      <c r="AS28" s="40">
        <v>0</v>
      </c>
      <c r="AT28" s="39">
        <v>0</v>
      </c>
      <c r="AU28" s="38">
        <v>0</v>
      </c>
      <c r="AW28" s="100" t="s">
        <v>1123</v>
      </c>
      <c r="AX28" s="41">
        <v>6.6127431976048525</v>
      </c>
      <c r="AY28" s="40">
        <v>18.202657224381703</v>
      </c>
      <c r="AZ28" s="39">
        <v>73.363413788053293</v>
      </c>
      <c r="BA28" s="40">
        <v>49.690784573559547</v>
      </c>
      <c r="BB28" s="39">
        <v>13.79297649712492</v>
      </c>
      <c r="BC28" s="40">
        <v>12.022588106664506</v>
      </c>
      <c r="BD28" s="39">
        <v>41.766499454954818</v>
      </c>
      <c r="BE28" s="40">
        <v>34.565840320479047</v>
      </c>
      <c r="BF28" s="39">
        <v>21.674356253969368</v>
      </c>
      <c r="BG28" s="81">
        <v>271.69185941679206</v>
      </c>
      <c r="BH28" s="66">
        <v>0</v>
      </c>
      <c r="BJ28" s="37" t="s">
        <v>2075</v>
      </c>
      <c r="BK28" s="36" t="s">
        <v>2228</v>
      </c>
      <c r="BL28" s="1" t="s">
        <v>1129</v>
      </c>
      <c r="BM28" s="36" t="s">
        <v>1910</v>
      </c>
      <c r="BN28" s="82" t="str">
        <f t="shared" si="63"/>
        <v>IFDOHT</v>
      </c>
      <c r="BO28" s="26">
        <f t="shared" si="64"/>
        <v>0.5845380927382503</v>
      </c>
      <c r="BP28" s="25">
        <f t="shared" si="64"/>
        <v>1.454068367726711</v>
      </c>
      <c r="BQ28" s="24">
        <f t="shared" si="64"/>
        <v>12.924553001635728</v>
      </c>
      <c r="BR28" s="25">
        <f t="shared" si="64"/>
        <v>7.653965693705346</v>
      </c>
      <c r="BS28" s="24">
        <f t="shared" si="64"/>
        <v>3.462466775024243</v>
      </c>
      <c r="BT28" s="25">
        <f t="shared" si="64"/>
        <v>2.4433225430034216</v>
      </c>
      <c r="BU28" s="24">
        <f t="shared" si="64"/>
        <v>10.25369669404205</v>
      </c>
      <c r="BV28" s="25">
        <f t="shared" si="64"/>
        <v>5.194792515929084</v>
      </c>
      <c r="BW28" s="32">
        <f t="shared" si="64"/>
        <v>2.4748529575240514</v>
      </c>
      <c r="BX28" s="26">
        <f t="shared" ref="BX28:CF28" si="69">BO28/BO31</f>
        <v>3.0855307993159772E-2</v>
      </c>
      <c r="BY28" s="25">
        <f t="shared" si="69"/>
        <v>2.8562731804943252E-2</v>
      </c>
      <c r="BZ28" s="24">
        <f t="shared" si="69"/>
        <v>4.9718438326262306E-2</v>
      </c>
      <c r="CA28" s="25">
        <f t="shared" si="69"/>
        <v>3.0363752749147991E-2</v>
      </c>
      <c r="CB28" s="24">
        <f t="shared" si="69"/>
        <v>3.8491875697740673E-2</v>
      </c>
      <c r="CC28" s="25">
        <f t="shared" si="69"/>
        <v>5.0599279060013408E-2</v>
      </c>
      <c r="CD28" s="24">
        <f t="shared" si="69"/>
        <v>8.8452322360961219E-2</v>
      </c>
      <c r="CE28" s="25">
        <f t="shared" si="69"/>
        <v>5.9593148269869389E-2</v>
      </c>
      <c r="CF28" s="32">
        <f t="shared" si="69"/>
        <v>2.5312934500735608E-2</v>
      </c>
      <c r="CH28" s="54" t="s">
        <v>2237</v>
      </c>
      <c r="CI28" s="41">
        <v>6.7827058691994277E-3</v>
      </c>
      <c r="CJ28" s="40">
        <v>0.76149054753535028</v>
      </c>
      <c r="CK28" s="39">
        <v>0.33276679204052823</v>
      </c>
      <c r="CL28" s="40">
        <v>0.12854203300636743</v>
      </c>
      <c r="CM28" s="39">
        <v>2.4881801304673892E-2</v>
      </c>
      <c r="CN28" s="40">
        <v>8.9125201988183647E-3</v>
      </c>
      <c r="CO28" s="39">
        <v>8.1199441749953569E-2</v>
      </c>
      <c r="CP28" s="40">
        <v>5.9649067919256463E-2</v>
      </c>
      <c r="CQ28" s="66">
        <v>5.5330001060606433E-2</v>
      </c>
      <c r="CS28" s="54" t="s">
        <v>1590</v>
      </c>
      <c r="CT28" s="39">
        <v>0.15427750102948698</v>
      </c>
      <c r="CU28" s="40">
        <v>0.42467405504134859</v>
      </c>
      <c r="CV28" s="39">
        <v>1.0354915915939669</v>
      </c>
      <c r="CW28" s="40">
        <v>0.70136307661854025</v>
      </c>
      <c r="CX28" s="39">
        <v>0.51202464796937186</v>
      </c>
      <c r="CY28" s="40">
        <v>0.44630406238122777</v>
      </c>
      <c r="CZ28" s="39">
        <v>1.5504613659563551</v>
      </c>
      <c r="DA28" s="40">
        <v>0.71165992508388198</v>
      </c>
      <c r="DB28" s="39">
        <v>0.44624318705778931</v>
      </c>
      <c r="DC28" s="38">
        <v>5.9824994127319693</v>
      </c>
      <c r="DE28" s="37" t="s">
        <v>2066</v>
      </c>
      <c r="DF28" s="35" t="str">
        <f t="shared" si="16"/>
        <v>ICOOH</v>
      </c>
      <c r="DG28" s="26">
        <f t="shared" ref="DG28:DO37" si="70">GETPIVOTDATA("Sum of "&amp;DG$1&amp;" (Out)",$CS$6,"Constraint Identifier",$DE28)</f>
        <v>0.32707477324960438</v>
      </c>
      <c r="DH28" s="25">
        <f t="shared" si="70"/>
        <v>0.90032680935823028</v>
      </c>
      <c r="DI28" s="24">
        <f t="shared" si="70"/>
        <v>4.2076307471041714</v>
      </c>
      <c r="DJ28" s="25">
        <f t="shared" si="70"/>
        <v>2.849928352890879</v>
      </c>
      <c r="DK28" s="24">
        <f t="shared" si="70"/>
        <v>28.306858042102476</v>
      </c>
      <c r="DL28" s="25">
        <f t="shared" si="70"/>
        <v>24.67354996979514</v>
      </c>
      <c r="DM28" s="24">
        <f t="shared" si="70"/>
        <v>85.715970822787725</v>
      </c>
      <c r="DN28" s="25">
        <f t="shared" si="70"/>
        <v>0.56578083422988712</v>
      </c>
      <c r="DO28" s="32">
        <f t="shared" si="70"/>
        <v>0.35477035272598889</v>
      </c>
      <c r="DP28" s="26">
        <f t="shared" si="18"/>
        <v>0.95954559230205527</v>
      </c>
      <c r="DQ28" s="25">
        <f t="shared" si="19"/>
        <v>0.95954559230205527</v>
      </c>
      <c r="DR28" s="24">
        <f t="shared" si="20"/>
        <v>0.92254895277105364</v>
      </c>
      <c r="DS28" s="25">
        <f t="shared" si="21"/>
        <v>0.92254895277105353</v>
      </c>
      <c r="DT28" s="24">
        <f t="shared" si="22"/>
        <v>0.81952512078005002</v>
      </c>
      <c r="DU28" s="25">
        <f t="shared" si="23"/>
        <v>0.81952512078005013</v>
      </c>
      <c r="DV28" s="24">
        <f t="shared" si="24"/>
        <v>0.81952512078005013</v>
      </c>
      <c r="DW28" s="25">
        <f t="shared" si="25"/>
        <v>0.97800915684494183</v>
      </c>
      <c r="DX28" s="32">
        <f t="shared" si="26"/>
        <v>0.97800915684494183</v>
      </c>
      <c r="DZ28" s="54" t="s">
        <v>2113</v>
      </c>
      <c r="EA28" s="39">
        <v>0.91180280589780682</v>
      </c>
      <c r="EB28" s="40">
        <v>0.91180280589780693</v>
      </c>
      <c r="EC28" s="39">
        <v>0.98163029932876955</v>
      </c>
      <c r="ED28" s="40">
        <v>0.98163029932876955</v>
      </c>
      <c r="EE28" s="39">
        <v>0.92233005473904406</v>
      </c>
      <c r="EF28" s="40">
        <v>0.92233005473904417</v>
      </c>
      <c r="EG28" s="39">
        <v>0.92233005473904417</v>
      </c>
      <c r="EH28" s="40">
        <v>0.8978288091186809</v>
      </c>
      <c r="EI28" s="66">
        <v>0.89782880911868079</v>
      </c>
      <c r="EO28" s="83" t="s">
        <v>2075</v>
      </c>
      <c r="EP28" s="82" t="s">
        <v>439</v>
      </c>
      <c r="EQ28" s="81">
        <f t="shared" si="27"/>
        <v>259.95492691910863</v>
      </c>
      <c r="ER28" s="80">
        <f>EQ28/SUM(EQ26:EQ34)</f>
        <v>0.25461099249528985</v>
      </c>
      <c r="ET28" s="74" t="s">
        <v>2075</v>
      </c>
      <c r="EU28" s="70">
        <v>0.99999999999999989</v>
      </c>
      <c r="EW28" s="37" t="s">
        <v>2075</v>
      </c>
      <c r="EX28" s="36" t="s">
        <v>2228</v>
      </c>
      <c r="EY28" s="36" t="s">
        <v>1150</v>
      </c>
      <c r="EZ28" s="1" t="s">
        <v>1902</v>
      </c>
      <c r="FA28" s="36" t="str">
        <f t="shared" si="28"/>
        <v>IFDETC</v>
      </c>
      <c r="FB28" s="1" t="s">
        <v>517</v>
      </c>
      <c r="FC28" s="26">
        <f t="shared" si="29"/>
        <v>89.95318394492989</v>
      </c>
      <c r="FD28" s="25">
        <f t="shared" si="30"/>
        <v>6.6082615752975929E-2</v>
      </c>
      <c r="FE28" s="24">
        <f t="shared" si="31"/>
        <v>7.3463342657700999E-4</v>
      </c>
      <c r="FF28" s="36">
        <v>0</v>
      </c>
      <c r="FG28" s="86">
        <f t="shared" si="32"/>
        <v>0</v>
      </c>
    </row>
    <row r="29" spans="1:175" ht="15.75" thickBot="1">
      <c r="A29" s="37" t="s">
        <v>2222</v>
      </c>
      <c r="B29" s="36" t="s">
        <v>1129</v>
      </c>
      <c r="C29" s="1" t="s">
        <v>1197</v>
      </c>
      <c r="D29" s="36" t="s">
        <v>1197</v>
      </c>
      <c r="E29" s="36" t="s">
        <v>2236</v>
      </c>
      <c r="F29" s="1" t="e">
        <f t="shared" ca="1" si="2"/>
        <v>#NAME?</v>
      </c>
      <c r="G29" s="35" t="s">
        <v>1121</v>
      </c>
      <c r="H29" s="43">
        <v>1</v>
      </c>
      <c r="I29" s="42">
        <v>0</v>
      </c>
      <c r="J29" s="26">
        <v>1.4625505634415852</v>
      </c>
      <c r="K29" s="25">
        <v>0.44351597368938994</v>
      </c>
      <c r="L29" s="24"/>
      <c r="M29" s="25"/>
      <c r="N29" s="24"/>
      <c r="O29" s="25"/>
      <c r="P29" s="24"/>
      <c r="Q29" s="25"/>
      <c r="R29" s="32"/>
      <c r="S29" s="47">
        <v>1</v>
      </c>
      <c r="T29" s="45">
        <v>1</v>
      </c>
      <c r="U29" s="46">
        <v>1</v>
      </c>
      <c r="V29" s="45">
        <v>1</v>
      </c>
      <c r="W29" s="46">
        <v>1</v>
      </c>
      <c r="X29" s="45">
        <v>1</v>
      </c>
      <c r="Y29" s="46">
        <v>1</v>
      </c>
      <c r="Z29" s="45">
        <v>1</v>
      </c>
      <c r="AA29" s="44">
        <v>1</v>
      </c>
      <c r="AB29" s="26">
        <f t="shared" si="54"/>
        <v>1.4625505634415852</v>
      </c>
      <c r="AC29" s="25">
        <f t="shared" si="55"/>
        <v>0.44351597368938994</v>
      </c>
      <c r="AD29" s="24">
        <f t="shared" si="56"/>
        <v>0</v>
      </c>
      <c r="AE29" s="25">
        <f t="shared" si="57"/>
        <v>0</v>
      </c>
      <c r="AF29" s="24">
        <f t="shared" si="58"/>
        <v>0</v>
      </c>
      <c r="AG29" s="25">
        <f t="shared" si="59"/>
        <v>0</v>
      </c>
      <c r="AH29" s="24">
        <f t="shared" si="60"/>
        <v>0</v>
      </c>
      <c r="AI29" s="25">
        <f t="shared" si="61"/>
        <v>0</v>
      </c>
      <c r="AJ29" s="24">
        <f t="shared" si="62"/>
        <v>0</v>
      </c>
      <c r="AK29" s="27">
        <f t="shared" si="12"/>
        <v>1.9060665371309751</v>
      </c>
      <c r="AL29" s="41">
        <v>0</v>
      </c>
      <c r="AM29" s="40">
        <v>0</v>
      </c>
      <c r="AN29" s="39">
        <v>0</v>
      </c>
      <c r="AO29" s="40">
        <v>0</v>
      </c>
      <c r="AP29" s="39">
        <v>0</v>
      </c>
      <c r="AQ29" s="40">
        <v>0</v>
      </c>
      <c r="AR29" s="39">
        <v>0</v>
      </c>
      <c r="AS29" s="40">
        <v>0</v>
      </c>
      <c r="AT29" s="39">
        <v>0</v>
      </c>
      <c r="AU29" s="38">
        <v>0</v>
      </c>
      <c r="AW29" s="100" t="s">
        <v>1107</v>
      </c>
      <c r="AX29" s="41">
        <v>3.6429546067090475</v>
      </c>
      <c r="AY29" s="40">
        <v>8.9428763314208943</v>
      </c>
      <c r="AZ29" s="39">
        <v>90.405382900362838</v>
      </c>
      <c r="BA29" s="40">
        <v>138.33595194774605</v>
      </c>
      <c r="BB29" s="39">
        <v>53.634810082286577</v>
      </c>
      <c r="BC29" s="40">
        <v>17.205663401465852</v>
      </c>
      <c r="BD29" s="39">
        <v>6.1787923173991119</v>
      </c>
      <c r="BE29" s="40">
        <v>10.888801720357673</v>
      </c>
      <c r="BF29" s="39">
        <v>50.720415290236787</v>
      </c>
      <c r="BG29" s="81">
        <v>379.95564859798475</v>
      </c>
      <c r="BH29" s="66">
        <v>80.981055333947737</v>
      </c>
      <c r="BJ29" s="37" t="s">
        <v>2075</v>
      </c>
      <c r="BK29" s="36" t="s">
        <v>2228</v>
      </c>
      <c r="BL29" s="1" t="s">
        <v>1123</v>
      </c>
      <c r="BM29" s="36" t="s">
        <v>1935</v>
      </c>
      <c r="BN29" s="82" t="str">
        <f t="shared" si="63"/>
        <v>IFDPRH</v>
      </c>
      <c r="BO29" s="26">
        <f t="shared" si="64"/>
        <v>6.6127431976048525</v>
      </c>
      <c r="BP29" s="25">
        <f t="shared" si="64"/>
        <v>18.202657224381703</v>
      </c>
      <c r="BQ29" s="24">
        <f t="shared" si="64"/>
        <v>73.363413788053293</v>
      </c>
      <c r="BR29" s="25">
        <f t="shared" si="64"/>
        <v>49.690784573559547</v>
      </c>
      <c r="BS29" s="24">
        <f t="shared" si="64"/>
        <v>13.79297649712492</v>
      </c>
      <c r="BT29" s="25">
        <f t="shared" si="64"/>
        <v>12.022588106664506</v>
      </c>
      <c r="BU29" s="24">
        <f t="shared" si="64"/>
        <v>41.766499454954818</v>
      </c>
      <c r="BV29" s="25">
        <f t="shared" si="64"/>
        <v>34.565840320479047</v>
      </c>
      <c r="BW29" s="32">
        <f t="shared" si="64"/>
        <v>21.674356253969368</v>
      </c>
      <c r="BX29" s="26">
        <f t="shared" ref="BX29:CF29" si="71">BO29/BO31</f>
        <v>0.3490589074973014</v>
      </c>
      <c r="BY29" s="25">
        <f t="shared" si="71"/>
        <v>0.35756064018514205</v>
      </c>
      <c r="BZ29" s="24">
        <f t="shared" si="71"/>
        <v>0.28221590049294248</v>
      </c>
      <c r="CA29" s="25">
        <f t="shared" si="71"/>
        <v>0.19712639918723202</v>
      </c>
      <c r="CB29" s="24">
        <f t="shared" si="71"/>
        <v>0.15333505599500624</v>
      </c>
      <c r="CC29" s="25">
        <f t="shared" si="71"/>
        <v>0.24897829898664495</v>
      </c>
      <c r="CD29" s="24">
        <f t="shared" si="71"/>
        <v>0.36029385146775283</v>
      </c>
      <c r="CE29" s="25">
        <f t="shared" si="71"/>
        <v>0.39652926290599472</v>
      </c>
      <c r="CF29" s="32">
        <f t="shared" si="71"/>
        <v>0.22168652829831967</v>
      </c>
      <c r="CH29" s="54" t="s">
        <v>2235</v>
      </c>
      <c r="CI29" s="41">
        <v>1.3905100848009644E-2</v>
      </c>
      <c r="CJ29" s="40">
        <v>1.6380943666505131E-2</v>
      </c>
      <c r="CK29" s="39">
        <v>8.6328619232003065E-3</v>
      </c>
      <c r="CL29" s="40">
        <v>9.7812136136979436E-3</v>
      </c>
      <c r="CM29" s="39">
        <v>7.4571360078257813E-3</v>
      </c>
      <c r="CN29" s="40">
        <v>7.223807907359373E-3</v>
      </c>
      <c r="CO29" s="39">
        <v>7.4781217678408134E-3</v>
      </c>
      <c r="CP29" s="40">
        <v>9.4618422791340709E-2</v>
      </c>
      <c r="CQ29" s="66">
        <v>6.1015935298699163E-2</v>
      </c>
      <c r="CS29" s="54" t="s">
        <v>1588</v>
      </c>
      <c r="CT29" s="39">
        <v>0</v>
      </c>
      <c r="CU29" s="40">
        <v>0</v>
      </c>
      <c r="CV29" s="39">
        <v>0.68624095601715829</v>
      </c>
      <c r="CW29" s="40">
        <v>0.46480731675759435</v>
      </c>
      <c r="CX29" s="39">
        <v>1.0571402187179706</v>
      </c>
      <c r="CY29" s="40">
        <v>0.92145168399907229</v>
      </c>
      <c r="CZ29" s="39">
        <v>3.2011253247693436</v>
      </c>
      <c r="DA29" s="40">
        <v>0.70744686578801352</v>
      </c>
      <c r="DB29" s="39">
        <v>0.44360140698673906</v>
      </c>
      <c r="DC29" s="38">
        <v>7.4818137730358911</v>
      </c>
      <c r="DE29" s="37" t="s">
        <v>1674</v>
      </c>
      <c r="DF29" s="35" t="str">
        <f t="shared" si="16"/>
        <v>IOTOH</v>
      </c>
      <c r="DG29" s="26">
        <f t="shared" si="70"/>
        <v>6.9361949520139937E-2</v>
      </c>
      <c r="DH29" s="25">
        <f t="shared" si="70"/>
        <v>0.19093011081804595</v>
      </c>
      <c r="DI29" s="24">
        <f t="shared" si="70"/>
        <v>0.13301396143849059</v>
      </c>
      <c r="DJ29" s="25">
        <f t="shared" si="70"/>
        <v>9.0093518851383017E-2</v>
      </c>
      <c r="DK29" s="24">
        <f t="shared" si="70"/>
        <v>7.5890851486278429E-2</v>
      </c>
      <c r="DL29" s="25">
        <f t="shared" si="70"/>
        <v>6.614993135627828E-2</v>
      </c>
      <c r="DM29" s="24">
        <f t="shared" si="70"/>
        <v>0.22980501764056607</v>
      </c>
      <c r="DN29" s="25">
        <f t="shared" si="70"/>
        <v>0.29710264810727693</v>
      </c>
      <c r="DO29" s="32">
        <f t="shared" si="70"/>
        <v>0.1862968925207826</v>
      </c>
      <c r="DP29" s="26">
        <f t="shared" si="18"/>
        <v>1.0232556187651025E-2</v>
      </c>
      <c r="DQ29" s="25">
        <f t="shared" si="19"/>
        <v>7.3627044327429867E-3</v>
      </c>
      <c r="DR29" s="24">
        <f t="shared" si="20"/>
        <v>6.353502973603712E-3</v>
      </c>
      <c r="DS29" s="25">
        <f t="shared" si="21"/>
        <v>6.3300367645542184E-3</v>
      </c>
      <c r="DT29" s="24">
        <f t="shared" si="22"/>
        <v>4.2551645832463953E-3</v>
      </c>
      <c r="DU29" s="25">
        <f t="shared" si="23"/>
        <v>4.358787398017581E-3</v>
      </c>
      <c r="DV29" s="24">
        <f t="shared" si="24"/>
        <v>4.1208869159545065E-3</v>
      </c>
      <c r="DW29" s="25">
        <f t="shared" si="25"/>
        <v>2.0990197959918216E-2</v>
      </c>
      <c r="DX29" s="32">
        <f t="shared" si="26"/>
        <v>2.0644601898254483E-2</v>
      </c>
      <c r="DZ29" s="54" t="s">
        <v>1549</v>
      </c>
      <c r="EA29" s="39">
        <v>0</v>
      </c>
      <c r="EB29" s="40">
        <v>0</v>
      </c>
      <c r="EC29" s="39">
        <v>0</v>
      </c>
      <c r="ED29" s="40">
        <v>0</v>
      </c>
      <c r="EE29" s="39">
        <v>1.0515338237551033E-2</v>
      </c>
      <c r="EF29" s="40">
        <v>1.0515338237551032E-2</v>
      </c>
      <c r="EG29" s="39">
        <v>1.0515338237551033E-2</v>
      </c>
      <c r="EH29" s="40">
        <v>0.28631826992359538</v>
      </c>
      <c r="EI29" s="66">
        <v>0.28631826992359538</v>
      </c>
      <c r="EO29" s="83" t="s">
        <v>2075</v>
      </c>
      <c r="EP29" s="82" t="s">
        <v>518</v>
      </c>
      <c r="EQ29" s="81">
        <f t="shared" si="27"/>
        <v>252.0757482429479</v>
      </c>
      <c r="ER29" s="80">
        <f>EQ29/SUM(EQ26:EQ34)</f>
        <v>0.24689378733760778</v>
      </c>
      <c r="ET29" s="73" t="s">
        <v>438</v>
      </c>
      <c r="EU29" s="72">
        <v>1.8555045735389332E-2</v>
      </c>
      <c r="EW29" s="37" t="s">
        <v>2075</v>
      </c>
      <c r="EX29" s="36" t="s">
        <v>2228</v>
      </c>
      <c r="EY29" s="36" t="s">
        <v>1150</v>
      </c>
      <c r="EZ29" s="1" t="s">
        <v>1902</v>
      </c>
      <c r="FA29" s="36" t="str">
        <f t="shared" si="28"/>
        <v>IFDETC</v>
      </c>
      <c r="FB29" s="1" t="s">
        <v>519</v>
      </c>
      <c r="FC29" s="26">
        <f t="shared" si="29"/>
        <v>48.287694773388225</v>
      </c>
      <c r="FD29" s="25">
        <f t="shared" si="30"/>
        <v>5.7600625243914176E-2</v>
      </c>
      <c r="FE29" s="24">
        <f t="shared" si="31"/>
        <v>1.1928634306158344E-3</v>
      </c>
      <c r="FF29" s="36">
        <v>0</v>
      </c>
      <c r="FG29" s="86">
        <f t="shared" si="32"/>
        <v>0</v>
      </c>
    </row>
    <row r="30" spans="1:175">
      <c r="A30" s="37" t="s">
        <v>2222</v>
      </c>
      <c r="B30" s="36" t="s">
        <v>1129</v>
      </c>
      <c r="C30" s="1" t="s">
        <v>468</v>
      </c>
      <c r="D30" s="36" t="s">
        <v>468</v>
      </c>
      <c r="E30" s="36" t="s">
        <v>2234</v>
      </c>
      <c r="F30" s="1" t="e">
        <f t="shared" ca="1" si="2"/>
        <v>#NAME?</v>
      </c>
      <c r="G30" s="35" t="s">
        <v>1121</v>
      </c>
      <c r="H30" s="43">
        <v>1</v>
      </c>
      <c r="I30" s="42">
        <v>0</v>
      </c>
      <c r="J30" s="26">
        <v>12.755359012310219</v>
      </c>
      <c r="K30" s="25">
        <v>3.8680409508648435</v>
      </c>
      <c r="L30" s="24"/>
      <c r="M30" s="25"/>
      <c r="N30" s="24"/>
      <c r="O30" s="25"/>
      <c r="P30" s="24"/>
      <c r="Q30" s="25"/>
      <c r="R30" s="32"/>
      <c r="S30" s="47">
        <v>1</v>
      </c>
      <c r="T30" s="45">
        <v>1</v>
      </c>
      <c r="U30" s="46">
        <v>1</v>
      </c>
      <c r="V30" s="45">
        <v>1</v>
      </c>
      <c r="W30" s="46">
        <v>1</v>
      </c>
      <c r="X30" s="45">
        <v>1</v>
      </c>
      <c r="Y30" s="46">
        <v>1</v>
      </c>
      <c r="Z30" s="45">
        <v>1</v>
      </c>
      <c r="AA30" s="44">
        <v>1</v>
      </c>
      <c r="AB30" s="26">
        <f t="shared" si="54"/>
        <v>12.755359012310219</v>
      </c>
      <c r="AC30" s="25">
        <f t="shared" si="55"/>
        <v>3.8680409508648435</v>
      </c>
      <c r="AD30" s="24">
        <f t="shared" si="56"/>
        <v>0</v>
      </c>
      <c r="AE30" s="25">
        <f t="shared" si="57"/>
        <v>0</v>
      </c>
      <c r="AF30" s="24">
        <f t="shared" si="58"/>
        <v>0</v>
      </c>
      <c r="AG30" s="25">
        <f t="shared" si="59"/>
        <v>0</v>
      </c>
      <c r="AH30" s="24">
        <f t="shared" si="60"/>
        <v>0</v>
      </c>
      <c r="AI30" s="25">
        <f t="shared" si="61"/>
        <v>0</v>
      </c>
      <c r="AJ30" s="24">
        <f t="shared" si="62"/>
        <v>0</v>
      </c>
      <c r="AK30" s="27">
        <f t="shared" si="12"/>
        <v>16.623399963175061</v>
      </c>
      <c r="AL30" s="41">
        <v>0</v>
      </c>
      <c r="AM30" s="40">
        <v>0</v>
      </c>
      <c r="AN30" s="39">
        <v>0</v>
      </c>
      <c r="AO30" s="40">
        <v>0</v>
      </c>
      <c r="AP30" s="39">
        <v>0</v>
      </c>
      <c r="AQ30" s="40">
        <v>0</v>
      </c>
      <c r="AR30" s="39">
        <v>0</v>
      </c>
      <c r="AS30" s="40">
        <v>0</v>
      </c>
      <c r="AT30" s="39">
        <v>0</v>
      </c>
      <c r="AU30" s="38">
        <v>0</v>
      </c>
      <c r="AW30" s="51" t="s">
        <v>2032</v>
      </c>
      <c r="AX30" s="7">
        <v>15.467510229977448</v>
      </c>
      <c r="AY30" s="6">
        <v>42.57685175690397</v>
      </c>
      <c r="AZ30" s="5">
        <v>61.587243881054533</v>
      </c>
      <c r="BA30" s="6">
        <v>41.714504685046485</v>
      </c>
      <c r="BB30" s="5">
        <v>26.107654408727129</v>
      </c>
      <c r="BC30" s="6">
        <v>22.756623666595594</v>
      </c>
      <c r="BD30" s="5">
        <v>80.113220778498487</v>
      </c>
      <c r="BE30" s="6">
        <v>29.039007055058246</v>
      </c>
      <c r="BF30" s="5">
        <v>18.208780065444088</v>
      </c>
      <c r="BG30" s="77">
        <v>337.57139652730592</v>
      </c>
      <c r="BH30" s="59">
        <v>1.0912917196627903</v>
      </c>
      <c r="BJ30" s="37" t="s">
        <v>2075</v>
      </c>
      <c r="BK30" s="36" t="s">
        <v>2228</v>
      </c>
      <c r="BL30" s="1" t="s">
        <v>1107</v>
      </c>
      <c r="BM30" s="36" t="s">
        <v>1937</v>
      </c>
      <c r="BN30" s="82" t="str">
        <f t="shared" si="63"/>
        <v>IFDSTM</v>
      </c>
      <c r="BO30" s="26">
        <f t="shared" si="64"/>
        <v>3.6429546067090475</v>
      </c>
      <c r="BP30" s="25">
        <f t="shared" si="64"/>
        <v>8.9428763314208943</v>
      </c>
      <c r="BQ30" s="24">
        <f t="shared" si="64"/>
        <v>90.405382900362838</v>
      </c>
      <c r="BR30" s="25">
        <f t="shared" si="64"/>
        <v>138.33595194774605</v>
      </c>
      <c r="BS30" s="24">
        <f t="shared" si="64"/>
        <v>53.634810082286577</v>
      </c>
      <c r="BT30" s="25">
        <f t="shared" si="64"/>
        <v>17.205663401465852</v>
      </c>
      <c r="BU30" s="24">
        <f t="shared" si="64"/>
        <v>6.1787923173991119</v>
      </c>
      <c r="BV30" s="25">
        <f t="shared" si="64"/>
        <v>10.888801720357673</v>
      </c>
      <c r="BW30" s="32">
        <f t="shared" si="64"/>
        <v>50.720415290236787</v>
      </c>
      <c r="BX30" s="26">
        <f t="shared" ref="BX30:CF30" si="72">BO30/BO31</f>
        <v>0.19229625543914958</v>
      </c>
      <c r="BY30" s="25">
        <f t="shared" si="72"/>
        <v>0.17566779106713767</v>
      </c>
      <c r="BZ30" s="24">
        <f t="shared" si="72"/>
        <v>0.34777330044025168</v>
      </c>
      <c r="CA30" s="25">
        <f t="shared" si="72"/>
        <v>0.54878723126676732</v>
      </c>
      <c r="CB30" s="24">
        <f t="shared" si="72"/>
        <v>0.59625249190870522</v>
      </c>
      <c r="CC30" s="25">
        <f t="shared" si="72"/>
        <v>0.3563156924804794</v>
      </c>
      <c r="CD30" s="24">
        <f t="shared" si="72"/>
        <v>5.3300633534204243E-2</v>
      </c>
      <c r="CE30" s="25">
        <f t="shared" si="72"/>
        <v>0.12491316513849809</v>
      </c>
      <c r="CF30" s="32">
        <f t="shared" si="72"/>
        <v>0.51877124505058414</v>
      </c>
      <c r="CH30" s="54" t="s">
        <v>2233</v>
      </c>
      <c r="CI30" s="41">
        <v>1.6968377422188853E-2</v>
      </c>
      <c r="CJ30" s="40">
        <v>1.9989645361303487E-2</v>
      </c>
      <c r="CK30" s="39">
        <v>1.0393280468252783E-2</v>
      </c>
      <c r="CL30" s="40">
        <v>1.17758047460313E-2</v>
      </c>
      <c r="CM30" s="39">
        <v>1.063819695937078E-2</v>
      </c>
      <c r="CN30" s="40">
        <v>1.0305335886927874E-2</v>
      </c>
      <c r="CO30" s="39">
        <v>1.0668134813279804E-2</v>
      </c>
      <c r="CP30" s="40">
        <v>0.11133027916196439</v>
      </c>
      <c r="CQ30" s="66">
        <v>7.1792795839693599E-2</v>
      </c>
      <c r="CS30" s="54" t="s">
        <v>1585</v>
      </c>
      <c r="CT30" s="39">
        <v>3.9547091212858589</v>
      </c>
      <c r="CU30" s="40">
        <v>10.88598368419566</v>
      </c>
      <c r="CV30" s="39">
        <v>16.134296896752211</v>
      </c>
      <c r="CW30" s="40">
        <v>10.928142925008208</v>
      </c>
      <c r="CX30" s="39">
        <v>9.799287242580748</v>
      </c>
      <c r="CY30" s="40">
        <v>8.5415061992600361</v>
      </c>
      <c r="CZ30" s="39">
        <v>29.673212693540613</v>
      </c>
      <c r="DA30" s="40">
        <v>17.169415940237062</v>
      </c>
      <c r="DB30" s="39">
        <v>10.766005811257568</v>
      </c>
      <c r="DC30" s="38">
        <v>117.85256051411795</v>
      </c>
      <c r="DE30" s="37" t="s">
        <v>1670</v>
      </c>
      <c r="DF30" s="35" t="str">
        <f t="shared" si="16"/>
        <v>IOTOH</v>
      </c>
      <c r="DG30" s="26">
        <f t="shared" si="70"/>
        <v>1.0842306441873439</v>
      </c>
      <c r="DH30" s="25">
        <f t="shared" si="70"/>
        <v>2.984522183692413</v>
      </c>
      <c r="DI30" s="24">
        <f t="shared" si="70"/>
        <v>6.7871739294347897</v>
      </c>
      <c r="DJ30" s="25">
        <f t="shared" si="70"/>
        <v>4.5971142859459473</v>
      </c>
      <c r="DK30" s="24">
        <f t="shared" si="70"/>
        <v>2.9105973692998037</v>
      </c>
      <c r="DL30" s="25">
        <f t="shared" si="70"/>
        <v>2.5370095658994933</v>
      </c>
      <c r="DM30" s="24">
        <f t="shared" si="70"/>
        <v>8.8135772190863175</v>
      </c>
      <c r="DN30" s="25">
        <f t="shared" si="70"/>
        <v>3.283747497588644</v>
      </c>
      <c r="DO30" s="32">
        <f t="shared" si="70"/>
        <v>2.0590592460918455</v>
      </c>
      <c r="DP30" s="26">
        <f t="shared" si="18"/>
        <v>0.15995010324498848</v>
      </c>
      <c r="DQ30" s="25">
        <f t="shared" si="19"/>
        <v>0.11509004324851101</v>
      </c>
      <c r="DR30" s="24">
        <f t="shared" si="20"/>
        <v>0.32419401149082011</v>
      </c>
      <c r="DS30" s="25">
        <f t="shared" si="21"/>
        <v>0.32299662408455865</v>
      </c>
      <c r="DT30" s="24">
        <f t="shared" si="22"/>
        <v>0.16319583453578668</v>
      </c>
      <c r="DU30" s="25">
        <f t="shared" si="23"/>
        <v>0.16717001964724224</v>
      </c>
      <c r="DV30" s="24">
        <f t="shared" si="24"/>
        <v>0.15804596182357772</v>
      </c>
      <c r="DW30" s="25">
        <f t="shared" si="25"/>
        <v>0.23199560981322495</v>
      </c>
      <c r="DX30" s="32">
        <f t="shared" si="26"/>
        <v>0.22817588551963675</v>
      </c>
      <c r="DZ30" s="54" t="s">
        <v>1558</v>
      </c>
      <c r="EA30" s="39">
        <v>0.10198617814764696</v>
      </c>
      <c r="EB30" s="40">
        <v>0.10198617814764697</v>
      </c>
      <c r="EC30" s="39">
        <v>0.34791592877879773</v>
      </c>
      <c r="ED30" s="40">
        <v>0.34791592877879773</v>
      </c>
      <c r="EE30" s="39">
        <v>0.12569229412014016</v>
      </c>
      <c r="EF30" s="40">
        <v>0.12569229412014016</v>
      </c>
      <c r="EG30" s="39">
        <v>0.12569229412014016</v>
      </c>
      <c r="EH30" s="40">
        <v>0.10277565040403912</v>
      </c>
      <c r="EI30" s="66">
        <v>0.1027756504040391</v>
      </c>
      <c r="EO30" s="83" t="s">
        <v>2075</v>
      </c>
      <c r="EP30" s="82" t="s">
        <v>517</v>
      </c>
      <c r="EQ30" s="81">
        <f t="shared" si="27"/>
        <v>89.95318394492989</v>
      </c>
      <c r="ER30" s="80">
        <f>EQ30/SUM(EQ26:EQ34)</f>
        <v>8.8104002158254244E-2</v>
      </c>
      <c r="ET30" s="73" t="s">
        <v>440</v>
      </c>
      <c r="EU30" s="72">
        <v>4.9861367068512193E-2</v>
      </c>
      <c r="EW30" s="37" t="s">
        <v>2075</v>
      </c>
      <c r="EX30" s="36" t="s">
        <v>2228</v>
      </c>
      <c r="EY30" s="36" t="s">
        <v>1150</v>
      </c>
      <c r="EZ30" s="1" t="s">
        <v>1902</v>
      </c>
      <c r="FA30" s="36" t="str">
        <f t="shared" si="28"/>
        <v>IFDETC</v>
      </c>
      <c r="FB30" s="1" t="s">
        <v>520</v>
      </c>
      <c r="FC30" s="26">
        <f t="shared" si="29"/>
        <v>115.92343106830126</v>
      </c>
      <c r="FD30" s="25">
        <f t="shared" si="30"/>
        <v>0.20010470803049471</v>
      </c>
      <c r="FE30" s="24">
        <f t="shared" si="31"/>
        <v>1.7261799981799577E-3</v>
      </c>
      <c r="FF30" s="36">
        <v>0</v>
      </c>
      <c r="FG30" s="86">
        <f t="shared" si="32"/>
        <v>0</v>
      </c>
    </row>
    <row r="31" spans="1:175">
      <c r="A31" s="37" t="s">
        <v>2222</v>
      </c>
      <c r="B31" s="36" t="s">
        <v>1123</v>
      </c>
      <c r="C31" s="1" t="s">
        <v>1126</v>
      </c>
      <c r="D31" s="36" t="s">
        <v>1126</v>
      </c>
      <c r="E31" s="36" t="s">
        <v>2232</v>
      </c>
      <c r="F31" s="1" t="e">
        <f t="shared" ca="1" si="2"/>
        <v>#NAME?</v>
      </c>
      <c r="G31" s="35" t="s">
        <v>1121</v>
      </c>
      <c r="H31" s="43">
        <v>1</v>
      </c>
      <c r="I31" s="42">
        <v>0</v>
      </c>
      <c r="J31" s="26">
        <v>0.70136307661854025</v>
      </c>
      <c r="K31" s="25">
        <v>0.51202464796937186</v>
      </c>
      <c r="L31" s="24"/>
      <c r="M31" s="25"/>
      <c r="N31" s="24"/>
      <c r="O31" s="25"/>
      <c r="P31" s="24"/>
      <c r="Q31" s="25"/>
      <c r="R31" s="32"/>
      <c r="S31" s="47">
        <v>1</v>
      </c>
      <c r="T31" s="45">
        <v>1</v>
      </c>
      <c r="U31" s="46">
        <v>1</v>
      </c>
      <c r="V31" s="45">
        <v>1</v>
      </c>
      <c r="W31" s="46">
        <v>1</v>
      </c>
      <c r="X31" s="45">
        <v>1</v>
      </c>
      <c r="Y31" s="46">
        <v>1</v>
      </c>
      <c r="Z31" s="45">
        <v>1</v>
      </c>
      <c r="AA31" s="44">
        <v>1</v>
      </c>
      <c r="AB31" s="26">
        <f t="shared" si="54"/>
        <v>0.70136307661854025</v>
      </c>
      <c r="AC31" s="25">
        <f t="shared" si="55"/>
        <v>0.51202464796937186</v>
      </c>
      <c r="AD31" s="24">
        <f t="shared" si="56"/>
        <v>0</v>
      </c>
      <c r="AE31" s="25">
        <f t="shared" si="57"/>
        <v>0</v>
      </c>
      <c r="AF31" s="24">
        <f t="shared" si="58"/>
        <v>0</v>
      </c>
      <c r="AG31" s="25">
        <f t="shared" si="59"/>
        <v>0</v>
      </c>
      <c r="AH31" s="24">
        <f t="shared" si="60"/>
        <v>0</v>
      </c>
      <c r="AI31" s="25">
        <f t="shared" si="61"/>
        <v>0</v>
      </c>
      <c r="AJ31" s="24">
        <f t="shared" si="62"/>
        <v>0</v>
      </c>
      <c r="AK31" s="27">
        <f t="shared" si="12"/>
        <v>1.2133877245879121</v>
      </c>
      <c r="AL31" s="41">
        <v>0</v>
      </c>
      <c r="AM31" s="40">
        <v>0</v>
      </c>
      <c r="AN31" s="39">
        <v>0</v>
      </c>
      <c r="AO31" s="40">
        <v>0</v>
      </c>
      <c r="AP31" s="39">
        <v>0</v>
      </c>
      <c r="AQ31" s="40">
        <v>0</v>
      </c>
      <c r="AR31" s="39">
        <v>0</v>
      </c>
      <c r="AS31" s="40">
        <v>0</v>
      </c>
      <c r="AT31" s="39">
        <v>0</v>
      </c>
      <c r="AU31" s="38">
        <v>0</v>
      </c>
      <c r="AW31" s="100" t="s">
        <v>1145</v>
      </c>
      <c r="AX31" s="41">
        <v>0.87089560569592572</v>
      </c>
      <c r="AY31" s="40">
        <v>2.3972825974014942</v>
      </c>
      <c r="AZ31" s="39">
        <v>3.6733037471795655</v>
      </c>
      <c r="BA31" s="40">
        <v>2.4880159707626959</v>
      </c>
      <c r="BB31" s="39">
        <v>1.5412435972854857</v>
      </c>
      <c r="BC31" s="40">
        <v>1.343418293075445</v>
      </c>
      <c r="BD31" s="39">
        <v>4.6670383205100769</v>
      </c>
      <c r="BE31" s="40">
        <v>1.743621286721712</v>
      </c>
      <c r="BF31" s="39">
        <v>1.0933299636294536</v>
      </c>
      <c r="BG31" s="81">
        <v>19.818149382261851</v>
      </c>
      <c r="BH31" s="66">
        <v>0</v>
      </c>
      <c r="BJ31" s="22" t="s">
        <v>2075</v>
      </c>
      <c r="BK31" s="20" t="s">
        <v>2228</v>
      </c>
      <c r="BL31" s="21" t="s">
        <v>1027</v>
      </c>
      <c r="BM31" s="20"/>
      <c r="BN31" s="78"/>
      <c r="BO31" s="11">
        <f t="shared" ref="BO31:BW31" si="73">GETPIVOTDATA("Sum of "&amp;BO$1&amp;" (Out)",$AW$6,"Sub-Sector",$BJ31)</f>
        <v>18.94449061626074</v>
      </c>
      <c r="BP31" s="10">
        <f t="shared" si="73"/>
        <v>50.907888561102567</v>
      </c>
      <c r="BQ31" s="9">
        <f t="shared" si="73"/>
        <v>259.95492691910863</v>
      </c>
      <c r="BR31" s="10">
        <f t="shared" si="73"/>
        <v>252.0757482429479</v>
      </c>
      <c r="BS31" s="9">
        <f t="shared" si="73"/>
        <v>89.95318394492989</v>
      </c>
      <c r="BT31" s="10">
        <f t="shared" si="73"/>
        <v>48.287694773388225</v>
      </c>
      <c r="BU31" s="9">
        <f t="shared" si="73"/>
        <v>115.92343106830126</v>
      </c>
      <c r="BV31" s="10">
        <f t="shared" si="73"/>
        <v>87.170969595435835</v>
      </c>
      <c r="BW31" s="16">
        <f t="shared" si="73"/>
        <v>97.770290420185418</v>
      </c>
      <c r="BX31" s="11"/>
      <c r="BY31" s="6"/>
      <c r="BZ31" s="5"/>
      <c r="CA31" s="6"/>
      <c r="CB31" s="5"/>
      <c r="CC31" s="6"/>
      <c r="CD31" s="5"/>
      <c r="CE31" s="6"/>
      <c r="CF31" s="59"/>
      <c r="CH31" s="54" t="s">
        <v>2231</v>
      </c>
      <c r="CI31" s="41">
        <v>0.38849406710677375</v>
      </c>
      <c r="CJ31" s="40">
        <v>0.45766654248742428</v>
      </c>
      <c r="CK31" s="39">
        <v>0.76880329507625866</v>
      </c>
      <c r="CL31" s="40">
        <v>0.87107025722798148</v>
      </c>
      <c r="CM31" s="39">
        <v>0.77346302037787662</v>
      </c>
      <c r="CN31" s="40">
        <v>0.74926195214787661</v>
      </c>
      <c r="CO31" s="39">
        <v>0.77563968837871733</v>
      </c>
      <c r="CP31" s="40">
        <v>0</v>
      </c>
      <c r="CQ31" s="66">
        <v>0</v>
      </c>
      <c r="CS31" s="54" t="s">
        <v>1800</v>
      </c>
      <c r="CT31" s="39">
        <v>0</v>
      </c>
      <c r="CU31" s="40">
        <v>0</v>
      </c>
      <c r="CV31" s="39">
        <v>0</v>
      </c>
      <c r="CW31" s="40">
        <v>0</v>
      </c>
      <c r="CX31" s="39">
        <v>0</v>
      </c>
      <c r="CY31" s="40">
        <v>0</v>
      </c>
      <c r="CZ31" s="39">
        <v>0</v>
      </c>
      <c r="DA31" s="40">
        <v>0</v>
      </c>
      <c r="DB31" s="39">
        <v>0</v>
      </c>
      <c r="DC31" s="38">
        <v>0</v>
      </c>
      <c r="DE31" s="37" t="s">
        <v>1666</v>
      </c>
      <c r="DF31" s="35" t="str">
        <f t="shared" si="16"/>
        <v>IOTOH</v>
      </c>
      <c r="DG31" s="26">
        <f t="shared" si="70"/>
        <v>3.914540777800786E-2</v>
      </c>
      <c r="DH31" s="25">
        <f t="shared" si="70"/>
        <v>0.10775413748863097</v>
      </c>
      <c r="DI31" s="24">
        <f t="shared" si="70"/>
        <v>1.0509566290135028</v>
      </c>
      <c r="DJ31" s="25">
        <f t="shared" si="70"/>
        <v>0.71183791418616371</v>
      </c>
      <c r="DK31" s="24">
        <f t="shared" si="70"/>
        <v>0.32979166941303556</v>
      </c>
      <c r="DL31" s="25">
        <f t="shared" si="70"/>
        <v>0.28746147745475148</v>
      </c>
      <c r="DM31" s="24">
        <f t="shared" si="70"/>
        <v>0.99864185106524073</v>
      </c>
      <c r="DN31" s="25">
        <f t="shared" si="70"/>
        <v>0.27085820467124266</v>
      </c>
      <c r="DO31" s="32">
        <f t="shared" si="70"/>
        <v>0.169840431128674</v>
      </c>
      <c r="DP31" s="26">
        <f t="shared" si="18"/>
        <v>5.7748893643866078E-3</v>
      </c>
      <c r="DQ31" s="25">
        <f t="shared" si="19"/>
        <v>4.1552475004322633E-3</v>
      </c>
      <c r="DR31" s="24">
        <f t="shared" si="20"/>
        <v>5.0199663218462781E-2</v>
      </c>
      <c r="DS31" s="25">
        <f t="shared" si="21"/>
        <v>5.0014254350914798E-2</v>
      </c>
      <c r="DT31" s="24">
        <f t="shared" si="22"/>
        <v>1.8491264810617941E-2</v>
      </c>
      <c r="DU31" s="25">
        <f t="shared" si="23"/>
        <v>1.894156864043919E-2</v>
      </c>
      <c r="DV31" s="24">
        <f t="shared" si="24"/>
        <v>1.7907747098089875E-2</v>
      </c>
      <c r="DW31" s="25">
        <f t="shared" si="25"/>
        <v>1.9136037229343619E-2</v>
      </c>
      <c r="DX31" s="32">
        <f t="shared" si="26"/>
        <v>1.8820969257381654E-2</v>
      </c>
      <c r="DZ31" s="54" t="s">
        <v>1555</v>
      </c>
      <c r="EA31" s="39">
        <v>0.11886537217566222</v>
      </c>
      <c r="EB31" s="40">
        <v>0.11886537217566222</v>
      </c>
      <c r="EC31" s="39">
        <v>0.65208407122120238</v>
      </c>
      <c r="ED31" s="40">
        <v>0.65208407122120227</v>
      </c>
      <c r="EE31" s="39">
        <v>0.86379236764230882</v>
      </c>
      <c r="EF31" s="40">
        <v>0.86379236764230882</v>
      </c>
      <c r="EG31" s="39">
        <v>0.86379236764230882</v>
      </c>
      <c r="EH31" s="40">
        <v>0.61090607967236543</v>
      </c>
      <c r="EI31" s="66">
        <v>0.61090607967236554</v>
      </c>
      <c r="EO31" s="83" t="s">
        <v>2075</v>
      </c>
      <c r="EP31" s="82" t="s">
        <v>519</v>
      </c>
      <c r="EQ31" s="81">
        <f t="shared" si="27"/>
        <v>48.287694773388225</v>
      </c>
      <c r="ER31" s="80">
        <f>EQ31/SUM(EQ26:EQ34)</f>
        <v>4.7295037017658664E-2</v>
      </c>
      <c r="ET31" s="73" t="s">
        <v>439</v>
      </c>
      <c r="EU31" s="72">
        <v>0.25461099249528985</v>
      </c>
      <c r="EW31" s="37" t="s">
        <v>2075</v>
      </c>
      <c r="EX31" s="36" t="s">
        <v>2228</v>
      </c>
      <c r="EY31" s="36" t="s">
        <v>1150</v>
      </c>
      <c r="EZ31" s="1" t="s">
        <v>1902</v>
      </c>
      <c r="FA31" s="36" t="str">
        <f t="shared" si="28"/>
        <v>IFDETC</v>
      </c>
      <c r="FB31" s="1" t="s">
        <v>521</v>
      </c>
      <c r="FC31" s="26">
        <f t="shared" si="29"/>
        <v>87.170969595435835</v>
      </c>
      <c r="FD31" s="25">
        <f t="shared" si="30"/>
        <v>0.10328035823296604</v>
      </c>
      <c r="FE31" s="24">
        <f t="shared" si="31"/>
        <v>1.1848022192743129E-3</v>
      </c>
      <c r="FF31" s="36">
        <v>0</v>
      </c>
      <c r="FG31" s="86">
        <f t="shared" si="32"/>
        <v>0</v>
      </c>
    </row>
    <row r="32" spans="1:175">
      <c r="A32" s="37" t="s">
        <v>2222</v>
      </c>
      <c r="B32" s="36" t="s">
        <v>1123</v>
      </c>
      <c r="C32" s="1" t="s">
        <v>665</v>
      </c>
      <c r="D32" s="36" t="s">
        <v>665</v>
      </c>
      <c r="E32" s="36" t="s">
        <v>2230</v>
      </c>
      <c r="F32" s="1" t="e">
        <f t="shared" ca="1" si="2"/>
        <v>#NAME?</v>
      </c>
      <c r="G32" s="35" t="s">
        <v>1121</v>
      </c>
      <c r="H32" s="43">
        <v>1</v>
      </c>
      <c r="I32" s="42">
        <v>0</v>
      </c>
      <c r="J32" s="26">
        <v>0.46480731675759435</v>
      </c>
      <c r="K32" s="25">
        <v>1.0571402187179706</v>
      </c>
      <c r="L32" s="24"/>
      <c r="M32" s="25"/>
      <c r="N32" s="24"/>
      <c r="O32" s="25"/>
      <c r="P32" s="24"/>
      <c r="Q32" s="25"/>
      <c r="R32" s="32"/>
      <c r="S32" s="47">
        <v>1</v>
      </c>
      <c r="T32" s="45">
        <v>1</v>
      </c>
      <c r="U32" s="46">
        <v>1</v>
      </c>
      <c r="V32" s="45">
        <v>1</v>
      </c>
      <c r="W32" s="46">
        <v>1</v>
      </c>
      <c r="X32" s="45">
        <v>1</v>
      </c>
      <c r="Y32" s="46">
        <v>1</v>
      </c>
      <c r="Z32" s="45">
        <v>1</v>
      </c>
      <c r="AA32" s="44">
        <v>1</v>
      </c>
      <c r="AB32" s="26">
        <f t="shared" si="54"/>
        <v>0.46480731675759435</v>
      </c>
      <c r="AC32" s="25">
        <f t="shared" si="55"/>
        <v>1.0571402187179706</v>
      </c>
      <c r="AD32" s="24">
        <f t="shared" si="56"/>
        <v>0</v>
      </c>
      <c r="AE32" s="25">
        <f t="shared" si="57"/>
        <v>0</v>
      </c>
      <c r="AF32" s="24">
        <f t="shared" si="58"/>
        <v>0</v>
      </c>
      <c r="AG32" s="25">
        <f t="shared" si="59"/>
        <v>0</v>
      </c>
      <c r="AH32" s="24">
        <f t="shared" si="60"/>
        <v>0</v>
      </c>
      <c r="AI32" s="25">
        <f t="shared" si="61"/>
        <v>0</v>
      </c>
      <c r="AJ32" s="24">
        <f t="shared" si="62"/>
        <v>0</v>
      </c>
      <c r="AK32" s="27">
        <f t="shared" si="12"/>
        <v>1.5219475354755649</v>
      </c>
      <c r="AL32" s="41">
        <v>0</v>
      </c>
      <c r="AM32" s="40">
        <v>0</v>
      </c>
      <c r="AN32" s="39">
        <v>0</v>
      </c>
      <c r="AO32" s="40">
        <v>0</v>
      </c>
      <c r="AP32" s="39">
        <v>0</v>
      </c>
      <c r="AQ32" s="40">
        <v>0</v>
      </c>
      <c r="AR32" s="39">
        <v>0</v>
      </c>
      <c r="AS32" s="40">
        <v>0</v>
      </c>
      <c r="AT32" s="39">
        <v>0</v>
      </c>
      <c r="AU32" s="38">
        <v>0</v>
      </c>
      <c r="AW32" s="100" t="s">
        <v>1136</v>
      </c>
      <c r="AX32" s="41">
        <v>0.95899523655213514</v>
      </c>
      <c r="AY32" s="40">
        <v>2.6397912408115372</v>
      </c>
      <c r="AZ32" s="39">
        <v>4.5976128229139412</v>
      </c>
      <c r="BA32" s="40">
        <v>3.1140724857225015</v>
      </c>
      <c r="BB32" s="39">
        <v>1.8886743818203962</v>
      </c>
      <c r="BC32" s="40">
        <v>1.6462548286781273</v>
      </c>
      <c r="BD32" s="39">
        <v>5.7190931598652073</v>
      </c>
      <c r="BE32" s="40">
        <v>2.2118535549459364</v>
      </c>
      <c r="BF32" s="39">
        <v>1.3869329224177365</v>
      </c>
      <c r="BG32" s="81">
        <v>24.163280633727517</v>
      </c>
      <c r="BH32" s="66">
        <v>0</v>
      </c>
      <c r="BJ32" s="37" t="s">
        <v>2032</v>
      </c>
      <c r="BK32" s="36" t="s">
        <v>2207</v>
      </c>
      <c r="BL32" s="1" t="s">
        <v>1150</v>
      </c>
      <c r="BM32" s="36" t="s">
        <v>1902</v>
      </c>
      <c r="BN32" s="82" t="str">
        <f t="shared" ref="BN32:BN38" si="74">BK32&amp;BM32</f>
        <v>INGETC</v>
      </c>
      <c r="BO32" s="91">
        <f t="shared" ref="BO32:BW38" si="75">IF(ISERROR(GETPIVOTDATA("Sum of "&amp;BO$1&amp;" (Out)",$AW$6,"Sub-Sector",$BJ32,"End-Use",$BL32)),0,GETPIVOTDATA("Sum of "&amp;BO$1&amp;" (Out)",$AW$6,"Sub-Sector",$BJ32,"End-Use",$BL32))</f>
        <v>0</v>
      </c>
      <c r="BP32" s="89">
        <f t="shared" si="75"/>
        <v>0</v>
      </c>
      <c r="BQ32" s="90">
        <f t="shared" si="75"/>
        <v>0</v>
      </c>
      <c r="BR32" s="89">
        <f t="shared" si="75"/>
        <v>0</v>
      </c>
      <c r="BS32" s="90">
        <f t="shared" si="75"/>
        <v>0</v>
      </c>
      <c r="BT32" s="89">
        <f t="shared" si="75"/>
        <v>0</v>
      </c>
      <c r="BU32" s="90">
        <f t="shared" si="75"/>
        <v>0</v>
      </c>
      <c r="BV32" s="89">
        <f t="shared" si="75"/>
        <v>0</v>
      </c>
      <c r="BW32" s="88">
        <f t="shared" si="75"/>
        <v>0</v>
      </c>
      <c r="BX32" s="26">
        <f t="shared" ref="BX32:CF32" si="76">BO32/BO39</f>
        <v>0</v>
      </c>
      <c r="BY32" s="25">
        <f t="shared" si="76"/>
        <v>0</v>
      </c>
      <c r="BZ32" s="24">
        <f t="shared" si="76"/>
        <v>0</v>
      </c>
      <c r="CA32" s="25">
        <f t="shared" si="76"/>
        <v>0</v>
      </c>
      <c r="CB32" s="24">
        <f t="shared" si="76"/>
        <v>0</v>
      </c>
      <c r="CC32" s="25">
        <f t="shared" si="76"/>
        <v>0</v>
      </c>
      <c r="CD32" s="24">
        <f t="shared" si="76"/>
        <v>0</v>
      </c>
      <c r="CE32" s="25">
        <f t="shared" si="76"/>
        <v>0</v>
      </c>
      <c r="CF32" s="32">
        <f t="shared" si="76"/>
        <v>0</v>
      </c>
      <c r="CH32" s="54" t="s">
        <v>2229</v>
      </c>
      <c r="CI32" s="41">
        <v>8.5125280709763468E-2</v>
      </c>
      <c r="CJ32" s="40">
        <v>0.10028207944293105</v>
      </c>
      <c r="CK32" s="39">
        <v>5.2619537054156486E-2</v>
      </c>
      <c r="CL32" s="40">
        <v>5.9619039057884009E-2</v>
      </c>
      <c r="CM32" s="39">
        <v>4.81513274247009E-2</v>
      </c>
      <c r="CN32" s="40">
        <v>4.6644709099495203E-2</v>
      </c>
      <c r="CO32" s="39">
        <v>4.8286834166254157E-2</v>
      </c>
      <c r="CP32" s="40">
        <v>0.57252684241346341</v>
      </c>
      <c r="CQ32" s="66">
        <v>0.36920146989245145</v>
      </c>
      <c r="CS32" s="54" t="s">
        <v>1803</v>
      </c>
      <c r="CT32" s="39">
        <v>0</v>
      </c>
      <c r="CU32" s="40">
        <v>5.9265639808539997E-19</v>
      </c>
      <c r="CV32" s="39">
        <v>2.0363210904890515E-17</v>
      </c>
      <c r="CW32" s="40">
        <v>0</v>
      </c>
      <c r="CX32" s="39">
        <v>0</v>
      </c>
      <c r="CY32" s="40">
        <v>0</v>
      </c>
      <c r="CZ32" s="39">
        <v>0</v>
      </c>
      <c r="DA32" s="40">
        <v>0</v>
      </c>
      <c r="DB32" s="39">
        <v>0</v>
      </c>
      <c r="DC32" s="38">
        <v>2.0955867302975916E-17</v>
      </c>
      <c r="DE32" s="37" t="s">
        <v>1662</v>
      </c>
      <c r="DF32" s="35" t="str">
        <f t="shared" si="16"/>
        <v>IOTOH</v>
      </c>
      <c r="DG32" s="26">
        <f t="shared" si="70"/>
        <v>1.1880488897872588</v>
      </c>
      <c r="DH32" s="25">
        <f t="shared" si="70"/>
        <v>3.2702988851037733</v>
      </c>
      <c r="DI32" s="24">
        <f t="shared" si="70"/>
        <v>7.8918312945284343</v>
      </c>
      <c r="DJ32" s="25">
        <f t="shared" si="70"/>
        <v>5.3453249855604046</v>
      </c>
      <c r="DK32" s="24">
        <f t="shared" si="70"/>
        <v>2.3545204915732247</v>
      </c>
      <c r="DL32" s="25">
        <f t="shared" si="70"/>
        <v>2.0523075686228172</v>
      </c>
      <c r="DM32" s="24">
        <f t="shared" si="70"/>
        <v>7.1297213366869396</v>
      </c>
      <c r="DN32" s="25">
        <f t="shared" si="70"/>
        <v>2.4011617889676962</v>
      </c>
      <c r="DO32" s="32">
        <f t="shared" si="70"/>
        <v>1.5056378075863017</v>
      </c>
      <c r="DP32" s="26">
        <f t="shared" si="18"/>
        <v>0.17526579201604914</v>
      </c>
      <c r="DQ32" s="25">
        <f t="shared" si="19"/>
        <v>0.12611025047114893</v>
      </c>
      <c r="DR32" s="24">
        <f t="shared" si="20"/>
        <v>0.37695872714949358</v>
      </c>
      <c r="DS32" s="25">
        <f t="shared" si="21"/>
        <v>0.3755664570378604</v>
      </c>
      <c r="DT32" s="24">
        <f t="shared" si="22"/>
        <v>0.1320168638255661</v>
      </c>
      <c r="DU32" s="25">
        <f t="shared" si="23"/>
        <v>0.13523177097175043</v>
      </c>
      <c r="DV32" s="24">
        <f t="shared" si="24"/>
        <v>0.12785088712339968</v>
      </c>
      <c r="DW32" s="25">
        <f t="shared" si="25"/>
        <v>0.16964123882875901</v>
      </c>
      <c r="DX32" s="32">
        <f t="shared" si="26"/>
        <v>0.16684815683177509</v>
      </c>
      <c r="DZ32" s="54" t="s">
        <v>1552</v>
      </c>
      <c r="EA32" s="39">
        <v>0.77914844967669084</v>
      </c>
      <c r="EB32" s="40">
        <v>0.77914844967669084</v>
      </c>
      <c r="EC32" s="39">
        <v>0</v>
      </c>
      <c r="ED32" s="40">
        <v>0</v>
      </c>
      <c r="EE32" s="39">
        <v>0</v>
      </c>
      <c r="EF32" s="40">
        <v>0</v>
      </c>
      <c r="EG32" s="39">
        <v>0</v>
      </c>
      <c r="EH32" s="40">
        <v>0</v>
      </c>
      <c r="EI32" s="66">
        <v>0</v>
      </c>
      <c r="EO32" s="83" t="s">
        <v>2075</v>
      </c>
      <c r="EP32" s="82" t="s">
        <v>520</v>
      </c>
      <c r="EQ32" s="81">
        <f t="shared" si="27"/>
        <v>115.92343106830126</v>
      </c>
      <c r="ER32" s="80">
        <f>EQ32/SUM(EQ26:EQ34)</f>
        <v>0.11354037481637705</v>
      </c>
      <c r="ET32" s="73" t="s">
        <v>518</v>
      </c>
      <c r="EU32" s="72">
        <v>0.24689378733760778</v>
      </c>
      <c r="EW32" s="22" t="s">
        <v>2075</v>
      </c>
      <c r="EX32" s="20" t="s">
        <v>2228</v>
      </c>
      <c r="EY32" s="20" t="s">
        <v>1150</v>
      </c>
      <c r="EZ32" s="21" t="s">
        <v>1902</v>
      </c>
      <c r="FA32" s="20" t="str">
        <f t="shared" si="28"/>
        <v>IFDETC</v>
      </c>
      <c r="FB32" s="78" t="s">
        <v>522</v>
      </c>
      <c r="FC32" s="11">
        <f t="shared" si="29"/>
        <v>97.770290420185418</v>
      </c>
      <c r="FD32" s="10">
        <f t="shared" si="30"/>
        <v>6.4761488730613354E-2</v>
      </c>
      <c r="FE32" s="9">
        <f t="shared" si="31"/>
        <v>6.6238412970125388E-4</v>
      </c>
      <c r="FF32" s="20">
        <v>0</v>
      </c>
      <c r="FG32" s="84">
        <f t="shared" si="32"/>
        <v>0</v>
      </c>
    </row>
    <row r="33" spans="1:163">
      <c r="A33" s="37" t="s">
        <v>2222</v>
      </c>
      <c r="B33" s="36" t="s">
        <v>1123</v>
      </c>
      <c r="C33" s="1" t="s">
        <v>1106</v>
      </c>
      <c r="D33" s="36" t="s">
        <v>1106</v>
      </c>
      <c r="E33" s="36" t="s">
        <v>2227</v>
      </c>
      <c r="F33" s="1" t="e">
        <f t="shared" ca="1" si="2"/>
        <v>#NAME?</v>
      </c>
      <c r="G33" s="35" t="s">
        <v>1121</v>
      </c>
      <c r="H33" s="43">
        <v>1</v>
      </c>
      <c r="I33" s="42">
        <v>0</v>
      </c>
      <c r="J33" s="26">
        <v>10.928142925008208</v>
      </c>
      <c r="K33" s="25">
        <v>9.799287242580748</v>
      </c>
      <c r="L33" s="24"/>
      <c r="M33" s="25"/>
      <c r="N33" s="24"/>
      <c r="O33" s="25"/>
      <c r="P33" s="24"/>
      <c r="Q33" s="25"/>
      <c r="R33" s="32"/>
      <c r="S33" s="47">
        <v>1</v>
      </c>
      <c r="T33" s="45">
        <v>1</v>
      </c>
      <c r="U33" s="46">
        <v>1</v>
      </c>
      <c r="V33" s="45">
        <v>1</v>
      </c>
      <c r="W33" s="46">
        <v>1</v>
      </c>
      <c r="X33" s="45">
        <v>1</v>
      </c>
      <c r="Y33" s="46">
        <v>1</v>
      </c>
      <c r="Z33" s="45">
        <v>1</v>
      </c>
      <c r="AA33" s="44">
        <v>1</v>
      </c>
      <c r="AB33" s="26">
        <f t="shared" si="54"/>
        <v>10.928142925008208</v>
      </c>
      <c r="AC33" s="25">
        <f t="shared" si="55"/>
        <v>9.799287242580748</v>
      </c>
      <c r="AD33" s="24">
        <f t="shared" si="56"/>
        <v>0</v>
      </c>
      <c r="AE33" s="25">
        <f t="shared" si="57"/>
        <v>0</v>
      </c>
      <c r="AF33" s="24">
        <f t="shared" si="58"/>
        <v>0</v>
      </c>
      <c r="AG33" s="25">
        <f t="shared" si="59"/>
        <v>0</v>
      </c>
      <c r="AH33" s="24">
        <f t="shared" si="60"/>
        <v>0</v>
      </c>
      <c r="AI33" s="25">
        <f t="shared" si="61"/>
        <v>0</v>
      </c>
      <c r="AJ33" s="24">
        <f t="shared" si="62"/>
        <v>0</v>
      </c>
      <c r="AK33" s="27">
        <f t="shared" si="12"/>
        <v>20.727430167588956</v>
      </c>
      <c r="AL33" s="41">
        <v>0</v>
      </c>
      <c r="AM33" s="40">
        <v>0</v>
      </c>
      <c r="AN33" s="39">
        <v>0</v>
      </c>
      <c r="AO33" s="40">
        <v>0</v>
      </c>
      <c r="AP33" s="39">
        <v>0</v>
      </c>
      <c r="AQ33" s="40">
        <v>0</v>
      </c>
      <c r="AR33" s="39">
        <v>0</v>
      </c>
      <c r="AS33" s="40">
        <v>0</v>
      </c>
      <c r="AT33" s="39">
        <v>0</v>
      </c>
      <c r="AU33" s="38">
        <v>0</v>
      </c>
      <c r="AW33" s="100" t="s">
        <v>1129</v>
      </c>
      <c r="AX33" s="41">
        <v>3.1642393776703202</v>
      </c>
      <c r="AY33" s="40">
        <v>8.7100864265356126</v>
      </c>
      <c r="AZ33" s="39">
        <v>12.641770659670913</v>
      </c>
      <c r="BA33" s="40">
        <v>8.5625718603125751</v>
      </c>
      <c r="BB33" s="39">
        <v>5.3557124993928591</v>
      </c>
      <c r="BC33" s="40">
        <v>4.6682835580367072</v>
      </c>
      <c r="BD33" s="39">
        <v>16.217628097417084</v>
      </c>
      <c r="BE33" s="40">
        <v>5.9631336136689965</v>
      </c>
      <c r="BF33" s="39">
        <v>3.7391563790829414</v>
      </c>
      <c r="BG33" s="81">
        <v>69.022582471787999</v>
      </c>
      <c r="BH33" s="66">
        <v>0</v>
      </c>
      <c r="BJ33" s="37" t="s">
        <v>2032</v>
      </c>
      <c r="BK33" s="36" t="s">
        <v>2207</v>
      </c>
      <c r="BL33" s="1" t="s">
        <v>1145</v>
      </c>
      <c r="BM33" s="36" t="s">
        <v>1945</v>
      </c>
      <c r="BN33" s="82" t="str">
        <f t="shared" si="74"/>
        <v>INGFAC</v>
      </c>
      <c r="BO33" s="26">
        <f t="shared" si="75"/>
        <v>0.87089560569592572</v>
      </c>
      <c r="BP33" s="25">
        <f t="shared" si="75"/>
        <v>2.3972825974014942</v>
      </c>
      <c r="BQ33" s="24">
        <f t="shared" si="75"/>
        <v>3.6733037471795655</v>
      </c>
      <c r="BR33" s="25">
        <f t="shared" si="75"/>
        <v>2.4880159707626959</v>
      </c>
      <c r="BS33" s="24">
        <f t="shared" si="75"/>
        <v>1.5412435972854857</v>
      </c>
      <c r="BT33" s="25">
        <f t="shared" si="75"/>
        <v>1.343418293075445</v>
      </c>
      <c r="BU33" s="24">
        <f t="shared" si="75"/>
        <v>4.6670383205100769</v>
      </c>
      <c r="BV33" s="25">
        <f t="shared" si="75"/>
        <v>1.743621286721712</v>
      </c>
      <c r="BW33" s="32">
        <f t="shared" si="75"/>
        <v>1.0933299636294536</v>
      </c>
      <c r="BX33" s="26">
        <f t="shared" ref="BX33:CF33" si="77">BO33/BO39</f>
        <v>5.6304834633828169E-2</v>
      </c>
      <c r="BY33" s="25">
        <f t="shared" si="77"/>
        <v>5.6304834633828162E-2</v>
      </c>
      <c r="BZ33" s="24">
        <f t="shared" si="77"/>
        <v>5.9643905388491451E-2</v>
      </c>
      <c r="CA33" s="25">
        <f t="shared" si="77"/>
        <v>5.9643905388491451E-2</v>
      </c>
      <c r="CB33" s="24">
        <f t="shared" si="77"/>
        <v>5.903416573379671E-2</v>
      </c>
      <c r="CC33" s="25">
        <f t="shared" si="77"/>
        <v>5.9034165733796717E-2</v>
      </c>
      <c r="CD33" s="24">
        <f t="shared" si="77"/>
        <v>5.8255532297394025E-2</v>
      </c>
      <c r="CE33" s="25">
        <f t="shared" si="77"/>
        <v>6.0044108375186131E-2</v>
      </c>
      <c r="CF33" s="32">
        <f t="shared" si="77"/>
        <v>6.0044108375186124E-2</v>
      </c>
      <c r="CH33" s="54" t="s">
        <v>2226</v>
      </c>
      <c r="CI33" s="41">
        <v>4.2102234927001519E-2</v>
      </c>
      <c r="CJ33" s="40">
        <v>4.9598657795559643E-2</v>
      </c>
      <c r="CK33" s="39">
        <v>1.8270183614047076E-2</v>
      </c>
      <c r="CL33" s="40">
        <v>2.0700501210406293E-2</v>
      </c>
      <c r="CM33" s="39">
        <v>3.6403464940156366E-2</v>
      </c>
      <c r="CN33" s="40">
        <v>3.5264428275682443E-2</v>
      </c>
      <c r="CO33" s="39">
        <v>3.6505911023766477E-2</v>
      </c>
      <c r="CP33" s="40">
        <v>1.0513158087926746E-2</v>
      </c>
      <c r="CQ33" s="66">
        <v>6.7795483665221302E-3</v>
      </c>
      <c r="CS33" s="54" t="s">
        <v>2225</v>
      </c>
      <c r="CT33" s="39">
        <v>2.6212304315162603E-2</v>
      </c>
      <c r="CU33" s="40">
        <v>7.215365488303023E-2</v>
      </c>
      <c r="CV33" s="39">
        <v>0.27611826095195274</v>
      </c>
      <c r="CW33" s="40">
        <v>0.18702146360620517</v>
      </c>
      <c r="CX33" s="39">
        <v>6.6082615752975929E-2</v>
      </c>
      <c r="CY33" s="40">
        <v>5.7600625243914176E-2</v>
      </c>
      <c r="CZ33" s="39">
        <v>0.20010470803049471</v>
      </c>
      <c r="DA33" s="40">
        <v>0.10328035823296604</v>
      </c>
      <c r="DB33" s="39">
        <v>6.4761488730613354E-2</v>
      </c>
      <c r="DC33" s="38">
        <v>1.0533354797473149</v>
      </c>
      <c r="DE33" s="37" t="s">
        <v>1658</v>
      </c>
      <c r="DF33" s="35" t="str">
        <f t="shared" si="16"/>
        <v>IOTOH</v>
      </c>
      <c r="DG33" s="26">
        <f t="shared" si="70"/>
        <v>0</v>
      </c>
      <c r="DH33" s="25">
        <f t="shared" si="70"/>
        <v>0</v>
      </c>
      <c r="DI33" s="24">
        <f t="shared" si="70"/>
        <v>4.01940044733536E-3</v>
      </c>
      <c r="DJ33" s="25">
        <f t="shared" si="70"/>
        <v>2.7224354951695868E-3</v>
      </c>
      <c r="DK33" s="24">
        <f t="shared" si="70"/>
        <v>0</v>
      </c>
      <c r="DL33" s="25">
        <f t="shared" si="70"/>
        <v>0</v>
      </c>
      <c r="DM33" s="24">
        <f t="shared" si="70"/>
        <v>0</v>
      </c>
      <c r="DN33" s="25">
        <f t="shared" si="70"/>
        <v>0</v>
      </c>
      <c r="DO33" s="32">
        <f t="shared" si="70"/>
        <v>0</v>
      </c>
      <c r="DP33" s="26">
        <f t="shared" si="18"/>
        <v>0</v>
      </c>
      <c r="DQ33" s="25">
        <f t="shared" si="19"/>
        <v>0</v>
      </c>
      <c r="DR33" s="24">
        <f t="shared" si="20"/>
        <v>1.9198941538222251E-4</v>
      </c>
      <c r="DS33" s="25">
        <f t="shared" si="21"/>
        <v>1.9128031620097287E-4</v>
      </c>
      <c r="DT33" s="24">
        <f t="shared" si="22"/>
        <v>0</v>
      </c>
      <c r="DU33" s="25">
        <f t="shared" si="23"/>
        <v>0</v>
      </c>
      <c r="DV33" s="24">
        <f t="shared" si="24"/>
        <v>0</v>
      </c>
      <c r="DW33" s="25">
        <f t="shared" si="25"/>
        <v>0</v>
      </c>
      <c r="DX33" s="32">
        <f t="shared" si="26"/>
        <v>0</v>
      </c>
      <c r="DZ33" s="54" t="s">
        <v>2056</v>
      </c>
      <c r="EA33" s="39">
        <v>1</v>
      </c>
      <c r="EB33" s="40">
        <v>0.91551646677395815</v>
      </c>
      <c r="EC33" s="39">
        <v>0.1616284750939064</v>
      </c>
      <c r="ED33" s="40">
        <v>8.4723596110303639E-2</v>
      </c>
      <c r="EE33" s="39">
        <v>0.92272058025186532</v>
      </c>
      <c r="EF33" s="40">
        <v>0.30886746454136194</v>
      </c>
      <c r="EG33" s="39">
        <v>0.87190635227627811</v>
      </c>
      <c r="EH33" s="40">
        <v>1</v>
      </c>
      <c r="EI33" s="66">
        <v>0.63041030432837497</v>
      </c>
      <c r="EO33" s="83" t="s">
        <v>2075</v>
      </c>
      <c r="EP33" s="82" t="s">
        <v>521</v>
      </c>
      <c r="EQ33" s="81">
        <f t="shared" si="27"/>
        <v>87.170969595435835</v>
      </c>
      <c r="ER33" s="80">
        <f>EQ33/SUM(EQ26:EQ34)</f>
        <v>8.5378982227857808E-2</v>
      </c>
      <c r="ET33" s="73" t="s">
        <v>517</v>
      </c>
      <c r="EU33" s="72">
        <v>8.8104002158254244E-2</v>
      </c>
      <c r="EW33" s="37" t="s">
        <v>2032</v>
      </c>
      <c r="EX33" s="36" t="s">
        <v>2207</v>
      </c>
      <c r="EY33" s="36" t="s">
        <v>1145</v>
      </c>
      <c r="EZ33" s="1" t="s">
        <v>1945</v>
      </c>
      <c r="FA33" s="36" t="str">
        <f t="shared" si="28"/>
        <v>INGFAC</v>
      </c>
      <c r="FB33" s="35" t="s">
        <v>438</v>
      </c>
      <c r="FC33" s="26">
        <f t="shared" si="29"/>
        <v>15.467510229977448</v>
      </c>
      <c r="FD33" s="25">
        <f t="shared" si="30"/>
        <v>0.87089560569592572</v>
      </c>
      <c r="FE33" s="24">
        <f t="shared" si="31"/>
        <v>5.6304834633828169E-2</v>
      </c>
      <c r="FF33" s="36">
        <v>0</v>
      </c>
      <c r="FG33" s="86">
        <f t="shared" si="32"/>
        <v>0</v>
      </c>
    </row>
    <row r="34" spans="1:163">
      <c r="A34" s="37" t="s">
        <v>2222</v>
      </c>
      <c r="B34" s="36" t="s">
        <v>1107</v>
      </c>
      <c r="C34" s="1" t="s">
        <v>1120</v>
      </c>
      <c r="D34" s="36" t="s">
        <v>1120</v>
      </c>
      <c r="E34" s="36" t="s">
        <v>2224</v>
      </c>
      <c r="F34" s="1" t="e">
        <f t="shared" ca="1" si="2"/>
        <v>#NAME?</v>
      </c>
      <c r="G34" s="35" t="s">
        <v>1104</v>
      </c>
      <c r="H34" s="43">
        <v>1</v>
      </c>
      <c r="I34" s="42">
        <v>0</v>
      </c>
      <c r="J34" s="26">
        <v>0</v>
      </c>
      <c r="K34" s="25">
        <v>0</v>
      </c>
      <c r="L34" s="24"/>
      <c r="M34" s="25"/>
      <c r="N34" s="24"/>
      <c r="O34" s="25"/>
      <c r="P34" s="24"/>
      <c r="Q34" s="25"/>
      <c r="R34" s="32"/>
      <c r="S34" s="31" t="e">
        <v>#REF!</v>
      </c>
      <c r="T34" s="29" t="e">
        <f t="shared" ref="T34:AA35" si="78">S34</f>
        <v>#REF!</v>
      </c>
      <c r="U34" s="30" t="e">
        <f t="shared" si="78"/>
        <v>#REF!</v>
      </c>
      <c r="V34" s="29" t="e">
        <f t="shared" si="78"/>
        <v>#REF!</v>
      </c>
      <c r="W34" s="30" t="e">
        <f t="shared" si="78"/>
        <v>#REF!</v>
      </c>
      <c r="X34" s="29" t="e">
        <f t="shared" si="78"/>
        <v>#REF!</v>
      </c>
      <c r="Y34" s="30" t="e">
        <f t="shared" si="78"/>
        <v>#REF!</v>
      </c>
      <c r="Z34" s="29" t="e">
        <f t="shared" si="78"/>
        <v>#REF!</v>
      </c>
      <c r="AA34" s="28" t="e">
        <f t="shared" si="78"/>
        <v>#REF!</v>
      </c>
      <c r="AB34" s="26" t="e">
        <f t="shared" si="54"/>
        <v>#REF!</v>
      </c>
      <c r="AC34" s="25" t="e">
        <f t="shared" si="55"/>
        <v>#REF!</v>
      </c>
      <c r="AD34" s="24" t="e">
        <f t="shared" si="56"/>
        <v>#REF!</v>
      </c>
      <c r="AE34" s="25" t="e">
        <f t="shared" si="57"/>
        <v>#REF!</v>
      </c>
      <c r="AF34" s="24" t="e">
        <f t="shared" si="58"/>
        <v>#REF!</v>
      </c>
      <c r="AG34" s="25" t="e">
        <f t="shared" si="59"/>
        <v>#REF!</v>
      </c>
      <c r="AH34" s="24" t="e">
        <f t="shared" si="60"/>
        <v>#REF!</v>
      </c>
      <c r="AI34" s="25" t="e">
        <f t="shared" si="61"/>
        <v>#REF!</v>
      </c>
      <c r="AJ34" s="24" t="e">
        <f t="shared" si="62"/>
        <v>#REF!</v>
      </c>
      <c r="AK34" s="27" t="e">
        <f t="shared" si="12"/>
        <v>#REF!</v>
      </c>
      <c r="AL34" s="41">
        <v>0</v>
      </c>
      <c r="AM34" s="40">
        <v>0</v>
      </c>
      <c r="AN34" s="39">
        <v>0</v>
      </c>
      <c r="AO34" s="40">
        <v>0</v>
      </c>
      <c r="AP34" s="39">
        <v>0</v>
      </c>
      <c r="AQ34" s="40">
        <v>0</v>
      </c>
      <c r="AR34" s="39">
        <v>0</v>
      </c>
      <c r="AS34" s="40">
        <v>0</v>
      </c>
      <c r="AT34" s="39">
        <v>0</v>
      </c>
      <c r="AU34" s="38">
        <v>0</v>
      </c>
      <c r="AW34" s="100" t="s">
        <v>1123</v>
      </c>
      <c r="AX34" s="41">
        <v>10.473380010059067</v>
      </c>
      <c r="AY34" s="40">
        <v>28.829691492155327</v>
      </c>
      <c r="AZ34" s="39">
        <v>40.674556651290118</v>
      </c>
      <c r="BA34" s="40">
        <v>27.549844368248714</v>
      </c>
      <c r="BB34" s="39">
        <v>17.32202393022839</v>
      </c>
      <c r="BC34" s="40">
        <v>15.098666986805316</v>
      </c>
      <c r="BD34" s="39">
        <v>52.452804743878467</v>
      </c>
      <c r="BE34" s="40">
        <v>19.1203985997216</v>
      </c>
      <c r="BF34" s="39">
        <v>11.989360800313957</v>
      </c>
      <c r="BG34" s="81">
        <v>223.51072758270095</v>
      </c>
      <c r="BH34" s="66">
        <v>0</v>
      </c>
      <c r="BJ34" s="37" t="s">
        <v>2032</v>
      </c>
      <c r="BK34" s="36" t="s">
        <v>2207</v>
      </c>
      <c r="BL34" s="1" t="s">
        <v>1139</v>
      </c>
      <c r="BM34" s="36" t="s">
        <v>1943</v>
      </c>
      <c r="BN34" s="82" t="str">
        <f t="shared" si="74"/>
        <v>INGFEED</v>
      </c>
      <c r="BO34" s="26">
        <f t="shared" si="75"/>
        <v>0</v>
      </c>
      <c r="BP34" s="25">
        <f t="shared" si="75"/>
        <v>0</v>
      </c>
      <c r="BQ34" s="24">
        <f t="shared" si="75"/>
        <v>0</v>
      </c>
      <c r="BR34" s="25">
        <f t="shared" si="75"/>
        <v>0</v>
      </c>
      <c r="BS34" s="24">
        <f t="shared" si="75"/>
        <v>0</v>
      </c>
      <c r="BT34" s="25">
        <f t="shared" si="75"/>
        <v>0</v>
      </c>
      <c r="BU34" s="24">
        <f t="shared" si="75"/>
        <v>0</v>
      </c>
      <c r="BV34" s="25">
        <f t="shared" si="75"/>
        <v>0</v>
      </c>
      <c r="BW34" s="32">
        <f t="shared" si="75"/>
        <v>0</v>
      </c>
      <c r="BX34" s="26">
        <f t="shared" ref="BX34:CF34" si="79">BO34/BO39</f>
        <v>0</v>
      </c>
      <c r="BY34" s="25">
        <f t="shared" si="79"/>
        <v>0</v>
      </c>
      <c r="BZ34" s="24">
        <f t="shared" si="79"/>
        <v>0</v>
      </c>
      <c r="CA34" s="25">
        <f t="shared" si="79"/>
        <v>0</v>
      </c>
      <c r="CB34" s="24">
        <f t="shared" si="79"/>
        <v>0</v>
      </c>
      <c r="CC34" s="25">
        <f t="shared" si="79"/>
        <v>0</v>
      </c>
      <c r="CD34" s="24">
        <f t="shared" si="79"/>
        <v>0</v>
      </c>
      <c r="CE34" s="25">
        <f t="shared" si="79"/>
        <v>0</v>
      </c>
      <c r="CF34" s="32">
        <f t="shared" si="79"/>
        <v>0</v>
      </c>
      <c r="CH34" s="54" t="s">
        <v>2223</v>
      </c>
      <c r="CI34" s="41">
        <v>4.1383541903587361E-2</v>
      </c>
      <c r="CJ34" s="40">
        <v>4.8751999431931689E-2</v>
      </c>
      <c r="CK34" s="39">
        <v>2.2917830522343325E-2</v>
      </c>
      <c r="CL34" s="40">
        <v>2.5966382631365702E-2</v>
      </c>
      <c r="CM34" s="39">
        <v>5.238190183019422E-2</v>
      </c>
      <c r="CN34" s="40">
        <v>5.0742912057172664E-2</v>
      </c>
      <c r="CO34" s="39">
        <v>5.252931419062129E-2</v>
      </c>
      <c r="CP34" s="40">
        <v>0.20049813945737816</v>
      </c>
      <c r="CQ34" s="66">
        <v>0.12929386417293506</v>
      </c>
      <c r="CS34" s="54" t="s">
        <v>1895</v>
      </c>
      <c r="CT34" s="39">
        <v>0.34728213132666452</v>
      </c>
      <c r="CU34" s="40">
        <v>0.95595086755850878</v>
      </c>
      <c r="CV34" s="39">
        <v>0.77697163552677562</v>
      </c>
      <c r="CW34" s="40">
        <v>0.5262613633583979</v>
      </c>
      <c r="CX34" s="39">
        <v>0.53195954797344003</v>
      </c>
      <c r="CY34" s="40">
        <v>0.46368023145875886</v>
      </c>
      <c r="CZ34" s="39">
        <v>1.6108262183381481</v>
      </c>
      <c r="DA34" s="40">
        <v>2.9369313013355374</v>
      </c>
      <c r="DB34" s="39">
        <v>1.8415896945767669</v>
      </c>
      <c r="DC34" s="38">
        <v>9.9914529914529968</v>
      </c>
      <c r="DE34" s="37" t="s">
        <v>1677</v>
      </c>
      <c r="DF34" s="35" t="str">
        <f t="shared" si="16"/>
        <v>IOTOH</v>
      </c>
      <c r="DG34" s="26">
        <f t="shared" si="70"/>
        <v>4.1955878506586473</v>
      </c>
      <c r="DH34" s="25">
        <f t="shared" si="70"/>
        <v>4.390912781645592</v>
      </c>
      <c r="DI34" s="24">
        <f t="shared" si="70"/>
        <v>4.4236881180214533</v>
      </c>
      <c r="DJ34" s="25">
        <f t="shared" si="70"/>
        <v>1.3623332812683804</v>
      </c>
      <c r="DK34" s="24">
        <f t="shared" si="70"/>
        <v>1.8323299349143622</v>
      </c>
      <c r="DL34" s="25">
        <f t="shared" si="70"/>
        <v>2.0150254310653484</v>
      </c>
      <c r="DM34" s="24">
        <f t="shared" si="70"/>
        <v>8.4324641952465527</v>
      </c>
      <c r="DN34" s="25">
        <f t="shared" si="70"/>
        <v>4.7903108777335994</v>
      </c>
      <c r="DO34" s="32">
        <f t="shared" si="70"/>
        <v>3.8369529383850143</v>
      </c>
      <c r="DP34" s="26">
        <f t="shared" si="18"/>
        <v>0.6189501408063075</v>
      </c>
      <c r="DQ34" s="25">
        <f t="shared" si="19"/>
        <v>0.16932370102701597</v>
      </c>
      <c r="DR34" s="24">
        <f t="shared" si="20"/>
        <v>0.21130049288203237</v>
      </c>
      <c r="DS34" s="25">
        <f t="shared" si="21"/>
        <v>9.5718536315914468E-2</v>
      </c>
      <c r="DT34" s="24">
        <f t="shared" si="22"/>
        <v>0.10273788330441243</v>
      </c>
      <c r="DU34" s="25">
        <f t="shared" si="23"/>
        <v>0.13277515600594775</v>
      </c>
      <c r="DV34" s="24">
        <f t="shared" si="24"/>
        <v>0.15121180437320572</v>
      </c>
      <c r="DW34" s="25">
        <f t="shared" si="25"/>
        <v>0.33843378459848561</v>
      </c>
      <c r="DX34" s="32">
        <f t="shared" si="26"/>
        <v>0.42519424153282503</v>
      </c>
      <c r="DZ34" s="54" t="s">
        <v>2053</v>
      </c>
      <c r="EA34" s="39">
        <v>0</v>
      </c>
      <c r="EB34" s="40">
        <v>0</v>
      </c>
      <c r="EC34" s="39">
        <v>4.8571268321017443E-2</v>
      </c>
      <c r="ED34" s="40">
        <v>0</v>
      </c>
      <c r="EE34" s="39">
        <v>3.5238685055030118E-2</v>
      </c>
      <c r="EF34" s="40">
        <v>4.4189449432968125E-2</v>
      </c>
      <c r="EG34" s="39">
        <v>0</v>
      </c>
      <c r="EH34" s="40">
        <v>0</v>
      </c>
      <c r="EI34" s="66">
        <v>0</v>
      </c>
      <c r="EO34" s="79" t="s">
        <v>2075</v>
      </c>
      <c r="EP34" s="78" t="s">
        <v>522</v>
      </c>
      <c r="EQ34" s="77">
        <f t="shared" si="27"/>
        <v>97.770290420185418</v>
      </c>
      <c r="ER34" s="76">
        <f>EQ34/SUM(EQ26:EQ34)</f>
        <v>9.576041114305299E-2</v>
      </c>
      <c r="ET34" s="73" t="s">
        <v>519</v>
      </c>
      <c r="EU34" s="72">
        <v>4.7295037017658664E-2</v>
      </c>
      <c r="EW34" s="37" t="s">
        <v>2032</v>
      </c>
      <c r="EX34" s="36" t="s">
        <v>2207</v>
      </c>
      <c r="EY34" s="36" t="s">
        <v>1145</v>
      </c>
      <c r="EZ34" s="1" t="s">
        <v>1945</v>
      </c>
      <c r="FA34" s="36" t="str">
        <f t="shared" si="28"/>
        <v>INGFAC</v>
      </c>
      <c r="FB34" s="1" t="s">
        <v>440</v>
      </c>
      <c r="FC34" s="26">
        <f t="shared" si="29"/>
        <v>42.57685175690397</v>
      </c>
      <c r="FD34" s="25">
        <f t="shared" si="30"/>
        <v>2.3972825974014942</v>
      </c>
      <c r="FE34" s="24">
        <f t="shared" si="31"/>
        <v>5.6304834633828162E-2</v>
      </c>
      <c r="FF34" s="36">
        <v>0</v>
      </c>
      <c r="FG34" s="86">
        <f t="shared" si="32"/>
        <v>0</v>
      </c>
    </row>
    <row r="35" spans="1:163" ht="15.75" thickBot="1">
      <c r="A35" s="22" t="s">
        <v>2222</v>
      </c>
      <c r="B35" s="20" t="s">
        <v>1107</v>
      </c>
      <c r="C35" s="21" t="s">
        <v>665</v>
      </c>
      <c r="D35" s="20" t="s">
        <v>665</v>
      </c>
      <c r="E35" s="20" t="s">
        <v>2221</v>
      </c>
      <c r="F35" s="21" t="e">
        <f t="shared" ca="1" si="2"/>
        <v>#NAME?</v>
      </c>
      <c r="G35" s="19" t="s">
        <v>1109</v>
      </c>
      <c r="H35" s="50">
        <f>1-I35</f>
        <v>0.47746597824073655</v>
      </c>
      <c r="I35" s="49">
        <v>0.52253402175926345</v>
      </c>
      <c r="J35" s="11">
        <v>0</v>
      </c>
      <c r="K35" s="10">
        <v>0</v>
      </c>
      <c r="L35" s="9"/>
      <c r="M35" s="10"/>
      <c r="N35" s="9"/>
      <c r="O35" s="10"/>
      <c r="P35" s="9"/>
      <c r="Q35" s="10"/>
      <c r="R35" s="16"/>
      <c r="S35" s="15" t="e">
        <v>#REF!</v>
      </c>
      <c r="T35" s="13" t="e">
        <f t="shared" si="78"/>
        <v>#REF!</v>
      </c>
      <c r="U35" s="14" t="e">
        <f t="shared" si="78"/>
        <v>#REF!</v>
      </c>
      <c r="V35" s="13" t="e">
        <f t="shared" si="78"/>
        <v>#REF!</v>
      </c>
      <c r="W35" s="14" t="e">
        <f t="shared" si="78"/>
        <v>#REF!</v>
      </c>
      <c r="X35" s="13" t="e">
        <f t="shared" si="78"/>
        <v>#REF!</v>
      </c>
      <c r="Y35" s="14" t="e">
        <f t="shared" si="78"/>
        <v>#REF!</v>
      </c>
      <c r="Z35" s="13" t="e">
        <f t="shared" si="78"/>
        <v>#REF!</v>
      </c>
      <c r="AA35" s="12" t="e">
        <f t="shared" si="78"/>
        <v>#REF!</v>
      </c>
      <c r="AB35" s="11" t="e">
        <f t="shared" ref="AB35:AJ35" si="80">J35*31.536*$H35*S35</f>
        <v>#REF!</v>
      </c>
      <c r="AC35" s="10" t="e">
        <f t="shared" si="80"/>
        <v>#REF!</v>
      </c>
      <c r="AD35" s="9" t="e">
        <f t="shared" si="80"/>
        <v>#REF!</v>
      </c>
      <c r="AE35" s="10" t="e">
        <f t="shared" si="80"/>
        <v>#REF!</v>
      </c>
      <c r="AF35" s="9" t="e">
        <f t="shared" si="80"/>
        <v>#REF!</v>
      </c>
      <c r="AG35" s="10" t="e">
        <f t="shared" si="80"/>
        <v>#REF!</v>
      </c>
      <c r="AH35" s="9" t="e">
        <f t="shared" si="80"/>
        <v>#REF!</v>
      </c>
      <c r="AI35" s="10" t="e">
        <f t="shared" si="80"/>
        <v>#REF!</v>
      </c>
      <c r="AJ35" s="9" t="e">
        <f t="shared" si="80"/>
        <v>#REF!</v>
      </c>
      <c r="AK35" s="8" t="e">
        <f t="shared" si="12"/>
        <v>#REF!</v>
      </c>
      <c r="AL35" s="11" t="e">
        <f t="shared" ref="AL35:AT35" si="81">J35*31.536*$I35*S35</f>
        <v>#REF!</v>
      </c>
      <c r="AM35" s="10" t="e">
        <f t="shared" si="81"/>
        <v>#REF!</v>
      </c>
      <c r="AN35" s="9" t="e">
        <f t="shared" si="81"/>
        <v>#REF!</v>
      </c>
      <c r="AO35" s="10" t="e">
        <f t="shared" si="81"/>
        <v>#REF!</v>
      </c>
      <c r="AP35" s="9" t="e">
        <f t="shared" si="81"/>
        <v>#REF!</v>
      </c>
      <c r="AQ35" s="10" t="e">
        <f t="shared" si="81"/>
        <v>#REF!</v>
      </c>
      <c r="AR35" s="9" t="e">
        <f t="shared" si="81"/>
        <v>#REF!</v>
      </c>
      <c r="AS35" s="10" t="e">
        <f t="shared" si="81"/>
        <v>#REF!</v>
      </c>
      <c r="AT35" s="9" t="e">
        <f t="shared" si="81"/>
        <v>#REF!</v>
      </c>
      <c r="AU35" s="48" t="e">
        <f>SUM(AL35:AT35)</f>
        <v>#REF!</v>
      </c>
      <c r="AW35" s="100" t="s">
        <v>1107</v>
      </c>
      <c r="AX35" s="41">
        <v>0</v>
      </c>
      <c r="AY35" s="40">
        <v>0</v>
      </c>
      <c r="AZ35" s="39">
        <v>0</v>
      </c>
      <c r="BA35" s="40">
        <v>0</v>
      </c>
      <c r="BB35" s="39">
        <v>0</v>
      </c>
      <c r="BC35" s="40">
        <v>0</v>
      </c>
      <c r="BD35" s="39">
        <v>1.0566564568276462</v>
      </c>
      <c r="BE35" s="40">
        <v>0</v>
      </c>
      <c r="BF35" s="39">
        <v>0</v>
      </c>
      <c r="BG35" s="81">
        <v>1.0566564568276462</v>
      </c>
      <c r="BH35" s="66">
        <v>1.0912917196627903</v>
      </c>
      <c r="BJ35" s="37" t="s">
        <v>2032</v>
      </c>
      <c r="BK35" s="36" t="s">
        <v>2207</v>
      </c>
      <c r="BL35" s="1" t="s">
        <v>1136</v>
      </c>
      <c r="BM35" s="36" t="s">
        <v>1941</v>
      </c>
      <c r="BN35" s="82" t="str">
        <f t="shared" si="74"/>
        <v>INGMDR</v>
      </c>
      <c r="BO35" s="26">
        <f t="shared" si="75"/>
        <v>0.95899523655213514</v>
      </c>
      <c r="BP35" s="25">
        <f t="shared" si="75"/>
        <v>2.6397912408115372</v>
      </c>
      <c r="BQ35" s="24">
        <f t="shared" si="75"/>
        <v>4.5976128229139412</v>
      </c>
      <c r="BR35" s="25">
        <f t="shared" si="75"/>
        <v>3.1140724857225015</v>
      </c>
      <c r="BS35" s="24">
        <f t="shared" si="75"/>
        <v>1.8886743818203962</v>
      </c>
      <c r="BT35" s="25">
        <f t="shared" si="75"/>
        <v>1.6462548286781273</v>
      </c>
      <c r="BU35" s="24">
        <f t="shared" si="75"/>
        <v>5.7190931598652073</v>
      </c>
      <c r="BV35" s="25">
        <f t="shared" si="75"/>
        <v>2.2118535549459364</v>
      </c>
      <c r="BW35" s="32">
        <f t="shared" si="75"/>
        <v>1.3869329224177365</v>
      </c>
      <c r="BX35" s="26">
        <f t="shared" ref="BX35:CF35" si="82">BO35/BO39</f>
        <v>6.2000620804084861E-2</v>
      </c>
      <c r="BY35" s="25">
        <f t="shared" si="82"/>
        <v>6.2000620804084854E-2</v>
      </c>
      <c r="BZ35" s="24">
        <f t="shared" si="82"/>
        <v>7.4652030732101957E-2</v>
      </c>
      <c r="CA35" s="25">
        <f t="shared" si="82"/>
        <v>7.4652030732101957E-2</v>
      </c>
      <c r="CB35" s="24">
        <f t="shared" si="82"/>
        <v>7.2341787287833109E-2</v>
      </c>
      <c r="CC35" s="25">
        <f t="shared" si="82"/>
        <v>7.2341787287833109E-2</v>
      </c>
      <c r="CD35" s="24">
        <f t="shared" si="82"/>
        <v>7.138763245679107E-2</v>
      </c>
      <c r="CE35" s="25">
        <f t="shared" si="82"/>
        <v>7.6168360397180251E-2</v>
      </c>
      <c r="CF35" s="32">
        <f t="shared" si="82"/>
        <v>7.6168360397180238E-2</v>
      </c>
      <c r="CH35" s="54" t="s">
        <v>2220</v>
      </c>
      <c r="CI35" s="41">
        <v>0.41202139708267554</v>
      </c>
      <c r="CJ35" s="40">
        <v>0.30733013181434471</v>
      </c>
      <c r="CK35" s="39">
        <v>0.11836301134174149</v>
      </c>
      <c r="CL35" s="40">
        <v>1.0868015126331049E-3</v>
      </c>
      <c r="CM35" s="39">
        <v>7.1504952459875343E-2</v>
      </c>
      <c r="CN35" s="40">
        <v>0.1005568546254858</v>
      </c>
      <c r="CO35" s="39">
        <v>6.8891995659519908E-2</v>
      </c>
      <c r="CP35" s="40">
        <v>1.0513158087926746E-2</v>
      </c>
      <c r="CQ35" s="66">
        <v>0.36191638642969864</v>
      </c>
      <c r="CS35" s="54" t="s">
        <v>1892</v>
      </c>
      <c r="CT35" s="39">
        <v>1.2581906071278048</v>
      </c>
      <c r="CU35" s="40">
        <v>3.4633754343854508</v>
      </c>
      <c r="CV35" s="39">
        <v>13.253676525693733</v>
      </c>
      <c r="CW35" s="40">
        <v>8.9770302530978476</v>
      </c>
      <c r="CX35" s="39">
        <v>3.1719655561428444</v>
      </c>
      <c r="CY35" s="40">
        <v>2.7648300117078803</v>
      </c>
      <c r="CZ35" s="39">
        <v>9.6050259854637456</v>
      </c>
      <c r="DA35" s="40">
        <v>4.9574571951823696</v>
      </c>
      <c r="DB35" s="39">
        <v>3.108551459069441</v>
      </c>
      <c r="DC35" s="38">
        <v>50.560103027871122</v>
      </c>
      <c r="DE35" s="37" t="s">
        <v>1654</v>
      </c>
      <c r="DF35" s="35" t="str">
        <f t="shared" si="16"/>
        <v>IOTOH</v>
      </c>
      <c r="DG35" s="26">
        <f t="shared" si="70"/>
        <v>0</v>
      </c>
      <c r="DH35" s="25">
        <f t="shared" si="70"/>
        <v>0.78727736837772433</v>
      </c>
      <c r="DI35" s="24">
        <f t="shared" si="70"/>
        <v>0.33977160960623287</v>
      </c>
      <c r="DJ35" s="25">
        <f t="shared" si="70"/>
        <v>0.23013539018142376</v>
      </c>
      <c r="DK35" s="24">
        <f t="shared" si="70"/>
        <v>0.40691550524634501</v>
      </c>
      <c r="DL35" s="25">
        <f t="shared" si="70"/>
        <v>0.3546861342663663</v>
      </c>
      <c r="DM35" s="24">
        <f t="shared" si="70"/>
        <v>1.232180467473917</v>
      </c>
      <c r="DN35" s="25">
        <f t="shared" si="70"/>
        <v>0.40293221070292418</v>
      </c>
      <c r="DO35" s="32">
        <f t="shared" si="70"/>
        <v>0.25265684849560732</v>
      </c>
      <c r="DP35" s="26">
        <f t="shared" si="18"/>
        <v>0</v>
      </c>
      <c r="DQ35" s="25">
        <f t="shared" si="19"/>
        <v>3.0359226971155371E-2</v>
      </c>
      <c r="DR35" s="24">
        <f t="shared" si="20"/>
        <v>1.6229423653227427E-2</v>
      </c>
      <c r="DS35" s="25">
        <f t="shared" si="21"/>
        <v>1.6169481437133142E-2</v>
      </c>
      <c r="DT35" s="24">
        <f t="shared" si="22"/>
        <v>2.2815562250097107E-2</v>
      </c>
      <c r="DU35" s="25">
        <f t="shared" si="23"/>
        <v>2.3371172435012334E-2</v>
      </c>
      <c r="DV35" s="24">
        <f t="shared" si="24"/>
        <v>2.2095585286348599E-2</v>
      </c>
      <c r="DW35" s="25">
        <f t="shared" si="25"/>
        <v>2.8467019466039901E-2</v>
      </c>
      <c r="DX35" s="32">
        <f t="shared" si="26"/>
        <v>2.7998320226825753E-2</v>
      </c>
      <c r="DZ35" s="54" t="s">
        <v>2063</v>
      </c>
      <c r="EA35" s="39">
        <v>0</v>
      </c>
      <c r="EB35" s="40">
        <v>0</v>
      </c>
      <c r="EC35" s="39">
        <v>0</v>
      </c>
      <c r="ED35" s="40">
        <v>0</v>
      </c>
      <c r="EE35" s="39">
        <v>0</v>
      </c>
      <c r="EF35" s="40">
        <v>0</v>
      </c>
      <c r="EG35" s="39">
        <v>0</v>
      </c>
      <c r="EH35" s="40">
        <v>0</v>
      </c>
      <c r="EI35" s="66">
        <v>0</v>
      </c>
      <c r="EO35" s="83" t="s">
        <v>2032</v>
      </c>
      <c r="EP35" s="82" t="s">
        <v>438</v>
      </c>
      <c r="EQ35" s="81">
        <f t="shared" si="27"/>
        <v>15.467510229977448</v>
      </c>
      <c r="ER35" s="80">
        <f>EQ35/SUM(EQ35:EQ43)</f>
        <v>4.5819966943574521E-2</v>
      </c>
      <c r="ET35" s="73" t="s">
        <v>520</v>
      </c>
      <c r="EU35" s="72">
        <v>0.11354037481637705</v>
      </c>
      <c r="EW35" s="37" t="s">
        <v>2032</v>
      </c>
      <c r="EX35" s="36" t="s">
        <v>2207</v>
      </c>
      <c r="EY35" s="36" t="s">
        <v>1145</v>
      </c>
      <c r="EZ35" s="1" t="s">
        <v>1945</v>
      </c>
      <c r="FA35" s="36" t="str">
        <f t="shared" si="28"/>
        <v>INGFAC</v>
      </c>
      <c r="FB35" s="1" t="s">
        <v>439</v>
      </c>
      <c r="FC35" s="26">
        <f t="shared" si="29"/>
        <v>61.587243881054533</v>
      </c>
      <c r="FD35" s="25">
        <f t="shared" si="30"/>
        <v>3.6733037471795655</v>
      </c>
      <c r="FE35" s="24">
        <f t="shared" si="31"/>
        <v>5.9643905388491451E-2</v>
      </c>
      <c r="FF35" s="36">
        <v>0</v>
      </c>
      <c r="FG35" s="86">
        <f t="shared" si="32"/>
        <v>0</v>
      </c>
    </row>
    <row r="36" spans="1:163">
      <c r="A36" s="37" t="s">
        <v>2075</v>
      </c>
      <c r="B36" s="36" t="s">
        <v>1150</v>
      </c>
      <c r="C36" s="1" t="s">
        <v>1126</v>
      </c>
      <c r="D36" s="36" t="s">
        <v>1126</v>
      </c>
      <c r="E36" s="36" t="s">
        <v>2219</v>
      </c>
      <c r="F36" s="1" t="e">
        <f t="shared" ca="1" si="2"/>
        <v>#NAME?</v>
      </c>
      <c r="G36" s="35" t="s">
        <v>1121</v>
      </c>
      <c r="H36" s="43">
        <v>1</v>
      </c>
      <c r="I36" s="42">
        <v>0</v>
      </c>
      <c r="J36" s="26">
        <v>0.18702146360620517</v>
      </c>
      <c r="K36" s="25">
        <v>6.6082615752975929E-2</v>
      </c>
      <c r="L36" s="24"/>
      <c r="M36" s="25"/>
      <c r="N36" s="24"/>
      <c r="O36" s="25"/>
      <c r="P36" s="24"/>
      <c r="Q36" s="25"/>
      <c r="R36" s="32"/>
      <c r="S36" s="47">
        <v>1</v>
      </c>
      <c r="T36" s="45">
        <v>1</v>
      </c>
      <c r="U36" s="46">
        <v>1</v>
      </c>
      <c r="V36" s="45">
        <v>1</v>
      </c>
      <c r="W36" s="46">
        <v>1</v>
      </c>
      <c r="X36" s="45">
        <v>1</v>
      </c>
      <c r="Y36" s="46">
        <v>1</v>
      </c>
      <c r="Z36" s="45">
        <v>1</v>
      </c>
      <c r="AA36" s="44">
        <v>1</v>
      </c>
      <c r="AB36" s="26">
        <f t="shared" ref="AB36:AB50" si="83">J36*$H36*S36</f>
        <v>0.18702146360620517</v>
      </c>
      <c r="AC36" s="25">
        <f t="shared" ref="AC36:AC50" si="84">K36*$H36*T36</f>
        <v>6.6082615752975929E-2</v>
      </c>
      <c r="AD36" s="24">
        <f t="shared" ref="AD36:AD50" si="85">L36*$H36*U36</f>
        <v>0</v>
      </c>
      <c r="AE36" s="25">
        <f t="shared" ref="AE36:AE50" si="86">M36*$H36*V36</f>
        <v>0</v>
      </c>
      <c r="AF36" s="24">
        <f t="shared" ref="AF36:AF50" si="87">N36*$H36*W36</f>
        <v>0</v>
      </c>
      <c r="AG36" s="25">
        <f t="shared" ref="AG36:AG50" si="88">O36*$H36*X36</f>
        <v>0</v>
      </c>
      <c r="AH36" s="24">
        <f t="shared" ref="AH36:AH50" si="89">P36*$H36*Y36</f>
        <v>0</v>
      </c>
      <c r="AI36" s="25">
        <f t="shared" ref="AI36:AI50" si="90">Q36*$H36*Z36</f>
        <v>0</v>
      </c>
      <c r="AJ36" s="24">
        <f t="shared" ref="AJ36:AJ50" si="91">R36*$H36*AA36</f>
        <v>0</v>
      </c>
      <c r="AK36" s="27">
        <f t="shared" si="12"/>
        <v>0.25310407935918111</v>
      </c>
      <c r="AL36" s="41">
        <v>0</v>
      </c>
      <c r="AM36" s="40">
        <v>0</v>
      </c>
      <c r="AN36" s="39">
        <v>0</v>
      </c>
      <c r="AO36" s="40">
        <v>0</v>
      </c>
      <c r="AP36" s="39">
        <v>0</v>
      </c>
      <c r="AQ36" s="40">
        <v>0</v>
      </c>
      <c r="AR36" s="39">
        <v>0</v>
      </c>
      <c r="AS36" s="40">
        <v>0</v>
      </c>
      <c r="AT36" s="39">
        <v>0</v>
      </c>
      <c r="AU36" s="38">
        <v>0</v>
      </c>
      <c r="AW36" s="51" t="s">
        <v>1976</v>
      </c>
      <c r="AX36" s="7">
        <v>9.3310755905314675</v>
      </c>
      <c r="AY36" s="6">
        <v>23.836792910199289</v>
      </c>
      <c r="AZ36" s="5">
        <v>45.508028224812783</v>
      </c>
      <c r="BA36" s="6">
        <v>31.08421797967484</v>
      </c>
      <c r="BB36" s="5">
        <v>82.531534885688572</v>
      </c>
      <c r="BC36" s="6">
        <v>61.655428864342205</v>
      </c>
      <c r="BD36" s="5">
        <v>242.70972986802403</v>
      </c>
      <c r="BE36" s="6">
        <v>34.291404451165043</v>
      </c>
      <c r="BF36" s="5">
        <v>20.755389262999017</v>
      </c>
      <c r="BG36" s="77">
        <v>551.70360203743724</v>
      </c>
      <c r="BH36" s="59">
        <v>26.136563732894857</v>
      </c>
      <c r="BJ36" s="37" t="s">
        <v>2032</v>
      </c>
      <c r="BK36" s="36" t="s">
        <v>2207</v>
      </c>
      <c r="BL36" s="1" t="s">
        <v>1129</v>
      </c>
      <c r="BM36" s="36" t="s">
        <v>1910</v>
      </c>
      <c r="BN36" s="82" t="str">
        <f t="shared" si="74"/>
        <v>INGOHT</v>
      </c>
      <c r="BO36" s="26">
        <f t="shared" si="75"/>
        <v>3.1642393776703202</v>
      </c>
      <c r="BP36" s="25">
        <f t="shared" si="75"/>
        <v>8.7100864265356126</v>
      </c>
      <c r="BQ36" s="24">
        <f t="shared" si="75"/>
        <v>12.641770659670913</v>
      </c>
      <c r="BR36" s="25">
        <f t="shared" si="75"/>
        <v>8.5625718603125751</v>
      </c>
      <c r="BS36" s="24">
        <f t="shared" si="75"/>
        <v>5.3557124993928591</v>
      </c>
      <c r="BT36" s="25">
        <f t="shared" si="75"/>
        <v>4.6682835580367072</v>
      </c>
      <c r="BU36" s="24">
        <f t="shared" si="75"/>
        <v>16.217628097417084</v>
      </c>
      <c r="BV36" s="25">
        <f t="shared" si="75"/>
        <v>5.9631336136689965</v>
      </c>
      <c r="BW36" s="32">
        <f t="shared" si="75"/>
        <v>3.7391563790829414</v>
      </c>
      <c r="BX36" s="26">
        <f t="shared" ref="BX36:CF36" si="92">BO36/BO39</f>
        <v>0.20457328494522248</v>
      </c>
      <c r="BY36" s="25">
        <f t="shared" si="92"/>
        <v>0.20457328494522248</v>
      </c>
      <c r="BZ36" s="24">
        <f t="shared" si="92"/>
        <v>0.20526605613471482</v>
      </c>
      <c r="CA36" s="25">
        <f t="shared" si="92"/>
        <v>0.2052660561347148</v>
      </c>
      <c r="CB36" s="24">
        <f t="shared" si="92"/>
        <v>0.2051395508591756</v>
      </c>
      <c r="CC36" s="25">
        <f t="shared" si="92"/>
        <v>0.20513955085917565</v>
      </c>
      <c r="CD36" s="24">
        <f t="shared" si="92"/>
        <v>0.20243385473486941</v>
      </c>
      <c r="CE36" s="25">
        <f t="shared" si="92"/>
        <v>0.20534908794790524</v>
      </c>
      <c r="CF36" s="32">
        <f t="shared" si="92"/>
        <v>0.20534908794790521</v>
      </c>
      <c r="CH36" s="54" t="s">
        <v>2218</v>
      </c>
      <c r="CI36" s="41">
        <v>0</v>
      </c>
      <c r="CJ36" s="40">
        <v>0</v>
      </c>
      <c r="CK36" s="39">
        <v>0</v>
      </c>
      <c r="CL36" s="40">
        <v>0</v>
      </c>
      <c r="CM36" s="39">
        <v>0</v>
      </c>
      <c r="CN36" s="40">
        <v>0</v>
      </c>
      <c r="CO36" s="39">
        <v>0</v>
      </c>
      <c r="CP36" s="40">
        <v>0</v>
      </c>
      <c r="CQ36" s="66">
        <v>0</v>
      </c>
      <c r="CS36" s="54" t="s">
        <v>1889</v>
      </c>
      <c r="CT36" s="39">
        <v>0.10003826432157566</v>
      </c>
      <c r="CU36" s="40">
        <v>0.27537168469316808</v>
      </c>
      <c r="CV36" s="39">
        <v>0</v>
      </c>
      <c r="CW36" s="40">
        <v>0</v>
      </c>
      <c r="CX36" s="39">
        <v>0.15323653326262257</v>
      </c>
      <c r="CY36" s="40">
        <v>0.13356795922139969</v>
      </c>
      <c r="CZ36" s="39">
        <v>0.46401540554546533</v>
      </c>
      <c r="DA36" s="40">
        <v>0.23073106323846596</v>
      </c>
      <c r="DB36" s="39">
        <v>0.14467888577627783</v>
      </c>
      <c r="DC36" s="38">
        <v>1.5016397960589751</v>
      </c>
      <c r="DE36" s="37" t="s">
        <v>1680</v>
      </c>
      <c r="DF36" s="35" t="str">
        <f t="shared" si="16"/>
        <v>IOTOH</v>
      </c>
      <c r="DG36" s="26">
        <f t="shared" si="70"/>
        <v>3.3764133874989E-2</v>
      </c>
      <c r="DH36" s="25">
        <f t="shared" si="70"/>
        <v>13.736772769326777</v>
      </c>
      <c r="DI36" s="24">
        <f t="shared" si="70"/>
        <v>0.30507652591560147</v>
      </c>
      <c r="DJ36" s="25">
        <f t="shared" si="70"/>
        <v>1.8931389140222685</v>
      </c>
      <c r="DK36" s="24">
        <f t="shared" si="70"/>
        <v>9.8282107189937218</v>
      </c>
      <c r="DL36" s="25">
        <f t="shared" si="70"/>
        <v>7.7792591008209664</v>
      </c>
      <c r="DM36" s="24">
        <f t="shared" si="70"/>
        <v>28.636579562455879</v>
      </c>
      <c r="DN36" s="25">
        <f t="shared" si="70"/>
        <v>2.7082386594575345</v>
      </c>
      <c r="DO36" s="32">
        <f t="shared" si="70"/>
        <v>1.0135560775466981</v>
      </c>
      <c r="DP36" s="26">
        <f t="shared" si="18"/>
        <v>4.9810220069272824E-3</v>
      </c>
      <c r="DQ36" s="25">
        <f t="shared" si="19"/>
        <v>0.52972156841563034</v>
      </c>
      <c r="DR36" s="24">
        <f t="shared" si="20"/>
        <v>1.4572189216977727E-2</v>
      </c>
      <c r="DS36" s="25">
        <f t="shared" si="21"/>
        <v>0.13301332969286334</v>
      </c>
      <c r="DT36" s="24">
        <f t="shared" si="22"/>
        <v>0.55106318283576161</v>
      </c>
      <c r="DU36" s="25">
        <f t="shared" si="23"/>
        <v>0.51259518852628094</v>
      </c>
      <c r="DV36" s="24">
        <f t="shared" si="24"/>
        <v>0.51351405312302201</v>
      </c>
      <c r="DW36" s="25">
        <f t="shared" si="25"/>
        <v>0.19133611210422879</v>
      </c>
      <c r="DX36" s="32">
        <f t="shared" si="26"/>
        <v>0.11231782473330131</v>
      </c>
      <c r="DZ36" s="54" t="s">
        <v>2059</v>
      </c>
      <c r="EA36" s="39">
        <v>0</v>
      </c>
      <c r="EB36" s="40">
        <v>8.4483533226041879E-2</v>
      </c>
      <c r="EC36" s="39">
        <v>0.78980025658507613</v>
      </c>
      <c r="ED36" s="40">
        <v>0.91527640388969644</v>
      </c>
      <c r="EE36" s="39">
        <v>4.204073469310448E-2</v>
      </c>
      <c r="EF36" s="40">
        <v>0.64694308602566986</v>
      </c>
      <c r="EG36" s="39">
        <v>0.12809364772372178</v>
      </c>
      <c r="EH36" s="40">
        <v>0</v>
      </c>
      <c r="EI36" s="66">
        <v>0.36958969567162492</v>
      </c>
      <c r="EO36" s="83" t="s">
        <v>2032</v>
      </c>
      <c r="EP36" s="82" t="s">
        <v>440</v>
      </c>
      <c r="EQ36" s="81">
        <f t="shared" si="27"/>
        <v>42.57685175690397</v>
      </c>
      <c r="ER36" s="80">
        <f>EQ36/SUM(EQ35:EQ43)</f>
        <v>0.12612695327537904</v>
      </c>
      <c r="ET36" s="73" t="s">
        <v>521</v>
      </c>
      <c r="EU36" s="72">
        <v>8.5378982227857808E-2</v>
      </c>
      <c r="EW36" s="37" t="s">
        <v>2032</v>
      </c>
      <c r="EX36" s="36" t="s">
        <v>2207</v>
      </c>
      <c r="EY36" s="36" t="s">
        <v>1145</v>
      </c>
      <c r="EZ36" s="1" t="s">
        <v>1945</v>
      </c>
      <c r="FA36" s="36" t="str">
        <f t="shared" si="28"/>
        <v>INGFAC</v>
      </c>
      <c r="FB36" s="1" t="s">
        <v>518</v>
      </c>
      <c r="FC36" s="26">
        <f t="shared" si="29"/>
        <v>41.714504685046485</v>
      </c>
      <c r="FD36" s="25">
        <f t="shared" si="30"/>
        <v>2.4880159707626959</v>
      </c>
      <c r="FE36" s="24">
        <f t="shared" si="31"/>
        <v>5.9643905388491451E-2</v>
      </c>
      <c r="FF36" s="36">
        <v>0</v>
      </c>
      <c r="FG36" s="86">
        <f t="shared" si="32"/>
        <v>0</v>
      </c>
    </row>
    <row r="37" spans="1:163">
      <c r="A37" s="37" t="s">
        <v>2075</v>
      </c>
      <c r="B37" s="36" t="s">
        <v>1145</v>
      </c>
      <c r="C37" s="1" t="s">
        <v>1120</v>
      </c>
      <c r="D37" s="36" t="s">
        <v>1120</v>
      </c>
      <c r="E37" s="36" t="s">
        <v>2217</v>
      </c>
      <c r="F37" s="1" t="e">
        <f t="shared" ca="1" si="2"/>
        <v>#NAME?</v>
      </c>
      <c r="G37" s="35" t="s">
        <v>1121</v>
      </c>
      <c r="H37" s="43">
        <v>1</v>
      </c>
      <c r="I37" s="42">
        <v>0</v>
      </c>
      <c r="J37" s="26">
        <v>0.5262613633583979</v>
      </c>
      <c r="K37" s="25">
        <v>0.53195954797344003</v>
      </c>
      <c r="L37" s="24"/>
      <c r="M37" s="25"/>
      <c r="N37" s="24"/>
      <c r="O37" s="25"/>
      <c r="P37" s="24"/>
      <c r="Q37" s="25"/>
      <c r="R37" s="32"/>
      <c r="S37" s="47">
        <v>1</v>
      </c>
      <c r="T37" s="45">
        <v>1</v>
      </c>
      <c r="U37" s="46">
        <v>1</v>
      </c>
      <c r="V37" s="45">
        <v>1</v>
      </c>
      <c r="W37" s="46">
        <v>1</v>
      </c>
      <c r="X37" s="45">
        <v>1</v>
      </c>
      <c r="Y37" s="46">
        <v>1</v>
      </c>
      <c r="Z37" s="45">
        <v>1</v>
      </c>
      <c r="AA37" s="44">
        <v>1</v>
      </c>
      <c r="AB37" s="26">
        <f t="shared" si="83"/>
        <v>0.5262613633583979</v>
      </c>
      <c r="AC37" s="25">
        <f t="shared" si="84"/>
        <v>0.53195954797344003</v>
      </c>
      <c r="AD37" s="24">
        <f t="shared" si="85"/>
        <v>0</v>
      </c>
      <c r="AE37" s="25">
        <f t="shared" si="86"/>
        <v>0</v>
      </c>
      <c r="AF37" s="24">
        <f t="shared" si="87"/>
        <v>0</v>
      </c>
      <c r="AG37" s="25">
        <f t="shared" si="88"/>
        <v>0</v>
      </c>
      <c r="AH37" s="24">
        <f t="shared" si="89"/>
        <v>0</v>
      </c>
      <c r="AI37" s="25">
        <f t="shared" si="90"/>
        <v>0</v>
      </c>
      <c r="AJ37" s="24">
        <f t="shared" si="91"/>
        <v>0</v>
      </c>
      <c r="AK37" s="27">
        <f t="shared" si="12"/>
        <v>1.0582209113318379</v>
      </c>
      <c r="AL37" s="41">
        <v>0</v>
      </c>
      <c r="AM37" s="40">
        <v>0</v>
      </c>
      <c r="AN37" s="39">
        <v>0</v>
      </c>
      <c r="AO37" s="40">
        <v>0</v>
      </c>
      <c r="AP37" s="39">
        <v>0</v>
      </c>
      <c r="AQ37" s="40">
        <v>0</v>
      </c>
      <c r="AR37" s="39">
        <v>0</v>
      </c>
      <c r="AS37" s="40">
        <v>0</v>
      </c>
      <c r="AT37" s="39">
        <v>0</v>
      </c>
      <c r="AU37" s="38">
        <v>0</v>
      </c>
      <c r="AW37" s="100" t="s">
        <v>1150</v>
      </c>
      <c r="AX37" s="41">
        <v>1.8982444718727445</v>
      </c>
      <c r="AY37" s="40">
        <v>5.2252283835991449</v>
      </c>
      <c r="AZ37" s="39">
        <v>9.2433132839007648</v>
      </c>
      <c r="BA37" s="40">
        <v>6.2607158721262897</v>
      </c>
      <c r="BB37" s="39">
        <v>9.492757260592354</v>
      </c>
      <c r="BC37" s="40">
        <v>8.2743206707007779</v>
      </c>
      <c r="BD37" s="39">
        <v>28.745009536788029</v>
      </c>
      <c r="BE37" s="40">
        <v>5.150781621083186</v>
      </c>
      <c r="BF37" s="39">
        <v>3.229774679471979</v>
      </c>
      <c r="BG37" s="81">
        <v>77.520145780135266</v>
      </c>
      <c r="BH37" s="66">
        <v>0</v>
      </c>
      <c r="BJ37" s="37" t="s">
        <v>2032</v>
      </c>
      <c r="BK37" s="36" t="s">
        <v>2207</v>
      </c>
      <c r="BL37" s="1" t="s">
        <v>1123</v>
      </c>
      <c r="BM37" s="36" t="s">
        <v>1935</v>
      </c>
      <c r="BN37" s="82" t="str">
        <f t="shared" si="74"/>
        <v>INGPRH</v>
      </c>
      <c r="BO37" s="26">
        <f t="shared" si="75"/>
        <v>10.473380010059067</v>
      </c>
      <c r="BP37" s="25">
        <f t="shared" si="75"/>
        <v>28.829691492155327</v>
      </c>
      <c r="BQ37" s="24">
        <f t="shared" si="75"/>
        <v>40.674556651290118</v>
      </c>
      <c r="BR37" s="25">
        <f t="shared" si="75"/>
        <v>27.549844368248714</v>
      </c>
      <c r="BS37" s="24">
        <f t="shared" si="75"/>
        <v>17.32202393022839</v>
      </c>
      <c r="BT37" s="25">
        <f t="shared" si="75"/>
        <v>15.098666986805316</v>
      </c>
      <c r="BU37" s="24">
        <f t="shared" si="75"/>
        <v>52.452804743878467</v>
      </c>
      <c r="BV37" s="25">
        <f t="shared" si="75"/>
        <v>19.1203985997216</v>
      </c>
      <c r="BW37" s="32">
        <f t="shared" si="75"/>
        <v>11.989360800313957</v>
      </c>
      <c r="BX37" s="26">
        <f t="shared" ref="BX37:CF37" si="93">BO37/BO39</f>
        <v>0.67712125961686453</v>
      </c>
      <c r="BY37" s="25">
        <f t="shared" si="93"/>
        <v>0.67712125961686453</v>
      </c>
      <c r="BZ37" s="24">
        <f t="shared" si="93"/>
        <v>0.66043800774469186</v>
      </c>
      <c r="CA37" s="25">
        <f t="shared" si="93"/>
        <v>0.66043800774469186</v>
      </c>
      <c r="CB37" s="24">
        <f t="shared" si="93"/>
        <v>0.66348449611919469</v>
      </c>
      <c r="CC37" s="25">
        <f t="shared" si="93"/>
        <v>0.66348449611919458</v>
      </c>
      <c r="CD37" s="24">
        <f t="shared" si="93"/>
        <v>0.65473344142414291</v>
      </c>
      <c r="CE37" s="25">
        <f t="shared" si="93"/>
        <v>0.65843844327972834</v>
      </c>
      <c r="CF37" s="32">
        <f t="shared" si="93"/>
        <v>0.65843844327972845</v>
      </c>
      <c r="CH37" s="54" t="s">
        <v>2216</v>
      </c>
      <c r="CI37" s="41">
        <v>0.23256672055763614</v>
      </c>
      <c r="CJ37" s="40">
        <v>0.16520451764618857</v>
      </c>
      <c r="CK37" s="39">
        <v>0.16546681526579993</v>
      </c>
      <c r="CL37" s="40">
        <v>0.20529666466362795</v>
      </c>
      <c r="CM37" s="39">
        <v>7.1104934807454667E-2</v>
      </c>
      <c r="CN37" s="40">
        <v>0.12521497762252862</v>
      </c>
      <c r="CO37" s="39">
        <v>0.13122685105699702</v>
      </c>
      <c r="CP37" s="40">
        <v>0.24690047927048128</v>
      </c>
      <c r="CQ37" s="66">
        <v>0.18188236212729977</v>
      </c>
      <c r="CS37" s="54" t="s">
        <v>1887</v>
      </c>
      <c r="CT37" s="39">
        <v>1.5994266192244877</v>
      </c>
      <c r="CU37" s="40">
        <v>4.4026833698668515</v>
      </c>
      <c r="CV37" s="39">
        <v>16.038832080420637</v>
      </c>
      <c r="CW37" s="40">
        <v>10.863482334970902</v>
      </c>
      <c r="CX37" s="39">
        <v>3.2155835769447472</v>
      </c>
      <c r="CY37" s="40">
        <v>2.8028494702517648</v>
      </c>
      <c r="CZ37" s="39">
        <v>9.7371056741682569</v>
      </c>
      <c r="DA37" s="40">
        <v>8.3001655975198005</v>
      </c>
      <c r="DB37" s="39">
        <v>5.20458187793571</v>
      </c>
      <c r="DC37" s="38">
        <v>62.164710601303156</v>
      </c>
      <c r="DE37" s="37" t="s">
        <v>1650</v>
      </c>
      <c r="DF37" s="35" t="str">
        <f t="shared" si="16"/>
        <v>IOTOH</v>
      </c>
      <c r="DG37" s="26">
        <f t="shared" si="70"/>
        <v>0.16841657486860231</v>
      </c>
      <c r="DH37" s="25">
        <f t="shared" si="70"/>
        <v>0.46359416835481571</v>
      </c>
      <c r="DI37" s="24">
        <f t="shared" si="70"/>
        <v>0</v>
      </c>
      <c r="DJ37" s="25">
        <f t="shared" si="70"/>
        <v>0</v>
      </c>
      <c r="DK37" s="24">
        <f t="shared" si="70"/>
        <v>9.6741377856191191E-2</v>
      </c>
      <c r="DL37" s="25">
        <f t="shared" si="70"/>
        <v>8.4324202182075758E-2</v>
      </c>
      <c r="DM37" s="24">
        <f t="shared" si="70"/>
        <v>0.29294247737929663</v>
      </c>
      <c r="DN37" s="25">
        <f t="shared" si="70"/>
        <v>0</v>
      </c>
      <c r="DO37" s="32">
        <f t="shared" si="70"/>
        <v>0</v>
      </c>
      <c r="DP37" s="26">
        <f t="shared" si="18"/>
        <v>2.4845496373690042E-2</v>
      </c>
      <c r="DQ37" s="25">
        <f t="shared" si="19"/>
        <v>1.7877257933363061E-2</v>
      </c>
      <c r="DR37" s="24">
        <f t="shared" si="20"/>
        <v>0</v>
      </c>
      <c r="DS37" s="25">
        <f t="shared" si="21"/>
        <v>0</v>
      </c>
      <c r="DT37" s="24">
        <f t="shared" si="22"/>
        <v>5.4242438545119105E-3</v>
      </c>
      <c r="DU37" s="25">
        <f t="shared" si="23"/>
        <v>5.5563363753095441E-3</v>
      </c>
      <c r="DV37" s="24">
        <f t="shared" si="24"/>
        <v>5.2530742564019014E-3</v>
      </c>
      <c r="DW37" s="25">
        <f t="shared" si="25"/>
        <v>0</v>
      </c>
      <c r="DX37" s="32">
        <f t="shared" si="26"/>
        <v>0</v>
      </c>
      <c r="DZ37" s="54" t="s">
        <v>1877</v>
      </c>
      <c r="EA37" s="39">
        <v>0.71408279677845998</v>
      </c>
      <c r="EB37" s="40">
        <v>0.71408279677845987</v>
      </c>
      <c r="EC37" s="39">
        <v>0.71789473953525973</v>
      </c>
      <c r="ED37" s="40">
        <v>0.71789473953525984</v>
      </c>
      <c r="EE37" s="39">
        <v>0.55962705712756289</v>
      </c>
      <c r="EF37" s="40">
        <v>0.55962705712756289</v>
      </c>
      <c r="EG37" s="39">
        <v>0.55962705712756289</v>
      </c>
      <c r="EH37" s="40">
        <v>0.80629640162674399</v>
      </c>
      <c r="EI37" s="66">
        <v>0.80629640162674399</v>
      </c>
      <c r="EO37" s="83" t="s">
        <v>2032</v>
      </c>
      <c r="EP37" s="82" t="s">
        <v>439</v>
      </c>
      <c r="EQ37" s="81">
        <f t="shared" si="27"/>
        <v>61.587243881054533</v>
      </c>
      <c r="ER37" s="80">
        <f>EQ37/SUM(EQ35:EQ43)</f>
        <v>0.18244212784205124</v>
      </c>
      <c r="ET37" s="73" t="s">
        <v>522</v>
      </c>
      <c r="EU37" s="72">
        <v>9.576041114305299E-2</v>
      </c>
      <c r="EW37" s="37" t="s">
        <v>2032</v>
      </c>
      <c r="EX37" s="36" t="s">
        <v>2207</v>
      </c>
      <c r="EY37" s="36" t="s">
        <v>1145</v>
      </c>
      <c r="EZ37" s="1" t="s">
        <v>1945</v>
      </c>
      <c r="FA37" s="36" t="str">
        <f t="shared" si="28"/>
        <v>INGFAC</v>
      </c>
      <c r="FB37" s="1" t="s">
        <v>517</v>
      </c>
      <c r="FC37" s="26">
        <f t="shared" si="29"/>
        <v>26.107654408727129</v>
      </c>
      <c r="FD37" s="25">
        <f t="shared" si="30"/>
        <v>1.5412435972854857</v>
      </c>
      <c r="FE37" s="24">
        <f t="shared" si="31"/>
        <v>5.903416573379671E-2</v>
      </c>
      <c r="FF37" s="36">
        <v>0</v>
      </c>
      <c r="FG37" s="86">
        <f t="shared" si="32"/>
        <v>0</v>
      </c>
    </row>
    <row r="38" spans="1:163">
      <c r="A38" s="37" t="s">
        <v>2075</v>
      </c>
      <c r="B38" s="36" t="s">
        <v>1145</v>
      </c>
      <c r="C38" s="1" t="s">
        <v>1126</v>
      </c>
      <c r="D38" s="36" t="s">
        <v>1126</v>
      </c>
      <c r="E38" s="36" t="s">
        <v>2215</v>
      </c>
      <c r="F38" s="1" t="e">
        <f t="shared" ca="1" si="2"/>
        <v>#NAME?</v>
      </c>
      <c r="G38" s="35" t="s">
        <v>1121</v>
      </c>
      <c r="H38" s="43">
        <v>1</v>
      </c>
      <c r="I38" s="42">
        <v>0</v>
      </c>
      <c r="J38" s="26">
        <v>8.9770302530978476</v>
      </c>
      <c r="K38" s="25">
        <v>3.1719655561428444</v>
      </c>
      <c r="L38" s="24"/>
      <c r="M38" s="25"/>
      <c r="N38" s="24"/>
      <c r="O38" s="25"/>
      <c r="P38" s="24"/>
      <c r="Q38" s="25"/>
      <c r="R38" s="32"/>
      <c r="S38" s="47">
        <v>1</v>
      </c>
      <c r="T38" s="45">
        <v>1</v>
      </c>
      <c r="U38" s="46">
        <v>1</v>
      </c>
      <c r="V38" s="45">
        <v>1</v>
      </c>
      <c r="W38" s="46">
        <v>1</v>
      </c>
      <c r="X38" s="45">
        <v>1</v>
      </c>
      <c r="Y38" s="46">
        <v>1</v>
      </c>
      <c r="Z38" s="45">
        <v>1</v>
      </c>
      <c r="AA38" s="44">
        <v>1</v>
      </c>
      <c r="AB38" s="26">
        <f t="shared" si="83"/>
        <v>8.9770302530978476</v>
      </c>
      <c r="AC38" s="25">
        <f t="shared" si="84"/>
        <v>3.1719655561428444</v>
      </c>
      <c r="AD38" s="24">
        <f t="shared" si="85"/>
        <v>0</v>
      </c>
      <c r="AE38" s="25">
        <f t="shared" si="86"/>
        <v>0</v>
      </c>
      <c r="AF38" s="24">
        <f t="shared" si="87"/>
        <v>0</v>
      </c>
      <c r="AG38" s="25">
        <f t="shared" si="88"/>
        <v>0</v>
      </c>
      <c r="AH38" s="24">
        <f t="shared" si="89"/>
        <v>0</v>
      </c>
      <c r="AI38" s="25">
        <f t="shared" si="90"/>
        <v>0</v>
      </c>
      <c r="AJ38" s="24">
        <f t="shared" si="91"/>
        <v>0</v>
      </c>
      <c r="AK38" s="27">
        <f t="shared" si="12"/>
        <v>12.148995809240692</v>
      </c>
      <c r="AL38" s="41">
        <v>0</v>
      </c>
      <c r="AM38" s="40">
        <v>0</v>
      </c>
      <c r="AN38" s="39">
        <v>0</v>
      </c>
      <c r="AO38" s="40">
        <v>0</v>
      </c>
      <c r="AP38" s="39">
        <v>0</v>
      </c>
      <c r="AQ38" s="40">
        <v>0</v>
      </c>
      <c r="AR38" s="39">
        <v>0</v>
      </c>
      <c r="AS38" s="40">
        <v>0</v>
      </c>
      <c r="AT38" s="39">
        <v>0</v>
      </c>
      <c r="AU38" s="38">
        <v>0</v>
      </c>
      <c r="AW38" s="100" t="s">
        <v>1145</v>
      </c>
      <c r="AX38" s="41">
        <v>0.19801856902002407</v>
      </c>
      <c r="AY38" s="40">
        <v>0.54507849892607518</v>
      </c>
      <c r="AZ38" s="39">
        <v>0.98849558804321636</v>
      </c>
      <c r="BA38" s="40">
        <v>0.66953156595567542</v>
      </c>
      <c r="BB38" s="39">
        <v>1.1908937459486775</v>
      </c>
      <c r="BC38" s="40">
        <v>1.038037365562694</v>
      </c>
      <c r="BD38" s="39">
        <v>3.6061442576547917</v>
      </c>
      <c r="BE38" s="40">
        <v>0.62847307887926529</v>
      </c>
      <c r="BF38" s="39">
        <v>0.39408124556971297</v>
      </c>
      <c r="BG38" s="81">
        <v>9.2587539155601331</v>
      </c>
      <c r="BH38" s="66">
        <v>0</v>
      </c>
      <c r="BJ38" s="37" t="s">
        <v>2032</v>
      </c>
      <c r="BK38" s="36" t="s">
        <v>2207</v>
      </c>
      <c r="BL38" s="1" t="s">
        <v>1107</v>
      </c>
      <c r="BM38" s="36" t="s">
        <v>1937</v>
      </c>
      <c r="BN38" s="82" t="str">
        <f t="shared" si="74"/>
        <v>INGSTM</v>
      </c>
      <c r="BO38" s="26">
        <f t="shared" si="75"/>
        <v>0</v>
      </c>
      <c r="BP38" s="25">
        <f t="shared" si="75"/>
        <v>0</v>
      </c>
      <c r="BQ38" s="24">
        <f t="shared" si="75"/>
        <v>0</v>
      </c>
      <c r="BR38" s="25">
        <f t="shared" si="75"/>
        <v>0</v>
      </c>
      <c r="BS38" s="24">
        <f t="shared" si="75"/>
        <v>0</v>
      </c>
      <c r="BT38" s="25">
        <f t="shared" si="75"/>
        <v>0</v>
      </c>
      <c r="BU38" s="24">
        <f t="shared" si="75"/>
        <v>1.0566564568276462</v>
      </c>
      <c r="BV38" s="25">
        <f t="shared" si="75"/>
        <v>0</v>
      </c>
      <c r="BW38" s="32">
        <f t="shared" si="75"/>
        <v>0</v>
      </c>
      <c r="BX38" s="26">
        <f t="shared" ref="BX38:CF38" si="94">BO38/BO39</f>
        <v>0</v>
      </c>
      <c r="BY38" s="25">
        <f t="shared" si="94"/>
        <v>0</v>
      </c>
      <c r="BZ38" s="24">
        <f t="shared" si="94"/>
        <v>0</v>
      </c>
      <c r="CA38" s="25">
        <f t="shared" si="94"/>
        <v>0</v>
      </c>
      <c r="CB38" s="24">
        <f t="shared" si="94"/>
        <v>0</v>
      </c>
      <c r="CC38" s="25">
        <f t="shared" si="94"/>
        <v>0</v>
      </c>
      <c r="CD38" s="24">
        <f t="shared" si="94"/>
        <v>1.3189539086802527E-2</v>
      </c>
      <c r="CE38" s="25">
        <f t="shared" si="94"/>
        <v>0</v>
      </c>
      <c r="CF38" s="32">
        <f t="shared" si="94"/>
        <v>0</v>
      </c>
      <c r="CH38" s="54" t="s">
        <v>2214</v>
      </c>
      <c r="CI38" s="41">
        <v>0</v>
      </c>
      <c r="CJ38" s="40">
        <v>0</v>
      </c>
      <c r="CK38" s="39">
        <v>6.8424118068527218E-2</v>
      </c>
      <c r="CL38" s="40">
        <v>8.4894624940075977E-2</v>
      </c>
      <c r="CM38" s="39">
        <v>0.18216333233400364</v>
      </c>
      <c r="CN38" s="40">
        <v>0.32078754651296221</v>
      </c>
      <c r="CO38" s="39">
        <v>0.33618933123238537</v>
      </c>
      <c r="CP38" s="40">
        <v>0</v>
      </c>
      <c r="CQ38" s="66">
        <v>0</v>
      </c>
      <c r="CS38" s="54" t="s">
        <v>1885</v>
      </c>
      <c r="CT38" s="39">
        <v>1.4201578664393994E-3</v>
      </c>
      <c r="CU38" s="40">
        <v>3.9092168068266724E-3</v>
      </c>
      <c r="CV38" s="39">
        <v>0.46070969593762284</v>
      </c>
      <c r="CW38" s="40">
        <v>0.31204963168595751</v>
      </c>
      <c r="CX38" s="39">
        <v>1.7402946331757266E-2</v>
      </c>
      <c r="CY38" s="40">
        <v>1.5169202646920933E-2</v>
      </c>
      <c r="CZ38" s="39">
        <v>5.2697845793578953E-2</v>
      </c>
      <c r="DA38" s="40">
        <v>6.5509840002164643E-2</v>
      </c>
      <c r="DB38" s="39">
        <v>4.1077653463156769E-2</v>
      </c>
      <c r="DC38" s="38">
        <v>0.96994619053442488</v>
      </c>
      <c r="DE38" s="37" t="s">
        <v>1925</v>
      </c>
      <c r="DF38" s="35" t="str">
        <f t="shared" si="16"/>
        <v>ICTOH</v>
      </c>
      <c r="DG38" s="26">
        <f t="shared" ref="DG38:DO47" si="95">GETPIVOTDATA("Sum of "&amp;DG$1&amp;" (Out)",$CS$6,"Constraint Identifier",$DE38)</f>
        <v>7.8034533723176008E-2</v>
      </c>
      <c r="DH38" s="25">
        <f t="shared" si="95"/>
        <v>0.21480281731519707</v>
      </c>
      <c r="DI38" s="24">
        <f t="shared" si="95"/>
        <v>0.28127754239960445</v>
      </c>
      <c r="DJ38" s="25">
        <f t="shared" si="95"/>
        <v>0.19051596760666337</v>
      </c>
      <c r="DK38" s="24">
        <f t="shared" si="95"/>
        <v>8.6328432840047473E-2</v>
      </c>
      <c r="DL38" s="25">
        <f t="shared" si="95"/>
        <v>7.5247803847565714E-2</v>
      </c>
      <c r="DM38" s="24">
        <f t="shared" si="95"/>
        <v>0.26141104814559241</v>
      </c>
      <c r="DN38" s="25">
        <f t="shared" si="95"/>
        <v>5.9993680276141825E-2</v>
      </c>
      <c r="DO38" s="32">
        <f t="shared" si="95"/>
        <v>3.761877006998255E-2</v>
      </c>
      <c r="DP38" s="26">
        <f t="shared" si="18"/>
        <v>0.20328170016599073</v>
      </c>
      <c r="DQ38" s="25">
        <f t="shared" si="19"/>
        <v>0.13329930315523866</v>
      </c>
      <c r="DR38" s="24">
        <f t="shared" si="20"/>
        <v>6.347320774312161E-2</v>
      </c>
      <c r="DS38" s="25">
        <f t="shared" si="21"/>
        <v>6.4378153107171585E-2</v>
      </c>
      <c r="DT38" s="24">
        <f t="shared" si="22"/>
        <v>5.8481307323240854E-2</v>
      </c>
      <c r="DU38" s="25">
        <f t="shared" si="23"/>
        <v>5.8481307323240854E-2</v>
      </c>
      <c r="DV38" s="24">
        <f t="shared" si="24"/>
        <v>5.8481307323240861E-2</v>
      </c>
      <c r="DW38" s="25">
        <f t="shared" si="25"/>
        <v>0.25596063690549908</v>
      </c>
      <c r="DX38" s="32">
        <f t="shared" si="26"/>
        <v>0.25596063690549908</v>
      </c>
      <c r="DZ38" s="54" t="s">
        <v>1875</v>
      </c>
      <c r="EA38" s="39">
        <v>0.28591720322154013</v>
      </c>
      <c r="EB38" s="40">
        <v>0.28591720322154013</v>
      </c>
      <c r="EC38" s="39">
        <v>0.28210526046474022</v>
      </c>
      <c r="ED38" s="40">
        <v>0.28210526046474027</v>
      </c>
      <c r="EE38" s="39">
        <v>0.44037294287243711</v>
      </c>
      <c r="EF38" s="40">
        <v>0.44037294287243706</v>
      </c>
      <c r="EG38" s="39">
        <v>0.44037294287243711</v>
      </c>
      <c r="EH38" s="40">
        <v>0.19370359837325601</v>
      </c>
      <c r="EI38" s="66">
        <v>0.19370359837325599</v>
      </c>
      <c r="EO38" s="83" t="s">
        <v>2032</v>
      </c>
      <c r="EP38" s="82" t="s">
        <v>518</v>
      </c>
      <c r="EQ38" s="81">
        <f t="shared" si="27"/>
        <v>41.714504685046485</v>
      </c>
      <c r="ER38" s="80">
        <f>EQ38/SUM(EQ35:EQ43)</f>
        <v>0.12357239124575005</v>
      </c>
      <c r="ET38" s="74" t="s">
        <v>2032</v>
      </c>
      <c r="EU38" s="70">
        <v>0.99999999999999989</v>
      </c>
      <c r="EW38" s="37" t="s">
        <v>2032</v>
      </c>
      <c r="EX38" s="36" t="s">
        <v>2207</v>
      </c>
      <c r="EY38" s="36" t="s">
        <v>1145</v>
      </c>
      <c r="EZ38" s="1" t="s">
        <v>1945</v>
      </c>
      <c r="FA38" s="36" t="str">
        <f t="shared" si="28"/>
        <v>INGFAC</v>
      </c>
      <c r="FB38" s="1" t="s">
        <v>519</v>
      </c>
      <c r="FC38" s="26">
        <f t="shared" si="29"/>
        <v>22.756623666595594</v>
      </c>
      <c r="FD38" s="25">
        <f t="shared" si="30"/>
        <v>1.343418293075445</v>
      </c>
      <c r="FE38" s="24">
        <f t="shared" si="31"/>
        <v>5.9034165733796717E-2</v>
      </c>
      <c r="FF38" s="36">
        <v>0</v>
      </c>
      <c r="FG38" s="86">
        <f t="shared" si="32"/>
        <v>0</v>
      </c>
    </row>
    <row r="39" spans="1:163">
      <c r="A39" s="37" t="s">
        <v>2075</v>
      </c>
      <c r="B39" s="36" t="s">
        <v>1145</v>
      </c>
      <c r="C39" s="1" t="s">
        <v>456</v>
      </c>
      <c r="D39" s="36" t="s">
        <v>456</v>
      </c>
      <c r="E39" s="36" t="s">
        <v>2213</v>
      </c>
      <c r="F39" s="1" t="e">
        <f t="shared" ca="1" si="2"/>
        <v>#NAME?</v>
      </c>
      <c r="G39" s="35" t="s">
        <v>1121</v>
      </c>
      <c r="H39" s="43">
        <v>1</v>
      </c>
      <c r="I39" s="42">
        <v>0</v>
      </c>
      <c r="J39" s="26">
        <v>0</v>
      </c>
      <c r="K39" s="25">
        <v>0.15323653326262257</v>
      </c>
      <c r="L39" s="24"/>
      <c r="M39" s="25"/>
      <c r="N39" s="24"/>
      <c r="O39" s="25"/>
      <c r="P39" s="24"/>
      <c r="Q39" s="25"/>
      <c r="R39" s="32"/>
      <c r="S39" s="47">
        <v>1</v>
      </c>
      <c r="T39" s="45">
        <v>1</v>
      </c>
      <c r="U39" s="46">
        <v>1</v>
      </c>
      <c r="V39" s="45">
        <v>1</v>
      </c>
      <c r="W39" s="46">
        <v>1</v>
      </c>
      <c r="X39" s="45">
        <v>1</v>
      </c>
      <c r="Y39" s="46">
        <v>1</v>
      </c>
      <c r="Z39" s="45">
        <v>1</v>
      </c>
      <c r="AA39" s="44">
        <v>1</v>
      </c>
      <c r="AB39" s="26">
        <f t="shared" si="83"/>
        <v>0</v>
      </c>
      <c r="AC39" s="25">
        <f t="shared" si="84"/>
        <v>0.15323653326262257</v>
      </c>
      <c r="AD39" s="24">
        <f t="shared" si="85"/>
        <v>0</v>
      </c>
      <c r="AE39" s="25">
        <f t="shared" si="86"/>
        <v>0</v>
      </c>
      <c r="AF39" s="24">
        <f t="shared" si="87"/>
        <v>0</v>
      </c>
      <c r="AG39" s="25">
        <f t="shared" si="88"/>
        <v>0</v>
      </c>
      <c r="AH39" s="24">
        <f t="shared" si="89"/>
        <v>0</v>
      </c>
      <c r="AI39" s="25">
        <f t="shared" si="90"/>
        <v>0</v>
      </c>
      <c r="AJ39" s="24">
        <f t="shared" si="91"/>
        <v>0</v>
      </c>
      <c r="AK39" s="27">
        <f t="shared" si="12"/>
        <v>0.15323653326262257</v>
      </c>
      <c r="AL39" s="41">
        <v>0</v>
      </c>
      <c r="AM39" s="40">
        <v>0</v>
      </c>
      <c r="AN39" s="39">
        <v>0</v>
      </c>
      <c r="AO39" s="40">
        <v>0</v>
      </c>
      <c r="AP39" s="39">
        <v>0</v>
      </c>
      <c r="AQ39" s="40">
        <v>0</v>
      </c>
      <c r="AR39" s="39">
        <v>0</v>
      </c>
      <c r="AS39" s="40">
        <v>0</v>
      </c>
      <c r="AT39" s="39">
        <v>0</v>
      </c>
      <c r="AU39" s="38">
        <v>0</v>
      </c>
      <c r="AW39" s="100" t="s">
        <v>1139</v>
      </c>
      <c r="AX39" s="41">
        <v>0</v>
      </c>
      <c r="AY39" s="40">
        <v>0</v>
      </c>
      <c r="AZ39" s="39">
        <v>4.16741057072828</v>
      </c>
      <c r="BA39" s="40">
        <v>2.8226862710872855</v>
      </c>
      <c r="BB39" s="39">
        <v>25.554675319337505</v>
      </c>
      <c r="BC39" s="40">
        <v>22.274621843079434</v>
      </c>
      <c r="BD39" s="39">
        <v>77.382088849287697</v>
      </c>
      <c r="BE39" s="40">
        <v>8.5923800404586839</v>
      </c>
      <c r="BF39" s="39">
        <v>5.3878136431724464</v>
      </c>
      <c r="BG39" s="81">
        <v>146.18167653715133</v>
      </c>
      <c r="BH39" s="66">
        <v>0</v>
      </c>
      <c r="BJ39" s="22" t="s">
        <v>2032</v>
      </c>
      <c r="BK39" s="20" t="s">
        <v>2207</v>
      </c>
      <c r="BL39" s="21" t="s">
        <v>1027</v>
      </c>
      <c r="BM39" s="20"/>
      <c r="BN39" s="78"/>
      <c r="BO39" s="11">
        <f t="shared" ref="BO39:BW39" si="96">GETPIVOTDATA("Sum of "&amp;BO$1&amp;" (Out)",$AW$6,"Sub-Sector",$BJ39)</f>
        <v>15.467510229977448</v>
      </c>
      <c r="BP39" s="10">
        <f t="shared" si="96"/>
        <v>42.57685175690397</v>
      </c>
      <c r="BQ39" s="9">
        <f t="shared" si="96"/>
        <v>61.587243881054533</v>
      </c>
      <c r="BR39" s="10">
        <f t="shared" si="96"/>
        <v>41.714504685046485</v>
      </c>
      <c r="BS39" s="9">
        <f t="shared" si="96"/>
        <v>26.107654408727129</v>
      </c>
      <c r="BT39" s="10">
        <f t="shared" si="96"/>
        <v>22.756623666595594</v>
      </c>
      <c r="BU39" s="9">
        <f t="shared" si="96"/>
        <v>80.113220778498487</v>
      </c>
      <c r="BV39" s="10">
        <f t="shared" si="96"/>
        <v>29.039007055058246</v>
      </c>
      <c r="BW39" s="16">
        <f t="shared" si="96"/>
        <v>18.208780065444088</v>
      </c>
      <c r="BX39" s="11"/>
      <c r="BY39" s="6"/>
      <c r="BZ39" s="5"/>
      <c r="CA39" s="6"/>
      <c r="CB39" s="5"/>
      <c r="CC39" s="6"/>
      <c r="CD39" s="5"/>
      <c r="CE39" s="6"/>
      <c r="CF39" s="59"/>
      <c r="CH39" s="54" t="s">
        <v>2212</v>
      </c>
      <c r="CI39" s="41">
        <v>0.29306779326419735</v>
      </c>
      <c r="CJ39" s="40">
        <v>0.20818164915321943</v>
      </c>
      <c r="CK39" s="39">
        <v>0.21680881613372888</v>
      </c>
      <c r="CL39" s="40">
        <v>0.26899730166695268</v>
      </c>
      <c r="CM39" s="39">
        <v>9.3774120922468229E-2</v>
      </c>
      <c r="CN39" s="40">
        <v>0.16513515531200695</v>
      </c>
      <c r="CO39" s="39">
        <v>0.17306369287330303</v>
      </c>
      <c r="CP39" s="40">
        <v>0.32092019455891313</v>
      </c>
      <c r="CQ39" s="66">
        <v>0.23640992197825303</v>
      </c>
      <c r="CS39" s="54" t="s">
        <v>1798</v>
      </c>
      <c r="CT39" s="39">
        <v>0</v>
      </c>
      <c r="CU39" s="40">
        <v>0</v>
      </c>
      <c r="CV39" s="39">
        <v>0.44762967532056602</v>
      </c>
      <c r="CW39" s="40">
        <v>0.30319022270892154</v>
      </c>
      <c r="CX39" s="39">
        <v>0</v>
      </c>
      <c r="CY39" s="40">
        <v>0</v>
      </c>
      <c r="CZ39" s="39">
        <v>0</v>
      </c>
      <c r="DA39" s="40">
        <v>0</v>
      </c>
      <c r="DB39" s="39">
        <v>0</v>
      </c>
      <c r="DC39" s="38">
        <v>0.75081989802948756</v>
      </c>
      <c r="DE39" s="37" t="s">
        <v>1923</v>
      </c>
      <c r="DF39" s="35" t="str">
        <f t="shared" si="16"/>
        <v>ICTOH</v>
      </c>
      <c r="DG39" s="26">
        <f t="shared" si="95"/>
        <v>1.0779281174605011E-2</v>
      </c>
      <c r="DH39" s="25">
        <f t="shared" si="95"/>
        <v>2.9671734480424674E-2</v>
      </c>
      <c r="DI39" s="24">
        <f t="shared" si="95"/>
        <v>0.11254321252539011</v>
      </c>
      <c r="DJ39" s="25">
        <f t="shared" si="95"/>
        <v>7.6228193864748453E-2</v>
      </c>
      <c r="DK39" s="24">
        <f t="shared" si="95"/>
        <v>3.3022957554517993E-2</v>
      </c>
      <c r="DL39" s="25">
        <f t="shared" si="95"/>
        <v>2.8784317643446428E-2</v>
      </c>
      <c r="DM39" s="24">
        <f t="shared" si="95"/>
        <v>9.9996787422154371E-2</v>
      </c>
      <c r="DN39" s="25">
        <f t="shared" si="95"/>
        <v>4.1436061544878758E-3</v>
      </c>
      <c r="DO39" s="32">
        <f t="shared" si="95"/>
        <v>2.5982297880170727E-3</v>
      </c>
      <c r="DP39" s="26">
        <f t="shared" si="18"/>
        <v>2.8080267789056781E-2</v>
      </c>
      <c r="DQ39" s="25">
        <f t="shared" si="19"/>
        <v>1.841326654409783E-2</v>
      </c>
      <c r="DR39" s="24">
        <f t="shared" si="20"/>
        <v>2.5396548362022441E-2</v>
      </c>
      <c r="DS39" s="25">
        <f t="shared" si="21"/>
        <v>2.5758630089419834E-2</v>
      </c>
      <c r="DT39" s="24">
        <f t="shared" si="22"/>
        <v>2.2370679808891604E-2</v>
      </c>
      <c r="DU39" s="25">
        <f t="shared" si="23"/>
        <v>2.2370679808891607E-2</v>
      </c>
      <c r="DV39" s="24">
        <f t="shared" si="24"/>
        <v>2.2370679808891607E-2</v>
      </c>
      <c r="DW39" s="25">
        <f t="shared" si="25"/>
        <v>1.7678529896923829E-2</v>
      </c>
      <c r="DX39" s="32">
        <f t="shared" si="26"/>
        <v>1.7678529896923825E-2</v>
      </c>
      <c r="DZ39" s="54" t="s">
        <v>1783</v>
      </c>
      <c r="EA39" s="39">
        <v>0</v>
      </c>
      <c r="EB39" s="40">
        <v>0</v>
      </c>
      <c r="EC39" s="39">
        <v>0</v>
      </c>
      <c r="ED39" s="40">
        <v>0</v>
      </c>
      <c r="EE39" s="39">
        <v>0.6509019799395046</v>
      </c>
      <c r="EF39" s="40">
        <v>0.6509019799395046</v>
      </c>
      <c r="EG39" s="39">
        <v>0.6509019799395046</v>
      </c>
      <c r="EH39" s="40">
        <v>0</v>
      </c>
      <c r="EI39" s="66">
        <v>0</v>
      </c>
      <c r="EO39" s="83" t="s">
        <v>2032</v>
      </c>
      <c r="EP39" s="82" t="s">
        <v>517</v>
      </c>
      <c r="EQ39" s="81">
        <f t="shared" si="27"/>
        <v>26.107654408727129</v>
      </c>
      <c r="ER39" s="80">
        <f>EQ39/SUM(EQ35:EQ43)</f>
        <v>7.7339652225585684E-2</v>
      </c>
      <c r="ET39" s="73" t="s">
        <v>438</v>
      </c>
      <c r="EU39" s="72">
        <v>4.5819966943574521E-2</v>
      </c>
      <c r="EW39" s="37" t="s">
        <v>2032</v>
      </c>
      <c r="EX39" s="36" t="s">
        <v>2207</v>
      </c>
      <c r="EY39" s="36" t="s">
        <v>1107</v>
      </c>
      <c r="EZ39" s="1" t="s">
        <v>1937</v>
      </c>
      <c r="FA39" s="36" t="str">
        <f t="shared" si="28"/>
        <v>INGSTM</v>
      </c>
      <c r="FB39" s="1" t="s">
        <v>520</v>
      </c>
      <c r="FC39" s="26">
        <f t="shared" si="29"/>
        <v>80.113220778498487</v>
      </c>
      <c r="FD39" s="25">
        <f t="shared" si="30"/>
        <v>1.0566564568276462</v>
      </c>
      <c r="FE39" s="24">
        <f t="shared" si="31"/>
        <v>1.3189539086802527E-2</v>
      </c>
      <c r="FF39" s="36">
        <v>0</v>
      </c>
      <c r="FG39" s="86">
        <f t="shared" si="32"/>
        <v>0</v>
      </c>
    </row>
    <row r="40" spans="1:163">
      <c r="A40" s="37" t="s">
        <v>2075</v>
      </c>
      <c r="B40" s="36" t="s">
        <v>1145</v>
      </c>
      <c r="C40" s="1" t="s">
        <v>665</v>
      </c>
      <c r="D40" s="36" t="s">
        <v>665</v>
      </c>
      <c r="E40" s="36" t="s">
        <v>2211</v>
      </c>
      <c r="F40" s="1" t="e">
        <f t="shared" ref="F40:F71" ca="1" si="97">EndUse(A40,B40,C40,G40)</f>
        <v>#NAME?</v>
      </c>
      <c r="G40" s="35" t="s">
        <v>1121</v>
      </c>
      <c r="H40" s="43">
        <v>1</v>
      </c>
      <c r="I40" s="42">
        <v>0</v>
      </c>
      <c r="J40" s="26">
        <v>10.863482334970902</v>
      </c>
      <c r="K40" s="25">
        <v>3.2155835769447472</v>
      </c>
      <c r="L40" s="24"/>
      <c r="M40" s="25"/>
      <c r="N40" s="24"/>
      <c r="O40" s="25"/>
      <c r="P40" s="24"/>
      <c r="Q40" s="25"/>
      <c r="R40" s="32"/>
      <c r="S40" s="47">
        <v>1</v>
      </c>
      <c r="T40" s="45">
        <v>1</v>
      </c>
      <c r="U40" s="46">
        <v>1</v>
      </c>
      <c r="V40" s="45">
        <v>1</v>
      </c>
      <c r="W40" s="46">
        <v>1</v>
      </c>
      <c r="X40" s="45">
        <v>1</v>
      </c>
      <c r="Y40" s="46">
        <v>1</v>
      </c>
      <c r="Z40" s="45">
        <v>1</v>
      </c>
      <c r="AA40" s="44">
        <v>1</v>
      </c>
      <c r="AB40" s="26">
        <f t="shared" si="83"/>
        <v>10.863482334970902</v>
      </c>
      <c r="AC40" s="25">
        <f t="shared" si="84"/>
        <v>3.2155835769447472</v>
      </c>
      <c r="AD40" s="24">
        <f t="shared" si="85"/>
        <v>0</v>
      </c>
      <c r="AE40" s="25">
        <f t="shared" si="86"/>
        <v>0</v>
      </c>
      <c r="AF40" s="24">
        <f t="shared" si="87"/>
        <v>0</v>
      </c>
      <c r="AG40" s="25">
        <f t="shared" si="88"/>
        <v>0</v>
      </c>
      <c r="AH40" s="24">
        <f t="shared" si="89"/>
        <v>0</v>
      </c>
      <c r="AI40" s="25">
        <f t="shared" si="90"/>
        <v>0</v>
      </c>
      <c r="AJ40" s="24">
        <f t="shared" si="91"/>
        <v>0</v>
      </c>
      <c r="AK40" s="27">
        <f t="shared" si="12"/>
        <v>14.079065911915649</v>
      </c>
      <c r="AL40" s="41">
        <v>0</v>
      </c>
      <c r="AM40" s="40">
        <v>0</v>
      </c>
      <c r="AN40" s="39">
        <v>0</v>
      </c>
      <c r="AO40" s="40">
        <v>0</v>
      </c>
      <c r="AP40" s="39">
        <v>0</v>
      </c>
      <c r="AQ40" s="40">
        <v>0</v>
      </c>
      <c r="AR40" s="39">
        <v>0</v>
      </c>
      <c r="AS40" s="40">
        <v>0</v>
      </c>
      <c r="AT40" s="39">
        <v>0</v>
      </c>
      <c r="AU40" s="38">
        <v>0</v>
      </c>
      <c r="AW40" s="100" t="s">
        <v>1136</v>
      </c>
      <c r="AX40" s="41">
        <v>3.5918745893086039</v>
      </c>
      <c r="AY40" s="40">
        <v>9.887222290112927</v>
      </c>
      <c r="AZ40" s="39">
        <v>17.914893676349671</v>
      </c>
      <c r="BA40" s="40">
        <v>12.134183462366069</v>
      </c>
      <c r="BB40" s="39">
        <v>21.473491038141344</v>
      </c>
      <c r="BC40" s="40">
        <v>18.71727527539386</v>
      </c>
      <c r="BD40" s="39">
        <v>65.023858478078054</v>
      </c>
      <c r="BE40" s="40">
        <v>11.341664321792688</v>
      </c>
      <c r="BF40" s="39">
        <v>7.1117401094347743</v>
      </c>
      <c r="BG40" s="81">
        <v>167.19620324097801</v>
      </c>
      <c r="BH40" s="66">
        <v>0</v>
      </c>
      <c r="BJ40" s="37" t="s">
        <v>1976</v>
      </c>
      <c r="BK40" s="36" t="s">
        <v>2188</v>
      </c>
      <c r="BL40" s="1" t="s">
        <v>1150</v>
      </c>
      <c r="BM40" s="36" t="s">
        <v>1902</v>
      </c>
      <c r="BN40" s="82" t="str">
        <f t="shared" ref="BN40:BN46" si="98">BK40&amp;BM40</f>
        <v>ICIETC</v>
      </c>
      <c r="BO40" s="91">
        <f t="shared" ref="BO40:BW46" si="99">IF(ISERROR(GETPIVOTDATA("Sum of "&amp;BO$1&amp;" (Out)",$AW$6,"Sub-Sector",$BJ40,"End-Use",$BL40)),0,GETPIVOTDATA("Sum of "&amp;BO$1&amp;" (Out)",$AW$6,"Sub-Sector",$BJ40,"End-Use",$BL40))</f>
        <v>1.8982444718727445</v>
      </c>
      <c r="BP40" s="89">
        <f t="shared" si="99"/>
        <v>5.2252283835991449</v>
      </c>
      <c r="BQ40" s="90">
        <f t="shared" si="99"/>
        <v>9.2433132839007648</v>
      </c>
      <c r="BR40" s="89">
        <f t="shared" si="99"/>
        <v>6.2607158721262897</v>
      </c>
      <c r="BS40" s="90">
        <f t="shared" si="99"/>
        <v>9.492757260592354</v>
      </c>
      <c r="BT40" s="89">
        <f t="shared" si="99"/>
        <v>8.2743206707007779</v>
      </c>
      <c r="BU40" s="90">
        <f t="shared" si="99"/>
        <v>28.745009536788029</v>
      </c>
      <c r="BV40" s="89">
        <f t="shared" si="99"/>
        <v>5.150781621083186</v>
      </c>
      <c r="BW40" s="88">
        <f t="shared" si="99"/>
        <v>3.229774679471979</v>
      </c>
      <c r="BX40" s="26">
        <f t="shared" ref="BX40:CF40" si="100">BO40/BO47</f>
        <v>0.20343254681153286</v>
      </c>
      <c r="BY40" s="25">
        <f t="shared" si="100"/>
        <v>0.21920853209088265</v>
      </c>
      <c r="BZ40" s="24">
        <f t="shared" si="100"/>
        <v>0.20311390417176861</v>
      </c>
      <c r="CA40" s="25">
        <f t="shared" si="100"/>
        <v>0.20141140035178007</v>
      </c>
      <c r="CB40" s="24">
        <f t="shared" si="100"/>
        <v>0.11501975909863335</v>
      </c>
      <c r="CC40" s="25">
        <f t="shared" si="100"/>
        <v>0.1342026294052128</v>
      </c>
      <c r="CD40" s="24">
        <f t="shared" si="100"/>
        <v>0.11843369259410585</v>
      </c>
      <c r="CE40" s="25">
        <f t="shared" si="100"/>
        <v>0.15020620191915732</v>
      </c>
      <c r="CF40" s="32">
        <f t="shared" si="100"/>
        <v>0.15561137584780224</v>
      </c>
      <c r="CH40" s="54" t="s">
        <v>2210</v>
      </c>
      <c r="CI40" s="41">
        <v>2.5022803120259601E-2</v>
      </c>
      <c r="CJ40" s="40">
        <v>2.7106953733416522E-2</v>
      </c>
      <c r="CK40" s="39">
        <v>6.6932536955083499E-2</v>
      </c>
      <c r="CL40" s="40">
        <v>8.1876676450469033E-2</v>
      </c>
      <c r="CM40" s="39">
        <v>4.1800984156789595E-2</v>
      </c>
      <c r="CN40" s="40">
        <v>7.3611055406569856E-2</v>
      </c>
      <c r="CO40" s="39">
        <v>7.7145299926550642E-2</v>
      </c>
      <c r="CP40" s="40">
        <v>2.5873948095542516E-2</v>
      </c>
      <c r="CQ40" s="66">
        <v>1.9060371251936496E-2</v>
      </c>
      <c r="CS40" s="54" t="s">
        <v>1795</v>
      </c>
      <c r="CT40" s="39">
        <v>0</v>
      </c>
      <c r="CU40" s="40">
        <v>0</v>
      </c>
      <c r="CV40" s="39">
        <v>1.4799177329981752</v>
      </c>
      <c r="CW40" s="40">
        <v>1.0023834696331717</v>
      </c>
      <c r="CX40" s="39">
        <v>0</v>
      </c>
      <c r="CY40" s="40">
        <v>0</v>
      </c>
      <c r="CZ40" s="39">
        <v>0</v>
      </c>
      <c r="DA40" s="40">
        <v>0.76282474301015324</v>
      </c>
      <c r="DB40" s="39">
        <v>0.47832585830551999</v>
      </c>
      <c r="DC40" s="38">
        <v>3.7234518039470199</v>
      </c>
      <c r="DE40" s="37" t="s">
        <v>1920</v>
      </c>
      <c r="DF40" s="35" t="str">
        <f t="shared" si="16"/>
        <v>ICTOH</v>
      </c>
      <c r="DG40" s="26">
        <f t="shared" si="95"/>
        <v>0</v>
      </c>
      <c r="DH40" s="25">
        <f t="shared" si="95"/>
        <v>0</v>
      </c>
      <c r="DI40" s="24">
        <f t="shared" si="95"/>
        <v>0.42778656688941252</v>
      </c>
      <c r="DJ40" s="25">
        <f t="shared" si="95"/>
        <v>0</v>
      </c>
      <c r="DK40" s="24">
        <f t="shared" si="95"/>
        <v>0</v>
      </c>
      <c r="DL40" s="25">
        <f t="shared" si="95"/>
        <v>0</v>
      </c>
      <c r="DM40" s="24">
        <f t="shared" si="95"/>
        <v>0</v>
      </c>
      <c r="DN40" s="25">
        <f t="shared" si="95"/>
        <v>0</v>
      </c>
      <c r="DO40" s="32">
        <f t="shared" si="95"/>
        <v>0</v>
      </c>
      <c r="DP40" s="26">
        <f t="shared" si="18"/>
        <v>0</v>
      </c>
      <c r="DQ40" s="25">
        <f t="shared" si="19"/>
        <v>0</v>
      </c>
      <c r="DR40" s="24">
        <f t="shared" si="20"/>
        <v>9.6534495424852845E-2</v>
      </c>
      <c r="DS40" s="25">
        <f t="shared" si="21"/>
        <v>0</v>
      </c>
      <c r="DT40" s="24">
        <f t="shared" si="22"/>
        <v>0</v>
      </c>
      <c r="DU40" s="25">
        <f t="shared" si="23"/>
        <v>0</v>
      </c>
      <c r="DV40" s="24">
        <f t="shared" si="24"/>
        <v>0</v>
      </c>
      <c r="DW40" s="25">
        <f t="shared" si="25"/>
        <v>0</v>
      </c>
      <c r="DX40" s="32">
        <f t="shared" si="26"/>
        <v>0</v>
      </c>
      <c r="DZ40" s="54" t="s">
        <v>1780</v>
      </c>
      <c r="EA40" s="39">
        <v>0</v>
      </c>
      <c r="EB40" s="40">
        <v>0</v>
      </c>
      <c r="EC40" s="39">
        <v>0</v>
      </c>
      <c r="ED40" s="40">
        <v>0</v>
      </c>
      <c r="EE40" s="39">
        <v>5.2681483695596262E-2</v>
      </c>
      <c r="EF40" s="40">
        <v>5.2681483695596255E-2</v>
      </c>
      <c r="EG40" s="39">
        <v>5.2681483695596255E-2</v>
      </c>
      <c r="EH40" s="40">
        <v>0.45841902488758174</v>
      </c>
      <c r="EI40" s="66">
        <v>0.45841902488758174</v>
      </c>
      <c r="EO40" s="83" t="s">
        <v>2032</v>
      </c>
      <c r="EP40" s="82" t="s">
        <v>519</v>
      </c>
      <c r="EQ40" s="81">
        <f t="shared" ref="EQ40:EQ71" si="101">GETPIVOTDATA("Sum of "&amp;EP40&amp;" (Out)",$AW$6,"Sub-Sector",EO40)</f>
        <v>22.756623666595594</v>
      </c>
      <c r="ER40" s="80">
        <f>EQ40/SUM(EQ35:EQ43)</f>
        <v>6.741277223336907E-2</v>
      </c>
      <c r="ET40" s="73" t="s">
        <v>440</v>
      </c>
      <c r="EU40" s="72">
        <v>0.12612695327537904</v>
      </c>
      <c r="EW40" s="37" t="s">
        <v>2032</v>
      </c>
      <c r="EX40" s="36" t="s">
        <v>2207</v>
      </c>
      <c r="EY40" s="36" t="s">
        <v>1145</v>
      </c>
      <c r="EZ40" s="1" t="s">
        <v>1945</v>
      </c>
      <c r="FA40" s="36" t="str">
        <f t="shared" ref="FA40:FA71" si="102">EX40&amp;EZ40</f>
        <v>INGFAC</v>
      </c>
      <c r="FB40" s="1" t="s">
        <v>521</v>
      </c>
      <c r="FC40" s="26">
        <f t="shared" ref="FC40:FC71" si="103">GETPIVOTDATA("Sum of "&amp;FB40&amp;" (Out)",$AW$6,"Sub-Sector",EW40)</f>
        <v>29.039007055058246</v>
      </c>
      <c r="FD40" s="25">
        <f t="shared" ref="FD40:FD71" si="104">GETPIVOTDATA("Sum of "&amp;FB40&amp;" (Out)",$AW$6,"Sub-Sector",EW40,"End-Use",EY40)</f>
        <v>1.743621286721712</v>
      </c>
      <c r="FE40" s="24">
        <f t="shared" ref="FE40:FE71" si="105">GETPIVOTDATA("Sum of "&amp;FB40&amp;" (%)",$CH$6,"End-Use Commodity",FA40)</f>
        <v>6.0044108375186131E-2</v>
      </c>
      <c r="FF40" s="36">
        <v>0</v>
      </c>
      <c r="FG40" s="86">
        <f t="shared" ref="FG40:FG71" si="106">FC40-((FD40-FF40)/FE40)</f>
        <v>0</v>
      </c>
    </row>
    <row r="41" spans="1:163">
      <c r="A41" s="37" t="s">
        <v>2075</v>
      </c>
      <c r="B41" s="36" t="s">
        <v>1145</v>
      </c>
      <c r="C41" s="1" t="s">
        <v>1106</v>
      </c>
      <c r="D41" s="36" t="s">
        <v>1106</v>
      </c>
      <c r="E41" s="36" t="s">
        <v>2209</v>
      </c>
      <c r="F41" s="1" t="e">
        <f t="shared" ca="1" si="97"/>
        <v>#NAME?</v>
      </c>
      <c r="G41" s="35" t="s">
        <v>1121</v>
      </c>
      <c r="H41" s="43">
        <v>1</v>
      </c>
      <c r="I41" s="42">
        <v>0</v>
      </c>
      <c r="J41" s="26">
        <v>0.31204963168595751</v>
      </c>
      <c r="K41" s="25">
        <v>1.7402946331757266E-2</v>
      </c>
      <c r="L41" s="24"/>
      <c r="M41" s="25"/>
      <c r="N41" s="24"/>
      <c r="O41" s="25"/>
      <c r="P41" s="24"/>
      <c r="Q41" s="25"/>
      <c r="R41" s="32"/>
      <c r="S41" s="47">
        <v>1</v>
      </c>
      <c r="T41" s="45">
        <v>1</v>
      </c>
      <c r="U41" s="46">
        <v>1</v>
      </c>
      <c r="V41" s="45">
        <v>1</v>
      </c>
      <c r="W41" s="46">
        <v>1</v>
      </c>
      <c r="X41" s="45">
        <v>1</v>
      </c>
      <c r="Y41" s="46">
        <v>1</v>
      </c>
      <c r="Z41" s="45">
        <v>1</v>
      </c>
      <c r="AA41" s="44">
        <v>1</v>
      </c>
      <c r="AB41" s="26">
        <f t="shared" si="83"/>
        <v>0.31204963168595751</v>
      </c>
      <c r="AC41" s="25">
        <f t="shared" si="84"/>
        <v>1.7402946331757266E-2</v>
      </c>
      <c r="AD41" s="24">
        <f t="shared" si="85"/>
        <v>0</v>
      </c>
      <c r="AE41" s="25">
        <f t="shared" si="86"/>
        <v>0</v>
      </c>
      <c r="AF41" s="24">
        <f t="shared" si="87"/>
        <v>0</v>
      </c>
      <c r="AG41" s="25">
        <f t="shared" si="88"/>
        <v>0</v>
      </c>
      <c r="AH41" s="24">
        <f t="shared" si="89"/>
        <v>0</v>
      </c>
      <c r="AI41" s="25">
        <f t="shared" si="90"/>
        <v>0</v>
      </c>
      <c r="AJ41" s="24">
        <f t="shared" si="91"/>
        <v>0</v>
      </c>
      <c r="AK41" s="27">
        <f t="shared" si="12"/>
        <v>0.32945257801771477</v>
      </c>
      <c r="AL41" s="41">
        <v>0</v>
      </c>
      <c r="AM41" s="40">
        <v>0</v>
      </c>
      <c r="AN41" s="39">
        <v>0</v>
      </c>
      <c r="AO41" s="40">
        <v>0</v>
      </c>
      <c r="AP41" s="39">
        <v>0</v>
      </c>
      <c r="AQ41" s="40">
        <v>0</v>
      </c>
      <c r="AR41" s="39">
        <v>0</v>
      </c>
      <c r="AS41" s="40">
        <v>0</v>
      </c>
      <c r="AT41" s="39">
        <v>0</v>
      </c>
      <c r="AU41" s="38">
        <v>0</v>
      </c>
      <c r="AW41" s="100" t="s">
        <v>1129</v>
      </c>
      <c r="AX41" s="41">
        <v>0.35871218111415015</v>
      </c>
      <c r="AY41" s="40">
        <v>0.98741394908488267</v>
      </c>
      <c r="AZ41" s="39">
        <v>8.3863762483412891</v>
      </c>
      <c r="BA41" s="40">
        <v>5.6802920419306355</v>
      </c>
      <c r="BB41" s="39">
        <v>2.0369863848662315</v>
      </c>
      <c r="BC41" s="40">
        <v>1.7755303425069322</v>
      </c>
      <c r="BD41" s="39">
        <v>6.1681965999869499</v>
      </c>
      <c r="BE41" s="40">
        <v>0.84022080599123594</v>
      </c>
      <c r="BF41" s="39">
        <v>0.52685671495918496</v>
      </c>
      <c r="BG41" s="81">
        <v>26.760585268781497</v>
      </c>
      <c r="BH41" s="66">
        <v>0</v>
      </c>
      <c r="BJ41" s="37" t="s">
        <v>1976</v>
      </c>
      <c r="BK41" s="36" t="s">
        <v>2188</v>
      </c>
      <c r="BL41" s="1" t="s">
        <v>1145</v>
      </c>
      <c r="BM41" s="36" t="s">
        <v>1945</v>
      </c>
      <c r="BN41" s="82" t="str">
        <f t="shared" si="98"/>
        <v>ICIFAC</v>
      </c>
      <c r="BO41" s="26">
        <f t="shared" si="99"/>
        <v>0.19801856902002407</v>
      </c>
      <c r="BP41" s="25">
        <f t="shared" si="99"/>
        <v>0.54507849892607518</v>
      </c>
      <c r="BQ41" s="24">
        <f t="shared" si="99"/>
        <v>0.98849558804321636</v>
      </c>
      <c r="BR41" s="25">
        <f t="shared" si="99"/>
        <v>0.66953156595567542</v>
      </c>
      <c r="BS41" s="24">
        <f t="shared" si="99"/>
        <v>1.1908937459486775</v>
      </c>
      <c r="BT41" s="25">
        <f t="shared" si="99"/>
        <v>1.038037365562694</v>
      </c>
      <c r="BU41" s="24">
        <f t="shared" si="99"/>
        <v>3.6061442576547917</v>
      </c>
      <c r="BV41" s="25">
        <f t="shared" si="99"/>
        <v>0.62847307887926529</v>
      </c>
      <c r="BW41" s="32">
        <f t="shared" si="99"/>
        <v>0.39408124556971297</v>
      </c>
      <c r="BX41" s="26">
        <f t="shared" ref="BX41:CF41" si="107">BO41/BO47</f>
        <v>2.1221408732446628E-2</v>
      </c>
      <c r="BY41" s="25">
        <f t="shared" si="107"/>
        <v>2.2867107206055684E-2</v>
      </c>
      <c r="BZ41" s="24">
        <f t="shared" si="107"/>
        <v>2.1721345147277759E-2</v>
      </c>
      <c r="CA41" s="25">
        <f t="shared" si="107"/>
        <v>2.1539276503383959E-2</v>
      </c>
      <c r="CB41" s="24">
        <f t="shared" si="107"/>
        <v>1.4429560138414257E-2</v>
      </c>
      <c r="CC41" s="25">
        <f t="shared" si="107"/>
        <v>1.6836106482150063E-2</v>
      </c>
      <c r="CD41" s="24">
        <f t="shared" si="107"/>
        <v>1.4857847930594586E-2</v>
      </c>
      <c r="CE41" s="25">
        <f t="shared" si="107"/>
        <v>1.8327423123607672E-2</v>
      </c>
      <c r="CF41" s="32">
        <f t="shared" si="107"/>
        <v>1.8986935902582578E-2</v>
      </c>
      <c r="CH41" s="54" t="s">
        <v>2208</v>
      </c>
      <c r="CI41" s="41">
        <v>0.39498011680193468</v>
      </c>
      <c r="CJ41" s="40">
        <v>0.28057539582464708</v>
      </c>
      <c r="CK41" s="39">
        <v>0.23823395665576055</v>
      </c>
      <c r="CL41" s="40">
        <v>0.29557973079062344</v>
      </c>
      <c r="CM41" s="39">
        <v>3.5104292101177013E-2</v>
      </c>
      <c r="CN41" s="40">
        <v>6.1818257225133601E-2</v>
      </c>
      <c r="CO41" s="39">
        <v>6.4786301028146268E-2</v>
      </c>
      <c r="CP41" s="40">
        <v>0.30658926948686011</v>
      </c>
      <c r="CQ41" s="66">
        <v>0.22585286469235419</v>
      </c>
      <c r="CS41" s="54" t="s">
        <v>1791</v>
      </c>
      <c r="CT41" s="39">
        <v>0</v>
      </c>
      <c r="CU41" s="40">
        <v>0</v>
      </c>
      <c r="CV41" s="39">
        <v>0.60357172678826432</v>
      </c>
      <c r="CW41" s="40">
        <v>0.40881348211485419</v>
      </c>
      <c r="CX41" s="39">
        <v>0</v>
      </c>
      <c r="CY41" s="40">
        <v>0</v>
      </c>
      <c r="CZ41" s="39">
        <v>0</v>
      </c>
      <c r="DA41" s="40">
        <v>0</v>
      </c>
      <c r="DB41" s="39">
        <v>0</v>
      </c>
      <c r="DC41" s="38">
        <v>1.0123852089031184</v>
      </c>
      <c r="DE41" s="37" t="s">
        <v>1918</v>
      </c>
      <c r="DF41" s="35" t="str">
        <f t="shared" si="16"/>
        <v>ICTOH</v>
      </c>
      <c r="DG41" s="26">
        <f t="shared" si="95"/>
        <v>0</v>
      </c>
      <c r="DH41" s="25">
        <f t="shared" si="95"/>
        <v>0.55475678612612134</v>
      </c>
      <c r="DI41" s="24">
        <f t="shared" si="95"/>
        <v>1.5434497717767783</v>
      </c>
      <c r="DJ41" s="25">
        <f t="shared" si="95"/>
        <v>1.0454152301451214</v>
      </c>
      <c r="DK41" s="24">
        <f t="shared" si="95"/>
        <v>0.45288627503338963</v>
      </c>
      <c r="DL41" s="25">
        <f t="shared" si="95"/>
        <v>0.39475635625297956</v>
      </c>
      <c r="DM41" s="24">
        <f t="shared" si="95"/>
        <v>1.3713845132181171</v>
      </c>
      <c r="DN41" s="25">
        <f t="shared" si="95"/>
        <v>5.6826598690119433E-2</v>
      </c>
      <c r="DO41" s="32">
        <f t="shared" si="95"/>
        <v>3.5632865664234133E-2</v>
      </c>
      <c r="DP41" s="26">
        <f t="shared" si="18"/>
        <v>0</v>
      </c>
      <c r="DQ41" s="25">
        <f t="shared" si="19"/>
        <v>0.34426314298634642</v>
      </c>
      <c r="DR41" s="24">
        <f t="shared" si="20"/>
        <v>0.34829552039345052</v>
      </c>
      <c r="DS41" s="25">
        <f t="shared" si="21"/>
        <v>0.35326121265490046</v>
      </c>
      <c r="DT41" s="24">
        <f t="shared" si="22"/>
        <v>0.30679789452194201</v>
      </c>
      <c r="DU41" s="25">
        <f t="shared" si="23"/>
        <v>0.30679789452194201</v>
      </c>
      <c r="DV41" s="24">
        <f t="shared" si="24"/>
        <v>0.30679789452194201</v>
      </c>
      <c r="DW41" s="25">
        <f t="shared" si="25"/>
        <v>0.24244841001495532</v>
      </c>
      <c r="DX41" s="32">
        <f t="shared" si="26"/>
        <v>0.24244841001495529</v>
      </c>
      <c r="DZ41" s="54" t="s">
        <v>1777</v>
      </c>
      <c r="EA41" s="39">
        <v>0</v>
      </c>
      <c r="EB41" s="40">
        <v>0</v>
      </c>
      <c r="EC41" s="39">
        <v>1</v>
      </c>
      <c r="ED41" s="40">
        <v>1</v>
      </c>
      <c r="EE41" s="39">
        <v>0.29641653636489912</v>
      </c>
      <c r="EF41" s="40">
        <v>0.29641653636489912</v>
      </c>
      <c r="EG41" s="39">
        <v>0.29641653636489912</v>
      </c>
      <c r="EH41" s="40">
        <v>0.54158097511241832</v>
      </c>
      <c r="EI41" s="66">
        <v>0.54158097511241832</v>
      </c>
      <c r="EO41" s="83" t="s">
        <v>2032</v>
      </c>
      <c r="EP41" s="82" t="s">
        <v>520</v>
      </c>
      <c r="EQ41" s="81">
        <f t="shared" si="101"/>
        <v>80.113220778498487</v>
      </c>
      <c r="ER41" s="80">
        <f>EQ41/SUM(EQ35:EQ43)</f>
        <v>0.23732230160092421</v>
      </c>
      <c r="ET41" s="73" t="s">
        <v>439</v>
      </c>
      <c r="EU41" s="72">
        <v>0.18244212784205124</v>
      </c>
      <c r="EW41" s="22" t="s">
        <v>2032</v>
      </c>
      <c r="EX41" s="20" t="s">
        <v>2207</v>
      </c>
      <c r="EY41" s="20" t="s">
        <v>1145</v>
      </c>
      <c r="EZ41" s="85" t="s">
        <v>1945</v>
      </c>
      <c r="FA41" s="20" t="str">
        <f t="shared" si="102"/>
        <v>INGFAC</v>
      </c>
      <c r="FB41" s="78" t="s">
        <v>522</v>
      </c>
      <c r="FC41" s="11">
        <f t="shared" si="103"/>
        <v>18.208780065444088</v>
      </c>
      <c r="FD41" s="10">
        <f t="shared" si="104"/>
        <v>1.0933299636294536</v>
      </c>
      <c r="FE41" s="9">
        <f t="shared" si="105"/>
        <v>6.0044108375186124E-2</v>
      </c>
      <c r="FF41" s="20">
        <v>0</v>
      </c>
      <c r="FG41" s="84">
        <f t="shared" si="106"/>
        <v>0</v>
      </c>
    </row>
    <row r="42" spans="1:163">
      <c r="A42" s="37" t="s">
        <v>2075</v>
      </c>
      <c r="B42" s="36" t="s">
        <v>1139</v>
      </c>
      <c r="C42" s="1" t="s">
        <v>456</v>
      </c>
      <c r="D42" s="36" t="s">
        <v>456</v>
      </c>
      <c r="E42" s="36" t="s">
        <v>2206</v>
      </c>
      <c r="F42" s="1" t="e">
        <f t="shared" ca="1" si="97"/>
        <v>#NAME?</v>
      </c>
      <c r="G42" s="35" t="s">
        <v>1121</v>
      </c>
      <c r="H42" s="43">
        <v>1</v>
      </c>
      <c r="I42" s="42">
        <v>0</v>
      </c>
      <c r="J42" s="26">
        <v>0.30319022270892154</v>
      </c>
      <c r="K42" s="25">
        <v>0</v>
      </c>
      <c r="L42" s="24"/>
      <c r="M42" s="25"/>
      <c r="N42" s="24"/>
      <c r="O42" s="25"/>
      <c r="P42" s="24"/>
      <c r="Q42" s="25"/>
      <c r="R42" s="32"/>
      <c r="S42" s="47">
        <v>1</v>
      </c>
      <c r="T42" s="45">
        <v>1</v>
      </c>
      <c r="U42" s="46">
        <v>1</v>
      </c>
      <c r="V42" s="45">
        <v>1</v>
      </c>
      <c r="W42" s="46">
        <v>1</v>
      </c>
      <c r="X42" s="45">
        <v>1</v>
      </c>
      <c r="Y42" s="46">
        <v>1</v>
      </c>
      <c r="Z42" s="45">
        <v>1</v>
      </c>
      <c r="AA42" s="44">
        <v>1</v>
      </c>
      <c r="AB42" s="26">
        <f t="shared" si="83"/>
        <v>0.30319022270892154</v>
      </c>
      <c r="AC42" s="25">
        <f t="shared" si="84"/>
        <v>0</v>
      </c>
      <c r="AD42" s="24">
        <f t="shared" si="85"/>
        <v>0</v>
      </c>
      <c r="AE42" s="25">
        <f t="shared" si="86"/>
        <v>0</v>
      </c>
      <c r="AF42" s="24">
        <f t="shared" si="87"/>
        <v>0</v>
      </c>
      <c r="AG42" s="25">
        <f t="shared" si="88"/>
        <v>0</v>
      </c>
      <c r="AH42" s="24">
        <f t="shared" si="89"/>
        <v>0</v>
      </c>
      <c r="AI42" s="25">
        <f t="shared" si="90"/>
        <v>0</v>
      </c>
      <c r="AJ42" s="24">
        <f t="shared" si="91"/>
        <v>0</v>
      </c>
      <c r="AK42" s="27">
        <f t="shared" si="12"/>
        <v>0.30319022270892154</v>
      </c>
      <c r="AL42" s="41">
        <v>0</v>
      </c>
      <c r="AM42" s="40">
        <v>0</v>
      </c>
      <c r="AN42" s="39">
        <v>0</v>
      </c>
      <c r="AO42" s="40">
        <v>0</v>
      </c>
      <c r="AP42" s="39">
        <v>0</v>
      </c>
      <c r="AQ42" s="40">
        <v>0</v>
      </c>
      <c r="AR42" s="39">
        <v>0</v>
      </c>
      <c r="AS42" s="40">
        <v>0</v>
      </c>
      <c r="AT42" s="39">
        <v>0</v>
      </c>
      <c r="AU42" s="38">
        <v>0</v>
      </c>
      <c r="AW42" s="100" t="s">
        <v>1123</v>
      </c>
      <c r="AX42" s="41">
        <v>2.1714889122642331</v>
      </c>
      <c r="AY42" s="40">
        <v>5.9773783973356194</v>
      </c>
      <c r="AZ42" s="39">
        <v>3.0995607288623237</v>
      </c>
      <c r="BA42" s="40">
        <v>2.0994061821540244</v>
      </c>
      <c r="BB42" s="39">
        <v>8.811107751844677</v>
      </c>
      <c r="BC42" s="40">
        <v>7.6801638345391439</v>
      </c>
      <c r="BD42" s="39">
        <v>26.680907285797133</v>
      </c>
      <c r="BE42" s="40">
        <v>5.846954216269193</v>
      </c>
      <c r="BF42" s="39">
        <v>3.6663066052811764</v>
      </c>
      <c r="BG42" s="81">
        <v>66.033273914347532</v>
      </c>
      <c r="BH42" s="66">
        <v>0</v>
      </c>
      <c r="BJ42" s="37" t="s">
        <v>1976</v>
      </c>
      <c r="BK42" s="36" t="s">
        <v>2188</v>
      </c>
      <c r="BL42" s="1" t="s">
        <v>1139</v>
      </c>
      <c r="BM42" s="36" t="s">
        <v>1943</v>
      </c>
      <c r="BN42" s="82" t="str">
        <f t="shared" si="98"/>
        <v>ICIFEED</v>
      </c>
      <c r="BO42" s="26">
        <f t="shared" si="99"/>
        <v>0</v>
      </c>
      <c r="BP42" s="25">
        <f t="shared" si="99"/>
        <v>0</v>
      </c>
      <c r="BQ42" s="24">
        <f t="shared" si="99"/>
        <v>4.16741057072828</v>
      </c>
      <c r="BR42" s="25">
        <f t="shared" si="99"/>
        <v>2.8226862710872855</v>
      </c>
      <c r="BS42" s="24">
        <f t="shared" si="99"/>
        <v>25.554675319337505</v>
      </c>
      <c r="BT42" s="25">
        <f t="shared" si="99"/>
        <v>22.274621843079434</v>
      </c>
      <c r="BU42" s="24">
        <f t="shared" si="99"/>
        <v>77.382088849287697</v>
      </c>
      <c r="BV42" s="25">
        <f t="shared" si="99"/>
        <v>8.5923800404586839</v>
      </c>
      <c r="BW42" s="32">
        <f t="shared" si="99"/>
        <v>5.3878136431724464</v>
      </c>
      <c r="BX42" s="26">
        <f t="shared" ref="BX42:CF42" si="108">BO42/BO47</f>
        <v>0</v>
      </c>
      <c r="BY42" s="25">
        <f t="shared" si="108"/>
        <v>0</v>
      </c>
      <c r="BZ42" s="24">
        <f t="shared" si="108"/>
        <v>9.1575283159731416E-2</v>
      </c>
      <c r="CA42" s="25">
        <f t="shared" si="108"/>
        <v>9.080769774980238E-2</v>
      </c>
      <c r="CB42" s="24">
        <f t="shared" si="108"/>
        <v>0.30963528492148312</v>
      </c>
      <c r="CC42" s="25">
        <f t="shared" si="108"/>
        <v>0.3612759209264334</v>
      </c>
      <c r="CD42" s="24">
        <f t="shared" si="108"/>
        <v>0.31882565602691337</v>
      </c>
      <c r="CE42" s="25">
        <f t="shared" si="108"/>
        <v>0.25056949920774563</v>
      </c>
      <c r="CF42" s="32">
        <f t="shared" si="108"/>
        <v>0.25958624889668502</v>
      </c>
      <c r="CH42" s="54" t="s">
        <v>2205</v>
      </c>
      <c r="CI42" s="41">
        <v>5.4362566255972224E-2</v>
      </c>
      <c r="CJ42" s="40">
        <v>0.31893148364252843</v>
      </c>
      <c r="CK42" s="39">
        <v>0.24413375692110006</v>
      </c>
      <c r="CL42" s="40">
        <v>6.3355001488250878E-2</v>
      </c>
      <c r="CM42" s="39">
        <v>0.57605233567810676</v>
      </c>
      <c r="CN42" s="40">
        <v>0.25343300792079865</v>
      </c>
      <c r="CO42" s="39">
        <v>0.21758852388261776</v>
      </c>
      <c r="CP42" s="40">
        <v>9.9716108588203067E-2</v>
      </c>
      <c r="CQ42" s="66">
        <v>0.3367944799501566</v>
      </c>
      <c r="CS42" s="54" t="s">
        <v>1704</v>
      </c>
      <c r="CT42" s="39">
        <v>2.9866263294093153E-2</v>
      </c>
      <c r="CU42" s="40">
        <v>8.2211774610031749E-2</v>
      </c>
      <c r="CV42" s="39">
        <v>6.6819560655302701E-2</v>
      </c>
      <c r="CW42" s="40">
        <v>4.5258477248822225E-2</v>
      </c>
      <c r="CX42" s="39">
        <v>4.5748521125715841E-2</v>
      </c>
      <c r="CY42" s="40">
        <v>3.9876499905453264E-2</v>
      </c>
      <c r="CZ42" s="39">
        <v>0.13853105477708075</v>
      </c>
      <c r="DA42" s="40">
        <v>0.25257609191485619</v>
      </c>
      <c r="DB42" s="39">
        <v>0.15837671373360196</v>
      </c>
      <c r="DC42" s="38">
        <v>0.85926495726495788</v>
      </c>
      <c r="DE42" s="37" t="s">
        <v>1916</v>
      </c>
      <c r="DF42" s="35" t="str">
        <f t="shared" si="16"/>
        <v>ICTOH</v>
      </c>
      <c r="DG42" s="26">
        <f t="shared" si="95"/>
        <v>0.29506005894062404</v>
      </c>
      <c r="DH42" s="25">
        <f t="shared" si="95"/>
        <v>0.81220107193144642</v>
      </c>
      <c r="DI42" s="24">
        <f t="shared" si="95"/>
        <v>2.0663802388017976</v>
      </c>
      <c r="DJ42" s="25">
        <f t="shared" si="95"/>
        <v>1.6471670011351769</v>
      </c>
      <c r="DK42" s="24">
        <f t="shared" si="95"/>
        <v>0.90393372661854221</v>
      </c>
      <c r="DL42" s="25">
        <f t="shared" si="95"/>
        <v>0.7879099100272019</v>
      </c>
      <c r="DM42" s="24">
        <f t="shared" si="95"/>
        <v>2.7372008868425386</v>
      </c>
      <c r="DN42" s="25">
        <f t="shared" si="95"/>
        <v>0.11342246819298928</v>
      </c>
      <c r="DO42" s="32">
        <f t="shared" si="95"/>
        <v>7.1121053619022476E-2</v>
      </c>
      <c r="DP42" s="26">
        <f t="shared" si="18"/>
        <v>0.76863803204495251</v>
      </c>
      <c r="DQ42" s="25">
        <f t="shared" si="19"/>
        <v>0.50402428731431714</v>
      </c>
      <c r="DR42" s="24">
        <f t="shared" si="20"/>
        <v>0.46630022807655253</v>
      </c>
      <c r="DS42" s="25">
        <f t="shared" si="21"/>
        <v>0.55660200414850813</v>
      </c>
      <c r="DT42" s="24">
        <f t="shared" si="22"/>
        <v>0.61235011834592545</v>
      </c>
      <c r="DU42" s="25">
        <f t="shared" si="23"/>
        <v>0.61235011834592545</v>
      </c>
      <c r="DV42" s="24">
        <f t="shared" si="24"/>
        <v>0.61235011834592545</v>
      </c>
      <c r="DW42" s="25">
        <f t="shared" si="25"/>
        <v>0.48391242318262173</v>
      </c>
      <c r="DX42" s="32">
        <f t="shared" si="26"/>
        <v>0.48391242318262179</v>
      </c>
      <c r="DZ42" s="54" t="s">
        <v>1687</v>
      </c>
      <c r="EA42" s="39">
        <v>0.8615166628447759</v>
      </c>
      <c r="EB42" s="40">
        <v>0.8615166628447759</v>
      </c>
      <c r="EC42" s="39">
        <v>0.86373805322262864</v>
      </c>
      <c r="ED42" s="40">
        <v>0.86373805322262864</v>
      </c>
      <c r="EE42" s="39">
        <v>0.75993010789629334</v>
      </c>
      <c r="EF42" s="40">
        <v>0.75993010789629323</v>
      </c>
      <c r="EG42" s="39">
        <v>0.75993010789629334</v>
      </c>
      <c r="EH42" s="40">
        <v>0.91203745923071211</v>
      </c>
      <c r="EI42" s="66">
        <v>0.91203745923071211</v>
      </c>
      <c r="EO42" s="83" t="s">
        <v>2032</v>
      </c>
      <c r="EP42" s="82" t="s">
        <v>521</v>
      </c>
      <c r="EQ42" s="81">
        <f t="shared" si="101"/>
        <v>29.039007055058246</v>
      </c>
      <c r="ER42" s="80">
        <f>EQ42/SUM(EQ35:EQ43)</f>
        <v>8.6023304562503997E-2</v>
      </c>
      <c r="ET42" s="73" t="s">
        <v>518</v>
      </c>
      <c r="EU42" s="72">
        <v>0.12357239124575005</v>
      </c>
      <c r="EW42" s="37" t="s">
        <v>1976</v>
      </c>
      <c r="EX42" s="36" t="s">
        <v>2188</v>
      </c>
      <c r="EY42" s="36" t="s">
        <v>1129</v>
      </c>
      <c r="EZ42" s="1" t="s">
        <v>1910</v>
      </c>
      <c r="FA42" s="36" t="str">
        <f t="shared" si="102"/>
        <v>ICIOHT</v>
      </c>
      <c r="FB42" s="35" t="s">
        <v>438</v>
      </c>
      <c r="FC42" s="26">
        <f t="shared" si="103"/>
        <v>9.3310755905314675</v>
      </c>
      <c r="FD42" s="25">
        <f t="shared" si="104"/>
        <v>0.35871218111415015</v>
      </c>
      <c r="FE42" s="24">
        <f t="shared" si="105"/>
        <v>3.8442747316091465E-2</v>
      </c>
      <c r="FF42" s="36">
        <v>0</v>
      </c>
      <c r="FG42" s="86">
        <f t="shared" si="106"/>
        <v>0</v>
      </c>
    </row>
    <row r="43" spans="1:163" ht="15.75" thickBot="1">
      <c r="A43" s="37" t="s">
        <v>2075</v>
      </c>
      <c r="B43" s="36" t="s">
        <v>1139</v>
      </c>
      <c r="C43" s="1" t="s">
        <v>665</v>
      </c>
      <c r="D43" s="36" t="s">
        <v>665</v>
      </c>
      <c r="E43" s="36" t="s">
        <v>2204</v>
      </c>
      <c r="F43" s="1" t="e">
        <f t="shared" ca="1" si="97"/>
        <v>#NAME?</v>
      </c>
      <c r="G43" s="35" t="s">
        <v>1121</v>
      </c>
      <c r="H43" s="43">
        <v>1</v>
      </c>
      <c r="I43" s="42">
        <v>0</v>
      </c>
      <c r="J43" s="26">
        <v>1.0023834696331717</v>
      </c>
      <c r="K43" s="25">
        <v>0</v>
      </c>
      <c r="L43" s="24"/>
      <c r="M43" s="25"/>
      <c r="N43" s="24"/>
      <c r="O43" s="25"/>
      <c r="P43" s="24"/>
      <c r="Q43" s="25"/>
      <c r="R43" s="32"/>
      <c r="S43" s="47">
        <v>1</v>
      </c>
      <c r="T43" s="45">
        <v>1</v>
      </c>
      <c r="U43" s="46">
        <v>1</v>
      </c>
      <c r="V43" s="45">
        <v>1</v>
      </c>
      <c r="W43" s="46">
        <v>1</v>
      </c>
      <c r="X43" s="45">
        <v>1</v>
      </c>
      <c r="Y43" s="46">
        <v>1</v>
      </c>
      <c r="Z43" s="45">
        <v>1</v>
      </c>
      <c r="AA43" s="44">
        <v>1</v>
      </c>
      <c r="AB43" s="26">
        <f t="shared" si="83"/>
        <v>1.0023834696331717</v>
      </c>
      <c r="AC43" s="25">
        <f t="shared" si="84"/>
        <v>0</v>
      </c>
      <c r="AD43" s="24">
        <f t="shared" si="85"/>
        <v>0</v>
      </c>
      <c r="AE43" s="25">
        <f t="shared" si="86"/>
        <v>0</v>
      </c>
      <c r="AF43" s="24">
        <f t="shared" si="87"/>
        <v>0</v>
      </c>
      <c r="AG43" s="25">
        <f t="shared" si="88"/>
        <v>0</v>
      </c>
      <c r="AH43" s="24">
        <f t="shared" si="89"/>
        <v>0</v>
      </c>
      <c r="AI43" s="25">
        <f t="shared" si="90"/>
        <v>0</v>
      </c>
      <c r="AJ43" s="24">
        <f t="shared" si="91"/>
        <v>0</v>
      </c>
      <c r="AK43" s="27">
        <f t="shared" si="12"/>
        <v>1.0023834696331717</v>
      </c>
      <c r="AL43" s="41">
        <v>0</v>
      </c>
      <c r="AM43" s="40">
        <v>0</v>
      </c>
      <c r="AN43" s="39">
        <v>0</v>
      </c>
      <c r="AO43" s="40">
        <v>0</v>
      </c>
      <c r="AP43" s="39">
        <v>0</v>
      </c>
      <c r="AQ43" s="40">
        <v>0</v>
      </c>
      <c r="AR43" s="39">
        <v>0</v>
      </c>
      <c r="AS43" s="40">
        <v>0</v>
      </c>
      <c r="AT43" s="39">
        <v>0</v>
      </c>
      <c r="AU43" s="38">
        <v>0</v>
      </c>
      <c r="AW43" s="100" t="s">
        <v>1107</v>
      </c>
      <c r="AX43" s="41">
        <v>1.1127368669517117</v>
      </c>
      <c r="AY43" s="40">
        <v>1.2144713911406415</v>
      </c>
      <c r="AZ43" s="39">
        <v>1.707978128587242</v>
      </c>
      <c r="BA43" s="40">
        <v>1.417402584054863</v>
      </c>
      <c r="BB43" s="39">
        <v>13.971623384957779</v>
      </c>
      <c r="BC43" s="40">
        <v>1.895479532559361</v>
      </c>
      <c r="BD43" s="39">
        <v>35.103524860431371</v>
      </c>
      <c r="BE43" s="40">
        <v>1.8909303666907864</v>
      </c>
      <c r="BF43" s="39">
        <v>0.4388162651097457</v>
      </c>
      <c r="BG43" s="81">
        <v>58.752963380483493</v>
      </c>
      <c r="BH43" s="66">
        <v>26.136563732894857</v>
      </c>
      <c r="BJ43" s="37" t="s">
        <v>1976</v>
      </c>
      <c r="BK43" s="36" t="s">
        <v>2188</v>
      </c>
      <c r="BL43" s="1" t="s">
        <v>1136</v>
      </c>
      <c r="BM43" s="36" t="s">
        <v>1941</v>
      </c>
      <c r="BN43" s="82" t="str">
        <f t="shared" si="98"/>
        <v>ICIMDR</v>
      </c>
      <c r="BO43" s="26">
        <f t="shared" si="99"/>
        <v>3.5918745893086039</v>
      </c>
      <c r="BP43" s="25">
        <f t="shared" si="99"/>
        <v>9.887222290112927</v>
      </c>
      <c r="BQ43" s="24">
        <f t="shared" si="99"/>
        <v>17.914893676349671</v>
      </c>
      <c r="BR43" s="25">
        <f t="shared" si="99"/>
        <v>12.134183462366069</v>
      </c>
      <c r="BS43" s="24">
        <f t="shared" si="99"/>
        <v>21.473491038141344</v>
      </c>
      <c r="BT43" s="25">
        <f t="shared" si="99"/>
        <v>18.71727527539386</v>
      </c>
      <c r="BU43" s="24">
        <f t="shared" si="99"/>
        <v>65.023858478078054</v>
      </c>
      <c r="BV43" s="25">
        <f t="shared" si="99"/>
        <v>11.341664321792688</v>
      </c>
      <c r="BW43" s="32">
        <f t="shared" si="99"/>
        <v>7.1117401094347743</v>
      </c>
      <c r="BX43" s="26">
        <f t="shared" ref="BX43:CF43" si="109">BO43/BO47</f>
        <v>0.38493682260525153</v>
      </c>
      <c r="BY43" s="25">
        <f t="shared" si="109"/>
        <v>0.41478827824536668</v>
      </c>
      <c r="BZ43" s="24">
        <f t="shared" si="109"/>
        <v>0.3936644670221453</v>
      </c>
      <c r="CA43" s="25">
        <f t="shared" si="109"/>
        <v>0.3903647654993378</v>
      </c>
      <c r="CB43" s="24">
        <f t="shared" si="109"/>
        <v>0.26018528636215837</v>
      </c>
      <c r="CC43" s="25">
        <f t="shared" si="109"/>
        <v>0.3035787053979736</v>
      </c>
      <c r="CD43" s="24">
        <f t="shared" si="109"/>
        <v>0.26790791829167898</v>
      </c>
      <c r="CE43" s="25">
        <f t="shared" si="109"/>
        <v>0.33074365145774476</v>
      </c>
      <c r="CF43" s="32">
        <f t="shared" si="109"/>
        <v>0.34264547001838186</v>
      </c>
      <c r="CH43" s="54" t="s">
        <v>2203</v>
      </c>
      <c r="CI43" s="41">
        <v>1.3836373247567626E-3</v>
      </c>
      <c r="CJ43" s="40">
        <v>1.4173374092391845E-3</v>
      </c>
      <c r="CK43" s="39">
        <v>1.062177448315391E-3</v>
      </c>
      <c r="CL43" s="40">
        <v>7.4192565095931363E-4</v>
      </c>
      <c r="CM43" s="39">
        <v>7.3463342657700999E-4</v>
      </c>
      <c r="CN43" s="40">
        <v>1.1928634306158344E-3</v>
      </c>
      <c r="CO43" s="39">
        <v>1.7261799981799577E-3</v>
      </c>
      <c r="CP43" s="40">
        <v>1.1848022192743129E-3</v>
      </c>
      <c r="CQ43" s="66">
        <v>6.6238412970125388E-4</v>
      </c>
      <c r="CS43" s="54" t="s">
        <v>1701</v>
      </c>
      <c r="CT43" s="39">
        <v>4.5588439664930807</v>
      </c>
      <c r="CU43" s="40">
        <v>12.548963657256619</v>
      </c>
      <c r="CV43" s="39">
        <v>48.022487944763633</v>
      </c>
      <c r="CW43" s="40">
        <v>32.526772950391205</v>
      </c>
      <c r="CX43" s="39">
        <v>11.493088531757575</v>
      </c>
      <c r="CY43" s="40">
        <v>10.017900742421554</v>
      </c>
      <c r="CZ43" s="39">
        <v>34.802210820663646</v>
      </c>
      <c r="DA43" s="40">
        <v>17.962519903877457</v>
      </c>
      <c r="DB43" s="39">
        <v>11.263318120028277</v>
      </c>
      <c r="DC43" s="38">
        <v>183.19610663765306</v>
      </c>
      <c r="DE43" s="37" t="s">
        <v>1870</v>
      </c>
      <c r="DF43" s="35" t="str">
        <f t="shared" si="16"/>
        <v>IMOOH</v>
      </c>
      <c r="DG43" s="26">
        <f t="shared" si="95"/>
        <v>0.11332939368808261</v>
      </c>
      <c r="DH43" s="25">
        <f t="shared" si="95"/>
        <v>0.31195769215691904</v>
      </c>
      <c r="DI43" s="24">
        <f t="shared" si="95"/>
        <v>0.58316725156757587</v>
      </c>
      <c r="DJ43" s="25">
        <f t="shared" si="95"/>
        <v>0.39499304587592782</v>
      </c>
      <c r="DK43" s="24">
        <f t="shared" si="95"/>
        <v>0.1258568164330314</v>
      </c>
      <c r="DL43" s="25">
        <f t="shared" si="95"/>
        <v>0.10970254786599717</v>
      </c>
      <c r="DM43" s="24">
        <f t="shared" si="95"/>
        <v>0.38110691017622383</v>
      </c>
      <c r="DN43" s="25">
        <f t="shared" si="95"/>
        <v>0.28752470714149186</v>
      </c>
      <c r="DO43" s="32">
        <f t="shared" si="95"/>
        <v>0.18029108728801005</v>
      </c>
      <c r="DP43" s="26">
        <f t="shared" si="18"/>
        <v>0.15602021365729318</v>
      </c>
      <c r="DQ43" s="25">
        <f t="shared" si="19"/>
        <v>0.15602021365729318</v>
      </c>
      <c r="DR43" s="24">
        <f t="shared" si="20"/>
        <v>8.6182678506574351E-2</v>
      </c>
      <c r="DS43" s="25">
        <f t="shared" si="21"/>
        <v>8.6182678506574351E-2</v>
      </c>
      <c r="DT43" s="24">
        <f t="shared" si="22"/>
        <v>2.285742033538166E-2</v>
      </c>
      <c r="DU43" s="25">
        <f t="shared" si="23"/>
        <v>2.285742033538166E-2</v>
      </c>
      <c r="DV43" s="24">
        <f t="shared" si="24"/>
        <v>2.285742033538166E-2</v>
      </c>
      <c r="DW43" s="25">
        <f t="shared" si="25"/>
        <v>0.817855770822846</v>
      </c>
      <c r="DX43" s="32">
        <f t="shared" si="26"/>
        <v>0.81785577082284588</v>
      </c>
      <c r="DZ43" s="54" t="s">
        <v>1685</v>
      </c>
      <c r="EA43" s="39">
        <v>0.1384833371552241</v>
      </c>
      <c r="EB43" s="40">
        <v>0.13848333715522412</v>
      </c>
      <c r="EC43" s="39">
        <v>0.13626194677737133</v>
      </c>
      <c r="ED43" s="40">
        <v>0.13626194677737133</v>
      </c>
      <c r="EE43" s="39">
        <v>0.24006989210370672</v>
      </c>
      <c r="EF43" s="40">
        <v>0.24006989210370669</v>
      </c>
      <c r="EG43" s="39">
        <v>0.24006989210370672</v>
      </c>
      <c r="EH43" s="40">
        <v>8.7962540769287847E-2</v>
      </c>
      <c r="EI43" s="66">
        <v>8.7962540769287834E-2</v>
      </c>
      <c r="EO43" s="79" t="s">
        <v>2032</v>
      </c>
      <c r="EP43" s="78" t="s">
        <v>522</v>
      </c>
      <c r="EQ43" s="77">
        <f t="shared" si="101"/>
        <v>18.208780065444088</v>
      </c>
      <c r="ER43" s="76">
        <f>EQ43/SUM(EQ35:EQ43)</f>
        <v>5.3940530070862178E-2</v>
      </c>
      <c r="ET43" s="73" t="s">
        <v>517</v>
      </c>
      <c r="EU43" s="72">
        <v>7.7339652225585684E-2</v>
      </c>
      <c r="EW43" s="37" t="s">
        <v>1976</v>
      </c>
      <c r="EX43" s="36" t="s">
        <v>2188</v>
      </c>
      <c r="EY43" s="36" t="s">
        <v>1129</v>
      </c>
      <c r="EZ43" s="1" t="s">
        <v>1910</v>
      </c>
      <c r="FA43" s="36" t="str">
        <f t="shared" si="102"/>
        <v>ICIOHT</v>
      </c>
      <c r="FB43" s="1" t="s">
        <v>440</v>
      </c>
      <c r="FC43" s="26">
        <f t="shared" si="103"/>
        <v>23.836792910199289</v>
      </c>
      <c r="FD43" s="25">
        <f t="shared" si="104"/>
        <v>0.98741394908488267</v>
      </c>
      <c r="FE43" s="24">
        <f t="shared" si="105"/>
        <v>4.1423942927422415E-2</v>
      </c>
      <c r="FF43" s="36">
        <v>0</v>
      </c>
      <c r="FG43" s="86">
        <f t="shared" si="106"/>
        <v>0</v>
      </c>
    </row>
    <row r="44" spans="1:163">
      <c r="A44" s="37" t="s">
        <v>2075</v>
      </c>
      <c r="B44" s="36" t="s">
        <v>1139</v>
      </c>
      <c r="C44" s="1" t="s">
        <v>1132</v>
      </c>
      <c r="D44" s="36" t="s">
        <v>1131</v>
      </c>
      <c r="E44" s="36" t="s">
        <v>2202</v>
      </c>
      <c r="F44" s="1" t="e">
        <f t="shared" ca="1" si="97"/>
        <v>#NAME?</v>
      </c>
      <c r="G44" s="35" t="s">
        <v>1121</v>
      </c>
      <c r="H44" s="43">
        <v>1</v>
      </c>
      <c r="I44" s="42">
        <v>0</v>
      </c>
      <c r="J44" s="26">
        <v>0.40881348211485419</v>
      </c>
      <c r="K44" s="25">
        <v>0</v>
      </c>
      <c r="L44" s="24"/>
      <c r="M44" s="25"/>
      <c r="N44" s="24"/>
      <c r="O44" s="25"/>
      <c r="P44" s="24"/>
      <c r="Q44" s="25"/>
      <c r="R44" s="32"/>
      <c r="S44" s="47">
        <v>1</v>
      </c>
      <c r="T44" s="45">
        <v>1</v>
      </c>
      <c r="U44" s="46">
        <v>1</v>
      </c>
      <c r="V44" s="45">
        <v>1</v>
      </c>
      <c r="W44" s="46">
        <v>1</v>
      </c>
      <c r="X44" s="45">
        <v>1</v>
      </c>
      <c r="Y44" s="46">
        <v>1</v>
      </c>
      <c r="Z44" s="45">
        <v>1</v>
      </c>
      <c r="AA44" s="44">
        <v>1</v>
      </c>
      <c r="AB44" s="26">
        <f t="shared" si="83"/>
        <v>0.40881348211485419</v>
      </c>
      <c r="AC44" s="25">
        <f t="shared" si="84"/>
        <v>0</v>
      </c>
      <c r="AD44" s="24">
        <f t="shared" si="85"/>
        <v>0</v>
      </c>
      <c r="AE44" s="25">
        <f t="shared" si="86"/>
        <v>0</v>
      </c>
      <c r="AF44" s="24">
        <f t="shared" si="87"/>
        <v>0</v>
      </c>
      <c r="AG44" s="25">
        <f t="shared" si="88"/>
        <v>0</v>
      </c>
      <c r="AH44" s="24">
        <f t="shared" si="89"/>
        <v>0</v>
      </c>
      <c r="AI44" s="25">
        <f t="shared" si="90"/>
        <v>0</v>
      </c>
      <c r="AJ44" s="24">
        <f t="shared" si="91"/>
        <v>0</v>
      </c>
      <c r="AK44" s="27">
        <f t="shared" si="12"/>
        <v>0.40881348211485419</v>
      </c>
      <c r="AL44" s="41">
        <v>0</v>
      </c>
      <c r="AM44" s="40">
        <v>0</v>
      </c>
      <c r="AN44" s="39">
        <v>0</v>
      </c>
      <c r="AO44" s="40">
        <v>0</v>
      </c>
      <c r="AP44" s="39">
        <v>0</v>
      </c>
      <c r="AQ44" s="40">
        <v>0</v>
      </c>
      <c r="AR44" s="39">
        <v>0</v>
      </c>
      <c r="AS44" s="40">
        <v>0</v>
      </c>
      <c r="AT44" s="39">
        <v>0</v>
      </c>
      <c r="AU44" s="38">
        <v>0</v>
      </c>
      <c r="AW44" s="51" t="s">
        <v>1931</v>
      </c>
      <c r="AX44" s="7">
        <v>3.3850206400124399</v>
      </c>
      <c r="AY44" s="6">
        <v>38.801912518547859</v>
      </c>
      <c r="AZ44" s="5">
        <v>127.05425718166921</v>
      </c>
      <c r="BA44" s="6">
        <v>65.889581878733225</v>
      </c>
      <c r="BB44" s="5">
        <v>526.64109896173318</v>
      </c>
      <c r="BC44" s="6">
        <v>451.64789720574146</v>
      </c>
      <c r="BD44" s="5">
        <v>1692.4694615261481</v>
      </c>
      <c r="BE44" s="6">
        <v>5.8448019160675067</v>
      </c>
      <c r="BF44" s="5">
        <v>3.6482006933455415</v>
      </c>
      <c r="BG44" s="77">
        <v>2915.3822325219985</v>
      </c>
      <c r="BH44" s="59">
        <v>90.792340394773362</v>
      </c>
      <c r="BJ44" s="37" t="s">
        <v>1976</v>
      </c>
      <c r="BK44" s="36" t="s">
        <v>2188</v>
      </c>
      <c r="BL44" s="1" t="s">
        <v>1129</v>
      </c>
      <c r="BM44" s="36" t="s">
        <v>1910</v>
      </c>
      <c r="BN44" s="82" t="str">
        <f t="shared" si="98"/>
        <v>ICIOHT</v>
      </c>
      <c r="BO44" s="26">
        <f t="shared" si="99"/>
        <v>0.35871218111415015</v>
      </c>
      <c r="BP44" s="25">
        <f t="shared" si="99"/>
        <v>0.98741394908488267</v>
      </c>
      <c r="BQ44" s="24">
        <f t="shared" si="99"/>
        <v>8.3863762483412891</v>
      </c>
      <c r="BR44" s="25">
        <f t="shared" si="99"/>
        <v>5.6802920419306355</v>
      </c>
      <c r="BS44" s="24">
        <f t="shared" si="99"/>
        <v>2.0369863848662315</v>
      </c>
      <c r="BT44" s="25">
        <f t="shared" si="99"/>
        <v>1.7755303425069322</v>
      </c>
      <c r="BU44" s="24">
        <f t="shared" si="99"/>
        <v>6.1681965999869499</v>
      </c>
      <c r="BV44" s="25">
        <f t="shared" si="99"/>
        <v>0.84022080599123594</v>
      </c>
      <c r="BW44" s="32">
        <f t="shared" si="99"/>
        <v>0.52685671495918496</v>
      </c>
      <c r="BX44" s="26">
        <f t="shared" ref="BX44:CF44" si="110">BO44/BO47</f>
        <v>3.8442747316091465E-2</v>
      </c>
      <c r="BY44" s="25">
        <f t="shared" si="110"/>
        <v>4.1423942927422415E-2</v>
      </c>
      <c r="BZ44" s="24">
        <f t="shared" si="110"/>
        <v>0.18428344570131702</v>
      </c>
      <c r="CA44" s="25">
        <f t="shared" si="110"/>
        <v>0.18273877906932806</v>
      </c>
      <c r="CB44" s="24">
        <f t="shared" si="110"/>
        <v>2.4681309849472536E-2</v>
      </c>
      <c r="CC44" s="25">
        <f t="shared" si="110"/>
        <v>2.8797631858397343E-2</v>
      </c>
      <c r="CD44" s="24">
        <f t="shared" si="110"/>
        <v>2.5413882679285134E-2</v>
      </c>
      <c r="CE44" s="25">
        <f t="shared" si="110"/>
        <v>2.4502373683405364E-2</v>
      </c>
      <c r="CF44" s="32">
        <f t="shared" si="110"/>
        <v>2.5384092212542664E-2</v>
      </c>
      <c r="CH44" s="54" t="s">
        <v>2201</v>
      </c>
      <c r="CI44" s="41">
        <v>0.17452872430515529</v>
      </c>
      <c r="CJ44" s="40">
        <v>0.17877957288263713</v>
      </c>
      <c r="CK44" s="39">
        <v>0.11744416733859016</v>
      </c>
      <c r="CL44" s="40">
        <v>8.2034165235058951E-2</v>
      </c>
      <c r="CM44" s="39">
        <v>7.8820424688869947E-2</v>
      </c>
      <c r="CN44" s="40">
        <v>0.12798492254164576</v>
      </c>
      <c r="CO44" s="39">
        <v>0.18520562177511307</v>
      </c>
      <c r="CP44" s="40">
        <v>0.18917760205963996</v>
      </c>
      <c r="CQ44" s="66">
        <v>0.1057630035298175</v>
      </c>
      <c r="CS44" s="54" t="s">
        <v>1698</v>
      </c>
      <c r="CT44" s="39">
        <v>0.18297440523928141</v>
      </c>
      <c r="CU44" s="40">
        <v>0.50366697751276779</v>
      </c>
      <c r="CV44" s="39">
        <v>1.8348423900001212</v>
      </c>
      <c r="CW44" s="40">
        <v>1.2427823791206711</v>
      </c>
      <c r="CX44" s="39">
        <v>0.36786276120247913</v>
      </c>
      <c r="CY44" s="40">
        <v>0.32064597939680189</v>
      </c>
      <c r="CZ44" s="39">
        <v>1.1139248891248485</v>
      </c>
      <c r="DA44" s="40">
        <v>0.94953894435626529</v>
      </c>
      <c r="DB44" s="39">
        <v>0.59540416683584529</v>
      </c>
      <c r="DC44" s="38">
        <v>7.1116428927890816</v>
      </c>
      <c r="DE44" s="37" t="s">
        <v>1868</v>
      </c>
      <c r="DF44" s="35" t="str">
        <f t="shared" si="16"/>
        <v>IMOOH</v>
      </c>
      <c r="DG44" s="26">
        <f t="shared" si="95"/>
        <v>0</v>
      </c>
      <c r="DH44" s="25">
        <f t="shared" si="95"/>
        <v>0</v>
      </c>
      <c r="DI44" s="24">
        <f t="shared" si="95"/>
        <v>0</v>
      </c>
      <c r="DJ44" s="25">
        <f t="shared" si="95"/>
        <v>0</v>
      </c>
      <c r="DK44" s="24">
        <f t="shared" si="95"/>
        <v>2.4767218165888491E-2</v>
      </c>
      <c r="DL44" s="25">
        <f t="shared" si="95"/>
        <v>2.1588238232584815E-2</v>
      </c>
      <c r="DM44" s="24">
        <f t="shared" si="95"/>
        <v>7.4997590566615757E-2</v>
      </c>
      <c r="DN44" s="25">
        <f t="shared" si="95"/>
        <v>0</v>
      </c>
      <c r="DO44" s="32">
        <f t="shared" si="95"/>
        <v>0</v>
      </c>
      <c r="DP44" s="26">
        <f t="shared" si="18"/>
        <v>0</v>
      </c>
      <c r="DQ44" s="25">
        <f t="shared" si="19"/>
        <v>0</v>
      </c>
      <c r="DR44" s="24">
        <f t="shared" si="20"/>
        <v>0</v>
      </c>
      <c r="DS44" s="25">
        <f t="shared" si="21"/>
        <v>0</v>
      </c>
      <c r="DT44" s="24">
        <f t="shared" si="22"/>
        <v>4.4980854609257036E-3</v>
      </c>
      <c r="DU44" s="25">
        <f t="shared" si="23"/>
        <v>4.4980854609257036E-3</v>
      </c>
      <c r="DV44" s="24">
        <f t="shared" si="24"/>
        <v>4.4980854609257045E-3</v>
      </c>
      <c r="DW44" s="25">
        <f t="shared" si="25"/>
        <v>0</v>
      </c>
      <c r="DX44" s="32">
        <f t="shared" si="26"/>
        <v>0</v>
      </c>
      <c r="DZ44" s="54" t="s">
        <v>2076</v>
      </c>
      <c r="EA44" s="39">
        <v>0</v>
      </c>
      <c r="EB44" s="40">
        <v>0</v>
      </c>
      <c r="EC44" s="39">
        <v>0</v>
      </c>
      <c r="ED44" s="40">
        <v>0</v>
      </c>
      <c r="EE44" s="39">
        <v>7.807369312700671E-2</v>
      </c>
      <c r="EF44" s="40">
        <v>7.8073693127006724E-2</v>
      </c>
      <c r="EG44" s="39">
        <v>7.8073693127006724E-2</v>
      </c>
      <c r="EH44" s="40">
        <v>0</v>
      </c>
      <c r="EI44" s="66">
        <v>0</v>
      </c>
      <c r="EO44" s="83" t="s">
        <v>1976</v>
      </c>
      <c r="EP44" s="82" t="s">
        <v>438</v>
      </c>
      <c r="EQ44" s="81">
        <f t="shared" si="101"/>
        <v>9.3310755905314675</v>
      </c>
      <c r="ER44" s="80">
        <f>EQ44/SUM(EQ44:EQ52)</f>
        <v>1.6913204039400637E-2</v>
      </c>
      <c r="ET44" s="73" t="s">
        <v>519</v>
      </c>
      <c r="EU44" s="72">
        <v>6.741277223336907E-2</v>
      </c>
      <c r="EW44" s="37" t="s">
        <v>1976</v>
      </c>
      <c r="EX44" s="36" t="s">
        <v>2188</v>
      </c>
      <c r="EY44" s="36" t="s">
        <v>1129</v>
      </c>
      <c r="EZ44" s="1" t="s">
        <v>1910</v>
      </c>
      <c r="FA44" s="36" t="str">
        <f t="shared" si="102"/>
        <v>ICIOHT</v>
      </c>
      <c r="FB44" s="1" t="s">
        <v>439</v>
      </c>
      <c r="FC44" s="26">
        <f t="shared" si="103"/>
        <v>45.508028224812783</v>
      </c>
      <c r="FD44" s="25">
        <f t="shared" si="104"/>
        <v>8.3863762483412891</v>
      </c>
      <c r="FE44" s="24">
        <f t="shared" si="105"/>
        <v>0.18428344570131702</v>
      </c>
      <c r="FF44" s="36">
        <v>0</v>
      </c>
      <c r="FG44" s="86">
        <f t="shared" si="106"/>
        <v>0</v>
      </c>
    </row>
    <row r="45" spans="1:163">
      <c r="A45" s="37" t="s">
        <v>2075</v>
      </c>
      <c r="B45" s="36" t="s">
        <v>1136</v>
      </c>
      <c r="C45" s="1" t="s">
        <v>1120</v>
      </c>
      <c r="D45" s="36" t="s">
        <v>1120</v>
      </c>
      <c r="E45" s="36" t="s">
        <v>2200</v>
      </c>
      <c r="F45" s="1" t="e">
        <f t="shared" ca="1" si="97"/>
        <v>#NAME?</v>
      </c>
      <c r="G45" s="35" t="s">
        <v>1121</v>
      </c>
      <c r="H45" s="43">
        <v>1</v>
      </c>
      <c r="I45" s="42">
        <v>0</v>
      </c>
      <c r="J45" s="26">
        <v>4.5258477248822225E-2</v>
      </c>
      <c r="K45" s="25">
        <v>4.5748521125715841E-2</v>
      </c>
      <c r="L45" s="24"/>
      <c r="M45" s="25"/>
      <c r="N45" s="24"/>
      <c r="O45" s="25"/>
      <c r="P45" s="24"/>
      <c r="Q45" s="25"/>
      <c r="R45" s="32"/>
      <c r="S45" s="47">
        <v>1</v>
      </c>
      <c r="T45" s="45">
        <v>1</v>
      </c>
      <c r="U45" s="46">
        <v>1</v>
      </c>
      <c r="V45" s="45">
        <v>1</v>
      </c>
      <c r="W45" s="46">
        <v>1</v>
      </c>
      <c r="X45" s="45">
        <v>1</v>
      </c>
      <c r="Y45" s="46">
        <v>1</v>
      </c>
      <c r="Z45" s="45">
        <v>1</v>
      </c>
      <c r="AA45" s="44">
        <v>1</v>
      </c>
      <c r="AB45" s="26">
        <f t="shared" si="83"/>
        <v>4.5258477248822225E-2</v>
      </c>
      <c r="AC45" s="25">
        <f t="shared" si="84"/>
        <v>4.5748521125715841E-2</v>
      </c>
      <c r="AD45" s="24">
        <f t="shared" si="85"/>
        <v>0</v>
      </c>
      <c r="AE45" s="25">
        <f t="shared" si="86"/>
        <v>0</v>
      </c>
      <c r="AF45" s="24">
        <f t="shared" si="87"/>
        <v>0</v>
      </c>
      <c r="AG45" s="25">
        <f t="shared" si="88"/>
        <v>0</v>
      </c>
      <c r="AH45" s="24">
        <f t="shared" si="89"/>
        <v>0</v>
      </c>
      <c r="AI45" s="25">
        <f t="shared" si="90"/>
        <v>0</v>
      </c>
      <c r="AJ45" s="24">
        <f t="shared" si="91"/>
        <v>0</v>
      </c>
      <c r="AK45" s="27">
        <f t="shared" si="12"/>
        <v>9.1006998374538073E-2</v>
      </c>
      <c r="AL45" s="41">
        <v>0</v>
      </c>
      <c r="AM45" s="40">
        <v>0</v>
      </c>
      <c r="AN45" s="39">
        <v>0</v>
      </c>
      <c r="AO45" s="40">
        <v>0</v>
      </c>
      <c r="AP45" s="39">
        <v>0</v>
      </c>
      <c r="AQ45" s="40">
        <v>0</v>
      </c>
      <c r="AR45" s="39">
        <v>0</v>
      </c>
      <c r="AS45" s="40">
        <v>0</v>
      </c>
      <c r="AT45" s="39">
        <v>0</v>
      </c>
      <c r="AU45" s="38">
        <v>0</v>
      </c>
      <c r="AW45" s="100" t="s">
        <v>1145</v>
      </c>
      <c r="AX45" s="41">
        <v>0.14468657919893144</v>
      </c>
      <c r="AY45" s="40">
        <v>0.39827347402216207</v>
      </c>
      <c r="AZ45" s="39">
        <v>3.7565187792745833</v>
      </c>
      <c r="BA45" s="40">
        <v>2.5443794906646104</v>
      </c>
      <c r="BB45" s="39">
        <v>2.3095061083402793</v>
      </c>
      <c r="BC45" s="40">
        <v>2.0130709768256767</v>
      </c>
      <c r="BD45" s="39">
        <v>6.993413324188273</v>
      </c>
      <c r="BE45" s="40">
        <v>0.19702927437339537</v>
      </c>
      <c r="BF45" s="39">
        <v>0.12354632913986871</v>
      </c>
      <c r="BG45" s="81">
        <v>18.480424336027781</v>
      </c>
      <c r="BH45" s="66">
        <v>0</v>
      </c>
      <c r="BJ45" s="37" t="s">
        <v>1976</v>
      </c>
      <c r="BK45" s="36" t="s">
        <v>2188</v>
      </c>
      <c r="BL45" s="1" t="s">
        <v>1123</v>
      </c>
      <c r="BM45" s="36" t="s">
        <v>1935</v>
      </c>
      <c r="BN45" s="82" t="str">
        <f t="shared" si="98"/>
        <v>ICIPRH</v>
      </c>
      <c r="BO45" s="26">
        <f t="shared" si="99"/>
        <v>2.1714889122642331</v>
      </c>
      <c r="BP45" s="25">
        <f t="shared" si="99"/>
        <v>5.9773783973356194</v>
      </c>
      <c r="BQ45" s="24">
        <f t="shared" si="99"/>
        <v>3.0995607288623237</v>
      </c>
      <c r="BR45" s="25">
        <f t="shared" si="99"/>
        <v>2.0994061821540244</v>
      </c>
      <c r="BS45" s="24">
        <f t="shared" si="99"/>
        <v>8.811107751844677</v>
      </c>
      <c r="BT45" s="25">
        <f t="shared" si="99"/>
        <v>7.6801638345391439</v>
      </c>
      <c r="BU45" s="24">
        <f t="shared" si="99"/>
        <v>26.680907285797133</v>
      </c>
      <c r="BV45" s="25">
        <f t="shared" si="99"/>
        <v>5.846954216269193</v>
      </c>
      <c r="BW45" s="32">
        <f t="shared" si="99"/>
        <v>3.6663066052811764</v>
      </c>
      <c r="BX45" s="26">
        <f t="shared" ref="BX45:CF45" si="111">BO45/BO47</f>
        <v>0.2327158205070925</v>
      </c>
      <c r="BY45" s="25">
        <f t="shared" si="111"/>
        <v>0.25076269361630515</v>
      </c>
      <c r="BZ45" s="24">
        <f t="shared" si="111"/>
        <v>6.8110196151551131E-2</v>
      </c>
      <c r="CA45" s="25">
        <f t="shared" si="111"/>
        <v>6.7539295456194887E-2</v>
      </c>
      <c r="CB45" s="24">
        <f t="shared" si="111"/>
        <v>0.10676049783938493</v>
      </c>
      <c r="CC45" s="25">
        <f t="shared" si="111"/>
        <v>0.1245658975373844</v>
      </c>
      <c r="CD45" s="24">
        <f t="shared" si="111"/>
        <v>0.10992928590174426</v>
      </c>
      <c r="CE45" s="25">
        <f t="shared" si="111"/>
        <v>0.17050786661701003</v>
      </c>
      <c r="CF45" s="32">
        <f t="shared" si="111"/>
        <v>0.17664359645700131</v>
      </c>
      <c r="CH45" s="54" t="s">
        <v>2199</v>
      </c>
      <c r="CI45" s="41">
        <v>0</v>
      </c>
      <c r="CJ45" s="40">
        <v>0</v>
      </c>
      <c r="CK45" s="39">
        <v>9.7367615421062037E-3</v>
      </c>
      <c r="CL45" s="40">
        <v>6.801079383505943E-3</v>
      </c>
      <c r="CM45" s="39">
        <v>0</v>
      </c>
      <c r="CN45" s="40">
        <v>0</v>
      </c>
      <c r="CO45" s="39">
        <v>0</v>
      </c>
      <c r="CP45" s="40">
        <v>8.7509035009069557E-3</v>
      </c>
      <c r="CQ45" s="66">
        <v>4.8923436378252383E-3</v>
      </c>
      <c r="CS45" s="54" t="s">
        <v>2018</v>
      </c>
      <c r="CT45" s="39">
        <v>6.945642626533291E-2</v>
      </c>
      <c r="CU45" s="40">
        <v>0.19119017351170173</v>
      </c>
      <c r="CV45" s="39">
        <v>0.15539432710535508</v>
      </c>
      <c r="CW45" s="40">
        <v>0.10525227267167958</v>
      </c>
      <c r="CX45" s="39">
        <v>0.10639190959468799</v>
      </c>
      <c r="CY45" s="40">
        <v>9.2736046291751764E-2</v>
      </c>
      <c r="CZ45" s="39">
        <v>0.32216524366762961</v>
      </c>
      <c r="DA45" s="40">
        <v>0.58738626026710739</v>
      </c>
      <c r="DB45" s="39">
        <v>0.3683179389153533</v>
      </c>
      <c r="DC45" s="38">
        <v>1.9982905982905994</v>
      </c>
      <c r="DE45" s="37" t="s">
        <v>1866</v>
      </c>
      <c r="DF45" s="35" t="str">
        <f t="shared" si="16"/>
        <v>IMOOH</v>
      </c>
      <c r="DG45" s="26">
        <f t="shared" si="95"/>
        <v>0</v>
      </c>
      <c r="DH45" s="25">
        <f t="shared" si="95"/>
        <v>0</v>
      </c>
      <c r="DI45" s="24">
        <f t="shared" si="95"/>
        <v>3.2162167468048271</v>
      </c>
      <c r="DJ45" s="25">
        <f t="shared" si="95"/>
        <v>2.178420076920931</v>
      </c>
      <c r="DK45" s="24">
        <f t="shared" si="95"/>
        <v>1.3912166134250004</v>
      </c>
      <c r="DL45" s="25">
        <f t="shared" si="95"/>
        <v>1.2126479236620127</v>
      </c>
      <c r="DM45" s="24">
        <f t="shared" si="95"/>
        <v>4.2127417485595897</v>
      </c>
      <c r="DN45" s="25">
        <f t="shared" si="95"/>
        <v>0</v>
      </c>
      <c r="DO45" s="32">
        <f t="shared" si="95"/>
        <v>0</v>
      </c>
      <c r="DP45" s="26">
        <f t="shared" si="18"/>
        <v>0</v>
      </c>
      <c r="DQ45" s="25">
        <f t="shared" si="19"/>
        <v>0</v>
      </c>
      <c r="DR45" s="24">
        <f t="shared" si="20"/>
        <v>0.47530476574647251</v>
      </c>
      <c r="DS45" s="25">
        <f t="shared" si="21"/>
        <v>0.47530476574647257</v>
      </c>
      <c r="DT45" s="24">
        <f t="shared" si="22"/>
        <v>0.2526650825268732</v>
      </c>
      <c r="DU45" s="25">
        <f t="shared" si="23"/>
        <v>0.2526650825268732</v>
      </c>
      <c r="DV45" s="24">
        <f t="shared" si="24"/>
        <v>0.2526650825268732</v>
      </c>
      <c r="DW45" s="25">
        <f t="shared" si="25"/>
        <v>0</v>
      </c>
      <c r="DX45" s="32">
        <f t="shared" si="26"/>
        <v>0</v>
      </c>
      <c r="DZ45" s="54" t="s">
        <v>2072</v>
      </c>
      <c r="EA45" s="39">
        <v>0</v>
      </c>
      <c r="EB45" s="40">
        <v>0</v>
      </c>
      <c r="EC45" s="39">
        <v>0</v>
      </c>
      <c r="ED45" s="40">
        <v>0</v>
      </c>
      <c r="EE45" s="39">
        <v>9.2586213493514258E-2</v>
      </c>
      <c r="EF45" s="40">
        <v>9.2586213493514258E-2</v>
      </c>
      <c r="EG45" s="39">
        <v>9.2586213493514272E-2</v>
      </c>
      <c r="EH45" s="40">
        <v>0</v>
      </c>
      <c r="EI45" s="66">
        <v>0</v>
      </c>
      <c r="EO45" s="83" t="s">
        <v>1976</v>
      </c>
      <c r="EP45" s="82" t="s">
        <v>440</v>
      </c>
      <c r="EQ45" s="81">
        <f t="shared" si="101"/>
        <v>23.836792910199289</v>
      </c>
      <c r="ER45" s="80">
        <f>EQ45/SUM(EQ44:EQ52)</f>
        <v>4.3205795325914474E-2</v>
      </c>
      <c r="ET45" s="73" t="s">
        <v>520</v>
      </c>
      <c r="EU45" s="72">
        <v>0.23732230160092421</v>
      </c>
      <c r="EW45" s="37" t="s">
        <v>1976</v>
      </c>
      <c r="EX45" s="36" t="s">
        <v>2188</v>
      </c>
      <c r="EY45" s="36" t="s">
        <v>1129</v>
      </c>
      <c r="EZ45" s="1" t="s">
        <v>1910</v>
      </c>
      <c r="FA45" s="36" t="str">
        <f t="shared" si="102"/>
        <v>ICIOHT</v>
      </c>
      <c r="FB45" s="1" t="s">
        <v>518</v>
      </c>
      <c r="FC45" s="26">
        <f t="shared" si="103"/>
        <v>31.08421797967484</v>
      </c>
      <c r="FD45" s="25">
        <f t="shared" si="104"/>
        <v>5.6802920419306355</v>
      </c>
      <c r="FE45" s="24">
        <f t="shared" si="105"/>
        <v>0.18273877906932806</v>
      </c>
      <c r="FF45" s="36">
        <v>0</v>
      </c>
      <c r="FG45" s="86">
        <f t="shared" si="106"/>
        <v>0</v>
      </c>
    </row>
    <row r="46" spans="1:163">
      <c r="A46" s="37" t="s">
        <v>2075</v>
      </c>
      <c r="B46" s="36" t="s">
        <v>1136</v>
      </c>
      <c r="C46" s="1" t="s">
        <v>1126</v>
      </c>
      <c r="D46" s="36" t="s">
        <v>1126</v>
      </c>
      <c r="E46" s="36" t="s">
        <v>2198</v>
      </c>
      <c r="F46" s="1" t="e">
        <f t="shared" ca="1" si="97"/>
        <v>#NAME?</v>
      </c>
      <c r="G46" s="35" t="s">
        <v>1121</v>
      </c>
      <c r="H46" s="43">
        <v>1</v>
      </c>
      <c r="I46" s="42">
        <v>0</v>
      </c>
      <c r="J46" s="26">
        <v>32.526772950391205</v>
      </c>
      <c r="K46" s="25">
        <v>11.493088531757575</v>
      </c>
      <c r="L46" s="24"/>
      <c r="M46" s="25"/>
      <c r="N46" s="24"/>
      <c r="O46" s="25"/>
      <c r="P46" s="24"/>
      <c r="Q46" s="25"/>
      <c r="R46" s="32"/>
      <c r="S46" s="47">
        <v>1</v>
      </c>
      <c r="T46" s="45">
        <v>1</v>
      </c>
      <c r="U46" s="46">
        <v>1</v>
      </c>
      <c r="V46" s="45">
        <v>1</v>
      </c>
      <c r="W46" s="46">
        <v>1</v>
      </c>
      <c r="X46" s="45">
        <v>1</v>
      </c>
      <c r="Y46" s="46">
        <v>1</v>
      </c>
      <c r="Z46" s="45">
        <v>1</v>
      </c>
      <c r="AA46" s="44">
        <v>1</v>
      </c>
      <c r="AB46" s="26">
        <f t="shared" si="83"/>
        <v>32.526772950391205</v>
      </c>
      <c r="AC46" s="25">
        <f t="shared" si="84"/>
        <v>11.493088531757575</v>
      </c>
      <c r="AD46" s="24">
        <f t="shared" si="85"/>
        <v>0</v>
      </c>
      <c r="AE46" s="25">
        <f t="shared" si="86"/>
        <v>0</v>
      </c>
      <c r="AF46" s="24">
        <f t="shared" si="87"/>
        <v>0</v>
      </c>
      <c r="AG46" s="25">
        <f t="shared" si="88"/>
        <v>0</v>
      </c>
      <c r="AH46" s="24">
        <f t="shared" si="89"/>
        <v>0</v>
      </c>
      <c r="AI46" s="25">
        <f t="shared" si="90"/>
        <v>0</v>
      </c>
      <c r="AJ46" s="24">
        <f t="shared" si="91"/>
        <v>0</v>
      </c>
      <c r="AK46" s="27">
        <f t="shared" si="12"/>
        <v>44.019861482148784</v>
      </c>
      <c r="AL46" s="41">
        <v>0</v>
      </c>
      <c r="AM46" s="40">
        <v>0</v>
      </c>
      <c r="AN46" s="39">
        <v>0</v>
      </c>
      <c r="AO46" s="40">
        <v>0</v>
      </c>
      <c r="AP46" s="39">
        <v>0</v>
      </c>
      <c r="AQ46" s="40">
        <v>0</v>
      </c>
      <c r="AR46" s="39">
        <v>0</v>
      </c>
      <c r="AS46" s="40">
        <v>0</v>
      </c>
      <c r="AT46" s="39">
        <v>0</v>
      </c>
      <c r="AU46" s="38">
        <v>0</v>
      </c>
      <c r="AW46" s="100" t="s">
        <v>1139</v>
      </c>
      <c r="AX46" s="41">
        <v>0</v>
      </c>
      <c r="AY46" s="40">
        <v>0</v>
      </c>
      <c r="AZ46" s="39">
        <v>0.79648844867872548</v>
      </c>
      <c r="BA46" s="40">
        <v>0.53948056497158514</v>
      </c>
      <c r="BB46" s="39">
        <v>416.18629089772014</v>
      </c>
      <c r="BC46" s="40">
        <v>362.76697434717784</v>
      </c>
      <c r="BD46" s="39">
        <v>1260.2533249848302</v>
      </c>
      <c r="BE46" s="40">
        <v>1.5161189456025337</v>
      </c>
      <c r="BF46" s="39">
        <v>0.95067563368082775</v>
      </c>
      <c r="BG46" s="81">
        <v>2043.0093538226618</v>
      </c>
      <c r="BH46" s="66">
        <v>0</v>
      </c>
      <c r="BJ46" s="37" t="s">
        <v>1976</v>
      </c>
      <c r="BK46" s="36" t="s">
        <v>2188</v>
      </c>
      <c r="BL46" s="1" t="s">
        <v>1107</v>
      </c>
      <c r="BM46" s="36" t="s">
        <v>1937</v>
      </c>
      <c r="BN46" s="82" t="str">
        <f t="shared" si="98"/>
        <v>ICISTM</v>
      </c>
      <c r="BO46" s="26">
        <f t="shared" si="99"/>
        <v>1.1127368669517117</v>
      </c>
      <c r="BP46" s="25">
        <f t="shared" si="99"/>
        <v>1.2144713911406415</v>
      </c>
      <c r="BQ46" s="24">
        <f t="shared" si="99"/>
        <v>1.707978128587242</v>
      </c>
      <c r="BR46" s="25">
        <f t="shared" si="99"/>
        <v>1.417402584054863</v>
      </c>
      <c r="BS46" s="24">
        <f t="shared" si="99"/>
        <v>13.971623384957779</v>
      </c>
      <c r="BT46" s="25">
        <f t="shared" si="99"/>
        <v>1.895479532559361</v>
      </c>
      <c r="BU46" s="24">
        <f t="shared" si="99"/>
        <v>35.103524860431371</v>
      </c>
      <c r="BV46" s="25">
        <f t="shared" si="99"/>
        <v>1.8909303666907864</v>
      </c>
      <c r="BW46" s="32">
        <f t="shared" si="99"/>
        <v>0.4388162651097457</v>
      </c>
      <c r="BX46" s="26">
        <f t="shared" ref="BX46:CF46" si="112">BO46/BO47</f>
        <v>0.11925065402758503</v>
      </c>
      <c r="BY46" s="25">
        <f t="shared" si="112"/>
        <v>5.0949445913967453E-2</v>
      </c>
      <c r="BZ46" s="24">
        <f t="shared" si="112"/>
        <v>3.7531358646208816E-2</v>
      </c>
      <c r="CA46" s="25">
        <f t="shared" si="112"/>
        <v>4.5598785370172916E-2</v>
      </c>
      <c r="CB46" s="24">
        <f t="shared" si="112"/>
        <v>0.16928830179045337</v>
      </c>
      <c r="CC46" s="25">
        <f t="shared" si="112"/>
        <v>3.0743108392448346E-2</v>
      </c>
      <c r="CD46" s="24">
        <f t="shared" si="112"/>
        <v>0.1446317165756778</v>
      </c>
      <c r="CE46" s="25">
        <f t="shared" si="112"/>
        <v>5.5142983991329129E-2</v>
      </c>
      <c r="CF46" s="32">
        <f t="shared" si="112"/>
        <v>2.1142280665004478E-2</v>
      </c>
      <c r="CH46" s="54" t="s">
        <v>2197</v>
      </c>
      <c r="CI46" s="41">
        <v>0.25187716744047717</v>
      </c>
      <c r="CJ46" s="40">
        <v>0.25801192665090067</v>
      </c>
      <c r="CK46" s="39">
        <v>0.19204925441153181</v>
      </c>
      <c r="CL46" s="40">
        <v>0.13414544652732854</v>
      </c>
      <c r="CM46" s="39">
        <v>0.13236551828310106</v>
      </c>
      <c r="CN46" s="40">
        <v>0.21492894350060071</v>
      </c>
      <c r="CO46" s="39">
        <v>0.31102139086378855</v>
      </c>
      <c r="CP46" s="40">
        <v>0.21985111590581663</v>
      </c>
      <c r="CQ46" s="66">
        <v>0.12291156085301659</v>
      </c>
      <c r="CS46" s="54" t="s">
        <v>2015</v>
      </c>
      <c r="CT46" s="39">
        <v>0.13106152157581302</v>
      </c>
      <c r="CU46" s="40">
        <v>0.36076827441515114</v>
      </c>
      <c r="CV46" s="39">
        <v>1.3805913047597638</v>
      </c>
      <c r="CW46" s="40">
        <v>0.93510731803102576</v>
      </c>
      <c r="CX46" s="39">
        <v>0.33041307876487963</v>
      </c>
      <c r="CY46" s="40">
        <v>0.28800312621957086</v>
      </c>
      <c r="CZ46" s="39">
        <v>1.0005235401524735</v>
      </c>
      <c r="DA46" s="40">
        <v>0.5164017911648302</v>
      </c>
      <c r="DB46" s="39">
        <v>0.3238074436530668</v>
      </c>
      <c r="DC46" s="38">
        <v>5.266677398736574</v>
      </c>
      <c r="DE46" s="37" t="s">
        <v>1864</v>
      </c>
      <c r="DF46" s="35" t="str">
        <f t="shared" si="16"/>
        <v>IMOOH</v>
      </c>
      <c r="DG46" s="26">
        <f t="shared" si="95"/>
        <v>0</v>
      </c>
      <c r="DH46" s="25">
        <f t="shared" si="95"/>
        <v>0</v>
      </c>
      <c r="DI46" s="24">
        <f t="shared" si="95"/>
        <v>0.19894483013480199</v>
      </c>
      <c r="DJ46" s="25">
        <f t="shared" si="95"/>
        <v>0.13475006390530941</v>
      </c>
      <c r="DK46" s="24">
        <f t="shared" si="95"/>
        <v>0.81039902500807814</v>
      </c>
      <c r="DL46" s="25">
        <f t="shared" si="95"/>
        <v>0.70638079327877712</v>
      </c>
      <c r="DM46" s="24">
        <f t="shared" si="95"/>
        <v>2.4539685428559364</v>
      </c>
      <c r="DN46" s="25">
        <f t="shared" si="95"/>
        <v>0</v>
      </c>
      <c r="DO46" s="32">
        <f t="shared" si="95"/>
        <v>0</v>
      </c>
      <c r="DP46" s="26">
        <f t="shared" si="18"/>
        <v>0</v>
      </c>
      <c r="DQ46" s="25">
        <f t="shared" si="19"/>
        <v>0</v>
      </c>
      <c r="DR46" s="24">
        <f t="shared" si="20"/>
        <v>2.9400825046270451E-2</v>
      </c>
      <c r="DS46" s="25">
        <f t="shared" si="21"/>
        <v>2.9400825046270448E-2</v>
      </c>
      <c r="DT46" s="24">
        <f t="shared" si="22"/>
        <v>0.14718019793428963</v>
      </c>
      <c r="DU46" s="25">
        <f t="shared" si="23"/>
        <v>0.14718019793428966</v>
      </c>
      <c r="DV46" s="24">
        <f t="shared" si="24"/>
        <v>0.14718019793428966</v>
      </c>
      <c r="DW46" s="25">
        <f t="shared" si="25"/>
        <v>0</v>
      </c>
      <c r="DX46" s="32">
        <f t="shared" si="26"/>
        <v>0</v>
      </c>
      <c r="DZ46" s="54" t="s">
        <v>2069</v>
      </c>
      <c r="EA46" s="39">
        <v>4.0454407697944755E-2</v>
      </c>
      <c r="EB46" s="40">
        <v>4.0454407697944769E-2</v>
      </c>
      <c r="EC46" s="39">
        <v>7.7451047228946426E-2</v>
      </c>
      <c r="ED46" s="40">
        <v>7.7451047228946412E-2</v>
      </c>
      <c r="EE46" s="39">
        <v>9.8149725994289647E-3</v>
      </c>
      <c r="EF46" s="40">
        <v>9.8149725994289647E-3</v>
      </c>
      <c r="EG46" s="39">
        <v>9.8149725994289665E-3</v>
      </c>
      <c r="EH46" s="40">
        <v>2.1990843155058143E-2</v>
      </c>
      <c r="EI46" s="66">
        <v>2.1990843155058143E-2</v>
      </c>
      <c r="EO46" s="83" t="s">
        <v>1976</v>
      </c>
      <c r="EP46" s="82" t="s">
        <v>439</v>
      </c>
      <c r="EQ46" s="81">
        <f t="shared" si="101"/>
        <v>45.508028224812783</v>
      </c>
      <c r="ER46" s="80">
        <f>EQ46/SUM(EQ44:EQ52)</f>
        <v>8.2486371408038606E-2</v>
      </c>
      <c r="ET46" s="73" t="s">
        <v>521</v>
      </c>
      <c r="EU46" s="72">
        <v>8.6023304562503997E-2</v>
      </c>
      <c r="EW46" s="37" t="s">
        <v>1976</v>
      </c>
      <c r="EX46" s="36" t="s">
        <v>2188</v>
      </c>
      <c r="EY46" s="36" t="s">
        <v>1139</v>
      </c>
      <c r="EZ46" s="1" t="s">
        <v>1943</v>
      </c>
      <c r="FA46" s="36" t="str">
        <f t="shared" si="102"/>
        <v>ICIFEED</v>
      </c>
      <c r="FB46" s="1" t="s">
        <v>517</v>
      </c>
      <c r="FC46" s="26">
        <f t="shared" si="103"/>
        <v>82.531534885688572</v>
      </c>
      <c r="FD46" s="25">
        <f t="shared" si="104"/>
        <v>25.554675319337505</v>
      </c>
      <c r="FE46" s="24">
        <f t="shared" si="105"/>
        <v>0.30963528492148312</v>
      </c>
      <c r="FF46" s="36">
        <v>0.02</v>
      </c>
      <c r="FG46" s="32">
        <f t="shared" si="106"/>
        <v>6.4592121679766024E-2</v>
      </c>
    </row>
    <row r="47" spans="1:163">
      <c r="A47" s="37" t="s">
        <v>2075</v>
      </c>
      <c r="B47" s="36" t="s">
        <v>1136</v>
      </c>
      <c r="C47" s="1" t="s">
        <v>665</v>
      </c>
      <c r="D47" s="36" t="s">
        <v>665</v>
      </c>
      <c r="E47" s="36" t="s">
        <v>2196</v>
      </c>
      <c r="F47" s="1" t="e">
        <f t="shared" ca="1" si="97"/>
        <v>#NAME?</v>
      </c>
      <c r="G47" s="35" t="s">
        <v>1121</v>
      </c>
      <c r="H47" s="43">
        <v>1</v>
      </c>
      <c r="I47" s="42">
        <v>0</v>
      </c>
      <c r="J47" s="26">
        <v>1.2427823791206711</v>
      </c>
      <c r="K47" s="25">
        <v>0.36786276120247913</v>
      </c>
      <c r="L47" s="24"/>
      <c r="M47" s="25"/>
      <c r="N47" s="24"/>
      <c r="O47" s="25"/>
      <c r="P47" s="24"/>
      <c r="Q47" s="25"/>
      <c r="R47" s="32"/>
      <c r="S47" s="47">
        <v>1</v>
      </c>
      <c r="T47" s="45">
        <v>1</v>
      </c>
      <c r="U47" s="46">
        <v>1</v>
      </c>
      <c r="V47" s="45">
        <v>1</v>
      </c>
      <c r="W47" s="46">
        <v>1</v>
      </c>
      <c r="X47" s="45">
        <v>1</v>
      </c>
      <c r="Y47" s="46">
        <v>1</v>
      </c>
      <c r="Z47" s="45">
        <v>1</v>
      </c>
      <c r="AA47" s="44">
        <v>1</v>
      </c>
      <c r="AB47" s="26">
        <f t="shared" si="83"/>
        <v>1.2427823791206711</v>
      </c>
      <c r="AC47" s="25">
        <f t="shared" si="84"/>
        <v>0.36786276120247913</v>
      </c>
      <c r="AD47" s="24">
        <f t="shared" si="85"/>
        <v>0</v>
      </c>
      <c r="AE47" s="25">
        <f t="shared" si="86"/>
        <v>0</v>
      </c>
      <c r="AF47" s="24">
        <f t="shared" si="87"/>
        <v>0</v>
      </c>
      <c r="AG47" s="25">
        <f t="shared" si="88"/>
        <v>0</v>
      </c>
      <c r="AH47" s="24">
        <f t="shared" si="89"/>
        <v>0</v>
      </c>
      <c r="AI47" s="25">
        <f t="shared" si="90"/>
        <v>0</v>
      </c>
      <c r="AJ47" s="24">
        <f t="shared" si="91"/>
        <v>0</v>
      </c>
      <c r="AK47" s="27">
        <f t="shared" si="12"/>
        <v>1.6106451403231503</v>
      </c>
      <c r="AL47" s="41">
        <v>0</v>
      </c>
      <c r="AM47" s="40">
        <v>0</v>
      </c>
      <c r="AN47" s="39">
        <v>0</v>
      </c>
      <c r="AO47" s="40">
        <v>0</v>
      </c>
      <c r="AP47" s="39">
        <v>0</v>
      </c>
      <c r="AQ47" s="40">
        <v>0</v>
      </c>
      <c r="AR47" s="39">
        <v>0</v>
      </c>
      <c r="AS47" s="40">
        <v>0</v>
      </c>
      <c r="AT47" s="39">
        <v>0</v>
      </c>
      <c r="AU47" s="38">
        <v>0</v>
      </c>
      <c r="AW47" s="100" t="s">
        <v>1136</v>
      </c>
      <c r="AX47" s="41">
        <v>0.91276966781428226</v>
      </c>
      <c r="AY47" s="40">
        <v>2.5125478022576249</v>
      </c>
      <c r="AZ47" s="39">
        <v>23.76360603610258</v>
      </c>
      <c r="BA47" s="40">
        <v>16.095655412687492</v>
      </c>
      <c r="BB47" s="39">
        <v>12.944707151036702</v>
      </c>
      <c r="BC47" s="40">
        <v>11.283197812361161</v>
      </c>
      <c r="BD47" s="39">
        <v>39.197855827639607</v>
      </c>
      <c r="BE47" s="40">
        <v>1.3257476486562951</v>
      </c>
      <c r="BF47" s="39">
        <v>0.83130415963920423</v>
      </c>
      <c r="BG47" s="81">
        <v>108.86739151819495</v>
      </c>
      <c r="BH47" s="66">
        <v>0</v>
      </c>
      <c r="BJ47" s="22" t="s">
        <v>1976</v>
      </c>
      <c r="BK47" s="20" t="s">
        <v>2188</v>
      </c>
      <c r="BL47" s="21" t="s">
        <v>1027</v>
      </c>
      <c r="BM47" s="20"/>
      <c r="BN47" s="78"/>
      <c r="BO47" s="11">
        <f t="shared" ref="BO47:BW47" si="113">GETPIVOTDATA("Sum of "&amp;BO$1&amp;" (Out)",$AW$6,"Sub-Sector",$BJ47)</f>
        <v>9.3310755905314675</v>
      </c>
      <c r="BP47" s="10">
        <f t="shared" si="113"/>
        <v>23.836792910199289</v>
      </c>
      <c r="BQ47" s="9">
        <f t="shared" si="113"/>
        <v>45.508028224812783</v>
      </c>
      <c r="BR47" s="10">
        <f t="shared" si="113"/>
        <v>31.08421797967484</v>
      </c>
      <c r="BS47" s="9">
        <f t="shared" si="113"/>
        <v>82.531534885688572</v>
      </c>
      <c r="BT47" s="10">
        <f t="shared" si="113"/>
        <v>61.655428864342205</v>
      </c>
      <c r="BU47" s="9">
        <f t="shared" si="113"/>
        <v>242.70972986802403</v>
      </c>
      <c r="BV47" s="10">
        <f t="shared" si="113"/>
        <v>34.291404451165043</v>
      </c>
      <c r="BW47" s="16">
        <f t="shared" si="113"/>
        <v>20.755389262999017</v>
      </c>
      <c r="BX47" s="11"/>
      <c r="BY47" s="6"/>
      <c r="BZ47" s="5"/>
      <c r="CA47" s="6"/>
      <c r="CB47" s="5"/>
      <c r="CC47" s="6"/>
      <c r="CD47" s="5"/>
      <c r="CE47" s="6"/>
      <c r="CF47" s="59"/>
      <c r="CH47" s="54" t="s">
        <v>2195</v>
      </c>
      <c r="CI47" s="41">
        <v>3.0855307993159772E-2</v>
      </c>
      <c r="CJ47" s="40">
        <v>2.8562731804943252E-2</v>
      </c>
      <c r="CK47" s="39">
        <v>4.9718438326262306E-2</v>
      </c>
      <c r="CL47" s="40">
        <v>3.0363752749147991E-2</v>
      </c>
      <c r="CM47" s="39">
        <v>3.8491875697740673E-2</v>
      </c>
      <c r="CN47" s="40">
        <v>5.0599279060013408E-2</v>
      </c>
      <c r="CO47" s="39">
        <v>8.8452322360961219E-2</v>
      </c>
      <c r="CP47" s="40">
        <v>5.9593148269869389E-2</v>
      </c>
      <c r="CQ47" s="66">
        <v>2.5312934500735608E-2</v>
      </c>
      <c r="CS47" s="54" t="s">
        <v>2012</v>
      </c>
      <c r="CT47" s="39">
        <v>0.22391972669142832</v>
      </c>
      <c r="CU47" s="40">
        <v>0.61637567178135921</v>
      </c>
      <c r="CV47" s="39">
        <v>2.2454364912588893</v>
      </c>
      <c r="CW47" s="40">
        <v>1.5208875268959263</v>
      </c>
      <c r="CX47" s="39">
        <v>0.45018170077226466</v>
      </c>
      <c r="CY47" s="40">
        <v>0.3923989258352471</v>
      </c>
      <c r="CZ47" s="39">
        <v>1.3631947943835561</v>
      </c>
      <c r="DA47" s="40">
        <v>1.1620231836527724</v>
      </c>
      <c r="DB47" s="39">
        <v>0.72864146291099952</v>
      </c>
      <c r="DC47" s="38">
        <v>8.7030594841824431</v>
      </c>
      <c r="DE47" s="37" t="s">
        <v>1861</v>
      </c>
      <c r="DF47" s="35" t="str">
        <f t="shared" si="16"/>
        <v>IMOOH</v>
      </c>
      <c r="DG47" s="26">
        <f t="shared" si="95"/>
        <v>3.4516762302639323E-2</v>
      </c>
      <c r="DH47" s="25">
        <f t="shared" si="95"/>
        <v>9.5013033761536969E-2</v>
      </c>
      <c r="DI47" s="24">
        <f t="shared" si="95"/>
        <v>0.17962993973344174</v>
      </c>
      <c r="DJ47" s="25">
        <f t="shared" si="95"/>
        <v>0.12166762937235974</v>
      </c>
      <c r="DK47" s="24">
        <f t="shared" si="95"/>
        <v>5.2297362521016875E-2</v>
      </c>
      <c r="DL47" s="25">
        <f t="shared" si="95"/>
        <v>4.5584769087815037E-2</v>
      </c>
      <c r="DM47" s="24">
        <f t="shared" si="95"/>
        <v>0.15836159538769085</v>
      </c>
      <c r="DN47" s="25">
        <f t="shared" si="95"/>
        <v>6.4034476517764838E-2</v>
      </c>
      <c r="DO47" s="32">
        <f t="shared" si="95"/>
        <v>4.0152533359942226E-2</v>
      </c>
      <c r="DP47" s="26">
        <f t="shared" si="18"/>
        <v>4.7519116214790921E-2</v>
      </c>
      <c r="DQ47" s="25">
        <f t="shared" si="19"/>
        <v>4.7519116214790928E-2</v>
      </c>
      <c r="DR47" s="24">
        <f t="shared" si="20"/>
        <v>2.6546396946311789E-2</v>
      </c>
      <c r="DS47" s="25">
        <f t="shared" si="21"/>
        <v>2.6546396946311789E-2</v>
      </c>
      <c r="DT47" s="24">
        <f t="shared" si="22"/>
        <v>9.4979583264032646E-3</v>
      </c>
      <c r="DU47" s="25">
        <f t="shared" si="23"/>
        <v>9.4979583264032663E-3</v>
      </c>
      <c r="DV47" s="24">
        <f t="shared" si="24"/>
        <v>9.4979583264032663E-3</v>
      </c>
      <c r="DW47" s="25">
        <f t="shared" si="25"/>
        <v>0.18214422917715403</v>
      </c>
      <c r="DX47" s="32">
        <f t="shared" si="26"/>
        <v>0.18214422917715403</v>
      </c>
      <c r="DZ47" s="54" t="s">
        <v>2066</v>
      </c>
      <c r="EA47" s="39">
        <v>0.95954559230205527</v>
      </c>
      <c r="EB47" s="40">
        <v>0.95954559230205527</v>
      </c>
      <c r="EC47" s="39">
        <v>0.92254895277105364</v>
      </c>
      <c r="ED47" s="40">
        <v>0.92254895277105353</v>
      </c>
      <c r="EE47" s="39">
        <v>0.81952512078005002</v>
      </c>
      <c r="EF47" s="40">
        <v>0.81952512078005013</v>
      </c>
      <c r="EG47" s="39">
        <v>0.81952512078005013</v>
      </c>
      <c r="EH47" s="40">
        <v>0.97800915684494183</v>
      </c>
      <c r="EI47" s="66">
        <v>0.97800915684494183</v>
      </c>
      <c r="EO47" s="83" t="s">
        <v>1976</v>
      </c>
      <c r="EP47" s="82" t="s">
        <v>518</v>
      </c>
      <c r="EQ47" s="81">
        <f t="shared" si="101"/>
        <v>31.08421797967484</v>
      </c>
      <c r="ER47" s="80">
        <f>EQ47/SUM(EQ44:EQ52)</f>
        <v>5.6342242220063544E-2</v>
      </c>
      <c r="ET47" s="73" t="s">
        <v>522</v>
      </c>
      <c r="EU47" s="72">
        <v>5.3940530070862178E-2</v>
      </c>
      <c r="EW47" s="37" t="s">
        <v>1976</v>
      </c>
      <c r="EX47" s="36" t="s">
        <v>2188</v>
      </c>
      <c r="EY47" s="36" t="s">
        <v>1107</v>
      </c>
      <c r="EZ47" s="1" t="s">
        <v>1937</v>
      </c>
      <c r="FA47" s="36" t="str">
        <f t="shared" si="102"/>
        <v>ICISTM</v>
      </c>
      <c r="FB47" s="1" t="s">
        <v>519</v>
      </c>
      <c r="FC47" s="26">
        <f t="shared" si="103"/>
        <v>61.655428864342205</v>
      </c>
      <c r="FD47" s="25">
        <f t="shared" si="104"/>
        <v>1.895479532559361</v>
      </c>
      <c r="FE47" s="24">
        <f t="shared" si="105"/>
        <v>3.0743108392448346E-2</v>
      </c>
      <c r="FF47" s="36">
        <v>0.02</v>
      </c>
      <c r="FG47" s="32">
        <f t="shared" si="106"/>
        <v>0.6505523041031438</v>
      </c>
    </row>
    <row r="48" spans="1:163">
      <c r="A48" s="37" t="s">
        <v>2075</v>
      </c>
      <c r="B48" s="36" t="s">
        <v>1129</v>
      </c>
      <c r="C48" s="1" t="s">
        <v>1120</v>
      </c>
      <c r="D48" s="36" t="s">
        <v>1120</v>
      </c>
      <c r="E48" s="36" t="s">
        <v>2194</v>
      </c>
      <c r="F48" s="1" t="e">
        <f t="shared" ca="1" si="97"/>
        <v>#NAME?</v>
      </c>
      <c r="G48" s="35" t="s">
        <v>1121</v>
      </c>
      <c r="H48" s="43">
        <v>1</v>
      </c>
      <c r="I48" s="42">
        <v>0</v>
      </c>
      <c r="J48" s="26">
        <v>0.10525227267167958</v>
      </c>
      <c r="K48" s="25">
        <v>0.10639190959468799</v>
      </c>
      <c r="L48" s="24"/>
      <c r="M48" s="25"/>
      <c r="N48" s="24"/>
      <c r="O48" s="25"/>
      <c r="P48" s="24"/>
      <c r="Q48" s="25"/>
      <c r="R48" s="32"/>
      <c r="S48" s="47">
        <v>1</v>
      </c>
      <c r="T48" s="45">
        <v>1</v>
      </c>
      <c r="U48" s="46">
        <v>1</v>
      </c>
      <c r="V48" s="45">
        <v>1</v>
      </c>
      <c r="W48" s="46">
        <v>1</v>
      </c>
      <c r="X48" s="45">
        <v>1</v>
      </c>
      <c r="Y48" s="46">
        <v>1</v>
      </c>
      <c r="Z48" s="45">
        <v>1</v>
      </c>
      <c r="AA48" s="44">
        <v>1</v>
      </c>
      <c r="AB48" s="26">
        <f t="shared" si="83"/>
        <v>0.10525227267167958</v>
      </c>
      <c r="AC48" s="25">
        <f t="shared" si="84"/>
        <v>0.10639190959468799</v>
      </c>
      <c r="AD48" s="24">
        <f t="shared" si="85"/>
        <v>0</v>
      </c>
      <c r="AE48" s="25">
        <f t="shared" si="86"/>
        <v>0</v>
      </c>
      <c r="AF48" s="24">
        <f t="shared" si="87"/>
        <v>0</v>
      </c>
      <c r="AG48" s="25">
        <f t="shared" si="88"/>
        <v>0</v>
      </c>
      <c r="AH48" s="24">
        <f t="shared" si="89"/>
        <v>0</v>
      </c>
      <c r="AI48" s="25">
        <f t="shared" si="90"/>
        <v>0</v>
      </c>
      <c r="AJ48" s="24">
        <f t="shared" si="91"/>
        <v>0</v>
      </c>
      <c r="AK48" s="27">
        <f t="shared" si="12"/>
        <v>0.21164418226636755</v>
      </c>
      <c r="AL48" s="41">
        <v>0</v>
      </c>
      <c r="AM48" s="40">
        <v>0</v>
      </c>
      <c r="AN48" s="39">
        <v>0</v>
      </c>
      <c r="AO48" s="40">
        <v>0</v>
      </c>
      <c r="AP48" s="39">
        <v>0</v>
      </c>
      <c r="AQ48" s="40">
        <v>0</v>
      </c>
      <c r="AR48" s="39">
        <v>0</v>
      </c>
      <c r="AS48" s="40">
        <v>0</v>
      </c>
      <c r="AT48" s="39">
        <v>0</v>
      </c>
      <c r="AU48" s="38">
        <v>0</v>
      </c>
      <c r="AW48" s="100" t="s">
        <v>1129</v>
      </c>
      <c r="AX48" s="41">
        <v>0.34086423393902116</v>
      </c>
      <c r="AY48" s="40">
        <v>0.93828455529481136</v>
      </c>
      <c r="AZ48" s="39">
        <v>4.5608753166601526</v>
      </c>
      <c r="BA48" s="40">
        <v>3.0891892992025736</v>
      </c>
      <c r="BB48" s="39">
        <v>34.540561752590463</v>
      </c>
      <c r="BC48" s="40">
        <v>30.107130756785185</v>
      </c>
      <c r="BD48" s="39">
        <v>104.59224329963251</v>
      </c>
      <c r="BE48" s="40">
        <v>0.57850259404021986</v>
      </c>
      <c r="BF48" s="39">
        <v>0.3627474755660553</v>
      </c>
      <c r="BG48" s="81">
        <v>179.11039928371099</v>
      </c>
      <c r="BH48" s="66">
        <v>0</v>
      </c>
      <c r="BJ48" s="37" t="s">
        <v>1931</v>
      </c>
      <c r="BK48" s="36" t="s">
        <v>2168</v>
      </c>
      <c r="BL48" s="1" t="s">
        <v>1150</v>
      </c>
      <c r="BM48" s="36" t="s">
        <v>1902</v>
      </c>
      <c r="BN48" s="82" t="str">
        <f t="shared" ref="BN48:BN54" si="114">BK48&amp;BM48</f>
        <v>ICOETC</v>
      </c>
      <c r="BO48" s="91">
        <f t="shared" ref="BO48:BW54" si="115">IF(ISERROR(GETPIVOTDATA("Sum of "&amp;BO$1&amp;" (Out)",$AW$6,"Sub-Sector",$BJ48,"End-Use",$BL48)),0,GETPIVOTDATA("Sum of "&amp;BO$1&amp;" (Out)",$AW$6,"Sub-Sector",$BJ48,"End-Use",$BL48))</f>
        <v>0</v>
      </c>
      <c r="BP48" s="89">
        <f t="shared" si="115"/>
        <v>0</v>
      </c>
      <c r="BQ48" s="90">
        <f t="shared" si="115"/>
        <v>0</v>
      </c>
      <c r="BR48" s="89">
        <f t="shared" si="115"/>
        <v>0</v>
      </c>
      <c r="BS48" s="90">
        <f t="shared" si="115"/>
        <v>0</v>
      </c>
      <c r="BT48" s="89">
        <f t="shared" si="115"/>
        <v>0</v>
      </c>
      <c r="BU48" s="90">
        <f t="shared" si="115"/>
        <v>0</v>
      </c>
      <c r="BV48" s="89">
        <f t="shared" si="115"/>
        <v>0</v>
      </c>
      <c r="BW48" s="88">
        <f t="shared" si="115"/>
        <v>0</v>
      </c>
      <c r="BX48" s="26">
        <f t="shared" ref="BX48:CF48" si="116">BO48/BO55</f>
        <v>0</v>
      </c>
      <c r="BY48" s="25">
        <f t="shared" si="116"/>
        <v>0</v>
      </c>
      <c r="BZ48" s="24">
        <f t="shared" si="116"/>
        <v>0</v>
      </c>
      <c r="CA48" s="25">
        <f t="shared" si="116"/>
        <v>0</v>
      </c>
      <c r="CB48" s="24">
        <f t="shared" si="116"/>
        <v>0</v>
      </c>
      <c r="CC48" s="25">
        <f t="shared" si="116"/>
        <v>0</v>
      </c>
      <c r="CD48" s="24">
        <f t="shared" si="116"/>
        <v>0</v>
      </c>
      <c r="CE48" s="25">
        <f t="shared" si="116"/>
        <v>0</v>
      </c>
      <c r="CF48" s="32">
        <f t="shared" si="116"/>
        <v>0</v>
      </c>
      <c r="CH48" s="54" t="s">
        <v>2193</v>
      </c>
      <c r="CI48" s="41">
        <v>0.3490589074973014</v>
      </c>
      <c r="CJ48" s="40">
        <v>0.35756064018514205</v>
      </c>
      <c r="CK48" s="39">
        <v>0.28221590049294248</v>
      </c>
      <c r="CL48" s="40">
        <v>0.19712639918723202</v>
      </c>
      <c r="CM48" s="39">
        <v>0.15333505599500624</v>
      </c>
      <c r="CN48" s="40">
        <v>0.24897829898664495</v>
      </c>
      <c r="CO48" s="39">
        <v>0.36029385146775283</v>
      </c>
      <c r="CP48" s="40">
        <v>0.39652926290599472</v>
      </c>
      <c r="CQ48" s="66">
        <v>0.22168652829831967</v>
      </c>
      <c r="CS48" s="54" t="s">
        <v>2024</v>
      </c>
      <c r="CT48" s="39">
        <v>2.0921172611519149E-3</v>
      </c>
      <c r="CU48" s="40">
        <v>0.20752188524388357</v>
      </c>
      <c r="CV48" s="39">
        <v>4.3775165705747332</v>
      </c>
      <c r="CW48" s="40">
        <v>4.5525429504724588</v>
      </c>
      <c r="CX48" s="39">
        <v>0.88852272185710401</v>
      </c>
      <c r="CY48" s="40">
        <v>1.5967658788315486</v>
      </c>
      <c r="CZ48" s="39">
        <v>7.3899106599631175</v>
      </c>
      <c r="DA48" s="40">
        <v>0.13993091348282916</v>
      </c>
      <c r="DB48" s="39">
        <v>1.0130084585814745</v>
      </c>
      <c r="DC48" s="38">
        <v>20.167812156268301</v>
      </c>
      <c r="DE48" s="37" t="s">
        <v>1858</v>
      </c>
      <c r="DF48" s="35" t="str">
        <f t="shared" si="16"/>
        <v>IMOOH</v>
      </c>
      <c r="DG48" s="26">
        <f t="shared" ref="DG48:DO57" si="117">GETPIVOTDATA("Sum of "&amp;DG$1&amp;" (Out)",$CS$6,"Constraint Identifier",$DE48)</f>
        <v>0.57853019635178116</v>
      </c>
      <c r="DH48" s="25">
        <f t="shared" si="117"/>
        <v>1.5924989892182695</v>
      </c>
      <c r="DI48" s="24">
        <f t="shared" si="117"/>
        <v>2.5886822978419022</v>
      </c>
      <c r="DJ48" s="25">
        <f t="shared" si="117"/>
        <v>1.7533760732982153</v>
      </c>
      <c r="DK48" s="24">
        <f t="shared" si="117"/>
        <v>3.101631840302761</v>
      </c>
      <c r="DL48" s="25">
        <f t="shared" si="117"/>
        <v>2.7035239335214376</v>
      </c>
      <c r="DM48" s="24">
        <f t="shared" si="117"/>
        <v>9.3920485251663166</v>
      </c>
      <c r="DN48" s="25">
        <f t="shared" si="117"/>
        <v>0</v>
      </c>
      <c r="DO48" s="32">
        <f t="shared" si="117"/>
        <v>0</v>
      </c>
      <c r="DP48" s="26">
        <f t="shared" si="18"/>
        <v>0.79646067012791588</v>
      </c>
      <c r="DQ48" s="25">
        <f t="shared" si="19"/>
        <v>0.79646067012791588</v>
      </c>
      <c r="DR48" s="24">
        <f t="shared" si="20"/>
        <v>0.38256533375437085</v>
      </c>
      <c r="DS48" s="25">
        <f t="shared" si="21"/>
        <v>0.38256533375437085</v>
      </c>
      <c r="DT48" s="24">
        <f t="shared" si="22"/>
        <v>0.56330125541612652</v>
      </c>
      <c r="DU48" s="25">
        <f t="shared" si="23"/>
        <v>0.56330125541612652</v>
      </c>
      <c r="DV48" s="24">
        <f t="shared" si="24"/>
        <v>0.56330125541612663</v>
      </c>
      <c r="DW48" s="25">
        <f t="shared" si="25"/>
        <v>0</v>
      </c>
      <c r="DX48" s="32">
        <f t="shared" si="26"/>
        <v>0</v>
      </c>
      <c r="DZ48" s="54" t="s">
        <v>1540</v>
      </c>
      <c r="EA48" s="39">
        <v>0</v>
      </c>
      <c r="EB48" s="40">
        <v>0</v>
      </c>
      <c r="EC48" s="39">
        <v>2.9661062032683365E-2</v>
      </c>
      <c r="ED48" s="40">
        <v>2.9661062032683368E-2</v>
      </c>
      <c r="EE48" s="39">
        <v>1.250131221009556E-2</v>
      </c>
      <c r="EF48" s="40">
        <v>1.2501312210095556E-2</v>
      </c>
      <c r="EG48" s="39">
        <v>1.2501312210095561E-2</v>
      </c>
      <c r="EH48" s="40">
        <v>0</v>
      </c>
      <c r="EI48" s="66">
        <v>0</v>
      </c>
      <c r="EO48" s="83" t="s">
        <v>1976</v>
      </c>
      <c r="EP48" s="82" t="s">
        <v>517</v>
      </c>
      <c r="EQ48" s="81">
        <f t="shared" si="101"/>
        <v>82.531534885688572</v>
      </c>
      <c r="ER48" s="80">
        <f>EQ48/SUM(EQ44:EQ52)</f>
        <v>0.14959397506360339</v>
      </c>
      <c r="ET48" s="74" t="s">
        <v>1976</v>
      </c>
      <c r="EU48" s="70">
        <v>0.99999999999999978</v>
      </c>
      <c r="EW48" s="37" t="s">
        <v>1976</v>
      </c>
      <c r="EX48" s="36" t="s">
        <v>2188</v>
      </c>
      <c r="EY48" s="36" t="s">
        <v>1139</v>
      </c>
      <c r="EZ48" s="1" t="s">
        <v>1943</v>
      </c>
      <c r="FA48" s="36" t="str">
        <f t="shared" si="102"/>
        <v>ICIFEED</v>
      </c>
      <c r="FB48" s="1" t="s">
        <v>520</v>
      </c>
      <c r="FC48" s="26">
        <f t="shared" si="103"/>
        <v>242.70972986802403</v>
      </c>
      <c r="FD48" s="25">
        <f t="shared" si="104"/>
        <v>77.382088849287697</v>
      </c>
      <c r="FE48" s="24">
        <f t="shared" si="105"/>
        <v>0.31882565602691337</v>
      </c>
      <c r="FF48" s="36">
        <v>0.02</v>
      </c>
      <c r="FG48" s="32">
        <f t="shared" si="106"/>
        <v>6.2730208883522209E-2</v>
      </c>
    </row>
    <row r="49" spans="1:163">
      <c r="A49" s="37" t="s">
        <v>2075</v>
      </c>
      <c r="B49" s="36" t="s">
        <v>1129</v>
      </c>
      <c r="C49" s="1" t="s">
        <v>1126</v>
      </c>
      <c r="D49" s="36" t="s">
        <v>1126</v>
      </c>
      <c r="E49" s="36" t="s">
        <v>2192</v>
      </c>
      <c r="F49" s="1" t="e">
        <f t="shared" ca="1" si="97"/>
        <v>#NAME?</v>
      </c>
      <c r="G49" s="35" t="s">
        <v>1121</v>
      </c>
      <c r="H49" s="43">
        <v>1</v>
      </c>
      <c r="I49" s="42">
        <v>0</v>
      </c>
      <c r="J49" s="26">
        <v>0.93510731803102576</v>
      </c>
      <c r="K49" s="25">
        <v>0.33041307876487963</v>
      </c>
      <c r="L49" s="24"/>
      <c r="M49" s="25"/>
      <c r="N49" s="24"/>
      <c r="O49" s="25"/>
      <c r="P49" s="24"/>
      <c r="Q49" s="25"/>
      <c r="R49" s="32"/>
      <c r="S49" s="47">
        <v>1</v>
      </c>
      <c r="T49" s="45">
        <v>1</v>
      </c>
      <c r="U49" s="46">
        <v>1</v>
      </c>
      <c r="V49" s="45">
        <v>1</v>
      </c>
      <c r="W49" s="46">
        <v>1</v>
      </c>
      <c r="X49" s="45">
        <v>1</v>
      </c>
      <c r="Y49" s="46">
        <v>1</v>
      </c>
      <c r="Z49" s="45">
        <v>1</v>
      </c>
      <c r="AA49" s="44">
        <v>1</v>
      </c>
      <c r="AB49" s="26">
        <f t="shared" si="83"/>
        <v>0.93510731803102576</v>
      </c>
      <c r="AC49" s="25">
        <f t="shared" si="84"/>
        <v>0.33041307876487963</v>
      </c>
      <c r="AD49" s="24">
        <f t="shared" si="85"/>
        <v>0</v>
      </c>
      <c r="AE49" s="25">
        <f t="shared" si="86"/>
        <v>0</v>
      </c>
      <c r="AF49" s="24">
        <f t="shared" si="87"/>
        <v>0</v>
      </c>
      <c r="AG49" s="25">
        <f t="shared" si="88"/>
        <v>0</v>
      </c>
      <c r="AH49" s="24">
        <f t="shared" si="89"/>
        <v>0</v>
      </c>
      <c r="AI49" s="25">
        <f t="shared" si="90"/>
        <v>0</v>
      </c>
      <c r="AJ49" s="24">
        <f t="shared" si="91"/>
        <v>0</v>
      </c>
      <c r="AK49" s="27">
        <f t="shared" si="12"/>
        <v>1.2655203967959054</v>
      </c>
      <c r="AL49" s="41">
        <v>0</v>
      </c>
      <c r="AM49" s="40">
        <v>0</v>
      </c>
      <c r="AN49" s="39">
        <v>0</v>
      </c>
      <c r="AO49" s="40">
        <v>0</v>
      </c>
      <c r="AP49" s="39">
        <v>0</v>
      </c>
      <c r="AQ49" s="40">
        <v>0</v>
      </c>
      <c r="AR49" s="39">
        <v>0</v>
      </c>
      <c r="AS49" s="40">
        <v>0</v>
      </c>
      <c r="AT49" s="39">
        <v>0</v>
      </c>
      <c r="AU49" s="38">
        <v>0</v>
      </c>
      <c r="AW49" s="100" t="s">
        <v>1123</v>
      </c>
      <c r="AX49" s="41">
        <v>1.9637405596978315</v>
      </c>
      <c r="AY49" s="40">
        <v>5.4055170778054888</v>
      </c>
      <c r="AZ49" s="39">
        <v>51.897331023516863</v>
      </c>
      <c r="BA49" s="40">
        <v>35.151296302575084</v>
      </c>
      <c r="BB49" s="39">
        <v>47.55625386880471</v>
      </c>
      <c r="BC49" s="40">
        <v>41.452202305991584</v>
      </c>
      <c r="BD49" s="39">
        <v>144.00504863508979</v>
      </c>
      <c r="BE49" s="40">
        <v>1.8787664669289517</v>
      </c>
      <c r="BF49" s="39">
        <v>1.1780721470874718</v>
      </c>
      <c r="BG49" s="81">
        <v>330.48822838749777</v>
      </c>
      <c r="BH49" s="66">
        <v>0</v>
      </c>
      <c r="BJ49" s="37" t="s">
        <v>1931</v>
      </c>
      <c r="BK49" s="36" t="s">
        <v>2168</v>
      </c>
      <c r="BL49" s="1" t="s">
        <v>1145</v>
      </c>
      <c r="BM49" s="36" t="s">
        <v>1945</v>
      </c>
      <c r="BN49" s="82" t="str">
        <f t="shared" si="114"/>
        <v>ICOFAC</v>
      </c>
      <c r="BO49" s="26">
        <f t="shared" si="115"/>
        <v>0.14468657919893144</v>
      </c>
      <c r="BP49" s="25">
        <f t="shared" si="115"/>
        <v>0.39827347402216207</v>
      </c>
      <c r="BQ49" s="24">
        <f t="shared" si="115"/>
        <v>3.7565187792745833</v>
      </c>
      <c r="BR49" s="25">
        <f t="shared" si="115"/>
        <v>2.5443794906646104</v>
      </c>
      <c r="BS49" s="24">
        <f t="shared" si="115"/>
        <v>2.3095061083402793</v>
      </c>
      <c r="BT49" s="25">
        <f t="shared" si="115"/>
        <v>2.0130709768256767</v>
      </c>
      <c r="BU49" s="24">
        <f t="shared" si="115"/>
        <v>6.993413324188273</v>
      </c>
      <c r="BV49" s="25">
        <f t="shared" si="115"/>
        <v>0.19702927437339537</v>
      </c>
      <c r="BW49" s="32">
        <f t="shared" si="115"/>
        <v>0.12354632913986871</v>
      </c>
      <c r="BX49" s="26">
        <f t="shared" ref="BX49:CF49" si="118">BO49/BO55</f>
        <v>4.2743189654051772E-2</v>
      </c>
      <c r="BY49" s="25">
        <f t="shared" si="118"/>
        <v>1.0264274314617398E-2</v>
      </c>
      <c r="BZ49" s="24">
        <f t="shared" si="118"/>
        <v>2.9566256673346291E-2</v>
      </c>
      <c r="CA49" s="25">
        <f t="shared" si="118"/>
        <v>3.8615808722954489E-2</v>
      </c>
      <c r="CB49" s="24">
        <f t="shared" si="118"/>
        <v>4.3853510728529234E-3</v>
      </c>
      <c r="CC49" s="25">
        <f t="shared" si="118"/>
        <v>4.4571689346505523E-3</v>
      </c>
      <c r="CD49" s="24">
        <f t="shared" si="118"/>
        <v>4.1320765208266224E-3</v>
      </c>
      <c r="CE49" s="25">
        <f t="shared" si="118"/>
        <v>3.3710171397213134E-2</v>
      </c>
      <c r="CF49" s="32">
        <f t="shared" si="118"/>
        <v>3.3865003470127608E-2</v>
      </c>
      <c r="CH49" s="54" t="s">
        <v>2191</v>
      </c>
      <c r="CI49" s="41">
        <v>0.19229625543914958</v>
      </c>
      <c r="CJ49" s="40">
        <v>0.17566779106713767</v>
      </c>
      <c r="CK49" s="39">
        <v>0.34777330044025168</v>
      </c>
      <c r="CL49" s="40">
        <v>0.54878723126676732</v>
      </c>
      <c r="CM49" s="39">
        <v>0.59625249190870522</v>
      </c>
      <c r="CN49" s="40">
        <v>0.3563156924804794</v>
      </c>
      <c r="CO49" s="39">
        <v>5.3300633534204243E-2</v>
      </c>
      <c r="CP49" s="40">
        <v>0.12491316513849809</v>
      </c>
      <c r="CQ49" s="66">
        <v>0.51877124505058414</v>
      </c>
      <c r="CS49" s="54" t="s">
        <v>2027</v>
      </c>
      <c r="CT49" s="39">
        <v>0.12959496197258127</v>
      </c>
      <c r="CU49" s="40">
        <v>0</v>
      </c>
      <c r="CV49" s="39">
        <v>4.2445129759785445</v>
      </c>
      <c r="CW49" s="40">
        <v>0.18722130289582223</v>
      </c>
      <c r="CX49" s="39">
        <v>1.6282068241363417</v>
      </c>
      <c r="CY49" s="40">
        <v>2.2208912680700799E-2</v>
      </c>
      <c r="CZ49" s="39">
        <v>0</v>
      </c>
      <c r="DA49" s="40">
        <v>2.72354052735938</v>
      </c>
      <c r="DB49" s="39">
        <v>0</v>
      </c>
      <c r="DC49" s="38">
        <v>8.9352855050233693</v>
      </c>
      <c r="DE49" s="37" t="s">
        <v>1750</v>
      </c>
      <c r="DF49" s="35" t="str">
        <f t="shared" si="16"/>
        <v>INOOH</v>
      </c>
      <c r="DG49" s="26">
        <f t="shared" si="117"/>
        <v>3.7791296839802216E-2</v>
      </c>
      <c r="DH49" s="25">
        <f t="shared" si="117"/>
        <v>0.10402672565433035</v>
      </c>
      <c r="DI49" s="24">
        <f t="shared" si="117"/>
        <v>0.12682526568007951</v>
      </c>
      <c r="DJ49" s="25">
        <f t="shared" si="117"/>
        <v>8.5901768061119391E-2</v>
      </c>
      <c r="DK49" s="24">
        <f t="shared" si="117"/>
        <v>0.12301183580420917</v>
      </c>
      <c r="DL49" s="25">
        <f t="shared" si="117"/>
        <v>0.10722273284717955</v>
      </c>
      <c r="DM49" s="24">
        <f t="shared" si="117"/>
        <v>0.37249202694867478</v>
      </c>
      <c r="DN49" s="25">
        <f t="shared" si="117"/>
        <v>0.1089536358929941</v>
      </c>
      <c r="DO49" s="32">
        <f t="shared" si="117"/>
        <v>6.8318892224671662E-2</v>
      </c>
      <c r="DP49" s="26">
        <f t="shared" si="18"/>
        <v>0.1514259306605148</v>
      </c>
      <c r="DQ49" s="25">
        <f t="shared" si="19"/>
        <v>6.9653018684773901E-2</v>
      </c>
      <c r="DR49" s="24">
        <f t="shared" si="20"/>
        <v>2.2138511847602606E-2</v>
      </c>
      <c r="DS49" s="25">
        <f t="shared" si="21"/>
        <v>2.2138511847602599E-2</v>
      </c>
      <c r="DT49" s="24">
        <f t="shared" si="22"/>
        <v>7.9931773936096379E-2</v>
      </c>
      <c r="DU49" s="25">
        <f t="shared" si="23"/>
        <v>7.9931773936096392E-2</v>
      </c>
      <c r="DV49" s="24">
        <f t="shared" si="24"/>
        <v>7.9931773936096379E-2</v>
      </c>
      <c r="DW49" s="25">
        <f t="shared" si="25"/>
        <v>0.14532619983773126</v>
      </c>
      <c r="DX49" s="32">
        <f t="shared" si="26"/>
        <v>0.14532619983773123</v>
      </c>
      <c r="DZ49" s="54" t="s">
        <v>1546</v>
      </c>
      <c r="EA49" s="39">
        <v>5.553589878902114E-2</v>
      </c>
      <c r="EB49" s="40">
        <v>5.5535898789021133E-2</v>
      </c>
      <c r="EC49" s="39">
        <v>5.4850729455204576E-2</v>
      </c>
      <c r="ED49" s="40">
        <v>5.4850729455204583E-2</v>
      </c>
      <c r="EE49" s="39">
        <v>2.8687405887175641E-2</v>
      </c>
      <c r="EF49" s="40">
        <v>2.8687405887175641E-2</v>
      </c>
      <c r="EG49" s="39">
        <v>2.8687405887175645E-2</v>
      </c>
      <c r="EH49" s="40">
        <v>8.9255250927117169E-2</v>
      </c>
      <c r="EI49" s="66">
        <v>8.9255250927117197E-2</v>
      </c>
      <c r="EO49" s="83" t="s">
        <v>1976</v>
      </c>
      <c r="EP49" s="82" t="s">
        <v>519</v>
      </c>
      <c r="EQ49" s="81">
        <f t="shared" si="101"/>
        <v>61.655428864342205</v>
      </c>
      <c r="ER49" s="80">
        <f>EQ49/SUM(EQ44:EQ52)</f>
        <v>0.1117546244698225</v>
      </c>
      <c r="ET49" s="73" t="s">
        <v>438</v>
      </c>
      <c r="EU49" s="72">
        <v>1.6913204039400637E-2</v>
      </c>
      <c r="EW49" s="37" t="s">
        <v>1976</v>
      </c>
      <c r="EX49" s="36" t="s">
        <v>2188</v>
      </c>
      <c r="EY49" s="36" t="s">
        <v>1139</v>
      </c>
      <c r="EZ49" s="1" t="s">
        <v>1943</v>
      </c>
      <c r="FA49" s="36" t="str">
        <f t="shared" si="102"/>
        <v>ICIFEED</v>
      </c>
      <c r="FB49" s="1" t="s">
        <v>521</v>
      </c>
      <c r="FC49" s="26">
        <f t="shared" si="103"/>
        <v>34.291404451165043</v>
      </c>
      <c r="FD49" s="25">
        <f t="shared" si="104"/>
        <v>8.5923800404586839</v>
      </c>
      <c r="FE49" s="24">
        <f t="shared" si="105"/>
        <v>0.25056949920774563</v>
      </c>
      <c r="FF49" s="36">
        <v>0.02</v>
      </c>
      <c r="FG49" s="32">
        <f t="shared" si="106"/>
        <v>7.9818174451546042E-2</v>
      </c>
    </row>
    <row r="50" spans="1:163" ht="15.75" thickBot="1">
      <c r="A50" s="37" t="s">
        <v>2075</v>
      </c>
      <c r="B50" s="36" t="s">
        <v>1129</v>
      </c>
      <c r="C50" s="1" t="s">
        <v>665</v>
      </c>
      <c r="D50" s="36" t="s">
        <v>665</v>
      </c>
      <c r="E50" s="36" t="s">
        <v>2190</v>
      </c>
      <c r="F50" s="1" t="e">
        <f t="shared" ca="1" si="97"/>
        <v>#NAME?</v>
      </c>
      <c r="G50" s="35" t="s">
        <v>1121</v>
      </c>
      <c r="H50" s="43">
        <v>1</v>
      </c>
      <c r="I50" s="42">
        <v>0</v>
      </c>
      <c r="J50" s="26">
        <v>1.5208875268959263</v>
      </c>
      <c r="K50" s="25">
        <v>0.45018170077226466</v>
      </c>
      <c r="L50" s="24"/>
      <c r="M50" s="25"/>
      <c r="N50" s="24"/>
      <c r="O50" s="25"/>
      <c r="P50" s="24"/>
      <c r="Q50" s="25"/>
      <c r="R50" s="32"/>
      <c r="S50" s="47">
        <v>1</v>
      </c>
      <c r="T50" s="45">
        <v>1</v>
      </c>
      <c r="U50" s="46">
        <v>1</v>
      </c>
      <c r="V50" s="45">
        <v>1</v>
      </c>
      <c r="W50" s="46">
        <v>1</v>
      </c>
      <c r="X50" s="45">
        <v>1</v>
      </c>
      <c r="Y50" s="46">
        <v>1</v>
      </c>
      <c r="Z50" s="45">
        <v>1</v>
      </c>
      <c r="AA50" s="44">
        <v>1</v>
      </c>
      <c r="AB50" s="26">
        <f t="shared" si="83"/>
        <v>1.5208875268959263</v>
      </c>
      <c r="AC50" s="25">
        <f t="shared" si="84"/>
        <v>0.45018170077226466</v>
      </c>
      <c r="AD50" s="24">
        <f t="shared" si="85"/>
        <v>0</v>
      </c>
      <c r="AE50" s="25">
        <f t="shared" si="86"/>
        <v>0</v>
      </c>
      <c r="AF50" s="24">
        <f t="shared" si="87"/>
        <v>0</v>
      </c>
      <c r="AG50" s="25">
        <f t="shared" si="88"/>
        <v>0</v>
      </c>
      <c r="AH50" s="24">
        <f t="shared" si="89"/>
        <v>0</v>
      </c>
      <c r="AI50" s="25">
        <f t="shared" si="90"/>
        <v>0</v>
      </c>
      <c r="AJ50" s="24">
        <f t="shared" si="91"/>
        <v>0</v>
      </c>
      <c r="AK50" s="27">
        <f t="shared" si="12"/>
        <v>1.9710692276681909</v>
      </c>
      <c r="AL50" s="41">
        <v>0</v>
      </c>
      <c r="AM50" s="40">
        <v>0</v>
      </c>
      <c r="AN50" s="39">
        <v>0</v>
      </c>
      <c r="AO50" s="40">
        <v>0</v>
      </c>
      <c r="AP50" s="39">
        <v>0</v>
      </c>
      <c r="AQ50" s="40">
        <v>0</v>
      </c>
      <c r="AR50" s="39">
        <v>0</v>
      </c>
      <c r="AS50" s="40">
        <v>0</v>
      </c>
      <c r="AT50" s="39">
        <v>0</v>
      </c>
      <c r="AU50" s="38">
        <v>0</v>
      </c>
      <c r="AW50" s="100" t="s">
        <v>1107</v>
      </c>
      <c r="AX50" s="41">
        <v>2.295959936237358E-2</v>
      </c>
      <c r="AY50" s="40">
        <v>29.54728960916777</v>
      </c>
      <c r="AZ50" s="39">
        <v>42.279437577436312</v>
      </c>
      <c r="BA50" s="40">
        <v>8.4695808086318749</v>
      </c>
      <c r="BB50" s="39">
        <v>13.103779183240945</v>
      </c>
      <c r="BC50" s="40">
        <v>4.0253210066000111</v>
      </c>
      <c r="BD50" s="39">
        <v>137.42757545476775</v>
      </c>
      <c r="BE50" s="40">
        <v>0.34863698646611102</v>
      </c>
      <c r="BF50" s="39">
        <v>0.20185494823211395</v>
      </c>
      <c r="BG50" s="81">
        <v>235.42643517390525</v>
      </c>
      <c r="BH50" s="66">
        <v>90.792340394773362</v>
      </c>
      <c r="BJ50" s="37" t="s">
        <v>1931</v>
      </c>
      <c r="BK50" s="36" t="s">
        <v>2168</v>
      </c>
      <c r="BL50" s="1" t="s">
        <v>1139</v>
      </c>
      <c r="BM50" s="36" t="s">
        <v>1943</v>
      </c>
      <c r="BN50" s="82" t="str">
        <f t="shared" si="114"/>
        <v>ICOFEED</v>
      </c>
      <c r="BO50" s="26">
        <f t="shared" si="115"/>
        <v>0</v>
      </c>
      <c r="BP50" s="25">
        <f t="shared" si="115"/>
        <v>0</v>
      </c>
      <c r="BQ50" s="24">
        <f t="shared" si="115"/>
        <v>0.79648844867872548</v>
      </c>
      <c r="BR50" s="25">
        <f t="shared" si="115"/>
        <v>0.53948056497158514</v>
      </c>
      <c r="BS50" s="24">
        <f t="shared" si="115"/>
        <v>416.18629089772014</v>
      </c>
      <c r="BT50" s="25">
        <f t="shared" si="115"/>
        <v>362.76697434717784</v>
      </c>
      <c r="BU50" s="24">
        <f t="shared" si="115"/>
        <v>1260.2533249848302</v>
      </c>
      <c r="BV50" s="25">
        <f t="shared" si="115"/>
        <v>1.5161189456025337</v>
      </c>
      <c r="BW50" s="32">
        <f t="shared" si="115"/>
        <v>0.95067563368082775</v>
      </c>
      <c r="BX50" s="26">
        <f t="shared" ref="BX50:CF50" si="119">BO50/BO55</f>
        <v>0</v>
      </c>
      <c r="BY50" s="25">
        <f t="shared" si="119"/>
        <v>0</v>
      </c>
      <c r="BZ50" s="24">
        <f t="shared" si="119"/>
        <v>6.2688843833061192E-3</v>
      </c>
      <c r="CA50" s="25">
        <f t="shared" si="119"/>
        <v>8.1876459007506619E-3</v>
      </c>
      <c r="CB50" s="24">
        <f t="shared" si="119"/>
        <v>0.79026549906231514</v>
      </c>
      <c r="CC50" s="25">
        <f t="shared" si="119"/>
        <v>0.8032074910379241</v>
      </c>
      <c r="CD50" s="24">
        <f t="shared" si="119"/>
        <v>0.74462396730539748</v>
      </c>
      <c r="CE50" s="25">
        <f t="shared" si="119"/>
        <v>0.25939612109602633</v>
      </c>
      <c r="CF50" s="32">
        <f t="shared" si="119"/>
        <v>0.26058753714259653</v>
      </c>
      <c r="CH50" s="54" t="s">
        <v>2189</v>
      </c>
      <c r="CI50" s="41">
        <v>0.32890182586151845</v>
      </c>
      <c r="CJ50" s="40">
        <v>0.17407862551489997</v>
      </c>
      <c r="CK50" s="39">
        <v>0.60150400974879448</v>
      </c>
      <c r="CL50" s="40">
        <v>0.60221015475267559</v>
      </c>
      <c r="CM50" s="39">
        <v>0.39451297598747259</v>
      </c>
      <c r="CN50" s="40">
        <v>0.39384448535341704</v>
      </c>
      <c r="CO50" s="39">
        <v>0.38246615347299162</v>
      </c>
      <c r="CP50" s="40">
        <v>0.42730638598980608</v>
      </c>
      <c r="CQ50" s="66">
        <v>0.42730638598980603</v>
      </c>
      <c r="CS50" s="54" t="s">
        <v>2009</v>
      </c>
      <c r="CT50" s="39">
        <v>2.6993181105503441E-2</v>
      </c>
      <c r="CU50" s="40">
        <v>7.4303145967788822E-2</v>
      </c>
      <c r="CV50" s="39">
        <v>6.0391636020816916E-2</v>
      </c>
      <c r="CW50" s="40">
        <v>4.0904691052475364E-2</v>
      </c>
      <c r="CX50" s="39">
        <v>4.1347593567208386E-2</v>
      </c>
      <c r="CY50" s="40">
        <v>3.6040450497681654E-2</v>
      </c>
      <c r="CZ50" s="39">
        <v>0.12520461008169453</v>
      </c>
      <c r="DA50" s="40">
        <v>0</v>
      </c>
      <c r="DB50" s="39">
        <v>0</v>
      </c>
      <c r="DC50" s="38">
        <v>0.40518530829316912</v>
      </c>
      <c r="DE50" s="37" t="s">
        <v>1747</v>
      </c>
      <c r="DF50" s="35" t="str">
        <f t="shared" si="16"/>
        <v>INOOH</v>
      </c>
      <c r="DG50" s="26">
        <f t="shared" si="117"/>
        <v>0.18167700089427755</v>
      </c>
      <c r="DH50" s="25">
        <f t="shared" si="117"/>
        <v>0.50009565985112281</v>
      </c>
      <c r="DI50" s="24">
        <f t="shared" si="117"/>
        <v>0.8468011535701544</v>
      </c>
      <c r="DJ50" s="25">
        <f t="shared" si="117"/>
        <v>0.57355855631609642</v>
      </c>
      <c r="DK50" s="24">
        <f t="shared" si="117"/>
        <v>0.70731800840684989</v>
      </c>
      <c r="DL50" s="25">
        <f t="shared" si="117"/>
        <v>0.61653067249657034</v>
      </c>
      <c r="DM50" s="24">
        <f t="shared" si="117"/>
        <v>2.1418290112190324</v>
      </c>
      <c r="DN50" s="25">
        <f t="shared" si="117"/>
        <v>0.62853740815960435</v>
      </c>
      <c r="DO50" s="32">
        <f t="shared" si="117"/>
        <v>0.39412158295849631</v>
      </c>
      <c r="DP50" s="26">
        <f t="shared" si="18"/>
        <v>0.72796149485541539</v>
      </c>
      <c r="DQ50" s="25">
        <f t="shared" si="19"/>
        <v>0.33484830096000029</v>
      </c>
      <c r="DR50" s="24">
        <f t="shared" si="20"/>
        <v>0.14781689807901582</v>
      </c>
      <c r="DS50" s="25">
        <f t="shared" si="21"/>
        <v>0.14781689807901585</v>
      </c>
      <c r="DT50" s="24">
        <f t="shared" si="22"/>
        <v>0.4596076692887765</v>
      </c>
      <c r="DU50" s="25">
        <f t="shared" si="23"/>
        <v>0.45960766928877655</v>
      </c>
      <c r="DV50" s="24">
        <f t="shared" si="24"/>
        <v>0.4596076692887765</v>
      </c>
      <c r="DW50" s="25">
        <f t="shared" si="25"/>
        <v>0.8383653490316042</v>
      </c>
      <c r="DX50" s="32">
        <f t="shared" si="26"/>
        <v>0.83836534903160409</v>
      </c>
      <c r="DZ50" s="54" t="s">
        <v>1543</v>
      </c>
      <c r="EA50" s="39">
        <v>0.9444641012109789</v>
      </c>
      <c r="EB50" s="40">
        <v>0.94446410121097879</v>
      </c>
      <c r="EC50" s="39">
        <v>0.91548820851211199</v>
      </c>
      <c r="ED50" s="40">
        <v>0.91548820851211221</v>
      </c>
      <c r="EE50" s="39">
        <v>0.95881128190272891</v>
      </c>
      <c r="EF50" s="40">
        <v>0.95881128190272868</v>
      </c>
      <c r="EG50" s="39">
        <v>0.95881128190272891</v>
      </c>
      <c r="EH50" s="40">
        <v>0.91074474907288283</v>
      </c>
      <c r="EI50" s="66">
        <v>0.91074474907288294</v>
      </c>
      <c r="EO50" s="83" t="s">
        <v>1976</v>
      </c>
      <c r="EP50" s="82" t="s">
        <v>520</v>
      </c>
      <c r="EQ50" s="81">
        <f t="shared" si="101"/>
        <v>242.70972986802403</v>
      </c>
      <c r="ER50" s="80">
        <f>EQ50/SUM(EQ44:EQ52)</f>
        <v>0.43992776007207274</v>
      </c>
      <c r="ET50" s="73" t="s">
        <v>440</v>
      </c>
      <c r="EU50" s="72">
        <v>4.3205795325914474E-2</v>
      </c>
      <c r="EW50" s="22" t="s">
        <v>1976</v>
      </c>
      <c r="EX50" s="20" t="s">
        <v>2188</v>
      </c>
      <c r="EY50" s="20" t="s">
        <v>1139</v>
      </c>
      <c r="EZ50" s="21" t="s">
        <v>1943</v>
      </c>
      <c r="FA50" s="20" t="str">
        <f t="shared" si="102"/>
        <v>ICIFEED</v>
      </c>
      <c r="FB50" s="78" t="s">
        <v>522</v>
      </c>
      <c r="FC50" s="11">
        <f t="shared" si="103"/>
        <v>20.755389262999017</v>
      </c>
      <c r="FD50" s="10">
        <f t="shared" si="104"/>
        <v>5.3878136431724464</v>
      </c>
      <c r="FE50" s="9">
        <f t="shared" si="105"/>
        <v>0.25958624889668502</v>
      </c>
      <c r="FF50" s="36">
        <v>0.02</v>
      </c>
      <c r="FG50" s="16">
        <f t="shared" si="106"/>
        <v>7.7045683602293025E-2</v>
      </c>
    </row>
    <row r="51" spans="1:163">
      <c r="A51" s="37" t="s">
        <v>2075</v>
      </c>
      <c r="B51" s="36" t="s">
        <v>1129</v>
      </c>
      <c r="C51" s="1" t="s">
        <v>1132</v>
      </c>
      <c r="D51" s="36" t="s">
        <v>2181</v>
      </c>
      <c r="E51" s="36" t="s">
        <v>2187</v>
      </c>
      <c r="F51" s="1" t="e">
        <f t="shared" ca="1" si="97"/>
        <v>#NAME?</v>
      </c>
      <c r="G51" s="35" t="s">
        <v>1109</v>
      </c>
      <c r="H51" s="34">
        <f>1-I51</f>
        <v>0.88809077041162798</v>
      </c>
      <c r="I51" s="33">
        <v>0.11190922958837206</v>
      </c>
      <c r="J51" s="26" t="e">
        <v>#REF!</v>
      </c>
      <c r="K51" s="25" t="e">
        <v>#REF!</v>
      </c>
      <c r="L51" s="24"/>
      <c r="M51" s="25"/>
      <c r="N51" s="24"/>
      <c r="O51" s="25"/>
      <c r="P51" s="24"/>
      <c r="Q51" s="25"/>
      <c r="R51" s="32"/>
      <c r="S51" s="31" t="e">
        <v>#REF!</v>
      </c>
      <c r="T51" s="29" t="e">
        <v>#REF!</v>
      </c>
      <c r="U51" s="30" t="e">
        <v>#REF!</v>
      </c>
      <c r="V51" s="29" t="e">
        <v>#REF!</v>
      </c>
      <c r="W51" s="30" t="e">
        <v>#REF!</v>
      </c>
      <c r="X51" s="29" t="e">
        <v>#REF!</v>
      </c>
      <c r="Y51" s="30" t="e">
        <v>#REF!</v>
      </c>
      <c r="Z51" s="29" t="e">
        <v>#REF!</v>
      </c>
      <c r="AA51" s="28" t="e">
        <v>#REF!</v>
      </c>
      <c r="AB51" s="26" t="e">
        <f t="shared" ref="AB51:AJ54" si="120">J51*31.536*$H51*S51</f>
        <v>#REF!</v>
      </c>
      <c r="AC51" s="25" t="e">
        <f t="shared" si="120"/>
        <v>#REF!</v>
      </c>
      <c r="AD51" s="24" t="e">
        <f t="shared" si="120"/>
        <v>#REF!</v>
      </c>
      <c r="AE51" s="25" t="e">
        <f t="shared" si="120"/>
        <v>#REF!</v>
      </c>
      <c r="AF51" s="24" t="e">
        <f t="shared" si="120"/>
        <v>#REF!</v>
      </c>
      <c r="AG51" s="25" t="e">
        <f t="shared" si="120"/>
        <v>#REF!</v>
      </c>
      <c r="AH51" s="24" t="e">
        <f t="shared" si="120"/>
        <v>#REF!</v>
      </c>
      <c r="AI51" s="25" t="e">
        <f t="shared" si="120"/>
        <v>#REF!</v>
      </c>
      <c r="AJ51" s="24" t="e">
        <f t="shared" si="120"/>
        <v>#REF!</v>
      </c>
      <c r="AK51" s="27" t="e">
        <f t="shared" si="12"/>
        <v>#REF!</v>
      </c>
      <c r="AL51" s="26" t="e">
        <f t="shared" ref="AL51:AT54" si="121">J51*31.536*$I51*S51</f>
        <v>#REF!</v>
      </c>
      <c r="AM51" s="25" t="e">
        <f t="shared" si="121"/>
        <v>#REF!</v>
      </c>
      <c r="AN51" s="24" t="e">
        <f t="shared" si="121"/>
        <v>#REF!</v>
      </c>
      <c r="AO51" s="25" t="e">
        <f t="shared" si="121"/>
        <v>#REF!</v>
      </c>
      <c r="AP51" s="24" t="e">
        <f t="shared" si="121"/>
        <v>#REF!</v>
      </c>
      <c r="AQ51" s="25" t="e">
        <f t="shared" si="121"/>
        <v>#REF!</v>
      </c>
      <c r="AR51" s="24" t="e">
        <f t="shared" si="121"/>
        <v>#REF!</v>
      </c>
      <c r="AS51" s="25" t="e">
        <f t="shared" si="121"/>
        <v>#REF!</v>
      </c>
      <c r="AT51" s="24" t="e">
        <f t="shared" si="121"/>
        <v>#REF!</v>
      </c>
      <c r="AU51" s="23" t="e">
        <f>SUM(AL51:AT51)</f>
        <v>#REF!</v>
      </c>
      <c r="AW51" s="51" t="s">
        <v>1793</v>
      </c>
      <c r="AX51" s="7">
        <v>76.931488421479614</v>
      </c>
      <c r="AY51" s="6">
        <v>215.33157369883469</v>
      </c>
      <c r="AZ51" s="5">
        <v>463.98795361137593</v>
      </c>
      <c r="BA51" s="6">
        <v>299.56349041084445</v>
      </c>
      <c r="BB51" s="5">
        <v>207.42523353183208</v>
      </c>
      <c r="BC51" s="6">
        <v>159.89555005524713</v>
      </c>
      <c r="BD51" s="5">
        <v>528.43571851314016</v>
      </c>
      <c r="BE51" s="6">
        <v>176.90818507978867</v>
      </c>
      <c r="BF51" s="5">
        <v>125.43957647223664</v>
      </c>
      <c r="BG51" s="77">
        <v>2253.9187697947796</v>
      </c>
      <c r="BH51" s="59">
        <v>53.510441814004352</v>
      </c>
      <c r="BJ51" s="37" t="s">
        <v>1931</v>
      </c>
      <c r="BK51" s="36" t="s">
        <v>2168</v>
      </c>
      <c r="BL51" s="1" t="s">
        <v>1136</v>
      </c>
      <c r="BM51" s="36" t="s">
        <v>1941</v>
      </c>
      <c r="BN51" s="82" t="str">
        <f t="shared" si="114"/>
        <v>ICOMDR</v>
      </c>
      <c r="BO51" s="26">
        <f t="shared" si="115"/>
        <v>0.91276966781428226</v>
      </c>
      <c r="BP51" s="25">
        <f t="shared" si="115"/>
        <v>2.5125478022576249</v>
      </c>
      <c r="BQ51" s="24">
        <f t="shared" si="115"/>
        <v>23.76360603610258</v>
      </c>
      <c r="BR51" s="25">
        <f t="shared" si="115"/>
        <v>16.095655412687492</v>
      </c>
      <c r="BS51" s="24">
        <f t="shared" si="115"/>
        <v>12.944707151036702</v>
      </c>
      <c r="BT51" s="25">
        <f t="shared" si="115"/>
        <v>11.283197812361161</v>
      </c>
      <c r="BU51" s="24">
        <f t="shared" si="115"/>
        <v>39.197855827639607</v>
      </c>
      <c r="BV51" s="25">
        <f t="shared" si="115"/>
        <v>1.3257476486562951</v>
      </c>
      <c r="BW51" s="32">
        <f t="shared" si="115"/>
        <v>0.83130415963920423</v>
      </c>
      <c r="BX51" s="26">
        <f t="shared" ref="BX51:CF51" si="122">BO51/BO55</f>
        <v>0.26964966092819093</v>
      </c>
      <c r="BY51" s="25">
        <f t="shared" si="122"/>
        <v>6.4753194860088195E-2</v>
      </c>
      <c r="BZ51" s="24">
        <f t="shared" si="122"/>
        <v>0.18703510266581669</v>
      </c>
      <c r="CA51" s="25">
        <f t="shared" si="122"/>
        <v>0.24428225151452337</v>
      </c>
      <c r="CB51" s="24">
        <f t="shared" si="122"/>
        <v>2.4579751137078065E-2</v>
      </c>
      <c r="CC51" s="25">
        <f t="shared" si="122"/>
        <v>2.4982287933073822E-2</v>
      </c>
      <c r="CD51" s="24">
        <f t="shared" si="122"/>
        <v>2.3160155452550252E-2</v>
      </c>
      <c r="CE51" s="25">
        <f t="shared" si="122"/>
        <v>0.22682507768343382</v>
      </c>
      <c r="CF51" s="32">
        <f t="shared" si="122"/>
        <v>0.22786689371435487</v>
      </c>
      <c r="CH51" s="54" t="s">
        <v>2186</v>
      </c>
      <c r="CI51" s="41">
        <v>5.6993121240157103E-2</v>
      </c>
      <c r="CJ51" s="40">
        <v>3.0164880305249143E-2</v>
      </c>
      <c r="CK51" s="39">
        <v>3.7965922116388821E-2</v>
      </c>
      <c r="CL51" s="40">
        <v>3.8010492802179302E-2</v>
      </c>
      <c r="CM51" s="39">
        <v>4.6772084799754018E-2</v>
      </c>
      <c r="CN51" s="40">
        <v>4.6692830877761646E-2</v>
      </c>
      <c r="CO51" s="39">
        <v>4.5343855467614679E-2</v>
      </c>
      <c r="CP51" s="40">
        <v>2.7667593379983781E-2</v>
      </c>
      <c r="CQ51" s="66">
        <v>2.7667593379983781E-2</v>
      </c>
      <c r="CS51" s="54" t="s">
        <v>2021</v>
      </c>
      <c r="CT51" s="39">
        <v>1.4201578664393994E-3</v>
      </c>
      <c r="CU51" s="40">
        <v>3.9092168068266724E-3</v>
      </c>
      <c r="CV51" s="39">
        <v>0.46070969593762284</v>
      </c>
      <c r="CW51" s="40">
        <v>0.31204963168595751</v>
      </c>
      <c r="CX51" s="39">
        <v>1.7402946331757266E-2</v>
      </c>
      <c r="CY51" s="40">
        <v>1.5169202646920933E-2</v>
      </c>
      <c r="CZ51" s="39">
        <v>5.2697845793578953E-2</v>
      </c>
      <c r="DA51" s="40">
        <v>6.5509840002164643E-2</v>
      </c>
      <c r="DB51" s="39">
        <v>4.1077653463156769E-2</v>
      </c>
      <c r="DC51" s="38">
        <v>0.96994619053442488</v>
      </c>
      <c r="DE51" s="37" t="s">
        <v>1744</v>
      </c>
      <c r="DF51" s="35" t="str">
        <f t="shared" si="16"/>
        <v>INOOH</v>
      </c>
      <c r="DG51" s="26">
        <f t="shared" si="117"/>
        <v>2.684824006388933E-2</v>
      </c>
      <c r="DH51" s="25">
        <f t="shared" si="117"/>
        <v>7.3904172044349278E-2</v>
      </c>
      <c r="DI51" s="24">
        <f t="shared" si="117"/>
        <v>0.50242263746936966</v>
      </c>
      <c r="DJ51" s="25">
        <f t="shared" si="117"/>
        <v>0.34030279882416736</v>
      </c>
      <c r="DK51" s="24">
        <f t="shared" si="117"/>
        <v>3.7457195594483725E-2</v>
      </c>
      <c r="DL51" s="25">
        <f t="shared" si="117"/>
        <v>3.2649401987824428E-2</v>
      </c>
      <c r="DM51" s="24">
        <f t="shared" si="117"/>
        <v>0.11342409955583146</v>
      </c>
      <c r="DN51" s="25">
        <f t="shared" si="117"/>
        <v>0</v>
      </c>
      <c r="DO51" s="32">
        <f t="shared" si="117"/>
        <v>0</v>
      </c>
      <c r="DP51" s="26">
        <f t="shared" si="18"/>
        <v>0.10757820128547456</v>
      </c>
      <c r="DQ51" s="25">
        <f t="shared" si="19"/>
        <v>4.948390563971887E-2</v>
      </c>
      <c r="DR51" s="24">
        <f t="shared" si="20"/>
        <v>8.7702473576339326E-2</v>
      </c>
      <c r="DS51" s="25">
        <f t="shared" si="21"/>
        <v>8.7702473576339326E-2</v>
      </c>
      <c r="DT51" s="24">
        <f t="shared" si="22"/>
        <v>2.4339284679108661E-2</v>
      </c>
      <c r="DU51" s="25">
        <f t="shared" si="23"/>
        <v>2.4339284679108661E-2</v>
      </c>
      <c r="DV51" s="24">
        <f t="shared" si="24"/>
        <v>2.4339284679108661E-2</v>
      </c>
      <c r="DW51" s="25">
        <f t="shared" si="25"/>
        <v>0</v>
      </c>
      <c r="DX51" s="32">
        <f t="shared" si="26"/>
        <v>0</v>
      </c>
      <c r="DZ51" s="54" t="s">
        <v>2041</v>
      </c>
      <c r="EA51" s="39">
        <v>0</v>
      </c>
      <c r="EB51" s="40">
        <v>0.91173199237351688</v>
      </c>
      <c r="EC51" s="39">
        <v>0.85468392025632711</v>
      </c>
      <c r="ED51" s="40">
        <v>0.61923014625353312</v>
      </c>
      <c r="EE51" s="39">
        <v>0.63072715076512231</v>
      </c>
      <c r="EF51" s="40">
        <v>0</v>
      </c>
      <c r="EG51" s="39">
        <v>0.34431267091933526</v>
      </c>
      <c r="EH51" s="40">
        <v>0.89873963074015106</v>
      </c>
      <c r="EI51" s="66">
        <v>0.89033383571044755</v>
      </c>
      <c r="EO51" s="83" t="s">
        <v>1976</v>
      </c>
      <c r="EP51" s="82" t="s">
        <v>521</v>
      </c>
      <c r="EQ51" s="81">
        <f t="shared" si="101"/>
        <v>34.291404451165043</v>
      </c>
      <c r="ER51" s="80">
        <f>EQ51/SUM(EQ44:EQ52)</f>
        <v>6.2155484076100172E-2</v>
      </c>
      <c r="ET51" s="73" t="s">
        <v>439</v>
      </c>
      <c r="EU51" s="72">
        <v>8.2486371408038606E-2</v>
      </c>
      <c r="EW51" s="37" t="s">
        <v>1931</v>
      </c>
      <c r="EX51" s="36" t="s">
        <v>2168</v>
      </c>
      <c r="EY51" s="36" t="s">
        <v>1145</v>
      </c>
      <c r="EZ51" s="1" t="s">
        <v>1945</v>
      </c>
      <c r="FA51" s="36" t="str">
        <f t="shared" si="102"/>
        <v>ICOFAC</v>
      </c>
      <c r="FB51" s="35" t="s">
        <v>438</v>
      </c>
      <c r="FC51" s="26">
        <f t="shared" si="103"/>
        <v>3.3850206400124399</v>
      </c>
      <c r="FD51" s="25">
        <f t="shared" si="104"/>
        <v>0.14468657919893144</v>
      </c>
      <c r="FE51" s="24">
        <f t="shared" si="105"/>
        <v>4.2743189654051772E-2</v>
      </c>
      <c r="FF51" s="36">
        <v>0</v>
      </c>
      <c r="FG51" s="86">
        <f t="shared" si="106"/>
        <v>0</v>
      </c>
    </row>
    <row r="52" spans="1:163">
      <c r="A52" s="37" t="s">
        <v>2075</v>
      </c>
      <c r="B52" s="36" t="s">
        <v>1129</v>
      </c>
      <c r="C52" s="1" t="s">
        <v>1132</v>
      </c>
      <c r="D52" s="36" t="s">
        <v>2181</v>
      </c>
      <c r="E52" s="36" t="s">
        <v>2185</v>
      </c>
      <c r="F52" s="1" t="e">
        <f t="shared" ca="1" si="97"/>
        <v>#NAME?</v>
      </c>
      <c r="G52" s="35" t="s">
        <v>1109</v>
      </c>
      <c r="H52" s="34">
        <f>1-I52</f>
        <v>0.88332652522877819</v>
      </c>
      <c r="I52" s="33">
        <v>0.11667347477122178</v>
      </c>
      <c r="J52" s="26" t="e">
        <v>#REF!</v>
      </c>
      <c r="K52" s="25" t="e">
        <v>#REF!</v>
      </c>
      <c r="L52" s="24"/>
      <c r="M52" s="25"/>
      <c r="N52" s="24"/>
      <c r="O52" s="25"/>
      <c r="P52" s="24"/>
      <c r="Q52" s="25"/>
      <c r="R52" s="32"/>
      <c r="S52" s="31" t="e">
        <v>#REF!</v>
      </c>
      <c r="T52" s="29" t="e">
        <v>#REF!</v>
      </c>
      <c r="U52" s="30" t="e">
        <v>#REF!</v>
      </c>
      <c r="V52" s="29" t="e">
        <v>#REF!</v>
      </c>
      <c r="W52" s="30" t="e">
        <v>#REF!</v>
      </c>
      <c r="X52" s="29" t="e">
        <v>#REF!</v>
      </c>
      <c r="Y52" s="30" t="e">
        <v>#REF!</v>
      </c>
      <c r="Z52" s="29" t="e">
        <v>#REF!</v>
      </c>
      <c r="AA52" s="28" t="e">
        <v>#REF!</v>
      </c>
      <c r="AB52" s="26" t="e">
        <f t="shared" si="120"/>
        <v>#REF!</v>
      </c>
      <c r="AC52" s="25" t="e">
        <f t="shared" si="120"/>
        <v>#REF!</v>
      </c>
      <c r="AD52" s="24" t="e">
        <f t="shared" si="120"/>
        <v>#REF!</v>
      </c>
      <c r="AE52" s="25" t="e">
        <f t="shared" si="120"/>
        <v>#REF!</v>
      </c>
      <c r="AF52" s="24" t="e">
        <f t="shared" si="120"/>
        <v>#REF!</v>
      </c>
      <c r="AG52" s="25" t="e">
        <f t="shared" si="120"/>
        <v>#REF!</v>
      </c>
      <c r="AH52" s="24" t="e">
        <f t="shared" si="120"/>
        <v>#REF!</v>
      </c>
      <c r="AI52" s="25" t="e">
        <f t="shared" si="120"/>
        <v>#REF!</v>
      </c>
      <c r="AJ52" s="24" t="e">
        <f t="shared" si="120"/>
        <v>#REF!</v>
      </c>
      <c r="AK52" s="27" t="e">
        <f t="shared" si="12"/>
        <v>#REF!</v>
      </c>
      <c r="AL52" s="26" t="e">
        <f t="shared" si="121"/>
        <v>#REF!</v>
      </c>
      <c r="AM52" s="25" t="e">
        <f t="shared" si="121"/>
        <v>#REF!</v>
      </c>
      <c r="AN52" s="24" t="e">
        <f t="shared" si="121"/>
        <v>#REF!</v>
      </c>
      <c r="AO52" s="25" t="e">
        <f t="shared" si="121"/>
        <v>#REF!</v>
      </c>
      <c r="AP52" s="24" t="e">
        <f t="shared" si="121"/>
        <v>#REF!</v>
      </c>
      <c r="AQ52" s="25" t="e">
        <f t="shared" si="121"/>
        <v>#REF!</v>
      </c>
      <c r="AR52" s="24" t="e">
        <f t="shared" si="121"/>
        <v>#REF!</v>
      </c>
      <c r="AS52" s="25" t="e">
        <f t="shared" si="121"/>
        <v>#REF!</v>
      </c>
      <c r="AT52" s="24" t="e">
        <f t="shared" si="121"/>
        <v>#REF!</v>
      </c>
      <c r="AU52" s="23" t="e">
        <f>SUM(AL52:AT52)</f>
        <v>#REF!</v>
      </c>
      <c r="AW52" s="100" t="s">
        <v>1150</v>
      </c>
      <c r="AX52" s="41">
        <v>0.52203697683094341</v>
      </c>
      <c r="AY52" s="40">
        <v>1.4369921625185693</v>
      </c>
      <c r="AZ52" s="39">
        <v>3.2678985586167504</v>
      </c>
      <c r="BA52" s="40">
        <v>2.2134253969369375</v>
      </c>
      <c r="BB52" s="39">
        <v>1.4013987333665723</v>
      </c>
      <c r="BC52" s="40">
        <v>1.2215231243219784</v>
      </c>
      <c r="BD52" s="39">
        <v>4.243574216597116</v>
      </c>
      <c r="BE52" s="40">
        <v>1.5810636099500879</v>
      </c>
      <c r="BF52" s="39">
        <v>0.99139889626644417</v>
      </c>
      <c r="BG52" s="81">
        <v>16.879311675405397</v>
      </c>
      <c r="BH52" s="66">
        <v>0</v>
      </c>
      <c r="BJ52" s="37" t="s">
        <v>1931</v>
      </c>
      <c r="BK52" s="36" t="s">
        <v>2168</v>
      </c>
      <c r="BL52" s="1" t="s">
        <v>1129</v>
      </c>
      <c r="BM52" s="36" t="s">
        <v>1910</v>
      </c>
      <c r="BN52" s="82" t="str">
        <f t="shared" si="114"/>
        <v>ICOOHT</v>
      </c>
      <c r="BO52" s="26">
        <f t="shared" si="115"/>
        <v>0.34086423393902116</v>
      </c>
      <c r="BP52" s="25">
        <f t="shared" si="115"/>
        <v>0.93828455529481136</v>
      </c>
      <c r="BQ52" s="24">
        <f t="shared" si="115"/>
        <v>4.5608753166601526</v>
      </c>
      <c r="BR52" s="25">
        <f t="shared" si="115"/>
        <v>3.0891892992025736</v>
      </c>
      <c r="BS52" s="24">
        <f t="shared" si="115"/>
        <v>34.540561752590463</v>
      </c>
      <c r="BT52" s="25">
        <f t="shared" si="115"/>
        <v>30.107130756785185</v>
      </c>
      <c r="BU52" s="24">
        <f t="shared" si="115"/>
        <v>104.59224329963251</v>
      </c>
      <c r="BV52" s="25">
        <f t="shared" si="115"/>
        <v>0.57850259404021986</v>
      </c>
      <c r="BW52" s="32">
        <f t="shared" si="115"/>
        <v>0.3627474755660553</v>
      </c>
      <c r="BX52" s="26">
        <f t="shared" ref="BX52:CF52" si="123">BO52/BO55</f>
        <v>0.1006978302908571</v>
      </c>
      <c r="BY52" s="25">
        <f t="shared" si="123"/>
        <v>2.4181399688644165E-2</v>
      </c>
      <c r="BZ52" s="24">
        <f t="shared" si="123"/>
        <v>3.5897068054467157E-2</v>
      </c>
      <c r="CA52" s="25">
        <f t="shared" si="123"/>
        <v>4.6884336053127272E-2</v>
      </c>
      <c r="CB52" s="24">
        <f t="shared" si="123"/>
        <v>6.5586529081544873E-2</v>
      </c>
      <c r="CC52" s="25">
        <f t="shared" si="123"/>
        <v>6.6660624223099901E-2</v>
      </c>
      <c r="CD52" s="24">
        <f t="shared" si="123"/>
        <v>6.1798600020421465E-2</v>
      </c>
      <c r="CE52" s="25">
        <f t="shared" si="123"/>
        <v>9.8977279700429494E-2</v>
      </c>
      <c r="CF52" s="32">
        <f t="shared" si="123"/>
        <v>9.9431886032947878E-2</v>
      </c>
      <c r="CH52" s="54" t="s">
        <v>2184</v>
      </c>
      <c r="CI52" s="41">
        <v>0</v>
      </c>
      <c r="CJ52" s="40">
        <v>0</v>
      </c>
      <c r="CK52" s="39">
        <v>6.308662894587995E-2</v>
      </c>
      <c r="CL52" s="40">
        <v>6.3160690476842057E-2</v>
      </c>
      <c r="CM52" s="39">
        <v>0.11463287414329226</v>
      </c>
      <c r="CN52" s="40">
        <v>0.1144386321097372</v>
      </c>
      <c r="CO52" s="39">
        <v>0.11113245217194263</v>
      </c>
      <c r="CP52" s="40">
        <v>0.35009193743347872</v>
      </c>
      <c r="CQ52" s="66">
        <v>0.35009193743347866</v>
      </c>
      <c r="CS52" s="54" t="s">
        <v>1582</v>
      </c>
      <c r="CT52" s="39">
        <v>7.4318376103906209E-2</v>
      </c>
      <c r="CU52" s="40">
        <v>0.20457348565752087</v>
      </c>
      <c r="CV52" s="39">
        <v>0.16627193000272997</v>
      </c>
      <c r="CW52" s="40">
        <v>0.11261993175869715</v>
      </c>
      <c r="CX52" s="39">
        <v>0.11383934326631616</v>
      </c>
      <c r="CY52" s="40">
        <v>9.9227569532174389E-2</v>
      </c>
      <c r="CZ52" s="39">
        <v>0.34471681072436372</v>
      </c>
      <c r="DA52" s="40">
        <v>0.628503298485805</v>
      </c>
      <c r="DB52" s="39">
        <v>0.39410019463942808</v>
      </c>
      <c r="DC52" s="38">
        <v>2.1381709401709417</v>
      </c>
      <c r="DE52" s="37" t="s">
        <v>1741</v>
      </c>
      <c r="DF52" s="35" t="str">
        <f t="shared" si="16"/>
        <v>INOOH</v>
      </c>
      <c r="DG52" s="26">
        <f t="shared" si="117"/>
        <v>0</v>
      </c>
      <c r="DH52" s="25">
        <f t="shared" si="117"/>
        <v>0.8065182475861965</v>
      </c>
      <c r="DI52" s="24">
        <f t="shared" si="117"/>
        <v>4.122159323783988</v>
      </c>
      <c r="DJ52" s="25">
        <f t="shared" si="117"/>
        <v>2.7920365255603143</v>
      </c>
      <c r="DK52" s="24">
        <f t="shared" si="117"/>
        <v>0.47150402015797421</v>
      </c>
      <c r="DL52" s="25">
        <f t="shared" si="117"/>
        <v>0.41098443299583476</v>
      </c>
      <c r="DM52" s="24">
        <f t="shared" si="117"/>
        <v>1.4277608901198346</v>
      </c>
      <c r="DN52" s="25">
        <f t="shared" si="117"/>
        <v>0</v>
      </c>
      <c r="DO52" s="32">
        <f t="shared" si="117"/>
        <v>0</v>
      </c>
      <c r="DP52" s="26">
        <f t="shared" si="18"/>
        <v>0</v>
      </c>
      <c r="DQ52" s="25">
        <f t="shared" si="19"/>
        <v>0.54001921347981963</v>
      </c>
      <c r="DR52" s="24">
        <f t="shared" si="20"/>
        <v>0.7195606690665215</v>
      </c>
      <c r="DS52" s="25">
        <f t="shared" si="21"/>
        <v>0.7195606690665215</v>
      </c>
      <c r="DT52" s="24">
        <f t="shared" si="22"/>
        <v>0.30637826435834908</v>
      </c>
      <c r="DU52" s="25">
        <f t="shared" si="23"/>
        <v>0.30637826435834908</v>
      </c>
      <c r="DV52" s="24">
        <f t="shared" si="24"/>
        <v>0.30637826435834908</v>
      </c>
      <c r="DW52" s="25">
        <f t="shared" si="25"/>
        <v>0</v>
      </c>
      <c r="DX52" s="32">
        <f t="shared" si="26"/>
        <v>0</v>
      </c>
      <c r="DZ52" s="54" t="s">
        <v>2034</v>
      </c>
      <c r="EA52" s="39">
        <v>0</v>
      </c>
      <c r="EB52" s="40">
        <v>0</v>
      </c>
      <c r="EC52" s="39">
        <v>5.4860806131311605E-2</v>
      </c>
      <c r="ED52" s="40">
        <v>0.10847474921316635</v>
      </c>
      <c r="EE52" s="39">
        <v>0</v>
      </c>
      <c r="EF52" s="40">
        <v>0.11170857485601997</v>
      </c>
      <c r="EG52" s="39">
        <v>0</v>
      </c>
      <c r="EH52" s="40">
        <v>0</v>
      </c>
      <c r="EI52" s="66">
        <v>0</v>
      </c>
      <c r="EO52" s="79" t="s">
        <v>1976</v>
      </c>
      <c r="EP52" s="78" t="s">
        <v>522</v>
      </c>
      <c r="EQ52" s="77">
        <f t="shared" si="101"/>
        <v>20.755389262999017</v>
      </c>
      <c r="ER52" s="76">
        <f>EQ52/SUM(EQ44:EQ52)</f>
        <v>3.7620543324983775E-2</v>
      </c>
      <c r="ET52" s="73" t="s">
        <v>518</v>
      </c>
      <c r="EU52" s="72">
        <v>5.6342242220063544E-2</v>
      </c>
      <c r="EW52" s="37" t="s">
        <v>1931</v>
      </c>
      <c r="EX52" s="36" t="s">
        <v>2168</v>
      </c>
      <c r="EY52" s="36" t="s">
        <v>1145</v>
      </c>
      <c r="EZ52" s="1" t="s">
        <v>1945</v>
      </c>
      <c r="FA52" s="36" t="str">
        <f t="shared" si="102"/>
        <v>ICOFAC</v>
      </c>
      <c r="FB52" s="1" t="s">
        <v>440</v>
      </c>
      <c r="FC52" s="26">
        <f t="shared" si="103"/>
        <v>38.801912518547859</v>
      </c>
      <c r="FD52" s="25">
        <f t="shared" si="104"/>
        <v>0.39827347402216207</v>
      </c>
      <c r="FE52" s="24">
        <f t="shared" si="105"/>
        <v>1.0264274314617398E-2</v>
      </c>
      <c r="FF52" s="36">
        <v>0</v>
      </c>
      <c r="FG52" s="86">
        <f t="shared" si="106"/>
        <v>0</v>
      </c>
    </row>
    <row r="53" spans="1:163">
      <c r="A53" s="37" t="s">
        <v>2075</v>
      </c>
      <c r="B53" s="36" t="s">
        <v>1129</v>
      </c>
      <c r="C53" s="1" t="s">
        <v>1132</v>
      </c>
      <c r="D53" s="36" t="s">
        <v>2181</v>
      </c>
      <c r="E53" s="36" t="s">
        <v>2183</v>
      </c>
      <c r="F53" s="1" t="e">
        <f t="shared" ca="1" si="97"/>
        <v>#NAME?</v>
      </c>
      <c r="G53" s="35" t="s">
        <v>1109</v>
      </c>
      <c r="H53" s="34">
        <f>1-I53</f>
        <v>0.88332652522877819</v>
      </c>
      <c r="I53" s="33">
        <v>0.11667347477122178</v>
      </c>
      <c r="J53" s="26" t="e">
        <v>#REF!</v>
      </c>
      <c r="K53" s="25" t="e">
        <v>#REF!</v>
      </c>
      <c r="L53" s="24"/>
      <c r="M53" s="25"/>
      <c r="N53" s="24"/>
      <c r="O53" s="25"/>
      <c r="P53" s="24"/>
      <c r="Q53" s="25"/>
      <c r="R53" s="32"/>
      <c r="S53" s="31" t="e">
        <v>#REF!</v>
      </c>
      <c r="T53" s="29" t="e">
        <v>#REF!</v>
      </c>
      <c r="U53" s="30" t="e">
        <v>#REF!</v>
      </c>
      <c r="V53" s="29" t="e">
        <v>#REF!</v>
      </c>
      <c r="W53" s="30" t="e">
        <v>#REF!</v>
      </c>
      <c r="X53" s="29" t="e">
        <v>#REF!</v>
      </c>
      <c r="Y53" s="30" t="e">
        <v>#REF!</v>
      </c>
      <c r="Z53" s="29" t="e">
        <v>#REF!</v>
      </c>
      <c r="AA53" s="28" t="e">
        <v>#REF!</v>
      </c>
      <c r="AB53" s="26" t="e">
        <f t="shared" si="120"/>
        <v>#REF!</v>
      </c>
      <c r="AC53" s="25" t="e">
        <f t="shared" si="120"/>
        <v>#REF!</v>
      </c>
      <c r="AD53" s="24" t="e">
        <f t="shared" si="120"/>
        <v>#REF!</v>
      </c>
      <c r="AE53" s="25" t="e">
        <f t="shared" si="120"/>
        <v>#REF!</v>
      </c>
      <c r="AF53" s="24" t="e">
        <f t="shared" si="120"/>
        <v>#REF!</v>
      </c>
      <c r="AG53" s="25" t="e">
        <f t="shared" si="120"/>
        <v>#REF!</v>
      </c>
      <c r="AH53" s="24" t="e">
        <f t="shared" si="120"/>
        <v>#REF!</v>
      </c>
      <c r="AI53" s="25" t="e">
        <f t="shared" si="120"/>
        <v>#REF!</v>
      </c>
      <c r="AJ53" s="24" t="e">
        <f t="shared" si="120"/>
        <v>#REF!</v>
      </c>
      <c r="AK53" s="27" t="e">
        <f t="shared" si="12"/>
        <v>#REF!</v>
      </c>
      <c r="AL53" s="26" t="e">
        <f t="shared" si="121"/>
        <v>#REF!</v>
      </c>
      <c r="AM53" s="25" t="e">
        <f t="shared" si="121"/>
        <v>#REF!</v>
      </c>
      <c r="AN53" s="24" t="e">
        <f t="shared" si="121"/>
        <v>#REF!</v>
      </c>
      <c r="AO53" s="25" t="e">
        <f t="shared" si="121"/>
        <v>#REF!</v>
      </c>
      <c r="AP53" s="24" t="e">
        <f t="shared" si="121"/>
        <v>#REF!</v>
      </c>
      <c r="AQ53" s="25" t="e">
        <f t="shared" si="121"/>
        <v>#REF!</v>
      </c>
      <c r="AR53" s="24" t="e">
        <f t="shared" si="121"/>
        <v>#REF!</v>
      </c>
      <c r="AS53" s="25" t="e">
        <f t="shared" si="121"/>
        <v>#REF!</v>
      </c>
      <c r="AT53" s="24" t="e">
        <f t="shared" si="121"/>
        <v>#REF!</v>
      </c>
      <c r="AU53" s="23" t="e">
        <f>SUM(AL53:AT53)</f>
        <v>#REF!</v>
      </c>
      <c r="AW53" s="100" t="s">
        <v>1145</v>
      </c>
      <c r="AX53" s="41">
        <v>21.094295846542924</v>
      </c>
      <c r="AY53" s="40">
        <v>58.065499477341703</v>
      </c>
      <c r="AZ53" s="39">
        <v>138.04643656693693</v>
      </c>
      <c r="BA53" s="40">
        <v>93.502133916677934</v>
      </c>
      <c r="BB53" s="39">
        <v>50.511009819377776</v>
      </c>
      <c r="BC53" s="40">
        <v>44.027702507623957</v>
      </c>
      <c r="BD53" s="39">
        <v>152.95234241354717</v>
      </c>
      <c r="BE53" s="40">
        <v>54.934161510841754</v>
      </c>
      <c r="BF53" s="39">
        <v>34.446221357843015</v>
      </c>
      <c r="BG53" s="81">
        <v>647.57980341673317</v>
      </c>
      <c r="BH53" s="66">
        <v>0</v>
      </c>
      <c r="BJ53" s="37" t="s">
        <v>1931</v>
      </c>
      <c r="BK53" s="36" t="s">
        <v>2168</v>
      </c>
      <c r="BL53" s="1" t="s">
        <v>1123</v>
      </c>
      <c r="BM53" s="36" t="s">
        <v>1935</v>
      </c>
      <c r="BN53" s="82" t="str">
        <f t="shared" si="114"/>
        <v>ICOPRH</v>
      </c>
      <c r="BO53" s="26">
        <f t="shared" si="115"/>
        <v>1.9637405596978315</v>
      </c>
      <c r="BP53" s="25">
        <f t="shared" si="115"/>
        <v>5.4055170778054888</v>
      </c>
      <c r="BQ53" s="24">
        <f t="shared" si="115"/>
        <v>51.897331023516863</v>
      </c>
      <c r="BR53" s="25">
        <f t="shared" si="115"/>
        <v>35.151296302575084</v>
      </c>
      <c r="BS53" s="24">
        <f t="shared" si="115"/>
        <v>47.55625386880471</v>
      </c>
      <c r="BT53" s="25">
        <f t="shared" si="115"/>
        <v>41.452202305991584</v>
      </c>
      <c r="BU53" s="24">
        <f t="shared" si="115"/>
        <v>144.00504863508979</v>
      </c>
      <c r="BV53" s="25">
        <f t="shared" si="115"/>
        <v>1.8787664669289517</v>
      </c>
      <c r="BW53" s="32">
        <f t="shared" si="115"/>
        <v>1.1780721470874718</v>
      </c>
      <c r="BX53" s="26">
        <f t="shared" ref="BX53:CF53" si="124">BO53/BO55</f>
        <v>0.58012661325770076</v>
      </c>
      <c r="BY53" s="25">
        <f t="shared" si="124"/>
        <v>0.13931058360129997</v>
      </c>
      <c r="BZ53" s="24">
        <f t="shared" si="124"/>
        <v>0.40846589618253548</v>
      </c>
      <c r="CA53" s="25">
        <f t="shared" si="124"/>
        <v>0.53348792480227669</v>
      </c>
      <c r="CB53" s="24">
        <f t="shared" si="124"/>
        <v>9.0301068341535271E-2</v>
      </c>
      <c r="CC53" s="25">
        <f t="shared" si="124"/>
        <v>9.177990767243327E-2</v>
      </c>
      <c r="CD53" s="24">
        <f t="shared" si="124"/>
        <v>8.5085758950850632E-2</v>
      </c>
      <c r="CE53" s="25">
        <f t="shared" si="124"/>
        <v>0.32144228220364074</v>
      </c>
      <c r="CF53" s="32">
        <f t="shared" si="124"/>
        <v>0.32291867857936674</v>
      </c>
      <c r="CH53" s="54" t="s">
        <v>2182</v>
      </c>
      <c r="CI53" s="41">
        <v>0.10771533052964428</v>
      </c>
      <c r="CJ53" s="40">
        <v>5.7010740625619255E-2</v>
      </c>
      <c r="CK53" s="39">
        <v>0.13072798627041976</v>
      </c>
      <c r="CL53" s="40">
        <v>0.13088145642668833</v>
      </c>
      <c r="CM53" s="39">
        <v>0.1022327665937524</v>
      </c>
      <c r="CN53" s="40">
        <v>0.1020595361777174</v>
      </c>
      <c r="CO53" s="39">
        <v>9.9110993498110533E-2</v>
      </c>
      <c r="CP53" s="40">
        <v>9.3565445677206885E-2</v>
      </c>
      <c r="CQ53" s="66">
        <v>9.3565445677206885E-2</v>
      </c>
      <c r="CS53" s="54" t="s">
        <v>1579</v>
      </c>
      <c r="CT53" s="39">
        <v>0.604979983593953</v>
      </c>
      <c r="CU53" s="40">
        <v>1.6653063547003377</v>
      </c>
      <c r="CV53" s="39">
        <v>6.3728094627710705</v>
      </c>
      <c r="CW53" s="40">
        <v>4.3164553800312158</v>
      </c>
      <c r="CX53" s="39">
        <v>1.5251867715786847</v>
      </c>
      <c r="CY53" s="40">
        <v>1.3294224306295395</v>
      </c>
      <c r="CZ53" s="39">
        <v>4.6184166613438187</v>
      </c>
      <c r="DA53" s="40">
        <v>2.3837106680168567</v>
      </c>
      <c r="DB53" s="39">
        <v>1.4946951599025564</v>
      </c>
      <c r="DC53" s="38">
        <v>24.310982872568029</v>
      </c>
      <c r="DE53" s="37" t="s">
        <v>1753</v>
      </c>
      <c r="DF53" s="35" t="str">
        <f t="shared" si="16"/>
        <v>INOOH</v>
      </c>
      <c r="DG53" s="26">
        <f t="shared" si="117"/>
        <v>0</v>
      </c>
      <c r="DH53" s="25">
        <f t="shared" si="117"/>
        <v>0</v>
      </c>
      <c r="DI53" s="24">
        <f t="shared" si="117"/>
        <v>0.11002259925186521</v>
      </c>
      <c r="DJ53" s="25">
        <f t="shared" si="117"/>
        <v>7.4520922560146544E-2</v>
      </c>
      <c r="DK53" s="24">
        <f t="shared" si="117"/>
        <v>0.18831952637886293</v>
      </c>
      <c r="DL53" s="25">
        <f t="shared" si="117"/>
        <v>0.16414789792233372</v>
      </c>
      <c r="DM53" s="24">
        <f t="shared" si="117"/>
        <v>0.57025018475886213</v>
      </c>
      <c r="DN53" s="25">
        <f t="shared" si="117"/>
        <v>0</v>
      </c>
      <c r="DO53" s="32">
        <f t="shared" si="117"/>
        <v>0</v>
      </c>
      <c r="DP53" s="26">
        <f t="shared" si="18"/>
        <v>0</v>
      </c>
      <c r="DQ53" s="25">
        <f t="shared" si="19"/>
        <v>0</v>
      </c>
      <c r="DR53" s="24">
        <f t="shared" si="20"/>
        <v>1.9205452509641643E-2</v>
      </c>
      <c r="DS53" s="25">
        <f t="shared" si="21"/>
        <v>1.9205452509641646E-2</v>
      </c>
      <c r="DT53" s="24">
        <f t="shared" si="22"/>
        <v>0.12236801208484153</v>
      </c>
      <c r="DU53" s="25">
        <f t="shared" si="23"/>
        <v>0.12236801208484156</v>
      </c>
      <c r="DV53" s="24">
        <f t="shared" si="24"/>
        <v>0.12236801208484156</v>
      </c>
      <c r="DW53" s="25">
        <f t="shared" si="25"/>
        <v>0</v>
      </c>
      <c r="DX53" s="32">
        <f t="shared" si="26"/>
        <v>0</v>
      </c>
      <c r="DZ53" s="54" t="s">
        <v>2050</v>
      </c>
      <c r="EA53" s="39">
        <v>0</v>
      </c>
      <c r="EB53" s="40">
        <v>0</v>
      </c>
      <c r="EC53" s="39">
        <v>0</v>
      </c>
      <c r="ED53" s="40">
        <v>0</v>
      </c>
      <c r="EE53" s="39">
        <v>0</v>
      </c>
      <c r="EF53" s="40">
        <v>0</v>
      </c>
      <c r="EG53" s="39">
        <v>0</v>
      </c>
      <c r="EH53" s="40">
        <v>0</v>
      </c>
      <c r="EI53" s="66">
        <v>0</v>
      </c>
      <c r="EO53" s="83" t="s">
        <v>1931</v>
      </c>
      <c r="EP53" s="82" t="s">
        <v>438</v>
      </c>
      <c r="EQ53" s="81">
        <f t="shared" si="101"/>
        <v>3.3850206400124399</v>
      </c>
      <c r="ER53" s="80">
        <f>EQ53/SUM(EQ53:EQ61)</f>
        <v>1.1610898228889093E-3</v>
      </c>
      <c r="ET53" s="73" t="s">
        <v>517</v>
      </c>
      <c r="EU53" s="72">
        <v>0.14959397506360339</v>
      </c>
      <c r="EW53" s="37" t="s">
        <v>1931</v>
      </c>
      <c r="EX53" s="36" t="s">
        <v>2168</v>
      </c>
      <c r="EY53" s="36" t="s">
        <v>1129</v>
      </c>
      <c r="EZ53" s="1" t="s">
        <v>1910</v>
      </c>
      <c r="FA53" s="36" t="str">
        <f t="shared" si="102"/>
        <v>ICOOHT</v>
      </c>
      <c r="FB53" s="1" t="s">
        <v>439</v>
      </c>
      <c r="FC53" s="26">
        <f t="shared" si="103"/>
        <v>127.05425718166921</v>
      </c>
      <c r="FD53" s="25">
        <f t="shared" si="104"/>
        <v>4.5608753166601526</v>
      </c>
      <c r="FE53" s="24">
        <f t="shared" si="105"/>
        <v>3.5897068054467157E-2</v>
      </c>
      <c r="FF53" s="36">
        <v>0.02</v>
      </c>
      <c r="FG53" s="32">
        <f t="shared" si="106"/>
        <v>0.55714856627434983</v>
      </c>
    </row>
    <row r="54" spans="1:163">
      <c r="A54" s="37" t="s">
        <v>2075</v>
      </c>
      <c r="B54" s="36" t="s">
        <v>1129</v>
      </c>
      <c r="C54" s="1" t="s">
        <v>1132</v>
      </c>
      <c r="D54" s="36" t="s">
        <v>2181</v>
      </c>
      <c r="E54" s="36" t="s">
        <v>2180</v>
      </c>
      <c r="F54" s="1" t="e">
        <f t="shared" ca="1" si="97"/>
        <v>#NAME?</v>
      </c>
      <c r="G54" s="35" t="s">
        <v>1109</v>
      </c>
      <c r="H54" s="34">
        <f>1-I54</f>
        <v>0.53535953986266316</v>
      </c>
      <c r="I54" s="33">
        <v>0.46464046013733679</v>
      </c>
      <c r="J54" s="26">
        <v>0</v>
      </c>
      <c r="K54" s="25">
        <v>0</v>
      </c>
      <c r="L54" s="24"/>
      <c r="M54" s="25"/>
      <c r="N54" s="24"/>
      <c r="O54" s="25"/>
      <c r="P54" s="24"/>
      <c r="Q54" s="25"/>
      <c r="R54" s="32"/>
      <c r="S54" s="31" t="e">
        <v>#REF!</v>
      </c>
      <c r="T54" s="29" t="e">
        <v>#REF!</v>
      </c>
      <c r="U54" s="30" t="e">
        <v>#REF!</v>
      </c>
      <c r="V54" s="29" t="e">
        <v>#REF!</v>
      </c>
      <c r="W54" s="30" t="e">
        <v>#REF!</v>
      </c>
      <c r="X54" s="29" t="e">
        <v>#REF!</v>
      </c>
      <c r="Y54" s="30" t="e">
        <v>#REF!</v>
      </c>
      <c r="Z54" s="29" t="e">
        <v>#REF!</v>
      </c>
      <c r="AA54" s="28" t="e">
        <v>#REF!</v>
      </c>
      <c r="AB54" s="26" t="e">
        <f t="shared" si="120"/>
        <v>#REF!</v>
      </c>
      <c r="AC54" s="25" t="e">
        <f t="shared" si="120"/>
        <v>#REF!</v>
      </c>
      <c r="AD54" s="24" t="e">
        <f t="shared" si="120"/>
        <v>#REF!</v>
      </c>
      <c r="AE54" s="25" t="e">
        <f t="shared" si="120"/>
        <v>#REF!</v>
      </c>
      <c r="AF54" s="24" t="e">
        <f t="shared" si="120"/>
        <v>#REF!</v>
      </c>
      <c r="AG54" s="25" t="e">
        <f t="shared" si="120"/>
        <v>#REF!</v>
      </c>
      <c r="AH54" s="24" t="e">
        <f t="shared" si="120"/>
        <v>#REF!</v>
      </c>
      <c r="AI54" s="25" t="e">
        <f t="shared" si="120"/>
        <v>#REF!</v>
      </c>
      <c r="AJ54" s="24" t="e">
        <f t="shared" si="120"/>
        <v>#REF!</v>
      </c>
      <c r="AK54" s="27" t="e">
        <f t="shared" si="12"/>
        <v>#REF!</v>
      </c>
      <c r="AL54" s="26" t="e">
        <f t="shared" si="121"/>
        <v>#REF!</v>
      </c>
      <c r="AM54" s="25" t="e">
        <f t="shared" si="121"/>
        <v>#REF!</v>
      </c>
      <c r="AN54" s="24" t="e">
        <f t="shared" si="121"/>
        <v>#REF!</v>
      </c>
      <c r="AO54" s="25" t="e">
        <f t="shared" si="121"/>
        <v>#REF!</v>
      </c>
      <c r="AP54" s="24" t="e">
        <f t="shared" si="121"/>
        <v>#REF!</v>
      </c>
      <c r="AQ54" s="25" t="e">
        <f t="shared" si="121"/>
        <v>#REF!</v>
      </c>
      <c r="AR54" s="24" t="e">
        <f t="shared" si="121"/>
        <v>#REF!</v>
      </c>
      <c r="AS54" s="25" t="e">
        <f t="shared" si="121"/>
        <v>#REF!</v>
      </c>
      <c r="AT54" s="24" t="e">
        <f t="shared" si="121"/>
        <v>#REF!</v>
      </c>
      <c r="AU54" s="23" t="e">
        <f>SUM(AL54:AT54)</f>
        <v>#REF!</v>
      </c>
      <c r="AW54" s="100" t="s">
        <v>1139</v>
      </c>
      <c r="AX54" s="41">
        <v>0.37055175388061068</v>
      </c>
      <c r="AY54" s="40">
        <v>1.1873566239068856</v>
      </c>
      <c r="AZ54" s="39">
        <v>4.741702355953775</v>
      </c>
      <c r="BA54" s="40">
        <v>3.2116677525713451</v>
      </c>
      <c r="BB54" s="39">
        <v>4.6684101160156226</v>
      </c>
      <c r="BC54" s="40">
        <v>4.0691994182358648</v>
      </c>
      <c r="BD54" s="39">
        <v>14.136408381955508</v>
      </c>
      <c r="BE54" s="40">
        <v>0</v>
      </c>
      <c r="BF54" s="39">
        <v>0</v>
      </c>
      <c r="BG54" s="81">
        <v>32.385296402519614</v>
      </c>
      <c r="BH54" s="66">
        <v>0</v>
      </c>
      <c r="BJ54" s="37" t="s">
        <v>1931</v>
      </c>
      <c r="BK54" s="36" t="s">
        <v>2168</v>
      </c>
      <c r="BL54" s="1" t="s">
        <v>1107</v>
      </c>
      <c r="BM54" s="36" t="s">
        <v>1937</v>
      </c>
      <c r="BN54" s="82" t="str">
        <f t="shared" si="114"/>
        <v>ICOSTM</v>
      </c>
      <c r="BO54" s="26">
        <f t="shared" si="115"/>
        <v>2.295959936237358E-2</v>
      </c>
      <c r="BP54" s="25">
        <f t="shared" si="115"/>
        <v>29.54728960916777</v>
      </c>
      <c r="BQ54" s="24">
        <f t="shared" si="115"/>
        <v>42.279437577436312</v>
      </c>
      <c r="BR54" s="25">
        <f t="shared" si="115"/>
        <v>8.4695808086318749</v>
      </c>
      <c r="BS54" s="24">
        <f t="shared" si="115"/>
        <v>13.103779183240945</v>
      </c>
      <c r="BT54" s="25">
        <f t="shared" si="115"/>
        <v>4.0253210066000111</v>
      </c>
      <c r="BU54" s="24">
        <f t="shared" si="115"/>
        <v>137.42757545476775</v>
      </c>
      <c r="BV54" s="25">
        <f t="shared" si="115"/>
        <v>0.34863698646611102</v>
      </c>
      <c r="BW54" s="32">
        <f t="shared" si="115"/>
        <v>0.20185494823211395</v>
      </c>
      <c r="BX54" s="26">
        <f t="shared" ref="BX54:CF54" si="125">BO54/BO55</f>
        <v>6.7827058691994277E-3</v>
      </c>
      <c r="BY54" s="25">
        <f t="shared" si="125"/>
        <v>0.76149054753535028</v>
      </c>
      <c r="BZ54" s="24">
        <f t="shared" si="125"/>
        <v>0.33276679204052823</v>
      </c>
      <c r="CA54" s="25">
        <f t="shared" si="125"/>
        <v>0.12854203300636743</v>
      </c>
      <c r="CB54" s="24">
        <f t="shared" si="125"/>
        <v>2.4881801304673892E-2</v>
      </c>
      <c r="CC54" s="25">
        <f t="shared" si="125"/>
        <v>8.9125201988183647E-3</v>
      </c>
      <c r="CD54" s="24">
        <f t="shared" si="125"/>
        <v>8.1199441749953569E-2</v>
      </c>
      <c r="CE54" s="25">
        <f t="shared" si="125"/>
        <v>5.9649067919256463E-2</v>
      </c>
      <c r="CF54" s="32">
        <f t="shared" si="125"/>
        <v>5.5330001060606433E-2</v>
      </c>
      <c r="CH54" s="54" t="s">
        <v>2179</v>
      </c>
      <c r="CI54" s="41">
        <v>0</v>
      </c>
      <c r="CJ54" s="40">
        <v>0.10016353715774967</v>
      </c>
      <c r="CK54" s="39">
        <v>3.4619023059747484E-2</v>
      </c>
      <c r="CL54" s="40">
        <v>3.4659664601244602E-2</v>
      </c>
      <c r="CM54" s="39">
        <v>5.8084707012321234E-2</v>
      </c>
      <c r="CN54" s="40">
        <v>5.7986284184726254E-2</v>
      </c>
      <c r="CO54" s="39">
        <v>5.6311036185825315E-2</v>
      </c>
      <c r="CP54" s="40">
        <v>0</v>
      </c>
      <c r="CQ54" s="66">
        <v>0</v>
      </c>
      <c r="CS54" s="54" t="s">
        <v>1576</v>
      </c>
      <c r="CT54" s="39">
        <v>5.0019132160787828E-2</v>
      </c>
      <c r="CU54" s="40">
        <v>0.13768584234658404</v>
      </c>
      <c r="CV54" s="39">
        <v>0</v>
      </c>
      <c r="CW54" s="40">
        <v>0</v>
      </c>
      <c r="CX54" s="39">
        <v>7.6618266631311285E-2</v>
      </c>
      <c r="CY54" s="40">
        <v>6.6783979610699845E-2</v>
      </c>
      <c r="CZ54" s="39">
        <v>0.23200770277273267</v>
      </c>
      <c r="DA54" s="40">
        <v>0.11536553161923298</v>
      </c>
      <c r="DB54" s="39">
        <v>7.2339442888138913E-2</v>
      </c>
      <c r="DC54" s="38">
        <v>0.75081989802948756</v>
      </c>
      <c r="DE54" s="37" t="s">
        <v>1738</v>
      </c>
      <c r="DF54" s="35" t="str">
        <f t="shared" si="16"/>
        <v>INOOH</v>
      </c>
      <c r="DG54" s="26">
        <f t="shared" si="117"/>
        <v>3.2529822634751559E-3</v>
      </c>
      <c r="DH54" s="25">
        <f t="shared" si="117"/>
        <v>8.9543657344018177E-3</v>
      </c>
      <c r="DI54" s="24">
        <f t="shared" si="117"/>
        <v>2.048586233045362E-2</v>
      </c>
      <c r="DJ54" s="25">
        <f t="shared" si="117"/>
        <v>1.3875561663570462E-2</v>
      </c>
      <c r="DK54" s="24">
        <f t="shared" si="117"/>
        <v>1.1349826353506377E-2</v>
      </c>
      <c r="DL54" s="25">
        <f t="shared" si="117"/>
        <v>9.8930268864603921E-3</v>
      </c>
      <c r="DM54" s="24">
        <f t="shared" si="117"/>
        <v>3.436839875036167E-2</v>
      </c>
      <c r="DN54" s="25">
        <f t="shared" si="117"/>
        <v>1.2226735774093991E-2</v>
      </c>
      <c r="DO54" s="32">
        <f t="shared" si="117"/>
        <v>7.6667202224462629E-3</v>
      </c>
      <c r="DP54" s="26">
        <f t="shared" si="18"/>
        <v>1.3034373198595199E-2</v>
      </c>
      <c r="DQ54" s="25">
        <f t="shared" si="19"/>
        <v>5.995561235687381E-3</v>
      </c>
      <c r="DR54" s="24">
        <f t="shared" si="20"/>
        <v>3.575994920879073E-3</v>
      </c>
      <c r="DS54" s="25">
        <f t="shared" si="21"/>
        <v>3.575994920879073E-3</v>
      </c>
      <c r="DT54" s="24">
        <f t="shared" si="22"/>
        <v>7.3749956528278903E-3</v>
      </c>
      <c r="DU54" s="25">
        <f t="shared" si="23"/>
        <v>7.3749956528278912E-3</v>
      </c>
      <c r="DV54" s="24">
        <f t="shared" si="24"/>
        <v>7.3749956528278921E-3</v>
      </c>
      <c r="DW54" s="25">
        <f t="shared" si="25"/>
        <v>1.630845113066462E-2</v>
      </c>
      <c r="DX54" s="32">
        <f t="shared" si="26"/>
        <v>1.630845113066462E-2</v>
      </c>
      <c r="DZ54" s="54" t="s">
        <v>2047</v>
      </c>
      <c r="EA54" s="39">
        <v>1</v>
      </c>
      <c r="EB54" s="40">
        <v>2.1389458501140917E-3</v>
      </c>
      <c r="EC54" s="39">
        <v>1.4174397900830792E-2</v>
      </c>
      <c r="ED54" s="40">
        <v>4.7925673799264969E-2</v>
      </c>
      <c r="EE54" s="39">
        <v>2.1918394495291742E-2</v>
      </c>
      <c r="EF54" s="40">
        <v>6.2193465631006695E-2</v>
      </c>
      <c r="EG54" s="39">
        <v>6.3285104575444917E-3</v>
      </c>
      <c r="EH54" s="40">
        <v>0.10126036925984895</v>
      </c>
      <c r="EI54" s="66">
        <v>0.10966616428955242</v>
      </c>
      <c r="EO54" s="83" t="s">
        <v>1931</v>
      </c>
      <c r="EP54" s="82" t="s">
        <v>440</v>
      </c>
      <c r="EQ54" s="81">
        <f t="shared" si="101"/>
        <v>38.801912518547859</v>
      </c>
      <c r="ER54" s="80">
        <f>EQ54/SUM(EQ53:EQ61)</f>
        <v>1.3309374011304732E-2</v>
      </c>
      <c r="ET54" s="73" t="s">
        <v>519</v>
      </c>
      <c r="EU54" s="72">
        <v>0.1117546244698225</v>
      </c>
      <c r="EW54" s="37" t="s">
        <v>1931</v>
      </c>
      <c r="EX54" s="36" t="s">
        <v>2168</v>
      </c>
      <c r="EY54" s="36" t="s">
        <v>1139</v>
      </c>
      <c r="EZ54" s="1" t="s">
        <v>1943</v>
      </c>
      <c r="FA54" s="36" t="str">
        <f t="shared" si="102"/>
        <v>ICOFEED</v>
      </c>
      <c r="FB54" s="1" t="s">
        <v>518</v>
      </c>
      <c r="FC54" s="26">
        <f t="shared" si="103"/>
        <v>65.889581878733225</v>
      </c>
      <c r="FD54" s="25">
        <f t="shared" si="104"/>
        <v>0.53948056497158514</v>
      </c>
      <c r="FE54" s="24">
        <f t="shared" si="105"/>
        <v>8.1876459007506619E-3</v>
      </c>
      <c r="FF54" s="36">
        <v>0</v>
      </c>
      <c r="FG54" s="86">
        <f t="shared" si="106"/>
        <v>0</v>
      </c>
    </row>
    <row r="55" spans="1:163">
      <c r="A55" s="37" t="s">
        <v>2075</v>
      </c>
      <c r="B55" s="36" t="s">
        <v>1129</v>
      </c>
      <c r="C55" s="1" t="s">
        <v>1132</v>
      </c>
      <c r="D55" s="36" t="s">
        <v>1131</v>
      </c>
      <c r="E55" s="36" t="s">
        <v>2178</v>
      </c>
      <c r="F55" s="1" t="e">
        <f t="shared" ca="1" si="97"/>
        <v>#NAME?</v>
      </c>
      <c r="G55" s="35" t="s">
        <v>1104</v>
      </c>
      <c r="H55" s="43">
        <v>1</v>
      </c>
      <c r="I55" s="42">
        <v>0</v>
      </c>
      <c r="J55" s="26">
        <v>0</v>
      </c>
      <c r="K55" s="25">
        <v>0</v>
      </c>
      <c r="L55" s="24"/>
      <c r="M55" s="25"/>
      <c r="N55" s="24"/>
      <c r="O55" s="25"/>
      <c r="P55" s="24"/>
      <c r="Q55" s="25"/>
      <c r="R55" s="32"/>
      <c r="S55" s="31" t="e">
        <v>#REF!</v>
      </c>
      <c r="T55" s="29" t="e">
        <v>#REF!</v>
      </c>
      <c r="U55" s="30" t="e">
        <v>#REF!</v>
      </c>
      <c r="V55" s="29" t="e">
        <v>#REF!</v>
      </c>
      <c r="W55" s="30" t="e">
        <v>#REF!</v>
      </c>
      <c r="X55" s="29" t="e">
        <v>#REF!</v>
      </c>
      <c r="Y55" s="30" t="e">
        <v>#REF!</v>
      </c>
      <c r="Z55" s="29" t="e">
        <v>#REF!</v>
      </c>
      <c r="AA55" s="28" t="e">
        <v>#REF!</v>
      </c>
      <c r="AB55" s="26" t="e">
        <f t="shared" ref="AB55:AB72" si="126">J55*$H55*S55</f>
        <v>#REF!</v>
      </c>
      <c r="AC55" s="25" t="e">
        <f t="shared" ref="AC55:AC72" si="127">K55*$H55*T55</f>
        <v>#REF!</v>
      </c>
      <c r="AD55" s="24" t="e">
        <f t="shared" ref="AD55:AD72" si="128">L55*$H55*U55</f>
        <v>#REF!</v>
      </c>
      <c r="AE55" s="25" t="e">
        <f t="shared" ref="AE55:AE72" si="129">M55*$H55*V55</f>
        <v>#REF!</v>
      </c>
      <c r="AF55" s="24" t="e">
        <f t="shared" ref="AF55:AF72" si="130">N55*$H55*W55</f>
        <v>#REF!</v>
      </c>
      <c r="AG55" s="25" t="e">
        <f t="shared" ref="AG55:AG72" si="131">O55*$H55*X55</f>
        <v>#REF!</v>
      </c>
      <c r="AH55" s="24" t="e">
        <f t="shared" ref="AH55:AH72" si="132">P55*$H55*Y55</f>
        <v>#REF!</v>
      </c>
      <c r="AI55" s="25" t="e">
        <f t="shared" ref="AI55:AI72" si="133">Q55*$H55*Z55</f>
        <v>#REF!</v>
      </c>
      <c r="AJ55" s="24" t="e">
        <f t="shared" ref="AJ55:AJ72" si="134">R55*$H55*AA55</f>
        <v>#REF!</v>
      </c>
      <c r="AK55" s="27" t="e">
        <f t="shared" si="12"/>
        <v>#REF!</v>
      </c>
      <c r="AL55" s="41">
        <v>0</v>
      </c>
      <c r="AM55" s="40">
        <v>0</v>
      </c>
      <c r="AN55" s="39">
        <v>0</v>
      </c>
      <c r="AO55" s="40">
        <v>0</v>
      </c>
      <c r="AP55" s="39">
        <v>0</v>
      </c>
      <c r="AQ55" s="40">
        <v>0</v>
      </c>
      <c r="AR55" s="39">
        <v>0</v>
      </c>
      <c r="AS55" s="40">
        <v>0</v>
      </c>
      <c r="AT55" s="39">
        <v>0</v>
      </c>
      <c r="AU55" s="38">
        <v>0</v>
      </c>
      <c r="AW55" s="100" t="s">
        <v>1136</v>
      </c>
      <c r="AX55" s="41">
        <v>17.277645598783486</v>
      </c>
      <c r="AY55" s="40">
        <v>47.559545423284419</v>
      </c>
      <c r="AZ55" s="39">
        <v>107.31845775030446</v>
      </c>
      <c r="BA55" s="40">
        <v>72.689343222812624</v>
      </c>
      <c r="BB55" s="39">
        <v>45.481314625587927</v>
      </c>
      <c r="BC55" s="40">
        <v>39.643590519206512</v>
      </c>
      <c r="BD55" s="39">
        <v>137.72192701961089</v>
      </c>
      <c r="BE55" s="40">
        <v>52.379862735738953</v>
      </c>
      <c r="BF55" s="39">
        <v>32.844559685007731</v>
      </c>
      <c r="BG55" s="81">
        <v>552.91624658033709</v>
      </c>
      <c r="BH55" s="66">
        <v>0</v>
      </c>
      <c r="BJ55" s="22" t="s">
        <v>1931</v>
      </c>
      <c r="BK55" s="20" t="s">
        <v>2168</v>
      </c>
      <c r="BL55" s="21" t="s">
        <v>1027</v>
      </c>
      <c r="BM55" s="20"/>
      <c r="BN55" s="78"/>
      <c r="BO55" s="11">
        <f t="shared" ref="BO55:BW55" si="135">GETPIVOTDATA("Sum of "&amp;BO$1&amp;" (Out)",$AW$6,"Sub-Sector",$BJ55)</f>
        <v>3.3850206400124399</v>
      </c>
      <c r="BP55" s="10">
        <f t="shared" si="135"/>
        <v>38.801912518547859</v>
      </c>
      <c r="BQ55" s="9">
        <f t="shared" si="135"/>
        <v>127.05425718166921</v>
      </c>
      <c r="BR55" s="10">
        <f t="shared" si="135"/>
        <v>65.889581878733225</v>
      </c>
      <c r="BS55" s="9">
        <f t="shared" si="135"/>
        <v>526.64109896173318</v>
      </c>
      <c r="BT55" s="10">
        <f t="shared" si="135"/>
        <v>451.64789720574146</v>
      </c>
      <c r="BU55" s="9">
        <f t="shared" si="135"/>
        <v>1692.4694615261481</v>
      </c>
      <c r="BV55" s="10">
        <f t="shared" si="135"/>
        <v>5.8448019160675067</v>
      </c>
      <c r="BW55" s="16">
        <f t="shared" si="135"/>
        <v>3.6482006933455415</v>
      </c>
      <c r="BX55" s="11"/>
      <c r="BY55" s="6"/>
      <c r="BZ55" s="5"/>
      <c r="CA55" s="6"/>
      <c r="CB55" s="5"/>
      <c r="CC55" s="6"/>
      <c r="CD55" s="5"/>
      <c r="CE55" s="6"/>
      <c r="CF55" s="59"/>
      <c r="CH55" s="54" t="s">
        <v>2177</v>
      </c>
      <c r="CI55" s="41">
        <v>0.50638972236868018</v>
      </c>
      <c r="CJ55" s="40">
        <v>0.26801805254169431</v>
      </c>
      <c r="CK55" s="39">
        <v>0.13092384085755754</v>
      </c>
      <c r="CL55" s="40">
        <v>0.13107754094037014</v>
      </c>
      <c r="CM55" s="39">
        <v>0.28376459146340749</v>
      </c>
      <c r="CN55" s="40">
        <v>0.28328376070950118</v>
      </c>
      <c r="CO55" s="39">
        <v>0.27509957439851268</v>
      </c>
      <c r="CP55" s="40">
        <v>0.10136863751952453</v>
      </c>
      <c r="CQ55" s="66">
        <v>0.10136863751952453</v>
      </c>
      <c r="CS55" s="54" t="s">
        <v>1573</v>
      </c>
      <c r="CT55" s="39">
        <v>5.830869683044793</v>
      </c>
      <c r="CU55" s="40">
        <v>16.050422493186591</v>
      </c>
      <c r="CV55" s="39">
        <v>58.471166232381478</v>
      </c>
      <c r="CW55" s="40">
        <v>39.603911200369922</v>
      </c>
      <c r="CX55" s="39">
        <v>11.722731488109771</v>
      </c>
      <c r="CY55" s="40">
        <v>10.218068028749833</v>
      </c>
      <c r="CZ55" s="39">
        <v>35.497592445747792</v>
      </c>
      <c r="DA55" s="40">
        <v>30.259083702318186</v>
      </c>
      <c r="DB55" s="39">
        <v>18.973823694202423</v>
      </c>
      <c r="DC55" s="38">
        <v>226.62766896811075</v>
      </c>
      <c r="DE55" s="37" t="s">
        <v>1454</v>
      </c>
      <c r="DF55" s="35" t="str">
        <f t="shared" si="16"/>
        <v>IPOOH</v>
      </c>
      <c r="DG55" s="26">
        <f t="shared" si="117"/>
        <v>0.23609084864974855</v>
      </c>
      <c r="DH55" s="25">
        <f t="shared" si="117"/>
        <v>0.20831545469095461</v>
      </c>
      <c r="DI55" s="24">
        <f t="shared" si="117"/>
        <v>0.80813170042014781</v>
      </c>
      <c r="DJ55" s="25">
        <f t="shared" si="117"/>
        <v>0.15474862348470914</v>
      </c>
      <c r="DK55" s="24">
        <f t="shared" si="117"/>
        <v>0.66660945501105484</v>
      </c>
      <c r="DL55" s="25">
        <f t="shared" si="117"/>
        <v>0.38706355452254798</v>
      </c>
      <c r="DM55" s="24">
        <f t="shared" si="117"/>
        <v>0.27954590048850692</v>
      </c>
      <c r="DN55" s="25">
        <f t="shared" si="117"/>
        <v>2.5394645905183037E-2</v>
      </c>
      <c r="DO55" s="32">
        <f t="shared" si="117"/>
        <v>0.19680850576516856</v>
      </c>
      <c r="DP55" s="26">
        <f t="shared" si="18"/>
        <v>1.3080658791186365E-2</v>
      </c>
      <c r="DQ55" s="25">
        <f t="shared" si="19"/>
        <v>1.2957324560927474E-2</v>
      </c>
      <c r="DR55" s="24">
        <f t="shared" si="20"/>
        <v>0.43060012278195647</v>
      </c>
      <c r="DS55" s="25">
        <f t="shared" si="21"/>
        <v>0.40683663572757567</v>
      </c>
      <c r="DT55" s="24">
        <f t="shared" si="22"/>
        <v>8.7963796466011462E-2</v>
      </c>
      <c r="DU55" s="25">
        <f t="shared" si="23"/>
        <v>8.0650721016225474E-2</v>
      </c>
      <c r="DV55" s="24">
        <f t="shared" si="24"/>
        <v>9.3399409224027313E-2</v>
      </c>
      <c r="DW55" s="25">
        <f t="shared" si="25"/>
        <v>0.60722982241348145</v>
      </c>
      <c r="DX55" s="32">
        <f t="shared" si="26"/>
        <v>0.60722982241348145</v>
      </c>
      <c r="DZ55" s="54" t="s">
        <v>2044</v>
      </c>
      <c r="EA55" s="39">
        <v>0</v>
      </c>
      <c r="EB55" s="40">
        <v>8.612906177636899E-2</v>
      </c>
      <c r="EC55" s="39">
        <v>7.628087571153043E-2</v>
      </c>
      <c r="ED55" s="40">
        <v>0.22436943073403545</v>
      </c>
      <c r="EE55" s="39">
        <v>0.26811986970039925</v>
      </c>
      <c r="EF55" s="40">
        <v>0.74828198477348296</v>
      </c>
      <c r="EG55" s="39">
        <v>0.62179410133092161</v>
      </c>
      <c r="EH55" s="40">
        <v>0</v>
      </c>
      <c r="EI55" s="66">
        <v>0</v>
      </c>
      <c r="EO55" s="83" t="s">
        <v>1931</v>
      </c>
      <c r="EP55" s="82" t="s">
        <v>439</v>
      </c>
      <c r="EQ55" s="81">
        <f t="shared" si="101"/>
        <v>127.05425718166921</v>
      </c>
      <c r="ER55" s="80">
        <f>EQ55/SUM(EQ53:EQ61)</f>
        <v>4.3580651540075718E-2</v>
      </c>
      <c r="ET55" s="73" t="s">
        <v>520</v>
      </c>
      <c r="EU55" s="72">
        <v>0.43992776007207274</v>
      </c>
      <c r="EW55" s="37" t="s">
        <v>1931</v>
      </c>
      <c r="EX55" s="36" t="s">
        <v>2168</v>
      </c>
      <c r="EY55" s="36" t="s">
        <v>1107</v>
      </c>
      <c r="EZ55" s="1" t="s">
        <v>1937</v>
      </c>
      <c r="FA55" s="36" t="str">
        <f t="shared" si="102"/>
        <v>ICOSTM</v>
      </c>
      <c r="FB55" s="1" t="s">
        <v>517</v>
      </c>
      <c r="FC55" s="26">
        <f t="shared" si="103"/>
        <v>526.64109896173318</v>
      </c>
      <c r="FD55" s="25">
        <f t="shared" si="104"/>
        <v>13.103779183240945</v>
      </c>
      <c r="FE55" s="24">
        <f t="shared" si="105"/>
        <v>2.4881801304673892E-2</v>
      </c>
      <c r="FF55" s="36">
        <v>0.02</v>
      </c>
      <c r="FG55" s="32">
        <f t="shared" si="106"/>
        <v>0.80380032599339302</v>
      </c>
    </row>
    <row r="56" spans="1:163">
      <c r="A56" s="37" t="s">
        <v>2075</v>
      </c>
      <c r="B56" s="36" t="s">
        <v>1129</v>
      </c>
      <c r="C56" s="1" t="s">
        <v>1132</v>
      </c>
      <c r="D56" s="36" t="s">
        <v>1131</v>
      </c>
      <c r="E56" s="36" t="s">
        <v>2176</v>
      </c>
      <c r="F56" s="1" t="e">
        <f t="shared" ca="1" si="97"/>
        <v>#NAME?</v>
      </c>
      <c r="G56" s="35" t="s">
        <v>1104</v>
      </c>
      <c r="H56" s="43">
        <v>1</v>
      </c>
      <c r="I56" s="42">
        <v>0</v>
      </c>
      <c r="J56" s="26">
        <v>0</v>
      </c>
      <c r="K56" s="25">
        <v>0</v>
      </c>
      <c r="L56" s="24"/>
      <c r="M56" s="25"/>
      <c r="N56" s="24"/>
      <c r="O56" s="25"/>
      <c r="P56" s="24"/>
      <c r="Q56" s="25"/>
      <c r="R56" s="32"/>
      <c r="S56" s="31" t="e">
        <v>#REF!</v>
      </c>
      <c r="T56" s="29" t="e">
        <v>#REF!</v>
      </c>
      <c r="U56" s="30" t="e">
        <v>#REF!</v>
      </c>
      <c r="V56" s="29" t="e">
        <v>#REF!</v>
      </c>
      <c r="W56" s="30" t="e">
        <v>#REF!</v>
      </c>
      <c r="X56" s="29" t="e">
        <v>#REF!</v>
      </c>
      <c r="Y56" s="30" t="e">
        <v>#REF!</v>
      </c>
      <c r="Z56" s="29" t="e">
        <v>#REF!</v>
      </c>
      <c r="AA56" s="28" t="e">
        <v>#REF!</v>
      </c>
      <c r="AB56" s="26" t="e">
        <f t="shared" si="126"/>
        <v>#REF!</v>
      </c>
      <c r="AC56" s="25" t="e">
        <f t="shared" si="127"/>
        <v>#REF!</v>
      </c>
      <c r="AD56" s="24" t="e">
        <f t="shared" si="128"/>
        <v>#REF!</v>
      </c>
      <c r="AE56" s="25" t="e">
        <f t="shared" si="129"/>
        <v>#REF!</v>
      </c>
      <c r="AF56" s="24" t="e">
        <f t="shared" si="130"/>
        <v>#REF!</v>
      </c>
      <c r="AG56" s="25" t="e">
        <f t="shared" si="131"/>
        <v>#REF!</v>
      </c>
      <c r="AH56" s="24" t="e">
        <f t="shared" si="132"/>
        <v>#REF!</v>
      </c>
      <c r="AI56" s="25" t="e">
        <f t="shared" si="133"/>
        <v>#REF!</v>
      </c>
      <c r="AJ56" s="24" t="e">
        <f t="shared" si="134"/>
        <v>#REF!</v>
      </c>
      <c r="AK56" s="27" t="e">
        <f t="shared" si="12"/>
        <v>#REF!</v>
      </c>
      <c r="AL56" s="41">
        <v>0</v>
      </c>
      <c r="AM56" s="40">
        <v>0</v>
      </c>
      <c r="AN56" s="39">
        <v>0</v>
      </c>
      <c r="AO56" s="40">
        <v>0</v>
      </c>
      <c r="AP56" s="39">
        <v>0</v>
      </c>
      <c r="AQ56" s="40">
        <v>0</v>
      </c>
      <c r="AR56" s="39">
        <v>0</v>
      </c>
      <c r="AS56" s="40">
        <v>0</v>
      </c>
      <c r="AT56" s="39">
        <v>0</v>
      </c>
      <c r="AU56" s="38">
        <v>0</v>
      </c>
      <c r="AW56" s="100" t="s">
        <v>1129</v>
      </c>
      <c r="AX56" s="41">
        <v>6.7785554506749888</v>
      </c>
      <c r="AY56" s="40">
        <v>25.932062404807773</v>
      </c>
      <c r="AZ56" s="39">
        <v>20.935531468405845</v>
      </c>
      <c r="BA56" s="40">
        <v>14.23270072551114</v>
      </c>
      <c r="BB56" s="39">
        <v>17.834997918782964</v>
      </c>
      <c r="BC56" s="40">
        <v>15.176223411668097</v>
      </c>
      <c r="BD56" s="39">
        <v>55.765912127034717</v>
      </c>
      <c r="BE56" s="40">
        <v>14.154351887228918</v>
      </c>
      <c r="BF56" s="39">
        <v>9.0240002417549228</v>
      </c>
      <c r="BG56" s="81">
        <v>179.83433563586931</v>
      </c>
      <c r="BH56" s="66">
        <v>4.5303180127821676</v>
      </c>
      <c r="BJ56" s="37" t="s">
        <v>1793</v>
      </c>
      <c r="BK56" s="36" t="s">
        <v>2149</v>
      </c>
      <c r="BL56" s="1" t="s">
        <v>1150</v>
      </c>
      <c r="BM56" s="36" t="s">
        <v>1902</v>
      </c>
      <c r="BN56" s="82" t="str">
        <f t="shared" ref="BN56:BN62" si="136">BK56&amp;BM56</f>
        <v>IOTETC</v>
      </c>
      <c r="BO56" s="91">
        <f t="shared" ref="BO56:BW62" si="137">IF(ISERROR(GETPIVOTDATA("Sum of "&amp;BO$1&amp;" (Out)",$AW$6,"Sub-Sector",$BJ56,"End-Use",$BL56)),0,GETPIVOTDATA("Sum of "&amp;BO$1&amp;" (Out)",$AW$6,"Sub-Sector",$BJ56,"End-Use",$BL56))</f>
        <v>0.52203697683094341</v>
      </c>
      <c r="BP56" s="89">
        <f t="shared" si="137"/>
        <v>1.4369921625185693</v>
      </c>
      <c r="BQ56" s="90">
        <f t="shared" si="137"/>
        <v>3.2678985586167504</v>
      </c>
      <c r="BR56" s="89">
        <f t="shared" si="137"/>
        <v>2.2134253969369375</v>
      </c>
      <c r="BS56" s="90">
        <f t="shared" si="137"/>
        <v>1.4013987333665723</v>
      </c>
      <c r="BT56" s="89">
        <f t="shared" si="137"/>
        <v>1.2215231243219784</v>
      </c>
      <c r="BU56" s="90">
        <f t="shared" si="137"/>
        <v>4.243574216597116</v>
      </c>
      <c r="BV56" s="89">
        <f t="shared" si="137"/>
        <v>1.5810636099500879</v>
      </c>
      <c r="BW56" s="88">
        <f t="shared" si="137"/>
        <v>0.99139889626644417</v>
      </c>
      <c r="BX56" s="26">
        <f t="shared" ref="BX56:CF56" si="138">BO56/BO63</f>
        <v>6.7857386818111834E-3</v>
      </c>
      <c r="BY56" s="25">
        <f t="shared" si="138"/>
        <v>6.6733927488421352E-3</v>
      </c>
      <c r="BZ56" s="24">
        <f t="shared" si="138"/>
        <v>7.0430676770411498E-3</v>
      </c>
      <c r="CA56" s="25">
        <f t="shared" si="138"/>
        <v>7.3888356485006749E-3</v>
      </c>
      <c r="CB56" s="24">
        <f t="shared" si="138"/>
        <v>6.7561632184519613E-3</v>
      </c>
      <c r="CC56" s="25">
        <f t="shared" si="138"/>
        <v>7.639506689835443E-3</v>
      </c>
      <c r="CD56" s="24">
        <f t="shared" si="138"/>
        <v>8.0304454599270138E-3</v>
      </c>
      <c r="CE56" s="25">
        <f t="shared" si="138"/>
        <v>8.9371987465531946E-3</v>
      </c>
      <c r="CF56" s="32">
        <f t="shared" si="138"/>
        <v>7.9033979876826921E-3</v>
      </c>
      <c r="CH56" s="54" t="s">
        <v>2175</v>
      </c>
      <c r="CI56" s="41">
        <v>0</v>
      </c>
      <c r="CJ56" s="40">
        <v>0.37056416385478774</v>
      </c>
      <c r="CK56" s="39">
        <v>1.1725890012121419E-3</v>
      </c>
      <c r="CL56" s="40">
        <v>0</v>
      </c>
      <c r="CM56" s="39">
        <v>0</v>
      </c>
      <c r="CN56" s="40">
        <v>1.6944705871394254E-3</v>
      </c>
      <c r="CO56" s="39">
        <v>3.0535934805002451E-2</v>
      </c>
      <c r="CP56" s="40">
        <v>0</v>
      </c>
      <c r="CQ56" s="66">
        <v>0</v>
      </c>
      <c r="CS56" s="54" t="s">
        <v>1570</v>
      </c>
      <c r="CT56" s="39">
        <v>2.6993181105503441E-2</v>
      </c>
      <c r="CU56" s="40">
        <v>7.4303145967788822E-2</v>
      </c>
      <c r="CV56" s="39">
        <v>6.0391636020816916E-2</v>
      </c>
      <c r="CW56" s="40">
        <v>4.0904691052475364E-2</v>
      </c>
      <c r="CX56" s="39">
        <v>4.1347593567208386E-2</v>
      </c>
      <c r="CY56" s="40">
        <v>3.6040450497681654E-2</v>
      </c>
      <c r="CZ56" s="39">
        <v>0.12520461008169453</v>
      </c>
      <c r="DA56" s="40">
        <v>0</v>
      </c>
      <c r="DB56" s="39">
        <v>0</v>
      </c>
      <c r="DC56" s="38">
        <v>0.40518530829316912</v>
      </c>
      <c r="DE56" s="37" t="s">
        <v>1449</v>
      </c>
      <c r="DF56" s="35" t="str">
        <f t="shared" si="16"/>
        <v>IPOOH</v>
      </c>
      <c r="DG56" s="26">
        <f t="shared" si="117"/>
        <v>0.10689628339976348</v>
      </c>
      <c r="DH56" s="25">
        <f t="shared" si="117"/>
        <v>9.432025005861483E-2</v>
      </c>
      <c r="DI56" s="24">
        <f t="shared" si="117"/>
        <v>0.67551264803884148</v>
      </c>
      <c r="DJ56" s="25">
        <f t="shared" si="117"/>
        <v>0.12935348579467176</v>
      </c>
      <c r="DK56" s="24">
        <f t="shared" si="117"/>
        <v>0.30182480018756747</v>
      </c>
      <c r="DL56" s="25">
        <f t="shared" si="117"/>
        <v>0.17525310978632952</v>
      </c>
      <c r="DM56" s="24">
        <f t="shared" si="117"/>
        <v>0.12657169040123797</v>
      </c>
      <c r="DN56" s="25">
        <f t="shared" si="117"/>
        <v>1.6425839465990064E-2</v>
      </c>
      <c r="DO56" s="32">
        <f t="shared" si="117"/>
        <v>0.12730025586142299</v>
      </c>
      <c r="DP56" s="26">
        <f t="shared" si="18"/>
        <v>5.9226091023657917E-3</v>
      </c>
      <c r="DQ56" s="25">
        <f t="shared" si="19"/>
        <v>5.8667663159721302E-3</v>
      </c>
      <c r="DR56" s="24">
        <f t="shared" si="20"/>
        <v>0.35993617010081813</v>
      </c>
      <c r="DS56" s="25">
        <f t="shared" si="21"/>
        <v>0.34007240772347813</v>
      </c>
      <c r="DT56" s="24">
        <f t="shared" si="22"/>
        <v>3.9827900868362978E-2</v>
      </c>
      <c r="DU56" s="25">
        <f t="shared" si="23"/>
        <v>3.6516715406177097E-2</v>
      </c>
      <c r="DV56" s="24">
        <f t="shared" si="24"/>
        <v>4.2289016176962853E-2</v>
      </c>
      <c r="DW56" s="25">
        <f t="shared" si="25"/>
        <v>0.39277017758651867</v>
      </c>
      <c r="DX56" s="32">
        <f t="shared" si="26"/>
        <v>0.39277017758651861</v>
      </c>
      <c r="DZ56" s="54" t="s">
        <v>2038</v>
      </c>
      <c r="EA56" s="39">
        <v>0</v>
      </c>
      <c r="EB56" s="40">
        <v>0</v>
      </c>
      <c r="EC56" s="39">
        <v>0</v>
      </c>
      <c r="ED56" s="40">
        <v>0</v>
      </c>
      <c r="EE56" s="39">
        <v>7.923458503918665E-2</v>
      </c>
      <c r="EF56" s="40">
        <v>7.7815974739490229E-2</v>
      </c>
      <c r="EG56" s="39">
        <v>2.7564717292198806E-2</v>
      </c>
      <c r="EH56" s="40">
        <v>0</v>
      </c>
      <c r="EI56" s="66">
        <v>0</v>
      </c>
      <c r="EO56" s="83" t="s">
        <v>1931</v>
      </c>
      <c r="EP56" s="82" t="s">
        <v>518</v>
      </c>
      <c r="EQ56" s="81">
        <f t="shared" si="101"/>
        <v>65.889581878733225</v>
      </c>
      <c r="ER56" s="80">
        <f>EQ56/SUM(EQ53:EQ61)</f>
        <v>2.2600666610269618E-2</v>
      </c>
      <c r="ET56" s="73" t="s">
        <v>521</v>
      </c>
      <c r="EU56" s="72">
        <v>6.2155484076100172E-2</v>
      </c>
      <c r="EW56" s="37" t="s">
        <v>1931</v>
      </c>
      <c r="EX56" s="36" t="s">
        <v>2168</v>
      </c>
      <c r="EY56" s="36" t="s">
        <v>1136</v>
      </c>
      <c r="EZ56" s="1" t="s">
        <v>1941</v>
      </c>
      <c r="FA56" s="36" t="str">
        <f t="shared" si="102"/>
        <v>ICOMDR</v>
      </c>
      <c r="FB56" s="1" t="s">
        <v>519</v>
      </c>
      <c r="FC56" s="26">
        <f t="shared" si="103"/>
        <v>451.64789720574146</v>
      </c>
      <c r="FD56" s="25">
        <f t="shared" si="104"/>
        <v>11.283197812361161</v>
      </c>
      <c r="FE56" s="24">
        <f t="shared" si="105"/>
        <v>2.4982287933073822E-2</v>
      </c>
      <c r="FF56" s="36">
        <v>0.02</v>
      </c>
      <c r="FG56" s="32">
        <f t="shared" si="106"/>
        <v>0.80056718798448401</v>
      </c>
    </row>
    <row r="57" spans="1:163" ht="15.75" thickBot="1">
      <c r="A57" s="37" t="s">
        <v>2075</v>
      </c>
      <c r="B57" s="36" t="s">
        <v>1129</v>
      </c>
      <c r="C57" s="1" t="s">
        <v>1132</v>
      </c>
      <c r="D57" s="36" t="s">
        <v>1131</v>
      </c>
      <c r="E57" s="36" t="s">
        <v>2174</v>
      </c>
      <c r="F57" s="1" t="e">
        <f t="shared" ca="1" si="97"/>
        <v>#NAME?</v>
      </c>
      <c r="G57" s="35" t="s">
        <v>1104</v>
      </c>
      <c r="H57" s="43">
        <v>1</v>
      </c>
      <c r="I57" s="42">
        <v>0</v>
      </c>
      <c r="J57" s="26">
        <v>6.5154689999999986</v>
      </c>
      <c r="K57" s="25">
        <v>0</v>
      </c>
      <c r="L57" s="24"/>
      <c r="M57" s="25"/>
      <c r="N57" s="24"/>
      <c r="O57" s="25"/>
      <c r="P57" s="24"/>
      <c r="Q57" s="25"/>
      <c r="R57" s="32"/>
      <c r="S57" s="31" t="e">
        <v>#REF!</v>
      </c>
      <c r="T57" s="29" t="e">
        <v>#REF!</v>
      </c>
      <c r="U57" s="30" t="e">
        <v>#REF!</v>
      </c>
      <c r="V57" s="29" t="e">
        <v>#REF!</v>
      </c>
      <c r="W57" s="30" t="e">
        <v>#REF!</v>
      </c>
      <c r="X57" s="29" t="e">
        <v>#REF!</v>
      </c>
      <c r="Y57" s="30" t="e">
        <v>#REF!</v>
      </c>
      <c r="Z57" s="29" t="e">
        <v>#REF!</v>
      </c>
      <c r="AA57" s="28" t="e">
        <v>#REF!</v>
      </c>
      <c r="AB57" s="26" t="e">
        <f t="shared" si="126"/>
        <v>#REF!</v>
      </c>
      <c r="AC57" s="25" t="e">
        <f t="shared" si="127"/>
        <v>#REF!</v>
      </c>
      <c r="AD57" s="24" t="e">
        <f t="shared" si="128"/>
        <v>#REF!</v>
      </c>
      <c r="AE57" s="25" t="e">
        <f t="shared" si="129"/>
        <v>#REF!</v>
      </c>
      <c r="AF57" s="24" t="e">
        <f t="shared" si="130"/>
        <v>#REF!</v>
      </c>
      <c r="AG57" s="25" t="e">
        <f t="shared" si="131"/>
        <v>#REF!</v>
      </c>
      <c r="AH57" s="24" t="e">
        <f t="shared" si="132"/>
        <v>#REF!</v>
      </c>
      <c r="AI57" s="25" t="e">
        <f t="shared" si="133"/>
        <v>#REF!</v>
      </c>
      <c r="AJ57" s="24" t="e">
        <f t="shared" si="134"/>
        <v>#REF!</v>
      </c>
      <c r="AK57" s="27" t="e">
        <f t="shared" si="12"/>
        <v>#REF!</v>
      </c>
      <c r="AL57" s="41">
        <v>0</v>
      </c>
      <c r="AM57" s="40">
        <v>0</v>
      </c>
      <c r="AN57" s="39">
        <v>0</v>
      </c>
      <c r="AO57" s="40">
        <v>0</v>
      </c>
      <c r="AP57" s="39">
        <v>0</v>
      </c>
      <c r="AQ57" s="40">
        <v>0</v>
      </c>
      <c r="AR57" s="39">
        <v>0</v>
      </c>
      <c r="AS57" s="40">
        <v>0</v>
      </c>
      <c r="AT57" s="39">
        <v>0</v>
      </c>
      <c r="AU57" s="38">
        <v>0</v>
      </c>
      <c r="AW57" s="100" t="s">
        <v>1123</v>
      </c>
      <c r="AX57" s="41">
        <v>21.739823394303045</v>
      </c>
      <c r="AY57" s="40">
        <v>59.842419634324244</v>
      </c>
      <c r="AZ57" s="39">
        <v>140.87636704694808</v>
      </c>
      <c r="BA57" s="40">
        <v>95.418913120091744</v>
      </c>
      <c r="BB57" s="39">
        <v>47.73599665268916</v>
      </c>
      <c r="BC57" s="40">
        <v>41.608874323538934</v>
      </c>
      <c r="BD57" s="39">
        <v>144.54932759378352</v>
      </c>
      <c r="BE57" s="40">
        <v>50.115362309727288</v>
      </c>
      <c r="BF57" s="39">
        <v>31.424614776520631</v>
      </c>
      <c r="BG57" s="81">
        <v>633.31169885192662</v>
      </c>
      <c r="BH57" s="66">
        <v>0</v>
      </c>
      <c r="BJ57" s="37" t="s">
        <v>1793</v>
      </c>
      <c r="BK57" s="36" t="s">
        <v>2149</v>
      </c>
      <c r="BL57" s="1" t="s">
        <v>1145</v>
      </c>
      <c r="BM57" s="36" t="s">
        <v>1945</v>
      </c>
      <c r="BN57" s="82" t="str">
        <f t="shared" si="136"/>
        <v>IOTFAC</v>
      </c>
      <c r="BO57" s="26">
        <f t="shared" si="137"/>
        <v>21.094295846542924</v>
      </c>
      <c r="BP57" s="25">
        <f t="shared" si="137"/>
        <v>58.065499477341703</v>
      </c>
      <c r="BQ57" s="24">
        <f t="shared" si="137"/>
        <v>138.04643656693693</v>
      </c>
      <c r="BR57" s="25">
        <f t="shared" si="137"/>
        <v>93.502133916677934</v>
      </c>
      <c r="BS57" s="24">
        <f t="shared" si="137"/>
        <v>50.511009819377776</v>
      </c>
      <c r="BT57" s="25">
        <f t="shared" si="137"/>
        <v>44.027702507623957</v>
      </c>
      <c r="BU57" s="24">
        <f t="shared" si="137"/>
        <v>152.95234241354717</v>
      </c>
      <c r="BV57" s="25">
        <f t="shared" si="137"/>
        <v>54.934161510841754</v>
      </c>
      <c r="BW57" s="32">
        <f t="shared" si="137"/>
        <v>34.446221357843015</v>
      </c>
      <c r="BX57" s="26">
        <f t="shared" ref="BX57:CF57" si="139">BO57/BO63</f>
        <v>0.27419586283024916</v>
      </c>
      <c r="BY57" s="25">
        <f t="shared" si="139"/>
        <v>0.26965622588423938</v>
      </c>
      <c r="BZ57" s="24">
        <f t="shared" si="139"/>
        <v>0.29752159618040641</v>
      </c>
      <c r="CA57" s="25">
        <f t="shared" si="139"/>
        <v>0.3121279358457264</v>
      </c>
      <c r="CB57" s="24">
        <f t="shared" si="139"/>
        <v>0.24351429649771231</v>
      </c>
      <c r="CC57" s="25">
        <f t="shared" si="139"/>
        <v>0.27535289438894017</v>
      </c>
      <c r="CD57" s="24">
        <f t="shared" si="139"/>
        <v>0.28944361074589969</v>
      </c>
      <c r="CE57" s="25">
        <f t="shared" si="139"/>
        <v>0.31052357179553614</v>
      </c>
      <c r="CF57" s="32">
        <f t="shared" si="139"/>
        <v>0.27460409486847198</v>
      </c>
      <c r="CH57" s="106" t="s">
        <v>2173</v>
      </c>
      <c r="CI57" s="41">
        <v>0.5880916993342179</v>
      </c>
      <c r="CJ57" s="40">
        <v>0.57067525809202624</v>
      </c>
      <c r="CK57" s="39">
        <v>0.1277852614377262</v>
      </c>
      <c r="CL57" s="40">
        <v>0.12798365911664378</v>
      </c>
      <c r="CM57" s="39">
        <v>0.16687305157497265</v>
      </c>
      <c r="CN57" s="40">
        <v>0.16687305157497262</v>
      </c>
      <c r="CO57" s="39">
        <v>0.16687305157497265</v>
      </c>
      <c r="CP57" s="40">
        <v>0</v>
      </c>
      <c r="CQ57" s="66">
        <v>0</v>
      </c>
      <c r="CS57" s="53" t="s">
        <v>1567</v>
      </c>
      <c r="CT57" s="39">
        <v>2.5562841595909186E-2</v>
      </c>
      <c r="CU57" s="40">
        <v>7.0365902522880094E-2</v>
      </c>
      <c r="CV57" s="39">
        <v>8.29277452687721</v>
      </c>
      <c r="CW57" s="40">
        <v>5.6168933703472348</v>
      </c>
      <c r="CX57" s="39">
        <v>0.31325303397163073</v>
      </c>
      <c r="CY57" s="40">
        <v>0.27304564764457673</v>
      </c>
      <c r="CZ57" s="39">
        <v>0.94856122428442102</v>
      </c>
      <c r="DA57" s="40">
        <v>1.1791771200389636</v>
      </c>
      <c r="DB57" s="39">
        <v>0.73939776233682175</v>
      </c>
      <c r="DC57" s="38">
        <v>17.459031429619646</v>
      </c>
      <c r="DE57" s="37" t="s">
        <v>1444</v>
      </c>
      <c r="DF57" s="35" t="str">
        <f t="shared" si="16"/>
        <v>IPOOH</v>
      </c>
      <c r="DG57" s="26">
        <f t="shared" si="117"/>
        <v>0.11152370924542657</v>
      </c>
      <c r="DH57" s="25">
        <f t="shared" si="117"/>
        <v>9.8403272863611668E-2</v>
      </c>
      <c r="DI57" s="24">
        <f t="shared" si="117"/>
        <v>5.5058974102258915E-3</v>
      </c>
      <c r="DJ57" s="25">
        <f t="shared" si="117"/>
        <v>1.0543207806815536E-3</v>
      </c>
      <c r="DK57" s="24">
        <f t="shared" si="117"/>
        <v>4.5921527336352116E-2</v>
      </c>
      <c r="DL57" s="25">
        <f t="shared" si="117"/>
        <v>2.6664112646914134E-2</v>
      </c>
      <c r="DM57" s="24">
        <f t="shared" si="117"/>
        <v>1.9257414689437986E-2</v>
      </c>
      <c r="DN57" s="25">
        <f t="shared" si="117"/>
        <v>0</v>
      </c>
      <c r="DO57" s="32">
        <f t="shared" si="117"/>
        <v>0</v>
      </c>
      <c r="DP57" s="26">
        <f t="shared" si="18"/>
        <v>6.1789925196596759E-3</v>
      </c>
      <c r="DQ57" s="25">
        <f t="shared" si="19"/>
        <v>6.120732358734054E-3</v>
      </c>
      <c r="DR57" s="24">
        <f t="shared" si="20"/>
        <v>2.9337298606595002E-3</v>
      </c>
      <c r="DS57" s="25">
        <f t="shared" si="21"/>
        <v>2.7718263964560436E-3</v>
      </c>
      <c r="DT57" s="24">
        <f t="shared" si="22"/>
        <v>6.0596678514802495E-3</v>
      </c>
      <c r="DU57" s="25">
        <f t="shared" si="23"/>
        <v>5.5558832266813362E-3</v>
      </c>
      <c r="DV57" s="24">
        <f t="shared" si="24"/>
        <v>6.4341174455876567E-3</v>
      </c>
      <c r="DW57" s="25">
        <f t="shared" si="25"/>
        <v>0</v>
      </c>
      <c r="DX57" s="32">
        <f t="shared" si="26"/>
        <v>0</v>
      </c>
      <c r="DZ57" s="53" t="s">
        <v>1668</v>
      </c>
      <c r="EA57" s="39">
        <v>0.91052383318281016</v>
      </c>
      <c r="EB57" s="40">
        <v>0.91052383318281016</v>
      </c>
      <c r="EC57" s="39">
        <v>0.92291060872029185</v>
      </c>
      <c r="ED57" s="40">
        <v>0.92291060872029185</v>
      </c>
      <c r="EE57" s="39">
        <v>0.77886381564532114</v>
      </c>
      <c r="EF57" s="40">
        <v>0.77886381564532114</v>
      </c>
      <c r="EG57" s="39">
        <v>0.77886381564532103</v>
      </c>
      <c r="EH57" s="40">
        <v>0.94432154190793849</v>
      </c>
      <c r="EI57" s="66">
        <v>0.94432154190793849</v>
      </c>
      <c r="EO57" s="83" t="s">
        <v>1931</v>
      </c>
      <c r="EP57" s="82" t="s">
        <v>517</v>
      </c>
      <c r="EQ57" s="81">
        <f t="shared" si="101"/>
        <v>526.64109896173318</v>
      </c>
      <c r="ER57" s="80">
        <f>EQ57/SUM(EQ53:EQ61)</f>
        <v>0.18064221325316707</v>
      </c>
      <c r="ET57" s="73" t="s">
        <v>522</v>
      </c>
      <c r="EU57" s="72">
        <v>3.7620543324983775E-2</v>
      </c>
      <c r="EW57" s="37" t="s">
        <v>1931</v>
      </c>
      <c r="EX57" s="36" t="s">
        <v>2168</v>
      </c>
      <c r="EY57" s="36" t="s">
        <v>1145</v>
      </c>
      <c r="EZ57" s="1" t="s">
        <v>1945</v>
      </c>
      <c r="FA57" s="36" t="str">
        <f t="shared" si="102"/>
        <v>ICOFAC</v>
      </c>
      <c r="FB57" s="1" t="s">
        <v>520</v>
      </c>
      <c r="FC57" s="26">
        <f t="shared" si="103"/>
        <v>1692.4694615261481</v>
      </c>
      <c r="FD57" s="25">
        <f t="shared" si="104"/>
        <v>6.993413324188273</v>
      </c>
      <c r="FE57" s="24">
        <f t="shared" si="105"/>
        <v>4.1320765208266224E-3</v>
      </c>
      <c r="FF57" s="36">
        <v>0.02</v>
      </c>
      <c r="FG57" s="32">
        <f t="shared" si="106"/>
        <v>4.8401814194860435</v>
      </c>
    </row>
    <row r="58" spans="1:163" ht="15.75" thickBot="1">
      <c r="A58" s="37" t="s">
        <v>2075</v>
      </c>
      <c r="B58" s="36" t="s">
        <v>1129</v>
      </c>
      <c r="C58" s="1" t="s">
        <v>1132</v>
      </c>
      <c r="D58" s="36" t="s">
        <v>1131</v>
      </c>
      <c r="E58" s="36" t="s">
        <v>2172</v>
      </c>
      <c r="F58" s="1" t="e">
        <f t="shared" ca="1" si="97"/>
        <v>#NAME?</v>
      </c>
      <c r="G58" s="35" t="s">
        <v>1104</v>
      </c>
      <c r="H58" s="43">
        <v>1</v>
      </c>
      <c r="I58" s="42">
        <v>0</v>
      </c>
      <c r="J58" s="26">
        <v>0.52585841999999994</v>
      </c>
      <c r="K58" s="25">
        <v>0</v>
      </c>
      <c r="L58" s="24"/>
      <c r="M58" s="25"/>
      <c r="N58" s="24"/>
      <c r="O58" s="25"/>
      <c r="P58" s="24"/>
      <c r="Q58" s="25"/>
      <c r="R58" s="32"/>
      <c r="S58" s="31" t="e">
        <v>#REF!</v>
      </c>
      <c r="T58" s="29" t="e">
        <v>#REF!</v>
      </c>
      <c r="U58" s="30" t="e">
        <v>#REF!</v>
      </c>
      <c r="V58" s="29" t="e">
        <v>#REF!</v>
      </c>
      <c r="W58" s="30" t="e">
        <v>#REF!</v>
      </c>
      <c r="X58" s="29" t="e">
        <v>#REF!</v>
      </c>
      <c r="Y58" s="30" t="e">
        <v>#REF!</v>
      </c>
      <c r="Z58" s="29" t="e">
        <v>#REF!</v>
      </c>
      <c r="AA58" s="28" t="e">
        <v>#REF!</v>
      </c>
      <c r="AB58" s="26" t="e">
        <f t="shared" si="126"/>
        <v>#REF!</v>
      </c>
      <c r="AC58" s="25" t="e">
        <f t="shared" si="127"/>
        <v>#REF!</v>
      </c>
      <c r="AD58" s="24" t="e">
        <f t="shared" si="128"/>
        <v>#REF!</v>
      </c>
      <c r="AE58" s="25" t="e">
        <f t="shared" si="129"/>
        <v>#REF!</v>
      </c>
      <c r="AF58" s="24" t="e">
        <f t="shared" si="130"/>
        <v>#REF!</v>
      </c>
      <c r="AG58" s="25" t="e">
        <f t="shared" si="131"/>
        <v>#REF!</v>
      </c>
      <c r="AH58" s="24" t="e">
        <f t="shared" si="132"/>
        <v>#REF!</v>
      </c>
      <c r="AI58" s="25" t="e">
        <f t="shared" si="133"/>
        <v>#REF!</v>
      </c>
      <c r="AJ58" s="24" t="e">
        <f t="shared" si="134"/>
        <v>#REF!</v>
      </c>
      <c r="AK58" s="27" t="e">
        <f t="shared" si="12"/>
        <v>#REF!</v>
      </c>
      <c r="AL58" s="41">
        <v>0</v>
      </c>
      <c r="AM58" s="40">
        <v>0</v>
      </c>
      <c r="AN58" s="39">
        <v>0</v>
      </c>
      <c r="AO58" s="40">
        <v>0</v>
      </c>
      <c r="AP58" s="39">
        <v>0</v>
      </c>
      <c r="AQ58" s="40">
        <v>0</v>
      </c>
      <c r="AR58" s="39">
        <v>0</v>
      </c>
      <c r="AS58" s="40">
        <v>0</v>
      </c>
      <c r="AT58" s="39">
        <v>0</v>
      </c>
      <c r="AU58" s="38">
        <v>0</v>
      </c>
      <c r="AW58" s="100" t="s">
        <v>1107</v>
      </c>
      <c r="AX58" s="41">
        <v>9.1485794004636229</v>
      </c>
      <c r="AY58" s="40">
        <v>21.307697972651098</v>
      </c>
      <c r="AZ58" s="39">
        <v>48.801559864210112</v>
      </c>
      <c r="BA58" s="40">
        <v>18.295306276242719</v>
      </c>
      <c r="BB58" s="39">
        <v>39.792105666012091</v>
      </c>
      <c r="BC58" s="40">
        <v>14.148436750651765</v>
      </c>
      <c r="BD58" s="39">
        <v>19.066226760611205</v>
      </c>
      <c r="BE58" s="40">
        <v>3.7433830263016645</v>
      </c>
      <c r="BF58" s="39">
        <v>16.708781514843906</v>
      </c>
      <c r="BG58" s="81">
        <v>191.01207723198814</v>
      </c>
      <c r="BH58" s="66">
        <v>48.980123801222184</v>
      </c>
      <c r="BJ58" s="37" t="s">
        <v>1793</v>
      </c>
      <c r="BK58" s="36" t="s">
        <v>2149</v>
      </c>
      <c r="BL58" s="1" t="s">
        <v>1139</v>
      </c>
      <c r="BM58" s="36" t="s">
        <v>1943</v>
      </c>
      <c r="BN58" s="82" t="str">
        <f t="shared" si="136"/>
        <v>IOTFEED</v>
      </c>
      <c r="BO58" s="26">
        <f t="shared" si="137"/>
        <v>0.37055175388061068</v>
      </c>
      <c r="BP58" s="25">
        <f t="shared" si="137"/>
        <v>1.1873566239068856</v>
      </c>
      <c r="BQ58" s="24">
        <f t="shared" si="137"/>
        <v>4.741702355953775</v>
      </c>
      <c r="BR58" s="25">
        <f t="shared" si="137"/>
        <v>3.2116677525713451</v>
      </c>
      <c r="BS58" s="24">
        <f t="shared" si="137"/>
        <v>4.6684101160156226</v>
      </c>
      <c r="BT58" s="25">
        <f t="shared" si="137"/>
        <v>4.0691994182358648</v>
      </c>
      <c r="BU58" s="24">
        <f t="shared" si="137"/>
        <v>14.136408381955508</v>
      </c>
      <c r="BV58" s="25">
        <f t="shared" si="137"/>
        <v>0</v>
      </c>
      <c r="BW58" s="32">
        <f t="shared" si="137"/>
        <v>0</v>
      </c>
      <c r="BX58" s="26">
        <f t="shared" ref="BX58:CF58" si="140">BO58/BO63</f>
        <v>4.8166461027049487E-3</v>
      </c>
      <c r="BY58" s="25">
        <f t="shared" si="140"/>
        <v>5.5140851084269542E-3</v>
      </c>
      <c r="BZ58" s="24">
        <f t="shared" si="140"/>
        <v>1.0219451429821603E-2</v>
      </c>
      <c r="CA58" s="25">
        <f t="shared" si="140"/>
        <v>1.0721158803987149E-2</v>
      </c>
      <c r="CB58" s="24">
        <f t="shared" si="140"/>
        <v>2.250647154411517E-2</v>
      </c>
      <c r="CC58" s="25">
        <f t="shared" si="140"/>
        <v>2.5449109852212114E-2</v>
      </c>
      <c r="CD58" s="24">
        <f t="shared" si="140"/>
        <v>2.6751424793409362E-2</v>
      </c>
      <c r="CE58" s="25">
        <f t="shared" si="140"/>
        <v>0</v>
      </c>
      <c r="CF58" s="32">
        <f t="shared" si="140"/>
        <v>0</v>
      </c>
      <c r="CH58" s="67" t="s">
        <v>2171</v>
      </c>
      <c r="CI58" s="41">
        <v>0</v>
      </c>
      <c r="CJ58" s="40">
        <v>0</v>
      </c>
      <c r="CK58" s="39">
        <v>0</v>
      </c>
      <c r="CL58" s="40">
        <v>0</v>
      </c>
      <c r="CM58" s="39">
        <v>0</v>
      </c>
      <c r="CN58" s="40">
        <v>0</v>
      </c>
      <c r="CO58" s="39">
        <v>0</v>
      </c>
      <c r="CP58" s="40">
        <v>0</v>
      </c>
      <c r="CQ58" s="66">
        <v>0</v>
      </c>
      <c r="CS58" s="67" t="s">
        <v>1987</v>
      </c>
      <c r="CT58" s="39">
        <v>0</v>
      </c>
      <c r="CU58" s="40">
        <v>7.4069983675223341E-2</v>
      </c>
      <c r="CV58" s="39">
        <v>0.1792834045259043</v>
      </c>
      <c r="CW58" s="40">
        <v>0.32023497887711372</v>
      </c>
      <c r="CX58" s="39">
        <v>3.2584804177315851E-2</v>
      </c>
      <c r="CY58" s="40">
        <v>0</v>
      </c>
      <c r="CZ58" s="39">
        <v>8.2929008657982295E-4</v>
      </c>
      <c r="DA58" s="40">
        <v>4.9121844104149531E-6</v>
      </c>
      <c r="DB58" s="39">
        <v>1.472113652940294E-3</v>
      </c>
      <c r="DC58" s="38">
        <v>0.60847948717948774</v>
      </c>
      <c r="DE58" s="37" t="s">
        <v>1439</v>
      </c>
      <c r="DF58" s="35" t="str">
        <f t="shared" si="16"/>
        <v>IPOOH</v>
      </c>
      <c r="DG58" s="26">
        <f t="shared" ref="DG58:DO67" si="141">GETPIVOTDATA("Sum of "&amp;DG$1&amp;" (Out)",$CS$6,"Constraint Identifier",$DE58)</f>
        <v>0</v>
      </c>
      <c r="DH58" s="25">
        <f t="shared" si="141"/>
        <v>0.20992698210903829</v>
      </c>
      <c r="DI58" s="24">
        <f t="shared" si="141"/>
        <v>5.5058974102258924E-3</v>
      </c>
      <c r="DJ58" s="25">
        <f t="shared" si="141"/>
        <v>1.0543207806815538E-3</v>
      </c>
      <c r="DK58" s="24">
        <f t="shared" si="141"/>
        <v>4.5921527336352123E-2</v>
      </c>
      <c r="DL58" s="25">
        <f t="shared" si="141"/>
        <v>2.6664112646914137E-2</v>
      </c>
      <c r="DM58" s="24">
        <f t="shared" si="141"/>
        <v>1.9257414689437986E-2</v>
      </c>
      <c r="DN58" s="25">
        <f t="shared" si="141"/>
        <v>0</v>
      </c>
      <c r="DO58" s="32">
        <f t="shared" si="141"/>
        <v>0</v>
      </c>
      <c r="DP58" s="26">
        <f t="shared" si="18"/>
        <v>0</v>
      </c>
      <c r="DQ58" s="25">
        <f t="shared" si="19"/>
        <v>1.3057562365299319E-2</v>
      </c>
      <c r="DR58" s="24">
        <f t="shared" si="20"/>
        <v>2.9337298606595006E-3</v>
      </c>
      <c r="DS58" s="25">
        <f t="shared" si="21"/>
        <v>2.771826396456044E-3</v>
      </c>
      <c r="DT58" s="24">
        <f t="shared" si="22"/>
        <v>6.0596678514802504E-3</v>
      </c>
      <c r="DU58" s="25">
        <f t="shared" si="23"/>
        <v>5.5558832266813371E-3</v>
      </c>
      <c r="DV58" s="24">
        <f t="shared" si="24"/>
        <v>6.4341174455876567E-3</v>
      </c>
      <c r="DW58" s="25">
        <f t="shared" si="25"/>
        <v>0</v>
      </c>
      <c r="DX58" s="32">
        <f t="shared" si="26"/>
        <v>0</v>
      </c>
      <c r="DZ58" s="67" t="s">
        <v>1664</v>
      </c>
      <c r="EA58" s="39">
        <v>8.947616681718977E-2</v>
      </c>
      <c r="EB58" s="40">
        <v>8.9476166817189756E-2</v>
      </c>
      <c r="EC58" s="39">
        <v>7.7089391279708111E-2</v>
      </c>
      <c r="ED58" s="40">
        <v>7.7089391279708111E-2</v>
      </c>
      <c r="EE58" s="39">
        <v>0.22113618435467894</v>
      </c>
      <c r="EF58" s="40">
        <v>0.22113618435467886</v>
      </c>
      <c r="EG58" s="39">
        <v>0.22113618435467886</v>
      </c>
      <c r="EH58" s="40">
        <v>5.5678458092061532E-2</v>
      </c>
      <c r="EI58" s="66">
        <v>5.5678458092061532E-2</v>
      </c>
      <c r="EO58" s="83" t="s">
        <v>1931</v>
      </c>
      <c r="EP58" s="82" t="s">
        <v>519</v>
      </c>
      <c r="EQ58" s="81">
        <f t="shared" si="101"/>
        <v>451.64789720574146</v>
      </c>
      <c r="ER58" s="80">
        <f>EQ58/SUM(EQ53:EQ61)</f>
        <v>0.15491893041244068</v>
      </c>
      <c r="ET58" s="74" t="s">
        <v>1931</v>
      </c>
      <c r="EU58" s="70">
        <v>0.99999999999999989</v>
      </c>
      <c r="EW58" s="37" t="s">
        <v>1931</v>
      </c>
      <c r="EX58" s="36" t="s">
        <v>2168</v>
      </c>
      <c r="EY58" s="36" t="s">
        <v>1145</v>
      </c>
      <c r="EZ58" s="1" t="s">
        <v>1945</v>
      </c>
      <c r="FA58" s="36" t="str">
        <f t="shared" si="102"/>
        <v>ICOFAC</v>
      </c>
      <c r="FB58" s="1" t="s">
        <v>521</v>
      </c>
      <c r="FC58" s="26">
        <f t="shared" si="103"/>
        <v>5.8448019160675067</v>
      </c>
      <c r="FD58" s="25">
        <f t="shared" si="104"/>
        <v>0.19702927437339537</v>
      </c>
      <c r="FE58" s="24">
        <f t="shared" si="105"/>
        <v>3.3710171397213134E-2</v>
      </c>
      <c r="FF58" s="36">
        <v>0</v>
      </c>
      <c r="FG58" s="86">
        <f t="shared" si="106"/>
        <v>0</v>
      </c>
    </row>
    <row r="59" spans="1:163">
      <c r="A59" s="37" t="s">
        <v>2075</v>
      </c>
      <c r="B59" s="36" t="s">
        <v>1129</v>
      </c>
      <c r="C59" s="1" t="s">
        <v>1132</v>
      </c>
      <c r="D59" s="36" t="s">
        <v>1131</v>
      </c>
      <c r="E59" s="36" t="s">
        <v>2170</v>
      </c>
      <c r="F59" s="1" t="e">
        <f t="shared" ca="1" si="97"/>
        <v>#NAME?</v>
      </c>
      <c r="G59" s="35" t="s">
        <v>1104</v>
      </c>
      <c r="H59" s="43">
        <v>1</v>
      </c>
      <c r="I59" s="42">
        <v>0</v>
      </c>
      <c r="J59" s="26">
        <v>0</v>
      </c>
      <c r="K59" s="25">
        <v>0</v>
      </c>
      <c r="L59" s="24"/>
      <c r="M59" s="25"/>
      <c r="N59" s="24"/>
      <c r="O59" s="25"/>
      <c r="P59" s="24"/>
      <c r="Q59" s="25"/>
      <c r="R59" s="32"/>
      <c r="S59" s="31" t="e">
        <v>#REF!</v>
      </c>
      <c r="T59" s="29" t="e">
        <v>#REF!</v>
      </c>
      <c r="U59" s="30" t="e">
        <v>#REF!</v>
      </c>
      <c r="V59" s="29" t="e">
        <v>#REF!</v>
      </c>
      <c r="W59" s="30" t="e">
        <v>#REF!</v>
      </c>
      <c r="X59" s="29" t="e">
        <v>#REF!</v>
      </c>
      <c r="Y59" s="30" t="e">
        <v>#REF!</v>
      </c>
      <c r="Z59" s="29" t="e">
        <v>#REF!</v>
      </c>
      <c r="AA59" s="28" t="e">
        <v>#REF!</v>
      </c>
      <c r="AB59" s="26" t="e">
        <f t="shared" si="126"/>
        <v>#REF!</v>
      </c>
      <c r="AC59" s="25" t="e">
        <f t="shared" si="127"/>
        <v>#REF!</v>
      </c>
      <c r="AD59" s="24" t="e">
        <f t="shared" si="128"/>
        <v>#REF!</v>
      </c>
      <c r="AE59" s="25" t="e">
        <f t="shared" si="129"/>
        <v>#REF!</v>
      </c>
      <c r="AF59" s="24" t="e">
        <f t="shared" si="130"/>
        <v>#REF!</v>
      </c>
      <c r="AG59" s="25" t="e">
        <f t="shared" si="131"/>
        <v>#REF!</v>
      </c>
      <c r="AH59" s="24" t="e">
        <f t="shared" si="132"/>
        <v>#REF!</v>
      </c>
      <c r="AI59" s="25" t="e">
        <f t="shared" si="133"/>
        <v>#REF!</v>
      </c>
      <c r="AJ59" s="24" t="e">
        <f t="shared" si="134"/>
        <v>#REF!</v>
      </c>
      <c r="AK59" s="27" t="e">
        <f t="shared" si="12"/>
        <v>#REF!</v>
      </c>
      <c r="AL59" s="41">
        <v>0</v>
      </c>
      <c r="AM59" s="40">
        <v>0</v>
      </c>
      <c r="AN59" s="39">
        <v>0</v>
      </c>
      <c r="AO59" s="40">
        <v>0</v>
      </c>
      <c r="AP59" s="39">
        <v>0</v>
      </c>
      <c r="AQ59" s="40">
        <v>0</v>
      </c>
      <c r="AR59" s="39">
        <v>0</v>
      </c>
      <c r="AS59" s="40">
        <v>0</v>
      </c>
      <c r="AT59" s="39">
        <v>0</v>
      </c>
      <c r="AU59" s="38">
        <v>0</v>
      </c>
      <c r="AW59" s="51" t="s">
        <v>1696</v>
      </c>
      <c r="AX59" s="7">
        <v>15.340962081406589</v>
      </c>
      <c r="AY59" s="6">
        <v>59.447196675097828</v>
      </c>
      <c r="AZ59" s="5">
        <v>66.207520796153204</v>
      </c>
      <c r="BA59" s="6">
        <v>36.143704422857745</v>
      </c>
      <c r="BB59" s="5">
        <v>35.314273618764254</v>
      </c>
      <c r="BC59" s="6">
        <v>17.47968943882789</v>
      </c>
      <c r="BD59" s="5">
        <v>57.942521966785321</v>
      </c>
      <c r="BE59" s="6">
        <v>9.0587780592370351</v>
      </c>
      <c r="BF59" s="5">
        <v>7.7108109384975538</v>
      </c>
      <c r="BG59" s="77">
        <v>304.64545799762743</v>
      </c>
      <c r="BH59" s="59">
        <v>16.54279288565067</v>
      </c>
      <c r="BJ59" s="37" t="s">
        <v>1793</v>
      </c>
      <c r="BK59" s="36" t="s">
        <v>2149</v>
      </c>
      <c r="BL59" s="1" t="s">
        <v>1136</v>
      </c>
      <c r="BM59" s="36" t="s">
        <v>1941</v>
      </c>
      <c r="BN59" s="82" t="str">
        <f t="shared" si="136"/>
        <v>IOTMDR</v>
      </c>
      <c r="BO59" s="26">
        <f t="shared" si="137"/>
        <v>17.277645598783486</v>
      </c>
      <c r="BP59" s="25">
        <f t="shared" si="137"/>
        <v>47.559545423284419</v>
      </c>
      <c r="BQ59" s="24">
        <f t="shared" si="137"/>
        <v>107.31845775030446</v>
      </c>
      <c r="BR59" s="25">
        <f t="shared" si="137"/>
        <v>72.689343222812624</v>
      </c>
      <c r="BS59" s="24">
        <f t="shared" si="137"/>
        <v>45.481314625587927</v>
      </c>
      <c r="BT59" s="25">
        <f t="shared" si="137"/>
        <v>39.643590519206512</v>
      </c>
      <c r="BU59" s="24">
        <f t="shared" si="137"/>
        <v>137.72192701961089</v>
      </c>
      <c r="BV59" s="25">
        <f t="shared" si="137"/>
        <v>52.379862735738953</v>
      </c>
      <c r="BW59" s="32">
        <f t="shared" si="137"/>
        <v>32.844559685007731</v>
      </c>
      <c r="BX59" s="26">
        <f t="shared" ref="BX59:CF59" si="142">BO59/BO63</f>
        <v>0.22458483454948328</v>
      </c>
      <c r="BY59" s="25">
        <f t="shared" si="142"/>
        <v>0.22086656687793388</v>
      </c>
      <c r="BZ59" s="24">
        <f t="shared" si="142"/>
        <v>0.23129578454571598</v>
      </c>
      <c r="CA59" s="25">
        <f t="shared" si="142"/>
        <v>0.24265087552265083</v>
      </c>
      <c r="CB59" s="24">
        <f t="shared" si="142"/>
        <v>0.21926606445694677</v>
      </c>
      <c r="CC59" s="25">
        <f t="shared" si="142"/>
        <v>0.24793429526655905</v>
      </c>
      <c r="CD59" s="24">
        <f t="shared" si="142"/>
        <v>0.26062191141643326</v>
      </c>
      <c r="CE59" s="25">
        <f t="shared" si="142"/>
        <v>0.29608501558090555</v>
      </c>
      <c r="CF59" s="32">
        <f t="shared" si="142"/>
        <v>0.26183570296314873</v>
      </c>
      <c r="CH59" s="54" t="s">
        <v>2169</v>
      </c>
      <c r="CI59" s="41">
        <v>0</v>
      </c>
      <c r="CJ59" s="40">
        <v>0</v>
      </c>
      <c r="CK59" s="39">
        <v>0</v>
      </c>
      <c r="CL59" s="40">
        <v>0</v>
      </c>
      <c r="CM59" s="39">
        <v>0</v>
      </c>
      <c r="CN59" s="40">
        <v>0</v>
      </c>
      <c r="CO59" s="39">
        <v>0</v>
      </c>
      <c r="CP59" s="40">
        <v>0</v>
      </c>
      <c r="CQ59" s="66">
        <v>0</v>
      </c>
      <c r="CS59" s="54" t="s">
        <v>1993</v>
      </c>
      <c r="CT59" s="39">
        <v>3.4594684765029093</v>
      </c>
      <c r="CU59" s="40">
        <v>3.7180848302558616</v>
      </c>
      <c r="CV59" s="39">
        <v>35.882075137201475</v>
      </c>
      <c r="CW59" s="40">
        <v>20.065943691422735</v>
      </c>
      <c r="CX59" s="39">
        <v>43.221717089283104</v>
      </c>
      <c r="CY59" s="40">
        <v>2.2600785531742131</v>
      </c>
      <c r="CZ59" s="39">
        <v>3.3741647607521612</v>
      </c>
      <c r="DA59" s="40">
        <v>5.5374134505715524</v>
      </c>
      <c r="DB59" s="39">
        <v>50.265611735770278</v>
      </c>
      <c r="DC59" s="38">
        <v>167.78455772493427</v>
      </c>
      <c r="DE59" s="37" t="s">
        <v>1463</v>
      </c>
      <c r="DF59" s="35" t="str">
        <f t="shared" si="16"/>
        <v>IPOOH</v>
      </c>
      <c r="DG59" s="26">
        <f t="shared" si="141"/>
        <v>17.594339176016465</v>
      </c>
      <c r="DH59" s="25">
        <f t="shared" si="141"/>
        <v>15.250760024073726</v>
      </c>
      <c r="DI59" s="24">
        <f t="shared" si="141"/>
        <v>0</v>
      </c>
      <c r="DJ59" s="25">
        <f t="shared" si="141"/>
        <v>0</v>
      </c>
      <c r="DK59" s="24">
        <f t="shared" si="141"/>
        <v>6.1470843963766022</v>
      </c>
      <c r="DL59" s="25">
        <f t="shared" si="141"/>
        <v>4.1836123227993722</v>
      </c>
      <c r="DM59" s="24">
        <f t="shared" si="141"/>
        <v>2.5483833044667428</v>
      </c>
      <c r="DN59" s="25">
        <f t="shared" si="141"/>
        <v>0</v>
      </c>
      <c r="DO59" s="32">
        <f t="shared" si="141"/>
        <v>0</v>
      </c>
      <c r="DP59" s="26">
        <f t="shared" si="18"/>
        <v>0.9748177395867883</v>
      </c>
      <c r="DQ59" s="25">
        <f t="shared" si="19"/>
        <v>0.94860483455681821</v>
      </c>
      <c r="DR59" s="24">
        <f t="shared" si="20"/>
        <v>0</v>
      </c>
      <c r="DS59" s="25">
        <f t="shared" si="21"/>
        <v>0</v>
      </c>
      <c r="DT59" s="24">
        <f t="shared" si="22"/>
        <v>0.81115093198505439</v>
      </c>
      <c r="DU59" s="25">
        <f t="shared" si="23"/>
        <v>0.87172079712423478</v>
      </c>
      <c r="DV59" s="24">
        <f t="shared" si="24"/>
        <v>0.85144333970783459</v>
      </c>
      <c r="DW59" s="25">
        <f t="shared" si="25"/>
        <v>0</v>
      </c>
      <c r="DX59" s="32">
        <f t="shared" si="26"/>
        <v>0</v>
      </c>
      <c r="DZ59" s="54" t="s">
        <v>1660</v>
      </c>
      <c r="EA59" s="39">
        <v>0.72310525197315345</v>
      </c>
      <c r="EB59" s="40">
        <v>0.72310525197315345</v>
      </c>
      <c r="EC59" s="39">
        <v>0.72310525197315345</v>
      </c>
      <c r="ED59" s="40">
        <v>0.72310525197315345</v>
      </c>
      <c r="EE59" s="39">
        <v>0.70345531839048947</v>
      </c>
      <c r="EF59" s="40">
        <v>0.70345531839048947</v>
      </c>
      <c r="EG59" s="39">
        <v>0.70345531839048947</v>
      </c>
      <c r="EH59" s="40">
        <v>0</v>
      </c>
      <c r="EI59" s="66">
        <v>0</v>
      </c>
      <c r="EO59" s="83" t="s">
        <v>1931</v>
      </c>
      <c r="EP59" s="82" t="s">
        <v>520</v>
      </c>
      <c r="EQ59" s="81">
        <f t="shared" si="101"/>
        <v>1692.4694615261481</v>
      </c>
      <c r="ER59" s="80">
        <f>EQ59/SUM(EQ53:EQ61)</f>
        <v>0.58053089665091706</v>
      </c>
      <c r="ET59" s="75" t="s">
        <v>438</v>
      </c>
      <c r="EU59" s="72">
        <v>1.1610898228889093E-3</v>
      </c>
      <c r="EW59" s="22" t="s">
        <v>1931</v>
      </c>
      <c r="EX59" s="20" t="s">
        <v>2168</v>
      </c>
      <c r="EY59" s="20" t="s">
        <v>1145</v>
      </c>
      <c r="EZ59" s="21" t="s">
        <v>1945</v>
      </c>
      <c r="FA59" s="20" t="str">
        <f t="shared" si="102"/>
        <v>ICOFAC</v>
      </c>
      <c r="FB59" s="78" t="s">
        <v>522</v>
      </c>
      <c r="FC59" s="11">
        <f t="shared" si="103"/>
        <v>3.6482006933455415</v>
      </c>
      <c r="FD59" s="10">
        <f t="shared" si="104"/>
        <v>0.12354632913986871</v>
      </c>
      <c r="FE59" s="9">
        <f t="shared" si="105"/>
        <v>3.3865003470127608E-2</v>
      </c>
      <c r="FF59" s="20">
        <v>0</v>
      </c>
      <c r="FG59" s="84">
        <f t="shared" si="106"/>
        <v>0</v>
      </c>
    </row>
    <row r="60" spans="1:163">
      <c r="A60" s="37" t="s">
        <v>2075</v>
      </c>
      <c r="B60" s="36" t="s">
        <v>1129</v>
      </c>
      <c r="C60" s="1" t="s">
        <v>1132</v>
      </c>
      <c r="D60" s="36" t="s">
        <v>1131</v>
      </c>
      <c r="E60" s="36" t="s">
        <v>2167</v>
      </c>
      <c r="F60" s="1" t="e">
        <f t="shared" ca="1" si="97"/>
        <v>#NAME?</v>
      </c>
      <c r="G60" s="35" t="s">
        <v>1104</v>
      </c>
      <c r="H60" s="43">
        <v>1</v>
      </c>
      <c r="I60" s="42">
        <v>0</v>
      </c>
      <c r="J60" s="26">
        <v>46.06852464</v>
      </c>
      <c r="K60" s="25">
        <v>0</v>
      </c>
      <c r="L60" s="24"/>
      <c r="M60" s="25"/>
      <c r="N60" s="24"/>
      <c r="O60" s="25"/>
      <c r="P60" s="24"/>
      <c r="Q60" s="25"/>
      <c r="R60" s="32"/>
      <c r="S60" s="31" t="e">
        <v>#REF!</v>
      </c>
      <c r="T60" s="29" t="e">
        <v>#REF!</v>
      </c>
      <c r="U60" s="30" t="e">
        <v>#REF!</v>
      </c>
      <c r="V60" s="29" t="e">
        <v>#REF!</v>
      </c>
      <c r="W60" s="30" t="e">
        <v>#REF!</v>
      </c>
      <c r="X60" s="29" t="e">
        <v>#REF!</v>
      </c>
      <c r="Y60" s="30" t="e">
        <v>#REF!</v>
      </c>
      <c r="Z60" s="29" t="e">
        <v>#REF!</v>
      </c>
      <c r="AA60" s="28" t="e">
        <v>#REF!</v>
      </c>
      <c r="AB60" s="26" t="e">
        <f t="shared" si="126"/>
        <v>#REF!</v>
      </c>
      <c r="AC60" s="25" t="e">
        <f t="shared" si="127"/>
        <v>#REF!</v>
      </c>
      <c r="AD60" s="24" t="e">
        <f t="shared" si="128"/>
        <v>#REF!</v>
      </c>
      <c r="AE60" s="25" t="e">
        <f t="shared" si="129"/>
        <v>#REF!</v>
      </c>
      <c r="AF60" s="24" t="e">
        <f t="shared" si="130"/>
        <v>#REF!</v>
      </c>
      <c r="AG60" s="25" t="e">
        <f t="shared" si="131"/>
        <v>#REF!</v>
      </c>
      <c r="AH60" s="24" t="e">
        <f t="shared" si="132"/>
        <v>#REF!</v>
      </c>
      <c r="AI60" s="25" t="e">
        <f t="shared" si="133"/>
        <v>#REF!</v>
      </c>
      <c r="AJ60" s="24" t="e">
        <f t="shared" si="134"/>
        <v>#REF!</v>
      </c>
      <c r="AK60" s="27" t="e">
        <f t="shared" si="12"/>
        <v>#REF!</v>
      </c>
      <c r="AL60" s="41">
        <v>0</v>
      </c>
      <c r="AM60" s="40">
        <v>0</v>
      </c>
      <c r="AN60" s="39">
        <v>0</v>
      </c>
      <c r="AO60" s="40">
        <v>0</v>
      </c>
      <c r="AP60" s="39">
        <v>0</v>
      </c>
      <c r="AQ60" s="40">
        <v>0</v>
      </c>
      <c r="AR60" s="39">
        <v>0</v>
      </c>
      <c r="AS60" s="40">
        <v>0</v>
      </c>
      <c r="AT60" s="39">
        <v>0</v>
      </c>
      <c r="AU60" s="38">
        <v>0</v>
      </c>
      <c r="AW60" s="100" t="s">
        <v>1145</v>
      </c>
      <c r="AX60" s="41">
        <v>3.5677972414717782</v>
      </c>
      <c r="AY60" s="40">
        <v>9.820945452127642</v>
      </c>
      <c r="AZ60" s="39">
        <v>10.955147612783689</v>
      </c>
      <c r="BA60" s="40">
        <v>7.4201819666007127</v>
      </c>
      <c r="BB60" s="39">
        <v>2.5110191234348487</v>
      </c>
      <c r="BC60" s="40">
        <v>2.1887189219315841</v>
      </c>
      <c r="BD60" s="39">
        <v>7.6036147000021161</v>
      </c>
      <c r="BE60" s="40">
        <v>2.2366166444305442</v>
      </c>
      <c r="BF60" s="39">
        <v>1.4024605074109564</v>
      </c>
      <c r="BG60" s="81">
        <v>47.706502170193865</v>
      </c>
      <c r="BH60" s="66">
        <v>0</v>
      </c>
      <c r="BJ60" s="37" t="s">
        <v>1793</v>
      </c>
      <c r="BK60" s="36" t="s">
        <v>2149</v>
      </c>
      <c r="BL60" s="1" t="s">
        <v>1129</v>
      </c>
      <c r="BM60" s="36" t="s">
        <v>1910</v>
      </c>
      <c r="BN60" s="82" t="str">
        <f t="shared" si="136"/>
        <v>IOTOHT</v>
      </c>
      <c r="BO60" s="26">
        <f t="shared" si="137"/>
        <v>6.7785554506749888</v>
      </c>
      <c r="BP60" s="25">
        <f t="shared" si="137"/>
        <v>25.932062404807773</v>
      </c>
      <c r="BQ60" s="24">
        <f t="shared" si="137"/>
        <v>20.935531468405845</v>
      </c>
      <c r="BR60" s="25">
        <f t="shared" si="137"/>
        <v>14.23270072551114</v>
      </c>
      <c r="BS60" s="24">
        <f t="shared" si="137"/>
        <v>17.834997918782964</v>
      </c>
      <c r="BT60" s="25">
        <f t="shared" si="137"/>
        <v>15.176223411668097</v>
      </c>
      <c r="BU60" s="24">
        <f t="shared" si="137"/>
        <v>55.765912127034717</v>
      </c>
      <c r="BV60" s="25">
        <f t="shared" si="137"/>
        <v>14.154351887228918</v>
      </c>
      <c r="BW60" s="32">
        <f t="shared" si="137"/>
        <v>9.0240002417549228</v>
      </c>
      <c r="BX60" s="26">
        <f t="shared" ref="BX60:CF60" si="143">BO60/BO63</f>
        <v>8.8111585902741818E-2</v>
      </c>
      <c r="BY60" s="25">
        <f t="shared" si="143"/>
        <v>0.12042851849063559</v>
      </c>
      <c r="BZ60" s="24">
        <f t="shared" si="143"/>
        <v>4.5120851318353181E-2</v>
      </c>
      <c r="CA60" s="25">
        <f t="shared" si="143"/>
        <v>4.7511466454043909E-2</v>
      </c>
      <c r="CB60" s="24">
        <f t="shared" si="143"/>
        <v>8.5982778541965357E-2</v>
      </c>
      <c r="CC60" s="25">
        <f t="shared" si="143"/>
        <v>9.4913356915964239E-2</v>
      </c>
      <c r="CD60" s="24">
        <f t="shared" si="143"/>
        <v>0.10553017173771541</v>
      </c>
      <c r="CE60" s="25">
        <f t="shared" si="143"/>
        <v>8.0009593003540561E-2</v>
      </c>
      <c r="CF60" s="32">
        <f t="shared" si="143"/>
        <v>7.1939020327864325E-2</v>
      </c>
      <c r="CH60" s="54" t="s">
        <v>2166</v>
      </c>
      <c r="CI60" s="41">
        <v>8.4013099904888242E-2</v>
      </c>
      <c r="CJ60" s="40">
        <v>8.1525036870289461E-2</v>
      </c>
      <c r="CK60" s="39">
        <v>1.8255037348246596E-2</v>
      </c>
      <c r="CL60" s="40">
        <v>1.8283379873806248E-2</v>
      </c>
      <c r="CM60" s="39">
        <v>2.3839007367853233E-2</v>
      </c>
      <c r="CN60" s="40">
        <v>2.3839007367853233E-2</v>
      </c>
      <c r="CO60" s="39">
        <v>2.3839007367853236E-2</v>
      </c>
      <c r="CP60" s="40">
        <v>0</v>
      </c>
      <c r="CQ60" s="66">
        <v>0</v>
      </c>
      <c r="CS60" s="54" t="s">
        <v>1984</v>
      </c>
      <c r="CT60" s="39">
        <v>0.18348613020613821</v>
      </c>
      <c r="CU60" s="40">
        <v>0.50507558418121157</v>
      </c>
      <c r="CV60" s="39">
        <v>1.9328278266636691</v>
      </c>
      <c r="CW60" s="40">
        <v>1.309150245243436</v>
      </c>
      <c r="CX60" s="39">
        <v>0.46257831027083146</v>
      </c>
      <c r="CY60" s="40">
        <v>0.40320437670739923</v>
      </c>
      <c r="CZ60" s="39">
        <v>1.4007329562134629</v>
      </c>
      <c r="DA60" s="40">
        <v>0.72296250763076231</v>
      </c>
      <c r="DB60" s="39">
        <v>0.4533304211142935</v>
      </c>
      <c r="DC60" s="38">
        <v>7.3733483582312047</v>
      </c>
      <c r="DE60" s="37" t="s">
        <v>1387</v>
      </c>
      <c r="DF60" s="35" t="str">
        <f t="shared" si="16"/>
        <v>IPOOH</v>
      </c>
      <c r="DG60" s="26">
        <f t="shared" si="141"/>
        <v>0</v>
      </c>
      <c r="DH60" s="25">
        <f t="shared" si="141"/>
        <v>0.21531628765608407</v>
      </c>
      <c r="DI60" s="24">
        <f t="shared" si="141"/>
        <v>0.3821006379288226</v>
      </c>
      <c r="DJ60" s="25">
        <f t="shared" si="141"/>
        <v>9.4159672801071972E-2</v>
      </c>
      <c r="DK60" s="24">
        <f t="shared" si="141"/>
        <v>0.37086344764964874</v>
      </c>
      <c r="DL60" s="25">
        <f t="shared" si="141"/>
        <v>0</v>
      </c>
      <c r="DM60" s="24">
        <f t="shared" si="141"/>
        <v>0</v>
      </c>
      <c r="DN60" s="25">
        <f t="shared" si="141"/>
        <v>0</v>
      </c>
      <c r="DO60" s="32">
        <f t="shared" si="141"/>
        <v>0</v>
      </c>
      <c r="DP60" s="26">
        <f t="shared" si="18"/>
        <v>0</v>
      </c>
      <c r="DQ60" s="25">
        <f t="shared" si="19"/>
        <v>1.3392779842248768E-2</v>
      </c>
      <c r="DR60" s="24">
        <f t="shared" si="20"/>
        <v>0.20359624739590637</v>
      </c>
      <c r="DS60" s="25">
        <f t="shared" si="21"/>
        <v>0.24754730375603404</v>
      </c>
      <c r="DT60" s="24">
        <f t="shared" si="22"/>
        <v>4.8938034977610685E-2</v>
      </c>
      <c r="DU60" s="25">
        <f t="shared" si="23"/>
        <v>0</v>
      </c>
      <c r="DV60" s="24">
        <f t="shared" si="24"/>
        <v>0</v>
      </c>
      <c r="DW60" s="25">
        <f t="shared" si="25"/>
        <v>0</v>
      </c>
      <c r="DX60" s="32">
        <f t="shared" si="26"/>
        <v>0</v>
      </c>
      <c r="DZ60" s="54" t="s">
        <v>1656</v>
      </c>
      <c r="EA60" s="39">
        <v>0</v>
      </c>
      <c r="EB60" s="40">
        <v>0</v>
      </c>
      <c r="EC60" s="39">
        <v>0</v>
      </c>
      <c r="ED60" s="40">
        <v>0</v>
      </c>
      <c r="EE60" s="39">
        <v>2.1523650308612679E-2</v>
      </c>
      <c r="EF60" s="40">
        <v>2.1523650308612682E-2</v>
      </c>
      <c r="EG60" s="39">
        <v>2.1523650308612682E-2</v>
      </c>
      <c r="EH60" s="40">
        <v>0</v>
      </c>
      <c r="EI60" s="66">
        <v>0</v>
      </c>
      <c r="EO60" s="83" t="s">
        <v>1931</v>
      </c>
      <c r="EP60" s="82" t="s">
        <v>521</v>
      </c>
      <c r="EQ60" s="81">
        <f t="shared" si="101"/>
        <v>5.8448019160675067</v>
      </c>
      <c r="ER60" s="80">
        <f>EQ60/SUM(EQ53:EQ61)</f>
        <v>2.0048149607509156E-3</v>
      </c>
      <c r="ET60" s="75" t="s">
        <v>440</v>
      </c>
      <c r="EU60" s="72">
        <v>1.3309374011304732E-2</v>
      </c>
      <c r="EW60" s="37" t="s">
        <v>1793</v>
      </c>
      <c r="EX60" s="36" t="s">
        <v>2149</v>
      </c>
      <c r="EY60" s="36" t="s">
        <v>1139</v>
      </c>
      <c r="EZ60" s="1" t="s">
        <v>1943</v>
      </c>
      <c r="FA60" s="36" t="str">
        <f t="shared" si="102"/>
        <v>IOTFEED</v>
      </c>
      <c r="FB60" s="35" t="s">
        <v>438</v>
      </c>
      <c r="FC60" s="26">
        <f t="shared" si="103"/>
        <v>76.931488421479614</v>
      </c>
      <c r="FD60" s="25">
        <f t="shared" si="104"/>
        <v>0.37055175388061068</v>
      </c>
      <c r="FE60" s="24">
        <f t="shared" si="105"/>
        <v>4.8166461027049487E-3</v>
      </c>
      <c r="FF60" s="36">
        <v>0.02</v>
      </c>
      <c r="FG60" s="32">
        <f t="shared" si="106"/>
        <v>4.1522668623647405</v>
      </c>
    </row>
    <row r="61" spans="1:163">
      <c r="A61" s="37" t="s">
        <v>2075</v>
      </c>
      <c r="B61" s="36" t="s">
        <v>1129</v>
      </c>
      <c r="C61" s="1" t="s">
        <v>1132</v>
      </c>
      <c r="D61" s="36" t="s">
        <v>1131</v>
      </c>
      <c r="E61" s="36" t="s">
        <v>2165</v>
      </c>
      <c r="F61" s="1" t="e">
        <f t="shared" ca="1" si="97"/>
        <v>#NAME?</v>
      </c>
      <c r="G61" s="35" t="s">
        <v>1104</v>
      </c>
      <c r="H61" s="43">
        <v>1</v>
      </c>
      <c r="I61" s="42">
        <v>0</v>
      </c>
      <c r="J61" s="26">
        <v>0.96114719999999998</v>
      </c>
      <c r="K61" s="25">
        <v>0</v>
      </c>
      <c r="L61" s="24"/>
      <c r="M61" s="25"/>
      <c r="N61" s="24"/>
      <c r="O61" s="25"/>
      <c r="P61" s="24"/>
      <c r="Q61" s="25"/>
      <c r="R61" s="32"/>
      <c r="S61" s="31" t="e">
        <v>#REF!</v>
      </c>
      <c r="T61" s="29" t="e">
        <v>#REF!</v>
      </c>
      <c r="U61" s="30" t="e">
        <v>#REF!</v>
      </c>
      <c r="V61" s="29" t="e">
        <v>#REF!</v>
      </c>
      <c r="W61" s="30" t="e">
        <v>#REF!</v>
      </c>
      <c r="X61" s="29" t="e">
        <v>#REF!</v>
      </c>
      <c r="Y61" s="30" t="e">
        <v>#REF!</v>
      </c>
      <c r="Z61" s="29" t="e">
        <v>#REF!</v>
      </c>
      <c r="AA61" s="28" t="e">
        <v>#REF!</v>
      </c>
      <c r="AB61" s="26" t="e">
        <f t="shared" si="126"/>
        <v>#REF!</v>
      </c>
      <c r="AC61" s="25" t="e">
        <f t="shared" si="127"/>
        <v>#REF!</v>
      </c>
      <c r="AD61" s="24" t="e">
        <f t="shared" si="128"/>
        <v>#REF!</v>
      </c>
      <c r="AE61" s="25" t="e">
        <f t="shared" si="129"/>
        <v>#REF!</v>
      </c>
      <c r="AF61" s="24" t="e">
        <f t="shared" si="130"/>
        <v>#REF!</v>
      </c>
      <c r="AG61" s="25" t="e">
        <f t="shared" si="131"/>
        <v>#REF!</v>
      </c>
      <c r="AH61" s="24" t="e">
        <f t="shared" si="132"/>
        <v>#REF!</v>
      </c>
      <c r="AI61" s="25" t="e">
        <f t="shared" si="133"/>
        <v>#REF!</v>
      </c>
      <c r="AJ61" s="24" t="e">
        <f t="shared" si="134"/>
        <v>#REF!</v>
      </c>
      <c r="AK61" s="27" t="e">
        <f t="shared" si="12"/>
        <v>#REF!</v>
      </c>
      <c r="AL61" s="41">
        <v>0</v>
      </c>
      <c r="AM61" s="40">
        <v>0</v>
      </c>
      <c r="AN61" s="39">
        <v>0</v>
      </c>
      <c r="AO61" s="40">
        <v>0</v>
      </c>
      <c r="AP61" s="39">
        <v>0</v>
      </c>
      <c r="AQ61" s="40">
        <v>0</v>
      </c>
      <c r="AR61" s="39">
        <v>0</v>
      </c>
      <c r="AS61" s="40">
        <v>0</v>
      </c>
      <c r="AT61" s="39">
        <v>0</v>
      </c>
      <c r="AU61" s="38">
        <v>0</v>
      </c>
      <c r="AW61" s="100" t="s">
        <v>1139</v>
      </c>
      <c r="AX61" s="41">
        <v>0</v>
      </c>
      <c r="AY61" s="40">
        <v>0</v>
      </c>
      <c r="AZ61" s="39">
        <v>4.5301912199804582</v>
      </c>
      <c r="BA61" s="40">
        <v>3.0684062309234736</v>
      </c>
      <c r="BB61" s="39">
        <v>6.43296576134889</v>
      </c>
      <c r="BC61" s="40">
        <v>5.6072666888901361</v>
      </c>
      <c r="BD61" s="39">
        <v>19.479657709931356</v>
      </c>
      <c r="BE61" s="40">
        <v>0</v>
      </c>
      <c r="BF61" s="39">
        <v>0</v>
      </c>
      <c r="BG61" s="81">
        <v>39.118487611074315</v>
      </c>
      <c r="BH61" s="66">
        <v>0</v>
      </c>
      <c r="BJ61" s="37" t="s">
        <v>1793</v>
      </c>
      <c r="BK61" s="36" t="s">
        <v>2149</v>
      </c>
      <c r="BL61" s="1" t="s">
        <v>1123</v>
      </c>
      <c r="BM61" s="36" t="s">
        <v>1935</v>
      </c>
      <c r="BN61" s="82" t="str">
        <f t="shared" si="136"/>
        <v>IOTPRH</v>
      </c>
      <c r="BO61" s="26">
        <f t="shared" si="137"/>
        <v>21.739823394303045</v>
      </c>
      <c r="BP61" s="25">
        <f t="shared" si="137"/>
        <v>59.842419634324244</v>
      </c>
      <c r="BQ61" s="24">
        <f t="shared" si="137"/>
        <v>140.87636704694808</v>
      </c>
      <c r="BR61" s="25">
        <f t="shared" si="137"/>
        <v>95.418913120091744</v>
      </c>
      <c r="BS61" s="24">
        <f t="shared" si="137"/>
        <v>47.73599665268916</v>
      </c>
      <c r="BT61" s="25">
        <f t="shared" si="137"/>
        <v>41.608874323538934</v>
      </c>
      <c r="BU61" s="24">
        <f t="shared" si="137"/>
        <v>144.54932759378352</v>
      </c>
      <c r="BV61" s="25">
        <f t="shared" si="137"/>
        <v>50.115362309727288</v>
      </c>
      <c r="BW61" s="32">
        <f t="shared" si="137"/>
        <v>31.424614776520631</v>
      </c>
      <c r="BX61" s="26">
        <f t="shared" ref="BX61:CF61" si="144">BO61/BO63</f>
        <v>0.28258680340614845</v>
      </c>
      <c r="BY61" s="25">
        <f t="shared" si="144"/>
        <v>0.27790824451048951</v>
      </c>
      <c r="BZ61" s="24">
        <f t="shared" si="144"/>
        <v>0.30362074263018995</v>
      </c>
      <c r="CA61" s="25">
        <f t="shared" si="144"/>
        <v>0.31852650998700438</v>
      </c>
      <c r="CB61" s="24">
        <f t="shared" si="144"/>
        <v>0.23013591856635637</v>
      </c>
      <c r="CC61" s="25">
        <f t="shared" si="144"/>
        <v>0.26022534278885329</v>
      </c>
      <c r="CD61" s="24">
        <f t="shared" si="144"/>
        <v>0.27354193240476254</v>
      </c>
      <c r="CE61" s="25">
        <f t="shared" si="144"/>
        <v>0.28328458791844136</v>
      </c>
      <c r="CF61" s="32">
        <f t="shared" si="144"/>
        <v>0.25051595086878975</v>
      </c>
      <c r="CH61" s="54" t="s">
        <v>2164</v>
      </c>
      <c r="CI61" s="41">
        <v>0.11687287021927655</v>
      </c>
      <c r="CJ61" s="40">
        <v>0.1134116591882677</v>
      </c>
      <c r="CK61" s="39">
        <v>0.15801377317326076</v>
      </c>
      <c r="CL61" s="40">
        <v>0.158259103233096</v>
      </c>
      <c r="CM61" s="39">
        <v>0.15476104339200919</v>
      </c>
      <c r="CN61" s="40">
        <v>0.15476104339200913</v>
      </c>
      <c r="CO61" s="39">
        <v>0.15476104339200916</v>
      </c>
      <c r="CP61" s="40">
        <v>0.16977109840635565</v>
      </c>
      <c r="CQ61" s="66">
        <v>0.1538547222317391</v>
      </c>
      <c r="CS61" s="54" t="s">
        <v>1980</v>
      </c>
      <c r="CT61" s="39">
        <v>0</v>
      </c>
      <c r="CU61" s="40">
        <v>3.9117821712528396</v>
      </c>
      <c r="CV61" s="39">
        <v>45.343384832265279</v>
      </c>
      <c r="CW61" s="40">
        <v>92.533589319106028</v>
      </c>
      <c r="CX61" s="39">
        <v>8.6640922066501158</v>
      </c>
      <c r="CY61" s="40">
        <v>12.393318381016744</v>
      </c>
      <c r="CZ61" s="39">
        <v>1.4030653103469068</v>
      </c>
      <c r="DA61" s="40">
        <v>3.9684746664883885</v>
      </c>
      <c r="DB61" s="39">
        <v>0</v>
      </c>
      <c r="DC61" s="38">
        <v>168.2177068871263</v>
      </c>
      <c r="DE61" s="37" t="s">
        <v>1442</v>
      </c>
      <c r="DF61" s="35" t="str">
        <f t="shared" si="16"/>
        <v>IPAOH</v>
      </c>
      <c r="DG61" s="26">
        <f t="shared" si="141"/>
        <v>0.14242293058276079</v>
      </c>
      <c r="DH61" s="25">
        <f t="shared" si="141"/>
        <v>0.12566729169067126</v>
      </c>
      <c r="DI61" s="24">
        <f t="shared" si="141"/>
        <v>1.260024044685131</v>
      </c>
      <c r="DJ61" s="25">
        <f t="shared" si="141"/>
        <v>0.24128120004608886</v>
      </c>
      <c r="DK61" s="24">
        <f t="shared" si="141"/>
        <v>1.0723608890937282</v>
      </c>
      <c r="DL61" s="25">
        <f t="shared" si="141"/>
        <v>0.62266116140926153</v>
      </c>
      <c r="DM61" s="24">
        <f t="shared" si="141"/>
        <v>0.4496997276844667</v>
      </c>
      <c r="DN61" s="25">
        <f t="shared" si="141"/>
        <v>0.17157774225499653</v>
      </c>
      <c r="DO61" s="32">
        <f t="shared" si="141"/>
        <v>1.329727502476223</v>
      </c>
      <c r="DP61" s="26">
        <f t="shared" si="18"/>
        <v>3.8090393001137374E-3</v>
      </c>
      <c r="DQ61" s="25">
        <f t="shared" si="19"/>
        <v>3.9233942340726339E-3</v>
      </c>
      <c r="DR61" s="24">
        <f t="shared" si="20"/>
        <v>2.1284852937532593E-2</v>
      </c>
      <c r="DS61" s="25">
        <f t="shared" si="21"/>
        <v>2.0961141888615548E-2</v>
      </c>
      <c r="DT61" s="24">
        <f t="shared" si="22"/>
        <v>1.0170620104777964E-2</v>
      </c>
      <c r="DU61" s="25">
        <f t="shared" si="23"/>
        <v>1.0662227904815968E-2</v>
      </c>
      <c r="DV61" s="24">
        <f t="shared" si="24"/>
        <v>1.0533264808687205E-2</v>
      </c>
      <c r="DW61" s="25">
        <f t="shared" si="25"/>
        <v>3.4513595738728364E-2</v>
      </c>
      <c r="DX61" s="32">
        <f t="shared" si="26"/>
        <v>4.6324273610043078E-2</v>
      </c>
      <c r="DZ61" s="54" t="s">
        <v>1652</v>
      </c>
      <c r="EA61" s="39">
        <v>0.27689474802684649</v>
      </c>
      <c r="EB61" s="40">
        <v>0.27689474802684644</v>
      </c>
      <c r="EC61" s="39">
        <v>0.27689474802684655</v>
      </c>
      <c r="ED61" s="40">
        <v>0.2768947480268466</v>
      </c>
      <c r="EE61" s="39">
        <v>0.27502103130089789</v>
      </c>
      <c r="EF61" s="40">
        <v>0.27502103130089789</v>
      </c>
      <c r="EG61" s="39">
        <v>0.27502103130089789</v>
      </c>
      <c r="EH61" s="40">
        <v>0</v>
      </c>
      <c r="EI61" s="66">
        <v>0</v>
      </c>
      <c r="EO61" s="79" t="s">
        <v>1931</v>
      </c>
      <c r="EP61" s="78" t="s">
        <v>522</v>
      </c>
      <c r="EQ61" s="77">
        <f t="shared" si="101"/>
        <v>3.6482006933455415</v>
      </c>
      <c r="ER61" s="76">
        <f>EQ61/SUM(EQ53:EQ61)</f>
        <v>1.2513627381853139E-3</v>
      </c>
      <c r="ET61" s="75" t="s">
        <v>439</v>
      </c>
      <c r="EU61" s="72">
        <v>4.3580651540075718E-2</v>
      </c>
      <c r="EW61" s="37" t="s">
        <v>1793</v>
      </c>
      <c r="EX61" s="36" t="s">
        <v>2149</v>
      </c>
      <c r="EY61" s="36" t="s">
        <v>1139</v>
      </c>
      <c r="EZ61" s="1" t="s">
        <v>1943</v>
      </c>
      <c r="FA61" s="36" t="str">
        <f t="shared" si="102"/>
        <v>IOTFEED</v>
      </c>
      <c r="FB61" s="1" t="s">
        <v>440</v>
      </c>
      <c r="FC61" s="26">
        <f t="shared" si="103"/>
        <v>215.33157369883469</v>
      </c>
      <c r="FD61" s="25">
        <f t="shared" si="104"/>
        <v>1.1873566239068856</v>
      </c>
      <c r="FE61" s="24">
        <f t="shared" si="105"/>
        <v>5.5140851084269542E-3</v>
      </c>
      <c r="FF61" s="36">
        <v>0</v>
      </c>
      <c r="FG61" s="86">
        <f t="shared" si="106"/>
        <v>0</v>
      </c>
    </row>
    <row r="62" spans="1:163">
      <c r="A62" s="37" t="s">
        <v>2075</v>
      </c>
      <c r="B62" s="36" t="s">
        <v>1129</v>
      </c>
      <c r="C62" s="1" t="s">
        <v>1132</v>
      </c>
      <c r="D62" s="36" t="s">
        <v>1131</v>
      </c>
      <c r="E62" s="36" t="s">
        <v>2163</v>
      </c>
      <c r="F62" s="1" t="e">
        <f t="shared" ca="1" si="97"/>
        <v>#NAME?</v>
      </c>
      <c r="G62" s="35" t="s">
        <v>1121</v>
      </c>
      <c r="H62" s="43">
        <v>1</v>
      </c>
      <c r="I62" s="42">
        <v>0</v>
      </c>
      <c r="J62" s="26">
        <v>0</v>
      </c>
      <c r="K62" s="25">
        <v>5.3290705182007514E-15</v>
      </c>
      <c r="L62" s="24"/>
      <c r="M62" s="25"/>
      <c r="N62" s="24"/>
      <c r="O62" s="25"/>
      <c r="P62" s="24"/>
      <c r="Q62" s="25"/>
      <c r="R62" s="32"/>
      <c r="S62" s="47">
        <v>1</v>
      </c>
      <c r="T62" s="45">
        <v>1</v>
      </c>
      <c r="U62" s="46">
        <v>1</v>
      </c>
      <c r="V62" s="45">
        <v>1</v>
      </c>
      <c r="W62" s="46">
        <v>1</v>
      </c>
      <c r="X62" s="45">
        <v>1</v>
      </c>
      <c r="Y62" s="46">
        <v>1</v>
      </c>
      <c r="Z62" s="45">
        <v>1</v>
      </c>
      <c r="AA62" s="44">
        <v>1</v>
      </c>
      <c r="AB62" s="26">
        <f t="shared" si="126"/>
        <v>0</v>
      </c>
      <c r="AC62" s="25">
        <f t="shared" si="127"/>
        <v>5.3290705182007514E-15</v>
      </c>
      <c r="AD62" s="24">
        <f t="shared" si="128"/>
        <v>0</v>
      </c>
      <c r="AE62" s="25">
        <f t="shared" si="129"/>
        <v>0</v>
      </c>
      <c r="AF62" s="24">
        <f t="shared" si="130"/>
        <v>0</v>
      </c>
      <c r="AG62" s="25">
        <f t="shared" si="131"/>
        <v>0</v>
      </c>
      <c r="AH62" s="24">
        <f t="shared" si="132"/>
        <v>0</v>
      </c>
      <c r="AI62" s="25">
        <f t="shared" si="133"/>
        <v>0</v>
      </c>
      <c r="AJ62" s="24">
        <f t="shared" si="134"/>
        <v>0</v>
      </c>
      <c r="AK62" s="27">
        <f t="shared" si="12"/>
        <v>5.3290705182007514E-15</v>
      </c>
      <c r="AL62" s="41">
        <v>0</v>
      </c>
      <c r="AM62" s="40">
        <v>0</v>
      </c>
      <c r="AN62" s="39">
        <v>0</v>
      </c>
      <c r="AO62" s="40">
        <v>0</v>
      </c>
      <c r="AP62" s="39">
        <v>0</v>
      </c>
      <c r="AQ62" s="40">
        <v>0</v>
      </c>
      <c r="AR62" s="39">
        <v>0</v>
      </c>
      <c r="AS62" s="40">
        <v>0</v>
      </c>
      <c r="AT62" s="39">
        <v>0</v>
      </c>
      <c r="AU62" s="38">
        <v>0</v>
      </c>
      <c r="AW62" s="100" t="s">
        <v>1136</v>
      </c>
      <c r="AX62" s="41">
        <v>4.495941903747557</v>
      </c>
      <c r="AY62" s="40">
        <v>12.375815441357648</v>
      </c>
      <c r="AZ62" s="39">
        <v>14.354374202963211</v>
      </c>
      <c r="BA62" s="40">
        <v>9.7225589619966364</v>
      </c>
      <c r="BB62" s="39">
        <v>3.3115649646151288</v>
      </c>
      <c r="BC62" s="40">
        <v>2.8865112302864913</v>
      </c>
      <c r="BD62" s="39">
        <v>10.02774682596435</v>
      </c>
      <c r="BE62" s="40">
        <v>2.9071448172363628</v>
      </c>
      <c r="BF62" s="39">
        <v>1.8229122123592667</v>
      </c>
      <c r="BG62" s="81">
        <v>61.904570560526651</v>
      </c>
      <c r="BH62" s="66">
        <v>0</v>
      </c>
      <c r="BJ62" s="37" t="s">
        <v>1793</v>
      </c>
      <c r="BK62" s="36" t="s">
        <v>2149</v>
      </c>
      <c r="BL62" s="1" t="s">
        <v>1107</v>
      </c>
      <c r="BM62" s="36" t="s">
        <v>1937</v>
      </c>
      <c r="BN62" s="82" t="str">
        <f t="shared" si="136"/>
        <v>IOTSTM</v>
      </c>
      <c r="BO62" s="26">
        <f t="shared" si="137"/>
        <v>9.1485794004636229</v>
      </c>
      <c r="BP62" s="25">
        <f t="shared" si="137"/>
        <v>21.307697972651098</v>
      </c>
      <c r="BQ62" s="24">
        <f t="shared" si="137"/>
        <v>48.801559864210112</v>
      </c>
      <c r="BR62" s="25">
        <f t="shared" si="137"/>
        <v>18.295306276242719</v>
      </c>
      <c r="BS62" s="24">
        <f t="shared" si="137"/>
        <v>39.792105666012091</v>
      </c>
      <c r="BT62" s="25">
        <f t="shared" si="137"/>
        <v>14.148436750651765</v>
      </c>
      <c r="BU62" s="24">
        <f t="shared" si="137"/>
        <v>19.066226760611205</v>
      </c>
      <c r="BV62" s="25">
        <f t="shared" si="137"/>
        <v>3.7433830263016645</v>
      </c>
      <c r="BW62" s="32">
        <f t="shared" si="137"/>
        <v>16.708781514843906</v>
      </c>
      <c r="BX62" s="26">
        <f t="shared" ref="BX62:CF62" si="145">BO62/BO63</f>
        <v>0.1189185285268613</v>
      </c>
      <c r="BY62" s="25">
        <f t="shared" si="145"/>
        <v>9.8952966379432586E-2</v>
      </c>
      <c r="BZ62" s="24">
        <f t="shared" si="145"/>
        <v>0.10517850621847182</v>
      </c>
      <c r="CA62" s="25">
        <f t="shared" si="145"/>
        <v>6.1073217738086598E-2</v>
      </c>
      <c r="CB62" s="24">
        <f t="shared" si="145"/>
        <v>0.19183830717445224</v>
      </c>
      <c r="CC62" s="25">
        <f t="shared" si="145"/>
        <v>8.8485494097635592E-2</v>
      </c>
      <c r="CD62" s="24">
        <f t="shared" si="145"/>
        <v>3.6080503441852596E-2</v>
      </c>
      <c r="CE62" s="25">
        <f t="shared" si="145"/>
        <v>2.116003295502316E-2</v>
      </c>
      <c r="CF62" s="32">
        <f t="shared" si="145"/>
        <v>0.13320183298404262</v>
      </c>
      <c r="CH62" s="54" t="s">
        <v>2162</v>
      </c>
      <c r="CI62" s="41">
        <v>0.21102233054161743</v>
      </c>
      <c r="CJ62" s="40">
        <v>0.20477286634270217</v>
      </c>
      <c r="CK62" s="39">
        <v>0.69439574827338901</v>
      </c>
      <c r="CL62" s="40">
        <v>0.69547385777645399</v>
      </c>
      <c r="CM62" s="39">
        <v>0.65452689766516492</v>
      </c>
      <c r="CN62" s="40">
        <v>0.65452689766516492</v>
      </c>
      <c r="CO62" s="39">
        <v>0.65452689766516503</v>
      </c>
      <c r="CP62" s="40">
        <v>0.83022890159364438</v>
      </c>
      <c r="CQ62" s="66">
        <v>0.75239330040565988</v>
      </c>
      <c r="CS62" s="54" t="s">
        <v>1977</v>
      </c>
      <c r="CT62" s="39">
        <v>0</v>
      </c>
      <c r="CU62" s="40">
        <v>0</v>
      </c>
      <c r="CV62" s="39">
        <v>1.0614424856193321</v>
      </c>
      <c r="CW62" s="40">
        <v>0.48657786686258087</v>
      </c>
      <c r="CX62" s="39">
        <v>9.1967182834690769E-2</v>
      </c>
      <c r="CY62" s="40">
        <v>0</v>
      </c>
      <c r="CZ62" s="39">
        <v>0</v>
      </c>
      <c r="DA62" s="40">
        <v>0</v>
      </c>
      <c r="DB62" s="39">
        <v>0</v>
      </c>
      <c r="DC62" s="38">
        <v>1.6399875353166038</v>
      </c>
      <c r="DE62" s="37" t="s">
        <v>1437</v>
      </c>
      <c r="DF62" s="35" t="str">
        <f t="shared" si="16"/>
        <v>IPAOH</v>
      </c>
      <c r="DG62" s="26">
        <f t="shared" si="141"/>
        <v>0.71206014085066949</v>
      </c>
      <c r="DH62" s="25">
        <f t="shared" si="141"/>
        <v>0.6282883595741201</v>
      </c>
      <c r="DI62" s="24">
        <f t="shared" si="141"/>
        <v>0.86024467831885132</v>
      </c>
      <c r="DJ62" s="25">
        <f t="shared" si="141"/>
        <v>0.16472770435892897</v>
      </c>
      <c r="DK62" s="24">
        <f t="shared" si="141"/>
        <v>0.74901827964914725</v>
      </c>
      <c r="DL62" s="25">
        <f t="shared" si="141"/>
        <v>0.43491383979627907</v>
      </c>
      <c r="DM62" s="24">
        <f t="shared" si="141"/>
        <v>0.31410443985286818</v>
      </c>
      <c r="DN62" s="25">
        <f t="shared" si="141"/>
        <v>8.4100298065869161E-2</v>
      </c>
      <c r="DO62" s="32">
        <f t="shared" si="141"/>
        <v>0.65177731001048589</v>
      </c>
      <c r="DP62" s="26">
        <f t="shared" si="18"/>
        <v>1.9043738599162221E-2</v>
      </c>
      <c r="DQ62" s="25">
        <f t="shared" si="19"/>
        <v>1.9615469499857492E-2</v>
      </c>
      <c r="DR62" s="24">
        <f t="shared" si="20"/>
        <v>1.4531612746237186E-2</v>
      </c>
      <c r="DS62" s="25">
        <f t="shared" si="21"/>
        <v>1.4310608465947054E-2</v>
      </c>
      <c r="DT62" s="24">
        <f t="shared" si="22"/>
        <v>7.1039334344652535E-3</v>
      </c>
      <c r="DU62" s="25">
        <f t="shared" si="23"/>
        <v>7.4473096545340026E-3</v>
      </c>
      <c r="DV62" s="24">
        <f t="shared" si="24"/>
        <v>7.3572320347858305E-3</v>
      </c>
      <c r="DW62" s="25">
        <f t="shared" si="25"/>
        <v>1.6917134185377943E-2</v>
      </c>
      <c r="DX62" s="32">
        <f t="shared" si="26"/>
        <v>2.2706238974164187E-2</v>
      </c>
      <c r="DZ62" s="54" t="s">
        <v>1623</v>
      </c>
      <c r="EA62" s="39">
        <v>0.97101705622816414</v>
      </c>
      <c r="EB62" s="40">
        <v>0.97101705622816425</v>
      </c>
      <c r="EC62" s="39">
        <v>0.97525692873746794</v>
      </c>
      <c r="ED62" s="40">
        <v>0.97525692873746805</v>
      </c>
      <c r="EE62" s="39">
        <v>0.92060869521214339</v>
      </c>
      <c r="EF62" s="40">
        <v>0.9206086952121435</v>
      </c>
      <c r="EG62" s="39">
        <v>0.9206086952121435</v>
      </c>
      <c r="EH62" s="40">
        <v>0.98240626646093887</v>
      </c>
      <c r="EI62" s="66">
        <v>0.98240626646093876</v>
      </c>
      <c r="EO62" s="83" t="s">
        <v>1793</v>
      </c>
      <c r="EP62" s="82" t="s">
        <v>438</v>
      </c>
      <c r="EQ62" s="81">
        <f t="shared" si="101"/>
        <v>76.931488421479614</v>
      </c>
      <c r="ER62" s="80">
        <f>EQ62/SUM(EQ62:EQ70)</f>
        <v>3.4132325198429521E-2</v>
      </c>
      <c r="ET62" s="75" t="s">
        <v>518</v>
      </c>
      <c r="EU62" s="72">
        <v>2.2600666610269618E-2</v>
      </c>
      <c r="EW62" s="37" t="s">
        <v>1793</v>
      </c>
      <c r="EX62" s="36" t="s">
        <v>2149</v>
      </c>
      <c r="EY62" s="36" t="s">
        <v>1150</v>
      </c>
      <c r="EZ62" s="1" t="s">
        <v>1902</v>
      </c>
      <c r="FA62" s="36" t="str">
        <f t="shared" si="102"/>
        <v>IOTETC</v>
      </c>
      <c r="FB62" s="1" t="s">
        <v>439</v>
      </c>
      <c r="FC62" s="26">
        <f t="shared" si="103"/>
        <v>463.98795361137593</v>
      </c>
      <c r="FD62" s="25">
        <f t="shared" si="104"/>
        <v>3.2678985586167504</v>
      </c>
      <c r="FE62" s="24">
        <f t="shared" si="105"/>
        <v>7.0430676770411498E-3</v>
      </c>
      <c r="FF62" s="36">
        <v>0</v>
      </c>
      <c r="FG62" s="86">
        <f t="shared" si="106"/>
        <v>0</v>
      </c>
    </row>
    <row r="63" spans="1:163">
      <c r="A63" s="37" t="s">
        <v>2075</v>
      </c>
      <c r="B63" s="36" t="s">
        <v>1129</v>
      </c>
      <c r="C63" s="1" t="s">
        <v>1111</v>
      </c>
      <c r="D63" s="36" t="s">
        <v>1111</v>
      </c>
      <c r="E63" s="36" t="s">
        <v>2161</v>
      </c>
      <c r="F63" s="1" t="e">
        <f t="shared" ca="1" si="97"/>
        <v>#NAME?</v>
      </c>
      <c r="G63" s="35" t="s">
        <v>1121</v>
      </c>
      <c r="H63" s="43">
        <v>1</v>
      </c>
      <c r="I63" s="42">
        <v>0</v>
      </c>
      <c r="J63" s="26">
        <v>4.0904691052475364E-2</v>
      </c>
      <c r="K63" s="25">
        <v>4.1347593567208386E-2</v>
      </c>
      <c r="L63" s="24"/>
      <c r="M63" s="25"/>
      <c r="N63" s="24"/>
      <c r="O63" s="25"/>
      <c r="P63" s="24"/>
      <c r="Q63" s="25"/>
      <c r="R63" s="32"/>
      <c r="S63" s="47">
        <v>1</v>
      </c>
      <c r="T63" s="45">
        <v>1</v>
      </c>
      <c r="U63" s="46">
        <v>1</v>
      </c>
      <c r="V63" s="45">
        <v>1</v>
      </c>
      <c r="W63" s="46">
        <v>1</v>
      </c>
      <c r="X63" s="45">
        <v>1</v>
      </c>
      <c r="Y63" s="46">
        <v>1</v>
      </c>
      <c r="Z63" s="45">
        <v>1</v>
      </c>
      <c r="AA63" s="44">
        <v>1</v>
      </c>
      <c r="AB63" s="26">
        <f t="shared" si="126"/>
        <v>4.0904691052475364E-2</v>
      </c>
      <c r="AC63" s="25">
        <f t="shared" si="127"/>
        <v>4.1347593567208386E-2</v>
      </c>
      <c r="AD63" s="24">
        <f t="shared" si="128"/>
        <v>0</v>
      </c>
      <c r="AE63" s="25">
        <f t="shared" si="129"/>
        <v>0</v>
      </c>
      <c r="AF63" s="24">
        <f t="shared" si="130"/>
        <v>0</v>
      </c>
      <c r="AG63" s="25">
        <f t="shared" si="131"/>
        <v>0</v>
      </c>
      <c r="AH63" s="24">
        <f t="shared" si="132"/>
        <v>0</v>
      </c>
      <c r="AI63" s="25">
        <f t="shared" si="133"/>
        <v>0</v>
      </c>
      <c r="AJ63" s="24">
        <f t="shared" si="134"/>
        <v>0</v>
      </c>
      <c r="AK63" s="27">
        <f t="shared" si="12"/>
        <v>8.2252284619683758E-2</v>
      </c>
      <c r="AL63" s="41">
        <v>0</v>
      </c>
      <c r="AM63" s="40">
        <v>0</v>
      </c>
      <c r="AN63" s="39">
        <v>0</v>
      </c>
      <c r="AO63" s="40">
        <v>0</v>
      </c>
      <c r="AP63" s="39">
        <v>0</v>
      </c>
      <c r="AQ63" s="40">
        <v>0</v>
      </c>
      <c r="AR63" s="39">
        <v>0</v>
      </c>
      <c r="AS63" s="40">
        <v>0</v>
      </c>
      <c r="AT63" s="39">
        <v>0</v>
      </c>
      <c r="AU63" s="38">
        <v>0</v>
      </c>
      <c r="AW63" s="100" t="s">
        <v>1129</v>
      </c>
      <c r="AX63" s="41">
        <v>0.38387387383840504</v>
      </c>
      <c r="AY63" s="40">
        <v>1.6114324098531894</v>
      </c>
      <c r="AZ63" s="39">
        <v>4.4314373323929832</v>
      </c>
      <c r="BA63" s="40">
        <v>2.9593263927517102</v>
      </c>
      <c r="BB63" s="39">
        <v>1.4761713920464974</v>
      </c>
      <c r="BC63" s="40">
        <v>1.2866983877711937</v>
      </c>
      <c r="BD63" s="39">
        <v>4.4699932356284027</v>
      </c>
      <c r="BE63" s="40">
        <v>0.23438635331373842</v>
      </c>
      <c r="BF63" s="39">
        <v>0.14697091914125623</v>
      </c>
      <c r="BG63" s="81">
        <v>17.000290296737376</v>
      </c>
      <c r="BH63" s="66">
        <v>0.28016170620538638</v>
      </c>
      <c r="BJ63" s="22" t="s">
        <v>1793</v>
      </c>
      <c r="BK63" s="20" t="s">
        <v>2149</v>
      </c>
      <c r="BL63" s="21" t="s">
        <v>1027</v>
      </c>
      <c r="BM63" s="20"/>
      <c r="BN63" s="78"/>
      <c r="BO63" s="11">
        <f t="shared" ref="BO63:BW63" si="146">GETPIVOTDATA("Sum of "&amp;BO$1&amp;" (Out)",$AW$6,"Sub-Sector",$BJ63)</f>
        <v>76.931488421479614</v>
      </c>
      <c r="BP63" s="10">
        <f t="shared" si="146"/>
        <v>215.33157369883469</v>
      </c>
      <c r="BQ63" s="9">
        <f t="shared" si="146"/>
        <v>463.98795361137593</v>
      </c>
      <c r="BR63" s="10">
        <f t="shared" si="146"/>
        <v>299.56349041084445</v>
      </c>
      <c r="BS63" s="9">
        <f t="shared" si="146"/>
        <v>207.42523353183208</v>
      </c>
      <c r="BT63" s="10">
        <f t="shared" si="146"/>
        <v>159.89555005524713</v>
      </c>
      <c r="BU63" s="9">
        <f t="shared" si="146"/>
        <v>528.43571851314016</v>
      </c>
      <c r="BV63" s="10">
        <f t="shared" si="146"/>
        <v>176.90818507978867</v>
      </c>
      <c r="BW63" s="16">
        <f t="shared" si="146"/>
        <v>125.43957647223664</v>
      </c>
      <c r="BX63" s="11"/>
      <c r="BY63" s="6"/>
      <c r="BZ63" s="5"/>
      <c r="CA63" s="6"/>
      <c r="CB63" s="5"/>
      <c r="CC63" s="6"/>
      <c r="CD63" s="5"/>
      <c r="CE63" s="6"/>
      <c r="CF63" s="59"/>
      <c r="CH63" s="54" t="s">
        <v>2160</v>
      </c>
      <c r="CI63" s="41">
        <v>0</v>
      </c>
      <c r="CJ63" s="40">
        <v>2.9615179506714513E-2</v>
      </c>
      <c r="CK63" s="39">
        <v>1.5501797673775583E-3</v>
      </c>
      <c r="CL63" s="40">
        <v>0</v>
      </c>
      <c r="CM63" s="39">
        <v>0</v>
      </c>
      <c r="CN63" s="40">
        <v>0</v>
      </c>
      <c r="CO63" s="39">
        <v>0</v>
      </c>
      <c r="CP63" s="40">
        <v>0</v>
      </c>
      <c r="CQ63" s="66">
        <v>9.3751977362601074E-2</v>
      </c>
      <c r="CS63" s="54" t="s">
        <v>1990</v>
      </c>
      <c r="CT63" s="39">
        <v>0</v>
      </c>
      <c r="CU63" s="40">
        <v>0.73386376205575876</v>
      </c>
      <c r="CV63" s="39">
        <v>6.0063692140871918</v>
      </c>
      <c r="CW63" s="40">
        <v>8.6248715329352379</v>
      </c>
      <c r="CX63" s="39">
        <v>1.1618704890705152</v>
      </c>
      <c r="CY63" s="40">
        <v>2.1490620905674955</v>
      </c>
      <c r="CZ63" s="39">
        <v>0</v>
      </c>
      <c r="DA63" s="40">
        <v>0.65994618348255896</v>
      </c>
      <c r="DB63" s="39">
        <v>1.0196992778445369E-6</v>
      </c>
      <c r="DC63" s="38">
        <v>19.335984291898036</v>
      </c>
      <c r="DE63" s="37" t="s">
        <v>1433</v>
      </c>
      <c r="DF63" s="35" t="str">
        <f t="shared" si="16"/>
        <v>IPAOH</v>
      </c>
      <c r="DG63" s="26">
        <f t="shared" si="141"/>
        <v>0.30669020042492307</v>
      </c>
      <c r="DH63" s="25">
        <f t="shared" si="141"/>
        <v>0.27060900037493213</v>
      </c>
      <c r="DI63" s="24">
        <f t="shared" si="141"/>
        <v>0.46800127986920087</v>
      </c>
      <c r="DJ63" s="25">
        <f t="shared" si="141"/>
        <v>8.9617266357932074E-2</v>
      </c>
      <c r="DK63" s="24">
        <f t="shared" si="141"/>
        <v>0.82658749205433812</v>
      </c>
      <c r="DL63" s="25">
        <f t="shared" si="141"/>
        <v>0.47995402764445444</v>
      </c>
      <c r="DM63" s="24">
        <f t="shared" si="141"/>
        <v>0.34663346440988374</v>
      </c>
      <c r="DN63" s="25">
        <f t="shared" si="141"/>
        <v>3.4488004203627708E-2</v>
      </c>
      <c r="DO63" s="32">
        <f t="shared" si="141"/>
        <v>0.26728203257811473</v>
      </c>
      <c r="DP63" s="26">
        <f t="shared" si="18"/>
        <v>8.2022959476982689E-3</v>
      </c>
      <c r="DQ63" s="25">
        <f t="shared" si="19"/>
        <v>8.4485451820872047E-3</v>
      </c>
      <c r="DR63" s="24">
        <f t="shared" si="20"/>
        <v>7.9056732755304095E-3</v>
      </c>
      <c r="DS63" s="25">
        <f t="shared" si="21"/>
        <v>7.7854397086869797E-3</v>
      </c>
      <c r="DT63" s="24">
        <f t="shared" si="22"/>
        <v>7.8396251211200734E-3</v>
      </c>
      <c r="DU63" s="25">
        <f t="shared" si="23"/>
        <v>8.2185617856707395E-3</v>
      </c>
      <c r="DV63" s="24">
        <f t="shared" si="24"/>
        <v>8.1191556218682456E-3</v>
      </c>
      <c r="DW63" s="25">
        <f t="shared" si="25"/>
        <v>6.9374093590213806E-3</v>
      </c>
      <c r="DX63" s="32">
        <f t="shared" si="26"/>
        <v>9.3114160496341487E-3</v>
      </c>
      <c r="DZ63" s="54" t="s">
        <v>1619</v>
      </c>
      <c r="EA63" s="39">
        <v>2.8982943771835766E-2</v>
      </c>
      <c r="EB63" s="40">
        <v>2.8982943771835773E-2</v>
      </c>
      <c r="EC63" s="39">
        <v>2.4743071262532074E-2</v>
      </c>
      <c r="ED63" s="40">
        <v>2.4743071262532081E-2</v>
      </c>
      <c r="EE63" s="39">
        <v>7.9391304787856512E-2</v>
      </c>
      <c r="EF63" s="40">
        <v>7.9391304787856498E-2</v>
      </c>
      <c r="EG63" s="39">
        <v>7.9391304787856498E-2</v>
      </c>
      <c r="EH63" s="40">
        <v>1.7593733539061168E-2</v>
      </c>
      <c r="EI63" s="66">
        <v>1.7593733539061164E-2</v>
      </c>
      <c r="EO63" s="83" t="s">
        <v>1793</v>
      </c>
      <c r="EP63" s="82" t="s">
        <v>440</v>
      </c>
      <c r="EQ63" s="81">
        <f t="shared" si="101"/>
        <v>215.33157369883469</v>
      </c>
      <c r="ER63" s="80">
        <f>EQ63/SUM(EQ62:EQ70)</f>
        <v>9.5536528017130237E-2</v>
      </c>
      <c r="ET63" s="75" t="s">
        <v>517</v>
      </c>
      <c r="EU63" s="72">
        <v>0.18064221325316707</v>
      </c>
      <c r="EW63" s="37" t="s">
        <v>1793</v>
      </c>
      <c r="EX63" s="36" t="s">
        <v>2149</v>
      </c>
      <c r="EY63" s="36" t="s">
        <v>1139</v>
      </c>
      <c r="EZ63" s="1" t="s">
        <v>1943</v>
      </c>
      <c r="FA63" s="36" t="str">
        <f t="shared" si="102"/>
        <v>IOTFEED</v>
      </c>
      <c r="FB63" s="1" t="s">
        <v>518</v>
      </c>
      <c r="FC63" s="26">
        <f t="shared" si="103"/>
        <v>299.56349041084445</v>
      </c>
      <c r="FD63" s="25">
        <f t="shared" si="104"/>
        <v>3.2116677525713451</v>
      </c>
      <c r="FE63" s="24">
        <f t="shared" si="105"/>
        <v>1.0721158803987149E-2</v>
      </c>
      <c r="FF63" s="36">
        <v>0.02</v>
      </c>
      <c r="FG63" s="32">
        <f t="shared" si="106"/>
        <v>1.8654699893598945</v>
      </c>
    </row>
    <row r="64" spans="1:163">
      <c r="A64" s="37" t="s">
        <v>2075</v>
      </c>
      <c r="B64" s="36" t="s">
        <v>1129</v>
      </c>
      <c r="C64" s="1" t="s">
        <v>1106</v>
      </c>
      <c r="D64" s="36" t="s">
        <v>1106</v>
      </c>
      <c r="E64" s="36" t="s">
        <v>2159</v>
      </c>
      <c r="F64" s="1" t="e">
        <f t="shared" ca="1" si="97"/>
        <v>#NAME?</v>
      </c>
      <c r="G64" s="35" t="s">
        <v>1121</v>
      </c>
      <c r="H64" s="43">
        <v>1</v>
      </c>
      <c r="I64" s="42">
        <v>0</v>
      </c>
      <c r="J64" s="26">
        <v>0.31204963168595751</v>
      </c>
      <c r="K64" s="25">
        <v>1.7402946331757266E-2</v>
      </c>
      <c r="L64" s="24"/>
      <c r="M64" s="25"/>
      <c r="N64" s="24"/>
      <c r="O64" s="25"/>
      <c r="P64" s="24"/>
      <c r="Q64" s="25"/>
      <c r="R64" s="32"/>
      <c r="S64" s="47">
        <v>1</v>
      </c>
      <c r="T64" s="45">
        <v>1</v>
      </c>
      <c r="U64" s="46">
        <v>1</v>
      </c>
      <c r="V64" s="45">
        <v>1</v>
      </c>
      <c r="W64" s="46">
        <v>1</v>
      </c>
      <c r="X64" s="45">
        <v>1</v>
      </c>
      <c r="Y64" s="46">
        <v>1</v>
      </c>
      <c r="Z64" s="45">
        <v>1</v>
      </c>
      <c r="AA64" s="44">
        <v>1</v>
      </c>
      <c r="AB64" s="26">
        <f t="shared" si="126"/>
        <v>0.31204963168595751</v>
      </c>
      <c r="AC64" s="25">
        <f t="shared" si="127"/>
        <v>1.7402946331757266E-2</v>
      </c>
      <c r="AD64" s="24">
        <f t="shared" si="128"/>
        <v>0</v>
      </c>
      <c r="AE64" s="25">
        <f t="shared" si="129"/>
        <v>0</v>
      </c>
      <c r="AF64" s="24">
        <f t="shared" si="130"/>
        <v>0</v>
      </c>
      <c r="AG64" s="25">
        <f t="shared" si="131"/>
        <v>0</v>
      </c>
      <c r="AH64" s="24">
        <f t="shared" si="132"/>
        <v>0</v>
      </c>
      <c r="AI64" s="25">
        <f t="shared" si="133"/>
        <v>0</v>
      </c>
      <c r="AJ64" s="24">
        <f t="shared" si="134"/>
        <v>0</v>
      </c>
      <c r="AK64" s="27">
        <f t="shared" si="12"/>
        <v>0.32945257801771477</v>
      </c>
      <c r="AL64" s="41">
        <v>0</v>
      </c>
      <c r="AM64" s="40">
        <v>0</v>
      </c>
      <c r="AN64" s="39">
        <v>0</v>
      </c>
      <c r="AO64" s="40">
        <v>0</v>
      </c>
      <c r="AP64" s="39">
        <v>0</v>
      </c>
      <c r="AQ64" s="40">
        <v>0</v>
      </c>
      <c r="AR64" s="39">
        <v>0</v>
      </c>
      <c r="AS64" s="40">
        <v>0</v>
      </c>
      <c r="AT64" s="39">
        <v>0</v>
      </c>
      <c r="AU64" s="38">
        <v>0</v>
      </c>
      <c r="AW64" s="100" t="s">
        <v>1123</v>
      </c>
      <c r="AX64" s="41">
        <v>6.0593749947680253</v>
      </c>
      <c r="AY64" s="40">
        <v>16.679420737781218</v>
      </c>
      <c r="AZ64" s="39">
        <v>15.772879639636129</v>
      </c>
      <c r="BA64" s="40">
        <v>10.683346423084158</v>
      </c>
      <c r="BB64" s="39">
        <v>1.2396825764539898</v>
      </c>
      <c r="BC64" s="40">
        <v>1.0805639379449137</v>
      </c>
      <c r="BD64" s="39">
        <v>3.7538816704701312</v>
      </c>
      <c r="BE64" s="40">
        <v>2.777324147625079</v>
      </c>
      <c r="BF64" s="39">
        <v>1.7415087395608126</v>
      </c>
      <c r="BG64" s="81">
        <v>59.787982867324452</v>
      </c>
      <c r="BH64" s="66">
        <v>0</v>
      </c>
      <c r="BJ64" s="37" t="s">
        <v>1696</v>
      </c>
      <c r="BK64" s="36" t="s">
        <v>2129</v>
      </c>
      <c r="BL64" s="1" t="s">
        <v>1150</v>
      </c>
      <c r="BM64" s="36" t="s">
        <v>1902</v>
      </c>
      <c r="BN64" s="82" t="str">
        <f t="shared" ref="BN64:BN70" si="147">BK64&amp;BM64</f>
        <v>ICTETC</v>
      </c>
      <c r="BO64" s="91">
        <f t="shared" ref="BO64:BW70" si="148">IF(ISERROR(GETPIVOTDATA("Sum of "&amp;BO$1&amp;" (Out)",$AW$6,"Sub-Sector",$BJ64,"End-Use",$BL64)),0,GETPIVOTDATA("Sum of "&amp;BO$1&amp;" (Out)",$AW$6,"Sub-Sector",$BJ64,"End-Use",$BL64))</f>
        <v>0</v>
      </c>
      <c r="BP64" s="89">
        <f t="shared" si="148"/>
        <v>0</v>
      </c>
      <c r="BQ64" s="90">
        <f t="shared" si="148"/>
        <v>0</v>
      </c>
      <c r="BR64" s="89">
        <f t="shared" si="148"/>
        <v>0</v>
      </c>
      <c r="BS64" s="90">
        <f t="shared" si="148"/>
        <v>0</v>
      </c>
      <c r="BT64" s="89">
        <f t="shared" si="148"/>
        <v>0</v>
      </c>
      <c r="BU64" s="90">
        <f t="shared" si="148"/>
        <v>0</v>
      </c>
      <c r="BV64" s="89">
        <f t="shared" si="148"/>
        <v>0</v>
      </c>
      <c r="BW64" s="88">
        <f t="shared" si="148"/>
        <v>0</v>
      </c>
      <c r="BX64" s="26">
        <f t="shared" ref="BX64:CF64" si="149">BO64/BO71</f>
        <v>0</v>
      </c>
      <c r="BY64" s="25">
        <f t="shared" si="149"/>
        <v>0</v>
      </c>
      <c r="BZ64" s="24">
        <f t="shared" si="149"/>
        <v>0</v>
      </c>
      <c r="CA64" s="25">
        <f t="shared" si="149"/>
        <v>0</v>
      </c>
      <c r="CB64" s="24">
        <f t="shared" si="149"/>
        <v>0</v>
      </c>
      <c r="CC64" s="25">
        <f t="shared" si="149"/>
        <v>0</v>
      </c>
      <c r="CD64" s="24">
        <f t="shared" si="149"/>
        <v>0</v>
      </c>
      <c r="CE64" s="25">
        <f t="shared" si="149"/>
        <v>0</v>
      </c>
      <c r="CF64" s="32">
        <f t="shared" si="149"/>
        <v>0</v>
      </c>
      <c r="CH64" s="54" t="s">
        <v>2158</v>
      </c>
      <c r="CI64" s="41">
        <v>3.9162427740305213E-2</v>
      </c>
      <c r="CJ64" s="40">
        <v>3.4222049478387584E-2</v>
      </c>
      <c r="CK64" s="39">
        <v>4.7699601271763287E-2</v>
      </c>
      <c r="CL64" s="40">
        <v>4.9388455188243599E-2</v>
      </c>
      <c r="CM64" s="39">
        <v>4.3393432589560521E-2</v>
      </c>
      <c r="CN64" s="40">
        <v>4.3737268182543469E-2</v>
      </c>
      <c r="CO64" s="39">
        <v>4.2880322436732524E-2</v>
      </c>
      <c r="CP64" s="40">
        <v>3.2751696305144726E-2</v>
      </c>
      <c r="CQ64" s="66">
        <v>4.3692647817992383E-2</v>
      </c>
      <c r="CS64" s="54" t="s">
        <v>1797</v>
      </c>
      <c r="CT64" s="39">
        <v>0.37294259199249696</v>
      </c>
      <c r="CU64" s="40">
        <v>1.02658548253782</v>
      </c>
      <c r="CV64" s="39">
        <v>1.7879605422443103</v>
      </c>
      <c r="CW64" s="40">
        <v>1.211028188892084</v>
      </c>
      <c r="CX64" s="39">
        <v>0.73448448181904291</v>
      </c>
      <c r="CY64" s="40">
        <v>0.64021021115260501</v>
      </c>
      <c r="CZ64" s="39">
        <v>2.2240917843920252</v>
      </c>
      <c r="DA64" s="40">
        <v>0.86016527136786403</v>
      </c>
      <c r="DB64" s="39">
        <v>0.539362803162453</v>
      </c>
      <c r="DC64" s="38">
        <v>9.3968313575606999</v>
      </c>
      <c r="DE64" s="37" t="s">
        <v>1429</v>
      </c>
      <c r="DF64" s="35" t="str">
        <f t="shared" si="16"/>
        <v>IPAOH</v>
      </c>
      <c r="DG64" s="26">
        <f t="shared" si="141"/>
        <v>0</v>
      </c>
      <c r="DH64" s="25">
        <f t="shared" si="141"/>
        <v>0.57729920079985531</v>
      </c>
      <c r="DI64" s="24">
        <f t="shared" si="141"/>
        <v>0.46800127986920093</v>
      </c>
      <c r="DJ64" s="25">
        <f t="shared" si="141"/>
        <v>8.9617266357932088E-2</v>
      </c>
      <c r="DK64" s="24">
        <f t="shared" si="141"/>
        <v>0.82658749205433835</v>
      </c>
      <c r="DL64" s="25">
        <f t="shared" si="141"/>
        <v>0.47995402764445455</v>
      </c>
      <c r="DM64" s="24">
        <f t="shared" si="141"/>
        <v>0.34663346440988385</v>
      </c>
      <c r="DN64" s="25">
        <f t="shared" si="141"/>
        <v>3.4488004203627722E-2</v>
      </c>
      <c r="DO64" s="32">
        <f t="shared" si="141"/>
        <v>0.26728203257811484</v>
      </c>
      <c r="DP64" s="26">
        <f t="shared" si="18"/>
        <v>0</v>
      </c>
      <c r="DQ64" s="25">
        <f t="shared" si="19"/>
        <v>1.8023563055119374E-2</v>
      </c>
      <c r="DR64" s="24">
        <f t="shared" si="20"/>
        <v>7.9056732755304095E-3</v>
      </c>
      <c r="DS64" s="25">
        <f t="shared" si="21"/>
        <v>7.7854397086869814E-3</v>
      </c>
      <c r="DT64" s="24">
        <f t="shared" si="22"/>
        <v>7.8396251211200751E-3</v>
      </c>
      <c r="DU64" s="25">
        <f t="shared" si="23"/>
        <v>8.2185617856707412E-3</v>
      </c>
      <c r="DV64" s="24">
        <f t="shared" si="24"/>
        <v>8.1191556218682473E-3</v>
      </c>
      <c r="DW64" s="25">
        <f t="shared" si="25"/>
        <v>6.9374093590213832E-3</v>
      </c>
      <c r="DX64" s="32">
        <f t="shared" si="26"/>
        <v>9.3114160496341521E-3</v>
      </c>
      <c r="DZ64" s="54" t="s">
        <v>1644</v>
      </c>
      <c r="EA64" s="39">
        <v>0</v>
      </c>
      <c r="EB64" s="40">
        <v>0</v>
      </c>
      <c r="EC64" s="39">
        <v>0</v>
      </c>
      <c r="ED64" s="40">
        <v>0</v>
      </c>
      <c r="EE64" s="39">
        <v>0.29686036117062414</v>
      </c>
      <c r="EF64" s="40">
        <v>0.2968603611706242</v>
      </c>
      <c r="EG64" s="39">
        <v>0.29686036117062414</v>
      </c>
      <c r="EH64" s="40">
        <v>0</v>
      </c>
      <c r="EI64" s="66">
        <v>0</v>
      </c>
      <c r="EO64" s="83" t="s">
        <v>1793</v>
      </c>
      <c r="EP64" s="82" t="s">
        <v>439</v>
      </c>
      <c r="EQ64" s="81">
        <f t="shared" si="101"/>
        <v>463.98795361137593</v>
      </c>
      <c r="ER64" s="80">
        <f>EQ64/SUM(EQ62:EQ70)</f>
        <v>0.20585832986945765</v>
      </c>
      <c r="ET64" s="75" t="s">
        <v>519</v>
      </c>
      <c r="EU64" s="72">
        <v>0.15491893041244068</v>
      </c>
      <c r="EW64" s="37" t="s">
        <v>1793</v>
      </c>
      <c r="EX64" s="36" t="s">
        <v>2149</v>
      </c>
      <c r="EY64" s="36" t="s">
        <v>1107</v>
      </c>
      <c r="EZ64" s="1" t="s">
        <v>1937</v>
      </c>
      <c r="FA64" s="36" t="str">
        <f t="shared" si="102"/>
        <v>IOTSTM</v>
      </c>
      <c r="FB64" s="1" t="s">
        <v>517</v>
      </c>
      <c r="FC64" s="26">
        <f t="shared" si="103"/>
        <v>207.42523353183208</v>
      </c>
      <c r="FD64" s="25">
        <f t="shared" si="104"/>
        <v>39.792105666012091</v>
      </c>
      <c r="FE64" s="24">
        <f t="shared" si="105"/>
        <v>0.19183830717445224</v>
      </c>
      <c r="FF64" s="36">
        <v>0.02</v>
      </c>
      <c r="FG64" s="32">
        <f t="shared" si="106"/>
        <v>0.10425446457790599</v>
      </c>
    </row>
    <row r="65" spans="1:165" ht="15.75" thickBot="1">
      <c r="A65" s="37" t="s">
        <v>2075</v>
      </c>
      <c r="B65" s="36" t="s">
        <v>1123</v>
      </c>
      <c r="C65" s="1" t="s">
        <v>1120</v>
      </c>
      <c r="D65" s="36" t="s">
        <v>1120</v>
      </c>
      <c r="E65" s="36" t="s">
        <v>2157</v>
      </c>
      <c r="F65" s="1" t="e">
        <f t="shared" ca="1" si="97"/>
        <v>#NAME?</v>
      </c>
      <c r="G65" s="35" t="s">
        <v>1121</v>
      </c>
      <c r="H65" s="43">
        <v>1</v>
      </c>
      <c r="I65" s="42">
        <v>0</v>
      </c>
      <c r="J65" s="26">
        <v>0.11261993175869715</v>
      </c>
      <c r="K65" s="25">
        <v>0.11383934326631616</v>
      </c>
      <c r="L65" s="24"/>
      <c r="M65" s="25"/>
      <c r="N65" s="24"/>
      <c r="O65" s="25"/>
      <c r="P65" s="24"/>
      <c r="Q65" s="25"/>
      <c r="R65" s="32"/>
      <c r="S65" s="47">
        <v>1</v>
      </c>
      <c r="T65" s="45">
        <v>1</v>
      </c>
      <c r="U65" s="46">
        <v>1</v>
      </c>
      <c r="V65" s="45">
        <v>1</v>
      </c>
      <c r="W65" s="46">
        <v>1</v>
      </c>
      <c r="X65" s="45">
        <v>1</v>
      </c>
      <c r="Y65" s="46">
        <v>1</v>
      </c>
      <c r="Z65" s="45">
        <v>1</v>
      </c>
      <c r="AA65" s="44">
        <v>1</v>
      </c>
      <c r="AB65" s="26">
        <f t="shared" si="126"/>
        <v>0.11261993175869715</v>
      </c>
      <c r="AC65" s="25">
        <f t="shared" si="127"/>
        <v>0.11383934326631616</v>
      </c>
      <c r="AD65" s="24">
        <f t="shared" si="128"/>
        <v>0</v>
      </c>
      <c r="AE65" s="25">
        <f t="shared" si="129"/>
        <v>0</v>
      </c>
      <c r="AF65" s="24">
        <f t="shared" si="130"/>
        <v>0</v>
      </c>
      <c r="AG65" s="25">
        <f t="shared" si="131"/>
        <v>0</v>
      </c>
      <c r="AH65" s="24">
        <f t="shared" si="132"/>
        <v>0</v>
      </c>
      <c r="AI65" s="25">
        <f t="shared" si="133"/>
        <v>0</v>
      </c>
      <c r="AJ65" s="24">
        <f t="shared" si="134"/>
        <v>0</v>
      </c>
      <c r="AK65" s="27">
        <f t="shared" si="12"/>
        <v>0.22645927502501331</v>
      </c>
      <c r="AL65" s="41">
        <v>0</v>
      </c>
      <c r="AM65" s="40">
        <v>0</v>
      </c>
      <c r="AN65" s="39">
        <v>0</v>
      </c>
      <c r="AO65" s="40">
        <v>0</v>
      </c>
      <c r="AP65" s="39">
        <v>0</v>
      </c>
      <c r="AQ65" s="40">
        <v>0</v>
      </c>
      <c r="AR65" s="39">
        <v>0</v>
      </c>
      <c r="AS65" s="40">
        <v>0</v>
      </c>
      <c r="AT65" s="39">
        <v>0</v>
      </c>
      <c r="AU65" s="38">
        <v>0</v>
      </c>
      <c r="AW65" s="100" t="s">
        <v>1107</v>
      </c>
      <c r="AX65" s="41">
        <v>0.83397406758082326</v>
      </c>
      <c r="AY65" s="40">
        <v>18.959582633978133</v>
      </c>
      <c r="AZ65" s="39">
        <v>16.163490788396743</v>
      </c>
      <c r="BA65" s="40">
        <v>2.2898844475010525</v>
      </c>
      <c r="BB65" s="39">
        <v>20.342869800864896</v>
      </c>
      <c r="BC65" s="40">
        <v>4.4299302720035687</v>
      </c>
      <c r="BD65" s="39">
        <v>12.607627824788972</v>
      </c>
      <c r="BE65" s="40">
        <v>0.90330609663131167</v>
      </c>
      <c r="BF65" s="39">
        <v>2.5969585600252625</v>
      </c>
      <c r="BG65" s="81">
        <v>79.127624491770774</v>
      </c>
      <c r="BH65" s="66">
        <v>16.262631179445282</v>
      </c>
      <c r="BJ65" s="37" t="s">
        <v>1696</v>
      </c>
      <c r="BK65" s="36" t="s">
        <v>2129</v>
      </c>
      <c r="BL65" s="1" t="s">
        <v>1145</v>
      </c>
      <c r="BM65" s="36" t="s">
        <v>1945</v>
      </c>
      <c r="BN65" s="82" t="str">
        <f t="shared" si="147"/>
        <v>ICTFAC</v>
      </c>
      <c r="BO65" s="26">
        <f t="shared" si="148"/>
        <v>3.5677972414717782</v>
      </c>
      <c r="BP65" s="25">
        <f t="shared" si="148"/>
        <v>9.820945452127642</v>
      </c>
      <c r="BQ65" s="24">
        <f t="shared" si="148"/>
        <v>10.955147612783689</v>
      </c>
      <c r="BR65" s="25">
        <f t="shared" si="148"/>
        <v>7.4201819666007127</v>
      </c>
      <c r="BS65" s="24">
        <f t="shared" si="148"/>
        <v>2.5110191234348487</v>
      </c>
      <c r="BT65" s="25">
        <f t="shared" si="148"/>
        <v>2.1887189219315841</v>
      </c>
      <c r="BU65" s="24">
        <f t="shared" si="148"/>
        <v>7.6036147000021161</v>
      </c>
      <c r="BV65" s="25">
        <f t="shared" si="148"/>
        <v>2.2366166444305442</v>
      </c>
      <c r="BW65" s="32">
        <f t="shared" si="148"/>
        <v>1.4024605074109564</v>
      </c>
      <c r="BX65" s="26">
        <f t="shared" ref="BX65:CF65" si="150">BO65/BO71</f>
        <v>0.23256672055763614</v>
      </c>
      <c r="BY65" s="25">
        <f t="shared" si="150"/>
        <v>0.16520451764618857</v>
      </c>
      <c r="BZ65" s="24">
        <f t="shared" si="150"/>
        <v>0.16546681526579993</v>
      </c>
      <c r="CA65" s="25">
        <f t="shared" si="150"/>
        <v>0.20529666466362795</v>
      </c>
      <c r="CB65" s="24">
        <f t="shared" si="150"/>
        <v>7.1104934807454667E-2</v>
      </c>
      <c r="CC65" s="25">
        <f t="shared" si="150"/>
        <v>0.12521497762252862</v>
      </c>
      <c r="CD65" s="24">
        <f t="shared" si="150"/>
        <v>0.13122685105699702</v>
      </c>
      <c r="CE65" s="25">
        <f t="shared" si="150"/>
        <v>0.24690047927048128</v>
      </c>
      <c r="CF65" s="32">
        <f t="shared" si="150"/>
        <v>0.18188236212729977</v>
      </c>
      <c r="CH65" s="54" t="s">
        <v>2156</v>
      </c>
      <c r="CI65" s="41">
        <v>0.13772749203791129</v>
      </c>
      <c r="CJ65" s="40">
        <v>0.12035303526917908</v>
      </c>
      <c r="CK65" s="39">
        <v>0.1296221364895577</v>
      </c>
      <c r="CL65" s="40">
        <v>0.13421154283754166</v>
      </c>
      <c r="CM65" s="39">
        <v>0.10956812219369808</v>
      </c>
      <c r="CN65" s="40">
        <v>0.11043630472774267</v>
      </c>
      <c r="CO65" s="39">
        <v>0.10827252254718819</v>
      </c>
      <c r="CP65" s="40">
        <v>0.10973321895939066</v>
      </c>
      <c r="CQ65" s="66">
        <v>0.14639042952942141</v>
      </c>
      <c r="CS65" s="54" t="s">
        <v>1794</v>
      </c>
      <c r="CT65" s="39">
        <v>0.49795301370342876</v>
      </c>
      <c r="CU65" s="40">
        <v>1.3706971148636744</v>
      </c>
      <c r="CV65" s="39">
        <v>1.8853432049352552</v>
      </c>
      <c r="CW65" s="40">
        <v>1.2769877818706121</v>
      </c>
      <c r="CX65" s="39">
        <v>0.80675911546644286</v>
      </c>
      <c r="CY65" s="40">
        <v>0.70320808192284001</v>
      </c>
      <c r="CZ65" s="39">
        <v>2.4429465361180513</v>
      </c>
      <c r="DA65" s="40">
        <v>0.88345601535384799</v>
      </c>
      <c r="DB65" s="39">
        <v>0.55396716046700056</v>
      </c>
      <c r="DC65" s="38">
        <v>10.421318024701153</v>
      </c>
      <c r="DE65" s="37" t="s">
        <v>1396</v>
      </c>
      <c r="DF65" s="35" t="str">
        <f t="shared" si="16"/>
        <v>IPAOH</v>
      </c>
      <c r="DG65" s="26">
        <f t="shared" si="141"/>
        <v>14.151617550586852</v>
      </c>
      <c r="DH65" s="25">
        <f t="shared" si="141"/>
        <v>7.372461001719337</v>
      </c>
      <c r="DI65" s="24">
        <f t="shared" si="141"/>
        <v>17.528259308439878</v>
      </c>
      <c r="DJ65" s="25">
        <f t="shared" si="141"/>
        <v>8.9794525485840033</v>
      </c>
      <c r="DK65" s="24">
        <f t="shared" si="141"/>
        <v>52.605550579029092</v>
      </c>
      <c r="DL65" s="25">
        <f t="shared" si="141"/>
        <v>13.243182390636454</v>
      </c>
      <c r="DM65" s="24">
        <f t="shared" si="141"/>
        <v>10.316814673679492</v>
      </c>
      <c r="DN65" s="25">
        <f t="shared" si="141"/>
        <v>2.6122230914708036</v>
      </c>
      <c r="DO65" s="32">
        <f t="shared" si="141"/>
        <v>10.520641274186449</v>
      </c>
      <c r="DP65" s="26">
        <f t="shared" si="18"/>
        <v>0.37847885301757234</v>
      </c>
      <c r="DQ65" s="25">
        <f t="shared" si="19"/>
        <v>0.23017183386325987</v>
      </c>
      <c r="DR65" s="24">
        <f t="shared" si="20"/>
        <v>0.29609468422827645</v>
      </c>
      <c r="DS65" s="25">
        <f t="shared" si="21"/>
        <v>0.78008389761409769</v>
      </c>
      <c r="DT65" s="24">
        <f t="shared" si="22"/>
        <v>0.49892818339743061</v>
      </c>
      <c r="DU65" s="25">
        <f t="shared" si="23"/>
        <v>0.22677153737103345</v>
      </c>
      <c r="DV65" s="24">
        <f t="shared" si="24"/>
        <v>0.24164955913930292</v>
      </c>
      <c r="DW65" s="25">
        <f t="shared" si="25"/>
        <v>0.52545983280514397</v>
      </c>
      <c r="DX65" s="32">
        <f t="shared" si="26"/>
        <v>0.36651198386959727</v>
      </c>
      <c r="DZ65" s="54" t="s">
        <v>1641</v>
      </c>
      <c r="EA65" s="39">
        <v>3.669665536789686E-2</v>
      </c>
      <c r="EB65" s="40">
        <v>3.6696655367896854E-2</v>
      </c>
      <c r="EC65" s="39">
        <v>5.2501217317712172E-2</v>
      </c>
      <c r="ED65" s="40">
        <v>5.2501217317712186E-2</v>
      </c>
      <c r="EE65" s="39">
        <v>2.2760763814606243E-2</v>
      </c>
      <c r="EF65" s="40">
        <v>2.2760763814606247E-2</v>
      </c>
      <c r="EG65" s="39">
        <v>2.2760763814606247E-2</v>
      </c>
      <c r="EH65" s="40">
        <v>1</v>
      </c>
      <c r="EI65" s="66">
        <v>1</v>
      </c>
      <c r="EO65" s="83" t="s">
        <v>1793</v>
      </c>
      <c r="EP65" s="82" t="s">
        <v>518</v>
      </c>
      <c r="EQ65" s="81">
        <f t="shared" si="101"/>
        <v>299.56349041084445</v>
      </c>
      <c r="ER65" s="80">
        <f>EQ65/SUM(EQ62:EQ70)</f>
        <v>0.13290784673580755</v>
      </c>
      <c r="ET65" s="75" t="s">
        <v>520</v>
      </c>
      <c r="EU65" s="72">
        <v>0.58053089665091706</v>
      </c>
      <c r="EW65" s="37" t="s">
        <v>1793</v>
      </c>
      <c r="EX65" s="36" t="s">
        <v>2149</v>
      </c>
      <c r="EY65" s="36" t="s">
        <v>1150</v>
      </c>
      <c r="EZ65" s="1" t="s">
        <v>1902</v>
      </c>
      <c r="FA65" s="36" t="str">
        <f t="shared" si="102"/>
        <v>IOTETC</v>
      </c>
      <c r="FB65" s="1" t="s">
        <v>519</v>
      </c>
      <c r="FC65" s="26">
        <f t="shared" si="103"/>
        <v>159.89555005524713</v>
      </c>
      <c r="FD65" s="25">
        <f t="shared" si="104"/>
        <v>1.2215231243219784</v>
      </c>
      <c r="FE65" s="24">
        <f t="shared" si="105"/>
        <v>7.639506689835443E-3</v>
      </c>
      <c r="FF65" s="36">
        <v>0</v>
      </c>
      <c r="FG65" s="86">
        <f t="shared" si="106"/>
        <v>0</v>
      </c>
    </row>
    <row r="66" spans="1:165" ht="15.75" thickBot="1">
      <c r="A66" s="37" t="s">
        <v>2075</v>
      </c>
      <c r="B66" s="36" t="s">
        <v>1123</v>
      </c>
      <c r="C66" s="1" t="s">
        <v>1126</v>
      </c>
      <c r="D66" s="36" t="s">
        <v>1126</v>
      </c>
      <c r="E66" s="36" t="s">
        <v>2155</v>
      </c>
      <c r="F66" s="1" t="e">
        <f t="shared" ca="1" si="97"/>
        <v>#NAME?</v>
      </c>
      <c r="G66" s="35" t="s">
        <v>1121</v>
      </c>
      <c r="H66" s="43">
        <v>1</v>
      </c>
      <c r="I66" s="42">
        <v>0</v>
      </c>
      <c r="J66" s="26">
        <v>4.3164553800312158</v>
      </c>
      <c r="K66" s="25">
        <v>1.5251867715786847</v>
      </c>
      <c r="L66" s="24"/>
      <c r="M66" s="25"/>
      <c r="N66" s="24"/>
      <c r="O66" s="25"/>
      <c r="P66" s="24"/>
      <c r="Q66" s="25"/>
      <c r="R66" s="32"/>
      <c r="S66" s="47">
        <v>1</v>
      </c>
      <c r="T66" s="45">
        <v>1</v>
      </c>
      <c r="U66" s="46">
        <v>1</v>
      </c>
      <c r="V66" s="45">
        <v>1</v>
      </c>
      <c r="W66" s="46">
        <v>1</v>
      </c>
      <c r="X66" s="45">
        <v>1</v>
      </c>
      <c r="Y66" s="46">
        <v>1</v>
      </c>
      <c r="Z66" s="45">
        <v>1</v>
      </c>
      <c r="AA66" s="44">
        <v>1</v>
      </c>
      <c r="AB66" s="26">
        <f t="shared" si="126"/>
        <v>4.3164553800312158</v>
      </c>
      <c r="AC66" s="25">
        <f t="shared" si="127"/>
        <v>1.5251867715786847</v>
      </c>
      <c r="AD66" s="24">
        <f t="shared" si="128"/>
        <v>0</v>
      </c>
      <c r="AE66" s="25">
        <f t="shared" si="129"/>
        <v>0</v>
      </c>
      <c r="AF66" s="24">
        <f t="shared" si="130"/>
        <v>0</v>
      </c>
      <c r="AG66" s="25">
        <f t="shared" si="131"/>
        <v>0</v>
      </c>
      <c r="AH66" s="24">
        <f t="shared" si="132"/>
        <v>0</v>
      </c>
      <c r="AI66" s="25">
        <f t="shared" si="133"/>
        <v>0</v>
      </c>
      <c r="AJ66" s="24">
        <f t="shared" si="134"/>
        <v>0</v>
      </c>
      <c r="AK66" s="27">
        <f t="shared" si="12"/>
        <v>5.8416421516099</v>
      </c>
      <c r="AL66" s="41">
        <v>0</v>
      </c>
      <c r="AM66" s="40">
        <v>0</v>
      </c>
      <c r="AN66" s="39">
        <v>0</v>
      </c>
      <c r="AO66" s="40">
        <v>0</v>
      </c>
      <c r="AP66" s="39">
        <v>0</v>
      </c>
      <c r="AQ66" s="40">
        <v>0</v>
      </c>
      <c r="AR66" s="39">
        <v>0</v>
      </c>
      <c r="AS66" s="40">
        <v>0</v>
      </c>
      <c r="AT66" s="39">
        <v>0</v>
      </c>
      <c r="AU66" s="38">
        <v>0</v>
      </c>
      <c r="AW66" s="51" t="s">
        <v>1611</v>
      </c>
      <c r="AX66" s="7">
        <v>12.022841358313119</v>
      </c>
      <c r="AY66" s="6">
        <v>37.872488450142463</v>
      </c>
      <c r="AZ66" s="5">
        <v>74.140331422726135</v>
      </c>
      <c r="BA66" s="6">
        <v>48.49982277120094</v>
      </c>
      <c r="BB66" s="5">
        <v>20.77585475467971</v>
      </c>
      <c r="BC66" s="6">
        <v>17.96682033499857</v>
      </c>
      <c r="BD66" s="5">
        <v>63.664150047077896</v>
      </c>
      <c r="BE66" s="6">
        <v>35.525980050790395</v>
      </c>
      <c r="BF66" s="5">
        <v>16.698235808624542</v>
      </c>
      <c r="BG66" s="77">
        <v>327.16652499855377</v>
      </c>
      <c r="BH66" s="59">
        <v>2.9327466453605342</v>
      </c>
      <c r="BJ66" s="37" t="s">
        <v>1696</v>
      </c>
      <c r="BK66" s="36" t="s">
        <v>2129</v>
      </c>
      <c r="BL66" s="1" t="s">
        <v>1139</v>
      </c>
      <c r="BM66" s="36" t="s">
        <v>1943</v>
      </c>
      <c r="BN66" s="82" t="str">
        <f t="shared" si="147"/>
        <v>ICTFEED</v>
      </c>
      <c r="BO66" s="26">
        <f t="shared" si="148"/>
        <v>0</v>
      </c>
      <c r="BP66" s="25">
        <f t="shared" si="148"/>
        <v>0</v>
      </c>
      <c r="BQ66" s="24">
        <f t="shared" si="148"/>
        <v>4.5301912199804582</v>
      </c>
      <c r="BR66" s="25">
        <f t="shared" si="148"/>
        <v>3.0684062309234736</v>
      </c>
      <c r="BS66" s="24">
        <f t="shared" si="148"/>
        <v>6.43296576134889</v>
      </c>
      <c r="BT66" s="25">
        <f t="shared" si="148"/>
        <v>5.6072666888901361</v>
      </c>
      <c r="BU66" s="24">
        <f t="shared" si="148"/>
        <v>19.479657709931356</v>
      </c>
      <c r="BV66" s="25">
        <f t="shared" si="148"/>
        <v>0</v>
      </c>
      <c r="BW66" s="32">
        <f t="shared" si="148"/>
        <v>0</v>
      </c>
      <c r="BX66" s="26">
        <f t="shared" ref="BX66:CF66" si="151">BO66/BO71</f>
        <v>0</v>
      </c>
      <c r="BY66" s="25">
        <f t="shared" si="151"/>
        <v>0</v>
      </c>
      <c r="BZ66" s="24">
        <f t="shared" si="151"/>
        <v>6.8424118068527218E-2</v>
      </c>
      <c r="CA66" s="25">
        <f t="shared" si="151"/>
        <v>8.4894624940075977E-2</v>
      </c>
      <c r="CB66" s="24">
        <f t="shared" si="151"/>
        <v>0.18216333233400364</v>
      </c>
      <c r="CC66" s="25">
        <f t="shared" si="151"/>
        <v>0.32078754651296221</v>
      </c>
      <c r="CD66" s="24">
        <f t="shared" si="151"/>
        <v>0.33618933123238537</v>
      </c>
      <c r="CE66" s="25">
        <f t="shared" si="151"/>
        <v>0</v>
      </c>
      <c r="CF66" s="32">
        <f t="shared" si="151"/>
        <v>0</v>
      </c>
      <c r="CH66" s="54" t="s">
        <v>2154</v>
      </c>
      <c r="CI66" s="41">
        <v>5.6953023455455574E-2</v>
      </c>
      <c r="CJ66" s="40">
        <v>0.15318089294528509</v>
      </c>
      <c r="CK66" s="39">
        <v>1.5389498466549254E-2</v>
      </c>
      <c r="CL66" s="40">
        <v>1.5934379640918421E-2</v>
      </c>
      <c r="CM66" s="39">
        <v>0</v>
      </c>
      <c r="CN66" s="40">
        <v>0</v>
      </c>
      <c r="CO66" s="39">
        <v>0</v>
      </c>
      <c r="CP66" s="40">
        <v>0</v>
      </c>
      <c r="CQ66" s="66">
        <v>0</v>
      </c>
      <c r="CS66" s="54" t="s">
        <v>1694</v>
      </c>
      <c r="CT66" s="39">
        <v>0.95899523655213514</v>
      </c>
      <c r="CU66" s="40">
        <v>2.6397912408115372</v>
      </c>
      <c r="CV66" s="39">
        <v>4.5976128229139412</v>
      </c>
      <c r="CW66" s="40">
        <v>3.1140724857225015</v>
      </c>
      <c r="CX66" s="39">
        <v>1.8886743818203962</v>
      </c>
      <c r="CY66" s="40">
        <v>1.6462548286781273</v>
      </c>
      <c r="CZ66" s="39">
        <v>5.7190931598652073</v>
      </c>
      <c r="DA66" s="40">
        <v>2.2118535549459364</v>
      </c>
      <c r="DB66" s="39">
        <v>1.3869329224177365</v>
      </c>
      <c r="DC66" s="38">
        <v>24.163280633727517</v>
      </c>
      <c r="DE66" s="37" t="s">
        <v>1388</v>
      </c>
      <c r="DF66" s="35" t="str">
        <f t="shared" si="16"/>
        <v>IPAOH</v>
      </c>
      <c r="DG66" s="26">
        <f t="shared" si="141"/>
        <v>22.077983953364551</v>
      </c>
      <c r="DH66" s="25">
        <f t="shared" si="141"/>
        <v>23.0559234954248</v>
      </c>
      <c r="DI66" s="24">
        <f t="shared" si="141"/>
        <v>38.613625411261651</v>
      </c>
      <c r="DJ66" s="25">
        <f t="shared" si="141"/>
        <v>1.9461845440020347</v>
      </c>
      <c r="DK66" s="24">
        <f t="shared" si="141"/>
        <v>49.357014936953838</v>
      </c>
      <c r="DL66" s="25">
        <f t="shared" si="141"/>
        <v>43.138120150766028</v>
      </c>
      <c r="DM66" s="24">
        <f t="shared" si="141"/>
        <v>30.91940409329062</v>
      </c>
      <c r="DN66" s="25">
        <f t="shared" si="141"/>
        <v>2.0344316609430511</v>
      </c>
      <c r="DO66" s="32">
        <f t="shared" si="141"/>
        <v>15.668057324285744</v>
      </c>
      <c r="DP66" s="26">
        <f t="shared" si="18"/>
        <v>0.59046607313545341</v>
      </c>
      <c r="DQ66" s="25">
        <f t="shared" si="19"/>
        <v>0.71981719416560341</v>
      </c>
      <c r="DR66" s="24">
        <f t="shared" si="20"/>
        <v>0.65227750353689307</v>
      </c>
      <c r="DS66" s="25">
        <f t="shared" si="21"/>
        <v>0.16907347261396577</v>
      </c>
      <c r="DT66" s="24">
        <f t="shared" si="22"/>
        <v>0.468118012821086</v>
      </c>
      <c r="DU66" s="25">
        <f t="shared" si="23"/>
        <v>0.73868180149827511</v>
      </c>
      <c r="DV66" s="24">
        <f t="shared" si="24"/>
        <v>0.7242216327734875</v>
      </c>
      <c r="DW66" s="25">
        <f t="shared" si="25"/>
        <v>0.40923461855270682</v>
      </c>
      <c r="DX66" s="32">
        <f t="shared" si="26"/>
        <v>0.54583467144692721</v>
      </c>
      <c r="DZ66" s="54" t="s">
        <v>1638</v>
      </c>
      <c r="EA66" s="39">
        <v>0.96330334463210321</v>
      </c>
      <c r="EB66" s="40">
        <v>0.9633033446321031</v>
      </c>
      <c r="EC66" s="39">
        <v>0.94749878268228782</v>
      </c>
      <c r="ED66" s="40">
        <v>0.94749878268228793</v>
      </c>
      <c r="EE66" s="39">
        <v>0.53773205542201197</v>
      </c>
      <c r="EF66" s="40">
        <v>0.53773205542201197</v>
      </c>
      <c r="EG66" s="39">
        <v>0.53773205542201197</v>
      </c>
      <c r="EH66" s="40">
        <v>0</v>
      </c>
      <c r="EI66" s="66">
        <v>0</v>
      </c>
      <c r="EO66" s="83" t="s">
        <v>1793</v>
      </c>
      <c r="EP66" s="82" t="s">
        <v>517</v>
      </c>
      <c r="EQ66" s="81">
        <f t="shared" si="101"/>
        <v>207.42523353183208</v>
      </c>
      <c r="ER66" s="80">
        <f>EQ66/SUM(EQ62:EQ70)</f>
        <v>9.2028708537139625E-2</v>
      </c>
      <c r="ET66" s="75" t="s">
        <v>521</v>
      </c>
      <c r="EU66" s="72">
        <v>2.0048149607509156E-3</v>
      </c>
      <c r="EW66" s="37" t="s">
        <v>1793</v>
      </c>
      <c r="EX66" s="36" t="s">
        <v>2149</v>
      </c>
      <c r="EY66" s="36" t="s">
        <v>1150</v>
      </c>
      <c r="EZ66" s="1" t="s">
        <v>1902</v>
      </c>
      <c r="FA66" s="36" t="str">
        <f t="shared" si="102"/>
        <v>IOTETC</v>
      </c>
      <c r="FB66" s="1" t="s">
        <v>520</v>
      </c>
      <c r="FC66" s="26">
        <f t="shared" si="103"/>
        <v>528.43571851314016</v>
      </c>
      <c r="FD66" s="25">
        <f t="shared" si="104"/>
        <v>4.243574216597116</v>
      </c>
      <c r="FE66" s="24">
        <f t="shared" si="105"/>
        <v>8.0304454599270138E-3</v>
      </c>
      <c r="FF66" s="36">
        <v>0</v>
      </c>
      <c r="FG66" s="86">
        <f t="shared" si="106"/>
        <v>0</v>
      </c>
    </row>
    <row r="67" spans="1:165">
      <c r="A67" s="37" t="s">
        <v>2075</v>
      </c>
      <c r="B67" s="36" t="s">
        <v>1123</v>
      </c>
      <c r="C67" s="1" t="s">
        <v>456</v>
      </c>
      <c r="D67" s="36" t="s">
        <v>456</v>
      </c>
      <c r="E67" s="36" t="s">
        <v>2153</v>
      </c>
      <c r="F67" s="1" t="e">
        <f t="shared" ca="1" si="97"/>
        <v>#NAME?</v>
      </c>
      <c r="G67" s="35" t="s">
        <v>1121</v>
      </c>
      <c r="H67" s="43">
        <v>1</v>
      </c>
      <c r="I67" s="42">
        <v>0</v>
      </c>
      <c r="J67" s="26">
        <v>0</v>
      </c>
      <c r="K67" s="25">
        <v>7.6618266631311285E-2</v>
      </c>
      <c r="L67" s="24"/>
      <c r="M67" s="25"/>
      <c r="N67" s="24"/>
      <c r="O67" s="25"/>
      <c r="P67" s="24"/>
      <c r="Q67" s="25"/>
      <c r="R67" s="32"/>
      <c r="S67" s="47">
        <v>1</v>
      </c>
      <c r="T67" s="45">
        <v>1</v>
      </c>
      <c r="U67" s="46">
        <v>1</v>
      </c>
      <c r="V67" s="45">
        <v>1</v>
      </c>
      <c r="W67" s="46">
        <v>1</v>
      </c>
      <c r="X67" s="45">
        <v>1</v>
      </c>
      <c r="Y67" s="46">
        <v>1</v>
      </c>
      <c r="Z67" s="45">
        <v>1</v>
      </c>
      <c r="AA67" s="44">
        <v>1</v>
      </c>
      <c r="AB67" s="26">
        <f t="shared" si="126"/>
        <v>0</v>
      </c>
      <c r="AC67" s="25">
        <f t="shared" si="127"/>
        <v>7.6618266631311285E-2</v>
      </c>
      <c r="AD67" s="24">
        <f t="shared" si="128"/>
        <v>0</v>
      </c>
      <c r="AE67" s="25">
        <f t="shared" si="129"/>
        <v>0</v>
      </c>
      <c r="AF67" s="24">
        <f t="shared" si="130"/>
        <v>0</v>
      </c>
      <c r="AG67" s="25">
        <f t="shared" si="131"/>
        <v>0</v>
      </c>
      <c r="AH67" s="24">
        <f t="shared" si="132"/>
        <v>0</v>
      </c>
      <c r="AI67" s="25">
        <f t="shared" si="133"/>
        <v>0</v>
      </c>
      <c r="AJ67" s="24">
        <f t="shared" si="134"/>
        <v>0</v>
      </c>
      <c r="AK67" s="27">
        <f t="shared" si="12"/>
        <v>7.6618266631311285E-2</v>
      </c>
      <c r="AL67" s="41">
        <v>0</v>
      </c>
      <c r="AM67" s="40">
        <v>0</v>
      </c>
      <c r="AN67" s="39">
        <v>0</v>
      </c>
      <c r="AO67" s="40">
        <v>0</v>
      </c>
      <c r="AP67" s="39">
        <v>0</v>
      </c>
      <c r="AQ67" s="40">
        <v>0</v>
      </c>
      <c r="AR67" s="39">
        <v>0</v>
      </c>
      <c r="AS67" s="40">
        <v>0</v>
      </c>
      <c r="AT67" s="39">
        <v>0</v>
      </c>
      <c r="AU67" s="38">
        <v>0</v>
      </c>
      <c r="AW67" s="105" t="s">
        <v>1150</v>
      </c>
      <c r="AX67" s="41">
        <v>0.47084365592809052</v>
      </c>
      <c r="AY67" s="40">
        <v>1.2960741736104375</v>
      </c>
      <c r="AZ67" s="39">
        <v>3.5364642470204193</v>
      </c>
      <c r="BA67" s="40">
        <v>2.3953313235732141</v>
      </c>
      <c r="BB67" s="39">
        <v>0.90153565278769443</v>
      </c>
      <c r="BC67" s="40">
        <v>0.78581963937940791</v>
      </c>
      <c r="BD67" s="39">
        <v>2.7299392816792203</v>
      </c>
      <c r="BE67" s="40">
        <v>1.163536109566117</v>
      </c>
      <c r="BF67" s="39">
        <v>0.72959013636802139</v>
      </c>
      <c r="BG67" s="81">
        <v>14.009134219912621</v>
      </c>
      <c r="BH67" s="66">
        <v>0</v>
      </c>
      <c r="BJ67" s="37" t="s">
        <v>1696</v>
      </c>
      <c r="BK67" s="36" t="s">
        <v>2129</v>
      </c>
      <c r="BL67" s="1" t="s">
        <v>1136</v>
      </c>
      <c r="BM67" s="36" t="s">
        <v>1941</v>
      </c>
      <c r="BN67" s="82" t="str">
        <f t="shared" si="147"/>
        <v>ICTMDR</v>
      </c>
      <c r="BO67" s="26">
        <f t="shared" si="148"/>
        <v>4.495941903747557</v>
      </c>
      <c r="BP67" s="25">
        <f t="shared" si="148"/>
        <v>12.375815441357648</v>
      </c>
      <c r="BQ67" s="24">
        <f t="shared" si="148"/>
        <v>14.354374202963211</v>
      </c>
      <c r="BR67" s="25">
        <f t="shared" si="148"/>
        <v>9.7225589619966364</v>
      </c>
      <c r="BS67" s="24">
        <f t="shared" si="148"/>
        <v>3.3115649646151288</v>
      </c>
      <c r="BT67" s="25">
        <f t="shared" si="148"/>
        <v>2.8865112302864913</v>
      </c>
      <c r="BU67" s="24">
        <f t="shared" si="148"/>
        <v>10.02774682596435</v>
      </c>
      <c r="BV67" s="25">
        <f t="shared" si="148"/>
        <v>2.9071448172363628</v>
      </c>
      <c r="BW67" s="32">
        <f t="shared" si="148"/>
        <v>1.8229122123592667</v>
      </c>
      <c r="BX67" s="26">
        <f t="shared" ref="BX67:CF67" si="152">BO67/BO71</f>
        <v>0.29306779326419735</v>
      </c>
      <c r="BY67" s="25">
        <f t="shared" si="152"/>
        <v>0.20818164915321943</v>
      </c>
      <c r="BZ67" s="24">
        <f t="shared" si="152"/>
        <v>0.21680881613372888</v>
      </c>
      <c r="CA67" s="25">
        <f t="shared" si="152"/>
        <v>0.26899730166695268</v>
      </c>
      <c r="CB67" s="24">
        <f t="shared" si="152"/>
        <v>9.3774120922468229E-2</v>
      </c>
      <c r="CC67" s="25">
        <f t="shared" si="152"/>
        <v>0.16513515531200695</v>
      </c>
      <c r="CD67" s="24">
        <f t="shared" si="152"/>
        <v>0.17306369287330303</v>
      </c>
      <c r="CE67" s="25">
        <f t="shared" si="152"/>
        <v>0.32092019455891313</v>
      </c>
      <c r="CF67" s="32">
        <f t="shared" si="152"/>
        <v>0.23640992197825303</v>
      </c>
      <c r="CH67" s="54" t="s">
        <v>2152</v>
      </c>
      <c r="CI67" s="41">
        <v>0.11881319856274421</v>
      </c>
      <c r="CJ67" s="40">
        <v>0.10382479826997647</v>
      </c>
      <c r="CK67" s="39">
        <v>0.13809193750051582</v>
      </c>
      <c r="CL67" s="40">
        <v>0.14298122594872256</v>
      </c>
      <c r="CM67" s="39">
        <v>0.12508309726317399</v>
      </c>
      <c r="CN67" s="40">
        <v>0.12607421546593106</v>
      </c>
      <c r="CO67" s="39">
        <v>0.1236040391817364</v>
      </c>
      <c r="CP67" s="40">
        <v>9.6259469713701667E-2</v>
      </c>
      <c r="CQ67" s="66">
        <v>0.12841567258569161</v>
      </c>
      <c r="CS67" s="54" t="s">
        <v>1785</v>
      </c>
      <c r="CT67" s="39">
        <v>1.3868583455578707</v>
      </c>
      <c r="CU67" s="40">
        <v>3.8175544291674051</v>
      </c>
      <c r="CV67" s="39">
        <v>5.5474436879025086</v>
      </c>
      <c r="CW67" s="40">
        <v>3.7574155153941993</v>
      </c>
      <c r="CX67" s="39">
        <v>2.3496717693370841</v>
      </c>
      <c r="CY67" s="40">
        <v>2.0480812009275708</v>
      </c>
      <c r="CZ67" s="39">
        <v>7.1150389253397455</v>
      </c>
      <c r="DA67" s="40">
        <v>2.6171092224432893</v>
      </c>
      <c r="DB67" s="39">
        <v>1.6410466841501188</v>
      </c>
      <c r="DC67" s="38">
        <v>30.280219780219795</v>
      </c>
      <c r="DE67" s="37" t="s">
        <v>1335</v>
      </c>
      <c r="DF67" s="35" t="str">
        <f t="shared" si="16"/>
        <v>IPBOH</v>
      </c>
      <c r="DG67" s="26">
        <f t="shared" si="141"/>
        <v>4.7796169924384124E-2</v>
      </c>
      <c r="DH67" s="25">
        <f t="shared" si="141"/>
        <v>4.2173091109750697E-2</v>
      </c>
      <c r="DI67" s="24">
        <f t="shared" si="141"/>
        <v>0.13591784791942513</v>
      </c>
      <c r="DJ67" s="25">
        <f t="shared" si="141"/>
        <v>2.6026821942017574E-2</v>
      </c>
      <c r="DK67" s="24">
        <f t="shared" si="141"/>
        <v>0.29689856141264487</v>
      </c>
      <c r="DL67" s="25">
        <f t="shared" si="141"/>
        <v>0.17239271307830994</v>
      </c>
      <c r="DM67" s="24">
        <f t="shared" si="141"/>
        <v>0.12450584833433496</v>
      </c>
      <c r="DN67" s="25">
        <f t="shared" si="141"/>
        <v>2.4677283026505549E-2</v>
      </c>
      <c r="DO67" s="32">
        <f t="shared" si="141"/>
        <v>0.19124894345541804</v>
      </c>
      <c r="DP67" s="26">
        <f t="shared" si="18"/>
        <v>1.658559161855816E-2</v>
      </c>
      <c r="DQ67" s="25">
        <f t="shared" si="19"/>
        <v>1.3706468043442445E-2</v>
      </c>
      <c r="DR67" s="24">
        <f t="shared" si="20"/>
        <v>2.3438193099943737E-2</v>
      </c>
      <c r="DS67" s="25">
        <f t="shared" si="21"/>
        <v>2.4725948861811668E-2</v>
      </c>
      <c r="DT67" s="24">
        <f t="shared" si="22"/>
        <v>1.4993509873622102E-3</v>
      </c>
      <c r="DU67" s="25">
        <f t="shared" si="23"/>
        <v>1.4941520110203388E-3</v>
      </c>
      <c r="DV67" s="24">
        <f t="shared" si="24"/>
        <v>1.5245291256483328E-3</v>
      </c>
      <c r="DW67" s="25">
        <f t="shared" si="25"/>
        <v>4.599706439746244E-3</v>
      </c>
      <c r="DX67" s="32">
        <f t="shared" si="26"/>
        <v>4.4265090703911915E-3</v>
      </c>
      <c r="DZ67" s="54" t="s">
        <v>1636</v>
      </c>
      <c r="EA67" s="39">
        <v>0</v>
      </c>
      <c r="EB67" s="40">
        <v>0</v>
      </c>
      <c r="EC67" s="39">
        <v>0</v>
      </c>
      <c r="ED67" s="40">
        <v>0</v>
      </c>
      <c r="EE67" s="39">
        <v>0.14264681959275766</v>
      </c>
      <c r="EF67" s="40">
        <v>0.14264681959275766</v>
      </c>
      <c r="EG67" s="39">
        <v>0.14264681959275766</v>
      </c>
      <c r="EH67" s="40">
        <v>0</v>
      </c>
      <c r="EI67" s="66">
        <v>0</v>
      </c>
      <c r="EO67" s="83" t="s">
        <v>1793</v>
      </c>
      <c r="EP67" s="82" t="s">
        <v>519</v>
      </c>
      <c r="EQ67" s="81">
        <f t="shared" si="101"/>
        <v>159.89555005524713</v>
      </c>
      <c r="ER67" s="80">
        <f>EQ67/SUM(EQ62:EQ70)</f>
        <v>7.0941132483583552E-2</v>
      </c>
      <c r="ET67" s="75" t="s">
        <v>522</v>
      </c>
      <c r="EU67" s="72">
        <v>1.2513627381853139E-3</v>
      </c>
      <c r="EW67" s="37" t="s">
        <v>1793</v>
      </c>
      <c r="EX67" s="36" t="s">
        <v>2149</v>
      </c>
      <c r="EY67" s="36" t="s">
        <v>1150</v>
      </c>
      <c r="EZ67" s="1" t="s">
        <v>1902</v>
      </c>
      <c r="FA67" s="36" t="str">
        <f t="shared" si="102"/>
        <v>IOTETC</v>
      </c>
      <c r="FB67" s="1" t="s">
        <v>521</v>
      </c>
      <c r="FC67" s="26">
        <f t="shared" si="103"/>
        <v>176.90818507978867</v>
      </c>
      <c r="FD67" s="25">
        <f t="shared" si="104"/>
        <v>1.5810636099500879</v>
      </c>
      <c r="FE67" s="24">
        <f t="shared" si="105"/>
        <v>8.9371987465531946E-3</v>
      </c>
      <c r="FF67" s="36">
        <v>0</v>
      </c>
      <c r="FG67" s="86">
        <f t="shared" si="106"/>
        <v>0</v>
      </c>
    </row>
    <row r="68" spans="1:165">
      <c r="A68" s="37" t="s">
        <v>2075</v>
      </c>
      <c r="B68" s="36" t="s">
        <v>1123</v>
      </c>
      <c r="C68" s="1" t="s">
        <v>665</v>
      </c>
      <c r="D68" s="36" t="s">
        <v>665</v>
      </c>
      <c r="E68" s="36" t="s">
        <v>2151</v>
      </c>
      <c r="F68" s="1" t="e">
        <f t="shared" ca="1" si="97"/>
        <v>#NAME?</v>
      </c>
      <c r="G68" s="35" t="s">
        <v>1121</v>
      </c>
      <c r="H68" s="43">
        <v>1</v>
      </c>
      <c r="I68" s="42">
        <v>0</v>
      </c>
      <c r="J68" s="26">
        <v>39.603911200369922</v>
      </c>
      <c r="K68" s="25">
        <v>11.722731488109771</v>
      </c>
      <c r="L68" s="24"/>
      <c r="M68" s="25"/>
      <c r="N68" s="24"/>
      <c r="O68" s="25"/>
      <c r="P68" s="24"/>
      <c r="Q68" s="25"/>
      <c r="R68" s="32"/>
      <c r="S68" s="47">
        <v>1</v>
      </c>
      <c r="T68" s="45">
        <v>1</v>
      </c>
      <c r="U68" s="46">
        <v>1</v>
      </c>
      <c r="V68" s="45">
        <v>1</v>
      </c>
      <c r="W68" s="46">
        <v>1</v>
      </c>
      <c r="X68" s="45">
        <v>1</v>
      </c>
      <c r="Y68" s="46">
        <v>1</v>
      </c>
      <c r="Z68" s="45">
        <v>1</v>
      </c>
      <c r="AA68" s="44">
        <v>1</v>
      </c>
      <c r="AB68" s="26">
        <f t="shared" si="126"/>
        <v>39.603911200369922</v>
      </c>
      <c r="AC68" s="25">
        <f t="shared" si="127"/>
        <v>11.722731488109771</v>
      </c>
      <c r="AD68" s="24">
        <f t="shared" si="128"/>
        <v>0</v>
      </c>
      <c r="AE68" s="25">
        <f t="shared" si="129"/>
        <v>0</v>
      </c>
      <c r="AF68" s="24">
        <f t="shared" si="130"/>
        <v>0</v>
      </c>
      <c r="AG68" s="25">
        <f t="shared" si="131"/>
        <v>0</v>
      </c>
      <c r="AH68" s="24">
        <f t="shared" si="132"/>
        <v>0</v>
      </c>
      <c r="AI68" s="25">
        <f t="shared" si="133"/>
        <v>0</v>
      </c>
      <c r="AJ68" s="24">
        <f t="shared" si="134"/>
        <v>0</v>
      </c>
      <c r="AK68" s="27">
        <f t="shared" si="12"/>
        <v>51.326642688479694</v>
      </c>
      <c r="AL68" s="41">
        <v>0</v>
      </c>
      <c r="AM68" s="40">
        <v>0</v>
      </c>
      <c r="AN68" s="39">
        <v>0</v>
      </c>
      <c r="AO68" s="40">
        <v>0</v>
      </c>
      <c r="AP68" s="39">
        <v>0</v>
      </c>
      <c r="AQ68" s="40">
        <v>0</v>
      </c>
      <c r="AR68" s="39">
        <v>0</v>
      </c>
      <c r="AS68" s="40">
        <v>0</v>
      </c>
      <c r="AT68" s="39">
        <v>0</v>
      </c>
      <c r="AU68" s="38">
        <v>0</v>
      </c>
      <c r="AW68" s="104" t="s">
        <v>1145</v>
      </c>
      <c r="AX68" s="41">
        <v>1.6558757874501409</v>
      </c>
      <c r="AY68" s="40">
        <v>4.5580689381715729</v>
      </c>
      <c r="AZ68" s="39">
        <v>9.6102281590576499</v>
      </c>
      <c r="BA68" s="40">
        <v>6.5092360414702135</v>
      </c>
      <c r="BB68" s="39">
        <v>2.2763713924392697</v>
      </c>
      <c r="BC68" s="40">
        <v>1.9841892455045056</v>
      </c>
      <c r="BD68" s="39">
        <v>6.8930781214198138</v>
      </c>
      <c r="BE68" s="40">
        <v>3.8983801476603266</v>
      </c>
      <c r="BF68" s="39">
        <v>2.4444619124081122</v>
      </c>
      <c r="BG68" s="81">
        <v>39.82988974558161</v>
      </c>
      <c r="BH68" s="66">
        <v>0</v>
      </c>
      <c r="BJ68" s="37" t="s">
        <v>1696</v>
      </c>
      <c r="BK68" s="36" t="s">
        <v>2129</v>
      </c>
      <c r="BL68" s="1" t="s">
        <v>1129</v>
      </c>
      <c r="BM68" s="36" t="s">
        <v>1910</v>
      </c>
      <c r="BN68" s="82" t="str">
        <f t="shared" si="147"/>
        <v>ICTOHT</v>
      </c>
      <c r="BO68" s="26">
        <f t="shared" si="148"/>
        <v>0.38387387383840504</v>
      </c>
      <c r="BP68" s="25">
        <f t="shared" si="148"/>
        <v>1.6114324098531894</v>
      </c>
      <c r="BQ68" s="24">
        <f t="shared" si="148"/>
        <v>4.4314373323929832</v>
      </c>
      <c r="BR68" s="25">
        <f t="shared" si="148"/>
        <v>2.9593263927517102</v>
      </c>
      <c r="BS68" s="24">
        <f t="shared" si="148"/>
        <v>1.4761713920464974</v>
      </c>
      <c r="BT68" s="25">
        <f t="shared" si="148"/>
        <v>1.2866983877711937</v>
      </c>
      <c r="BU68" s="24">
        <f t="shared" si="148"/>
        <v>4.4699932356284027</v>
      </c>
      <c r="BV68" s="25">
        <f t="shared" si="148"/>
        <v>0.23438635331373842</v>
      </c>
      <c r="BW68" s="32">
        <f t="shared" si="148"/>
        <v>0.14697091914125623</v>
      </c>
      <c r="BX68" s="26">
        <f t="shared" ref="BX68:CF68" si="153">BO68/BO71</f>
        <v>2.5022803120259601E-2</v>
      </c>
      <c r="BY68" s="25">
        <f t="shared" si="153"/>
        <v>2.7106953733416522E-2</v>
      </c>
      <c r="BZ68" s="24">
        <f t="shared" si="153"/>
        <v>6.6932536955083499E-2</v>
      </c>
      <c r="CA68" s="25">
        <f t="shared" si="153"/>
        <v>8.1876676450469033E-2</v>
      </c>
      <c r="CB68" s="24">
        <f t="shared" si="153"/>
        <v>4.1800984156789595E-2</v>
      </c>
      <c r="CC68" s="25">
        <f t="shared" si="153"/>
        <v>7.3611055406569856E-2</v>
      </c>
      <c r="CD68" s="24">
        <f t="shared" si="153"/>
        <v>7.7145299926550642E-2</v>
      </c>
      <c r="CE68" s="25">
        <f t="shared" si="153"/>
        <v>2.5873948095542516E-2</v>
      </c>
      <c r="CF68" s="32">
        <f t="shared" si="153"/>
        <v>1.9060371251936496E-2</v>
      </c>
      <c r="CH68" s="54" t="s">
        <v>2150</v>
      </c>
      <c r="CI68" s="41">
        <v>6.0416363378217132E-2</v>
      </c>
      <c r="CJ68" s="40">
        <v>5.2794780511160322E-2</v>
      </c>
      <c r="CK68" s="39">
        <v>9.1268017504550561E-2</v>
      </c>
      <c r="CL68" s="40">
        <v>9.4499456441194229E-2</v>
      </c>
      <c r="CM68" s="39">
        <v>0.26502730890605236</v>
      </c>
      <c r="CN68" s="40">
        <v>0.26712729999862861</v>
      </c>
      <c r="CO68" s="39">
        <v>0.26189346595192076</v>
      </c>
      <c r="CP68" s="40">
        <v>9.8958335042873807E-3</v>
      </c>
      <c r="CQ68" s="66">
        <v>1.3201611426166016E-2</v>
      </c>
      <c r="CS68" s="54" t="s">
        <v>1782</v>
      </c>
      <c r="CT68" s="39">
        <v>1.659602183921792</v>
      </c>
      <c r="CU68" s="40">
        <v>4.568326453945085</v>
      </c>
      <c r="CV68" s="39">
        <v>6.6384210681032325</v>
      </c>
      <c r="CW68" s="40">
        <v>4.4963604359617921</v>
      </c>
      <c r="CX68" s="39">
        <v>2.8117654642822254</v>
      </c>
      <c r="CY68" s="40">
        <v>2.4508631647894057</v>
      </c>
      <c r="CZ68" s="39">
        <v>8.5143044183308554</v>
      </c>
      <c r="DA68" s="40">
        <v>3.1317979915112431</v>
      </c>
      <c r="DB68" s="39">
        <v>1.9637799849252928</v>
      </c>
      <c r="DC68" s="38">
        <v>36.235221165770923</v>
      </c>
      <c r="DE68" s="37" t="s">
        <v>1333</v>
      </c>
      <c r="DF68" s="35" t="str">
        <f t="shared" si="16"/>
        <v>IPBOH</v>
      </c>
      <c r="DG68" s="26">
        <f t="shared" ref="DG68:DO77" si="154">GETPIVOTDATA("Sum of "&amp;DG$1&amp;" (Out)",$CS$6,"Constraint Identifier",$DE68)</f>
        <v>8.3177655168205022E-2</v>
      </c>
      <c r="DH68" s="25">
        <f t="shared" si="154"/>
        <v>7.3392048677827976E-2</v>
      </c>
      <c r="DI68" s="24">
        <f t="shared" si="154"/>
        <v>0.21901119287986756</v>
      </c>
      <c r="DJ68" s="25">
        <f t="shared" si="154"/>
        <v>4.1938313530187399E-2</v>
      </c>
      <c r="DK68" s="24">
        <f t="shared" si="154"/>
        <v>0.56756517644186955</v>
      </c>
      <c r="DL68" s="25">
        <f t="shared" si="154"/>
        <v>0.32955397341785975</v>
      </c>
      <c r="DM68" s="24">
        <f t="shared" si="154"/>
        <v>0.23801120302400983</v>
      </c>
      <c r="DN68" s="25">
        <f t="shared" si="154"/>
        <v>3.5787360879093254E-2</v>
      </c>
      <c r="DO68" s="32">
        <f t="shared" si="154"/>
        <v>0.27735204681297271</v>
      </c>
      <c r="DP68" s="26">
        <f t="shared" si="18"/>
        <v>2.8863204365362719E-2</v>
      </c>
      <c r="DQ68" s="25">
        <f t="shared" si="19"/>
        <v>2.385278724833239E-2</v>
      </c>
      <c r="DR68" s="24">
        <f t="shared" si="20"/>
        <v>3.7767127042876956E-2</v>
      </c>
      <c r="DS68" s="25">
        <f t="shared" si="21"/>
        <v>3.9842151992593743E-2</v>
      </c>
      <c r="DT68" s="24">
        <f t="shared" si="22"/>
        <v>2.8662294746109912E-3</v>
      </c>
      <c r="DU68" s="25">
        <f t="shared" si="23"/>
        <v>2.8562908682709951E-3</v>
      </c>
      <c r="DV68" s="24">
        <f t="shared" si="24"/>
        <v>2.9143611813826505E-3</v>
      </c>
      <c r="DW68" s="25">
        <f t="shared" si="25"/>
        <v>6.6705623192099845E-3</v>
      </c>
      <c r="DX68" s="32">
        <f t="shared" si="26"/>
        <v>6.4193889321818654E-3</v>
      </c>
      <c r="DZ68" s="54" t="s">
        <v>1474</v>
      </c>
      <c r="EA68" s="39">
        <v>0.28000464694404414</v>
      </c>
      <c r="EB68" s="40">
        <v>0.28000464694404414</v>
      </c>
      <c r="EC68" s="39">
        <v>0.31390630957206933</v>
      </c>
      <c r="ED68" s="40">
        <v>0.31390630957206928</v>
      </c>
      <c r="EE68" s="39">
        <v>0.11863410432607509</v>
      </c>
      <c r="EF68" s="40">
        <v>0.11863410432607512</v>
      </c>
      <c r="EG68" s="39">
        <v>0.11863410432607512</v>
      </c>
      <c r="EH68" s="40">
        <v>0.39326392690148743</v>
      </c>
      <c r="EI68" s="66">
        <v>0.39326392690148743</v>
      </c>
      <c r="EO68" s="83" t="s">
        <v>1793</v>
      </c>
      <c r="EP68" s="82" t="s">
        <v>520</v>
      </c>
      <c r="EQ68" s="81">
        <f t="shared" si="101"/>
        <v>528.43571851314016</v>
      </c>
      <c r="ER68" s="80">
        <f>EQ68/SUM(EQ62:EQ70)</f>
        <v>0.23445198007790427</v>
      </c>
      <c r="ET68" s="74" t="s">
        <v>1793</v>
      </c>
      <c r="EU68" s="70">
        <v>0.99999999999999989</v>
      </c>
      <c r="EW68" s="22" t="s">
        <v>1793</v>
      </c>
      <c r="EX68" s="20" t="s">
        <v>2149</v>
      </c>
      <c r="EY68" s="20" t="s">
        <v>1129</v>
      </c>
      <c r="EZ68" s="85" t="s">
        <v>1910</v>
      </c>
      <c r="FA68" s="20" t="str">
        <f t="shared" si="102"/>
        <v>IOTOHT</v>
      </c>
      <c r="FB68" s="78" t="s">
        <v>522</v>
      </c>
      <c r="FC68" s="11">
        <f t="shared" si="103"/>
        <v>125.43957647223664</v>
      </c>
      <c r="FD68" s="10">
        <f t="shared" si="104"/>
        <v>9.0240002417549228</v>
      </c>
      <c r="FE68" s="9">
        <f t="shared" si="105"/>
        <v>7.1939020327864325E-2</v>
      </c>
      <c r="FF68" s="20">
        <v>0</v>
      </c>
      <c r="FG68" s="84">
        <f t="shared" si="106"/>
        <v>0</v>
      </c>
    </row>
    <row r="69" spans="1:165">
      <c r="A69" s="37" t="s">
        <v>2075</v>
      </c>
      <c r="B69" s="36" t="s">
        <v>1123</v>
      </c>
      <c r="C69" s="1" t="s">
        <v>1111</v>
      </c>
      <c r="D69" s="36" t="s">
        <v>1111</v>
      </c>
      <c r="E69" s="36" t="s">
        <v>2148</v>
      </c>
      <c r="F69" s="1" t="e">
        <f t="shared" ca="1" si="97"/>
        <v>#NAME?</v>
      </c>
      <c r="G69" s="35" t="s">
        <v>1121</v>
      </c>
      <c r="H69" s="43">
        <v>1</v>
      </c>
      <c r="I69" s="42">
        <v>0</v>
      </c>
      <c r="J69" s="26">
        <v>4.0904691052475364E-2</v>
      </c>
      <c r="K69" s="25">
        <v>4.1347593567208386E-2</v>
      </c>
      <c r="L69" s="24"/>
      <c r="M69" s="25"/>
      <c r="N69" s="24"/>
      <c r="O69" s="25"/>
      <c r="P69" s="24"/>
      <c r="Q69" s="25"/>
      <c r="R69" s="32"/>
      <c r="S69" s="47">
        <v>1</v>
      </c>
      <c r="T69" s="45">
        <v>1</v>
      </c>
      <c r="U69" s="46">
        <v>1</v>
      </c>
      <c r="V69" s="45">
        <v>1</v>
      </c>
      <c r="W69" s="46">
        <v>1</v>
      </c>
      <c r="X69" s="45">
        <v>1</v>
      </c>
      <c r="Y69" s="46">
        <v>1</v>
      </c>
      <c r="Z69" s="45">
        <v>1</v>
      </c>
      <c r="AA69" s="44">
        <v>1</v>
      </c>
      <c r="AB69" s="26">
        <f t="shared" si="126"/>
        <v>4.0904691052475364E-2</v>
      </c>
      <c r="AC69" s="25">
        <f t="shared" si="127"/>
        <v>4.1347593567208386E-2</v>
      </c>
      <c r="AD69" s="24">
        <f t="shared" si="128"/>
        <v>0</v>
      </c>
      <c r="AE69" s="25">
        <f t="shared" si="129"/>
        <v>0</v>
      </c>
      <c r="AF69" s="24">
        <f t="shared" si="130"/>
        <v>0</v>
      </c>
      <c r="AG69" s="25">
        <f t="shared" si="131"/>
        <v>0</v>
      </c>
      <c r="AH69" s="24">
        <f t="shared" si="132"/>
        <v>0</v>
      </c>
      <c r="AI69" s="25">
        <f t="shared" si="133"/>
        <v>0</v>
      </c>
      <c r="AJ69" s="24">
        <f t="shared" si="134"/>
        <v>0</v>
      </c>
      <c r="AK69" s="27">
        <f t="shared" si="12"/>
        <v>8.2252284619683758E-2</v>
      </c>
      <c r="AL69" s="41">
        <v>0</v>
      </c>
      <c r="AM69" s="40">
        <v>0</v>
      </c>
      <c r="AN69" s="39">
        <v>0</v>
      </c>
      <c r="AO69" s="40">
        <v>0</v>
      </c>
      <c r="AP69" s="39">
        <v>0</v>
      </c>
      <c r="AQ69" s="40">
        <v>0</v>
      </c>
      <c r="AR69" s="39">
        <v>0</v>
      </c>
      <c r="AS69" s="40">
        <v>0</v>
      </c>
      <c r="AT69" s="39">
        <v>0</v>
      </c>
      <c r="AU69" s="38">
        <v>0</v>
      </c>
      <c r="AW69" s="104" t="s">
        <v>1139</v>
      </c>
      <c r="AX69" s="41">
        <v>0.68473716588122846</v>
      </c>
      <c r="AY69" s="40">
        <v>5.8013415988528187</v>
      </c>
      <c r="AZ69" s="39">
        <v>1.1409825167394974</v>
      </c>
      <c r="BA69" s="40">
        <v>0.77281458855357588</v>
      </c>
      <c r="BB69" s="39">
        <v>0</v>
      </c>
      <c r="BC69" s="40">
        <v>0</v>
      </c>
      <c r="BD69" s="39">
        <v>0</v>
      </c>
      <c r="BE69" s="40">
        <v>0</v>
      </c>
      <c r="BF69" s="39">
        <v>0</v>
      </c>
      <c r="BG69" s="81">
        <v>8.3998758700271221</v>
      </c>
      <c r="BH69" s="66">
        <v>0</v>
      </c>
      <c r="BJ69" s="37" t="s">
        <v>1696</v>
      </c>
      <c r="BK69" s="36" t="s">
        <v>2129</v>
      </c>
      <c r="BL69" s="1" t="s">
        <v>1123</v>
      </c>
      <c r="BM69" s="36" t="s">
        <v>1935</v>
      </c>
      <c r="BN69" s="82" t="str">
        <f t="shared" si="147"/>
        <v>ICTPRH</v>
      </c>
      <c r="BO69" s="26">
        <f t="shared" si="148"/>
        <v>6.0593749947680253</v>
      </c>
      <c r="BP69" s="25">
        <f t="shared" si="148"/>
        <v>16.679420737781218</v>
      </c>
      <c r="BQ69" s="24">
        <f t="shared" si="148"/>
        <v>15.772879639636129</v>
      </c>
      <c r="BR69" s="25">
        <f t="shared" si="148"/>
        <v>10.683346423084158</v>
      </c>
      <c r="BS69" s="24">
        <f t="shared" si="148"/>
        <v>1.2396825764539898</v>
      </c>
      <c r="BT69" s="25">
        <f t="shared" si="148"/>
        <v>1.0805639379449137</v>
      </c>
      <c r="BU69" s="24">
        <f t="shared" si="148"/>
        <v>3.7538816704701312</v>
      </c>
      <c r="BV69" s="25">
        <f t="shared" si="148"/>
        <v>2.777324147625079</v>
      </c>
      <c r="BW69" s="32">
        <f t="shared" si="148"/>
        <v>1.7415087395608126</v>
      </c>
      <c r="BX69" s="26">
        <f t="shared" ref="BX69:CF69" si="155">BO69/BO71</f>
        <v>0.39498011680193468</v>
      </c>
      <c r="BY69" s="25">
        <f t="shared" si="155"/>
        <v>0.28057539582464708</v>
      </c>
      <c r="BZ69" s="24">
        <f t="shared" si="155"/>
        <v>0.23823395665576055</v>
      </c>
      <c r="CA69" s="25">
        <f t="shared" si="155"/>
        <v>0.29557973079062344</v>
      </c>
      <c r="CB69" s="24">
        <f t="shared" si="155"/>
        <v>3.5104292101177013E-2</v>
      </c>
      <c r="CC69" s="25">
        <f t="shared" si="155"/>
        <v>6.1818257225133601E-2</v>
      </c>
      <c r="CD69" s="24">
        <f t="shared" si="155"/>
        <v>6.4786301028146268E-2</v>
      </c>
      <c r="CE69" s="25">
        <f t="shared" si="155"/>
        <v>0.30658926948686011</v>
      </c>
      <c r="CF69" s="32">
        <f t="shared" si="155"/>
        <v>0.22585286469235419</v>
      </c>
      <c r="CH69" s="54" t="s">
        <v>2147</v>
      </c>
      <c r="CI69" s="41">
        <v>0.56717685763810477</v>
      </c>
      <c r="CJ69" s="40">
        <v>0.49562694666937757</v>
      </c>
      <c r="CK69" s="39">
        <v>0.53975852428214421</v>
      </c>
      <c r="CL69" s="40">
        <v>0.55886923534435928</v>
      </c>
      <c r="CM69" s="39">
        <v>0.44545053263127765</v>
      </c>
      <c r="CN69" s="40">
        <v>0.44898013927660879</v>
      </c>
      <c r="CO69" s="39">
        <v>0.44018325651975987</v>
      </c>
      <c r="CP69" s="40">
        <v>0.48242901336296762</v>
      </c>
      <c r="CQ69" s="66">
        <v>0.64358806889457509</v>
      </c>
      <c r="CS69" s="54" t="s">
        <v>1779</v>
      </c>
      <c r="CT69" s="39">
        <v>7.1136144814775537E-2</v>
      </c>
      <c r="CU69" s="40">
        <v>0.19581387355195348</v>
      </c>
      <c r="CV69" s="39">
        <v>0.26933474356217929</v>
      </c>
      <c r="CW69" s="40">
        <v>0.18242682598151599</v>
      </c>
      <c r="CX69" s="39">
        <v>0.11525130220949183</v>
      </c>
      <c r="CY69" s="40">
        <v>0.10045829741754858</v>
      </c>
      <c r="CZ69" s="39">
        <v>0.34899236230257874</v>
      </c>
      <c r="DA69" s="40">
        <v>0.12620800219340686</v>
      </c>
      <c r="DB69" s="39">
        <v>7.913816578100008E-2</v>
      </c>
      <c r="DC69" s="38">
        <v>1.4887597178144505</v>
      </c>
      <c r="DE69" s="37" t="s">
        <v>1331</v>
      </c>
      <c r="DF69" s="35" t="str">
        <f t="shared" si="16"/>
        <v>IPBOH</v>
      </c>
      <c r="DG69" s="26">
        <f t="shared" si="154"/>
        <v>2.4395811397437062E-2</v>
      </c>
      <c r="DH69" s="25">
        <f t="shared" si="154"/>
        <v>2.1525715938915054E-2</v>
      </c>
      <c r="DI69" s="24">
        <f t="shared" si="154"/>
        <v>4.4047179281807132E-2</v>
      </c>
      <c r="DJ69" s="25">
        <f t="shared" si="154"/>
        <v>8.4345662454524285E-3</v>
      </c>
      <c r="DK69" s="24">
        <f t="shared" si="154"/>
        <v>1.5383711657677959</v>
      </c>
      <c r="DL69" s="25">
        <f t="shared" si="154"/>
        <v>0.89324777367162345</v>
      </c>
      <c r="DM69" s="24">
        <f t="shared" si="154"/>
        <v>0.64512339209617253</v>
      </c>
      <c r="DN69" s="25">
        <f t="shared" si="154"/>
        <v>4.1985396421807646E-2</v>
      </c>
      <c r="DO69" s="32">
        <f t="shared" si="154"/>
        <v>0.32538682226900928</v>
      </c>
      <c r="DP69" s="26">
        <f t="shared" si="18"/>
        <v>8.4655102214546644E-3</v>
      </c>
      <c r="DQ69" s="25">
        <f t="shared" si="19"/>
        <v>6.9959666191208667E-3</v>
      </c>
      <c r="DR69" s="24">
        <f t="shared" si="20"/>
        <v>7.5956639199206291E-3</v>
      </c>
      <c r="DS69" s="25">
        <f t="shared" si="21"/>
        <v>8.0129896043870507E-3</v>
      </c>
      <c r="DT69" s="24">
        <f t="shared" si="22"/>
        <v>7.7688430531589071E-3</v>
      </c>
      <c r="DU69" s="25">
        <f t="shared" si="23"/>
        <v>7.7419047101174665E-3</v>
      </c>
      <c r="DV69" s="24">
        <f t="shared" si="24"/>
        <v>7.8993028363346547E-3</v>
      </c>
      <c r="DW69" s="25">
        <f t="shared" si="25"/>
        <v>7.8258412033958245E-3</v>
      </c>
      <c r="DX69" s="32">
        <f t="shared" si="26"/>
        <v>7.5311669394675131E-3</v>
      </c>
      <c r="DZ69" s="54" t="s">
        <v>1469</v>
      </c>
      <c r="EA69" s="39">
        <v>0.71999535305595586</v>
      </c>
      <c r="EB69" s="40">
        <v>0.71999535305595586</v>
      </c>
      <c r="EC69" s="39">
        <v>0.68609369042793078</v>
      </c>
      <c r="ED69" s="40">
        <v>0.68609369042793067</v>
      </c>
      <c r="EE69" s="39">
        <v>0.88136589567392487</v>
      </c>
      <c r="EF69" s="40">
        <v>0.88136589567392487</v>
      </c>
      <c r="EG69" s="39">
        <v>0.88136589567392487</v>
      </c>
      <c r="EH69" s="40">
        <v>0.60673607309851263</v>
      </c>
      <c r="EI69" s="66">
        <v>0.60673607309851263</v>
      </c>
      <c r="EO69" s="83" t="s">
        <v>1793</v>
      </c>
      <c r="EP69" s="82" t="s">
        <v>521</v>
      </c>
      <c r="EQ69" s="81">
        <f t="shared" si="101"/>
        <v>176.90818507978867</v>
      </c>
      <c r="ER69" s="80">
        <f>EQ69/SUM(EQ62:EQ70)</f>
        <v>7.8489157395808126E-2</v>
      </c>
      <c r="ET69" s="75" t="s">
        <v>438</v>
      </c>
      <c r="EU69" s="72">
        <v>3.4132325198429521E-2</v>
      </c>
      <c r="EW69" s="37" t="s">
        <v>1696</v>
      </c>
      <c r="EX69" s="36" t="s">
        <v>2129</v>
      </c>
      <c r="EY69" s="36" t="s">
        <v>1145</v>
      </c>
      <c r="EZ69" s="1" t="s">
        <v>1945</v>
      </c>
      <c r="FA69" s="36" t="str">
        <f t="shared" si="102"/>
        <v>ICTFAC</v>
      </c>
      <c r="FB69" s="35" t="s">
        <v>438</v>
      </c>
      <c r="FC69" s="26">
        <f t="shared" si="103"/>
        <v>15.340962081406589</v>
      </c>
      <c r="FD69" s="25">
        <f t="shared" si="104"/>
        <v>3.5677972414717782</v>
      </c>
      <c r="FE69" s="24">
        <f t="shared" si="105"/>
        <v>0.23256672055763614</v>
      </c>
      <c r="FF69" s="36">
        <v>0</v>
      </c>
      <c r="FG69" s="86">
        <f t="shared" si="106"/>
        <v>0</v>
      </c>
      <c r="FI69" s="107"/>
    </row>
    <row r="70" spans="1:165">
      <c r="A70" s="37" t="s">
        <v>2075</v>
      </c>
      <c r="B70" s="36" t="s">
        <v>1123</v>
      </c>
      <c r="C70" s="1" t="s">
        <v>1106</v>
      </c>
      <c r="D70" s="36" t="s">
        <v>1106</v>
      </c>
      <c r="E70" s="36" t="s">
        <v>2146</v>
      </c>
      <c r="F70" s="1" t="e">
        <f t="shared" ca="1" si="97"/>
        <v>#NAME?</v>
      </c>
      <c r="G70" s="35" t="s">
        <v>1121</v>
      </c>
      <c r="H70" s="43">
        <v>1</v>
      </c>
      <c r="I70" s="42">
        <v>0</v>
      </c>
      <c r="J70" s="26">
        <v>5.6168933703472348</v>
      </c>
      <c r="K70" s="25">
        <v>0.31325303397163073</v>
      </c>
      <c r="L70" s="24"/>
      <c r="M70" s="25"/>
      <c r="N70" s="24"/>
      <c r="O70" s="25"/>
      <c r="P70" s="24"/>
      <c r="Q70" s="25"/>
      <c r="R70" s="32"/>
      <c r="S70" s="47">
        <v>1</v>
      </c>
      <c r="T70" s="45">
        <v>1</v>
      </c>
      <c r="U70" s="46">
        <v>1</v>
      </c>
      <c r="V70" s="45">
        <v>1</v>
      </c>
      <c r="W70" s="46">
        <v>1</v>
      </c>
      <c r="X70" s="45">
        <v>1</v>
      </c>
      <c r="Y70" s="46">
        <v>1</v>
      </c>
      <c r="Z70" s="45">
        <v>1</v>
      </c>
      <c r="AA70" s="44">
        <v>1</v>
      </c>
      <c r="AB70" s="26">
        <f t="shared" si="126"/>
        <v>5.6168933703472348</v>
      </c>
      <c r="AC70" s="25">
        <f t="shared" si="127"/>
        <v>0.31325303397163073</v>
      </c>
      <c r="AD70" s="24">
        <f t="shared" si="128"/>
        <v>0</v>
      </c>
      <c r="AE70" s="25">
        <f t="shared" si="129"/>
        <v>0</v>
      </c>
      <c r="AF70" s="24">
        <f t="shared" si="130"/>
        <v>0</v>
      </c>
      <c r="AG70" s="25">
        <f t="shared" si="131"/>
        <v>0</v>
      </c>
      <c r="AH70" s="24">
        <f t="shared" si="132"/>
        <v>0</v>
      </c>
      <c r="AI70" s="25">
        <f t="shared" si="133"/>
        <v>0</v>
      </c>
      <c r="AJ70" s="24">
        <f t="shared" si="134"/>
        <v>0</v>
      </c>
      <c r="AK70" s="27">
        <f t="shared" si="12"/>
        <v>5.9301464043188652</v>
      </c>
      <c r="AL70" s="41">
        <v>0</v>
      </c>
      <c r="AM70" s="40">
        <v>0</v>
      </c>
      <c r="AN70" s="39">
        <v>0</v>
      </c>
      <c r="AO70" s="40">
        <v>0</v>
      </c>
      <c r="AP70" s="39">
        <v>0</v>
      </c>
      <c r="AQ70" s="40">
        <v>0</v>
      </c>
      <c r="AR70" s="39">
        <v>0</v>
      </c>
      <c r="AS70" s="40">
        <v>0</v>
      </c>
      <c r="AT70" s="39">
        <v>0</v>
      </c>
      <c r="AU70" s="38">
        <v>0</v>
      </c>
      <c r="AW70" s="104" t="s">
        <v>1136</v>
      </c>
      <c r="AX70" s="41">
        <v>1.4284722375936298</v>
      </c>
      <c r="AY70" s="40">
        <v>3.9321034733180551</v>
      </c>
      <c r="AZ70" s="39">
        <v>10.238182013094626</v>
      </c>
      <c r="BA70" s="40">
        <v>6.934564118122081</v>
      </c>
      <c r="BB70" s="39">
        <v>2.5987082610051777</v>
      </c>
      <c r="BC70" s="40">
        <v>2.2651527781522813</v>
      </c>
      <c r="BD70" s="39">
        <v>7.8691460968909617</v>
      </c>
      <c r="BE70" s="40">
        <v>3.4197120007486275</v>
      </c>
      <c r="BF70" s="39">
        <v>2.1443151823590005</v>
      </c>
      <c r="BG70" s="81">
        <v>40.830356161284442</v>
      </c>
      <c r="BH70" s="66">
        <v>0</v>
      </c>
      <c r="BJ70" s="37" t="s">
        <v>1696</v>
      </c>
      <c r="BK70" s="36" t="s">
        <v>2129</v>
      </c>
      <c r="BL70" s="1" t="s">
        <v>1107</v>
      </c>
      <c r="BM70" s="36" t="s">
        <v>1937</v>
      </c>
      <c r="BN70" s="82" t="str">
        <f t="shared" si="147"/>
        <v>ICTSTM</v>
      </c>
      <c r="BO70" s="26">
        <f t="shared" si="148"/>
        <v>0.83397406758082326</v>
      </c>
      <c r="BP70" s="25">
        <f t="shared" si="148"/>
        <v>18.959582633978133</v>
      </c>
      <c r="BQ70" s="24">
        <f t="shared" si="148"/>
        <v>16.163490788396743</v>
      </c>
      <c r="BR70" s="25">
        <f t="shared" si="148"/>
        <v>2.2898844475010525</v>
      </c>
      <c r="BS70" s="24">
        <f t="shared" si="148"/>
        <v>20.342869800864896</v>
      </c>
      <c r="BT70" s="25">
        <f t="shared" si="148"/>
        <v>4.4299302720035687</v>
      </c>
      <c r="BU70" s="24">
        <f t="shared" si="148"/>
        <v>12.607627824788972</v>
      </c>
      <c r="BV70" s="25">
        <f t="shared" si="148"/>
        <v>0.90330609663131167</v>
      </c>
      <c r="BW70" s="32">
        <f t="shared" si="148"/>
        <v>2.5969585600252625</v>
      </c>
      <c r="BX70" s="26">
        <f t="shared" ref="BX70:CF70" si="156">BO70/BO71</f>
        <v>5.4362566255972224E-2</v>
      </c>
      <c r="BY70" s="25">
        <f t="shared" si="156"/>
        <v>0.31893148364252843</v>
      </c>
      <c r="BZ70" s="24">
        <f t="shared" si="156"/>
        <v>0.24413375692110006</v>
      </c>
      <c r="CA70" s="25">
        <f t="shared" si="156"/>
        <v>6.3355001488250878E-2</v>
      </c>
      <c r="CB70" s="24">
        <f t="shared" si="156"/>
        <v>0.57605233567810676</v>
      </c>
      <c r="CC70" s="25">
        <f t="shared" si="156"/>
        <v>0.25343300792079865</v>
      </c>
      <c r="CD70" s="24">
        <f t="shared" si="156"/>
        <v>0.21758852388261776</v>
      </c>
      <c r="CE70" s="25">
        <f t="shared" si="156"/>
        <v>9.9716108588203067E-2</v>
      </c>
      <c r="CF70" s="32">
        <f t="shared" si="156"/>
        <v>0.3367944799501566</v>
      </c>
      <c r="CH70" s="54" t="s">
        <v>2145</v>
      </c>
      <c r="CI70" s="41">
        <v>1.9750637187261895E-2</v>
      </c>
      <c r="CJ70" s="40">
        <v>3.9997496856634007E-2</v>
      </c>
      <c r="CK70" s="39">
        <v>3.8170284484919118E-2</v>
      </c>
      <c r="CL70" s="40">
        <v>4.1157045990202999E-3</v>
      </c>
      <c r="CM70" s="39">
        <v>1.1477506416237439E-2</v>
      </c>
      <c r="CN70" s="40">
        <v>3.6447723485452891E-3</v>
      </c>
      <c r="CO70" s="39">
        <v>2.3166393362662144E-2</v>
      </c>
      <c r="CP70" s="40">
        <v>0.26893076815450784</v>
      </c>
      <c r="CQ70" s="66">
        <v>2.4711569746153371E-2</v>
      </c>
      <c r="CS70" s="54" t="s">
        <v>1776</v>
      </c>
      <c r="CT70" s="39">
        <v>3.4664592245157139E-2</v>
      </c>
      <c r="CU70" s="40">
        <v>9.5419959857219391E-2</v>
      </c>
      <c r="CV70" s="39">
        <v>0.13865862657138037</v>
      </c>
      <c r="CW70" s="40">
        <v>9.391678476317164E-2</v>
      </c>
      <c r="CX70" s="39">
        <v>5.8730160910026544E-2</v>
      </c>
      <c r="CY70" s="40">
        <v>5.1191889887332032E-2</v>
      </c>
      <c r="CZ70" s="39">
        <v>0.17784074627759561</v>
      </c>
      <c r="DA70" s="40">
        <v>6.5414773143643509E-2</v>
      </c>
      <c r="DB70" s="39">
        <v>4.1018042212846384E-2</v>
      </c>
      <c r="DC70" s="38">
        <v>0.7568555758683726</v>
      </c>
      <c r="DE70" s="37" t="s">
        <v>1329</v>
      </c>
      <c r="DF70" s="35" t="str">
        <f t="shared" si="16"/>
        <v>IPBOH</v>
      </c>
      <c r="DG70" s="26">
        <f t="shared" si="154"/>
        <v>0</v>
      </c>
      <c r="DH70" s="25">
        <f t="shared" si="154"/>
        <v>4.592152733635213E-2</v>
      </c>
      <c r="DI70" s="24">
        <f t="shared" si="154"/>
        <v>4.4047179281807139E-2</v>
      </c>
      <c r="DJ70" s="25">
        <f t="shared" si="154"/>
        <v>8.4345662454524302E-3</v>
      </c>
      <c r="DK70" s="24">
        <f t="shared" si="154"/>
        <v>1.5383711657677963</v>
      </c>
      <c r="DL70" s="25">
        <f t="shared" si="154"/>
        <v>0.89324777367162378</v>
      </c>
      <c r="DM70" s="24">
        <f t="shared" si="154"/>
        <v>0.64512339209617264</v>
      </c>
      <c r="DN70" s="25">
        <f t="shared" si="154"/>
        <v>4.1985396421807659E-2</v>
      </c>
      <c r="DO70" s="32">
        <f t="shared" si="154"/>
        <v>0.32538682226900939</v>
      </c>
      <c r="DP70" s="26">
        <f t="shared" si="18"/>
        <v>0</v>
      </c>
      <c r="DQ70" s="25">
        <f t="shared" si="19"/>
        <v>1.4924728787457854E-2</v>
      </c>
      <c r="DR70" s="24">
        <f t="shared" si="20"/>
        <v>7.59566391992063E-3</v>
      </c>
      <c r="DS70" s="25">
        <f t="shared" si="21"/>
        <v>8.0129896043870524E-3</v>
      </c>
      <c r="DT70" s="24">
        <f t="shared" si="22"/>
        <v>7.7688430531589088E-3</v>
      </c>
      <c r="DU70" s="25">
        <f t="shared" si="23"/>
        <v>7.7419047101174691E-3</v>
      </c>
      <c r="DV70" s="24">
        <f t="shared" si="24"/>
        <v>7.8993028363346564E-3</v>
      </c>
      <c r="DW70" s="25">
        <f t="shared" si="25"/>
        <v>7.825841203395828E-3</v>
      </c>
      <c r="DX70" s="32">
        <f t="shared" si="26"/>
        <v>7.5311669394675157E-3</v>
      </c>
      <c r="DZ70" s="54" t="s">
        <v>1620</v>
      </c>
      <c r="EA70" s="39">
        <v>0.99625016754888485</v>
      </c>
      <c r="EB70" s="40">
        <v>0.35940703895866843</v>
      </c>
      <c r="EC70" s="39">
        <v>9.9580611067731653E-2</v>
      </c>
      <c r="ED70" s="40">
        <v>0</v>
      </c>
      <c r="EE70" s="39">
        <v>0.35524748202765499</v>
      </c>
      <c r="EF70" s="40">
        <v>0.50833828082643795</v>
      </c>
      <c r="EG70" s="39">
        <v>0.76554889475373744</v>
      </c>
      <c r="EH70" s="40">
        <v>0</v>
      </c>
      <c r="EI70" s="66">
        <v>0.10006388749758967</v>
      </c>
      <c r="EO70" s="79" t="s">
        <v>1793</v>
      </c>
      <c r="EP70" s="78" t="s">
        <v>522</v>
      </c>
      <c r="EQ70" s="77">
        <f t="shared" si="101"/>
        <v>125.43957647223664</v>
      </c>
      <c r="ER70" s="76">
        <f>EQ70/SUM(EQ62:EQ70)</f>
        <v>5.5653991684739362E-2</v>
      </c>
      <c r="ET70" s="75" t="s">
        <v>440</v>
      </c>
      <c r="EU70" s="72">
        <v>9.5536528017130237E-2</v>
      </c>
      <c r="EW70" s="37" t="s">
        <v>1696</v>
      </c>
      <c r="EX70" s="36" t="s">
        <v>2129</v>
      </c>
      <c r="EY70" s="36" t="s">
        <v>1107</v>
      </c>
      <c r="EZ70" s="1" t="s">
        <v>1937</v>
      </c>
      <c r="FA70" s="36" t="str">
        <f t="shared" si="102"/>
        <v>ICTSTM</v>
      </c>
      <c r="FB70" s="1" t="s">
        <v>440</v>
      </c>
      <c r="FC70" s="26">
        <f t="shared" si="103"/>
        <v>59.447196675097828</v>
      </c>
      <c r="FD70" s="25">
        <f t="shared" si="104"/>
        <v>18.959582633978133</v>
      </c>
      <c r="FE70" s="24">
        <f t="shared" si="105"/>
        <v>0.31893148364252843</v>
      </c>
      <c r="FF70" s="36">
        <v>0.02</v>
      </c>
      <c r="FG70" s="32">
        <f t="shared" si="106"/>
        <v>6.2709393790726153E-2</v>
      </c>
    </row>
    <row r="71" spans="1:165">
      <c r="A71" s="37" t="s">
        <v>2075</v>
      </c>
      <c r="B71" s="36" t="s">
        <v>1107</v>
      </c>
      <c r="C71" s="1" t="s">
        <v>1120</v>
      </c>
      <c r="D71" s="36" t="s">
        <v>1120</v>
      </c>
      <c r="E71" s="36" t="s">
        <v>2144</v>
      </c>
      <c r="F71" s="1" t="e">
        <f t="shared" ca="1" si="97"/>
        <v>#NAME?</v>
      </c>
      <c r="G71" s="35" t="s">
        <v>1104</v>
      </c>
      <c r="H71" s="43">
        <v>1</v>
      </c>
      <c r="I71" s="42">
        <v>0</v>
      </c>
      <c r="J71" s="26">
        <v>0.13030937999999997</v>
      </c>
      <c r="K71" s="25">
        <v>0</v>
      </c>
      <c r="L71" s="24"/>
      <c r="M71" s="25"/>
      <c r="N71" s="24"/>
      <c r="O71" s="25"/>
      <c r="P71" s="24"/>
      <c r="Q71" s="25"/>
      <c r="R71" s="32"/>
      <c r="S71" s="31" t="e">
        <v>#REF!</v>
      </c>
      <c r="T71" s="29" t="e">
        <f t="shared" ref="T71:AA80" si="157">S71</f>
        <v>#REF!</v>
      </c>
      <c r="U71" s="30" t="e">
        <f t="shared" si="157"/>
        <v>#REF!</v>
      </c>
      <c r="V71" s="29" t="e">
        <f t="shared" si="157"/>
        <v>#REF!</v>
      </c>
      <c r="W71" s="30" t="e">
        <f t="shared" si="157"/>
        <v>#REF!</v>
      </c>
      <c r="X71" s="29" t="e">
        <f t="shared" si="157"/>
        <v>#REF!</v>
      </c>
      <c r="Y71" s="30" t="e">
        <f t="shared" si="157"/>
        <v>#REF!</v>
      </c>
      <c r="Z71" s="29" t="e">
        <f t="shared" si="157"/>
        <v>#REF!</v>
      </c>
      <c r="AA71" s="28" t="e">
        <f t="shared" si="157"/>
        <v>#REF!</v>
      </c>
      <c r="AB71" s="26" t="e">
        <f t="shared" si="126"/>
        <v>#REF!</v>
      </c>
      <c r="AC71" s="25" t="e">
        <f t="shared" si="127"/>
        <v>#REF!</v>
      </c>
      <c r="AD71" s="24" t="e">
        <f t="shared" si="128"/>
        <v>#REF!</v>
      </c>
      <c r="AE71" s="25" t="e">
        <f t="shared" si="129"/>
        <v>#REF!</v>
      </c>
      <c r="AF71" s="24" t="e">
        <f t="shared" si="130"/>
        <v>#REF!</v>
      </c>
      <c r="AG71" s="25" t="e">
        <f t="shared" si="131"/>
        <v>#REF!</v>
      </c>
      <c r="AH71" s="24" t="e">
        <f t="shared" si="132"/>
        <v>#REF!</v>
      </c>
      <c r="AI71" s="25" t="e">
        <f t="shared" si="133"/>
        <v>#REF!</v>
      </c>
      <c r="AJ71" s="24" t="e">
        <f t="shared" si="134"/>
        <v>#REF!</v>
      </c>
      <c r="AK71" s="27" t="e">
        <f t="shared" si="12"/>
        <v>#REF!</v>
      </c>
      <c r="AL71" s="41">
        <v>0</v>
      </c>
      <c r="AM71" s="40">
        <v>0</v>
      </c>
      <c r="AN71" s="39">
        <v>0</v>
      </c>
      <c r="AO71" s="40">
        <v>0</v>
      </c>
      <c r="AP71" s="39">
        <v>0</v>
      </c>
      <c r="AQ71" s="40">
        <v>0</v>
      </c>
      <c r="AR71" s="39">
        <v>0</v>
      </c>
      <c r="AS71" s="40">
        <v>0</v>
      </c>
      <c r="AT71" s="39">
        <v>0</v>
      </c>
      <c r="AU71" s="38">
        <v>0</v>
      </c>
      <c r="AW71" s="104" t="s">
        <v>1129</v>
      </c>
      <c r="AX71" s="41">
        <v>0.72637635234250308</v>
      </c>
      <c r="AY71" s="40">
        <v>1.9994697151367256</v>
      </c>
      <c r="AZ71" s="39">
        <v>6.7666410660825491</v>
      </c>
      <c r="BA71" s="40">
        <v>4.5832068893727431</v>
      </c>
      <c r="BB71" s="39">
        <v>5.5061688758557761</v>
      </c>
      <c r="BC71" s="40">
        <v>4.7994282056486242</v>
      </c>
      <c r="BD71" s="39">
        <v>16.673224912712371</v>
      </c>
      <c r="BE71" s="40">
        <v>0.3515591836592567</v>
      </c>
      <c r="BF71" s="39">
        <v>0.22044362064795228</v>
      </c>
      <c r="BG71" s="81">
        <v>41.626518821458504</v>
      </c>
      <c r="BH71" s="66">
        <v>0</v>
      </c>
      <c r="BJ71" s="22" t="s">
        <v>1696</v>
      </c>
      <c r="BK71" s="20" t="s">
        <v>2129</v>
      </c>
      <c r="BL71" s="21" t="s">
        <v>1027</v>
      </c>
      <c r="BM71" s="20"/>
      <c r="BN71" s="78"/>
      <c r="BO71" s="11">
        <f t="shared" ref="BO71:BW71" si="158">GETPIVOTDATA("Sum of "&amp;BO$1&amp;" (Out)",$AW$6,"Sub-Sector",$BJ71)</f>
        <v>15.340962081406589</v>
      </c>
      <c r="BP71" s="10">
        <f t="shared" si="158"/>
        <v>59.447196675097828</v>
      </c>
      <c r="BQ71" s="9">
        <f t="shared" si="158"/>
        <v>66.207520796153204</v>
      </c>
      <c r="BR71" s="10">
        <f t="shared" si="158"/>
        <v>36.143704422857745</v>
      </c>
      <c r="BS71" s="9">
        <f t="shared" si="158"/>
        <v>35.314273618764254</v>
      </c>
      <c r="BT71" s="10">
        <f t="shared" si="158"/>
        <v>17.47968943882789</v>
      </c>
      <c r="BU71" s="9">
        <f t="shared" si="158"/>
        <v>57.942521966785321</v>
      </c>
      <c r="BV71" s="10">
        <f t="shared" si="158"/>
        <v>9.0587780592370351</v>
      </c>
      <c r="BW71" s="16">
        <f t="shared" si="158"/>
        <v>7.7108109384975538</v>
      </c>
      <c r="BX71" s="11"/>
      <c r="BY71" s="6"/>
      <c r="BZ71" s="5"/>
      <c r="CA71" s="6"/>
      <c r="CB71" s="5"/>
      <c r="CC71" s="6"/>
      <c r="CD71" s="5"/>
      <c r="CE71" s="6"/>
      <c r="CF71" s="59"/>
      <c r="CH71" s="54" t="s">
        <v>2143</v>
      </c>
      <c r="CI71" s="41">
        <v>1.7954701366153167E-3</v>
      </c>
      <c r="CJ71" s="40">
        <v>1.6929370768281548E-3</v>
      </c>
      <c r="CK71" s="39">
        <v>2.2547171520033724E-3</v>
      </c>
      <c r="CL71" s="40">
        <v>2.3287463321711162E-3</v>
      </c>
      <c r="CM71" s="39">
        <v>5.5694514555151807E-3</v>
      </c>
      <c r="CN71" s="40">
        <v>5.5252798862780554E-3</v>
      </c>
      <c r="CO71" s="39">
        <v>5.6420541546675484E-3</v>
      </c>
      <c r="CP71" s="40">
        <v>7.7420678208958886E-3</v>
      </c>
      <c r="CQ71" s="66">
        <v>5.7312859893452342E-3</v>
      </c>
      <c r="CS71" s="54" t="s">
        <v>1788</v>
      </c>
      <c r="CT71" s="39">
        <v>1.197811113072512E-2</v>
      </c>
      <c r="CU71" s="40">
        <v>3.297171001394892E-2</v>
      </c>
      <c r="CV71" s="39">
        <v>4.7912533531610867E-2</v>
      </c>
      <c r="CW71" s="40">
        <v>3.2452298211897289E-2</v>
      </c>
      <c r="CX71" s="39">
        <v>2.0293802654030822E-2</v>
      </c>
      <c r="CY71" s="40">
        <v>1.7689005014849754E-2</v>
      </c>
      <c r="CZ71" s="39">
        <v>6.1451645166307467E-2</v>
      </c>
      <c r="DA71" s="40">
        <v>2.2603624377413561E-2</v>
      </c>
      <c r="DB71" s="39">
        <v>1.4173502013683385E-2</v>
      </c>
      <c r="DC71" s="38">
        <v>0.26152623211446718</v>
      </c>
      <c r="DE71" s="37" t="s">
        <v>1318</v>
      </c>
      <c r="DF71" s="35" t="str">
        <f t="shared" si="16"/>
        <v>IPBOH</v>
      </c>
      <c r="DG71" s="26">
        <f t="shared" si="154"/>
        <v>0</v>
      </c>
      <c r="DH71" s="25">
        <f t="shared" si="154"/>
        <v>2.8938627809899002</v>
      </c>
      <c r="DI71" s="24">
        <f t="shared" si="154"/>
        <v>5.3559666226004934</v>
      </c>
      <c r="DJ71" s="25">
        <f t="shared" si="154"/>
        <v>0.14463250919817305</v>
      </c>
      <c r="DK71" s="24">
        <f t="shared" si="154"/>
        <v>153.87186734673588</v>
      </c>
      <c r="DL71" s="25">
        <f t="shared" si="154"/>
        <v>88.792646662706488</v>
      </c>
      <c r="DM71" s="24">
        <f t="shared" si="154"/>
        <v>44.83863345192411</v>
      </c>
      <c r="DN71" s="25">
        <f t="shared" si="154"/>
        <v>1.6583334880365097</v>
      </c>
      <c r="DO71" s="32">
        <f t="shared" si="154"/>
        <v>32.974925798129803</v>
      </c>
      <c r="DP71" s="26">
        <f t="shared" si="18"/>
        <v>0</v>
      </c>
      <c r="DQ71" s="25">
        <f t="shared" si="19"/>
        <v>0.94052004930164634</v>
      </c>
      <c r="DR71" s="24">
        <f t="shared" si="20"/>
        <v>0.92360335201733812</v>
      </c>
      <c r="DS71" s="25">
        <f t="shared" si="21"/>
        <v>0.13740348453439763</v>
      </c>
      <c r="DT71" s="24">
        <f t="shared" si="22"/>
        <v>0.77705979825528948</v>
      </c>
      <c r="DU71" s="25">
        <f t="shared" si="23"/>
        <v>0.76957841898245227</v>
      </c>
      <c r="DV71" s="24">
        <f t="shared" si="24"/>
        <v>0.54903286525277972</v>
      </c>
      <c r="DW71" s="25">
        <f t="shared" si="25"/>
        <v>0.3091040134351668</v>
      </c>
      <c r="DX71" s="32">
        <f t="shared" si="26"/>
        <v>0.76321367064139434</v>
      </c>
      <c r="DZ71" s="54" t="s">
        <v>1614</v>
      </c>
      <c r="EA71" s="39">
        <v>0</v>
      </c>
      <c r="EB71" s="40">
        <v>0</v>
      </c>
      <c r="EC71" s="39">
        <v>0.17720296399045338</v>
      </c>
      <c r="ED71" s="40">
        <v>0</v>
      </c>
      <c r="EE71" s="39">
        <v>0.10096074712165132</v>
      </c>
      <c r="EF71" s="40">
        <v>0.16189722861717898</v>
      </c>
      <c r="EG71" s="39">
        <v>0</v>
      </c>
      <c r="EH71" s="40">
        <v>0</v>
      </c>
      <c r="EI71" s="66">
        <v>0</v>
      </c>
      <c r="EO71" s="83" t="s">
        <v>1696</v>
      </c>
      <c r="EP71" s="82" t="s">
        <v>438</v>
      </c>
      <c r="EQ71" s="81">
        <f t="shared" si="101"/>
        <v>15.340962081406589</v>
      </c>
      <c r="ER71" s="80">
        <f>EQ71/SUM(EQ71:EQ79)</f>
        <v>5.035677269649648E-2</v>
      </c>
      <c r="ET71" s="75" t="s">
        <v>439</v>
      </c>
      <c r="EU71" s="72">
        <v>0.20585832986945765</v>
      </c>
      <c r="EW71" s="37" t="s">
        <v>1696</v>
      </c>
      <c r="EX71" s="36" t="s">
        <v>2129</v>
      </c>
      <c r="EY71" s="36" t="s">
        <v>1145</v>
      </c>
      <c r="EZ71" s="1" t="s">
        <v>1945</v>
      </c>
      <c r="FA71" s="36" t="str">
        <f t="shared" si="102"/>
        <v>ICTFAC</v>
      </c>
      <c r="FB71" s="1" t="s">
        <v>439</v>
      </c>
      <c r="FC71" s="26">
        <f t="shared" si="103"/>
        <v>66.207520796153204</v>
      </c>
      <c r="FD71" s="25">
        <f t="shared" si="104"/>
        <v>10.955147612783689</v>
      </c>
      <c r="FE71" s="24">
        <f t="shared" si="105"/>
        <v>0.16546681526579993</v>
      </c>
      <c r="FF71" s="36">
        <v>0</v>
      </c>
      <c r="FG71" s="86">
        <f t="shared" si="106"/>
        <v>0</v>
      </c>
      <c r="FI71" s="107"/>
    </row>
    <row r="72" spans="1:165">
      <c r="A72" s="37" t="s">
        <v>2075</v>
      </c>
      <c r="B72" s="36" t="s">
        <v>1107</v>
      </c>
      <c r="C72" s="1" t="s">
        <v>1120</v>
      </c>
      <c r="D72" s="36" t="s">
        <v>1120</v>
      </c>
      <c r="E72" s="36" t="s">
        <v>2142</v>
      </c>
      <c r="F72" s="1" t="e">
        <f t="shared" ref="F72:F98" ca="1" si="159">EndUse(A72,B72,C72,G72)</f>
        <v>#NAME?</v>
      </c>
      <c r="G72" s="35" t="s">
        <v>1104</v>
      </c>
      <c r="H72" s="43">
        <v>1</v>
      </c>
      <c r="I72" s="42">
        <v>0</v>
      </c>
      <c r="J72" s="26">
        <v>10.2386680416102</v>
      </c>
      <c r="K72" s="25">
        <v>0</v>
      </c>
      <c r="L72" s="24"/>
      <c r="M72" s="25"/>
      <c r="N72" s="24"/>
      <c r="O72" s="25"/>
      <c r="P72" s="24"/>
      <c r="Q72" s="25"/>
      <c r="R72" s="32"/>
      <c r="S72" s="31" t="e">
        <v>#REF!</v>
      </c>
      <c r="T72" s="29" t="e">
        <f t="shared" si="157"/>
        <v>#REF!</v>
      </c>
      <c r="U72" s="30" t="e">
        <f t="shared" si="157"/>
        <v>#REF!</v>
      </c>
      <c r="V72" s="29" t="e">
        <f t="shared" si="157"/>
        <v>#REF!</v>
      </c>
      <c r="W72" s="30" t="e">
        <f t="shared" si="157"/>
        <v>#REF!</v>
      </c>
      <c r="X72" s="29" t="e">
        <f t="shared" si="157"/>
        <v>#REF!</v>
      </c>
      <c r="Y72" s="30" t="e">
        <f t="shared" si="157"/>
        <v>#REF!</v>
      </c>
      <c r="Z72" s="29" t="e">
        <f t="shared" si="157"/>
        <v>#REF!</v>
      </c>
      <c r="AA72" s="28" t="e">
        <f t="shared" si="157"/>
        <v>#REF!</v>
      </c>
      <c r="AB72" s="26" t="e">
        <f t="shared" si="126"/>
        <v>#REF!</v>
      </c>
      <c r="AC72" s="25" t="e">
        <f t="shared" si="127"/>
        <v>#REF!</v>
      </c>
      <c r="AD72" s="24" t="e">
        <f t="shared" si="128"/>
        <v>#REF!</v>
      </c>
      <c r="AE72" s="25" t="e">
        <f t="shared" si="129"/>
        <v>#REF!</v>
      </c>
      <c r="AF72" s="24" t="e">
        <f t="shared" si="130"/>
        <v>#REF!</v>
      </c>
      <c r="AG72" s="25" t="e">
        <f t="shared" si="131"/>
        <v>#REF!</v>
      </c>
      <c r="AH72" s="24" t="e">
        <f t="shared" si="132"/>
        <v>#REF!</v>
      </c>
      <c r="AI72" s="25" t="e">
        <f t="shared" si="133"/>
        <v>#REF!</v>
      </c>
      <c r="AJ72" s="24" t="e">
        <f t="shared" si="134"/>
        <v>#REF!</v>
      </c>
      <c r="AK72" s="27" t="e">
        <f t="shared" ref="AK72:AK135" si="160">SUM(AB72:AJ72)</f>
        <v>#REF!</v>
      </c>
      <c r="AL72" s="41">
        <v>0</v>
      </c>
      <c r="AM72" s="40">
        <v>0</v>
      </c>
      <c r="AN72" s="39">
        <v>0</v>
      </c>
      <c r="AO72" s="40">
        <v>0</v>
      </c>
      <c r="AP72" s="39">
        <v>0</v>
      </c>
      <c r="AQ72" s="40">
        <v>0</v>
      </c>
      <c r="AR72" s="39">
        <v>0</v>
      </c>
      <c r="AS72" s="40">
        <v>0</v>
      </c>
      <c r="AT72" s="39">
        <v>0</v>
      </c>
      <c r="AU72" s="38">
        <v>0</v>
      </c>
      <c r="AW72" s="104" t="s">
        <v>1123</v>
      </c>
      <c r="AX72" s="41">
        <v>6.8190773814894783</v>
      </c>
      <c r="AY72" s="40">
        <v>18.770625813315377</v>
      </c>
      <c r="AZ72" s="39">
        <v>40.017875878519746</v>
      </c>
      <c r="BA72" s="40">
        <v>27.105058866478014</v>
      </c>
      <c r="BB72" s="39">
        <v>9.2546155663421388</v>
      </c>
      <c r="BC72" s="40">
        <v>8.0667454963654652</v>
      </c>
      <c r="BD72" s="39">
        <v>28.023892891285371</v>
      </c>
      <c r="BE72" s="40">
        <v>17.13876350465528</v>
      </c>
      <c r="BF72" s="39">
        <v>10.746785338018913</v>
      </c>
      <c r="BG72" s="81">
        <v>165.94344073646977</v>
      </c>
      <c r="BH72" s="66">
        <v>0</v>
      </c>
      <c r="BJ72" s="37" t="s">
        <v>1611</v>
      </c>
      <c r="BK72" s="36" t="s">
        <v>2108</v>
      </c>
      <c r="BL72" s="1" t="s">
        <v>1150</v>
      </c>
      <c r="BM72" s="36" t="s">
        <v>1902</v>
      </c>
      <c r="BN72" s="82" t="str">
        <f t="shared" ref="BN72:BN78" si="161">BK72&amp;BM72</f>
        <v>IMOETC</v>
      </c>
      <c r="BO72" s="91">
        <f t="shared" ref="BO72:BW78" si="162">IF(ISERROR(GETPIVOTDATA("Sum of "&amp;BO$1&amp;" (Out)",$AW$6,"Sub-Sector",$BJ72,"End-Use",$BL72)),0,GETPIVOTDATA("Sum of "&amp;BO$1&amp;" (Out)",$AW$6,"Sub-Sector",$BJ72,"End-Use",$BL72))</f>
        <v>0.47084365592809052</v>
      </c>
      <c r="BP72" s="89">
        <f t="shared" si="162"/>
        <v>1.2960741736104375</v>
      </c>
      <c r="BQ72" s="90">
        <f t="shared" si="162"/>
        <v>3.5364642470204193</v>
      </c>
      <c r="BR72" s="89">
        <f t="shared" si="162"/>
        <v>2.3953313235732141</v>
      </c>
      <c r="BS72" s="90">
        <f t="shared" si="162"/>
        <v>0.90153565278769443</v>
      </c>
      <c r="BT72" s="89">
        <f t="shared" si="162"/>
        <v>0.78581963937940791</v>
      </c>
      <c r="BU72" s="90">
        <f t="shared" si="162"/>
        <v>2.7299392816792203</v>
      </c>
      <c r="BV72" s="89">
        <f t="shared" si="162"/>
        <v>1.163536109566117</v>
      </c>
      <c r="BW72" s="88">
        <f t="shared" si="162"/>
        <v>0.72959013636802139</v>
      </c>
      <c r="BX72" s="26">
        <f t="shared" ref="BX72:CF72" si="163">BO72/BO79</f>
        <v>3.9162427740305213E-2</v>
      </c>
      <c r="BY72" s="25">
        <f t="shared" si="163"/>
        <v>3.4222049478387584E-2</v>
      </c>
      <c r="BZ72" s="24">
        <f t="shared" si="163"/>
        <v>4.7699601271763287E-2</v>
      </c>
      <c r="CA72" s="25">
        <f t="shared" si="163"/>
        <v>4.9388455188243599E-2</v>
      </c>
      <c r="CB72" s="24">
        <f t="shared" si="163"/>
        <v>4.3393432589560521E-2</v>
      </c>
      <c r="CC72" s="25">
        <f t="shared" si="163"/>
        <v>4.3737268182543469E-2</v>
      </c>
      <c r="CD72" s="24">
        <f t="shared" si="163"/>
        <v>4.2880322436732524E-2</v>
      </c>
      <c r="CE72" s="25">
        <f t="shared" si="163"/>
        <v>3.2751696305144726E-2</v>
      </c>
      <c r="CF72" s="32">
        <f t="shared" si="163"/>
        <v>4.3692647817992383E-2</v>
      </c>
      <c r="CH72" s="54" t="s">
        <v>2141</v>
      </c>
      <c r="CI72" s="41">
        <v>1.6806545427355768E-2</v>
      </c>
      <c r="CJ72" s="40">
        <v>1.584678202501524E-2</v>
      </c>
      <c r="CK72" s="39">
        <v>3.5276750002964714E-2</v>
      </c>
      <c r="CL72" s="40">
        <v>3.6434992348077289E-2</v>
      </c>
      <c r="CM72" s="39">
        <v>4.452918662168049E-2</v>
      </c>
      <c r="CN72" s="40">
        <v>4.4176023645821412E-2</v>
      </c>
      <c r="CO72" s="39">
        <v>4.5109663741485902E-2</v>
      </c>
      <c r="CP72" s="40">
        <v>6.0167097563465902E-2</v>
      </c>
      <c r="CQ72" s="66">
        <v>4.4540405904782768E-2</v>
      </c>
      <c r="CS72" s="54" t="s">
        <v>1564</v>
      </c>
      <c r="CT72" s="39">
        <v>1.0122727496939203</v>
      </c>
      <c r="CU72" s="40">
        <v>2.7864463097455117</v>
      </c>
      <c r="CV72" s="39">
        <v>4.8530357575202707</v>
      </c>
      <c r="CW72" s="40">
        <v>3.2870765127070847</v>
      </c>
      <c r="CX72" s="39">
        <v>1.9936007363659736</v>
      </c>
      <c r="CY72" s="40">
        <v>1.7377134302713566</v>
      </c>
      <c r="CZ72" s="39">
        <v>6.0368205576354965</v>
      </c>
      <c r="DA72" s="40">
        <v>2.3347343079984881</v>
      </c>
      <c r="DB72" s="39">
        <v>1.4639847514409441</v>
      </c>
      <c r="DC72" s="38">
        <v>25.505685113379045</v>
      </c>
      <c r="DE72" s="37" t="s">
        <v>1314</v>
      </c>
      <c r="DF72" s="35" t="str">
        <f t="shared" ref="DF72:DF135" si="164">LEFT(DE72,5)</f>
        <v>IPBOH</v>
      </c>
      <c r="DG72" s="26">
        <f t="shared" si="154"/>
        <v>2.7264190282509664</v>
      </c>
      <c r="DH72" s="25">
        <f t="shared" si="154"/>
        <v>0</v>
      </c>
      <c r="DI72" s="24">
        <f t="shared" si="154"/>
        <v>0</v>
      </c>
      <c r="DJ72" s="25">
        <f t="shared" si="154"/>
        <v>0.8231448773995278</v>
      </c>
      <c r="DK72" s="24">
        <f t="shared" si="154"/>
        <v>40.204978337703068</v>
      </c>
      <c r="DL72" s="25">
        <f t="shared" si="154"/>
        <v>24.29720715820757</v>
      </c>
      <c r="DM72" s="24">
        <f t="shared" si="154"/>
        <v>35.176998704229632</v>
      </c>
      <c r="DN72" s="25">
        <f t="shared" si="154"/>
        <v>3.5622001987366336</v>
      </c>
      <c r="DO72" s="32">
        <f t="shared" si="154"/>
        <v>9.1110653336624488</v>
      </c>
      <c r="DP72" s="26">
        <f t="shared" ref="DP72:DP135" si="165">IF(SUMIF($DF$8:$DF$380,"="&amp;$DF72,DG$8:DG$380)=0,0,DG72/SUMIF($DF$8:$DF$380,"="&amp;$DF72,DG$8:DG$380))</f>
        <v>0.94608569379462437</v>
      </c>
      <c r="DQ72" s="25">
        <f t="shared" ref="DQ72:DQ135" si="166">IF(SUMIF($DF$8:$DF$380,"="&amp;$DF72,DH$8:DH$380)=0,0,DH72/SUMIF($DF$8:$DF$380,"="&amp;$DF72,DH$8:DH$380))</f>
        <v>0</v>
      </c>
      <c r="DR72" s="24">
        <f t="shared" ref="DR72:DR135" si="167">IF(SUMIF($DF$8:$DF$380,"="&amp;$DF72,DI$8:DI$380)=0,0,DI72/SUMIF($DF$8:$DF$380,"="&amp;$DF72,DI$8:DI$380))</f>
        <v>0</v>
      </c>
      <c r="DS72" s="25">
        <f t="shared" ref="DS72:DS135" si="168">IF(SUMIF($DF$8:$DF$380,"="&amp;$DF72,DJ$8:DJ$380)=0,0,DJ72/SUMIF($DF$8:$DF$380,"="&amp;$DF72,DJ$8:DJ$380))</f>
        <v>0.78200243540242287</v>
      </c>
      <c r="DT72" s="24">
        <f t="shared" ref="DT72:DT135" si="169">IF(SUMIF($DF$8:$DF$380,"="&amp;$DF72,DK$8:DK$380)=0,0,DK72/SUMIF($DF$8:$DF$380,"="&amp;$DF72,DK$8:DK$380))</f>
        <v>0.20303693517641946</v>
      </c>
      <c r="DU72" s="25">
        <f t="shared" ref="DU72:DU135" si="170">IF(SUMIF($DF$8:$DF$380,"="&amp;$DF72,DL$8:DL$380)=0,0,DL72/SUMIF($DF$8:$DF$380,"="&amp;$DF72,DL$8:DL$380))</f>
        <v>0.21058732871802147</v>
      </c>
      <c r="DV72" s="24">
        <f t="shared" ref="DV72:DV135" si="171">IF(SUMIF($DF$8:$DF$380,"="&amp;$DF72,DM$8:DM$380)=0,0,DM72/SUMIF($DF$8:$DF$380,"="&amp;$DF72,DM$8:DM$380))</f>
        <v>0.43072963876752007</v>
      </c>
      <c r="DW72" s="25">
        <f t="shared" ref="DW72:DW135" si="172">IF(SUMIF($DF$8:$DF$380,"="&amp;$DF72,DN$8:DN$380)=0,0,DN72/SUMIF($DF$8:$DF$380,"="&amp;$DF72,DN$8:DN$380))</f>
        <v>0.66397403539908539</v>
      </c>
      <c r="DX72" s="32">
        <f t="shared" ref="DX72:DX135" si="173">IF(SUMIF($DF$8:$DF$380,"="&amp;$DF72,DO$8:DO$380)=0,0,DO72/SUMIF($DF$8:$DF$380,"="&amp;$DF72,DO$8:DO$380))</f>
        <v>0.21087809747709763</v>
      </c>
      <c r="DZ72" s="54" t="s">
        <v>1630</v>
      </c>
      <c r="EA72" s="39">
        <v>0</v>
      </c>
      <c r="EB72" s="40">
        <v>0</v>
      </c>
      <c r="EC72" s="39">
        <v>0</v>
      </c>
      <c r="ED72" s="40">
        <v>0</v>
      </c>
      <c r="EE72" s="39">
        <v>0</v>
      </c>
      <c r="EF72" s="40">
        <v>0</v>
      </c>
      <c r="EG72" s="39">
        <v>0</v>
      </c>
      <c r="EH72" s="40">
        <v>0</v>
      </c>
      <c r="EI72" s="66">
        <v>0</v>
      </c>
      <c r="EO72" s="83" t="s">
        <v>1696</v>
      </c>
      <c r="EP72" s="82" t="s">
        <v>440</v>
      </c>
      <c r="EQ72" s="81">
        <f t="shared" ref="EQ72:EQ103" si="174">GETPIVOTDATA("Sum of "&amp;EP72&amp;" (Out)",$AW$6,"Sub-Sector",EO72)</f>
        <v>59.447196675097828</v>
      </c>
      <c r="ER72" s="80">
        <f>EQ72/SUM(EQ71:EQ79)</f>
        <v>0.19513567366417392</v>
      </c>
      <c r="ET72" s="75" t="s">
        <v>518</v>
      </c>
      <c r="EU72" s="72">
        <v>0.13290784673580755</v>
      </c>
      <c r="EW72" s="37" t="s">
        <v>1696</v>
      </c>
      <c r="EX72" s="36" t="s">
        <v>2129</v>
      </c>
      <c r="EY72" s="36" t="s">
        <v>1145</v>
      </c>
      <c r="EZ72" s="1" t="s">
        <v>1945</v>
      </c>
      <c r="FA72" s="36" t="str">
        <f t="shared" ref="FA72:FA103" si="175">EX72&amp;EZ72</f>
        <v>ICTFAC</v>
      </c>
      <c r="FB72" s="1" t="s">
        <v>518</v>
      </c>
      <c r="FC72" s="26">
        <f t="shared" ref="FC72:FC103" si="176">GETPIVOTDATA("Sum of "&amp;FB72&amp;" (Out)",$AW$6,"Sub-Sector",EW72)</f>
        <v>36.143704422857745</v>
      </c>
      <c r="FD72" s="25">
        <f t="shared" ref="FD72:FD103" si="177">GETPIVOTDATA("Sum of "&amp;FB72&amp;" (Out)",$AW$6,"Sub-Sector",EW72,"End-Use",EY72)</f>
        <v>7.4201819666007127</v>
      </c>
      <c r="FE72" s="24">
        <f t="shared" ref="FE72:FE103" si="178">GETPIVOTDATA("Sum of "&amp;FB72&amp;" (%)",$CH$6,"End-Use Commodity",FA72)</f>
        <v>0.20529666466362795</v>
      </c>
      <c r="FF72" s="36">
        <v>0</v>
      </c>
      <c r="FG72" s="86">
        <f t="shared" ref="FG72:FG103" si="179">FC72-((FD72-FF72)/FE72)</f>
        <v>0</v>
      </c>
    </row>
    <row r="73" spans="1:165" ht="15.75" thickBot="1">
      <c r="A73" s="37" t="s">
        <v>2075</v>
      </c>
      <c r="B73" s="36" t="s">
        <v>1107</v>
      </c>
      <c r="C73" s="1" t="s">
        <v>1120</v>
      </c>
      <c r="D73" s="36" t="s">
        <v>1120</v>
      </c>
      <c r="E73" s="36" t="s">
        <v>2140</v>
      </c>
      <c r="F73" s="1" t="e">
        <f t="shared" ca="1" si="159"/>
        <v>#NAME?</v>
      </c>
      <c r="G73" s="35" t="s">
        <v>1109</v>
      </c>
      <c r="H73" s="34">
        <f>1-I73</f>
        <v>0.88782287047481423</v>
      </c>
      <c r="I73" s="33">
        <v>0.1121771295251858</v>
      </c>
      <c r="J73" s="26" t="e">
        <v>#REF!</v>
      </c>
      <c r="K73" s="25" t="e">
        <v>#REF!</v>
      </c>
      <c r="L73" s="24"/>
      <c r="M73" s="25"/>
      <c r="N73" s="24"/>
      <c r="O73" s="25"/>
      <c r="P73" s="24"/>
      <c r="Q73" s="25"/>
      <c r="R73" s="32"/>
      <c r="S73" s="31" t="e">
        <v>#REF!</v>
      </c>
      <c r="T73" s="29" t="e">
        <f t="shared" si="157"/>
        <v>#REF!</v>
      </c>
      <c r="U73" s="30" t="e">
        <f t="shared" si="157"/>
        <v>#REF!</v>
      </c>
      <c r="V73" s="29" t="e">
        <f t="shared" si="157"/>
        <v>#REF!</v>
      </c>
      <c r="W73" s="30" t="e">
        <f t="shared" si="157"/>
        <v>#REF!</v>
      </c>
      <c r="X73" s="29" t="e">
        <f t="shared" si="157"/>
        <v>#REF!</v>
      </c>
      <c r="Y73" s="30" t="e">
        <f t="shared" si="157"/>
        <v>#REF!</v>
      </c>
      <c r="Z73" s="29" t="e">
        <f t="shared" si="157"/>
        <v>#REF!</v>
      </c>
      <c r="AA73" s="28" t="e">
        <f t="shared" si="157"/>
        <v>#REF!</v>
      </c>
      <c r="AB73" s="26" t="e">
        <f t="shared" ref="AB73:AJ75" si="180">J73*31.536*$H73*S73</f>
        <v>#REF!</v>
      </c>
      <c r="AC73" s="25" t="e">
        <f t="shared" si="180"/>
        <v>#REF!</v>
      </c>
      <c r="AD73" s="24" t="e">
        <f t="shared" si="180"/>
        <v>#REF!</v>
      </c>
      <c r="AE73" s="25" t="e">
        <f t="shared" si="180"/>
        <v>#REF!</v>
      </c>
      <c r="AF73" s="24" t="e">
        <f t="shared" si="180"/>
        <v>#REF!</v>
      </c>
      <c r="AG73" s="25" t="e">
        <f t="shared" si="180"/>
        <v>#REF!</v>
      </c>
      <c r="AH73" s="24" t="e">
        <f t="shared" si="180"/>
        <v>#REF!</v>
      </c>
      <c r="AI73" s="25" t="e">
        <f t="shared" si="180"/>
        <v>#REF!</v>
      </c>
      <c r="AJ73" s="24" t="e">
        <f t="shared" si="180"/>
        <v>#REF!</v>
      </c>
      <c r="AK73" s="27" t="e">
        <f t="shared" si="160"/>
        <v>#REF!</v>
      </c>
      <c r="AL73" s="26" t="e">
        <f t="shared" ref="AL73:AT75" si="181">J73*31.536*$I73*S73</f>
        <v>#REF!</v>
      </c>
      <c r="AM73" s="25" t="e">
        <f t="shared" si="181"/>
        <v>#REF!</v>
      </c>
      <c r="AN73" s="24" t="e">
        <f t="shared" si="181"/>
        <v>#REF!</v>
      </c>
      <c r="AO73" s="25" t="e">
        <f t="shared" si="181"/>
        <v>#REF!</v>
      </c>
      <c r="AP73" s="24" t="e">
        <f t="shared" si="181"/>
        <v>#REF!</v>
      </c>
      <c r="AQ73" s="25" t="e">
        <f t="shared" si="181"/>
        <v>#REF!</v>
      </c>
      <c r="AR73" s="24" t="e">
        <f t="shared" si="181"/>
        <v>#REF!</v>
      </c>
      <c r="AS73" s="25" t="e">
        <f t="shared" si="181"/>
        <v>#REF!</v>
      </c>
      <c r="AT73" s="24" t="e">
        <f t="shared" si="181"/>
        <v>#REF!</v>
      </c>
      <c r="AU73" s="23" t="e">
        <f>SUM(AL73:AT73)</f>
        <v>#REF!</v>
      </c>
      <c r="AW73" s="103" t="s">
        <v>1107</v>
      </c>
      <c r="AX73" s="41">
        <v>0.2374587776280494</v>
      </c>
      <c r="AY73" s="40">
        <v>1.5148047377374809</v>
      </c>
      <c r="AZ73" s="39">
        <v>2.8299575422116447</v>
      </c>
      <c r="BA73" s="40">
        <v>0.19961094363110116</v>
      </c>
      <c r="BB73" s="39">
        <v>0.23845500624965346</v>
      </c>
      <c r="BC73" s="40">
        <v>6.5484969948283997E-2</v>
      </c>
      <c r="BD73" s="39">
        <v>1.4748687430901521</v>
      </c>
      <c r="BE73" s="40">
        <v>9.554029104500783</v>
      </c>
      <c r="BF73" s="39">
        <v>0.41263961882254108</v>
      </c>
      <c r="BG73" s="81">
        <v>16.527309443819689</v>
      </c>
      <c r="BH73" s="66">
        <v>2.9327466453605342</v>
      </c>
      <c r="BJ73" s="37" t="s">
        <v>1611</v>
      </c>
      <c r="BK73" s="36" t="s">
        <v>2108</v>
      </c>
      <c r="BL73" s="1" t="s">
        <v>1145</v>
      </c>
      <c r="BM73" s="36" t="s">
        <v>1945</v>
      </c>
      <c r="BN73" s="82" t="str">
        <f t="shared" si="161"/>
        <v>IMOFAC</v>
      </c>
      <c r="BO73" s="26">
        <f t="shared" si="162"/>
        <v>1.6558757874501409</v>
      </c>
      <c r="BP73" s="25">
        <f t="shared" si="162"/>
        <v>4.5580689381715729</v>
      </c>
      <c r="BQ73" s="24">
        <f t="shared" si="162"/>
        <v>9.6102281590576499</v>
      </c>
      <c r="BR73" s="25">
        <f t="shared" si="162"/>
        <v>6.5092360414702135</v>
      </c>
      <c r="BS73" s="24">
        <f t="shared" si="162"/>
        <v>2.2763713924392697</v>
      </c>
      <c r="BT73" s="25">
        <f t="shared" si="162"/>
        <v>1.9841892455045056</v>
      </c>
      <c r="BU73" s="24">
        <f t="shared" si="162"/>
        <v>6.8930781214198138</v>
      </c>
      <c r="BV73" s="25">
        <f t="shared" si="162"/>
        <v>3.8983801476603266</v>
      </c>
      <c r="BW73" s="32">
        <f t="shared" si="162"/>
        <v>2.4444619124081122</v>
      </c>
      <c r="BX73" s="26">
        <f t="shared" ref="BX73:CF73" si="182">BO73/BO79</f>
        <v>0.13772749203791129</v>
      </c>
      <c r="BY73" s="25">
        <f t="shared" si="182"/>
        <v>0.12035303526917908</v>
      </c>
      <c r="BZ73" s="24">
        <f t="shared" si="182"/>
        <v>0.1296221364895577</v>
      </c>
      <c r="CA73" s="25">
        <f t="shared" si="182"/>
        <v>0.13421154283754166</v>
      </c>
      <c r="CB73" s="24">
        <f t="shared" si="182"/>
        <v>0.10956812219369808</v>
      </c>
      <c r="CC73" s="25">
        <f t="shared" si="182"/>
        <v>0.11043630472774267</v>
      </c>
      <c r="CD73" s="24">
        <f t="shared" si="182"/>
        <v>0.10827252254718819</v>
      </c>
      <c r="CE73" s="25">
        <f t="shared" si="182"/>
        <v>0.10973321895939066</v>
      </c>
      <c r="CF73" s="32">
        <f t="shared" si="182"/>
        <v>0.14639042952942141</v>
      </c>
      <c r="CH73" s="54" t="s">
        <v>2139</v>
      </c>
      <c r="CI73" s="41">
        <v>0.73803996577173003</v>
      </c>
      <c r="CJ73" s="40">
        <v>0.7351025950562039</v>
      </c>
      <c r="CK73" s="39">
        <v>0.37423112384374269</v>
      </c>
      <c r="CL73" s="40">
        <v>0.38651826294976765</v>
      </c>
      <c r="CM73" s="39">
        <v>0.39686435341424647</v>
      </c>
      <c r="CN73" s="40">
        <v>0.39371680443126261</v>
      </c>
      <c r="CO73" s="39">
        <v>0.40203782938138155</v>
      </c>
      <c r="CP73" s="40">
        <v>0.11497492498273987</v>
      </c>
      <c r="CQ73" s="66">
        <v>8.5113459598103111E-2</v>
      </c>
      <c r="CS73" s="54" t="s">
        <v>1561</v>
      </c>
      <c r="CT73" s="39">
        <v>9.4611072603651465</v>
      </c>
      <c r="CU73" s="40">
        <v>26.043245182409816</v>
      </c>
      <c r="CV73" s="39">
        <v>35.821520893769851</v>
      </c>
      <c r="CW73" s="40">
        <v>24.262767855541629</v>
      </c>
      <c r="CX73" s="39">
        <v>15.328423193862415</v>
      </c>
      <c r="CY73" s="40">
        <v>13.360953556533961</v>
      </c>
      <c r="CZ73" s="39">
        <v>46.415984186242973</v>
      </c>
      <c r="DA73" s="40">
        <v>16.785664291723112</v>
      </c>
      <c r="DB73" s="39">
        <v>10.525376048873012</v>
      </c>
      <c r="DC73" s="38">
        <v>198.00504246932192</v>
      </c>
      <c r="DE73" s="37" t="s">
        <v>1644</v>
      </c>
      <c r="DF73" s="35" t="str">
        <f t="shared" si="164"/>
        <v>ICPOH</v>
      </c>
      <c r="DG73" s="26">
        <f t="shared" si="154"/>
        <v>0</v>
      </c>
      <c r="DH73" s="25">
        <f t="shared" si="154"/>
        <v>0</v>
      </c>
      <c r="DI73" s="24">
        <f t="shared" si="154"/>
        <v>0</v>
      </c>
      <c r="DJ73" s="25">
        <f t="shared" si="154"/>
        <v>0</v>
      </c>
      <c r="DK73" s="24">
        <f t="shared" si="154"/>
        <v>2.696709218706173</v>
      </c>
      <c r="DL73" s="25">
        <f t="shared" si="154"/>
        <v>2.3505748876399122</v>
      </c>
      <c r="DM73" s="24">
        <f t="shared" si="154"/>
        <v>8.1659027068407344</v>
      </c>
      <c r="DN73" s="25">
        <f t="shared" si="154"/>
        <v>0</v>
      </c>
      <c r="DO73" s="32">
        <f t="shared" si="154"/>
        <v>0</v>
      </c>
      <c r="DP73" s="26">
        <f t="shared" si="165"/>
        <v>0</v>
      </c>
      <c r="DQ73" s="25">
        <f t="shared" si="166"/>
        <v>0</v>
      </c>
      <c r="DR73" s="24">
        <f t="shared" si="167"/>
        <v>0</v>
      </c>
      <c r="DS73" s="25">
        <f t="shared" si="168"/>
        <v>0</v>
      </c>
      <c r="DT73" s="24">
        <f t="shared" si="169"/>
        <v>0.29686036117062414</v>
      </c>
      <c r="DU73" s="25">
        <f t="shared" si="170"/>
        <v>0.2968603611706242</v>
      </c>
      <c r="DV73" s="24">
        <f t="shared" si="171"/>
        <v>0.29686036117062414</v>
      </c>
      <c r="DW73" s="25">
        <f t="shared" si="172"/>
        <v>0</v>
      </c>
      <c r="DX73" s="32">
        <f t="shared" si="173"/>
        <v>0</v>
      </c>
      <c r="DZ73" s="54" t="s">
        <v>1627</v>
      </c>
      <c r="EA73" s="39">
        <v>3.7498324511151186E-3</v>
      </c>
      <c r="EB73" s="40">
        <v>5.9223117534515342E-3</v>
      </c>
      <c r="EC73" s="39">
        <v>8.1039411677870932E-3</v>
      </c>
      <c r="ED73" s="40">
        <v>1</v>
      </c>
      <c r="EE73" s="39">
        <v>1.158759832755845E-2</v>
      </c>
      <c r="EF73" s="40">
        <v>7.9820050659828688E-3</v>
      </c>
      <c r="EG73" s="39">
        <v>1.2060942794508235E-2</v>
      </c>
      <c r="EH73" s="40">
        <v>1</v>
      </c>
      <c r="EI73" s="66">
        <v>1.8732360900821053E-2</v>
      </c>
      <c r="EO73" s="83" t="s">
        <v>1696</v>
      </c>
      <c r="EP73" s="82" t="s">
        <v>439</v>
      </c>
      <c r="EQ73" s="81">
        <f t="shared" si="174"/>
        <v>66.207520796153204</v>
      </c>
      <c r="ER73" s="80">
        <f>EQ73/SUM(EQ71:EQ79)</f>
        <v>0.21732646608724043</v>
      </c>
      <c r="ET73" s="75" t="s">
        <v>517</v>
      </c>
      <c r="EU73" s="72">
        <v>9.2028708537139625E-2</v>
      </c>
      <c r="EW73" s="37" t="s">
        <v>1696</v>
      </c>
      <c r="EX73" s="36" t="s">
        <v>2129</v>
      </c>
      <c r="EY73" s="36" t="s">
        <v>1139</v>
      </c>
      <c r="EZ73" s="1" t="s">
        <v>1943</v>
      </c>
      <c r="FA73" s="36" t="str">
        <f t="shared" si="175"/>
        <v>ICTFEED</v>
      </c>
      <c r="FB73" s="1" t="s">
        <v>517</v>
      </c>
      <c r="FC73" s="26">
        <f t="shared" si="176"/>
        <v>35.314273618764254</v>
      </c>
      <c r="FD73" s="25">
        <f t="shared" si="177"/>
        <v>6.43296576134889</v>
      </c>
      <c r="FE73" s="24">
        <f t="shared" si="178"/>
        <v>0.18216333233400364</v>
      </c>
      <c r="FF73" s="36">
        <v>0.02</v>
      </c>
      <c r="FG73" s="32">
        <f t="shared" si="179"/>
        <v>0.10979157958819741</v>
      </c>
    </row>
    <row r="74" spans="1:165">
      <c r="A74" s="37" t="s">
        <v>2075</v>
      </c>
      <c r="B74" s="36" t="s">
        <v>1107</v>
      </c>
      <c r="C74" s="1" t="s">
        <v>1120</v>
      </c>
      <c r="D74" s="36" t="s">
        <v>1120</v>
      </c>
      <c r="E74" s="36" t="s">
        <v>2138</v>
      </c>
      <c r="F74" s="1" t="e">
        <f t="shared" ca="1" si="159"/>
        <v>#NAME?</v>
      </c>
      <c r="G74" s="35" t="s">
        <v>1109</v>
      </c>
      <c r="H74" s="34">
        <f>1-I74</f>
        <v>0.5040028421789835</v>
      </c>
      <c r="I74" s="33">
        <v>0.49599715782101655</v>
      </c>
      <c r="J74" s="26">
        <v>0</v>
      </c>
      <c r="K74" s="25">
        <v>1.0321400338962871E-2</v>
      </c>
      <c r="L74" s="24"/>
      <c r="M74" s="25"/>
      <c r="N74" s="24"/>
      <c r="O74" s="25"/>
      <c r="P74" s="24"/>
      <c r="Q74" s="25"/>
      <c r="R74" s="32"/>
      <c r="S74" s="31" t="e">
        <v>#REF!</v>
      </c>
      <c r="T74" s="29" t="e">
        <f t="shared" si="157"/>
        <v>#REF!</v>
      </c>
      <c r="U74" s="30" t="e">
        <f t="shared" si="157"/>
        <v>#REF!</v>
      </c>
      <c r="V74" s="29" t="e">
        <f t="shared" si="157"/>
        <v>#REF!</v>
      </c>
      <c r="W74" s="30" t="e">
        <f t="shared" si="157"/>
        <v>#REF!</v>
      </c>
      <c r="X74" s="29" t="e">
        <f t="shared" si="157"/>
        <v>#REF!</v>
      </c>
      <c r="Y74" s="30" t="e">
        <f t="shared" si="157"/>
        <v>#REF!</v>
      </c>
      <c r="Z74" s="29" t="e">
        <f t="shared" si="157"/>
        <v>#REF!</v>
      </c>
      <c r="AA74" s="28" t="e">
        <f t="shared" si="157"/>
        <v>#REF!</v>
      </c>
      <c r="AB74" s="26" t="e">
        <f t="shared" si="180"/>
        <v>#REF!</v>
      </c>
      <c r="AC74" s="25" t="e">
        <f t="shared" si="180"/>
        <v>#REF!</v>
      </c>
      <c r="AD74" s="24" t="e">
        <f t="shared" si="180"/>
        <v>#REF!</v>
      </c>
      <c r="AE74" s="25" t="e">
        <f t="shared" si="180"/>
        <v>#REF!</v>
      </c>
      <c r="AF74" s="24" t="e">
        <f t="shared" si="180"/>
        <v>#REF!</v>
      </c>
      <c r="AG74" s="25" t="e">
        <f t="shared" si="180"/>
        <v>#REF!</v>
      </c>
      <c r="AH74" s="24" t="e">
        <f t="shared" si="180"/>
        <v>#REF!</v>
      </c>
      <c r="AI74" s="25" t="e">
        <f t="shared" si="180"/>
        <v>#REF!</v>
      </c>
      <c r="AJ74" s="24" t="e">
        <f t="shared" si="180"/>
        <v>#REF!</v>
      </c>
      <c r="AK74" s="27" t="e">
        <f t="shared" si="160"/>
        <v>#REF!</v>
      </c>
      <c r="AL74" s="26" t="e">
        <f t="shared" si="181"/>
        <v>#REF!</v>
      </c>
      <c r="AM74" s="25" t="e">
        <f t="shared" si="181"/>
        <v>#REF!</v>
      </c>
      <c r="AN74" s="24" t="e">
        <f t="shared" si="181"/>
        <v>#REF!</v>
      </c>
      <c r="AO74" s="25" t="e">
        <f t="shared" si="181"/>
        <v>#REF!</v>
      </c>
      <c r="AP74" s="24" t="e">
        <f t="shared" si="181"/>
        <v>#REF!</v>
      </c>
      <c r="AQ74" s="25" t="e">
        <f t="shared" si="181"/>
        <v>#REF!</v>
      </c>
      <c r="AR74" s="24" t="e">
        <f t="shared" si="181"/>
        <v>#REF!</v>
      </c>
      <c r="AS74" s="25" t="e">
        <f t="shared" si="181"/>
        <v>#REF!</v>
      </c>
      <c r="AT74" s="24" t="e">
        <f t="shared" si="181"/>
        <v>#REF!</v>
      </c>
      <c r="AU74" s="23" t="e">
        <f>SUM(AL74:AT74)</f>
        <v>#REF!</v>
      </c>
      <c r="AW74" s="51" t="s">
        <v>1539</v>
      </c>
      <c r="AX74" s="7">
        <v>7.6001544813004713</v>
      </c>
      <c r="AY74" s="6">
        <v>22.255901437411659</v>
      </c>
      <c r="AZ74" s="5">
        <v>47.606547646820282</v>
      </c>
      <c r="BA74" s="6">
        <v>32.996436973779794</v>
      </c>
      <c r="BB74" s="5">
        <v>28.178747619163488</v>
      </c>
      <c r="BC74" s="6">
        <v>23.759101302549464</v>
      </c>
      <c r="BD74" s="5">
        <v>82.211642829874165</v>
      </c>
      <c r="BE74" s="6">
        <v>28.847202153789933</v>
      </c>
      <c r="BF74" s="5">
        <v>17.085665523344243</v>
      </c>
      <c r="BG74" s="77">
        <v>290.54139996803349</v>
      </c>
      <c r="BH74" s="59">
        <v>2.1418505949022788</v>
      </c>
      <c r="BJ74" s="37" t="s">
        <v>1611</v>
      </c>
      <c r="BK74" s="36" t="s">
        <v>2108</v>
      </c>
      <c r="BL74" s="1" t="s">
        <v>1139</v>
      </c>
      <c r="BM74" s="36" t="s">
        <v>1943</v>
      </c>
      <c r="BN74" s="82" t="str">
        <f t="shared" si="161"/>
        <v>IMOFEED</v>
      </c>
      <c r="BO74" s="26">
        <f t="shared" si="162"/>
        <v>0.68473716588122846</v>
      </c>
      <c r="BP74" s="25">
        <f t="shared" si="162"/>
        <v>5.8013415988528187</v>
      </c>
      <c r="BQ74" s="24">
        <f t="shared" si="162"/>
        <v>1.1409825167394974</v>
      </c>
      <c r="BR74" s="25">
        <f t="shared" si="162"/>
        <v>0.77281458855357588</v>
      </c>
      <c r="BS74" s="24">
        <f t="shared" si="162"/>
        <v>0</v>
      </c>
      <c r="BT74" s="25">
        <f t="shared" si="162"/>
        <v>0</v>
      </c>
      <c r="BU74" s="24">
        <f t="shared" si="162"/>
        <v>0</v>
      </c>
      <c r="BV74" s="25">
        <f t="shared" si="162"/>
        <v>0</v>
      </c>
      <c r="BW74" s="32">
        <f t="shared" si="162"/>
        <v>0</v>
      </c>
      <c r="BX74" s="26">
        <f t="shared" ref="BX74:CF74" si="183">BO74/BO79</f>
        <v>5.6953023455455574E-2</v>
      </c>
      <c r="BY74" s="25">
        <f t="shared" si="183"/>
        <v>0.15318089294528509</v>
      </c>
      <c r="BZ74" s="24">
        <f t="shared" si="183"/>
        <v>1.5389498466549254E-2</v>
      </c>
      <c r="CA74" s="25">
        <f t="shared" si="183"/>
        <v>1.5934379640918421E-2</v>
      </c>
      <c r="CB74" s="24">
        <f t="shared" si="183"/>
        <v>0</v>
      </c>
      <c r="CC74" s="25">
        <f t="shared" si="183"/>
        <v>0</v>
      </c>
      <c r="CD74" s="24">
        <f t="shared" si="183"/>
        <v>0</v>
      </c>
      <c r="CE74" s="25">
        <f t="shared" si="183"/>
        <v>0</v>
      </c>
      <c r="CF74" s="32">
        <f t="shared" si="183"/>
        <v>0</v>
      </c>
      <c r="CH74" s="54" t="s">
        <v>2137</v>
      </c>
      <c r="CI74" s="41">
        <v>3.3326713280373149E-2</v>
      </c>
      <c r="CJ74" s="40">
        <v>3.1423540503727726E-2</v>
      </c>
      <c r="CK74" s="39">
        <v>4.5734885802416712E-2</v>
      </c>
      <c r="CL74" s="40">
        <v>4.7236500361036625E-2</v>
      </c>
      <c r="CM74" s="39">
        <v>9.7520527183986405E-2</v>
      </c>
      <c r="CN74" s="40">
        <v>9.6747087509908139E-2</v>
      </c>
      <c r="CO74" s="39">
        <v>9.8791793044344711E-2</v>
      </c>
      <c r="CP74" s="40">
        <v>0.13890383779041274</v>
      </c>
      <c r="CQ74" s="66">
        <v>0.10282751815294139</v>
      </c>
      <c r="CS74" s="54" t="s">
        <v>1770</v>
      </c>
      <c r="CT74" s="39">
        <v>0</v>
      </c>
      <c r="CU74" s="40">
        <v>0</v>
      </c>
      <c r="CV74" s="39">
        <v>0</v>
      </c>
      <c r="CW74" s="40">
        <v>0</v>
      </c>
      <c r="CX74" s="39">
        <v>0</v>
      </c>
      <c r="CY74" s="40">
        <v>0</v>
      </c>
      <c r="CZ74" s="39">
        <v>0</v>
      </c>
      <c r="DA74" s="40">
        <v>0</v>
      </c>
      <c r="DB74" s="39">
        <v>0</v>
      </c>
      <c r="DC74" s="38">
        <v>0</v>
      </c>
      <c r="DE74" s="37" t="s">
        <v>1641</v>
      </c>
      <c r="DF74" s="35" t="str">
        <f t="shared" si="164"/>
        <v>ICPOH</v>
      </c>
      <c r="DG74" s="26">
        <f t="shared" si="154"/>
        <v>1.2459782580800294E-2</v>
      </c>
      <c r="DH74" s="25">
        <f t="shared" si="154"/>
        <v>3.4297589461931254E-2</v>
      </c>
      <c r="DI74" s="24">
        <f t="shared" si="154"/>
        <v>0.11150470210638364</v>
      </c>
      <c r="DJ74" s="25">
        <f t="shared" si="154"/>
        <v>7.552478606454259E-2</v>
      </c>
      <c r="DK74" s="24">
        <f t="shared" si="154"/>
        <v>0.20676105547269111</v>
      </c>
      <c r="DL74" s="25">
        <f t="shared" si="154"/>
        <v>0.18022237672670069</v>
      </c>
      <c r="DM74" s="24">
        <f t="shared" si="154"/>
        <v>0.62609296205979215</v>
      </c>
      <c r="DN74" s="25">
        <f t="shared" si="154"/>
        <v>9.5791975270144627E-3</v>
      </c>
      <c r="DO74" s="32">
        <f t="shared" si="154"/>
        <v>6.0065931538960601E-3</v>
      </c>
      <c r="DP74" s="26">
        <f t="shared" si="165"/>
        <v>3.669665536789686E-2</v>
      </c>
      <c r="DQ74" s="25">
        <f t="shared" si="166"/>
        <v>3.6696655367896854E-2</v>
      </c>
      <c r="DR74" s="24">
        <f t="shared" si="167"/>
        <v>5.2501217317712172E-2</v>
      </c>
      <c r="DS74" s="25">
        <f t="shared" si="168"/>
        <v>5.2501217317712186E-2</v>
      </c>
      <c r="DT74" s="24">
        <f t="shared" si="169"/>
        <v>2.2760763814606243E-2</v>
      </c>
      <c r="DU74" s="25">
        <f t="shared" si="170"/>
        <v>2.2760763814606247E-2</v>
      </c>
      <c r="DV74" s="24">
        <f t="shared" si="171"/>
        <v>2.2760763814606247E-2</v>
      </c>
      <c r="DW74" s="25">
        <f t="shared" si="172"/>
        <v>1</v>
      </c>
      <c r="DX74" s="32">
        <f t="shared" si="173"/>
        <v>1</v>
      </c>
      <c r="DZ74" s="54" t="s">
        <v>1384</v>
      </c>
      <c r="EA74" s="39">
        <v>0</v>
      </c>
      <c r="EB74" s="40">
        <v>0.1806920220573692</v>
      </c>
      <c r="EC74" s="39">
        <v>0.20359397561015319</v>
      </c>
      <c r="ED74" s="40">
        <v>0</v>
      </c>
      <c r="EE74" s="39">
        <v>0.15151960814396323</v>
      </c>
      <c r="EF74" s="40">
        <v>9.1612126748172915E-2</v>
      </c>
      <c r="EG74" s="39">
        <v>6.3314930640265388E-2</v>
      </c>
      <c r="EH74" s="40">
        <v>0</v>
      </c>
      <c r="EI74" s="66">
        <v>0.25088049667979423</v>
      </c>
      <c r="EO74" s="83" t="s">
        <v>1696</v>
      </c>
      <c r="EP74" s="82" t="s">
        <v>518</v>
      </c>
      <c r="EQ74" s="81">
        <f t="shared" si="174"/>
        <v>36.143704422857745</v>
      </c>
      <c r="ER74" s="80">
        <f>EQ74/SUM(EQ71:EQ79)</f>
        <v>0.1186418621187493</v>
      </c>
      <c r="ET74" s="75" t="s">
        <v>519</v>
      </c>
      <c r="EU74" s="72">
        <v>7.0941132483583552E-2</v>
      </c>
      <c r="EW74" s="37" t="s">
        <v>1696</v>
      </c>
      <c r="EX74" s="36" t="s">
        <v>2129</v>
      </c>
      <c r="EY74" s="36" t="s">
        <v>1139</v>
      </c>
      <c r="EZ74" s="1" t="s">
        <v>1943</v>
      </c>
      <c r="FA74" s="36" t="str">
        <f t="shared" si="175"/>
        <v>ICTFEED</v>
      </c>
      <c r="FB74" s="1" t="s">
        <v>519</v>
      </c>
      <c r="FC74" s="26">
        <f t="shared" si="176"/>
        <v>17.47968943882789</v>
      </c>
      <c r="FD74" s="25">
        <f t="shared" si="177"/>
        <v>5.6072666888901361</v>
      </c>
      <c r="FE74" s="24">
        <f t="shared" si="178"/>
        <v>0.32078754651296221</v>
      </c>
      <c r="FF74" s="36">
        <v>0.02</v>
      </c>
      <c r="FG74" s="32">
        <f t="shared" si="179"/>
        <v>6.2346559950359648E-2</v>
      </c>
    </row>
    <row r="75" spans="1:165">
      <c r="A75" s="37" t="s">
        <v>2075</v>
      </c>
      <c r="B75" s="36" t="s">
        <v>1107</v>
      </c>
      <c r="C75" s="1" t="s">
        <v>1120</v>
      </c>
      <c r="D75" s="36" t="s">
        <v>1120</v>
      </c>
      <c r="E75" s="36" t="s">
        <v>2136</v>
      </c>
      <c r="F75" s="1" t="e">
        <f t="shared" ca="1" si="159"/>
        <v>#NAME?</v>
      </c>
      <c r="G75" s="35" t="s">
        <v>1109</v>
      </c>
      <c r="H75" s="34">
        <f>1-I75</f>
        <v>0.48901213487462869</v>
      </c>
      <c r="I75" s="33">
        <v>0.51098786512537131</v>
      </c>
      <c r="J75" s="26">
        <v>0</v>
      </c>
      <c r="K75" s="25">
        <v>3.3814324413050774E-2</v>
      </c>
      <c r="L75" s="24"/>
      <c r="M75" s="25"/>
      <c r="N75" s="24"/>
      <c r="O75" s="25"/>
      <c r="P75" s="24"/>
      <c r="Q75" s="25"/>
      <c r="R75" s="32"/>
      <c r="S75" s="31" t="e">
        <v>#REF!</v>
      </c>
      <c r="T75" s="29" t="e">
        <f t="shared" si="157"/>
        <v>#REF!</v>
      </c>
      <c r="U75" s="30" t="e">
        <f t="shared" si="157"/>
        <v>#REF!</v>
      </c>
      <c r="V75" s="29" t="e">
        <f t="shared" si="157"/>
        <v>#REF!</v>
      </c>
      <c r="W75" s="30" t="e">
        <f t="shared" si="157"/>
        <v>#REF!</v>
      </c>
      <c r="X75" s="29" t="e">
        <f t="shared" si="157"/>
        <v>#REF!</v>
      </c>
      <c r="Y75" s="30" t="e">
        <f t="shared" si="157"/>
        <v>#REF!</v>
      </c>
      <c r="Z75" s="29" t="e">
        <f t="shared" si="157"/>
        <v>#REF!</v>
      </c>
      <c r="AA75" s="28" t="e">
        <f t="shared" si="157"/>
        <v>#REF!</v>
      </c>
      <c r="AB75" s="26" t="e">
        <f t="shared" si="180"/>
        <v>#REF!</v>
      </c>
      <c r="AC75" s="25" t="e">
        <f t="shared" si="180"/>
        <v>#REF!</v>
      </c>
      <c r="AD75" s="24" t="e">
        <f t="shared" si="180"/>
        <v>#REF!</v>
      </c>
      <c r="AE75" s="25" t="e">
        <f t="shared" si="180"/>
        <v>#REF!</v>
      </c>
      <c r="AF75" s="24" t="e">
        <f t="shared" si="180"/>
        <v>#REF!</v>
      </c>
      <c r="AG75" s="25" t="e">
        <f t="shared" si="180"/>
        <v>#REF!</v>
      </c>
      <c r="AH75" s="24" t="e">
        <f t="shared" si="180"/>
        <v>#REF!</v>
      </c>
      <c r="AI75" s="25" t="e">
        <f t="shared" si="180"/>
        <v>#REF!</v>
      </c>
      <c r="AJ75" s="24" t="e">
        <f t="shared" si="180"/>
        <v>#REF!</v>
      </c>
      <c r="AK75" s="27" t="e">
        <f t="shared" si="160"/>
        <v>#REF!</v>
      </c>
      <c r="AL75" s="26" t="e">
        <f t="shared" si="181"/>
        <v>#REF!</v>
      </c>
      <c r="AM75" s="25" t="e">
        <f t="shared" si="181"/>
        <v>#REF!</v>
      </c>
      <c r="AN75" s="24" t="e">
        <f t="shared" si="181"/>
        <v>#REF!</v>
      </c>
      <c r="AO75" s="25" t="e">
        <f t="shared" si="181"/>
        <v>#REF!</v>
      </c>
      <c r="AP75" s="24" t="e">
        <f t="shared" si="181"/>
        <v>#REF!</v>
      </c>
      <c r="AQ75" s="25" t="e">
        <f t="shared" si="181"/>
        <v>#REF!</v>
      </c>
      <c r="AR75" s="24" t="e">
        <f t="shared" si="181"/>
        <v>#REF!</v>
      </c>
      <c r="AS75" s="25" t="e">
        <f t="shared" si="181"/>
        <v>#REF!</v>
      </c>
      <c r="AT75" s="24" t="e">
        <f t="shared" si="181"/>
        <v>#REF!</v>
      </c>
      <c r="AU75" s="23" t="e">
        <f>SUM(AL75:AT75)</f>
        <v>#REF!</v>
      </c>
      <c r="AW75" s="100" t="s">
        <v>1150</v>
      </c>
      <c r="AX75" s="41">
        <v>3.7791296839802216E-2</v>
      </c>
      <c r="AY75" s="40">
        <v>0.10402672565433035</v>
      </c>
      <c r="AZ75" s="39">
        <v>0.12682526568007951</v>
      </c>
      <c r="BA75" s="40">
        <v>8.5901768061119391E-2</v>
      </c>
      <c r="BB75" s="39">
        <v>0.12301183580420917</v>
      </c>
      <c r="BC75" s="40">
        <v>0.10722273284717955</v>
      </c>
      <c r="BD75" s="39">
        <v>0.37249202694867478</v>
      </c>
      <c r="BE75" s="40">
        <v>0.1089536358929941</v>
      </c>
      <c r="BF75" s="39">
        <v>6.8318892224671662E-2</v>
      </c>
      <c r="BG75" s="81">
        <v>1.1345441799530607</v>
      </c>
      <c r="BH75" s="66">
        <v>0</v>
      </c>
      <c r="BJ75" s="37" t="s">
        <v>1611</v>
      </c>
      <c r="BK75" s="36" t="s">
        <v>2108</v>
      </c>
      <c r="BL75" s="1" t="s">
        <v>1136</v>
      </c>
      <c r="BM75" s="36" t="s">
        <v>1941</v>
      </c>
      <c r="BN75" s="82" t="str">
        <f t="shared" si="161"/>
        <v>IMOMDR</v>
      </c>
      <c r="BO75" s="26">
        <f t="shared" si="162"/>
        <v>1.4284722375936298</v>
      </c>
      <c r="BP75" s="25">
        <f t="shared" si="162"/>
        <v>3.9321034733180551</v>
      </c>
      <c r="BQ75" s="24">
        <f t="shared" si="162"/>
        <v>10.238182013094626</v>
      </c>
      <c r="BR75" s="25">
        <f t="shared" si="162"/>
        <v>6.934564118122081</v>
      </c>
      <c r="BS75" s="24">
        <f t="shared" si="162"/>
        <v>2.5987082610051777</v>
      </c>
      <c r="BT75" s="25">
        <f t="shared" si="162"/>
        <v>2.2651527781522813</v>
      </c>
      <c r="BU75" s="24">
        <f t="shared" si="162"/>
        <v>7.8691460968909617</v>
      </c>
      <c r="BV75" s="25">
        <f t="shared" si="162"/>
        <v>3.4197120007486275</v>
      </c>
      <c r="BW75" s="32">
        <f t="shared" si="162"/>
        <v>2.1443151823590005</v>
      </c>
      <c r="BX75" s="26">
        <f t="shared" ref="BX75:CF75" si="184">BO75/BO79</f>
        <v>0.11881319856274421</v>
      </c>
      <c r="BY75" s="25">
        <f t="shared" si="184"/>
        <v>0.10382479826997647</v>
      </c>
      <c r="BZ75" s="24">
        <f t="shared" si="184"/>
        <v>0.13809193750051582</v>
      </c>
      <c r="CA75" s="25">
        <f t="shared" si="184"/>
        <v>0.14298122594872256</v>
      </c>
      <c r="CB75" s="24">
        <f t="shared" si="184"/>
        <v>0.12508309726317399</v>
      </c>
      <c r="CC75" s="25">
        <f t="shared" si="184"/>
        <v>0.12607421546593106</v>
      </c>
      <c r="CD75" s="24">
        <f t="shared" si="184"/>
        <v>0.1236040391817364</v>
      </c>
      <c r="CE75" s="25">
        <f t="shared" si="184"/>
        <v>9.6259469713701667E-2</v>
      </c>
      <c r="CF75" s="32">
        <f t="shared" si="184"/>
        <v>0.12841567258569161</v>
      </c>
      <c r="CH75" s="54" t="s">
        <v>2135</v>
      </c>
      <c r="CI75" s="41">
        <v>1.0751995282223663E-2</v>
      </c>
      <c r="CJ75" s="40">
        <v>1.0137986197571464E-2</v>
      </c>
      <c r="CK75" s="39">
        <v>6.3438901004161885E-2</v>
      </c>
      <c r="CL75" s="40">
        <v>6.552179190154471E-2</v>
      </c>
      <c r="CM75" s="39">
        <v>2.4515608262315809E-2</v>
      </c>
      <c r="CN75" s="40">
        <v>2.4321173873866873E-2</v>
      </c>
      <c r="CO75" s="39">
        <v>2.4835190782322093E-2</v>
      </c>
      <c r="CP75" s="40">
        <v>1.6011483422019364E-2</v>
      </c>
      <c r="CQ75" s="66">
        <v>1.1852956177621568E-2</v>
      </c>
      <c r="CS75" s="54" t="s">
        <v>1772</v>
      </c>
      <c r="CT75" s="39">
        <v>0</v>
      </c>
      <c r="CU75" s="40">
        <v>0</v>
      </c>
      <c r="CV75" s="39">
        <v>0</v>
      </c>
      <c r="CW75" s="40">
        <v>0</v>
      </c>
      <c r="CX75" s="39">
        <v>0</v>
      </c>
      <c r="CY75" s="40">
        <v>0</v>
      </c>
      <c r="CZ75" s="39">
        <v>1.0566564568276462</v>
      </c>
      <c r="DA75" s="40">
        <v>0</v>
      </c>
      <c r="DB75" s="39">
        <v>0</v>
      </c>
      <c r="DC75" s="38">
        <v>1.0566564568276462</v>
      </c>
      <c r="DE75" s="37" t="s">
        <v>1638</v>
      </c>
      <c r="DF75" s="35" t="str">
        <f t="shared" si="164"/>
        <v>ICPOH</v>
      </c>
      <c r="DG75" s="26">
        <f t="shared" si="154"/>
        <v>0.32707477324960438</v>
      </c>
      <c r="DH75" s="25">
        <f t="shared" si="154"/>
        <v>0.90032680935823028</v>
      </c>
      <c r="DI75" s="24">
        <f t="shared" si="154"/>
        <v>2.0123451399193866</v>
      </c>
      <c r="DJ75" s="25">
        <f t="shared" si="154"/>
        <v>1.3630092122521595</v>
      </c>
      <c r="DK75" s="24">
        <f t="shared" si="154"/>
        <v>4.8848117860265337</v>
      </c>
      <c r="DL75" s="25">
        <f t="shared" si="154"/>
        <v>4.257824994787657</v>
      </c>
      <c r="DM75" s="24">
        <f t="shared" si="154"/>
        <v>14.791694080038591</v>
      </c>
      <c r="DN75" s="25">
        <f t="shared" si="154"/>
        <v>0</v>
      </c>
      <c r="DO75" s="32">
        <f t="shared" si="154"/>
        <v>0</v>
      </c>
      <c r="DP75" s="26">
        <f t="shared" si="165"/>
        <v>0.96330334463210321</v>
      </c>
      <c r="DQ75" s="25">
        <f t="shared" si="166"/>
        <v>0.9633033446321031</v>
      </c>
      <c r="DR75" s="24">
        <f t="shared" si="167"/>
        <v>0.94749878268228782</v>
      </c>
      <c r="DS75" s="25">
        <f t="shared" si="168"/>
        <v>0.94749878268228793</v>
      </c>
      <c r="DT75" s="24">
        <f t="shared" si="169"/>
        <v>0.53773205542201197</v>
      </c>
      <c r="DU75" s="25">
        <f t="shared" si="170"/>
        <v>0.53773205542201197</v>
      </c>
      <c r="DV75" s="24">
        <f t="shared" si="171"/>
        <v>0.53773205542201197</v>
      </c>
      <c r="DW75" s="25">
        <f t="shared" si="172"/>
        <v>0</v>
      </c>
      <c r="DX75" s="32">
        <f t="shared" si="173"/>
        <v>0</v>
      </c>
      <c r="DZ75" s="54" t="s">
        <v>1624</v>
      </c>
      <c r="EA75" s="39">
        <v>0</v>
      </c>
      <c r="EB75" s="40">
        <v>0.4539786272305108</v>
      </c>
      <c r="EC75" s="39">
        <v>0.51151850816387479</v>
      </c>
      <c r="ED75" s="40">
        <v>0</v>
      </c>
      <c r="EE75" s="39">
        <v>0.38068456437917209</v>
      </c>
      <c r="EF75" s="40">
        <v>0.23017035874222719</v>
      </c>
      <c r="EG75" s="39">
        <v>0.159075231811489</v>
      </c>
      <c r="EH75" s="40">
        <v>0</v>
      </c>
      <c r="EI75" s="66">
        <v>0.63032325492179497</v>
      </c>
      <c r="EO75" s="83" t="s">
        <v>1696</v>
      </c>
      <c r="EP75" s="82" t="s">
        <v>517</v>
      </c>
      <c r="EQ75" s="81">
        <f t="shared" si="174"/>
        <v>35.314273618764254</v>
      </c>
      <c r="ER75" s="80">
        <f>EQ75/SUM(EQ71:EQ79)</f>
        <v>0.11591925200814673</v>
      </c>
      <c r="ET75" s="75" t="s">
        <v>520</v>
      </c>
      <c r="EU75" s="72">
        <v>0.23445198007790427</v>
      </c>
      <c r="EW75" s="37" t="s">
        <v>1696</v>
      </c>
      <c r="EX75" s="36" t="s">
        <v>2129</v>
      </c>
      <c r="EY75" s="36" t="s">
        <v>1139</v>
      </c>
      <c r="EZ75" s="1" t="s">
        <v>1943</v>
      </c>
      <c r="FA75" s="36" t="str">
        <f t="shared" si="175"/>
        <v>ICTFEED</v>
      </c>
      <c r="FB75" s="1" t="s">
        <v>520</v>
      </c>
      <c r="FC75" s="26">
        <f t="shared" si="176"/>
        <v>57.942521966785321</v>
      </c>
      <c r="FD75" s="25">
        <f t="shared" si="177"/>
        <v>19.479657709931356</v>
      </c>
      <c r="FE75" s="24">
        <f t="shared" si="178"/>
        <v>0.33618933123238537</v>
      </c>
      <c r="FF75" s="36">
        <v>0.02</v>
      </c>
      <c r="FG75" s="32">
        <f t="shared" si="179"/>
        <v>5.9490287590875823E-2</v>
      </c>
    </row>
    <row r="76" spans="1:165">
      <c r="A76" s="37" t="s">
        <v>2075</v>
      </c>
      <c r="B76" s="36" t="s">
        <v>1107</v>
      </c>
      <c r="C76" s="1" t="s">
        <v>1126</v>
      </c>
      <c r="D76" s="36" t="s">
        <v>1126</v>
      </c>
      <c r="E76" s="36" t="s">
        <v>2134</v>
      </c>
      <c r="F76" s="1" t="e">
        <f t="shared" ca="1" si="159"/>
        <v>#NAME?</v>
      </c>
      <c r="G76" s="35" t="s">
        <v>1104</v>
      </c>
      <c r="H76" s="43">
        <v>1</v>
      </c>
      <c r="I76" s="42">
        <v>0</v>
      </c>
      <c r="J76" s="26">
        <v>0.46257831027083146</v>
      </c>
      <c r="K76" s="25">
        <v>0.40320437670739923</v>
      </c>
      <c r="L76" s="24"/>
      <c r="M76" s="25"/>
      <c r="N76" s="24"/>
      <c r="O76" s="25"/>
      <c r="P76" s="24"/>
      <c r="Q76" s="25"/>
      <c r="R76" s="32"/>
      <c r="S76" s="31" t="e">
        <v>#REF!</v>
      </c>
      <c r="T76" s="29" t="e">
        <f t="shared" si="157"/>
        <v>#REF!</v>
      </c>
      <c r="U76" s="30" t="e">
        <f t="shared" si="157"/>
        <v>#REF!</v>
      </c>
      <c r="V76" s="29" t="e">
        <f t="shared" si="157"/>
        <v>#REF!</v>
      </c>
      <c r="W76" s="30" t="e">
        <f t="shared" si="157"/>
        <v>#REF!</v>
      </c>
      <c r="X76" s="29" t="e">
        <f t="shared" si="157"/>
        <v>#REF!</v>
      </c>
      <c r="Y76" s="30" t="e">
        <f t="shared" si="157"/>
        <v>#REF!</v>
      </c>
      <c r="Z76" s="29" t="e">
        <f t="shared" si="157"/>
        <v>#REF!</v>
      </c>
      <c r="AA76" s="28" t="e">
        <f t="shared" si="157"/>
        <v>#REF!</v>
      </c>
      <c r="AB76" s="26" t="e">
        <f t="shared" ref="AB76:AJ76" si="185">J76*$H76*S76</f>
        <v>#REF!</v>
      </c>
      <c r="AC76" s="25" t="e">
        <f t="shared" si="185"/>
        <v>#REF!</v>
      </c>
      <c r="AD76" s="24" t="e">
        <f t="shared" si="185"/>
        <v>#REF!</v>
      </c>
      <c r="AE76" s="25" t="e">
        <f t="shared" si="185"/>
        <v>#REF!</v>
      </c>
      <c r="AF76" s="24" t="e">
        <f t="shared" si="185"/>
        <v>#REF!</v>
      </c>
      <c r="AG76" s="25" t="e">
        <f t="shared" si="185"/>
        <v>#REF!</v>
      </c>
      <c r="AH76" s="24" t="e">
        <f t="shared" si="185"/>
        <v>#REF!</v>
      </c>
      <c r="AI76" s="25" t="e">
        <f t="shared" si="185"/>
        <v>#REF!</v>
      </c>
      <c r="AJ76" s="24" t="e">
        <f t="shared" si="185"/>
        <v>#REF!</v>
      </c>
      <c r="AK76" s="27" t="e">
        <f t="shared" si="160"/>
        <v>#REF!</v>
      </c>
      <c r="AL76" s="41">
        <v>0</v>
      </c>
      <c r="AM76" s="40">
        <v>0</v>
      </c>
      <c r="AN76" s="39">
        <v>0</v>
      </c>
      <c r="AO76" s="40">
        <v>0</v>
      </c>
      <c r="AP76" s="39">
        <v>0</v>
      </c>
      <c r="AQ76" s="40">
        <v>0</v>
      </c>
      <c r="AR76" s="39">
        <v>0</v>
      </c>
      <c r="AS76" s="40">
        <v>0</v>
      </c>
      <c r="AT76" s="39">
        <v>0</v>
      </c>
      <c r="AU76" s="38">
        <v>0</v>
      </c>
      <c r="AW76" s="100" t="s">
        <v>1145</v>
      </c>
      <c r="AX76" s="41">
        <v>0.67943609216716405</v>
      </c>
      <c r="AY76" s="40">
        <v>1.8702589715069908</v>
      </c>
      <c r="AZ76" s="39">
        <v>2.7543543437510687</v>
      </c>
      <c r="BA76" s="40">
        <v>1.8655896892964643</v>
      </c>
      <c r="BB76" s="39">
        <v>2.5236544444393409</v>
      </c>
      <c r="BC76" s="40">
        <v>2.1997324446519455</v>
      </c>
      <c r="BD76" s="39">
        <v>7.6418757039237351</v>
      </c>
      <c r="BE76" s="40">
        <v>2.7244545700246965</v>
      </c>
      <c r="BF76" s="39">
        <v>1.7083571063505922</v>
      </c>
      <c r="BG76" s="81">
        <v>23.967713366112001</v>
      </c>
      <c r="BH76" s="66">
        <v>0</v>
      </c>
      <c r="BJ76" s="37" t="s">
        <v>1611</v>
      </c>
      <c r="BK76" s="36" t="s">
        <v>2108</v>
      </c>
      <c r="BL76" s="1" t="s">
        <v>1129</v>
      </c>
      <c r="BM76" s="36" t="s">
        <v>1910</v>
      </c>
      <c r="BN76" s="82" t="str">
        <f t="shared" si="161"/>
        <v>IMOOHT</v>
      </c>
      <c r="BO76" s="26">
        <f t="shared" si="162"/>
        <v>0.72637635234250308</v>
      </c>
      <c r="BP76" s="25">
        <f t="shared" si="162"/>
        <v>1.9994697151367256</v>
      </c>
      <c r="BQ76" s="24">
        <f t="shared" si="162"/>
        <v>6.7666410660825491</v>
      </c>
      <c r="BR76" s="25">
        <f t="shared" si="162"/>
        <v>4.5832068893727431</v>
      </c>
      <c r="BS76" s="24">
        <f t="shared" si="162"/>
        <v>5.5061688758557761</v>
      </c>
      <c r="BT76" s="25">
        <f t="shared" si="162"/>
        <v>4.7994282056486242</v>
      </c>
      <c r="BU76" s="24">
        <f t="shared" si="162"/>
        <v>16.673224912712371</v>
      </c>
      <c r="BV76" s="25">
        <f t="shared" si="162"/>
        <v>0.3515591836592567</v>
      </c>
      <c r="BW76" s="32">
        <f t="shared" si="162"/>
        <v>0.22044362064795228</v>
      </c>
      <c r="BX76" s="26">
        <f t="shared" ref="BX76:CF76" si="186">BO76/BO79</f>
        <v>6.0416363378217132E-2</v>
      </c>
      <c r="BY76" s="25">
        <f t="shared" si="186"/>
        <v>5.2794780511160322E-2</v>
      </c>
      <c r="BZ76" s="24">
        <f t="shared" si="186"/>
        <v>9.1268017504550561E-2</v>
      </c>
      <c r="CA76" s="25">
        <f t="shared" si="186"/>
        <v>9.4499456441194229E-2</v>
      </c>
      <c r="CB76" s="24">
        <f t="shared" si="186"/>
        <v>0.26502730890605236</v>
      </c>
      <c r="CC76" s="25">
        <f t="shared" si="186"/>
        <v>0.26712729999862861</v>
      </c>
      <c r="CD76" s="24">
        <f t="shared" si="186"/>
        <v>0.26189346595192076</v>
      </c>
      <c r="CE76" s="25">
        <f t="shared" si="186"/>
        <v>9.8958335042873807E-3</v>
      </c>
      <c r="CF76" s="32">
        <f t="shared" si="186"/>
        <v>1.3201611426166016E-2</v>
      </c>
      <c r="CH76" s="54" t="s">
        <v>2133</v>
      </c>
      <c r="CI76" s="41">
        <v>0.19914987188600289</v>
      </c>
      <c r="CJ76" s="40">
        <v>0.18777711479900042</v>
      </c>
      <c r="CK76" s="39">
        <v>0.44727433748600404</v>
      </c>
      <c r="CL76" s="40">
        <v>0.46195970610740267</v>
      </c>
      <c r="CM76" s="39">
        <v>0.41813274078949025</v>
      </c>
      <c r="CN76" s="40">
        <v>0.41481651127252367</v>
      </c>
      <c r="CO76" s="39">
        <v>0.42358346889579823</v>
      </c>
      <c r="CP76" s="40">
        <v>0.64404330865346626</v>
      </c>
      <c r="CQ76" s="66">
        <v>0.47677138418428705</v>
      </c>
      <c r="CS76" s="54" t="s">
        <v>2132</v>
      </c>
      <c r="CT76" s="39">
        <v>1.8982444718727445</v>
      </c>
      <c r="CU76" s="40">
        <v>5.2252283835991449</v>
      </c>
      <c r="CV76" s="39">
        <v>9.2433132839007648</v>
      </c>
      <c r="CW76" s="40">
        <v>6.2607158721262897</v>
      </c>
      <c r="CX76" s="39">
        <v>9.492757260592354</v>
      </c>
      <c r="CY76" s="40">
        <v>8.2743206707007779</v>
      </c>
      <c r="CZ76" s="39">
        <v>28.745009536788029</v>
      </c>
      <c r="DA76" s="40">
        <v>5.150781621083186</v>
      </c>
      <c r="DB76" s="39">
        <v>3.229774679471979</v>
      </c>
      <c r="DC76" s="38">
        <v>77.520145780135266</v>
      </c>
      <c r="DE76" s="37" t="s">
        <v>1636</v>
      </c>
      <c r="DF76" s="35" t="str">
        <f t="shared" si="164"/>
        <v>ICPOH</v>
      </c>
      <c r="DG76" s="26">
        <f t="shared" si="154"/>
        <v>0</v>
      </c>
      <c r="DH76" s="25">
        <f t="shared" si="154"/>
        <v>0</v>
      </c>
      <c r="DI76" s="24">
        <f t="shared" si="154"/>
        <v>0</v>
      </c>
      <c r="DJ76" s="25">
        <f t="shared" si="154"/>
        <v>0</v>
      </c>
      <c r="DK76" s="24">
        <f t="shared" si="154"/>
        <v>1.295817979530814</v>
      </c>
      <c r="DL76" s="25">
        <f t="shared" si="154"/>
        <v>1.1294941184273442</v>
      </c>
      <c r="DM76" s="24">
        <f t="shared" si="154"/>
        <v>3.9238652329376347</v>
      </c>
      <c r="DN76" s="25">
        <f t="shared" si="154"/>
        <v>0</v>
      </c>
      <c r="DO76" s="32">
        <f t="shared" si="154"/>
        <v>0</v>
      </c>
      <c r="DP76" s="26">
        <f t="shared" si="165"/>
        <v>0</v>
      </c>
      <c r="DQ76" s="25">
        <f t="shared" si="166"/>
        <v>0</v>
      </c>
      <c r="DR76" s="24">
        <f t="shared" si="167"/>
        <v>0</v>
      </c>
      <c r="DS76" s="25">
        <f t="shared" si="168"/>
        <v>0</v>
      </c>
      <c r="DT76" s="24">
        <f t="shared" si="169"/>
        <v>0.14264681959275766</v>
      </c>
      <c r="DU76" s="25">
        <f t="shared" si="170"/>
        <v>0.14264681959275766</v>
      </c>
      <c r="DV76" s="24">
        <f t="shared" si="171"/>
        <v>0.14264681959275766</v>
      </c>
      <c r="DW76" s="25">
        <f t="shared" si="172"/>
        <v>0</v>
      </c>
      <c r="DX76" s="32">
        <f t="shared" si="173"/>
        <v>0</v>
      </c>
      <c r="DZ76" s="54" t="s">
        <v>1616</v>
      </c>
      <c r="EA76" s="39">
        <v>0</v>
      </c>
      <c r="EB76" s="40">
        <v>0</v>
      </c>
      <c r="EC76" s="39">
        <v>0</v>
      </c>
      <c r="ED76" s="40">
        <v>0</v>
      </c>
      <c r="EE76" s="39">
        <v>0</v>
      </c>
      <c r="EF76" s="40">
        <v>0</v>
      </c>
      <c r="EG76" s="39">
        <v>0</v>
      </c>
      <c r="EH76" s="40">
        <v>0</v>
      </c>
      <c r="EI76" s="66">
        <v>0</v>
      </c>
      <c r="EO76" s="83" t="s">
        <v>1696</v>
      </c>
      <c r="EP76" s="82" t="s">
        <v>519</v>
      </c>
      <c r="EQ76" s="81">
        <f t="shared" si="174"/>
        <v>17.47968943882789</v>
      </c>
      <c r="ER76" s="80">
        <f>EQ76/SUM(EQ71:EQ79)</f>
        <v>5.7377154262263842E-2</v>
      </c>
      <c r="ET76" s="75" t="s">
        <v>521</v>
      </c>
      <c r="EU76" s="72">
        <v>7.8489157395808126E-2</v>
      </c>
      <c r="EW76" s="37" t="s">
        <v>1696</v>
      </c>
      <c r="EX76" s="36" t="s">
        <v>2129</v>
      </c>
      <c r="EY76" s="36" t="s">
        <v>1145</v>
      </c>
      <c r="EZ76" s="1" t="s">
        <v>1945</v>
      </c>
      <c r="FA76" s="36" t="str">
        <f t="shared" si="175"/>
        <v>ICTFAC</v>
      </c>
      <c r="FB76" s="1" t="s">
        <v>521</v>
      </c>
      <c r="FC76" s="26">
        <f t="shared" si="176"/>
        <v>9.0587780592370351</v>
      </c>
      <c r="FD76" s="25">
        <f t="shared" si="177"/>
        <v>2.2366166444305442</v>
      </c>
      <c r="FE76" s="24">
        <f t="shared" si="178"/>
        <v>0.24690047927048128</v>
      </c>
      <c r="FF76" s="36">
        <v>0</v>
      </c>
      <c r="FG76" s="86">
        <f t="shared" si="179"/>
        <v>0</v>
      </c>
    </row>
    <row r="77" spans="1:165">
      <c r="A77" s="37" t="s">
        <v>2075</v>
      </c>
      <c r="B77" s="36" t="s">
        <v>1107</v>
      </c>
      <c r="C77" s="1" t="s">
        <v>456</v>
      </c>
      <c r="D77" s="36" t="s">
        <v>456</v>
      </c>
      <c r="E77" s="36" t="s">
        <v>2131</v>
      </c>
      <c r="F77" s="1" t="e">
        <f t="shared" ca="1" si="159"/>
        <v>#NAME?</v>
      </c>
      <c r="G77" s="35" t="s">
        <v>1109</v>
      </c>
      <c r="H77" s="34">
        <f>1-I77</f>
        <v>0.90240466805629471</v>
      </c>
      <c r="I77" s="33">
        <v>9.7595331943705288E-2</v>
      </c>
      <c r="J77" s="26" t="e">
        <v>#REF!</v>
      </c>
      <c r="K77" s="25" t="e">
        <v>#REF!</v>
      </c>
      <c r="L77" s="24"/>
      <c r="M77" s="25"/>
      <c r="N77" s="24"/>
      <c r="O77" s="25"/>
      <c r="P77" s="24"/>
      <c r="Q77" s="25"/>
      <c r="R77" s="32"/>
      <c r="S77" s="31" t="e">
        <v>#REF!</v>
      </c>
      <c r="T77" s="29" t="e">
        <f t="shared" si="157"/>
        <v>#REF!</v>
      </c>
      <c r="U77" s="30" t="e">
        <f t="shared" si="157"/>
        <v>#REF!</v>
      </c>
      <c r="V77" s="29" t="e">
        <f t="shared" si="157"/>
        <v>#REF!</v>
      </c>
      <c r="W77" s="30" t="e">
        <f t="shared" si="157"/>
        <v>#REF!</v>
      </c>
      <c r="X77" s="29" t="e">
        <f t="shared" si="157"/>
        <v>#REF!</v>
      </c>
      <c r="Y77" s="30" t="e">
        <f t="shared" si="157"/>
        <v>#REF!</v>
      </c>
      <c r="Z77" s="29" t="e">
        <f t="shared" si="157"/>
        <v>#REF!</v>
      </c>
      <c r="AA77" s="28" t="e">
        <f t="shared" si="157"/>
        <v>#REF!</v>
      </c>
      <c r="AB77" s="26" t="e">
        <f t="shared" ref="AB77:AJ81" si="187">J77*31.536*$H77*S77</f>
        <v>#REF!</v>
      </c>
      <c r="AC77" s="25" t="e">
        <f t="shared" si="187"/>
        <v>#REF!</v>
      </c>
      <c r="AD77" s="24" t="e">
        <f t="shared" si="187"/>
        <v>#REF!</v>
      </c>
      <c r="AE77" s="25" t="e">
        <f t="shared" si="187"/>
        <v>#REF!</v>
      </c>
      <c r="AF77" s="24" t="e">
        <f t="shared" si="187"/>
        <v>#REF!</v>
      </c>
      <c r="AG77" s="25" t="e">
        <f t="shared" si="187"/>
        <v>#REF!</v>
      </c>
      <c r="AH77" s="24" t="e">
        <f t="shared" si="187"/>
        <v>#REF!</v>
      </c>
      <c r="AI77" s="25" t="e">
        <f t="shared" si="187"/>
        <v>#REF!</v>
      </c>
      <c r="AJ77" s="24" t="e">
        <f t="shared" si="187"/>
        <v>#REF!</v>
      </c>
      <c r="AK77" s="27" t="e">
        <f t="shared" si="160"/>
        <v>#REF!</v>
      </c>
      <c r="AL77" s="26" t="e">
        <f t="shared" ref="AL77:AT81" si="188">J77*31.536*$I77*S77</f>
        <v>#REF!</v>
      </c>
      <c r="AM77" s="25" t="e">
        <f t="shared" si="188"/>
        <v>#REF!</v>
      </c>
      <c r="AN77" s="24" t="e">
        <f t="shared" si="188"/>
        <v>#REF!</v>
      </c>
      <c r="AO77" s="25" t="e">
        <f t="shared" si="188"/>
        <v>#REF!</v>
      </c>
      <c r="AP77" s="24" t="e">
        <f t="shared" si="188"/>
        <v>#REF!</v>
      </c>
      <c r="AQ77" s="25" t="e">
        <f t="shared" si="188"/>
        <v>#REF!</v>
      </c>
      <c r="AR77" s="24" t="e">
        <f t="shared" si="188"/>
        <v>#REF!</v>
      </c>
      <c r="AS77" s="25" t="e">
        <f t="shared" si="188"/>
        <v>#REF!</v>
      </c>
      <c r="AT77" s="24" t="e">
        <f t="shared" si="188"/>
        <v>#REF!</v>
      </c>
      <c r="AU77" s="23" t="e">
        <f>SUM(AL77:AT77)</f>
        <v>#REF!</v>
      </c>
      <c r="AW77" s="100" t="s">
        <v>1136</v>
      </c>
      <c r="AX77" s="41">
        <v>1.1371130355765149</v>
      </c>
      <c r="AY77" s="40">
        <v>3.1300896153766389</v>
      </c>
      <c r="AZ77" s="39">
        <v>3.9583439380468737</v>
      </c>
      <c r="BA77" s="40">
        <v>2.6810804696437467</v>
      </c>
      <c r="BB77" s="39">
        <v>3.8621891545181737</v>
      </c>
      <c r="BC77" s="40">
        <v>3.3664604158846831</v>
      </c>
      <c r="BD77" s="39">
        <v>11.695091429376394</v>
      </c>
      <c r="BE77" s="40">
        <v>3.9825788309592332</v>
      </c>
      <c r="BF77" s="39">
        <v>2.4972583218405311</v>
      </c>
      <c r="BG77" s="81">
        <v>36.310205211222787</v>
      </c>
      <c r="BH77" s="66">
        <v>0</v>
      </c>
      <c r="BJ77" s="37" t="s">
        <v>1611</v>
      </c>
      <c r="BK77" s="36" t="s">
        <v>2108</v>
      </c>
      <c r="BL77" s="1" t="s">
        <v>1123</v>
      </c>
      <c r="BM77" s="36" t="s">
        <v>1935</v>
      </c>
      <c r="BN77" s="82" t="str">
        <f t="shared" si="161"/>
        <v>IMOPRH</v>
      </c>
      <c r="BO77" s="26">
        <f t="shared" si="162"/>
        <v>6.8190773814894783</v>
      </c>
      <c r="BP77" s="25">
        <f t="shared" si="162"/>
        <v>18.770625813315377</v>
      </c>
      <c r="BQ77" s="24">
        <f t="shared" si="162"/>
        <v>40.017875878519746</v>
      </c>
      <c r="BR77" s="25">
        <f t="shared" si="162"/>
        <v>27.105058866478014</v>
      </c>
      <c r="BS77" s="24">
        <f t="shared" si="162"/>
        <v>9.2546155663421388</v>
      </c>
      <c r="BT77" s="25">
        <f t="shared" si="162"/>
        <v>8.0667454963654652</v>
      </c>
      <c r="BU77" s="24">
        <f t="shared" si="162"/>
        <v>28.023892891285371</v>
      </c>
      <c r="BV77" s="25">
        <f t="shared" si="162"/>
        <v>17.13876350465528</v>
      </c>
      <c r="BW77" s="32">
        <f t="shared" si="162"/>
        <v>10.746785338018913</v>
      </c>
      <c r="BX77" s="26">
        <f t="shared" ref="BX77:CF77" si="189">BO77/BO79</f>
        <v>0.56717685763810477</v>
      </c>
      <c r="BY77" s="25">
        <f t="shared" si="189"/>
        <v>0.49562694666937757</v>
      </c>
      <c r="BZ77" s="24">
        <f t="shared" si="189"/>
        <v>0.53975852428214421</v>
      </c>
      <c r="CA77" s="25">
        <f t="shared" si="189"/>
        <v>0.55886923534435928</v>
      </c>
      <c r="CB77" s="24">
        <f t="shared" si="189"/>
        <v>0.44545053263127765</v>
      </c>
      <c r="CC77" s="25">
        <f t="shared" si="189"/>
        <v>0.44898013927660879</v>
      </c>
      <c r="CD77" s="24">
        <f t="shared" si="189"/>
        <v>0.44018325651975987</v>
      </c>
      <c r="CE77" s="25">
        <f t="shared" si="189"/>
        <v>0.48242901336296762</v>
      </c>
      <c r="CF77" s="32">
        <f t="shared" si="189"/>
        <v>0.64358806889457509</v>
      </c>
      <c r="CH77" s="54" t="s">
        <v>2130</v>
      </c>
      <c r="CI77" s="41">
        <v>1.2943821569924574E-4</v>
      </c>
      <c r="CJ77" s="40">
        <v>1.8019044341653148E-2</v>
      </c>
      <c r="CK77" s="39">
        <v>3.1789284708706518E-2</v>
      </c>
      <c r="CL77" s="40">
        <v>0</v>
      </c>
      <c r="CM77" s="39">
        <v>1.2868132272765192E-2</v>
      </c>
      <c r="CN77" s="40">
        <v>2.0697119380339135E-2</v>
      </c>
      <c r="CO77" s="39">
        <v>0</v>
      </c>
      <c r="CP77" s="40">
        <v>1.8157279766999851E-2</v>
      </c>
      <c r="CQ77" s="66">
        <v>0.27316298999291888</v>
      </c>
      <c r="CS77" s="54" t="s">
        <v>1881</v>
      </c>
      <c r="CT77" s="39">
        <v>0.18982444718727448</v>
      </c>
      <c r="CU77" s="40">
        <v>0.52252283835991453</v>
      </c>
      <c r="CV77" s="39">
        <v>0.92433132839007659</v>
      </c>
      <c r="CW77" s="40">
        <v>0.62607158721262912</v>
      </c>
      <c r="CX77" s="39">
        <v>0.9492757260592356</v>
      </c>
      <c r="CY77" s="40">
        <v>0.82743206707007799</v>
      </c>
      <c r="CZ77" s="39">
        <v>2.8745009536788033</v>
      </c>
      <c r="DA77" s="40">
        <v>0.51507816210831858</v>
      </c>
      <c r="DB77" s="39">
        <v>0.32297746794719795</v>
      </c>
      <c r="DC77" s="38">
        <v>7.7520145780135286</v>
      </c>
      <c r="DE77" s="37" t="s">
        <v>1593</v>
      </c>
      <c r="DF77" s="35" t="str">
        <f t="shared" si="164"/>
        <v>IMAOH</v>
      </c>
      <c r="DG77" s="26">
        <f t="shared" si="154"/>
        <v>0</v>
      </c>
      <c r="DH77" s="25">
        <f t="shared" si="154"/>
        <v>1.5850931959191099</v>
      </c>
      <c r="DI77" s="24">
        <f t="shared" si="154"/>
        <v>1.8900265017063882</v>
      </c>
      <c r="DJ77" s="25">
        <f t="shared" si="154"/>
        <v>1.2801598901318325</v>
      </c>
      <c r="DK77" s="24">
        <f t="shared" si="154"/>
        <v>1.6175262994380317</v>
      </c>
      <c r="DL77" s="25">
        <f t="shared" si="154"/>
        <v>1.4099097793644706</v>
      </c>
      <c r="DM77" s="24">
        <f t="shared" si="154"/>
        <v>4.8980299007930492</v>
      </c>
      <c r="DN77" s="25">
        <f t="shared" si="154"/>
        <v>0</v>
      </c>
      <c r="DO77" s="32">
        <f t="shared" si="154"/>
        <v>0</v>
      </c>
      <c r="DP77" s="26">
        <f t="shared" si="165"/>
        <v>0</v>
      </c>
      <c r="DQ77" s="25">
        <f t="shared" si="166"/>
        <v>1</v>
      </c>
      <c r="DR77" s="24">
        <f t="shared" si="167"/>
        <v>1</v>
      </c>
      <c r="DS77" s="25">
        <f t="shared" si="168"/>
        <v>1</v>
      </c>
      <c r="DT77" s="24">
        <f t="shared" si="169"/>
        <v>1</v>
      </c>
      <c r="DU77" s="25">
        <f t="shared" si="170"/>
        <v>1</v>
      </c>
      <c r="DV77" s="24">
        <f t="shared" si="171"/>
        <v>1</v>
      </c>
      <c r="DW77" s="25">
        <f t="shared" si="172"/>
        <v>0</v>
      </c>
      <c r="DX77" s="32">
        <f t="shared" si="173"/>
        <v>0</v>
      </c>
      <c r="DZ77" s="54" t="s">
        <v>1855</v>
      </c>
      <c r="EA77" s="39">
        <v>4.5051634303646941E-2</v>
      </c>
      <c r="EB77" s="40">
        <v>4.5051634303646941E-2</v>
      </c>
      <c r="EC77" s="39">
        <v>2.3171147021886128E-2</v>
      </c>
      <c r="ED77" s="40">
        <v>2.3171147021886135E-2</v>
      </c>
      <c r="EE77" s="39">
        <v>3.4606620818850201E-2</v>
      </c>
      <c r="EF77" s="40">
        <v>3.4606620818850201E-2</v>
      </c>
      <c r="EG77" s="39">
        <v>3.4606620818850201E-2</v>
      </c>
      <c r="EH77" s="40">
        <v>0</v>
      </c>
      <c r="EI77" s="66">
        <v>0</v>
      </c>
      <c r="EO77" s="83" t="s">
        <v>1696</v>
      </c>
      <c r="EP77" s="82" t="s">
        <v>520</v>
      </c>
      <c r="EQ77" s="81">
        <f t="shared" si="174"/>
        <v>57.942521966785321</v>
      </c>
      <c r="ER77" s="80">
        <f>EQ77/SUM(EQ71:EQ79)</f>
        <v>0.19019657259172587</v>
      </c>
      <c r="ET77" s="75" t="s">
        <v>522</v>
      </c>
      <c r="EU77" s="72">
        <v>5.5653991684739362E-2</v>
      </c>
      <c r="EW77" s="22" t="s">
        <v>1696</v>
      </c>
      <c r="EX77" s="20" t="s">
        <v>2129</v>
      </c>
      <c r="EY77" s="20" t="s">
        <v>1145</v>
      </c>
      <c r="EZ77" s="85" t="s">
        <v>1945</v>
      </c>
      <c r="FA77" s="20" t="str">
        <f t="shared" si="175"/>
        <v>ICTFAC</v>
      </c>
      <c r="FB77" s="78" t="s">
        <v>522</v>
      </c>
      <c r="FC77" s="11">
        <f t="shared" si="176"/>
        <v>7.7108109384975538</v>
      </c>
      <c r="FD77" s="10">
        <f t="shared" si="177"/>
        <v>1.4024605074109564</v>
      </c>
      <c r="FE77" s="9">
        <f t="shared" si="178"/>
        <v>0.18188236212729977</v>
      </c>
      <c r="FF77" s="20">
        <v>0</v>
      </c>
      <c r="FG77" s="84">
        <f t="shared" si="179"/>
        <v>0</v>
      </c>
    </row>
    <row r="78" spans="1:165">
      <c r="A78" s="37" t="s">
        <v>2075</v>
      </c>
      <c r="B78" s="36" t="s">
        <v>1107</v>
      </c>
      <c r="C78" s="1" t="s">
        <v>456</v>
      </c>
      <c r="D78" s="36" t="s">
        <v>456</v>
      </c>
      <c r="E78" s="36" t="s">
        <v>2128</v>
      </c>
      <c r="F78" s="1" t="e">
        <f t="shared" ca="1" si="159"/>
        <v>#NAME?</v>
      </c>
      <c r="G78" s="35" t="s">
        <v>1109</v>
      </c>
      <c r="H78" s="34">
        <f>1-I78</f>
        <v>0.49431060550593198</v>
      </c>
      <c r="I78" s="33">
        <v>0.50568939449406802</v>
      </c>
      <c r="J78" s="26">
        <v>5.118624683252061E-5</v>
      </c>
      <c r="K78" s="25">
        <v>8.1274052433640102E-3</v>
      </c>
      <c r="L78" s="24"/>
      <c r="M78" s="25"/>
      <c r="N78" s="24"/>
      <c r="O78" s="25"/>
      <c r="P78" s="24"/>
      <c r="Q78" s="25"/>
      <c r="R78" s="32"/>
      <c r="S78" s="31" t="e">
        <v>#REF!</v>
      </c>
      <c r="T78" s="29" t="e">
        <f t="shared" si="157"/>
        <v>#REF!</v>
      </c>
      <c r="U78" s="30" t="e">
        <f t="shared" si="157"/>
        <v>#REF!</v>
      </c>
      <c r="V78" s="29" t="e">
        <f t="shared" si="157"/>
        <v>#REF!</v>
      </c>
      <c r="W78" s="30" t="e">
        <f t="shared" si="157"/>
        <v>#REF!</v>
      </c>
      <c r="X78" s="29" t="e">
        <f t="shared" si="157"/>
        <v>#REF!</v>
      </c>
      <c r="Y78" s="30" t="e">
        <f t="shared" si="157"/>
        <v>#REF!</v>
      </c>
      <c r="Z78" s="29" t="e">
        <f t="shared" si="157"/>
        <v>#REF!</v>
      </c>
      <c r="AA78" s="28" t="e">
        <f t="shared" si="157"/>
        <v>#REF!</v>
      </c>
      <c r="AB78" s="26" t="e">
        <f t="shared" si="187"/>
        <v>#REF!</v>
      </c>
      <c r="AC78" s="25" t="e">
        <f t="shared" si="187"/>
        <v>#REF!</v>
      </c>
      <c r="AD78" s="24" t="e">
        <f t="shared" si="187"/>
        <v>#REF!</v>
      </c>
      <c r="AE78" s="25" t="e">
        <f t="shared" si="187"/>
        <v>#REF!</v>
      </c>
      <c r="AF78" s="24" t="e">
        <f t="shared" si="187"/>
        <v>#REF!</v>
      </c>
      <c r="AG78" s="25" t="e">
        <f t="shared" si="187"/>
        <v>#REF!</v>
      </c>
      <c r="AH78" s="24" t="e">
        <f t="shared" si="187"/>
        <v>#REF!</v>
      </c>
      <c r="AI78" s="25" t="e">
        <f t="shared" si="187"/>
        <v>#REF!</v>
      </c>
      <c r="AJ78" s="24" t="e">
        <f t="shared" si="187"/>
        <v>#REF!</v>
      </c>
      <c r="AK78" s="27" t="e">
        <f t="shared" si="160"/>
        <v>#REF!</v>
      </c>
      <c r="AL78" s="26" t="e">
        <f t="shared" si="188"/>
        <v>#REF!</v>
      </c>
      <c r="AM78" s="25" t="e">
        <f t="shared" si="188"/>
        <v>#REF!</v>
      </c>
      <c r="AN78" s="24" t="e">
        <f t="shared" si="188"/>
        <v>#REF!</v>
      </c>
      <c r="AO78" s="25" t="e">
        <f t="shared" si="188"/>
        <v>#REF!</v>
      </c>
      <c r="AP78" s="24" t="e">
        <f t="shared" si="188"/>
        <v>#REF!</v>
      </c>
      <c r="AQ78" s="25" t="e">
        <f t="shared" si="188"/>
        <v>#REF!</v>
      </c>
      <c r="AR78" s="24" t="e">
        <f t="shared" si="188"/>
        <v>#REF!</v>
      </c>
      <c r="AS78" s="25" t="e">
        <f t="shared" si="188"/>
        <v>#REF!</v>
      </c>
      <c r="AT78" s="24" t="e">
        <f t="shared" si="188"/>
        <v>#REF!</v>
      </c>
      <c r="AU78" s="23" t="e">
        <f>SUM(AL78:AT78)</f>
        <v>#REF!</v>
      </c>
      <c r="AW78" s="100" t="s">
        <v>1129</v>
      </c>
      <c r="AX78" s="41">
        <v>0.24956952006144426</v>
      </c>
      <c r="AY78" s="40">
        <v>1.4934991708704006</v>
      </c>
      <c r="AZ78" s="39">
        <v>5.7287168420859107</v>
      </c>
      <c r="BA78" s="40">
        <v>3.8801961329854144</v>
      </c>
      <c r="BB78" s="39">
        <v>1.5389604126958862</v>
      </c>
      <c r="BC78" s="40">
        <v>1.341428165136203</v>
      </c>
      <c r="BD78" s="39">
        <v>4.6601246113525967</v>
      </c>
      <c r="BE78" s="40">
        <v>0.74971777982669241</v>
      </c>
      <c r="BF78" s="39">
        <v>0.47010719540561424</v>
      </c>
      <c r="BG78" s="81">
        <v>20.112319830420166</v>
      </c>
      <c r="BH78" s="66">
        <v>0</v>
      </c>
      <c r="BJ78" s="37" t="s">
        <v>1611</v>
      </c>
      <c r="BK78" s="36" t="s">
        <v>2108</v>
      </c>
      <c r="BL78" s="1" t="s">
        <v>1107</v>
      </c>
      <c r="BM78" s="36" t="s">
        <v>1937</v>
      </c>
      <c r="BN78" s="82" t="str">
        <f t="shared" si="161"/>
        <v>IMOSTM</v>
      </c>
      <c r="BO78" s="26">
        <f t="shared" si="162"/>
        <v>0.2374587776280494</v>
      </c>
      <c r="BP78" s="25">
        <f t="shared" si="162"/>
        <v>1.5148047377374809</v>
      </c>
      <c r="BQ78" s="24">
        <f t="shared" si="162"/>
        <v>2.8299575422116447</v>
      </c>
      <c r="BR78" s="25">
        <f t="shared" si="162"/>
        <v>0.19961094363110116</v>
      </c>
      <c r="BS78" s="24">
        <f t="shared" si="162"/>
        <v>0.23845500624965346</v>
      </c>
      <c r="BT78" s="25">
        <f t="shared" si="162"/>
        <v>6.5484969948283997E-2</v>
      </c>
      <c r="BU78" s="24">
        <f t="shared" si="162"/>
        <v>1.4748687430901521</v>
      </c>
      <c r="BV78" s="25">
        <f t="shared" si="162"/>
        <v>9.554029104500783</v>
      </c>
      <c r="BW78" s="32">
        <f t="shared" si="162"/>
        <v>0.41263961882254108</v>
      </c>
      <c r="BX78" s="26">
        <f t="shared" ref="BX78:CF78" si="190">BO78/BO79</f>
        <v>1.9750637187261895E-2</v>
      </c>
      <c r="BY78" s="25">
        <f t="shared" si="190"/>
        <v>3.9997496856634007E-2</v>
      </c>
      <c r="BZ78" s="24">
        <f t="shared" si="190"/>
        <v>3.8170284484919118E-2</v>
      </c>
      <c r="CA78" s="25">
        <f t="shared" si="190"/>
        <v>4.1157045990202999E-3</v>
      </c>
      <c r="CB78" s="24">
        <f t="shared" si="190"/>
        <v>1.1477506416237439E-2</v>
      </c>
      <c r="CC78" s="25">
        <f t="shared" si="190"/>
        <v>3.6447723485452891E-3</v>
      </c>
      <c r="CD78" s="24">
        <f t="shared" si="190"/>
        <v>2.3166393362662144E-2</v>
      </c>
      <c r="CE78" s="25">
        <f t="shared" si="190"/>
        <v>0.26893076815450784</v>
      </c>
      <c r="CF78" s="32">
        <f t="shared" si="190"/>
        <v>2.4711569746153371E-2</v>
      </c>
      <c r="CH78" s="54" t="s">
        <v>2127</v>
      </c>
      <c r="CI78" s="41">
        <v>1.795470136615316E-3</v>
      </c>
      <c r="CJ78" s="40">
        <v>1.6929370768281543E-3</v>
      </c>
      <c r="CK78" s="39">
        <v>2.2547171520033724E-3</v>
      </c>
      <c r="CL78" s="40">
        <v>2.3287463321711157E-3</v>
      </c>
      <c r="CM78" s="39">
        <v>5.5694514555151816E-3</v>
      </c>
      <c r="CN78" s="40">
        <v>5.5252798862780554E-3</v>
      </c>
      <c r="CO78" s="39">
        <v>5.6420541546675475E-3</v>
      </c>
      <c r="CP78" s="40">
        <v>7.7420678208958886E-3</v>
      </c>
      <c r="CQ78" s="66">
        <v>5.7312859893452342E-3</v>
      </c>
      <c r="CS78" s="54" t="s">
        <v>1879</v>
      </c>
      <c r="CT78" s="39">
        <v>8.1941218327495884E-3</v>
      </c>
      <c r="CU78" s="40">
        <v>2.2555660566160696E-2</v>
      </c>
      <c r="CV78" s="39">
        <v>6.4164259653139738E-2</v>
      </c>
      <c r="CW78" s="40">
        <v>4.3459978743046267E-2</v>
      </c>
      <c r="CX78" s="39">
        <v>0.24161801988944176</v>
      </c>
      <c r="CY78" s="40">
        <v>0.21060529849261592</v>
      </c>
      <c r="CZ78" s="39">
        <v>0.73164330397598842</v>
      </c>
      <c r="DA78" s="40">
        <v>0.11339491677094671</v>
      </c>
      <c r="DB78" s="39">
        <v>7.1103777622515005E-2</v>
      </c>
      <c r="DC78" s="38">
        <v>1.5067393375466041</v>
      </c>
      <c r="DE78" s="37" t="s">
        <v>1547</v>
      </c>
      <c r="DF78" s="35" t="str">
        <f t="shared" si="164"/>
        <v>IMSOH</v>
      </c>
      <c r="DG78" s="26">
        <f t="shared" ref="DG78:DO87" si="191">GETPIVOTDATA("Sum of "&amp;DG$1&amp;" (Out)",$CS$6,"Constraint Identifier",$DE78)</f>
        <v>4.0236843949557614E-2</v>
      </c>
      <c r="DH78" s="25">
        <f t="shared" si="191"/>
        <v>0.11075849406491654</v>
      </c>
      <c r="DI78" s="24">
        <f t="shared" si="191"/>
        <v>0.30157229574080935</v>
      </c>
      <c r="DJ78" s="25">
        <f t="shared" si="191"/>
        <v>0.20426208660767908</v>
      </c>
      <c r="DK78" s="24">
        <f t="shared" si="191"/>
        <v>0.117104525796597</v>
      </c>
      <c r="DL78" s="25">
        <f t="shared" si="191"/>
        <v>0.10207365171485817</v>
      </c>
      <c r="DM78" s="24">
        <f t="shared" si="191"/>
        <v>0.35460410694354666</v>
      </c>
      <c r="DN78" s="25">
        <f t="shared" si="191"/>
        <v>4.640169363593892E-2</v>
      </c>
      <c r="DO78" s="32">
        <f t="shared" si="191"/>
        <v>2.9095975371298162E-2</v>
      </c>
      <c r="DP78" s="26">
        <f t="shared" si="165"/>
        <v>8.3494741649662821E-2</v>
      </c>
      <c r="DQ78" s="25">
        <f t="shared" si="166"/>
        <v>8.3494741649662849E-2</v>
      </c>
      <c r="DR78" s="24">
        <f t="shared" si="167"/>
        <v>1.77707772069968E-2</v>
      </c>
      <c r="DS78" s="25">
        <f t="shared" si="168"/>
        <v>1.7770777206996796E-2</v>
      </c>
      <c r="DT78" s="24">
        <f t="shared" si="169"/>
        <v>0.11358990965923264</v>
      </c>
      <c r="DU78" s="25">
        <f t="shared" si="170"/>
        <v>0.11358990965923266</v>
      </c>
      <c r="DV78" s="24">
        <f t="shared" si="171"/>
        <v>0.11358990965923264</v>
      </c>
      <c r="DW78" s="25">
        <f t="shared" si="172"/>
        <v>0.24176610051785763</v>
      </c>
      <c r="DX78" s="32">
        <f t="shared" si="173"/>
        <v>0.24176610051785757</v>
      </c>
      <c r="DZ78" s="54" t="s">
        <v>1863</v>
      </c>
      <c r="EA78" s="39">
        <v>1.7063536213557315E-2</v>
      </c>
      <c r="EB78" s="40">
        <v>1.7063536213557318E-2</v>
      </c>
      <c r="EC78" s="39">
        <v>1.2432935954658853E-2</v>
      </c>
      <c r="ED78" s="40">
        <v>1.2432935954658855E-2</v>
      </c>
      <c r="EE78" s="39">
        <v>3.7137729939871147E-2</v>
      </c>
      <c r="EF78" s="40">
        <v>3.7137729939871141E-2</v>
      </c>
      <c r="EG78" s="39">
        <v>3.7137729939871141E-2</v>
      </c>
      <c r="EH78" s="40">
        <v>6.2779459262254519E-2</v>
      </c>
      <c r="EI78" s="66">
        <v>6.2779459262254533E-2</v>
      </c>
      <c r="EO78" s="83" t="s">
        <v>1696</v>
      </c>
      <c r="EP78" s="82" t="s">
        <v>521</v>
      </c>
      <c r="EQ78" s="81">
        <f t="shared" si="174"/>
        <v>9.0587780592370351</v>
      </c>
      <c r="ER78" s="80">
        <f>EQ78/SUM(EQ71:EQ79)</f>
        <v>2.9735477163449403E-2</v>
      </c>
      <c r="ET78" s="74" t="s">
        <v>1696</v>
      </c>
      <c r="EU78" s="70">
        <v>1</v>
      </c>
      <c r="EW78" s="37" t="s">
        <v>1611</v>
      </c>
      <c r="EX78" s="36" t="s">
        <v>2108</v>
      </c>
      <c r="EY78" s="36" t="s">
        <v>1139</v>
      </c>
      <c r="EZ78" s="1" t="s">
        <v>1943</v>
      </c>
      <c r="FA78" s="36" t="str">
        <f t="shared" si="175"/>
        <v>IMOFEED</v>
      </c>
      <c r="FB78" s="35" t="s">
        <v>438</v>
      </c>
      <c r="FC78" s="26">
        <f t="shared" si="176"/>
        <v>12.022841358313119</v>
      </c>
      <c r="FD78" s="25">
        <f t="shared" si="177"/>
        <v>0.68473716588122846</v>
      </c>
      <c r="FE78" s="24">
        <f t="shared" si="178"/>
        <v>5.6953023455455574E-2</v>
      </c>
      <c r="FF78" s="36">
        <v>0.02</v>
      </c>
      <c r="FG78" s="32">
        <f t="shared" si="179"/>
        <v>0.35116660690792934</v>
      </c>
    </row>
    <row r="79" spans="1:165">
      <c r="A79" s="37" t="s">
        <v>2075</v>
      </c>
      <c r="B79" s="36" t="s">
        <v>1107</v>
      </c>
      <c r="C79" s="1" t="s">
        <v>456</v>
      </c>
      <c r="D79" s="36" t="s">
        <v>456</v>
      </c>
      <c r="E79" s="36" t="s">
        <v>2126</v>
      </c>
      <c r="F79" s="1" t="e">
        <f t="shared" ca="1" si="159"/>
        <v>#NAME?</v>
      </c>
      <c r="G79" s="35" t="s">
        <v>1109</v>
      </c>
      <c r="H79" s="34">
        <f>1-I79</f>
        <v>0.35322635092009225</v>
      </c>
      <c r="I79" s="33">
        <v>0.64677364907990775</v>
      </c>
      <c r="J79" s="26">
        <v>0</v>
      </c>
      <c r="K79" s="25">
        <v>0</v>
      </c>
      <c r="L79" s="24"/>
      <c r="M79" s="25"/>
      <c r="N79" s="24"/>
      <c r="O79" s="25"/>
      <c r="P79" s="24"/>
      <c r="Q79" s="25"/>
      <c r="R79" s="32"/>
      <c r="S79" s="31" t="e">
        <v>#REF!</v>
      </c>
      <c r="T79" s="29" t="e">
        <f t="shared" si="157"/>
        <v>#REF!</v>
      </c>
      <c r="U79" s="30" t="e">
        <f t="shared" si="157"/>
        <v>#REF!</v>
      </c>
      <c r="V79" s="29" t="e">
        <f t="shared" si="157"/>
        <v>#REF!</v>
      </c>
      <c r="W79" s="30" t="e">
        <f t="shared" si="157"/>
        <v>#REF!</v>
      </c>
      <c r="X79" s="29" t="e">
        <f t="shared" si="157"/>
        <v>#REF!</v>
      </c>
      <c r="Y79" s="30" t="e">
        <f t="shared" si="157"/>
        <v>#REF!</v>
      </c>
      <c r="Z79" s="29" t="e">
        <f t="shared" si="157"/>
        <v>#REF!</v>
      </c>
      <c r="AA79" s="28" t="e">
        <f t="shared" si="157"/>
        <v>#REF!</v>
      </c>
      <c r="AB79" s="26" t="e">
        <f t="shared" si="187"/>
        <v>#REF!</v>
      </c>
      <c r="AC79" s="25" t="e">
        <f t="shared" si="187"/>
        <v>#REF!</v>
      </c>
      <c r="AD79" s="24" t="e">
        <f t="shared" si="187"/>
        <v>#REF!</v>
      </c>
      <c r="AE79" s="25" t="e">
        <f t="shared" si="187"/>
        <v>#REF!</v>
      </c>
      <c r="AF79" s="24" t="e">
        <f t="shared" si="187"/>
        <v>#REF!</v>
      </c>
      <c r="AG79" s="25" t="e">
        <f t="shared" si="187"/>
        <v>#REF!</v>
      </c>
      <c r="AH79" s="24" t="e">
        <f t="shared" si="187"/>
        <v>#REF!</v>
      </c>
      <c r="AI79" s="25" t="e">
        <f t="shared" si="187"/>
        <v>#REF!</v>
      </c>
      <c r="AJ79" s="24" t="e">
        <f t="shared" si="187"/>
        <v>#REF!</v>
      </c>
      <c r="AK79" s="27" t="e">
        <f t="shared" si="160"/>
        <v>#REF!</v>
      </c>
      <c r="AL79" s="26" t="e">
        <f t="shared" si="188"/>
        <v>#REF!</v>
      </c>
      <c r="AM79" s="25" t="e">
        <f t="shared" si="188"/>
        <v>#REF!</v>
      </c>
      <c r="AN79" s="24" t="e">
        <f t="shared" si="188"/>
        <v>#REF!</v>
      </c>
      <c r="AO79" s="25" t="e">
        <f t="shared" si="188"/>
        <v>#REF!</v>
      </c>
      <c r="AP79" s="24" t="e">
        <f t="shared" si="188"/>
        <v>#REF!</v>
      </c>
      <c r="AQ79" s="25" t="e">
        <f t="shared" si="188"/>
        <v>#REF!</v>
      </c>
      <c r="AR79" s="24" t="e">
        <f t="shared" si="188"/>
        <v>#REF!</v>
      </c>
      <c r="AS79" s="25" t="e">
        <f t="shared" si="188"/>
        <v>#REF!</v>
      </c>
      <c r="AT79" s="24" t="e">
        <f t="shared" si="188"/>
        <v>#REF!</v>
      </c>
      <c r="AU79" s="23" t="e">
        <f>SUM(AL79:AT79)</f>
        <v>#REF!</v>
      </c>
      <c r="AW79" s="100" t="s">
        <v>1123</v>
      </c>
      <c r="AX79" s="41">
        <v>5.4962445366555457</v>
      </c>
      <c r="AY79" s="40">
        <v>15.129312046830805</v>
      </c>
      <c r="AZ79" s="39">
        <v>34.10205092467497</v>
      </c>
      <c r="BA79" s="40">
        <v>23.098129960393521</v>
      </c>
      <c r="BB79" s="39">
        <v>19.101772270776742</v>
      </c>
      <c r="BC79" s="40">
        <v>16.649976904312442</v>
      </c>
      <c r="BD79" s="39">
        <v>57.842059058272767</v>
      </c>
      <c r="BE79" s="40">
        <v>19.594010483440808</v>
      </c>
      <c r="BF79" s="39">
        <v>12.286337023043357</v>
      </c>
      <c r="BG79" s="81">
        <v>203.29989320840093</v>
      </c>
      <c r="BH79" s="66">
        <v>0</v>
      </c>
      <c r="BJ79" s="22" t="s">
        <v>1611</v>
      </c>
      <c r="BK79" s="20" t="s">
        <v>2108</v>
      </c>
      <c r="BL79" s="21" t="s">
        <v>1027</v>
      </c>
      <c r="BM79" s="20"/>
      <c r="BN79" s="78"/>
      <c r="BO79" s="11">
        <f t="shared" ref="BO79:BW79" si="192">GETPIVOTDATA("Sum of "&amp;BO$1&amp;" (Out)",$AW$6,"Sub-Sector",$BJ79)</f>
        <v>12.022841358313119</v>
      </c>
      <c r="BP79" s="10">
        <f t="shared" si="192"/>
        <v>37.872488450142463</v>
      </c>
      <c r="BQ79" s="9">
        <f t="shared" si="192"/>
        <v>74.140331422726135</v>
      </c>
      <c r="BR79" s="10">
        <f t="shared" si="192"/>
        <v>48.49982277120094</v>
      </c>
      <c r="BS79" s="9">
        <f t="shared" si="192"/>
        <v>20.77585475467971</v>
      </c>
      <c r="BT79" s="10">
        <f t="shared" si="192"/>
        <v>17.96682033499857</v>
      </c>
      <c r="BU79" s="9">
        <f t="shared" si="192"/>
        <v>63.664150047077896</v>
      </c>
      <c r="BV79" s="10">
        <f t="shared" si="192"/>
        <v>35.525980050790395</v>
      </c>
      <c r="BW79" s="16">
        <f t="shared" si="192"/>
        <v>16.698235808624542</v>
      </c>
      <c r="BX79" s="11"/>
      <c r="BY79" s="6"/>
      <c r="BZ79" s="5"/>
      <c r="CA79" s="6"/>
      <c r="CB79" s="5"/>
      <c r="CC79" s="6"/>
      <c r="CD79" s="5"/>
      <c r="CE79" s="6"/>
      <c r="CF79" s="59"/>
      <c r="CH79" s="54" t="s">
        <v>2125</v>
      </c>
      <c r="CI79" s="41">
        <v>1.6806545427355761E-2</v>
      </c>
      <c r="CJ79" s="40">
        <v>1.5846782025015233E-2</v>
      </c>
      <c r="CK79" s="39">
        <v>3.5276750002964707E-2</v>
      </c>
      <c r="CL79" s="40">
        <v>3.6434992348077275E-2</v>
      </c>
      <c r="CM79" s="39">
        <v>4.4529186621680497E-2</v>
      </c>
      <c r="CN79" s="40">
        <v>4.4176023645821405E-2</v>
      </c>
      <c r="CO79" s="39">
        <v>4.5109663741485895E-2</v>
      </c>
      <c r="CP79" s="40">
        <v>6.0167097563465895E-2</v>
      </c>
      <c r="CQ79" s="66">
        <v>4.4540405904782761E-2</v>
      </c>
      <c r="CS79" s="54" t="s">
        <v>1789</v>
      </c>
      <c r="CT79" s="39">
        <v>0</v>
      </c>
      <c r="CU79" s="40">
        <v>0</v>
      </c>
      <c r="CV79" s="39">
        <v>3.3709221220495542</v>
      </c>
      <c r="CW79" s="40">
        <v>2.2832057061157003</v>
      </c>
      <c r="CX79" s="39">
        <v>24.464031553846791</v>
      </c>
      <c r="CY79" s="40">
        <v>21.32396693793045</v>
      </c>
      <c r="CZ79" s="39">
        <v>74.079511465326149</v>
      </c>
      <c r="DA79" s="40">
        <v>6.9501776865670202</v>
      </c>
      <c r="DB79" s="39">
        <v>4.3580779697634888</v>
      </c>
      <c r="DC79" s="38">
        <v>136.82989344159915</v>
      </c>
      <c r="DE79" s="37" t="s">
        <v>1544</v>
      </c>
      <c r="DF79" s="35" t="str">
        <f t="shared" si="164"/>
        <v>IMSOH</v>
      </c>
      <c r="DG79" s="26">
        <f t="shared" si="191"/>
        <v>0</v>
      </c>
      <c r="DH79" s="25">
        <f t="shared" si="191"/>
        <v>0</v>
      </c>
      <c r="DI79" s="24">
        <f t="shared" si="191"/>
        <v>12.846659395729736</v>
      </c>
      <c r="DJ79" s="25">
        <f t="shared" si="191"/>
        <v>8.7013478730327734</v>
      </c>
      <c r="DK79" s="24">
        <f t="shared" si="191"/>
        <v>0.41883634287173044</v>
      </c>
      <c r="DL79" s="25">
        <f t="shared" si="191"/>
        <v>0.36507688064995597</v>
      </c>
      <c r="DM79" s="24">
        <f t="shared" si="191"/>
        <v>1.2682779449318862</v>
      </c>
      <c r="DN79" s="25">
        <f t="shared" si="191"/>
        <v>0</v>
      </c>
      <c r="DO79" s="32">
        <f t="shared" si="191"/>
        <v>0</v>
      </c>
      <c r="DP79" s="26">
        <f t="shared" si="165"/>
        <v>0</v>
      </c>
      <c r="DQ79" s="25">
        <f t="shared" si="166"/>
        <v>0</v>
      </c>
      <c r="DR79" s="24">
        <f t="shared" si="167"/>
        <v>0.75701622861238149</v>
      </c>
      <c r="DS79" s="25">
        <f t="shared" si="168"/>
        <v>0.7570162286123816</v>
      </c>
      <c r="DT79" s="24">
        <f t="shared" si="169"/>
        <v>0.40626595791386377</v>
      </c>
      <c r="DU79" s="25">
        <f t="shared" si="170"/>
        <v>0.40626595791386383</v>
      </c>
      <c r="DV79" s="24">
        <f t="shared" si="171"/>
        <v>0.40626595791386383</v>
      </c>
      <c r="DW79" s="25">
        <f t="shared" si="172"/>
        <v>0</v>
      </c>
      <c r="DX79" s="32">
        <f t="shared" si="173"/>
        <v>0</v>
      </c>
      <c r="DZ79" s="54" t="s">
        <v>1860</v>
      </c>
      <c r="EA79" s="39">
        <v>0.59054152125993742</v>
      </c>
      <c r="EB79" s="40">
        <v>0.59054152125993731</v>
      </c>
      <c r="EC79" s="39">
        <v>0.69323517247063082</v>
      </c>
      <c r="ED79" s="40">
        <v>0.69323517247063104</v>
      </c>
      <c r="EE79" s="39">
        <v>0.92825564924127857</v>
      </c>
      <c r="EF79" s="40">
        <v>0.92825564924127868</v>
      </c>
      <c r="EG79" s="39">
        <v>0.92825564924127868</v>
      </c>
      <c r="EH79" s="40">
        <v>0.72423200975876101</v>
      </c>
      <c r="EI79" s="66">
        <v>0.72423200975876112</v>
      </c>
      <c r="EO79" s="79" t="s">
        <v>1696</v>
      </c>
      <c r="EP79" s="78" t="s">
        <v>522</v>
      </c>
      <c r="EQ79" s="77">
        <f t="shared" si="174"/>
        <v>7.7108109384975538</v>
      </c>
      <c r="ER79" s="76">
        <f>EQ79/SUM(EQ71:EQ79)</f>
        <v>2.5310769407753998E-2</v>
      </c>
      <c r="ET79" s="73" t="s">
        <v>438</v>
      </c>
      <c r="EU79" s="72">
        <v>5.035677269649648E-2</v>
      </c>
      <c r="EW79" s="37" t="s">
        <v>1611</v>
      </c>
      <c r="EX79" s="36" t="s">
        <v>2108</v>
      </c>
      <c r="EY79" s="36" t="s">
        <v>1139</v>
      </c>
      <c r="EZ79" s="1" t="s">
        <v>1943</v>
      </c>
      <c r="FA79" s="36" t="str">
        <f t="shared" si="175"/>
        <v>IMOFEED</v>
      </c>
      <c r="FB79" s="1" t="s">
        <v>440</v>
      </c>
      <c r="FC79" s="26">
        <f t="shared" si="176"/>
        <v>37.872488450142463</v>
      </c>
      <c r="FD79" s="25">
        <f t="shared" si="177"/>
        <v>5.8013415988528187</v>
      </c>
      <c r="FE79" s="24">
        <f t="shared" si="178"/>
        <v>0.15318089294528509</v>
      </c>
      <c r="FF79" s="36">
        <v>0</v>
      </c>
      <c r="FG79" s="86">
        <f t="shared" si="179"/>
        <v>0</v>
      </c>
    </row>
    <row r="80" spans="1:165" ht="15.75" thickBot="1">
      <c r="A80" s="37" t="s">
        <v>2075</v>
      </c>
      <c r="B80" s="36" t="s">
        <v>1107</v>
      </c>
      <c r="C80" s="1" t="s">
        <v>456</v>
      </c>
      <c r="D80" s="36" t="s">
        <v>456</v>
      </c>
      <c r="E80" s="36" t="s">
        <v>2124</v>
      </c>
      <c r="F80" s="1" t="e">
        <f t="shared" ca="1" si="159"/>
        <v>#NAME?</v>
      </c>
      <c r="G80" s="35" t="s">
        <v>1109</v>
      </c>
      <c r="H80" s="34">
        <f>1-I80</f>
        <v>0.58829817280395214</v>
      </c>
      <c r="I80" s="33">
        <v>0.41170182719604786</v>
      </c>
      <c r="J80" s="26">
        <v>0</v>
      </c>
      <c r="K80" s="25">
        <v>0</v>
      </c>
      <c r="L80" s="24"/>
      <c r="M80" s="25"/>
      <c r="N80" s="24"/>
      <c r="O80" s="25"/>
      <c r="P80" s="24"/>
      <c r="Q80" s="25"/>
      <c r="R80" s="32"/>
      <c r="S80" s="31" t="e">
        <v>#REF!</v>
      </c>
      <c r="T80" s="29" t="e">
        <f t="shared" si="157"/>
        <v>#REF!</v>
      </c>
      <c r="U80" s="30" t="e">
        <f t="shared" si="157"/>
        <v>#REF!</v>
      </c>
      <c r="V80" s="29" t="e">
        <f t="shared" si="157"/>
        <v>#REF!</v>
      </c>
      <c r="W80" s="30" t="e">
        <f t="shared" si="157"/>
        <v>#REF!</v>
      </c>
      <c r="X80" s="29" t="e">
        <f t="shared" si="157"/>
        <v>#REF!</v>
      </c>
      <c r="Y80" s="30" t="e">
        <f t="shared" si="157"/>
        <v>#REF!</v>
      </c>
      <c r="Z80" s="29" t="e">
        <f t="shared" si="157"/>
        <v>#REF!</v>
      </c>
      <c r="AA80" s="28" t="e">
        <f t="shared" si="157"/>
        <v>#REF!</v>
      </c>
      <c r="AB80" s="26" t="e">
        <f t="shared" si="187"/>
        <v>#REF!</v>
      </c>
      <c r="AC80" s="25" t="e">
        <f t="shared" si="187"/>
        <v>#REF!</v>
      </c>
      <c r="AD80" s="24" t="e">
        <f t="shared" si="187"/>
        <v>#REF!</v>
      </c>
      <c r="AE80" s="25" t="e">
        <f t="shared" si="187"/>
        <v>#REF!</v>
      </c>
      <c r="AF80" s="24" t="e">
        <f t="shared" si="187"/>
        <v>#REF!</v>
      </c>
      <c r="AG80" s="25" t="e">
        <f t="shared" si="187"/>
        <v>#REF!</v>
      </c>
      <c r="AH80" s="24" t="e">
        <f t="shared" si="187"/>
        <v>#REF!</v>
      </c>
      <c r="AI80" s="25" t="e">
        <f t="shared" si="187"/>
        <v>#REF!</v>
      </c>
      <c r="AJ80" s="24" t="e">
        <f t="shared" si="187"/>
        <v>#REF!</v>
      </c>
      <c r="AK80" s="27" t="e">
        <f t="shared" si="160"/>
        <v>#REF!</v>
      </c>
      <c r="AL80" s="26" t="e">
        <f t="shared" si="188"/>
        <v>#REF!</v>
      </c>
      <c r="AM80" s="25" t="e">
        <f t="shared" si="188"/>
        <v>#REF!</v>
      </c>
      <c r="AN80" s="24" t="e">
        <f t="shared" si="188"/>
        <v>#REF!</v>
      </c>
      <c r="AO80" s="25" t="e">
        <f t="shared" si="188"/>
        <v>#REF!</v>
      </c>
      <c r="AP80" s="24" t="e">
        <f t="shared" si="188"/>
        <v>#REF!</v>
      </c>
      <c r="AQ80" s="25" t="e">
        <f t="shared" si="188"/>
        <v>#REF!</v>
      </c>
      <c r="AR80" s="24" t="e">
        <f t="shared" si="188"/>
        <v>#REF!</v>
      </c>
      <c r="AS80" s="25" t="e">
        <f t="shared" si="188"/>
        <v>#REF!</v>
      </c>
      <c r="AT80" s="24" t="e">
        <f t="shared" si="188"/>
        <v>#REF!</v>
      </c>
      <c r="AU80" s="23" t="e">
        <f>SUM(AL80:AT80)</f>
        <v>#REF!</v>
      </c>
      <c r="AW80" s="100" t="s">
        <v>1107</v>
      </c>
      <c r="AX80" s="41">
        <v>0</v>
      </c>
      <c r="AY80" s="40">
        <v>0.52871490717249425</v>
      </c>
      <c r="AZ80" s="39">
        <v>0.93625633258137886</v>
      </c>
      <c r="BA80" s="40">
        <v>1.385538953399531</v>
      </c>
      <c r="BB80" s="39">
        <v>1.0291595009291352</v>
      </c>
      <c r="BC80" s="40">
        <v>9.4280639717008938E-2</v>
      </c>
      <c r="BD80" s="39">
        <v>0</v>
      </c>
      <c r="BE80" s="40">
        <v>1.687486853645511</v>
      </c>
      <c r="BF80" s="39">
        <v>5.5286984479474832E-2</v>
      </c>
      <c r="BG80" s="81">
        <v>5.7167241719245334</v>
      </c>
      <c r="BH80" s="66">
        <v>2.1418505949022788</v>
      </c>
      <c r="BJ80" s="37" t="s">
        <v>1539</v>
      </c>
      <c r="BK80" s="36" t="s">
        <v>2087</v>
      </c>
      <c r="BL80" s="1" t="s">
        <v>1150</v>
      </c>
      <c r="BM80" s="36" t="s">
        <v>1902</v>
      </c>
      <c r="BN80" s="82" t="str">
        <f t="shared" ref="BN80:BN86" si="193">BK80&amp;BM80</f>
        <v>INOETC</v>
      </c>
      <c r="BO80" s="91">
        <f t="shared" ref="BO80:BW86" si="194">IF(ISERROR(GETPIVOTDATA("Sum of "&amp;BO$1&amp;" (Out)",$AW$6,"Sub-Sector",$BJ80,"End-Use",$BL80)),0,GETPIVOTDATA("Sum of "&amp;BO$1&amp;" (Out)",$AW$6,"Sub-Sector",$BJ80,"End-Use",$BL80))</f>
        <v>3.7791296839802216E-2</v>
      </c>
      <c r="BP80" s="89">
        <f t="shared" si="194"/>
        <v>0.10402672565433035</v>
      </c>
      <c r="BQ80" s="90">
        <f t="shared" si="194"/>
        <v>0.12682526568007951</v>
      </c>
      <c r="BR80" s="89">
        <f t="shared" si="194"/>
        <v>8.5901768061119391E-2</v>
      </c>
      <c r="BS80" s="90">
        <f t="shared" si="194"/>
        <v>0.12301183580420917</v>
      </c>
      <c r="BT80" s="89">
        <f t="shared" si="194"/>
        <v>0.10722273284717955</v>
      </c>
      <c r="BU80" s="90">
        <f t="shared" si="194"/>
        <v>0.37249202694867478</v>
      </c>
      <c r="BV80" s="89">
        <f t="shared" si="194"/>
        <v>0.1089536358929941</v>
      </c>
      <c r="BW80" s="88">
        <f t="shared" si="194"/>
        <v>6.8318892224671662E-2</v>
      </c>
      <c r="BX80" s="26">
        <f t="shared" ref="BX80:CF80" si="195">BO80/BO87</f>
        <v>4.9724379856731149E-3</v>
      </c>
      <c r="BY80" s="25">
        <f t="shared" si="195"/>
        <v>4.674118725178384E-3</v>
      </c>
      <c r="BZ80" s="24">
        <f t="shared" si="195"/>
        <v>2.6640298855729015E-3</v>
      </c>
      <c r="CA80" s="25">
        <f t="shared" si="195"/>
        <v>2.6033649672351036E-3</v>
      </c>
      <c r="CB80" s="24">
        <f t="shared" si="195"/>
        <v>4.3654117445784801E-3</v>
      </c>
      <c r="CC80" s="25">
        <f t="shared" si="195"/>
        <v>4.5129119776796461E-3</v>
      </c>
      <c r="CD80" s="24">
        <f t="shared" si="195"/>
        <v>4.5308914178919454E-3</v>
      </c>
      <c r="CE80" s="25">
        <f t="shared" si="195"/>
        <v>3.7769221192454471E-3</v>
      </c>
      <c r="CF80" s="32">
        <f t="shared" si="195"/>
        <v>3.9986087829781735E-3</v>
      </c>
      <c r="CH80" s="54" t="s">
        <v>2123</v>
      </c>
      <c r="CI80" s="41">
        <v>0.73803996577173003</v>
      </c>
      <c r="CJ80" s="40">
        <v>0.7351025950562039</v>
      </c>
      <c r="CK80" s="39">
        <v>0.37423112384374274</v>
      </c>
      <c r="CL80" s="40">
        <v>0.38651826294976749</v>
      </c>
      <c r="CM80" s="39">
        <v>0.39686435341424664</v>
      </c>
      <c r="CN80" s="40">
        <v>0.39371680443126272</v>
      </c>
      <c r="CO80" s="39">
        <v>0.40203782938138161</v>
      </c>
      <c r="CP80" s="40">
        <v>0.11497492498273987</v>
      </c>
      <c r="CQ80" s="66">
        <v>8.5113459598103111E-2</v>
      </c>
      <c r="CS80" s="54" t="s">
        <v>1786</v>
      </c>
      <c r="CT80" s="39">
        <v>0</v>
      </c>
      <c r="CU80" s="40">
        <v>0</v>
      </c>
      <c r="CV80" s="39">
        <v>0.79648844867872548</v>
      </c>
      <c r="CW80" s="40">
        <v>0.53948056497158514</v>
      </c>
      <c r="CX80" s="39">
        <v>1.0906437654907157</v>
      </c>
      <c r="CY80" s="40">
        <v>0.95065490514898487</v>
      </c>
      <c r="CZ80" s="39">
        <v>3.302577383961542</v>
      </c>
      <c r="DA80" s="40">
        <v>1.6422023538916635</v>
      </c>
      <c r="DB80" s="39">
        <v>1.0297356734089578</v>
      </c>
      <c r="DC80" s="38">
        <v>9.3517830955521735</v>
      </c>
      <c r="DE80" s="37" t="s">
        <v>1541</v>
      </c>
      <c r="DF80" s="35" t="str">
        <f t="shared" si="164"/>
        <v>IMSOH</v>
      </c>
      <c r="DG80" s="26">
        <f t="shared" si="191"/>
        <v>0</v>
      </c>
      <c r="DH80" s="25">
        <f t="shared" si="191"/>
        <v>0</v>
      </c>
      <c r="DI80" s="24">
        <f t="shared" si="191"/>
        <v>1.1905926380645611</v>
      </c>
      <c r="DJ80" s="25">
        <f t="shared" si="191"/>
        <v>0.80641670334275062</v>
      </c>
      <c r="DK80" s="24">
        <f t="shared" si="191"/>
        <v>3.8816586555001496E-2</v>
      </c>
      <c r="DL80" s="25">
        <f t="shared" si="191"/>
        <v>3.3834309219242888E-2</v>
      </c>
      <c r="DM80" s="24">
        <f t="shared" si="191"/>
        <v>0.11754047007407102</v>
      </c>
      <c r="DN80" s="25">
        <f t="shared" si="191"/>
        <v>0</v>
      </c>
      <c r="DO80" s="32">
        <f t="shared" si="191"/>
        <v>0</v>
      </c>
      <c r="DP80" s="26">
        <f t="shared" si="165"/>
        <v>0</v>
      </c>
      <c r="DQ80" s="25">
        <f t="shared" si="166"/>
        <v>0</v>
      </c>
      <c r="DR80" s="24">
        <f t="shared" si="167"/>
        <v>7.015815714557623E-2</v>
      </c>
      <c r="DS80" s="25">
        <f t="shared" si="168"/>
        <v>7.015815714557623E-2</v>
      </c>
      <c r="DT80" s="24">
        <f t="shared" si="169"/>
        <v>3.7651598262913019E-2</v>
      </c>
      <c r="DU80" s="25">
        <f t="shared" si="170"/>
        <v>3.7651598262913019E-2</v>
      </c>
      <c r="DV80" s="24">
        <f t="shared" si="171"/>
        <v>3.7651598262913026E-2</v>
      </c>
      <c r="DW80" s="25">
        <f t="shared" si="172"/>
        <v>0</v>
      </c>
      <c r="DX80" s="32">
        <f t="shared" si="173"/>
        <v>0</v>
      </c>
      <c r="DZ80" s="54" t="s">
        <v>1857</v>
      </c>
      <c r="EA80" s="39">
        <v>0.3473433082228583</v>
      </c>
      <c r="EB80" s="40">
        <v>0.34734330822285836</v>
      </c>
      <c r="EC80" s="39">
        <v>0.27116074455282407</v>
      </c>
      <c r="ED80" s="40">
        <v>0.27116074455282413</v>
      </c>
      <c r="EE80" s="39">
        <v>0</v>
      </c>
      <c r="EF80" s="40">
        <v>0</v>
      </c>
      <c r="EG80" s="39">
        <v>0</v>
      </c>
      <c r="EH80" s="40">
        <v>0.2129885309789844</v>
      </c>
      <c r="EI80" s="66">
        <v>0.21298853097898446</v>
      </c>
      <c r="EO80" s="83" t="s">
        <v>1611</v>
      </c>
      <c r="EP80" s="82" t="s">
        <v>438</v>
      </c>
      <c r="EQ80" s="81">
        <f t="shared" si="174"/>
        <v>12.022841358313119</v>
      </c>
      <c r="ER80" s="80">
        <f>EQ80/SUM(EQ80:EQ88)</f>
        <v>3.6748384812187819E-2</v>
      </c>
      <c r="ET80" s="73" t="s">
        <v>440</v>
      </c>
      <c r="EU80" s="72">
        <v>0.19513567366417392</v>
      </c>
      <c r="EW80" s="37" t="s">
        <v>1611</v>
      </c>
      <c r="EX80" s="36" t="s">
        <v>2108</v>
      </c>
      <c r="EY80" s="36" t="s">
        <v>1150</v>
      </c>
      <c r="EZ80" s="1" t="s">
        <v>1902</v>
      </c>
      <c r="FA80" s="36" t="str">
        <f t="shared" si="175"/>
        <v>IMOETC</v>
      </c>
      <c r="FB80" s="1" t="s">
        <v>439</v>
      </c>
      <c r="FC80" s="26">
        <f t="shared" si="176"/>
        <v>74.140331422726135</v>
      </c>
      <c r="FD80" s="25">
        <f t="shared" si="177"/>
        <v>3.5364642470204193</v>
      </c>
      <c r="FE80" s="24">
        <f t="shared" si="178"/>
        <v>4.7699601271763287E-2</v>
      </c>
      <c r="FF80" s="36">
        <v>0.02</v>
      </c>
      <c r="FG80" s="32">
        <f t="shared" si="179"/>
        <v>0.41929071662573847</v>
      </c>
    </row>
    <row r="81" spans="1:163">
      <c r="A81" s="37" t="s">
        <v>2075</v>
      </c>
      <c r="B81" s="36" t="s">
        <v>1107</v>
      </c>
      <c r="C81" s="1" t="s">
        <v>456</v>
      </c>
      <c r="D81" s="36" t="s">
        <v>456</v>
      </c>
      <c r="E81" s="36" t="s">
        <v>2122</v>
      </c>
      <c r="F81" s="1" t="e">
        <f t="shared" ca="1" si="159"/>
        <v>#NAME?</v>
      </c>
      <c r="G81" s="35" t="s">
        <v>1109</v>
      </c>
      <c r="H81" s="34">
        <f>1-I81</f>
        <v>0.53168611646901609</v>
      </c>
      <c r="I81" s="33">
        <v>0.46831388353098397</v>
      </c>
      <c r="J81" s="26">
        <v>6.6993359047252366E-5</v>
      </c>
      <c r="K81" s="25">
        <v>0</v>
      </c>
      <c r="L81" s="24"/>
      <c r="M81" s="25"/>
      <c r="N81" s="24"/>
      <c r="O81" s="25"/>
      <c r="P81" s="24"/>
      <c r="Q81" s="25"/>
      <c r="R81" s="32"/>
      <c r="S81" s="31" t="e">
        <v>#REF!</v>
      </c>
      <c r="T81" s="29" t="e">
        <f t="shared" ref="T81:AA90" si="196">S81</f>
        <v>#REF!</v>
      </c>
      <c r="U81" s="30" t="e">
        <f t="shared" si="196"/>
        <v>#REF!</v>
      </c>
      <c r="V81" s="29" t="e">
        <f t="shared" si="196"/>
        <v>#REF!</v>
      </c>
      <c r="W81" s="30" t="e">
        <f t="shared" si="196"/>
        <v>#REF!</v>
      </c>
      <c r="X81" s="29" t="e">
        <f t="shared" si="196"/>
        <v>#REF!</v>
      </c>
      <c r="Y81" s="30" t="e">
        <f t="shared" si="196"/>
        <v>#REF!</v>
      </c>
      <c r="Z81" s="29" t="e">
        <f t="shared" si="196"/>
        <v>#REF!</v>
      </c>
      <c r="AA81" s="28" t="e">
        <f t="shared" si="196"/>
        <v>#REF!</v>
      </c>
      <c r="AB81" s="26" t="e">
        <f t="shared" si="187"/>
        <v>#REF!</v>
      </c>
      <c r="AC81" s="25" t="e">
        <f t="shared" si="187"/>
        <v>#REF!</v>
      </c>
      <c r="AD81" s="24" t="e">
        <f t="shared" si="187"/>
        <v>#REF!</v>
      </c>
      <c r="AE81" s="25" t="e">
        <f t="shared" si="187"/>
        <v>#REF!</v>
      </c>
      <c r="AF81" s="24" t="e">
        <f t="shared" si="187"/>
        <v>#REF!</v>
      </c>
      <c r="AG81" s="25" t="e">
        <f t="shared" si="187"/>
        <v>#REF!</v>
      </c>
      <c r="AH81" s="24" t="e">
        <f t="shared" si="187"/>
        <v>#REF!</v>
      </c>
      <c r="AI81" s="25" t="e">
        <f t="shared" si="187"/>
        <v>#REF!</v>
      </c>
      <c r="AJ81" s="24" t="e">
        <f t="shared" si="187"/>
        <v>#REF!</v>
      </c>
      <c r="AK81" s="27" t="e">
        <f t="shared" si="160"/>
        <v>#REF!</v>
      </c>
      <c r="AL81" s="26" t="e">
        <f t="shared" si="188"/>
        <v>#REF!</v>
      </c>
      <c r="AM81" s="25" t="e">
        <f t="shared" si="188"/>
        <v>#REF!</v>
      </c>
      <c r="AN81" s="24" t="e">
        <f t="shared" si="188"/>
        <v>#REF!</v>
      </c>
      <c r="AO81" s="25" t="e">
        <f t="shared" si="188"/>
        <v>#REF!</v>
      </c>
      <c r="AP81" s="24" t="e">
        <f t="shared" si="188"/>
        <v>#REF!</v>
      </c>
      <c r="AQ81" s="25" t="e">
        <f t="shared" si="188"/>
        <v>#REF!</v>
      </c>
      <c r="AR81" s="24" t="e">
        <f t="shared" si="188"/>
        <v>#REF!</v>
      </c>
      <c r="AS81" s="25" t="e">
        <f t="shared" si="188"/>
        <v>#REF!</v>
      </c>
      <c r="AT81" s="24" t="e">
        <f t="shared" si="188"/>
        <v>#REF!</v>
      </c>
      <c r="AU81" s="23" t="e">
        <f>SUM(AL81:AT81)</f>
        <v>#REF!</v>
      </c>
      <c r="AW81" s="51" t="s">
        <v>1477</v>
      </c>
      <c r="AX81" s="7">
        <v>35.634367303667425</v>
      </c>
      <c r="AY81" s="6">
        <v>25.308913099218202</v>
      </c>
      <c r="AZ81" s="5">
        <v>29.933517313531446</v>
      </c>
      <c r="BA81" s="6">
        <v>5.7446507212596147</v>
      </c>
      <c r="BB81" s="5">
        <v>24.978390159523929</v>
      </c>
      <c r="BC81" s="6">
        <v>16.111504970144722</v>
      </c>
      <c r="BD81" s="5">
        <v>10.088812486482739</v>
      </c>
      <c r="BE81" s="6">
        <v>1.0152882742504583</v>
      </c>
      <c r="BF81" s="5">
        <v>8.5074190442772597</v>
      </c>
      <c r="BG81" s="77">
        <v>157.32286337235578</v>
      </c>
      <c r="BH81" s="59">
        <v>3.0690161154032269</v>
      </c>
      <c r="BJ81" s="37" t="s">
        <v>1539</v>
      </c>
      <c r="BK81" s="36" t="s">
        <v>2087</v>
      </c>
      <c r="BL81" s="1" t="s">
        <v>1145</v>
      </c>
      <c r="BM81" s="36" t="s">
        <v>1945</v>
      </c>
      <c r="BN81" s="82" t="str">
        <f t="shared" si="193"/>
        <v>INOFAC</v>
      </c>
      <c r="BO81" s="26">
        <f t="shared" si="194"/>
        <v>0.67943609216716405</v>
      </c>
      <c r="BP81" s="25">
        <f t="shared" si="194"/>
        <v>1.8702589715069908</v>
      </c>
      <c r="BQ81" s="24">
        <f t="shared" si="194"/>
        <v>2.7543543437510687</v>
      </c>
      <c r="BR81" s="25">
        <f t="shared" si="194"/>
        <v>1.8655896892964643</v>
      </c>
      <c r="BS81" s="24">
        <f t="shared" si="194"/>
        <v>2.5236544444393409</v>
      </c>
      <c r="BT81" s="25">
        <f t="shared" si="194"/>
        <v>2.1997324446519455</v>
      </c>
      <c r="BU81" s="24">
        <f t="shared" si="194"/>
        <v>7.6418757039237351</v>
      </c>
      <c r="BV81" s="25">
        <f t="shared" si="194"/>
        <v>2.7244545700246965</v>
      </c>
      <c r="BW81" s="32">
        <f t="shared" si="194"/>
        <v>1.7083571063505922</v>
      </c>
      <c r="BX81" s="26">
        <f t="shared" ref="BX81:CF81" si="197">BO81/BO87</f>
        <v>8.9397668670927452E-2</v>
      </c>
      <c r="BY81" s="25">
        <f t="shared" si="197"/>
        <v>8.4034294309154711E-2</v>
      </c>
      <c r="BZ81" s="24">
        <f t="shared" si="197"/>
        <v>5.785662855002334E-2</v>
      </c>
      <c r="CA81" s="25">
        <f t="shared" si="197"/>
        <v>5.6539125444936125E-2</v>
      </c>
      <c r="CB81" s="24">
        <f t="shared" si="197"/>
        <v>8.9558786591462367E-2</v>
      </c>
      <c r="CC81" s="25">
        <f t="shared" si="197"/>
        <v>9.2584833771296893E-2</v>
      </c>
      <c r="CD81" s="24">
        <f t="shared" si="197"/>
        <v>9.2953691726335635E-2</v>
      </c>
      <c r="CE81" s="25">
        <f t="shared" si="197"/>
        <v>9.444432619496719E-2</v>
      </c>
      <c r="CF81" s="32">
        <f t="shared" si="197"/>
        <v>9.9987741420809975E-2</v>
      </c>
      <c r="CH81" s="54" t="s">
        <v>2121</v>
      </c>
      <c r="CI81" s="41">
        <v>3.3326713280373142E-2</v>
      </c>
      <c r="CJ81" s="40">
        <v>3.1423540503727733E-2</v>
      </c>
      <c r="CK81" s="39">
        <v>4.5734885802416719E-2</v>
      </c>
      <c r="CL81" s="40">
        <v>4.7236500361036625E-2</v>
      </c>
      <c r="CM81" s="39">
        <v>9.7520527183986447E-2</v>
      </c>
      <c r="CN81" s="40">
        <v>9.6747087509908153E-2</v>
      </c>
      <c r="CO81" s="39">
        <v>9.8791793044344725E-2</v>
      </c>
      <c r="CP81" s="40">
        <v>0.13890383779041271</v>
      </c>
      <c r="CQ81" s="66">
        <v>0.10282751815294142</v>
      </c>
      <c r="CS81" s="54" t="s">
        <v>1691</v>
      </c>
      <c r="CT81" s="39">
        <v>3.4484774572354859</v>
      </c>
      <c r="CU81" s="40">
        <v>9.4924982302051149</v>
      </c>
      <c r="CV81" s="39">
        <v>16.792019132419725</v>
      </c>
      <c r="CW81" s="40">
        <v>11.37363383436276</v>
      </c>
      <c r="CX81" s="39">
        <v>17.245175690076113</v>
      </c>
      <c r="CY81" s="40">
        <v>15.031682551773082</v>
      </c>
      <c r="CZ81" s="39">
        <v>52.220100658498254</v>
      </c>
      <c r="DA81" s="40">
        <v>9.3572532783011209</v>
      </c>
      <c r="DB81" s="39">
        <v>5.8674240010407619</v>
      </c>
      <c r="DC81" s="38">
        <v>140.82826483391244</v>
      </c>
      <c r="DE81" s="37" t="s">
        <v>1537</v>
      </c>
      <c r="DF81" s="35" t="str">
        <f t="shared" si="164"/>
        <v>IMSOH</v>
      </c>
      <c r="DG81" s="26">
        <f t="shared" si="191"/>
        <v>0.44167187454661011</v>
      </c>
      <c r="DH81" s="25">
        <f t="shared" si="191"/>
        <v>1.2157740740535667</v>
      </c>
      <c r="DI81" s="24">
        <f t="shared" si="191"/>
        <v>2.6312998371261473</v>
      </c>
      <c r="DJ81" s="25">
        <f t="shared" si="191"/>
        <v>1.7822419460034666</v>
      </c>
      <c r="DK81" s="24">
        <f t="shared" si="191"/>
        <v>0.45618381542217223</v>
      </c>
      <c r="DL81" s="25">
        <f t="shared" si="191"/>
        <v>0.3976306430226037</v>
      </c>
      <c r="DM81" s="24">
        <f t="shared" si="191"/>
        <v>1.3813697922388917</v>
      </c>
      <c r="DN81" s="25">
        <f t="shared" si="191"/>
        <v>0.14552634564064917</v>
      </c>
      <c r="DO81" s="32">
        <f t="shared" si="191"/>
        <v>9.1251647016518958E-2</v>
      </c>
      <c r="DP81" s="26">
        <f t="shared" si="165"/>
        <v>0.91650525835033714</v>
      </c>
      <c r="DQ81" s="25">
        <f t="shared" si="166"/>
        <v>0.91650525835033725</v>
      </c>
      <c r="DR81" s="24">
        <f t="shared" si="167"/>
        <v>0.15505483703504547</v>
      </c>
      <c r="DS81" s="25">
        <f t="shared" si="168"/>
        <v>0.15505483703504547</v>
      </c>
      <c r="DT81" s="24">
        <f t="shared" si="169"/>
        <v>0.44249253416399048</v>
      </c>
      <c r="DU81" s="25">
        <f t="shared" si="170"/>
        <v>0.44249253416399048</v>
      </c>
      <c r="DV81" s="24">
        <f t="shared" si="171"/>
        <v>0.44249253416399054</v>
      </c>
      <c r="DW81" s="25">
        <f t="shared" si="172"/>
        <v>0.75823389948214248</v>
      </c>
      <c r="DX81" s="32">
        <f t="shared" si="173"/>
        <v>0.75823389948214237</v>
      </c>
      <c r="DZ81" s="54" t="s">
        <v>1754</v>
      </c>
      <c r="EA81" s="39">
        <v>0</v>
      </c>
      <c r="EB81" s="40">
        <v>0</v>
      </c>
      <c r="EC81" s="39">
        <v>7.2859572968979325E-2</v>
      </c>
      <c r="ED81" s="40">
        <v>7.2859572968979325E-2</v>
      </c>
      <c r="EE81" s="39">
        <v>3.512896540075016E-2</v>
      </c>
      <c r="EF81" s="40">
        <v>3.512896540075016E-2</v>
      </c>
      <c r="EG81" s="39">
        <v>3.512896540075016E-2</v>
      </c>
      <c r="EH81" s="40">
        <v>0</v>
      </c>
      <c r="EI81" s="66">
        <v>0</v>
      </c>
      <c r="EO81" s="83" t="s">
        <v>1611</v>
      </c>
      <c r="EP81" s="82" t="s">
        <v>440</v>
      </c>
      <c r="EQ81" s="81">
        <f t="shared" si="174"/>
        <v>37.872488450142463</v>
      </c>
      <c r="ER81" s="80">
        <f>EQ81/SUM(EQ80:EQ88)</f>
        <v>0.11575905710497086</v>
      </c>
      <c r="ET81" s="73" t="s">
        <v>439</v>
      </c>
      <c r="EU81" s="72">
        <v>0.21732646608724043</v>
      </c>
      <c r="EW81" s="37" t="s">
        <v>1611</v>
      </c>
      <c r="EX81" s="36" t="s">
        <v>2108</v>
      </c>
      <c r="EY81" s="36" t="s">
        <v>1139</v>
      </c>
      <c r="EZ81" s="1" t="s">
        <v>1943</v>
      </c>
      <c r="FA81" s="36" t="str">
        <f t="shared" si="175"/>
        <v>IMOFEED</v>
      </c>
      <c r="FB81" s="1" t="s">
        <v>518</v>
      </c>
      <c r="FC81" s="26">
        <f t="shared" si="176"/>
        <v>48.49982277120094</v>
      </c>
      <c r="FD81" s="25">
        <f t="shared" si="177"/>
        <v>0.77281458855357588</v>
      </c>
      <c r="FE81" s="24">
        <f t="shared" si="178"/>
        <v>1.5934379640918421E-2</v>
      </c>
      <c r="FF81" s="36">
        <v>0</v>
      </c>
      <c r="FG81" s="86">
        <f t="shared" si="179"/>
        <v>0</v>
      </c>
    </row>
    <row r="82" spans="1:163">
      <c r="A82" s="37" t="s">
        <v>2075</v>
      </c>
      <c r="B82" s="36" t="s">
        <v>1107</v>
      </c>
      <c r="C82" s="1" t="s">
        <v>665</v>
      </c>
      <c r="D82" s="36" t="s">
        <v>665</v>
      </c>
      <c r="E82" s="36" t="s">
        <v>2120</v>
      </c>
      <c r="F82" s="1" t="e">
        <f t="shared" ca="1" si="159"/>
        <v>#NAME?</v>
      </c>
      <c r="G82" s="35" t="s">
        <v>1104</v>
      </c>
      <c r="H82" s="43">
        <v>1</v>
      </c>
      <c r="I82" s="42">
        <v>0</v>
      </c>
      <c r="J82" s="26" t="e">
        <v>#REF!</v>
      </c>
      <c r="K82" s="25" t="e">
        <v>#REF!</v>
      </c>
      <c r="L82" s="24"/>
      <c r="M82" s="25"/>
      <c r="N82" s="24"/>
      <c r="O82" s="25"/>
      <c r="P82" s="24"/>
      <c r="Q82" s="25"/>
      <c r="R82" s="32"/>
      <c r="S82" s="31" t="e">
        <v>#REF!</v>
      </c>
      <c r="T82" s="29" t="e">
        <f t="shared" si="196"/>
        <v>#REF!</v>
      </c>
      <c r="U82" s="30" t="e">
        <f t="shared" si="196"/>
        <v>#REF!</v>
      </c>
      <c r="V82" s="29" t="e">
        <f t="shared" si="196"/>
        <v>#REF!</v>
      </c>
      <c r="W82" s="30" t="e">
        <f t="shared" si="196"/>
        <v>#REF!</v>
      </c>
      <c r="X82" s="29" t="e">
        <f t="shared" si="196"/>
        <v>#REF!</v>
      </c>
      <c r="Y82" s="30" t="e">
        <f t="shared" si="196"/>
        <v>#REF!</v>
      </c>
      <c r="Z82" s="29" t="e">
        <f t="shared" si="196"/>
        <v>#REF!</v>
      </c>
      <c r="AA82" s="28" t="e">
        <f t="shared" si="196"/>
        <v>#REF!</v>
      </c>
      <c r="AB82" s="26" t="e">
        <f t="shared" ref="AB82:AJ83" si="198">J82*$H82*S82</f>
        <v>#REF!</v>
      </c>
      <c r="AC82" s="25" t="e">
        <f t="shared" si="198"/>
        <v>#REF!</v>
      </c>
      <c r="AD82" s="24" t="e">
        <f t="shared" si="198"/>
        <v>#REF!</v>
      </c>
      <c r="AE82" s="25" t="e">
        <f t="shared" si="198"/>
        <v>#REF!</v>
      </c>
      <c r="AF82" s="24" t="e">
        <f t="shared" si="198"/>
        <v>#REF!</v>
      </c>
      <c r="AG82" s="25" t="e">
        <f t="shared" si="198"/>
        <v>#REF!</v>
      </c>
      <c r="AH82" s="24" t="e">
        <f t="shared" si="198"/>
        <v>#REF!</v>
      </c>
      <c r="AI82" s="25" t="e">
        <f t="shared" si="198"/>
        <v>#REF!</v>
      </c>
      <c r="AJ82" s="24" t="e">
        <f t="shared" si="198"/>
        <v>#REF!</v>
      </c>
      <c r="AK82" s="27" t="e">
        <f t="shared" si="160"/>
        <v>#REF!</v>
      </c>
      <c r="AL82" s="41">
        <v>0</v>
      </c>
      <c r="AM82" s="40">
        <v>0</v>
      </c>
      <c r="AN82" s="39">
        <v>0</v>
      </c>
      <c r="AO82" s="40">
        <v>0</v>
      </c>
      <c r="AP82" s="39">
        <v>0</v>
      </c>
      <c r="AQ82" s="40">
        <v>0</v>
      </c>
      <c r="AR82" s="39">
        <v>0</v>
      </c>
      <c r="AS82" s="40">
        <v>0</v>
      </c>
      <c r="AT82" s="39">
        <v>0</v>
      </c>
      <c r="AU82" s="38">
        <v>0</v>
      </c>
      <c r="AW82" s="100" t="s">
        <v>1145</v>
      </c>
      <c r="AX82" s="41">
        <v>2.6357872662438426</v>
      </c>
      <c r="AY82" s="40">
        <v>2.3256946466857431</v>
      </c>
      <c r="AZ82" s="39">
        <v>8.2928153965429132</v>
      </c>
      <c r="BA82" s="40">
        <v>1.5879859269975787</v>
      </c>
      <c r="BB82" s="39">
        <v>5.1163134026725956</v>
      </c>
      <c r="BC82" s="40">
        <v>2.9707626209066689</v>
      </c>
      <c r="BD82" s="39">
        <v>2.1455507817659276</v>
      </c>
      <c r="BE82" s="40">
        <v>0.44106112375049183</v>
      </c>
      <c r="BF82" s="39">
        <v>3.4182237090663117</v>
      </c>
      <c r="BG82" s="81">
        <v>28.934194874632077</v>
      </c>
      <c r="BH82" s="66">
        <v>0</v>
      </c>
      <c r="BJ82" s="37" t="s">
        <v>1539</v>
      </c>
      <c r="BK82" s="36" t="s">
        <v>2087</v>
      </c>
      <c r="BL82" s="1" t="s">
        <v>1139</v>
      </c>
      <c r="BM82" s="36" t="s">
        <v>1943</v>
      </c>
      <c r="BN82" s="82" t="str">
        <f t="shared" si="193"/>
        <v>INOFEED</v>
      </c>
      <c r="BO82" s="26">
        <f t="shared" si="194"/>
        <v>0</v>
      </c>
      <c r="BP82" s="25">
        <f t="shared" si="194"/>
        <v>0</v>
      </c>
      <c r="BQ82" s="24">
        <f t="shared" si="194"/>
        <v>0</v>
      </c>
      <c r="BR82" s="25">
        <f t="shared" si="194"/>
        <v>0</v>
      </c>
      <c r="BS82" s="24">
        <f t="shared" si="194"/>
        <v>0</v>
      </c>
      <c r="BT82" s="25">
        <f t="shared" si="194"/>
        <v>0</v>
      </c>
      <c r="BU82" s="24">
        <f t="shared" si="194"/>
        <v>0</v>
      </c>
      <c r="BV82" s="25">
        <f t="shared" si="194"/>
        <v>0</v>
      </c>
      <c r="BW82" s="32">
        <f t="shared" si="194"/>
        <v>0</v>
      </c>
      <c r="BX82" s="26">
        <f t="shared" ref="BX82:CF82" si="199">BO82/BO87</f>
        <v>0</v>
      </c>
      <c r="BY82" s="25">
        <f t="shared" si="199"/>
        <v>0</v>
      </c>
      <c r="BZ82" s="24">
        <f t="shared" si="199"/>
        <v>0</v>
      </c>
      <c r="CA82" s="25">
        <f t="shared" si="199"/>
        <v>0</v>
      </c>
      <c r="CB82" s="24">
        <f t="shared" si="199"/>
        <v>0</v>
      </c>
      <c r="CC82" s="25">
        <f t="shared" si="199"/>
        <v>0</v>
      </c>
      <c r="CD82" s="24">
        <f t="shared" si="199"/>
        <v>0</v>
      </c>
      <c r="CE82" s="25">
        <f t="shared" si="199"/>
        <v>0</v>
      </c>
      <c r="CF82" s="32">
        <f t="shared" si="199"/>
        <v>0</v>
      </c>
      <c r="CH82" s="54" t="s">
        <v>2119</v>
      </c>
      <c r="CI82" s="41">
        <v>1.0751995282223661E-2</v>
      </c>
      <c r="CJ82" s="40">
        <v>1.0137986197571466E-2</v>
      </c>
      <c r="CK82" s="39">
        <v>6.3438901004161871E-2</v>
      </c>
      <c r="CL82" s="40">
        <v>6.5521791901544696E-2</v>
      </c>
      <c r="CM82" s="39">
        <v>2.4515608262315816E-2</v>
      </c>
      <c r="CN82" s="40">
        <v>2.4321173873866873E-2</v>
      </c>
      <c r="CO82" s="39">
        <v>2.4835190782322093E-2</v>
      </c>
      <c r="CP82" s="40">
        <v>1.6011483422019364E-2</v>
      </c>
      <c r="CQ82" s="66">
        <v>1.1852956177621568E-2</v>
      </c>
      <c r="CS82" s="54" t="s">
        <v>1689</v>
      </c>
      <c r="CT82" s="39">
        <v>0.1433971320731178</v>
      </c>
      <c r="CU82" s="40">
        <v>0.39472405990781217</v>
      </c>
      <c r="CV82" s="39">
        <v>1.1228745439299455</v>
      </c>
      <c r="CW82" s="40">
        <v>0.76054962800330972</v>
      </c>
      <c r="CX82" s="39">
        <v>4.2283153480652311</v>
      </c>
      <c r="CY82" s="40">
        <v>3.6855927236207786</v>
      </c>
      <c r="CZ82" s="39">
        <v>12.803757819579797</v>
      </c>
      <c r="DA82" s="40">
        <v>1.9844110434915676</v>
      </c>
      <c r="DB82" s="39">
        <v>1.2443161083940126</v>
      </c>
      <c r="DC82" s="38">
        <v>26.367938407065576</v>
      </c>
      <c r="DE82" s="37" t="s">
        <v>1195</v>
      </c>
      <c r="DF82" s="35" t="str">
        <f t="shared" si="164"/>
        <v>IPLOH</v>
      </c>
      <c r="DG82" s="26">
        <f t="shared" si="191"/>
        <v>0</v>
      </c>
      <c r="DH82" s="25">
        <f t="shared" si="191"/>
        <v>0</v>
      </c>
      <c r="DI82" s="24">
        <f t="shared" si="191"/>
        <v>0</v>
      </c>
      <c r="DJ82" s="25">
        <f t="shared" si="191"/>
        <v>0</v>
      </c>
      <c r="DK82" s="24">
        <f t="shared" si="191"/>
        <v>0.61010029175439262</v>
      </c>
      <c r="DL82" s="25">
        <f t="shared" si="191"/>
        <v>0.35425178230900217</v>
      </c>
      <c r="DM82" s="24">
        <f t="shared" si="191"/>
        <v>0.25584850944539045</v>
      </c>
      <c r="DN82" s="25">
        <f t="shared" si="191"/>
        <v>3.7486961090899694E-3</v>
      </c>
      <c r="DO82" s="32">
        <f t="shared" si="191"/>
        <v>2.9052394845447263E-2</v>
      </c>
      <c r="DP82" s="26">
        <f t="shared" si="165"/>
        <v>0</v>
      </c>
      <c r="DQ82" s="25">
        <f t="shared" si="166"/>
        <v>0</v>
      </c>
      <c r="DR82" s="24">
        <f t="shared" si="167"/>
        <v>0</v>
      </c>
      <c r="DS82" s="25">
        <f t="shared" si="168"/>
        <v>0</v>
      </c>
      <c r="DT82" s="24">
        <f t="shared" si="169"/>
        <v>7.6545956728427521E-3</v>
      </c>
      <c r="DU82" s="25">
        <f t="shared" si="170"/>
        <v>7.4132741813752534E-3</v>
      </c>
      <c r="DV82" s="24">
        <f t="shared" si="171"/>
        <v>7.460422967017391E-3</v>
      </c>
      <c r="DW82" s="25">
        <f t="shared" si="172"/>
        <v>7.0581995902039719E-3</v>
      </c>
      <c r="DX82" s="32">
        <f t="shared" si="173"/>
        <v>7.0581995902039745E-3</v>
      </c>
      <c r="DZ82" s="54" t="s">
        <v>1760</v>
      </c>
      <c r="EA82" s="39">
        <v>0</v>
      </c>
      <c r="EB82" s="40">
        <v>0</v>
      </c>
      <c r="EC82" s="39">
        <v>0.88797479116026246</v>
      </c>
      <c r="ED82" s="40">
        <v>0.88797479116026246</v>
      </c>
      <c r="EE82" s="39">
        <v>0.77064058983215245</v>
      </c>
      <c r="EF82" s="40">
        <v>0.77064058983215245</v>
      </c>
      <c r="EG82" s="39">
        <v>0.77064058983215245</v>
      </c>
      <c r="EH82" s="40">
        <v>0</v>
      </c>
      <c r="EI82" s="66">
        <v>0</v>
      </c>
      <c r="EO82" s="83" t="s">
        <v>1611</v>
      </c>
      <c r="EP82" s="82" t="s">
        <v>439</v>
      </c>
      <c r="EQ82" s="81">
        <f t="shared" si="174"/>
        <v>74.140331422726135</v>
      </c>
      <c r="ER82" s="80">
        <f>EQ82/SUM(EQ80:EQ88)</f>
        <v>0.22661343920516891</v>
      </c>
      <c r="ET82" s="73" t="s">
        <v>518</v>
      </c>
      <c r="EU82" s="72">
        <v>0.1186418621187493</v>
      </c>
      <c r="EW82" s="37" t="s">
        <v>1611</v>
      </c>
      <c r="EX82" s="36" t="s">
        <v>2108</v>
      </c>
      <c r="EY82" s="36" t="s">
        <v>1145</v>
      </c>
      <c r="EZ82" s="1" t="s">
        <v>1945</v>
      </c>
      <c r="FA82" s="36" t="str">
        <f t="shared" si="175"/>
        <v>IMOFAC</v>
      </c>
      <c r="FB82" s="1" t="s">
        <v>517</v>
      </c>
      <c r="FC82" s="26">
        <f t="shared" si="176"/>
        <v>20.77585475467971</v>
      </c>
      <c r="FD82" s="25">
        <f t="shared" si="177"/>
        <v>2.2763713924392697</v>
      </c>
      <c r="FE82" s="24">
        <f t="shared" si="178"/>
        <v>0.10956812219369808</v>
      </c>
      <c r="FF82" s="36">
        <v>0</v>
      </c>
      <c r="FG82" s="86">
        <f t="shared" si="179"/>
        <v>0</v>
      </c>
    </row>
    <row r="83" spans="1:163">
      <c r="A83" s="37" t="s">
        <v>2075</v>
      </c>
      <c r="B83" s="36" t="s">
        <v>1107</v>
      </c>
      <c r="C83" s="1" t="s">
        <v>665</v>
      </c>
      <c r="D83" s="36" t="s">
        <v>665</v>
      </c>
      <c r="E83" s="36" t="s">
        <v>2118</v>
      </c>
      <c r="F83" s="1" t="e">
        <f t="shared" ca="1" si="159"/>
        <v>#NAME?</v>
      </c>
      <c r="G83" s="35" t="s">
        <v>1104</v>
      </c>
      <c r="H83" s="43">
        <v>1</v>
      </c>
      <c r="I83" s="42">
        <v>0</v>
      </c>
      <c r="J83" s="26">
        <v>6.4969853999999998</v>
      </c>
      <c r="K83" s="25">
        <v>9.2934385574999983</v>
      </c>
      <c r="L83" s="24"/>
      <c r="M83" s="25"/>
      <c r="N83" s="24"/>
      <c r="O83" s="25"/>
      <c r="P83" s="24"/>
      <c r="Q83" s="25"/>
      <c r="R83" s="32"/>
      <c r="S83" s="31" t="e">
        <v>#REF!</v>
      </c>
      <c r="T83" s="29" t="e">
        <f t="shared" si="196"/>
        <v>#REF!</v>
      </c>
      <c r="U83" s="30" t="e">
        <f t="shared" si="196"/>
        <v>#REF!</v>
      </c>
      <c r="V83" s="29" t="e">
        <f t="shared" si="196"/>
        <v>#REF!</v>
      </c>
      <c r="W83" s="30" t="e">
        <f t="shared" si="196"/>
        <v>#REF!</v>
      </c>
      <c r="X83" s="29" t="e">
        <f t="shared" si="196"/>
        <v>#REF!</v>
      </c>
      <c r="Y83" s="30" t="e">
        <f t="shared" si="196"/>
        <v>#REF!</v>
      </c>
      <c r="Z83" s="29" t="e">
        <f t="shared" si="196"/>
        <v>#REF!</v>
      </c>
      <c r="AA83" s="28" t="e">
        <f t="shared" si="196"/>
        <v>#REF!</v>
      </c>
      <c r="AB83" s="26" t="e">
        <f t="shared" si="198"/>
        <v>#REF!</v>
      </c>
      <c r="AC83" s="25" t="e">
        <f t="shared" si="198"/>
        <v>#REF!</v>
      </c>
      <c r="AD83" s="24" t="e">
        <f t="shared" si="198"/>
        <v>#REF!</v>
      </c>
      <c r="AE83" s="25" t="e">
        <f t="shared" si="198"/>
        <v>#REF!</v>
      </c>
      <c r="AF83" s="24" t="e">
        <f t="shared" si="198"/>
        <v>#REF!</v>
      </c>
      <c r="AG83" s="25" t="e">
        <f t="shared" si="198"/>
        <v>#REF!</v>
      </c>
      <c r="AH83" s="24" t="e">
        <f t="shared" si="198"/>
        <v>#REF!</v>
      </c>
      <c r="AI83" s="25" t="e">
        <f t="shared" si="198"/>
        <v>#REF!</v>
      </c>
      <c r="AJ83" s="24" t="e">
        <f t="shared" si="198"/>
        <v>#REF!</v>
      </c>
      <c r="AK83" s="27" t="e">
        <f t="shared" si="160"/>
        <v>#REF!</v>
      </c>
      <c r="AL83" s="41">
        <v>0</v>
      </c>
      <c r="AM83" s="40">
        <v>0</v>
      </c>
      <c r="AN83" s="39">
        <v>0</v>
      </c>
      <c r="AO83" s="40">
        <v>0</v>
      </c>
      <c r="AP83" s="39">
        <v>0</v>
      </c>
      <c r="AQ83" s="40">
        <v>0</v>
      </c>
      <c r="AR83" s="39">
        <v>0</v>
      </c>
      <c r="AS83" s="40">
        <v>0</v>
      </c>
      <c r="AT83" s="39">
        <v>0</v>
      </c>
      <c r="AU83" s="38">
        <v>0</v>
      </c>
      <c r="AW83" s="100" t="s">
        <v>1136</v>
      </c>
      <c r="AX83" s="41">
        <v>2.0657291416912384</v>
      </c>
      <c r="AY83" s="40">
        <v>1.8227021838452104</v>
      </c>
      <c r="AZ83" s="39">
        <v>7.2257321839338138</v>
      </c>
      <c r="BA83" s="40">
        <v>1.3836508437320065</v>
      </c>
      <c r="BB83" s="39">
        <v>5.8326469883046741</v>
      </c>
      <c r="BC83" s="40">
        <v>3.3866982512736823</v>
      </c>
      <c r="BD83" s="39">
        <v>2.4459487370309922</v>
      </c>
      <c r="BE83" s="40">
        <v>0.22465995166483843</v>
      </c>
      <c r="BF83" s="39">
        <v>1.7411146254024981</v>
      </c>
      <c r="BG83" s="81">
        <v>26.12888290687895</v>
      </c>
      <c r="BH83" s="66">
        <v>0</v>
      </c>
      <c r="BJ83" s="37" t="s">
        <v>1539</v>
      </c>
      <c r="BK83" s="36" t="s">
        <v>2087</v>
      </c>
      <c r="BL83" s="1" t="s">
        <v>1136</v>
      </c>
      <c r="BM83" s="36" t="s">
        <v>1941</v>
      </c>
      <c r="BN83" s="82" t="str">
        <f t="shared" si="193"/>
        <v>INOMDR</v>
      </c>
      <c r="BO83" s="26">
        <f t="shared" si="194"/>
        <v>1.1371130355765149</v>
      </c>
      <c r="BP83" s="25">
        <f t="shared" si="194"/>
        <v>3.1300896153766389</v>
      </c>
      <c r="BQ83" s="24">
        <f t="shared" si="194"/>
        <v>3.9583439380468737</v>
      </c>
      <c r="BR83" s="25">
        <f t="shared" si="194"/>
        <v>2.6810804696437467</v>
      </c>
      <c r="BS83" s="24">
        <f t="shared" si="194"/>
        <v>3.8621891545181737</v>
      </c>
      <c r="BT83" s="25">
        <f t="shared" si="194"/>
        <v>3.3664604158846831</v>
      </c>
      <c r="BU83" s="24">
        <f t="shared" si="194"/>
        <v>11.695091429376394</v>
      </c>
      <c r="BV83" s="25">
        <f t="shared" si="194"/>
        <v>3.9825788309592332</v>
      </c>
      <c r="BW83" s="32">
        <f t="shared" si="194"/>
        <v>2.4972583218405311</v>
      </c>
      <c r="BX83" s="26">
        <f t="shared" ref="BX83:CF83" si="200">BO83/BO87</f>
        <v>0.14961709507014417</v>
      </c>
      <c r="BY83" s="25">
        <f t="shared" si="200"/>
        <v>0.14064088233761812</v>
      </c>
      <c r="BZ83" s="24">
        <f t="shared" si="200"/>
        <v>8.3147048750787919E-2</v>
      </c>
      <c r="CA83" s="25">
        <f t="shared" si="200"/>
        <v>8.1253635711462838E-2</v>
      </c>
      <c r="CB83" s="24">
        <f t="shared" si="200"/>
        <v>0.13706035508446868</v>
      </c>
      <c r="CC83" s="25">
        <f t="shared" si="200"/>
        <v>0.14169140377053935</v>
      </c>
      <c r="CD83" s="24">
        <f t="shared" si="200"/>
        <v>0.14225590228841184</v>
      </c>
      <c r="CE83" s="25">
        <f t="shared" si="200"/>
        <v>0.13805771560539376</v>
      </c>
      <c r="CF83" s="32">
        <f t="shared" si="200"/>
        <v>0.1461610212624444</v>
      </c>
      <c r="CH83" s="54" t="s">
        <v>2117</v>
      </c>
      <c r="CI83" s="41">
        <v>0.19914987188600283</v>
      </c>
      <c r="CJ83" s="40">
        <v>0.18777711479900031</v>
      </c>
      <c r="CK83" s="39">
        <v>0.44727433748600415</v>
      </c>
      <c r="CL83" s="40">
        <v>0.46195970610740267</v>
      </c>
      <c r="CM83" s="39">
        <v>0.41813274078949025</v>
      </c>
      <c r="CN83" s="40">
        <v>0.41481651127252361</v>
      </c>
      <c r="CO83" s="39">
        <v>0.42358346889579812</v>
      </c>
      <c r="CP83" s="40">
        <v>0.64404330865346626</v>
      </c>
      <c r="CQ83" s="66">
        <v>0.47677138418428705</v>
      </c>
      <c r="CS83" s="54" t="s">
        <v>2116</v>
      </c>
      <c r="CT83" s="39">
        <v>3.1637407864545747E-2</v>
      </c>
      <c r="CU83" s="40">
        <v>8.7087139726652427E-2</v>
      </c>
      <c r="CV83" s="39">
        <v>0.1540552213983461</v>
      </c>
      <c r="CW83" s="40">
        <v>0.10434526453543817</v>
      </c>
      <c r="CX83" s="39">
        <v>0.1582126210098726</v>
      </c>
      <c r="CY83" s="40">
        <v>0.13790534451167966</v>
      </c>
      <c r="CZ83" s="39">
        <v>0.47908349227980052</v>
      </c>
      <c r="DA83" s="40">
        <v>8.584636035138643E-2</v>
      </c>
      <c r="DB83" s="39">
        <v>5.3829577991199654E-2</v>
      </c>
      <c r="DC83" s="38">
        <v>1.2920024296689212</v>
      </c>
      <c r="DE83" s="37" t="s">
        <v>1193</v>
      </c>
      <c r="DF83" s="35" t="str">
        <f t="shared" si="164"/>
        <v>IPLOH</v>
      </c>
      <c r="DG83" s="26">
        <f t="shared" si="191"/>
        <v>0</v>
      </c>
      <c r="DH83" s="25">
        <f t="shared" si="191"/>
        <v>0</v>
      </c>
      <c r="DI83" s="24">
        <f t="shared" si="191"/>
        <v>0</v>
      </c>
      <c r="DJ83" s="25">
        <f t="shared" si="191"/>
        <v>0</v>
      </c>
      <c r="DK83" s="24">
        <f t="shared" si="191"/>
        <v>0.61010029175439262</v>
      </c>
      <c r="DL83" s="25">
        <f t="shared" si="191"/>
        <v>0.35425178230900217</v>
      </c>
      <c r="DM83" s="24">
        <f t="shared" si="191"/>
        <v>0.25584850944539045</v>
      </c>
      <c r="DN83" s="25">
        <f t="shared" si="191"/>
        <v>3.7486961090899694E-3</v>
      </c>
      <c r="DO83" s="32">
        <f t="shared" si="191"/>
        <v>2.9052394845447263E-2</v>
      </c>
      <c r="DP83" s="26">
        <f t="shared" si="165"/>
        <v>0</v>
      </c>
      <c r="DQ83" s="25">
        <f t="shared" si="166"/>
        <v>0</v>
      </c>
      <c r="DR83" s="24">
        <f t="shared" si="167"/>
        <v>0</v>
      </c>
      <c r="DS83" s="25">
        <f t="shared" si="168"/>
        <v>0</v>
      </c>
      <c r="DT83" s="24">
        <f t="shared" si="169"/>
        <v>7.6545956728427521E-3</v>
      </c>
      <c r="DU83" s="25">
        <f t="shared" si="170"/>
        <v>7.4132741813752534E-3</v>
      </c>
      <c r="DV83" s="24">
        <f t="shared" si="171"/>
        <v>7.460422967017391E-3</v>
      </c>
      <c r="DW83" s="25">
        <f t="shared" si="172"/>
        <v>7.0581995902039719E-3</v>
      </c>
      <c r="DX83" s="32">
        <f t="shared" si="173"/>
        <v>7.0581995902039745E-3</v>
      </c>
      <c r="DZ83" s="54" t="s">
        <v>1758</v>
      </c>
      <c r="EA83" s="39">
        <v>0</v>
      </c>
      <c r="EB83" s="40">
        <v>0</v>
      </c>
      <c r="EC83" s="39">
        <v>2.6617422436437683E-3</v>
      </c>
      <c r="ED83" s="40">
        <v>2.6617422436437674E-3</v>
      </c>
      <c r="EE83" s="39">
        <v>1.2833488774699156E-3</v>
      </c>
      <c r="EF83" s="40">
        <v>1.2833488774699156E-3</v>
      </c>
      <c r="EG83" s="39">
        <v>1.2833488774699156E-3</v>
      </c>
      <c r="EH83" s="40">
        <v>0</v>
      </c>
      <c r="EI83" s="66">
        <v>0</v>
      </c>
      <c r="EO83" s="83" t="s">
        <v>1611</v>
      </c>
      <c r="EP83" s="82" t="s">
        <v>518</v>
      </c>
      <c r="EQ83" s="81">
        <f t="shared" si="174"/>
        <v>48.49982277120094</v>
      </c>
      <c r="ER83" s="80">
        <f>EQ83/SUM(EQ80:EQ88)</f>
        <v>0.14824200847386612</v>
      </c>
      <c r="ET83" s="73" t="s">
        <v>517</v>
      </c>
      <c r="EU83" s="72">
        <v>0.11591925200814673</v>
      </c>
      <c r="EW83" s="37" t="s">
        <v>1611</v>
      </c>
      <c r="EX83" s="36" t="s">
        <v>2108</v>
      </c>
      <c r="EY83" s="36" t="s">
        <v>1145</v>
      </c>
      <c r="EZ83" s="1" t="s">
        <v>1945</v>
      </c>
      <c r="FA83" s="36" t="str">
        <f t="shared" si="175"/>
        <v>IMOFAC</v>
      </c>
      <c r="FB83" s="1" t="s">
        <v>519</v>
      </c>
      <c r="FC83" s="26">
        <f t="shared" si="176"/>
        <v>17.96682033499857</v>
      </c>
      <c r="FD83" s="25">
        <f t="shared" si="177"/>
        <v>1.9841892455045056</v>
      </c>
      <c r="FE83" s="24">
        <f t="shared" si="178"/>
        <v>0.11043630472774267</v>
      </c>
      <c r="FF83" s="36">
        <v>0</v>
      </c>
      <c r="FG83" s="86">
        <f t="shared" si="179"/>
        <v>0</v>
      </c>
    </row>
    <row r="84" spans="1:163">
      <c r="A84" s="37" t="s">
        <v>2075</v>
      </c>
      <c r="B84" s="36" t="s">
        <v>1107</v>
      </c>
      <c r="C84" s="1" t="s">
        <v>665</v>
      </c>
      <c r="D84" s="36" t="s">
        <v>665</v>
      </c>
      <c r="E84" s="36" t="s">
        <v>2115</v>
      </c>
      <c r="F84" s="1" t="e">
        <f t="shared" ca="1" si="159"/>
        <v>#NAME?</v>
      </c>
      <c r="G84" s="35" t="s">
        <v>1109</v>
      </c>
      <c r="H84" s="34">
        <f>1-I84</f>
        <v>0.90240466805629471</v>
      </c>
      <c r="I84" s="33">
        <v>9.7595331943705288E-2</v>
      </c>
      <c r="J84" s="26" t="e">
        <v>#REF!</v>
      </c>
      <c r="K84" s="25" t="e">
        <v>#REF!</v>
      </c>
      <c r="L84" s="24"/>
      <c r="M84" s="25"/>
      <c r="N84" s="24"/>
      <c r="O84" s="25"/>
      <c r="P84" s="24"/>
      <c r="Q84" s="25"/>
      <c r="R84" s="32"/>
      <c r="S84" s="31" t="e">
        <v>#REF!</v>
      </c>
      <c r="T84" s="29" t="e">
        <f t="shared" si="196"/>
        <v>#REF!</v>
      </c>
      <c r="U84" s="30" t="e">
        <f t="shared" si="196"/>
        <v>#REF!</v>
      </c>
      <c r="V84" s="29" t="e">
        <f t="shared" si="196"/>
        <v>#REF!</v>
      </c>
      <c r="W84" s="30" t="e">
        <f t="shared" si="196"/>
        <v>#REF!</v>
      </c>
      <c r="X84" s="29" t="e">
        <f t="shared" si="196"/>
        <v>#REF!</v>
      </c>
      <c r="Y84" s="30" t="e">
        <f t="shared" si="196"/>
        <v>#REF!</v>
      </c>
      <c r="Z84" s="29" t="e">
        <f t="shared" si="196"/>
        <v>#REF!</v>
      </c>
      <c r="AA84" s="28" t="e">
        <f t="shared" si="196"/>
        <v>#REF!</v>
      </c>
      <c r="AB84" s="26" t="e">
        <f t="shared" ref="AB84:AJ88" si="201">J84*31.536*$H84*S84</f>
        <v>#REF!</v>
      </c>
      <c r="AC84" s="25" t="e">
        <f t="shared" si="201"/>
        <v>#REF!</v>
      </c>
      <c r="AD84" s="24" t="e">
        <f t="shared" si="201"/>
        <v>#REF!</v>
      </c>
      <c r="AE84" s="25" t="e">
        <f t="shared" si="201"/>
        <v>#REF!</v>
      </c>
      <c r="AF84" s="24" t="e">
        <f t="shared" si="201"/>
        <v>#REF!</v>
      </c>
      <c r="AG84" s="25" t="e">
        <f t="shared" si="201"/>
        <v>#REF!</v>
      </c>
      <c r="AH84" s="24" t="e">
        <f t="shared" si="201"/>
        <v>#REF!</v>
      </c>
      <c r="AI84" s="25" t="e">
        <f t="shared" si="201"/>
        <v>#REF!</v>
      </c>
      <c r="AJ84" s="24" t="e">
        <f t="shared" si="201"/>
        <v>#REF!</v>
      </c>
      <c r="AK84" s="27" t="e">
        <f t="shared" si="160"/>
        <v>#REF!</v>
      </c>
      <c r="AL84" s="26" t="e">
        <f t="shared" ref="AL84:AT88" si="202">J84*31.536*$I84*S84</f>
        <v>#REF!</v>
      </c>
      <c r="AM84" s="25" t="e">
        <f t="shared" si="202"/>
        <v>#REF!</v>
      </c>
      <c r="AN84" s="24" t="e">
        <f t="shared" si="202"/>
        <v>#REF!</v>
      </c>
      <c r="AO84" s="25" t="e">
        <f t="shared" si="202"/>
        <v>#REF!</v>
      </c>
      <c r="AP84" s="24" t="e">
        <f t="shared" si="202"/>
        <v>#REF!</v>
      </c>
      <c r="AQ84" s="25" t="e">
        <f t="shared" si="202"/>
        <v>#REF!</v>
      </c>
      <c r="AR84" s="24" t="e">
        <f t="shared" si="202"/>
        <v>#REF!</v>
      </c>
      <c r="AS84" s="25" t="e">
        <f t="shared" si="202"/>
        <v>#REF!</v>
      </c>
      <c r="AT84" s="24" t="e">
        <f t="shared" si="202"/>
        <v>#REF!</v>
      </c>
      <c r="AU84" s="23" t="e">
        <f>SUM(AL84:AT84)</f>
        <v>#REF!</v>
      </c>
      <c r="AW84" s="100" t="s">
        <v>1129</v>
      </c>
      <c r="AX84" s="41">
        <v>18.048850017311405</v>
      </c>
      <c r="AY84" s="40">
        <v>16.077042271452029</v>
      </c>
      <c r="AZ84" s="39">
        <v>1.8767567812082637</v>
      </c>
      <c r="BA84" s="40">
        <v>0.380370423641816</v>
      </c>
      <c r="BB84" s="39">
        <v>7.5782251538975771</v>
      </c>
      <c r="BC84" s="40">
        <v>4.7992572124020771</v>
      </c>
      <c r="BD84" s="39">
        <v>2.9930157247353639</v>
      </c>
      <c r="BE84" s="40">
        <v>4.1820485371173097E-2</v>
      </c>
      <c r="BF84" s="39">
        <v>0.32410876162659152</v>
      </c>
      <c r="BG84" s="81">
        <v>52.119446831646293</v>
      </c>
      <c r="BH84" s="66">
        <v>0.13164326818135949</v>
      </c>
      <c r="BJ84" s="37" t="s">
        <v>1539</v>
      </c>
      <c r="BK84" s="36" t="s">
        <v>2087</v>
      </c>
      <c r="BL84" s="1" t="s">
        <v>1129</v>
      </c>
      <c r="BM84" s="36" t="s">
        <v>1910</v>
      </c>
      <c r="BN84" s="82" t="str">
        <f t="shared" si="193"/>
        <v>INOOHT</v>
      </c>
      <c r="BO84" s="26">
        <f t="shared" si="194"/>
        <v>0.24956952006144426</v>
      </c>
      <c r="BP84" s="25">
        <f t="shared" si="194"/>
        <v>1.4934991708704006</v>
      </c>
      <c r="BQ84" s="24">
        <f t="shared" si="194"/>
        <v>5.7287168420859107</v>
      </c>
      <c r="BR84" s="25">
        <f t="shared" si="194"/>
        <v>3.8801961329854144</v>
      </c>
      <c r="BS84" s="24">
        <f t="shared" si="194"/>
        <v>1.5389604126958862</v>
      </c>
      <c r="BT84" s="25">
        <f t="shared" si="194"/>
        <v>1.341428165136203</v>
      </c>
      <c r="BU84" s="24">
        <f t="shared" si="194"/>
        <v>4.6601246113525967</v>
      </c>
      <c r="BV84" s="25">
        <f t="shared" si="194"/>
        <v>0.74971777982669241</v>
      </c>
      <c r="BW84" s="32">
        <f t="shared" si="194"/>
        <v>0.47010719540561424</v>
      </c>
      <c r="BX84" s="26">
        <f t="shared" ref="BX84:CF84" si="203">BO84/BO87</f>
        <v>3.28374272753914E-2</v>
      </c>
      <c r="BY84" s="25">
        <f t="shared" si="203"/>
        <v>6.7105759569902793E-2</v>
      </c>
      <c r="BZ84" s="24">
        <f t="shared" si="203"/>
        <v>0.1203346414570043</v>
      </c>
      <c r="CA84" s="25">
        <f t="shared" si="203"/>
        <v>0.11759439772448049</v>
      </c>
      <c r="CB84" s="24">
        <f t="shared" si="203"/>
        <v>5.4614223225779107E-2</v>
      </c>
      <c r="CC84" s="25">
        <f t="shared" si="203"/>
        <v>5.6459549881723067E-2</v>
      </c>
      <c r="CD84" s="24">
        <f t="shared" si="203"/>
        <v>5.6684484714605347E-2</v>
      </c>
      <c r="CE84" s="25">
        <f t="shared" si="203"/>
        <v>2.5989271882583414E-2</v>
      </c>
      <c r="CF84" s="32">
        <f t="shared" si="203"/>
        <v>2.7514713709179434E-2</v>
      </c>
      <c r="CH84" s="54" t="s">
        <v>2114</v>
      </c>
      <c r="CI84" s="41">
        <v>1.2943821569924569E-4</v>
      </c>
      <c r="CJ84" s="40">
        <v>1.8019044341653141E-2</v>
      </c>
      <c r="CK84" s="39">
        <v>3.1789284708706518E-2</v>
      </c>
      <c r="CL84" s="40">
        <v>0</v>
      </c>
      <c r="CM84" s="39">
        <v>1.2868132272765212E-2</v>
      </c>
      <c r="CN84" s="40">
        <v>2.0697119380339132E-2</v>
      </c>
      <c r="CO84" s="39">
        <v>0</v>
      </c>
      <c r="CP84" s="40">
        <v>1.8157279766999854E-2</v>
      </c>
      <c r="CQ84" s="66">
        <v>0.27316298999291877</v>
      </c>
      <c r="CS84" s="54" t="s">
        <v>2113</v>
      </c>
      <c r="CT84" s="39">
        <v>0.32707477324960438</v>
      </c>
      <c r="CU84" s="40">
        <v>0.90032680935823028</v>
      </c>
      <c r="CV84" s="39">
        <v>8.2323210269429428</v>
      </c>
      <c r="CW84" s="40">
        <v>5.5759467773951972</v>
      </c>
      <c r="CX84" s="39">
        <v>1.8787737638563589</v>
      </c>
      <c r="CY84" s="40">
        <v>1.6376249979952526</v>
      </c>
      <c r="CZ84" s="39">
        <v>5.6891131077071497</v>
      </c>
      <c r="DA84" s="40">
        <v>0.75437444563984957</v>
      </c>
      <c r="DB84" s="39">
        <v>0.47302713696798526</v>
      </c>
      <c r="DC84" s="38">
        <v>25.468582839112575</v>
      </c>
      <c r="DE84" s="37" t="s">
        <v>1184</v>
      </c>
      <c r="DF84" s="35" t="str">
        <f t="shared" si="164"/>
        <v>IPLOH</v>
      </c>
      <c r="DG84" s="26">
        <f t="shared" si="191"/>
        <v>5.6207975420737117</v>
      </c>
      <c r="DH84" s="25">
        <f t="shared" si="191"/>
        <v>4.6402930034413856</v>
      </c>
      <c r="DI84" s="24">
        <f t="shared" si="191"/>
        <v>0</v>
      </c>
      <c r="DJ84" s="25">
        <f t="shared" si="191"/>
        <v>0</v>
      </c>
      <c r="DK84" s="24">
        <f t="shared" si="191"/>
        <v>57.925374950459165</v>
      </c>
      <c r="DL84" s="25">
        <f t="shared" si="191"/>
        <v>39.632008969944955</v>
      </c>
      <c r="DM84" s="24">
        <f t="shared" si="191"/>
        <v>31.043295642516075</v>
      </c>
      <c r="DN84" s="25">
        <f t="shared" si="191"/>
        <v>0.52361483564978228</v>
      </c>
      <c r="DO84" s="32">
        <f t="shared" si="191"/>
        <v>4.0580149762858113</v>
      </c>
      <c r="DP84" s="26">
        <f t="shared" si="165"/>
        <v>1</v>
      </c>
      <c r="DQ84" s="25">
        <f t="shared" si="166"/>
        <v>1</v>
      </c>
      <c r="DR84" s="24">
        <f t="shared" si="167"/>
        <v>0</v>
      </c>
      <c r="DS84" s="25">
        <f t="shared" si="168"/>
        <v>0</v>
      </c>
      <c r="DT84" s="24">
        <f t="shared" si="169"/>
        <v>0.7267580927859576</v>
      </c>
      <c r="DU84" s="25">
        <f t="shared" si="170"/>
        <v>0.82936194967863497</v>
      </c>
      <c r="DV84" s="24">
        <f t="shared" si="171"/>
        <v>0.90520799314162437</v>
      </c>
      <c r="DW84" s="25">
        <f t="shared" si="172"/>
        <v>0.98588360081959214</v>
      </c>
      <c r="DX84" s="32">
        <f t="shared" si="173"/>
        <v>0.98588360081959214</v>
      </c>
      <c r="DZ84" s="54" t="s">
        <v>1756</v>
      </c>
      <c r="EA84" s="39">
        <v>0</v>
      </c>
      <c r="EB84" s="40">
        <v>0</v>
      </c>
      <c r="EC84" s="39">
        <v>3.650389362711453E-2</v>
      </c>
      <c r="ED84" s="40">
        <v>3.6503893627114523E-2</v>
      </c>
      <c r="EE84" s="39">
        <v>1.7600213176730269E-2</v>
      </c>
      <c r="EF84" s="40">
        <v>1.7600213176730269E-2</v>
      </c>
      <c r="EG84" s="39">
        <v>1.7600213176730269E-2</v>
      </c>
      <c r="EH84" s="40">
        <v>0</v>
      </c>
      <c r="EI84" s="66">
        <v>0</v>
      </c>
      <c r="EO84" s="83" t="s">
        <v>1611</v>
      </c>
      <c r="EP84" s="82" t="s">
        <v>517</v>
      </c>
      <c r="EQ84" s="81">
        <f t="shared" si="174"/>
        <v>20.77585475467971</v>
      </c>
      <c r="ER84" s="80">
        <f>EQ84/SUM(EQ80:EQ88)</f>
        <v>6.3502385382402882E-2</v>
      </c>
      <c r="ET84" s="73" t="s">
        <v>519</v>
      </c>
      <c r="EU84" s="72">
        <v>5.7377154262263842E-2</v>
      </c>
      <c r="EW84" s="37" t="s">
        <v>1611</v>
      </c>
      <c r="EX84" s="36" t="s">
        <v>2108</v>
      </c>
      <c r="EY84" s="36" t="s">
        <v>1145</v>
      </c>
      <c r="EZ84" s="1" t="s">
        <v>1945</v>
      </c>
      <c r="FA84" s="36" t="str">
        <f t="shared" si="175"/>
        <v>IMOFAC</v>
      </c>
      <c r="FB84" s="1" t="s">
        <v>520</v>
      </c>
      <c r="FC84" s="26">
        <f t="shared" si="176"/>
        <v>63.664150047077896</v>
      </c>
      <c r="FD84" s="25">
        <f t="shared" si="177"/>
        <v>6.8930781214198138</v>
      </c>
      <c r="FE84" s="24">
        <f t="shared" si="178"/>
        <v>0.10827252254718819</v>
      </c>
      <c r="FF84" s="36">
        <v>0</v>
      </c>
      <c r="FG84" s="86">
        <f t="shared" si="179"/>
        <v>0</v>
      </c>
    </row>
    <row r="85" spans="1:163">
      <c r="A85" s="37" t="s">
        <v>2075</v>
      </c>
      <c r="B85" s="36" t="s">
        <v>1107</v>
      </c>
      <c r="C85" s="1" t="s">
        <v>665</v>
      </c>
      <c r="D85" s="36" t="s">
        <v>665</v>
      </c>
      <c r="E85" s="36" t="s">
        <v>2112</v>
      </c>
      <c r="F85" s="1" t="e">
        <f t="shared" ca="1" si="159"/>
        <v>#NAME?</v>
      </c>
      <c r="G85" s="35" t="s">
        <v>1109</v>
      </c>
      <c r="H85" s="34">
        <f>1-I85</f>
        <v>0.49431060550593198</v>
      </c>
      <c r="I85" s="33">
        <v>0.50568939449406802</v>
      </c>
      <c r="J85" s="26">
        <v>1.4409215818825909E-2</v>
      </c>
      <c r="K85" s="25">
        <v>2.2879101994304674</v>
      </c>
      <c r="L85" s="24"/>
      <c r="M85" s="25"/>
      <c r="N85" s="24"/>
      <c r="O85" s="25"/>
      <c r="P85" s="24"/>
      <c r="Q85" s="25"/>
      <c r="R85" s="32"/>
      <c r="S85" s="31" t="e">
        <v>#REF!</v>
      </c>
      <c r="T85" s="29" t="e">
        <f t="shared" si="196"/>
        <v>#REF!</v>
      </c>
      <c r="U85" s="30" t="e">
        <f t="shared" si="196"/>
        <v>#REF!</v>
      </c>
      <c r="V85" s="29" t="e">
        <f t="shared" si="196"/>
        <v>#REF!</v>
      </c>
      <c r="W85" s="30" t="e">
        <f t="shared" si="196"/>
        <v>#REF!</v>
      </c>
      <c r="X85" s="29" t="e">
        <f t="shared" si="196"/>
        <v>#REF!</v>
      </c>
      <c r="Y85" s="30" t="e">
        <f t="shared" si="196"/>
        <v>#REF!</v>
      </c>
      <c r="Z85" s="29" t="e">
        <f t="shared" si="196"/>
        <v>#REF!</v>
      </c>
      <c r="AA85" s="28" t="e">
        <f t="shared" si="196"/>
        <v>#REF!</v>
      </c>
      <c r="AB85" s="26" t="e">
        <f t="shared" si="201"/>
        <v>#REF!</v>
      </c>
      <c r="AC85" s="25" t="e">
        <f t="shared" si="201"/>
        <v>#REF!</v>
      </c>
      <c r="AD85" s="24" t="e">
        <f t="shared" si="201"/>
        <v>#REF!</v>
      </c>
      <c r="AE85" s="25" t="e">
        <f t="shared" si="201"/>
        <v>#REF!</v>
      </c>
      <c r="AF85" s="24" t="e">
        <f t="shared" si="201"/>
        <v>#REF!</v>
      </c>
      <c r="AG85" s="25" t="e">
        <f t="shared" si="201"/>
        <v>#REF!</v>
      </c>
      <c r="AH85" s="24" t="e">
        <f t="shared" si="201"/>
        <v>#REF!</v>
      </c>
      <c r="AI85" s="25" t="e">
        <f t="shared" si="201"/>
        <v>#REF!</v>
      </c>
      <c r="AJ85" s="24" t="e">
        <f t="shared" si="201"/>
        <v>#REF!</v>
      </c>
      <c r="AK85" s="27" t="e">
        <f t="shared" si="160"/>
        <v>#REF!</v>
      </c>
      <c r="AL85" s="26" t="e">
        <f t="shared" si="202"/>
        <v>#REF!</v>
      </c>
      <c r="AM85" s="25" t="e">
        <f t="shared" si="202"/>
        <v>#REF!</v>
      </c>
      <c r="AN85" s="24" t="e">
        <f t="shared" si="202"/>
        <v>#REF!</v>
      </c>
      <c r="AO85" s="25" t="e">
        <f t="shared" si="202"/>
        <v>#REF!</v>
      </c>
      <c r="AP85" s="24" t="e">
        <f t="shared" si="202"/>
        <v>#REF!</v>
      </c>
      <c r="AQ85" s="25" t="e">
        <f t="shared" si="202"/>
        <v>#REF!</v>
      </c>
      <c r="AR85" s="24" t="e">
        <f t="shared" si="202"/>
        <v>#REF!</v>
      </c>
      <c r="AS85" s="25" t="e">
        <f t="shared" si="202"/>
        <v>#REF!</v>
      </c>
      <c r="AT85" s="24" t="e">
        <f t="shared" si="202"/>
        <v>#REF!</v>
      </c>
      <c r="AU85" s="23" t="e">
        <f>SUM(AL85:AT85)</f>
        <v>#REF!</v>
      </c>
      <c r="AW85" s="100" t="s">
        <v>1123</v>
      </c>
      <c r="AX85" s="41">
        <v>1.3670927048036945</v>
      </c>
      <c r="AY85" s="40">
        <v>1.2062582689444363</v>
      </c>
      <c r="AZ85" s="39">
        <v>9.9114957093333995</v>
      </c>
      <c r="BA85" s="40">
        <v>1.8979459868936295</v>
      </c>
      <c r="BB85" s="39">
        <v>4.9480170414699209</v>
      </c>
      <c r="BC85" s="40">
        <v>2.8730421531115673</v>
      </c>
      <c r="BD85" s="39">
        <v>2.0749748883583541</v>
      </c>
      <c r="BE85" s="40">
        <v>0.20125389730908894</v>
      </c>
      <c r="BF85" s="39">
        <v>1.5597177041454393</v>
      </c>
      <c r="BG85" s="81">
        <v>26.03979835436953</v>
      </c>
      <c r="BH85" s="66">
        <v>0</v>
      </c>
      <c r="BJ85" s="37" t="s">
        <v>1539</v>
      </c>
      <c r="BK85" s="36" t="s">
        <v>2087</v>
      </c>
      <c r="BL85" s="1" t="s">
        <v>1123</v>
      </c>
      <c r="BM85" s="36" t="s">
        <v>1935</v>
      </c>
      <c r="BN85" s="82" t="str">
        <f t="shared" si="193"/>
        <v>INOPRH</v>
      </c>
      <c r="BO85" s="26">
        <f t="shared" si="194"/>
        <v>5.4962445366555457</v>
      </c>
      <c r="BP85" s="25">
        <f t="shared" si="194"/>
        <v>15.129312046830805</v>
      </c>
      <c r="BQ85" s="24">
        <f t="shared" si="194"/>
        <v>34.10205092467497</v>
      </c>
      <c r="BR85" s="25">
        <f t="shared" si="194"/>
        <v>23.098129960393521</v>
      </c>
      <c r="BS85" s="24">
        <f t="shared" si="194"/>
        <v>19.101772270776742</v>
      </c>
      <c r="BT85" s="25">
        <f t="shared" si="194"/>
        <v>16.649976904312442</v>
      </c>
      <c r="BU85" s="24">
        <f t="shared" si="194"/>
        <v>57.842059058272767</v>
      </c>
      <c r="BV85" s="25">
        <f t="shared" si="194"/>
        <v>19.594010483440808</v>
      </c>
      <c r="BW85" s="32">
        <f t="shared" si="194"/>
        <v>12.286337023043357</v>
      </c>
      <c r="BX85" s="26">
        <f t="shared" ref="BX85:CF85" si="204">BO85/BO87</f>
        <v>0.72317537099786378</v>
      </c>
      <c r="BY85" s="25">
        <f t="shared" si="204"/>
        <v>0.67978877824282502</v>
      </c>
      <c r="BZ85" s="24">
        <f t="shared" si="204"/>
        <v>0.71633110591569438</v>
      </c>
      <c r="CA85" s="25">
        <f t="shared" si="204"/>
        <v>0.70001891351930401</v>
      </c>
      <c r="CB85" s="24">
        <f t="shared" si="204"/>
        <v>0.67787868108752358</v>
      </c>
      <c r="CC85" s="25">
        <f t="shared" si="204"/>
        <v>0.70078311011392591</v>
      </c>
      <c r="CD85" s="24">
        <f t="shared" si="204"/>
        <v>0.70357502985275522</v>
      </c>
      <c r="CE85" s="25">
        <f t="shared" si="204"/>
        <v>0.67923434581216591</v>
      </c>
      <c r="CF85" s="32">
        <f t="shared" si="204"/>
        <v>0.71910204529384381</v>
      </c>
      <c r="CH85" s="54" t="s">
        <v>2111</v>
      </c>
      <c r="CI85" s="41">
        <v>0</v>
      </c>
      <c r="CJ85" s="40">
        <v>0</v>
      </c>
      <c r="CK85" s="39">
        <v>0</v>
      </c>
      <c r="CL85" s="40">
        <v>0</v>
      </c>
      <c r="CM85" s="39">
        <v>0</v>
      </c>
      <c r="CN85" s="40">
        <v>0</v>
      </c>
      <c r="CO85" s="39">
        <v>0</v>
      </c>
      <c r="CP85" s="40">
        <v>0</v>
      </c>
      <c r="CQ85" s="66">
        <v>0</v>
      </c>
      <c r="CS85" s="54" t="s">
        <v>1558</v>
      </c>
      <c r="CT85" s="39">
        <v>0.2214618550518202</v>
      </c>
      <c r="CU85" s="40">
        <v>0.60960997808656703</v>
      </c>
      <c r="CV85" s="39">
        <v>1.0783865497884226</v>
      </c>
      <c r="CW85" s="40">
        <v>0.73041685174806725</v>
      </c>
      <c r="CX85" s="39">
        <v>1.1074883470691081</v>
      </c>
      <c r="CY85" s="40">
        <v>0.96533741158175757</v>
      </c>
      <c r="CZ85" s="39">
        <v>3.3535844459586035</v>
      </c>
      <c r="DA85" s="40">
        <v>0.60092452245970507</v>
      </c>
      <c r="DB85" s="39">
        <v>0.37680704593839759</v>
      </c>
      <c r="DC85" s="38">
        <v>9.0440170076824487</v>
      </c>
      <c r="DE85" s="37" t="s">
        <v>1180</v>
      </c>
      <c r="DF85" s="35" t="str">
        <f t="shared" si="164"/>
        <v>IPLOH</v>
      </c>
      <c r="DG85" s="26">
        <f t="shared" si="191"/>
        <v>0</v>
      </c>
      <c r="DH85" s="25">
        <f t="shared" si="191"/>
        <v>0</v>
      </c>
      <c r="DI85" s="24">
        <f t="shared" si="191"/>
        <v>0</v>
      </c>
      <c r="DJ85" s="25">
        <f t="shared" si="191"/>
        <v>0</v>
      </c>
      <c r="DK85" s="24">
        <f t="shared" si="191"/>
        <v>20.558215212149207</v>
      </c>
      <c r="DL85" s="25">
        <f t="shared" si="191"/>
        <v>7.4456307594496876</v>
      </c>
      <c r="DM85" s="24">
        <f t="shared" si="191"/>
        <v>2.7391097744066943</v>
      </c>
      <c r="DN85" s="25">
        <f t="shared" si="191"/>
        <v>0</v>
      </c>
      <c r="DO85" s="32">
        <f t="shared" si="191"/>
        <v>0</v>
      </c>
      <c r="DP85" s="26">
        <f t="shared" si="165"/>
        <v>0</v>
      </c>
      <c r="DQ85" s="25">
        <f t="shared" si="166"/>
        <v>0</v>
      </c>
      <c r="DR85" s="24">
        <f t="shared" si="167"/>
        <v>0</v>
      </c>
      <c r="DS85" s="25">
        <f t="shared" si="168"/>
        <v>0</v>
      </c>
      <c r="DT85" s="24">
        <f t="shared" si="169"/>
        <v>0.25793271586835681</v>
      </c>
      <c r="DU85" s="25">
        <f t="shared" si="170"/>
        <v>0.15581150195861457</v>
      </c>
      <c r="DV85" s="24">
        <f t="shared" si="171"/>
        <v>7.9871160924340878E-2</v>
      </c>
      <c r="DW85" s="25">
        <f t="shared" si="172"/>
        <v>0</v>
      </c>
      <c r="DX85" s="32">
        <f t="shared" si="173"/>
        <v>0</v>
      </c>
      <c r="DZ85" s="54" t="s">
        <v>1751</v>
      </c>
      <c r="EA85" s="39">
        <v>0</v>
      </c>
      <c r="EB85" s="40">
        <v>0</v>
      </c>
      <c r="EC85" s="39">
        <v>0</v>
      </c>
      <c r="ED85" s="40">
        <v>0</v>
      </c>
      <c r="EE85" s="39">
        <v>0.17534688271289711</v>
      </c>
      <c r="EF85" s="40">
        <v>0.17534688271289711</v>
      </c>
      <c r="EG85" s="39">
        <v>0.17534688271289711</v>
      </c>
      <c r="EH85" s="40">
        <v>0</v>
      </c>
      <c r="EI85" s="66">
        <v>0</v>
      </c>
      <c r="EO85" s="83" t="s">
        <v>1611</v>
      </c>
      <c r="EP85" s="82" t="s">
        <v>519</v>
      </c>
      <c r="EQ85" s="81">
        <f t="shared" si="174"/>
        <v>17.96682033499857</v>
      </c>
      <c r="ER85" s="80">
        <f>EQ85/SUM(EQ80:EQ88)</f>
        <v>5.4916438456159268E-2</v>
      </c>
      <c r="ET85" s="73" t="s">
        <v>520</v>
      </c>
      <c r="EU85" s="72">
        <v>0.19019657259172587</v>
      </c>
      <c r="EW85" s="37" t="s">
        <v>1611</v>
      </c>
      <c r="EX85" s="36" t="s">
        <v>2108</v>
      </c>
      <c r="EY85" s="36" t="s">
        <v>1129</v>
      </c>
      <c r="EZ85" s="1" t="s">
        <v>1910</v>
      </c>
      <c r="FA85" s="36" t="str">
        <f t="shared" si="175"/>
        <v>IMOOHT</v>
      </c>
      <c r="FB85" s="1" t="s">
        <v>521</v>
      </c>
      <c r="FC85" s="26">
        <f t="shared" si="176"/>
        <v>35.525980050790395</v>
      </c>
      <c r="FD85" s="25">
        <f t="shared" si="177"/>
        <v>0.3515591836592567</v>
      </c>
      <c r="FE85" s="24">
        <f t="shared" si="178"/>
        <v>9.8958335042873807E-3</v>
      </c>
      <c r="FF85" s="36">
        <v>0</v>
      </c>
      <c r="FG85" s="86">
        <f t="shared" si="179"/>
        <v>0</v>
      </c>
    </row>
    <row r="86" spans="1:163" ht="15.75" thickBot="1">
      <c r="A86" s="37" t="s">
        <v>2075</v>
      </c>
      <c r="B86" s="36" t="s">
        <v>1107</v>
      </c>
      <c r="C86" s="1" t="s">
        <v>665</v>
      </c>
      <c r="D86" s="36" t="s">
        <v>665</v>
      </c>
      <c r="E86" s="36" t="s">
        <v>2110</v>
      </c>
      <c r="F86" s="1" t="e">
        <f t="shared" ca="1" si="159"/>
        <v>#NAME?</v>
      </c>
      <c r="G86" s="35" t="s">
        <v>1109</v>
      </c>
      <c r="H86" s="34">
        <f>1-I86</f>
        <v>0.35322635092009225</v>
      </c>
      <c r="I86" s="33">
        <v>0.64677364907990775</v>
      </c>
      <c r="J86" s="26">
        <v>0</v>
      </c>
      <c r="K86" s="25">
        <v>0</v>
      </c>
      <c r="L86" s="24"/>
      <c r="M86" s="25"/>
      <c r="N86" s="24"/>
      <c r="O86" s="25"/>
      <c r="P86" s="24"/>
      <c r="Q86" s="25"/>
      <c r="R86" s="32"/>
      <c r="S86" s="31" t="e">
        <v>#REF!</v>
      </c>
      <c r="T86" s="29" t="e">
        <f t="shared" si="196"/>
        <v>#REF!</v>
      </c>
      <c r="U86" s="30" t="e">
        <f t="shared" si="196"/>
        <v>#REF!</v>
      </c>
      <c r="V86" s="29" t="e">
        <f t="shared" si="196"/>
        <v>#REF!</v>
      </c>
      <c r="W86" s="30" t="e">
        <f t="shared" si="196"/>
        <v>#REF!</v>
      </c>
      <c r="X86" s="29" t="e">
        <f t="shared" si="196"/>
        <v>#REF!</v>
      </c>
      <c r="Y86" s="30" t="e">
        <f t="shared" si="196"/>
        <v>#REF!</v>
      </c>
      <c r="Z86" s="29" t="e">
        <f t="shared" si="196"/>
        <v>#REF!</v>
      </c>
      <c r="AA86" s="28" t="e">
        <f t="shared" si="196"/>
        <v>#REF!</v>
      </c>
      <c r="AB86" s="26" t="e">
        <f t="shared" si="201"/>
        <v>#REF!</v>
      </c>
      <c r="AC86" s="25" t="e">
        <f t="shared" si="201"/>
        <v>#REF!</v>
      </c>
      <c r="AD86" s="24" t="e">
        <f t="shared" si="201"/>
        <v>#REF!</v>
      </c>
      <c r="AE86" s="25" t="e">
        <f t="shared" si="201"/>
        <v>#REF!</v>
      </c>
      <c r="AF86" s="24" t="e">
        <f t="shared" si="201"/>
        <v>#REF!</v>
      </c>
      <c r="AG86" s="25" t="e">
        <f t="shared" si="201"/>
        <v>#REF!</v>
      </c>
      <c r="AH86" s="24" t="e">
        <f t="shared" si="201"/>
        <v>#REF!</v>
      </c>
      <c r="AI86" s="25" t="e">
        <f t="shared" si="201"/>
        <v>#REF!</v>
      </c>
      <c r="AJ86" s="24" t="e">
        <f t="shared" si="201"/>
        <v>#REF!</v>
      </c>
      <c r="AK86" s="27" t="e">
        <f t="shared" si="160"/>
        <v>#REF!</v>
      </c>
      <c r="AL86" s="26" t="e">
        <f t="shared" si="202"/>
        <v>#REF!</v>
      </c>
      <c r="AM86" s="25" t="e">
        <f t="shared" si="202"/>
        <v>#REF!</v>
      </c>
      <c r="AN86" s="24" t="e">
        <f t="shared" si="202"/>
        <v>#REF!</v>
      </c>
      <c r="AO86" s="25" t="e">
        <f t="shared" si="202"/>
        <v>#REF!</v>
      </c>
      <c r="AP86" s="24" t="e">
        <f t="shared" si="202"/>
        <v>#REF!</v>
      </c>
      <c r="AQ86" s="25" t="e">
        <f t="shared" si="202"/>
        <v>#REF!</v>
      </c>
      <c r="AR86" s="24" t="e">
        <f t="shared" si="202"/>
        <v>#REF!</v>
      </c>
      <c r="AS86" s="25" t="e">
        <f t="shared" si="202"/>
        <v>#REF!</v>
      </c>
      <c r="AT86" s="24" t="e">
        <f t="shared" si="202"/>
        <v>#REF!</v>
      </c>
      <c r="AU86" s="23" t="e">
        <f>SUM(AL86:AT86)</f>
        <v>#REF!</v>
      </c>
      <c r="AW86" s="100" t="s">
        <v>1107</v>
      </c>
      <c r="AX86" s="41">
        <v>11.516908173617241</v>
      </c>
      <c r="AY86" s="40">
        <v>3.8772157282907838</v>
      </c>
      <c r="AZ86" s="39">
        <v>2.6267172425130521</v>
      </c>
      <c r="BA86" s="40">
        <v>0.49469753999458338</v>
      </c>
      <c r="BB86" s="39">
        <v>1.5031875731791615</v>
      </c>
      <c r="BC86" s="40">
        <v>2.081744732450725</v>
      </c>
      <c r="BD86" s="39">
        <v>0.42932235459210089</v>
      </c>
      <c r="BE86" s="40">
        <v>0.10649281615486594</v>
      </c>
      <c r="BF86" s="39">
        <v>1.4642542440364177</v>
      </c>
      <c r="BG86" s="81">
        <v>24.10054040482893</v>
      </c>
      <c r="BH86" s="66">
        <v>2.9373728472218676</v>
      </c>
      <c r="BJ86" s="37" t="s">
        <v>1539</v>
      </c>
      <c r="BK86" s="36" t="s">
        <v>2087</v>
      </c>
      <c r="BL86" s="1" t="s">
        <v>1107</v>
      </c>
      <c r="BM86" s="36" t="s">
        <v>1937</v>
      </c>
      <c r="BN86" s="82" t="str">
        <f t="shared" si="193"/>
        <v>INOSTM</v>
      </c>
      <c r="BO86" s="26">
        <f t="shared" si="194"/>
        <v>0</v>
      </c>
      <c r="BP86" s="25">
        <f t="shared" si="194"/>
        <v>0.52871490717249425</v>
      </c>
      <c r="BQ86" s="24">
        <f t="shared" si="194"/>
        <v>0.93625633258137886</v>
      </c>
      <c r="BR86" s="25">
        <f t="shared" si="194"/>
        <v>1.385538953399531</v>
      </c>
      <c r="BS86" s="24">
        <f t="shared" si="194"/>
        <v>1.0291595009291352</v>
      </c>
      <c r="BT86" s="25">
        <f t="shared" si="194"/>
        <v>9.4280639717008938E-2</v>
      </c>
      <c r="BU86" s="24">
        <f t="shared" si="194"/>
        <v>0</v>
      </c>
      <c r="BV86" s="25">
        <f t="shared" si="194"/>
        <v>1.687486853645511</v>
      </c>
      <c r="BW86" s="32">
        <f t="shared" si="194"/>
        <v>5.5286984479474832E-2</v>
      </c>
      <c r="BX86" s="26">
        <f t="shared" ref="BX86:CF86" si="205">BO86/BO87</f>
        <v>0</v>
      </c>
      <c r="BY86" s="25">
        <f t="shared" si="205"/>
        <v>2.3756166815321021E-2</v>
      </c>
      <c r="BZ86" s="24">
        <f t="shared" si="205"/>
        <v>1.9666545440917158E-2</v>
      </c>
      <c r="CA86" s="25">
        <f t="shared" si="205"/>
        <v>4.199056263258158E-2</v>
      </c>
      <c r="CB86" s="24">
        <f t="shared" si="205"/>
        <v>3.6522542266187723E-2</v>
      </c>
      <c r="CC86" s="25">
        <f t="shared" si="205"/>
        <v>3.9681904848350548E-3</v>
      </c>
      <c r="CD86" s="24">
        <f t="shared" si="205"/>
        <v>0</v>
      </c>
      <c r="CE86" s="25">
        <f t="shared" si="205"/>
        <v>5.8497418385644366E-2</v>
      </c>
      <c r="CF86" s="32">
        <f t="shared" si="205"/>
        <v>3.2358695307441146E-3</v>
      </c>
      <c r="CH86" s="54" t="s">
        <v>2109</v>
      </c>
      <c r="CI86" s="41">
        <v>5.5098917459032275E-2</v>
      </c>
      <c r="CJ86" s="40">
        <v>4.0109152780843302E-2</v>
      </c>
      <c r="CK86" s="39">
        <v>1.978975810520784E-2</v>
      </c>
      <c r="CL86" s="40">
        <v>1.978975810520784E-2</v>
      </c>
      <c r="CM86" s="39">
        <v>1.9138069491448331E-2</v>
      </c>
      <c r="CN86" s="40">
        <v>1.9138069491448331E-2</v>
      </c>
      <c r="CO86" s="39">
        <v>1.9138069491448334E-2</v>
      </c>
      <c r="CP86" s="40">
        <v>9.207721845723953E-3</v>
      </c>
      <c r="CQ86" s="66">
        <v>9.2077218457239512E-3</v>
      </c>
      <c r="CS86" s="54" t="s">
        <v>1555</v>
      </c>
      <c r="CT86" s="39">
        <v>0.25811483773161198</v>
      </c>
      <c r="CU86" s="40">
        <v>0.71050330783406179</v>
      </c>
      <c r="CV86" s="39">
        <v>2.0211741790739013</v>
      </c>
      <c r="CW86" s="40">
        <v>1.3689893304059573</v>
      </c>
      <c r="CX86" s="39">
        <v>7.6109676265174144</v>
      </c>
      <c r="CY86" s="40">
        <v>6.6340669025174002</v>
      </c>
      <c r="CZ86" s="39">
        <v>23.046764075243633</v>
      </c>
      <c r="DA86" s="40">
        <v>3.5719398782848208</v>
      </c>
      <c r="DB86" s="39">
        <v>2.2397689951092223</v>
      </c>
      <c r="DC86" s="38">
        <v>47.462289132718027</v>
      </c>
      <c r="DE86" s="37" t="s">
        <v>1489</v>
      </c>
      <c r="DF86" s="35" t="str">
        <f t="shared" si="164"/>
        <v>IMLOH</v>
      </c>
      <c r="DG86" s="26">
        <f t="shared" si="191"/>
        <v>1.5848343229962696E-2</v>
      </c>
      <c r="DH86" s="25">
        <f t="shared" si="191"/>
        <v>4.362515687798825E-2</v>
      </c>
      <c r="DI86" s="24">
        <f t="shared" si="191"/>
        <v>3.1517667686714733E-2</v>
      </c>
      <c r="DJ86" s="25">
        <f t="shared" si="191"/>
        <v>2.1347665742575003E-2</v>
      </c>
      <c r="DK86" s="24">
        <f t="shared" si="191"/>
        <v>8.0920542120730098E-3</v>
      </c>
      <c r="DL86" s="25">
        <f t="shared" si="191"/>
        <v>7.053403937056839E-3</v>
      </c>
      <c r="DM86" s="24">
        <f t="shared" si="191"/>
        <v>2.4503541922837456E-2</v>
      </c>
      <c r="DN86" s="25">
        <f t="shared" si="191"/>
        <v>4.0614515620219314E-3</v>
      </c>
      <c r="DO86" s="32">
        <f t="shared" si="191"/>
        <v>2.5467151166392856E-3</v>
      </c>
      <c r="DP86" s="26">
        <f t="shared" si="165"/>
        <v>3.405961561538131E-2</v>
      </c>
      <c r="DQ86" s="25">
        <f t="shared" si="166"/>
        <v>3.405961561538131E-2</v>
      </c>
      <c r="DR86" s="24">
        <f t="shared" si="167"/>
        <v>3.4059615615381317E-2</v>
      </c>
      <c r="DS86" s="25">
        <f t="shared" si="168"/>
        <v>3.405961561538131E-2</v>
      </c>
      <c r="DT86" s="24">
        <f t="shared" si="169"/>
        <v>3.405961561538131E-2</v>
      </c>
      <c r="DU86" s="25">
        <f t="shared" si="170"/>
        <v>3.405961561538131E-2</v>
      </c>
      <c r="DV86" s="24">
        <f t="shared" si="171"/>
        <v>3.405961561538131E-2</v>
      </c>
      <c r="DW86" s="25">
        <f t="shared" si="172"/>
        <v>3.405961561538131E-2</v>
      </c>
      <c r="DX86" s="32">
        <f t="shared" si="173"/>
        <v>3.405961561538131E-2</v>
      </c>
      <c r="DZ86" s="54" t="s">
        <v>1667</v>
      </c>
      <c r="EA86" s="39">
        <v>4.5136435431352116E-3</v>
      </c>
      <c r="EB86" s="40">
        <v>4.5136435431352134E-3</v>
      </c>
      <c r="EC86" s="39">
        <v>3.1629069234161006E-3</v>
      </c>
      <c r="ED86" s="40">
        <v>3.1629069234161006E-3</v>
      </c>
      <c r="EE86" s="39">
        <v>9.3866546558713758E-3</v>
      </c>
      <c r="EF86" s="40">
        <v>9.3866546558713723E-3</v>
      </c>
      <c r="EG86" s="39">
        <v>9.3866546558713723E-3</v>
      </c>
      <c r="EH86" s="40">
        <v>1.609982673054336E-2</v>
      </c>
      <c r="EI86" s="66">
        <v>1.6099826730543356E-2</v>
      </c>
      <c r="EO86" s="83" t="s">
        <v>1611</v>
      </c>
      <c r="EP86" s="82" t="s">
        <v>520</v>
      </c>
      <c r="EQ86" s="81">
        <f t="shared" si="174"/>
        <v>63.664150047077896</v>
      </c>
      <c r="ER86" s="80">
        <f>EQ86/SUM(EQ80:EQ88)</f>
        <v>0.19459249398256537</v>
      </c>
      <c r="ET86" s="73" t="s">
        <v>521</v>
      </c>
      <c r="EU86" s="72">
        <v>2.9735477163449403E-2</v>
      </c>
      <c r="EW86" s="22" t="s">
        <v>1611</v>
      </c>
      <c r="EX86" s="20" t="s">
        <v>2108</v>
      </c>
      <c r="EY86" s="20" t="s">
        <v>1129</v>
      </c>
      <c r="EZ86" s="85" t="s">
        <v>1910</v>
      </c>
      <c r="FA86" s="20" t="str">
        <f t="shared" si="175"/>
        <v>IMOOHT</v>
      </c>
      <c r="FB86" s="78" t="s">
        <v>522</v>
      </c>
      <c r="FC86" s="11">
        <f t="shared" si="176"/>
        <v>16.698235808624542</v>
      </c>
      <c r="FD86" s="10">
        <f t="shared" si="177"/>
        <v>0.22044362064795228</v>
      </c>
      <c r="FE86" s="101">
        <f t="shared" si="178"/>
        <v>1.3201611426166016E-2</v>
      </c>
      <c r="FF86" s="20">
        <v>0</v>
      </c>
      <c r="FG86" s="84">
        <f t="shared" si="179"/>
        <v>0</v>
      </c>
    </row>
    <row r="87" spans="1:163">
      <c r="A87" s="37" t="s">
        <v>2075</v>
      </c>
      <c r="B87" s="36" t="s">
        <v>1107</v>
      </c>
      <c r="C87" s="1" t="s">
        <v>665</v>
      </c>
      <c r="D87" s="36" t="s">
        <v>665</v>
      </c>
      <c r="E87" s="36" t="s">
        <v>2107</v>
      </c>
      <c r="F87" s="1" t="e">
        <f t="shared" ca="1" si="159"/>
        <v>#NAME?</v>
      </c>
      <c r="G87" s="35" t="s">
        <v>1109</v>
      </c>
      <c r="H87" s="34">
        <f>1-I87</f>
        <v>0.58829817280395214</v>
      </c>
      <c r="I87" s="33">
        <v>0.41170182719604786</v>
      </c>
      <c r="J87" s="26">
        <v>0</v>
      </c>
      <c r="K87" s="25">
        <v>0</v>
      </c>
      <c r="L87" s="24"/>
      <c r="M87" s="25"/>
      <c r="N87" s="24"/>
      <c r="O87" s="25"/>
      <c r="P87" s="24"/>
      <c r="Q87" s="25"/>
      <c r="R87" s="32"/>
      <c r="S87" s="31" t="e">
        <v>#REF!</v>
      </c>
      <c r="T87" s="29" t="e">
        <f t="shared" si="196"/>
        <v>#REF!</v>
      </c>
      <c r="U87" s="30" t="e">
        <f t="shared" si="196"/>
        <v>#REF!</v>
      </c>
      <c r="V87" s="29" t="e">
        <f t="shared" si="196"/>
        <v>#REF!</v>
      </c>
      <c r="W87" s="30" t="e">
        <f t="shared" si="196"/>
        <v>#REF!</v>
      </c>
      <c r="X87" s="29" t="e">
        <f t="shared" si="196"/>
        <v>#REF!</v>
      </c>
      <c r="Y87" s="30" t="e">
        <f t="shared" si="196"/>
        <v>#REF!</v>
      </c>
      <c r="Z87" s="29" t="e">
        <f t="shared" si="196"/>
        <v>#REF!</v>
      </c>
      <c r="AA87" s="28" t="e">
        <f t="shared" si="196"/>
        <v>#REF!</v>
      </c>
      <c r="AB87" s="26" t="e">
        <f t="shared" si="201"/>
        <v>#REF!</v>
      </c>
      <c r="AC87" s="25" t="e">
        <f t="shared" si="201"/>
        <v>#REF!</v>
      </c>
      <c r="AD87" s="24" t="e">
        <f t="shared" si="201"/>
        <v>#REF!</v>
      </c>
      <c r="AE87" s="25" t="e">
        <f t="shared" si="201"/>
        <v>#REF!</v>
      </c>
      <c r="AF87" s="24" t="e">
        <f t="shared" si="201"/>
        <v>#REF!</v>
      </c>
      <c r="AG87" s="25" t="e">
        <f t="shared" si="201"/>
        <v>#REF!</v>
      </c>
      <c r="AH87" s="24" t="e">
        <f t="shared" si="201"/>
        <v>#REF!</v>
      </c>
      <c r="AI87" s="25" t="e">
        <f t="shared" si="201"/>
        <v>#REF!</v>
      </c>
      <c r="AJ87" s="24" t="e">
        <f t="shared" si="201"/>
        <v>#REF!</v>
      </c>
      <c r="AK87" s="27" t="e">
        <f t="shared" si="160"/>
        <v>#REF!</v>
      </c>
      <c r="AL87" s="26" t="e">
        <f t="shared" si="202"/>
        <v>#REF!</v>
      </c>
      <c r="AM87" s="25" t="e">
        <f t="shared" si="202"/>
        <v>#REF!</v>
      </c>
      <c r="AN87" s="24" t="e">
        <f t="shared" si="202"/>
        <v>#REF!</v>
      </c>
      <c r="AO87" s="25" t="e">
        <f t="shared" si="202"/>
        <v>#REF!</v>
      </c>
      <c r="AP87" s="24" t="e">
        <f t="shared" si="202"/>
        <v>#REF!</v>
      </c>
      <c r="AQ87" s="25" t="e">
        <f t="shared" si="202"/>
        <v>#REF!</v>
      </c>
      <c r="AR87" s="24" t="e">
        <f t="shared" si="202"/>
        <v>#REF!</v>
      </c>
      <c r="AS87" s="25" t="e">
        <f t="shared" si="202"/>
        <v>#REF!</v>
      </c>
      <c r="AT87" s="24" t="e">
        <f t="shared" si="202"/>
        <v>#REF!</v>
      </c>
      <c r="AU87" s="23" t="e">
        <f>SUM(AL87:AT87)</f>
        <v>#REF!</v>
      </c>
      <c r="AW87" s="51" t="s">
        <v>1353</v>
      </c>
      <c r="AX87" s="7">
        <v>72.738865064216952</v>
      </c>
      <c r="AY87" s="6">
        <v>58.60524942365312</v>
      </c>
      <c r="AZ87" s="5">
        <v>127.61429915784434</v>
      </c>
      <c r="BA87" s="6">
        <v>27.38060717468726</v>
      </c>
      <c r="BB87" s="5">
        <v>188.07228636087538</v>
      </c>
      <c r="BC87" s="6">
        <v>99.059271716600307</v>
      </c>
      <c r="BD87" s="5">
        <v>68.261782405227351</v>
      </c>
      <c r="BE87" s="6">
        <v>13.206996724949857</v>
      </c>
      <c r="BF87" s="5">
        <v>69.3933542801866</v>
      </c>
      <c r="BG87" s="77">
        <v>724.3327123082413</v>
      </c>
      <c r="BH87" s="59">
        <v>62.741948095944643</v>
      </c>
      <c r="BJ87" s="22" t="s">
        <v>1539</v>
      </c>
      <c r="BK87" s="20" t="s">
        <v>2087</v>
      </c>
      <c r="BL87" s="21" t="s">
        <v>1027</v>
      </c>
      <c r="BM87" s="20"/>
      <c r="BN87" s="78"/>
      <c r="BO87" s="11">
        <f t="shared" ref="BO87:BW87" si="206">GETPIVOTDATA("Sum of "&amp;BO$1&amp;" (Out)",$AW$6,"Sub-Sector",$BJ87)</f>
        <v>7.6001544813004713</v>
      </c>
      <c r="BP87" s="10">
        <f t="shared" si="206"/>
        <v>22.255901437411659</v>
      </c>
      <c r="BQ87" s="9">
        <f t="shared" si="206"/>
        <v>47.606547646820282</v>
      </c>
      <c r="BR87" s="10">
        <f t="shared" si="206"/>
        <v>32.996436973779794</v>
      </c>
      <c r="BS87" s="9">
        <f t="shared" si="206"/>
        <v>28.178747619163488</v>
      </c>
      <c r="BT87" s="10">
        <f t="shared" si="206"/>
        <v>23.759101302549464</v>
      </c>
      <c r="BU87" s="9">
        <f t="shared" si="206"/>
        <v>82.211642829874165</v>
      </c>
      <c r="BV87" s="10">
        <f t="shared" si="206"/>
        <v>28.847202153789933</v>
      </c>
      <c r="BW87" s="16">
        <f t="shared" si="206"/>
        <v>17.085665523344243</v>
      </c>
      <c r="BX87" s="11"/>
      <c r="BY87" s="6"/>
      <c r="BZ87" s="5"/>
      <c r="CA87" s="6"/>
      <c r="CB87" s="5"/>
      <c r="CC87" s="6"/>
      <c r="CD87" s="5"/>
      <c r="CE87" s="6"/>
      <c r="CF87" s="59"/>
      <c r="CH87" s="54" t="s">
        <v>2106</v>
      </c>
      <c r="CI87" s="41">
        <v>0</v>
      </c>
      <c r="CJ87" s="40">
        <v>0</v>
      </c>
      <c r="CK87" s="39">
        <v>0</v>
      </c>
      <c r="CL87" s="40">
        <v>0</v>
      </c>
      <c r="CM87" s="39">
        <v>1.3201509237983782E-2</v>
      </c>
      <c r="CN87" s="40">
        <v>1.3201509237983782E-2</v>
      </c>
      <c r="CO87" s="39">
        <v>1.3201509237983784E-2</v>
      </c>
      <c r="CP87" s="40">
        <v>0</v>
      </c>
      <c r="CQ87" s="66">
        <v>0</v>
      </c>
      <c r="CS87" s="54" t="s">
        <v>1552</v>
      </c>
      <c r="CT87" s="39">
        <v>1.6919122194808009</v>
      </c>
      <c r="CU87" s="40">
        <v>4.6572651114149908</v>
      </c>
      <c r="CV87" s="39">
        <v>0</v>
      </c>
      <c r="CW87" s="40">
        <v>0</v>
      </c>
      <c r="CX87" s="39">
        <v>0</v>
      </c>
      <c r="CY87" s="40">
        <v>0</v>
      </c>
      <c r="CZ87" s="39">
        <v>0</v>
      </c>
      <c r="DA87" s="40">
        <v>0</v>
      </c>
      <c r="DB87" s="39">
        <v>0</v>
      </c>
      <c r="DC87" s="38">
        <v>6.3491773308957917</v>
      </c>
      <c r="DE87" s="37" t="s">
        <v>1487</v>
      </c>
      <c r="DF87" s="35" t="str">
        <f t="shared" si="164"/>
        <v>IMLOH</v>
      </c>
      <c r="DG87" s="26">
        <f t="shared" si="191"/>
        <v>0.44946352079487939</v>
      </c>
      <c r="DH87" s="25">
        <f t="shared" si="191"/>
        <v>1.2372218547449834</v>
      </c>
      <c r="DI87" s="24">
        <f t="shared" si="191"/>
        <v>0.8938500182739384</v>
      </c>
      <c r="DJ87" s="25">
        <f t="shared" si="191"/>
        <v>0.60542587109482859</v>
      </c>
      <c r="DK87" s="24">
        <f t="shared" si="191"/>
        <v>0.22949295859173094</v>
      </c>
      <c r="DL87" s="25">
        <f t="shared" si="191"/>
        <v>0.2000365414313085</v>
      </c>
      <c r="DM87" s="24">
        <f t="shared" si="191"/>
        <v>0.69492741700353589</v>
      </c>
      <c r="DN87" s="25">
        <f t="shared" si="191"/>
        <v>0.11518392125386449</v>
      </c>
      <c r="DO87" s="32">
        <f t="shared" si="191"/>
        <v>7.222556491723138E-2</v>
      </c>
      <c r="DP87" s="26">
        <f t="shared" si="165"/>
        <v>0.96594038438461871</v>
      </c>
      <c r="DQ87" s="25">
        <f t="shared" si="166"/>
        <v>0.96594038438461871</v>
      </c>
      <c r="DR87" s="24">
        <f t="shared" si="167"/>
        <v>0.96594038438461871</v>
      </c>
      <c r="DS87" s="25">
        <f t="shared" si="168"/>
        <v>0.96594038438461871</v>
      </c>
      <c r="DT87" s="24">
        <f t="shared" si="169"/>
        <v>0.96594038438461871</v>
      </c>
      <c r="DU87" s="25">
        <f t="shared" si="170"/>
        <v>0.96594038438461871</v>
      </c>
      <c r="DV87" s="24">
        <f t="shared" si="171"/>
        <v>0.96594038438461871</v>
      </c>
      <c r="DW87" s="25">
        <f t="shared" si="172"/>
        <v>0.9659403843846186</v>
      </c>
      <c r="DX87" s="32">
        <f t="shared" si="173"/>
        <v>0.96594038438461871</v>
      </c>
      <c r="DZ87" s="54" t="s">
        <v>1663</v>
      </c>
      <c r="EA87" s="39">
        <v>0.65955306918200518</v>
      </c>
      <c r="EB87" s="40">
        <v>0.65955306918200518</v>
      </c>
      <c r="EC87" s="39">
        <v>0.74461947696601816</v>
      </c>
      <c r="ED87" s="40">
        <v>0.74461947696601816</v>
      </c>
      <c r="EE87" s="39">
        <v>0.9906133453441287</v>
      </c>
      <c r="EF87" s="40">
        <v>0.99061334534412859</v>
      </c>
      <c r="EG87" s="39">
        <v>0.99061334534412859</v>
      </c>
      <c r="EH87" s="40">
        <v>0.7841920488366354</v>
      </c>
      <c r="EI87" s="66">
        <v>0.78419204883663529</v>
      </c>
      <c r="EO87" s="83" t="s">
        <v>1611</v>
      </c>
      <c r="EP87" s="82" t="s">
        <v>521</v>
      </c>
      <c r="EQ87" s="81">
        <f t="shared" si="174"/>
        <v>35.525980050790395</v>
      </c>
      <c r="ER87" s="80">
        <f>EQ87/SUM(EQ80:EQ88)</f>
        <v>0.10858684289582327</v>
      </c>
      <c r="ET87" s="73" t="s">
        <v>522</v>
      </c>
      <c r="EU87" s="72">
        <v>2.5310769407753998E-2</v>
      </c>
      <c r="EW87" s="37" t="s">
        <v>1539</v>
      </c>
      <c r="EX87" s="36" t="s">
        <v>2087</v>
      </c>
      <c r="EY87" s="36" t="s">
        <v>1145</v>
      </c>
      <c r="EZ87" s="87" t="s">
        <v>1945</v>
      </c>
      <c r="FA87" s="36" t="str">
        <f t="shared" si="175"/>
        <v>INOFAC</v>
      </c>
      <c r="FB87" s="35" t="s">
        <v>438</v>
      </c>
      <c r="FC87" s="26">
        <f t="shared" si="176"/>
        <v>7.6001544813004713</v>
      </c>
      <c r="FD87" s="25">
        <f t="shared" si="177"/>
        <v>0.67943609216716405</v>
      </c>
      <c r="FE87" s="24">
        <f t="shared" si="178"/>
        <v>8.9397668670927452E-2</v>
      </c>
      <c r="FF87" s="36">
        <v>0</v>
      </c>
      <c r="FG87" s="86">
        <f t="shared" si="179"/>
        <v>0</v>
      </c>
    </row>
    <row r="88" spans="1:163">
      <c r="A88" s="37" t="s">
        <v>2075</v>
      </c>
      <c r="B88" s="36" t="s">
        <v>1107</v>
      </c>
      <c r="C88" s="1" t="s">
        <v>665</v>
      </c>
      <c r="D88" s="36" t="s">
        <v>665</v>
      </c>
      <c r="E88" s="36" t="s">
        <v>2105</v>
      </c>
      <c r="F88" s="1" t="e">
        <f t="shared" ca="1" si="159"/>
        <v>#NAME?</v>
      </c>
      <c r="G88" s="35" t="s">
        <v>1109</v>
      </c>
      <c r="H88" s="34">
        <f>1-I88</f>
        <v>0.53168611646901609</v>
      </c>
      <c r="I88" s="33">
        <v>0.46831388353098397</v>
      </c>
      <c r="J88" s="26">
        <v>1.8859006640952747E-2</v>
      </c>
      <c r="K88" s="25">
        <v>0</v>
      </c>
      <c r="L88" s="24"/>
      <c r="M88" s="25"/>
      <c r="N88" s="24"/>
      <c r="O88" s="25"/>
      <c r="P88" s="24"/>
      <c r="Q88" s="25"/>
      <c r="R88" s="32"/>
      <c r="S88" s="31" t="e">
        <v>#REF!</v>
      </c>
      <c r="T88" s="29" t="e">
        <f t="shared" si="196"/>
        <v>#REF!</v>
      </c>
      <c r="U88" s="30" t="e">
        <f t="shared" si="196"/>
        <v>#REF!</v>
      </c>
      <c r="V88" s="29" t="e">
        <f t="shared" si="196"/>
        <v>#REF!</v>
      </c>
      <c r="W88" s="30" t="e">
        <f t="shared" si="196"/>
        <v>#REF!</v>
      </c>
      <c r="X88" s="29" t="e">
        <f t="shared" si="196"/>
        <v>#REF!</v>
      </c>
      <c r="Y88" s="30" t="e">
        <f t="shared" si="196"/>
        <v>#REF!</v>
      </c>
      <c r="Z88" s="29" t="e">
        <f t="shared" si="196"/>
        <v>#REF!</v>
      </c>
      <c r="AA88" s="28" t="e">
        <f t="shared" si="196"/>
        <v>#REF!</v>
      </c>
      <c r="AB88" s="26" t="e">
        <f t="shared" si="201"/>
        <v>#REF!</v>
      </c>
      <c r="AC88" s="25" t="e">
        <f t="shared" si="201"/>
        <v>#REF!</v>
      </c>
      <c r="AD88" s="24" t="e">
        <f t="shared" si="201"/>
        <v>#REF!</v>
      </c>
      <c r="AE88" s="25" t="e">
        <f t="shared" si="201"/>
        <v>#REF!</v>
      </c>
      <c r="AF88" s="24" t="e">
        <f t="shared" si="201"/>
        <v>#REF!</v>
      </c>
      <c r="AG88" s="25" t="e">
        <f t="shared" si="201"/>
        <v>#REF!</v>
      </c>
      <c r="AH88" s="24" t="e">
        <f t="shared" si="201"/>
        <v>#REF!</v>
      </c>
      <c r="AI88" s="25" t="e">
        <f t="shared" si="201"/>
        <v>#REF!</v>
      </c>
      <c r="AJ88" s="24" t="e">
        <f t="shared" si="201"/>
        <v>#REF!</v>
      </c>
      <c r="AK88" s="27" t="e">
        <f t="shared" si="160"/>
        <v>#REF!</v>
      </c>
      <c r="AL88" s="26" t="e">
        <f t="shared" si="202"/>
        <v>#REF!</v>
      </c>
      <c r="AM88" s="25" t="e">
        <f t="shared" si="202"/>
        <v>#REF!</v>
      </c>
      <c r="AN88" s="24" t="e">
        <f t="shared" si="202"/>
        <v>#REF!</v>
      </c>
      <c r="AO88" s="25" t="e">
        <f t="shared" si="202"/>
        <v>#REF!</v>
      </c>
      <c r="AP88" s="24" t="e">
        <f t="shared" si="202"/>
        <v>#REF!</v>
      </c>
      <c r="AQ88" s="25" t="e">
        <f t="shared" si="202"/>
        <v>#REF!</v>
      </c>
      <c r="AR88" s="24" t="e">
        <f t="shared" si="202"/>
        <v>#REF!</v>
      </c>
      <c r="AS88" s="25" t="e">
        <f t="shared" si="202"/>
        <v>#REF!</v>
      </c>
      <c r="AT88" s="24" t="e">
        <f t="shared" si="202"/>
        <v>#REF!</v>
      </c>
      <c r="AU88" s="23" t="e">
        <f>SUM(AL88:AT88)</f>
        <v>#REF!</v>
      </c>
      <c r="AW88" s="100" t="s">
        <v>1145</v>
      </c>
      <c r="AX88" s="41">
        <v>1.4575942645611193</v>
      </c>
      <c r="AY88" s="40">
        <v>1.2861125863774583</v>
      </c>
      <c r="AZ88" s="39">
        <v>2.0837572419663015</v>
      </c>
      <c r="BA88" s="40">
        <v>0.39901734420631302</v>
      </c>
      <c r="BB88" s="39">
        <v>2.4789139137912723</v>
      </c>
      <c r="BC88" s="40">
        <v>1.4393693692981584</v>
      </c>
      <c r="BD88" s="39">
        <v>1.0395445444931144</v>
      </c>
      <c r="BE88" s="40">
        <v>0.2563534695455173</v>
      </c>
      <c r="BF88" s="39">
        <v>1.9867393889777591</v>
      </c>
      <c r="BG88" s="81">
        <v>12.427402123217012</v>
      </c>
      <c r="BH88" s="66">
        <v>0</v>
      </c>
      <c r="BJ88" s="37" t="s">
        <v>1477</v>
      </c>
      <c r="BK88" s="36" t="s">
        <v>2062</v>
      </c>
      <c r="BL88" s="1" t="s">
        <v>1150</v>
      </c>
      <c r="BM88" s="36" t="s">
        <v>1902</v>
      </c>
      <c r="BN88" s="82" t="str">
        <f t="shared" ref="BN88:BN94" si="207">BK88&amp;BM88</f>
        <v>IPOETC</v>
      </c>
      <c r="BO88" s="91">
        <f t="shared" ref="BO88:BW94" si="208">IF(ISERROR(GETPIVOTDATA("Sum of "&amp;BO$1&amp;" (Out)",$AW$6,"Sub-Sector",$BJ88,"End-Use",$BL88)),0,GETPIVOTDATA("Sum of "&amp;BO$1&amp;" (Out)",$AW$6,"Sub-Sector",$BJ88,"End-Use",$BL88))</f>
        <v>0</v>
      </c>
      <c r="BP88" s="89">
        <f t="shared" si="208"/>
        <v>0</v>
      </c>
      <c r="BQ88" s="90">
        <f t="shared" si="208"/>
        <v>0</v>
      </c>
      <c r="BR88" s="89">
        <f t="shared" si="208"/>
        <v>0</v>
      </c>
      <c r="BS88" s="90">
        <f t="shared" si="208"/>
        <v>0</v>
      </c>
      <c r="BT88" s="89">
        <f t="shared" si="208"/>
        <v>0</v>
      </c>
      <c r="BU88" s="90">
        <f t="shared" si="208"/>
        <v>0</v>
      </c>
      <c r="BV88" s="89">
        <f t="shared" si="208"/>
        <v>0</v>
      </c>
      <c r="BW88" s="88">
        <f t="shared" si="208"/>
        <v>0</v>
      </c>
      <c r="BX88" s="26">
        <f t="shared" ref="BX88:CF88" si="209">BO88/BO95</f>
        <v>0</v>
      </c>
      <c r="BY88" s="25">
        <f t="shared" si="209"/>
        <v>0</v>
      </c>
      <c r="BZ88" s="24">
        <f t="shared" si="209"/>
        <v>0</v>
      </c>
      <c r="CA88" s="25">
        <f t="shared" si="209"/>
        <v>0</v>
      </c>
      <c r="CB88" s="24">
        <f t="shared" si="209"/>
        <v>0</v>
      </c>
      <c r="CC88" s="25">
        <f t="shared" si="209"/>
        <v>0</v>
      </c>
      <c r="CD88" s="24">
        <f t="shared" si="209"/>
        <v>0</v>
      </c>
      <c r="CE88" s="25">
        <f t="shared" si="209"/>
        <v>0</v>
      </c>
      <c r="CF88" s="32">
        <f t="shared" si="209"/>
        <v>0</v>
      </c>
      <c r="CH88" s="54" t="s">
        <v>2104</v>
      </c>
      <c r="CI88" s="41">
        <v>0.11053923838433106</v>
      </c>
      <c r="CJ88" s="40">
        <v>8.0466829569414589E-2</v>
      </c>
      <c r="CK88" s="39">
        <v>8.7272601130663069E-2</v>
      </c>
      <c r="CL88" s="40">
        <v>8.7272601130663055E-2</v>
      </c>
      <c r="CM88" s="39">
        <v>0.10347233812346479</v>
      </c>
      <c r="CN88" s="40">
        <v>0.1034723381234648</v>
      </c>
      <c r="CO88" s="39">
        <v>0.10347233812346482</v>
      </c>
      <c r="CP88" s="40">
        <v>0.10128494030296348</v>
      </c>
      <c r="CQ88" s="66">
        <v>0.10128494030296345</v>
      </c>
      <c r="CS88" s="54" t="s">
        <v>1549</v>
      </c>
      <c r="CT88" s="39">
        <v>0</v>
      </c>
      <c r="CU88" s="40">
        <v>0</v>
      </c>
      <c r="CV88" s="39">
        <v>0</v>
      </c>
      <c r="CW88" s="40">
        <v>0</v>
      </c>
      <c r="CX88" s="39">
        <v>9.2651778258154655E-2</v>
      </c>
      <c r="CY88" s="40">
        <v>8.0759520439986021E-2</v>
      </c>
      <c r="CZ88" s="39">
        <v>0.28055876459489654</v>
      </c>
      <c r="DA88" s="40">
        <v>1.6740898155246668</v>
      </c>
      <c r="DB88" s="39">
        <v>1.0497305642335566</v>
      </c>
      <c r="DC88" s="38">
        <v>3.1777904430512609</v>
      </c>
      <c r="DE88" s="37" t="s">
        <v>1428</v>
      </c>
      <c r="DF88" s="35" t="str">
        <f t="shared" si="164"/>
        <v>IMTOH</v>
      </c>
      <c r="DG88" s="26">
        <f t="shared" ref="DG88:DO97" si="210">GETPIVOTDATA("Sum of "&amp;DG$1&amp;" (Out)",$CS$6,"Constraint Identifier",$DE88)</f>
        <v>1.0695869910641895E-2</v>
      </c>
      <c r="DH88" s="25">
        <f t="shared" si="210"/>
        <v>2.9442131333711985E-2</v>
      </c>
      <c r="DI88" s="24">
        <f t="shared" si="210"/>
        <v>8.0164787475405008E-2</v>
      </c>
      <c r="DJ88" s="25">
        <f t="shared" si="210"/>
        <v>5.4297516693180517E-2</v>
      </c>
      <c r="DK88" s="24">
        <f t="shared" si="210"/>
        <v>3.1129051161120712E-2</v>
      </c>
      <c r="DL88" s="25">
        <f t="shared" si="210"/>
        <v>2.7133502354582548E-2</v>
      </c>
      <c r="DM88" s="24">
        <f t="shared" si="210"/>
        <v>9.4261851212841502E-2</v>
      </c>
      <c r="DN88" s="25">
        <f t="shared" si="210"/>
        <v>1.233462742221161E-2</v>
      </c>
      <c r="DO88" s="32">
        <f t="shared" si="210"/>
        <v>7.7343731999653335E-3</v>
      </c>
      <c r="DP88" s="26">
        <f t="shared" si="165"/>
        <v>8.3494741649662821E-2</v>
      </c>
      <c r="DQ88" s="25">
        <f t="shared" si="166"/>
        <v>8.3494741649662821E-2</v>
      </c>
      <c r="DR88" s="24">
        <f t="shared" si="167"/>
        <v>1.7770777206996803E-2</v>
      </c>
      <c r="DS88" s="25">
        <f t="shared" si="168"/>
        <v>1.7770777206996796E-2</v>
      </c>
      <c r="DT88" s="24">
        <f t="shared" si="169"/>
        <v>0.11358990965923264</v>
      </c>
      <c r="DU88" s="25">
        <f t="shared" si="170"/>
        <v>0.11358990965923266</v>
      </c>
      <c r="DV88" s="24">
        <f t="shared" si="171"/>
        <v>0.11358990965923264</v>
      </c>
      <c r="DW88" s="25">
        <f t="shared" si="172"/>
        <v>0.2417661005178576</v>
      </c>
      <c r="DX88" s="32">
        <f t="shared" si="173"/>
        <v>0.2417661005178576</v>
      </c>
      <c r="DZ88" s="54" t="s">
        <v>1659</v>
      </c>
      <c r="EA88" s="39">
        <v>0.3359332872748596</v>
      </c>
      <c r="EB88" s="40">
        <v>0.33593328727485966</v>
      </c>
      <c r="EC88" s="39">
        <v>0.25221761611056565</v>
      </c>
      <c r="ED88" s="40">
        <v>0.2522176161105657</v>
      </c>
      <c r="EE88" s="39">
        <v>0</v>
      </c>
      <c r="EF88" s="40">
        <v>0</v>
      </c>
      <c r="EG88" s="39">
        <v>0</v>
      </c>
      <c r="EH88" s="40">
        <v>0.19970812443282135</v>
      </c>
      <c r="EI88" s="66">
        <v>0.19970812443282132</v>
      </c>
      <c r="EO88" s="79" t="s">
        <v>1611</v>
      </c>
      <c r="EP88" s="78" t="s">
        <v>522</v>
      </c>
      <c r="EQ88" s="77">
        <f t="shared" si="174"/>
        <v>16.698235808624542</v>
      </c>
      <c r="ER88" s="76">
        <f>EQ88/SUM(EQ80:EQ88)</f>
        <v>5.103894968685551E-2</v>
      </c>
      <c r="ET88" s="74" t="s">
        <v>1611</v>
      </c>
      <c r="EU88" s="70">
        <v>1</v>
      </c>
      <c r="EW88" s="37" t="s">
        <v>1539</v>
      </c>
      <c r="EX88" s="36" t="s">
        <v>2087</v>
      </c>
      <c r="EY88" s="36" t="s">
        <v>1107</v>
      </c>
      <c r="EZ88" s="87" t="s">
        <v>1937</v>
      </c>
      <c r="FA88" s="36" t="str">
        <f t="shared" si="175"/>
        <v>INOSTM</v>
      </c>
      <c r="FB88" s="1" t="s">
        <v>440</v>
      </c>
      <c r="FC88" s="26">
        <f t="shared" si="176"/>
        <v>22.255901437411659</v>
      </c>
      <c r="FD88" s="25">
        <f t="shared" si="177"/>
        <v>0.52871490717249425</v>
      </c>
      <c r="FE88" s="24">
        <f t="shared" si="178"/>
        <v>2.3756166815321021E-2</v>
      </c>
      <c r="FF88" s="36">
        <v>0</v>
      </c>
      <c r="FG88" s="86">
        <f t="shared" si="179"/>
        <v>0</v>
      </c>
    </row>
    <row r="89" spans="1:163">
      <c r="A89" s="37" t="s">
        <v>2075</v>
      </c>
      <c r="B89" s="36" t="s">
        <v>1107</v>
      </c>
      <c r="C89" s="1" t="s">
        <v>1111</v>
      </c>
      <c r="D89" s="36" t="s">
        <v>1111</v>
      </c>
      <c r="E89" s="36" t="s">
        <v>2103</v>
      </c>
      <c r="F89" s="1" t="e">
        <f t="shared" ca="1" si="159"/>
        <v>#NAME?</v>
      </c>
      <c r="G89" s="35" t="s">
        <v>1104</v>
      </c>
      <c r="H89" s="43">
        <v>1</v>
      </c>
      <c r="I89" s="42">
        <v>0</v>
      </c>
      <c r="J89" s="26">
        <v>0.50272619460000001</v>
      </c>
      <c r="K89" s="25">
        <v>0</v>
      </c>
      <c r="L89" s="24"/>
      <c r="M89" s="25"/>
      <c r="N89" s="24"/>
      <c r="O89" s="25"/>
      <c r="P89" s="24"/>
      <c r="Q89" s="25"/>
      <c r="R89" s="32"/>
      <c r="S89" s="31" t="e">
        <v>#REF!</v>
      </c>
      <c r="T89" s="29" t="e">
        <f t="shared" si="196"/>
        <v>#REF!</v>
      </c>
      <c r="U89" s="30" t="e">
        <f t="shared" si="196"/>
        <v>#REF!</v>
      </c>
      <c r="V89" s="29" t="e">
        <f t="shared" si="196"/>
        <v>#REF!</v>
      </c>
      <c r="W89" s="30" t="e">
        <f t="shared" si="196"/>
        <v>#REF!</v>
      </c>
      <c r="X89" s="29" t="e">
        <f t="shared" si="196"/>
        <v>#REF!</v>
      </c>
      <c r="Y89" s="30" t="e">
        <f t="shared" si="196"/>
        <v>#REF!</v>
      </c>
      <c r="Z89" s="29" t="e">
        <f t="shared" si="196"/>
        <v>#REF!</v>
      </c>
      <c r="AA89" s="28" t="e">
        <f t="shared" si="196"/>
        <v>#REF!</v>
      </c>
      <c r="AB89" s="26" t="e">
        <f t="shared" ref="AB89:AJ90" si="211">J89*$H89*S89</f>
        <v>#REF!</v>
      </c>
      <c r="AC89" s="25" t="e">
        <f t="shared" si="211"/>
        <v>#REF!</v>
      </c>
      <c r="AD89" s="24" t="e">
        <f t="shared" si="211"/>
        <v>#REF!</v>
      </c>
      <c r="AE89" s="25" t="e">
        <f t="shared" si="211"/>
        <v>#REF!</v>
      </c>
      <c r="AF89" s="24" t="e">
        <f t="shared" si="211"/>
        <v>#REF!</v>
      </c>
      <c r="AG89" s="25" t="e">
        <f t="shared" si="211"/>
        <v>#REF!</v>
      </c>
      <c r="AH89" s="24" t="e">
        <f t="shared" si="211"/>
        <v>#REF!</v>
      </c>
      <c r="AI89" s="25" t="e">
        <f t="shared" si="211"/>
        <v>#REF!</v>
      </c>
      <c r="AJ89" s="24" t="e">
        <f t="shared" si="211"/>
        <v>#REF!</v>
      </c>
      <c r="AK89" s="27" t="e">
        <f t="shared" si="160"/>
        <v>#REF!</v>
      </c>
      <c r="AL89" s="41">
        <v>0</v>
      </c>
      <c r="AM89" s="40">
        <v>0</v>
      </c>
      <c r="AN89" s="39">
        <v>0</v>
      </c>
      <c r="AO89" s="40">
        <v>0</v>
      </c>
      <c r="AP89" s="39">
        <v>0</v>
      </c>
      <c r="AQ89" s="40">
        <v>0</v>
      </c>
      <c r="AR89" s="39">
        <v>0</v>
      </c>
      <c r="AS89" s="40">
        <v>0</v>
      </c>
      <c r="AT89" s="39">
        <v>0</v>
      </c>
      <c r="AU89" s="38">
        <v>0</v>
      </c>
      <c r="AW89" s="100" t="s">
        <v>1136</v>
      </c>
      <c r="AX89" s="41">
        <v>2.893124899795068</v>
      </c>
      <c r="AY89" s="40">
        <v>2.5527572645250598</v>
      </c>
      <c r="AZ89" s="39">
        <v>20.156252898626942</v>
      </c>
      <c r="BA89" s="40">
        <v>3.8597080018647336</v>
      </c>
      <c r="BB89" s="39">
        <v>17.171152935230499</v>
      </c>
      <c r="BC89" s="40">
        <v>9.9703468656177101</v>
      </c>
      <c r="BD89" s="39">
        <v>7.2008060696127911</v>
      </c>
      <c r="BE89" s="40">
        <v>2.7116418429588856</v>
      </c>
      <c r="BF89" s="39">
        <v>21.015224282931364</v>
      </c>
      <c r="BG89" s="81">
        <v>87.53101506116306</v>
      </c>
      <c r="BH89" s="66">
        <v>0</v>
      </c>
      <c r="BJ89" s="37" t="s">
        <v>1477</v>
      </c>
      <c r="BK89" s="36" t="s">
        <v>2062</v>
      </c>
      <c r="BL89" s="1" t="s">
        <v>1145</v>
      </c>
      <c r="BM89" s="36" t="s">
        <v>1945</v>
      </c>
      <c r="BN89" s="82" t="str">
        <f t="shared" si="207"/>
        <v>IPOFAC</v>
      </c>
      <c r="BO89" s="26">
        <f t="shared" si="208"/>
        <v>2.6357872662438426</v>
      </c>
      <c r="BP89" s="25">
        <f t="shared" si="208"/>
        <v>2.3256946466857431</v>
      </c>
      <c r="BQ89" s="24">
        <f t="shared" si="208"/>
        <v>8.2928153965429132</v>
      </c>
      <c r="BR89" s="25">
        <f t="shared" si="208"/>
        <v>1.5879859269975787</v>
      </c>
      <c r="BS89" s="24">
        <f t="shared" si="208"/>
        <v>5.1163134026725956</v>
      </c>
      <c r="BT89" s="25">
        <f t="shared" si="208"/>
        <v>2.9707626209066689</v>
      </c>
      <c r="BU89" s="24">
        <f t="shared" si="208"/>
        <v>2.1455507817659276</v>
      </c>
      <c r="BV89" s="25">
        <f t="shared" si="208"/>
        <v>0.44106112375049183</v>
      </c>
      <c r="BW89" s="32">
        <f t="shared" si="208"/>
        <v>3.4182237090663117</v>
      </c>
      <c r="BX89" s="26">
        <f t="shared" ref="BX89:CF89" si="212">BO89/BO95</f>
        <v>7.3967561814197613E-2</v>
      </c>
      <c r="BY89" s="25">
        <f t="shared" si="212"/>
        <v>9.1892316259033047E-2</v>
      </c>
      <c r="BZ89" s="24">
        <f t="shared" si="212"/>
        <v>0.27704112783278384</v>
      </c>
      <c r="CA89" s="25">
        <f t="shared" si="212"/>
        <v>0.27642862970255311</v>
      </c>
      <c r="CB89" s="24">
        <f t="shared" si="212"/>
        <v>0.20482958949705624</v>
      </c>
      <c r="CC89" s="25">
        <f t="shared" si="212"/>
        <v>0.18438765505839544</v>
      </c>
      <c r="CD89" s="24">
        <f t="shared" si="212"/>
        <v>0.21266633557126707</v>
      </c>
      <c r="CE89" s="25">
        <f t="shared" si="212"/>
        <v>0.43441959779955841</v>
      </c>
      <c r="CF89" s="32">
        <f t="shared" si="212"/>
        <v>0.40179326906033508</v>
      </c>
      <c r="CH89" s="54" t="s">
        <v>2102</v>
      </c>
      <c r="CI89" s="41">
        <v>3.1432797357097426E-2</v>
      </c>
      <c r="CJ89" s="40">
        <v>0.29493333624561363</v>
      </c>
      <c r="CK89" s="39">
        <v>0.48250224560080246</v>
      </c>
      <c r="CL89" s="40">
        <v>0.4825022456008024</v>
      </c>
      <c r="CM89" s="39">
        <v>0.23762716628370806</v>
      </c>
      <c r="CN89" s="40">
        <v>0.23762716628370803</v>
      </c>
      <c r="CO89" s="39">
        <v>0.23762716628370811</v>
      </c>
      <c r="CP89" s="40">
        <v>0.16799159361099639</v>
      </c>
      <c r="CQ89" s="66">
        <v>0.16799159361099633</v>
      </c>
      <c r="CS89" s="54" t="s">
        <v>2063</v>
      </c>
      <c r="CT89" s="39">
        <v>0</v>
      </c>
      <c r="CU89" s="40">
        <v>0</v>
      </c>
      <c r="CV89" s="39">
        <v>0</v>
      </c>
      <c r="CW89" s="40">
        <v>0</v>
      </c>
      <c r="CX89" s="39">
        <v>0</v>
      </c>
      <c r="CY89" s="40">
        <v>0</v>
      </c>
      <c r="CZ89" s="39">
        <v>0</v>
      </c>
      <c r="DA89" s="40">
        <v>0</v>
      </c>
      <c r="DB89" s="39">
        <v>0</v>
      </c>
      <c r="DC89" s="38">
        <v>0</v>
      </c>
      <c r="DE89" s="37" t="s">
        <v>1425</v>
      </c>
      <c r="DF89" s="35" t="str">
        <f t="shared" si="164"/>
        <v>IMTOH</v>
      </c>
      <c r="DG89" s="26">
        <f t="shared" si="210"/>
        <v>0</v>
      </c>
      <c r="DH89" s="25">
        <f t="shared" si="210"/>
        <v>0</v>
      </c>
      <c r="DI89" s="24">
        <f t="shared" si="210"/>
        <v>3.4149347760800559</v>
      </c>
      <c r="DJ89" s="25">
        <f t="shared" si="210"/>
        <v>2.3130165232112434</v>
      </c>
      <c r="DK89" s="24">
        <f t="shared" si="210"/>
        <v>0.11133624304185237</v>
      </c>
      <c r="DL89" s="25">
        <f t="shared" si="210"/>
        <v>9.7045753084165479E-2</v>
      </c>
      <c r="DM89" s="24">
        <f t="shared" si="210"/>
        <v>0.33713717523505826</v>
      </c>
      <c r="DN89" s="25">
        <f t="shared" si="210"/>
        <v>0</v>
      </c>
      <c r="DO89" s="32">
        <f t="shared" si="210"/>
        <v>0</v>
      </c>
      <c r="DP89" s="26">
        <f t="shared" si="165"/>
        <v>0</v>
      </c>
      <c r="DQ89" s="25">
        <f t="shared" si="166"/>
        <v>0</v>
      </c>
      <c r="DR89" s="24">
        <f t="shared" si="167"/>
        <v>0.7570162286123816</v>
      </c>
      <c r="DS89" s="25">
        <f t="shared" si="168"/>
        <v>0.75701622861238149</v>
      </c>
      <c r="DT89" s="24">
        <f t="shared" si="169"/>
        <v>0.40626595791386377</v>
      </c>
      <c r="DU89" s="25">
        <f t="shared" si="170"/>
        <v>0.40626595791386372</v>
      </c>
      <c r="DV89" s="24">
        <f t="shared" si="171"/>
        <v>0.40626595791386377</v>
      </c>
      <c r="DW89" s="25">
        <f t="shared" si="172"/>
        <v>0</v>
      </c>
      <c r="DX89" s="32">
        <f t="shared" si="173"/>
        <v>0</v>
      </c>
      <c r="DZ89" s="54" t="s">
        <v>1916</v>
      </c>
      <c r="EA89" s="39">
        <v>0.76863803204495251</v>
      </c>
      <c r="EB89" s="40">
        <v>0.50402428731431714</v>
      </c>
      <c r="EC89" s="39">
        <v>0.46630022807655253</v>
      </c>
      <c r="ED89" s="40">
        <v>0.55660200414850813</v>
      </c>
      <c r="EE89" s="39">
        <v>0.61235011834592545</v>
      </c>
      <c r="EF89" s="40">
        <v>0.61235011834592545</v>
      </c>
      <c r="EG89" s="39">
        <v>0.61235011834592545</v>
      </c>
      <c r="EH89" s="40">
        <v>0.48391242318262173</v>
      </c>
      <c r="EI89" s="66">
        <v>0.48391242318262179</v>
      </c>
      <c r="EO89" s="83" t="s">
        <v>1539</v>
      </c>
      <c r="EP89" s="82" t="s">
        <v>438</v>
      </c>
      <c r="EQ89" s="81">
        <f t="shared" si="174"/>
        <v>7.6001544813004713</v>
      </c>
      <c r="ER89" s="80">
        <f>EQ89/SUM(EQ89:EQ97)</f>
        <v>2.615859386007182E-2</v>
      </c>
      <c r="ET89" s="73" t="s">
        <v>438</v>
      </c>
      <c r="EU89" s="72">
        <v>3.6748384812187819E-2</v>
      </c>
      <c r="EW89" s="37" t="s">
        <v>1539</v>
      </c>
      <c r="EX89" s="36" t="s">
        <v>2087</v>
      </c>
      <c r="EY89" s="36" t="s">
        <v>1107</v>
      </c>
      <c r="EZ89" s="87" t="s">
        <v>1937</v>
      </c>
      <c r="FA89" s="36" t="str">
        <f t="shared" si="175"/>
        <v>INOSTM</v>
      </c>
      <c r="FB89" s="1" t="s">
        <v>439</v>
      </c>
      <c r="FC89" s="26">
        <f t="shared" si="176"/>
        <v>47.606547646820282</v>
      </c>
      <c r="FD89" s="25">
        <f t="shared" si="177"/>
        <v>0.93625633258137886</v>
      </c>
      <c r="FE89" s="24">
        <f t="shared" si="178"/>
        <v>1.9666545440917158E-2</v>
      </c>
      <c r="FF89" s="36">
        <v>0</v>
      </c>
      <c r="FG89" s="86">
        <f t="shared" si="179"/>
        <v>0</v>
      </c>
    </row>
    <row r="90" spans="1:163">
      <c r="A90" s="37" t="s">
        <v>2075</v>
      </c>
      <c r="B90" s="36" t="s">
        <v>1107</v>
      </c>
      <c r="C90" s="1" t="s">
        <v>1111</v>
      </c>
      <c r="D90" s="36" t="s">
        <v>1111</v>
      </c>
      <c r="E90" s="36" t="s">
        <v>2101</v>
      </c>
      <c r="F90" s="1" t="e">
        <f t="shared" ca="1" si="159"/>
        <v>#NAME?</v>
      </c>
      <c r="G90" s="35" t="s">
        <v>1104</v>
      </c>
      <c r="H90" s="43">
        <v>1</v>
      </c>
      <c r="I90" s="42">
        <v>0</v>
      </c>
      <c r="J90" s="26">
        <v>0.92418</v>
      </c>
      <c r="K90" s="25">
        <v>0</v>
      </c>
      <c r="L90" s="24"/>
      <c r="M90" s="25"/>
      <c r="N90" s="24"/>
      <c r="O90" s="25"/>
      <c r="P90" s="24"/>
      <c r="Q90" s="25"/>
      <c r="R90" s="32"/>
      <c r="S90" s="31" t="e">
        <v>#REF!</v>
      </c>
      <c r="T90" s="29" t="e">
        <f t="shared" si="196"/>
        <v>#REF!</v>
      </c>
      <c r="U90" s="30" t="e">
        <f t="shared" si="196"/>
        <v>#REF!</v>
      </c>
      <c r="V90" s="29" t="e">
        <f t="shared" si="196"/>
        <v>#REF!</v>
      </c>
      <c r="W90" s="30" t="e">
        <f t="shared" si="196"/>
        <v>#REF!</v>
      </c>
      <c r="X90" s="29" t="e">
        <f t="shared" si="196"/>
        <v>#REF!</v>
      </c>
      <c r="Y90" s="30" t="e">
        <f t="shared" si="196"/>
        <v>#REF!</v>
      </c>
      <c r="Z90" s="29" t="e">
        <f t="shared" si="196"/>
        <v>#REF!</v>
      </c>
      <c r="AA90" s="28" t="e">
        <f t="shared" si="196"/>
        <v>#REF!</v>
      </c>
      <c r="AB90" s="26" t="e">
        <f t="shared" si="211"/>
        <v>#REF!</v>
      </c>
      <c r="AC90" s="25" t="e">
        <f t="shared" si="211"/>
        <v>#REF!</v>
      </c>
      <c r="AD90" s="24" t="e">
        <f t="shared" si="211"/>
        <v>#REF!</v>
      </c>
      <c r="AE90" s="25" t="e">
        <f t="shared" si="211"/>
        <v>#REF!</v>
      </c>
      <c r="AF90" s="24" t="e">
        <f t="shared" si="211"/>
        <v>#REF!</v>
      </c>
      <c r="AG90" s="25" t="e">
        <f t="shared" si="211"/>
        <v>#REF!</v>
      </c>
      <c r="AH90" s="24" t="e">
        <f t="shared" si="211"/>
        <v>#REF!</v>
      </c>
      <c r="AI90" s="25" t="e">
        <f t="shared" si="211"/>
        <v>#REF!</v>
      </c>
      <c r="AJ90" s="24" t="e">
        <f t="shared" si="211"/>
        <v>#REF!</v>
      </c>
      <c r="AK90" s="27" t="e">
        <f t="shared" si="160"/>
        <v>#REF!</v>
      </c>
      <c r="AL90" s="41">
        <v>0</v>
      </c>
      <c r="AM90" s="40">
        <v>0</v>
      </c>
      <c r="AN90" s="39">
        <v>0</v>
      </c>
      <c r="AO90" s="40">
        <v>0</v>
      </c>
      <c r="AP90" s="39">
        <v>0</v>
      </c>
      <c r="AQ90" s="40">
        <v>0</v>
      </c>
      <c r="AR90" s="39">
        <v>0</v>
      </c>
      <c r="AS90" s="40">
        <v>0</v>
      </c>
      <c r="AT90" s="39">
        <v>0</v>
      </c>
      <c r="AU90" s="38">
        <v>0</v>
      </c>
      <c r="AW90" s="100" t="s">
        <v>1129</v>
      </c>
      <c r="AX90" s="41">
        <v>37.39077477580976</v>
      </c>
      <c r="AY90" s="40">
        <v>32.030248349583715</v>
      </c>
      <c r="AZ90" s="39">
        <v>59.198156002443909</v>
      </c>
      <c r="BA90" s="40">
        <v>11.51088052970692</v>
      </c>
      <c r="BB90" s="39">
        <v>105.43711966883444</v>
      </c>
      <c r="BC90" s="40">
        <v>58.398785597896932</v>
      </c>
      <c r="BD90" s="39">
        <v>42.693289863327216</v>
      </c>
      <c r="BE90" s="40">
        <v>4.9713088011419764</v>
      </c>
      <c r="BF90" s="39">
        <v>28.704767476115137</v>
      </c>
      <c r="BG90" s="81">
        <v>380.33533106486004</v>
      </c>
      <c r="BH90" s="66">
        <v>33.200122923896615</v>
      </c>
      <c r="BJ90" s="37" t="s">
        <v>1477</v>
      </c>
      <c r="BK90" s="36" t="s">
        <v>2062</v>
      </c>
      <c r="BL90" s="1" t="s">
        <v>1139</v>
      </c>
      <c r="BM90" s="36" t="s">
        <v>1943</v>
      </c>
      <c r="BN90" s="82" t="str">
        <f t="shared" si="207"/>
        <v>IPOFEED</v>
      </c>
      <c r="BO90" s="26">
        <f t="shared" si="208"/>
        <v>0</v>
      </c>
      <c r="BP90" s="25">
        <f t="shared" si="208"/>
        <v>0</v>
      </c>
      <c r="BQ90" s="24">
        <f t="shared" si="208"/>
        <v>0</v>
      </c>
      <c r="BR90" s="25">
        <f t="shared" si="208"/>
        <v>0</v>
      </c>
      <c r="BS90" s="24">
        <f t="shared" si="208"/>
        <v>0</v>
      </c>
      <c r="BT90" s="25">
        <f t="shared" si="208"/>
        <v>0</v>
      </c>
      <c r="BU90" s="24">
        <f t="shared" si="208"/>
        <v>0</v>
      </c>
      <c r="BV90" s="25">
        <f t="shared" si="208"/>
        <v>0</v>
      </c>
      <c r="BW90" s="32">
        <f t="shared" si="208"/>
        <v>0</v>
      </c>
      <c r="BX90" s="26">
        <f t="shared" ref="BX90:CF90" si="213">BO90/BO95</f>
        <v>0</v>
      </c>
      <c r="BY90" s="25">
        <f t="shared" si="213"/>
        <v>0</v>
      </c>
      <c r="BZ90" s="24">
        <f t="shared" si="213"/>
        <v>0</v>
      </c>
      <c r="CA90" s="25">
        <f t="shared" si="213"/>
        <v>0</v>
      </c>
      <c r="CB90" s="24">
        <f t="shared" si="213"/>
        <v>0</v>
      </c>
      <c r="CC90" s="25">
        <f t="shared" si="213"/>
        <v>0</v>
      </c>
      <c r="CD90" s="24">
        <f t="shared" si="213"/>
        <v>0</v>
      </c>
      <c r="CE90" s="25">
        <f t="shared" si="213"/>
        <v>0</v>
      </c>
      <c r="CF90" s="32">
        <f t="shared" si="213"/>
        <v>0</v>
      </c>
      <c r="CH90" s="54" t="s">
        <v>2100</v>
      </c>
      <c r="CI90" s="41">
        <v>0.80292904679953936</v>
      </c>
      <c r="CJ90" s="40">
        <v>0.58449068140412852</v>
      </c>
      <c r="CK90" s="39">
        <v>0.41043539516332667</v>
      </c>
      <c r="CL90" s="40">
        <v>0.41043539516332661</v>
      </c>
      <c r="CM90" s="39">
        <v>0.62656091686339499</v>
      </c>
      <c r="CN90" s="40">
        <v>0.62656091686339499</v>
      </c>
      <c r="CO90" s="39">
        <v>0.62656091686339499</v>
      </c>
      <c r="CP90" s="40">
        <v>0.72151574424031628</v>
      </c>
      <c r="CQ90" s="66">
        <v>0.72151574424031617</v>
      </c>
      <c r="CS90" s="54" t="s">
        <v>2059</v>
      </c>
      <c r="CT90" s="39">
        <v>0</v>
      </c>
      <c r="CU90" s="40">
        <v>0.10260283412550769</v>
      </c>
      <c r="CV90" s="39">
        <v>1.348961564199902</v>
      </c>
      <c r="CW90" s="40">
        <v>1.2973151399976981</v>
      </c>
      <c r="CX90" s="39">
        <v>0.58737731195898435</v>
      </c>
      <c r="CY90" s="40">
        <v>1.2262673782924474</v>
      </c>
      <c r="CZ90" s="39">
        <v>4.4965385473330066</v>
      </c>
      <c r="DA90" s="40">
        <v>0</v>
      </c>
      <c r="DB90" s="39">
        <v>0.16218196987767</v>
      </c>
      <c r="DC90" s="38">
        <v>9.2212447457852154</v>
      </c>
      <c r="DE90" s="37" t="s">
        <v>1420</v>
      </c>
      <c r="DF90" s="35" t="str">
        <f t="shared" si="164"/>
        <v>IMTOH</v>
      </c>
      <c r="DG90" s="26">
        <f t="shared" si="210"/>
        <v>0</v>
      </c>
      <c r="DH90" s="25">
        <f t="shared" si="210"/>
        <v>0</v>
      </c>
      <c r="DI90" s="24">
        <f t="shared" si="210"/>
        <v>0.31648665062475667</v>
      </c>
      <c r="DJ90" s="25">
        <f t="shared" si="210"/>
        <v>0.2143639337999716</v>
      </c>
      <c r="DK90" s="24">
        <f t="shared" si="210"/>
        <v>1.0318333134873814E-2</v>
      </c>
      <c r="DL90" s="25">
        <f t="shared" si="210"/>
        <v>8.9939302987860851E-3</v>
      </c>
      <c r="DM90" s="24">
        <f t="shared" si="210"/>
        <v>3.1244935082980901E-2</v>
      </c>
      <c r="DN90" s="25">
        <f t="shared" si="210"/>
        <v>0</v>
      </c>
      <c r="DO90" s="32">
        <f t="shared" si="210"/>
        <v>0</v>
      </c>
      <c r="DP90" s="26">
        <f t="shared" si="165"/>
        <v>0</v>
      </c>
      <c r="DQ90" s="25">
        <f t="shared" si="166"/>
        <v>0</v>
      </c>
      <c r="DR90" s="24">
        <f t="shared" si="167"/>
        <v>7.015815714557623E-2</v>
      </c>
      <c r="DS90" s="25">
        <f t="shared" si="168"/>
        <v>7.0158157145576203E-2</v>
      </c>
      <c r="DT90" s="24">
        <f t="shared" si="169"/>
        <v>3.7651598262913026E-2</v>
      </c>
      <c r="DU90" s="25">
        <f t="shared" si="170"/>
        <v>3.7651598262913026E-2</v>
      </c>
      <c r="DV90" s="24">
        <f t="shared" si="171"/>
        <v>3.7651598262913026E-2</v>
      </c>
      <c r="DW90" s="25">
        <f t="shared" si="172"/>
        <v>0</v>
      </c>
      <c r="DX90" s="32">
        <f t="shared" si="173"/>
        <v>0</v>
      </c>
      <c r="DZ90" s="54" t="s">
        <v>1920</v>
      </c>
      <c r="EA90" s="39">
        <v>0</v>
      </c>
      <c r="EB90" s="40">
        <v>0</v>
      </c>
      <c r="EC90" s="39">
        <v>9.6534495424852845E-2</v>
      </c>
      <c r="ED90" s="40">
        <v>0</v>
      </c>
      <c r="EE90" s="39">
        <v>0</v>
      </c>
      <c r="EF90" s="40">
        <v>0</v>
      </c>
      <c r="EG90" s="39">
        <v>0</v>
      </c>
      <c r="EH90" s="40">
        <v>0</v>
      </c>
      <c r="EI90" s="66">
        <v>0</v>
      </c>
      <c r="EO90" s="83" t="s">
        <v>1539</v>
      </c>
      <c r="EP90" s="82" t="s">
        <v>440</v>
      </c>
      <c r="EQ90" s="81">
        <f t="shared" si="174"/>
        <v>22.255901437411659</v>
      </c>
      <c r="ER90" s="80">
        <f>EQ90/SUM(EQ89:EQ97)</f>
        <v>7.660148068351133E-2</v>
      </c>
      <c r="ET90" s="73" t="s">
        <v>440</v>
      </c>
      <c r="EU90" s="72">
        <v>0.11575905710497086</v>
      </c>
      <c r="EW90" s="37" t="s">
        <v>1539</v>
      </c>
      <c r="EX90" s="36" t="s">
        <v>2087</v>
      </c>
      <c r="EY90" s="36" t="s">
        <v>1107</v>
      </c>
      <c r="EZ90" s="87" t="s">
        <v>1937</v>
      </c>
      <c r="FA90" s="36" t="str">
        <f t="shared" si="175"/>
        <v>INOSTM</v>
      </c>
      <c r="FB90" s="1" t="s">
        <v>518</v>
      </c>
      <c r="FC90" s="26">
        <f t="shared" si="176"/>
        <v>32.996436973779794</v>
      </c>
      <c r="FD90" s="25">
        <f t="shared" si="177"/>
        <v>1.385538953399531</v>
      </c>
      <c r="FE90" s="24">
        <f t="shared" si="178"/>
        <v>4.199056263258158E-2</v>
      </c>
      <c r="FF90" s="36">
        <v>0</v>
      </c>
      <c r="FG90" s="86">
        <f t="shared" si="179"/>
        <v>0</v>
      </c>
    </row>
    <row r="91" spans="1:163">
      <c r="A91" s="37" t="s">
        <v>2075</v>
      </c>
      <c r="B91" s="36" t="s">
        <v>1107</v>
      </c>
      <c r="C91" s="1" t="s">
        <v>1111</v>
      </c>
      <c r="D91" s="36" t="s">
        <v>1111</v>
      </c>
      <c r="E91" s="36" t="s">
        <v>2099</v>
      </c>
      <c r="F91" s="1" t="e">
        <f t="shared" ca="1" si="159"/>
        <v>#NAME?</v>
      </c>
      <c r="G91" s="35" t="s">
        <v>1109</v>
      </c>
      <c r="H91" s="34">
        <f>1-I91</f>
        <v>0.88782287047481423</v>
      </c>
      <c r="I91" s="33">
        <v>0.1121771295251858</v>
      </c>
      <c r="J91" s="26" t="e">
        <v>#REF!</v>
      </c>
      <c r="K91" s="25" t="e">
        <v>#REF!</v>
      </c>
      <c r="L91" s="24"/>
      <c r="M91" s="25"/>
      <c r="N91" s="24"/>
      <c r="O91" s="25"/>
      <c r="P91" s="24"/>
      <c r="Q91" s="25"/>
      <c r="R91" s="32"/>
      <c r="S91" s="31" t="e">
        <v>#REF!</v>
      </c>
      <c r="T91" s="29" t="e">
        <f t="shared" ref="T91:AA100" si="214">S91</f>
        <v>#REF!</v>
      </c>
      <c r="U91" s="30" t="e">
        <f t="shared" si="214"/>
        <v>#REF!</v>
      </c>
      <c r="V91" s="29" t="e">
        <f t="shared" si="214"/>
        <v>#REF!</v>
      </c>
      <c r="W91" s="30" t="e">
        <f t="shared" si="214"/>
        <v>#REF!</v>
      </c>
      <c r="X91" s="29" t="e">
        <f t="shared" si="214"/>
        <v>#REF!</v>
      </c>
      <c r="Y91" s="30" t="e">
        <f t="shared" si="214"/>
        <v>#REF!</v>
      </c>
      <c r="Z91" s="29" t="e">
        <f t="shared" si="214"/>
        <v>#REF!</v>
      </c>
      <c r="AA91" s="28" t="e">
        <f t="shared" si="214"/>
        <v>#REF!</v>
      </c>
      <c r="AB91" s="26" t="e">
        <f t="shared" ref="AB91:AJ93" si="215">J91*31.536*$H91*S91</f>
        <v>#REF!</v>
      </c>
      <c r="AC91" s="25" t="e">
        <f t="shared" si="215"/>
        <v>#REF!</v>
      </c>
      <c r="AD91" s="24" t="e">
        <f t="shared" si="215"/>
        <v>#REF!</v>
      </c>
      <c r="AE91" s="25" t="e">
        <f t="shared" si="215"/>
        <v>#REF!</v>
      </c>
      <c r="AF91" s="24" t="e">
        <f t="shared" si="215"/>
        <v>#REF!</v>
      </c>
      <c r="AG91" s="25" t="e">
        <f t="shared" si="215"/>
        <v>#REF!</v>
      </c>
      <c r="AH91" s="24" t="e">
        <f t="shared" si="215"/>
        <v>#REF!</v>
      </c>
      <c r="AI91" s="25" t="e">
        <f t="shared" si="215"/>
        <v>#REF!</v>
      </c>
      <c r="AJ91" s="24" t="e">
        <f t="shared" si="215"/>
        <v>#REF!</v>
      </c>
      <c r="AK91" s="27" t="e">
        <f t="shared" si="160"/>
        <v>#REF!</v>
      </c>
      <c r="AL91" s="26" t="e">
        <f t="shared" ref="AL91:AT93" si="216">J91*31.536*$I91*S91</f>
        <v>#REF!</v>
      </c>
      <c r="AM91" s="25" t="e">
        <f t="shared" si="216"/>
        <v>#REF!</v>
      </c>
      <c r="AN91" s="24" t="e">
        <f t="shared" si="216"/>
        <v>#REF!</v>
      </c>
      <c r="AO91" s="25" t="e">
        <f t="shared" si="216"/>
        <v>#REF!</v>
      </c>
      <c r="AP91" s="24" t="e">
        <f t="shared" si="216"/>
        <v>#REF!</v>
      </c>
      <c r="AQ91" s="25" t="e">
        <f t="shared" si="216"/>
        <v>#REF!</v>
      </c>
      <c r="AR91" s="24" t="e">
        <f t="shared" si="216"/>
        <v>#REF!</v>
      </c>
      <c r="AS91" s="25" t="e">
        <f t="shared" si="216"/>
        <v>#REF!</v>
      </c>
      <c r="AT91" s="24" t="e">
        <f t="shared" si="216"/>
        <v>#REF!</v>
      </c>
      <c r="AU91" s="23" t="e">
        <f>SUM(AL91:AT91)</f>
        <v>#REF!</v>
      </c>
      <c r="AW91" s="100" t="s">
        <v>1123</v>
      </c>
      <c r="AX91" s="41">
        <v>10.215629851922595</v>
      </c>
      <c r="AY91" s="40">
        <v>9.013791045814056</v>
      </c>
      <c r="AZ91" s="39">
        <v>14.302900795346876</v>
      </c>
      <c r="BA91" s="40">
        <v>2.7388533437898266</v>
      </c>
      <c r="BB91" s="39">
        <v>12.963309531370291</v>
      </c>
      <c r="BC91" s="40">
        <v>7.5270829536988781</v>
      </c>
      <c r="BD91" s="39">
        <v>5.4362265776714125</v>
      </c>
      <c r="BE91" s="40">
        <v>1.3778344067583279</v>
      </c>
      <c r="BF91" s="39">
        <v>10.67821665237704</v>
      </c>
      <c r="BG91" s="81">
        <v>74.2538451587493</v>
      </c>
      <c r="BH91" s="66">
        <v>0</v>
      </c>
      <c r="BJ91" s="37" t="s">
        <v>1477</v>
      </c>
      <c r="BK91" s="36" t="s">
        <v>2062</v>
      </c>
      <c r="BL91" s="1" t="s">
        <v>1136</v>
      </c>
      <c r="BM91" s="36" t="s">
        <v>1941</v>
      </c>
      <c r="BN91" s="82" t="str">
        <f t="shared" si="207"/>
        <v>IPOMDR</v>
      </c>
      <c r="BO91" s="26">
        <f t="shared" si="208"/>
        <v>2.0657291416912384</v>
      </c>
      <c r="BP91" s="25">
        <f t="shared" si="208"/>
        <v>1.8227021838452104</v>
      </c>
      <c r="BQ91" s="24">
        <f t="shared" si="208"/>
        <v>7.2257321839338138</v>
      </c>
      <c r="BR91" s="25">
        <f t="shared" si="208"/>
        <v>1.3836508437320065</v>
      </c>
      <c r="BS91" s="24">
        <f t="shared" si="208"/>
        <v>5.8326469883046741</v>
      </c>
      <c r="BT91" s="25">
        <f t="shared" si="208"/>
        <v>3.3866982512736823</v>
      </c>
      <c r="BU91" s="24">
        <f t="shared" si="208"/>
        <v>2.4459487370309922</v>
      </c>
      <c r="BV91" s="25">
        <f t="shared" si="208"/>
        <v>0.22465995166483843</v>
      </c>
      <c r="BW91" s="32">
        <f t="shared" si="208"/>
        <v>1.7411146254024981</v>
      </c>
      <c r="BX91" s="26">
        <f t="shared" ref="BX91:CF91" si="217">BO91/BO95</f>
        <v>5.7970136640496418E-2</v>
      </c>
      <c r="BY91" s="25">
        <f t="shared" si="217"/>
        <v>7.2018192827945429E-2</v>
      </c>
      <c r="BZ91" s="24">
        <f t="shared" si="217"/>
        <v>0.24139268727592603</v>
      </c>
      <c r="CA91" s="25">
        <f t="shared" si="217"/>
        <v>0.24085900272603813</v>
      </c>
      <c r="CB91" s="24">
        <f t="shared" si="217"/>
        <v>0.23350772211718229</v>
      </c>
      <c r="CC91" s="25">
        <f t="shared" si="217"/>
        <v>0.21020371824664255</v>
      </c>
      <c r="CD91" s="24">
        <f t="shared" si="217"/>
        <v>0.24244168878231603</v>
      </c>
      <c r="CE91" s="25">
        <f t="shared" si="217"/>
        <v>0.22127700807999065</v>
      </c>
      <c r="CF91" s="32">
        <f t="shared" si="217"/>
        <v>0.20465838303494699</v>
      </c>
      <c r="CH91" s="54" t="s">
        <v>2098</v>
      </c>
      <c r="CI91" s="41">
        <v>0</v>
      </c>
      <c r="CJ91" s="40">
        <v>3.0626171345789424E-20</v>
      </c>
      <c r="CK91" s="39">
        <v>4.6806500518967427E-19</v>
      </c>
      <c r="CL91" s="40">
        <v>0</v>
      </c>
      <c r="CM91" s="39">
        <v>0</v>
      </c>
      <c r="CN91" s="40">
        <v>0</v>
      </c>
      <c r="CO91" s="39">
        <v>0</v>
      </c>
      <c r="CP91" s="40">
        <v>0</v>
      </c>
      <c r="CQ91" s="66">
        <v>0</v>
      </c>
      <c r="CS91" s="54" t="s">
        <v>2056</v>
      </c>
      <c r="CT91" s="39">
        <v>1.1127368669517117</v>
      </c>
      <c r="CU91" s="40">
        <v>1.1118685570151339</v>
      </c>
      <c r="CV91" s="39">
        <v>0.27605790041729994</v>
      </c>
      <c r="CW91" s="40">
        <v>0.12008744405716491</v>
      </c>
      <c r="CX91" s="39">
        <v>12.891904436828773</v>
      </c>
      <c r="CY91" s="40">
        <v>0.58545195731165578</v>
      </c>
      <c r="CZ91" s="39">
        <v>30.606986313098368</v>
      </c>
      <c r="DA91" s="40">
        <v>1.8909303666907864</v>
      </c>
      <c r="DB91" s="39">
        <v>0.27663429523207567</v>
      </c>
      <c r="DC91" s="38">
        <v>48.872658137602961</v>
      </c>
      <c r="DE91" s="37" t="s">
        <v>1416</v>
      </c>
      <c r="DF91" s="35" t="str">
        <f t="shared" si="164"/>
        <v>IMTOH</v>
      </c>
      <c r="DG91" s="26">
        <f t="shared" si="210"/>
        <v>0.11740644766428876</v>
      </c>
      <c r="DH91" s="25">
        <f t="shared" si="210"/>
        <v>0.32318045006487217</v>
      </c>
      <c r="DI91" s="24">
        <f t="shared" si="210"/>
        <v>0.69945945037530499</v>
      </c>
      <c r="DJ91" s="25">
        <f t="shared" si="210"/>
        <v>0.47376051729206081</v>
      </c>
      <c r="DK91" s="24">
        <f t="shared" si="210"/>
        <v>0.12126405220083059</v>
      </c>
      <c r="DL91" s="25">
        <f t="shared" si="210"/>
        <v>0.10569928485410984</v>
      </c>
      <c r="DM91" s="24">
        <f t="shared" si="210"/>
        <v>0.36719956502552814</v>
      </c>
      <c r="DN91" s="25">
        <f t="shared" si="210"/>
        <v>3.8684218461438387E-2</v>
      </c>
      <c r="DO91" s="32">
        <f t="shared" si="210"/>
        <v>2.4256766928441746E-2</v>
      </c>
      <c r="DP91" s="26">
        <f t="shared" si="165"/>
        <v>0.91650525835033725</v>
      </c>
      <c r="DQ91" s="25">
        <f t="shared" si="166"/>
        <v>0.91650525835033714</v>
      </c>
      <c r="DR91" s="24">
        <f t="shared" si="167"/>
        <v>0.1550548370350455</v>
      </c>
      <c r="DS91" s="25">
        <f t="shared" si="168"/>
        <v>0.15505483703504547</v>
      </c>
      <c r="DT91" s="24">
        <f t="shared" si="169"/>
        <v>0.44249253416399059</v>
      </c>
      <c r="DU91" s="25">
        <f t="shared" si="170"/>
        <v>0.44249253416399054</v>
      </c>
      <c r="DV91" s="24">
        <f t="shared" si="171"/>
        <v>0.44249253416399059</v>
      </c>
      <c r="DW91" s="25">
        <f t="shared" si="172"/>
        <v>0.75823389948214248</v>
      </c>
      <c r="DX91" s="32">
        <f t="shared" si="173"/>
        <v>0.75823389948214248</v>
      </c>
      <c r="DZ91" s="54" t="s">
        <v>1925</v>
      </c>
      <c r="EA91" s="39">
        <v>0.20328170016599073</v>
      </c>
      <c r="EB91" s="40">
        <v>0.13329930315523866</v>
      </c>
      <c r="EC91" s="39">
        <v>6.347320774312161E-2</v>
      </c>
      <c r="ED91" s="40">
        <v>6.4378153107171585E-2</v>
      </c>
      <c r="EE91" s="39">
        <v>5.8481307323240854E-2</v>
      </c>
      <c r="EF91" s="40">
        <v>5.8481307323240854E-2</v>
      </c>
      <c r="EG91" s="39">
        <v>5.8481307323240861E-2</v>
      </c>
      <c r="EH91" s="40">
        <v>0.25596063690549908</v>
      </c>
      <c r="EI91" s="66">
        <v>0.25596063690549908</v>
      </c>
      <c r="EO91" s="83" t="s">
        <v>1539</v>
      </c>
      <c r="EP91" s="82" t="s">
        <v>439</v>
      </c>
      <c r="EQ91" s="81">
        <f t="shared" si="174"/>
        <v>47.606547646820282</v>
      </c>
      <c r="ER91" s="80">
        <f>EQ91/SUM(EQ89:EQ97)</f>
        <v>0.16385460953949468</v>
      </c>
      <c r="ET91" s="73" t="s">
        <v>439</v>
      </c>
      <c r="EU91" s="72">
        <v>0.22661343920516891</v>
      </c>
      <c r="EW91" s="37" t="s">
        <v>1539</v>
      </c>
      <c r="EX91" s="36" t="s">
        <v>2087</v>
      </c>
      <c r="EY91" s="36" t="s">
        <v>1145</v>
      </c>
      <c r="EZ91" s="1" t="s">
        <v>1945</v>
      </c>
      <c r="FA91" s="36" t="str">
        <f t="shared" si="175"/>
        <v>INOFAC</v>
      </c>
      <c r="FB91" s="1" t="s">
        <v>517</v>
      </c>
      <c r="FC91" s="26">
        <f t="shared" si="176"/>
        <v>28.178747619163488</v>
      </c>
      <c r="FD91" s="25">
        <f t="shared" si="177"/>
        <v>2.5236544444393409</v>
      </c>
      <c r="FE91" s="24">
        <f t="shared" si="178"/>
        <v>8.9558786591462367E-2</v>
      </c>
      <c r="FF91" s="36">
        <v>0</v>
      </c>
      <c r="FG91" s="86">
        <f t="shared" si="179"/>
        <v>0</v>
      </c>
    </row>
    <row r="92" spans="1:163" ht="15.75" thickBot="1">
      <c r="A92" s="37" t="s">
        <v>2075</v>
      </c>
      <c r="B92" s="36" t="s">
        <v>1107</v>
      </c>
      <c r="C92" s="1" t="s">
        <v>1111</v>
      </c>
      <c r="D92" s="36" t="s">
        <v>1111</v>
      </c>
      <c r="E92" s="36" t="s">
        <v>2097</v>
      </c>
      <c r="F92" s="1" t="e">
        <f t="shared" ca="1" si="159"/>
        <v>#NAME?</v>
      </c>
      <c r="G92" s="35" t="s">
        <v>1109</v>
      </c>
      <c r="H92" s="34">
        <f>1-I92</f>
        <v>0.5040028421789835</v>
      </c>
      <c r="I92" s="33">
        <v>0.49599715782101655</v>
      </c>
      <c r="J92" s="26">
        <v>0</v>
      </c>
      <c r="K92" s="25">
        <v>8.3713145264004626E-3</v>
      </c>
      <c r="L92" s="24"/>
      <c r="M92" s="25"/>
      <c r="N92" s="24"/>
      <c r="O92" s="25"/>
      <c r="P92" s="24"/>
      <c r="Q92" s="25"/>
      <c r="R92" s="32"/>
      <c r="S92" s="31" t="e">
        <v>#REF!</v>
      </c>
      <c r="T92" s="29" t="e">
        <f t="shared" si="214"/>
        <v>#REF!</v>
      </c>
      <c r="U92" s="30" t="e">
        <f t="shared" si="214"/>
        <v>#REF!</v>
      </c>
      <c r="V92" s="29" t="e">
        <f t="shared" si="214"/>
        <v>#REF!</v>
      </c>
      <c r="W92" s="30" t="e">
        <f t="shared" si="214"/>
        <v>#REF!</v>
      </c>
      <c r="X92" s="29" t="e">
        <f t="shared" si="214"/>
        <v>#REF!</v>
      </c>
      <c r="Y92" s="30" t="e">
        <f t="shared" si="214"/>
        <v>#REF!</v>
      </c>
      <c r="Z92" s="29" t="e">
        <f t="shared" si="214"/>
        <v>#REF!</v>
      </c>
      <c r="AA92" s="28" t="e">
        <f t="shared" si="214"/>
        <v>#REF!</v>
      </c>
      <c r="AB92" s="26" t="e">
        <f t="shared" si="215"/>
        <v>#REF!</v>
      </c>
      <c r="AC92" s="25" t="e">
        <f t="shared" si="215"/>
        <v>#REF!</v>
      </c>
      <c r="AD92" s="24" t="e">
        <f t="shared" si="215"/>
        <v>#REF!</v>
      </c>
      <c r="AE92" s="25" t="e">
        <f t="shared" si="215"/>
        <v>#REF!</v>
      </c>
      <c r="AF92" s="24" t="e">
        <f t="shared" si="215"/>
        <v>#REF!</v>
      </c>
      <c r="AG92" s="25" t="e">
        <f t="shared" si="215"/>
        <v>#REF!</v>
      </c>
      <c r="AH92" s="24" t="e">
        <f t="shared" si="215"/>
        <v>#REF!</v>
      </c>
      <c r="AI92" s="25" t="e">
        <f t="shared" si="215"/>
        <v>#REF!</v>
      </c>
      <c r="AJ92" s="24" t="e">
        <f t="shared" si="215"/>
        <v>#REF!</v>
      </c>
      <c r="AK92" s="27" t="e">
        <f t="shared" si="160"/>
        <v>#REF!</v>
      </c>
      <c r="AL92" s="26" t="e">
        <f t="shared" si="216"/>
        <v>#REF!</v>
      </c>
      <c r="AM92" s="25" t="e">
        <f t="shared" si="216"/>
        <v>#REF!</v>
      </c>
      <c r="AN92" s="24" t="e">
        <f t="shared" si="216"/>
        <v>#REF!</v>
      </c>
      <c r="AO92" s="25" t="e">
        <f t="shared" si="216"/>
        <v>#REF!</v>
      </c>
      <c r="AP92" s="24" t="e">
        <f t="shared" si="216"/>
        <v>#REF!</v>
      </c>
      <c r="AQ92" s="25" t="e">
        <f t="shared" si="216"/>
        <v>#REF!</v>
      </c>
      <c r="AR92" s="24" t="e">
        <f t="shared" si="216"/>
        <v>#REF!</v>
      </c>
      <c r="AS92" s="25" t="e">
        <f t="shared" si="216"/>
        <v>#REF!</v>
      </c>
      <c r="AT92" s="24" t="e">
        <f t="shared" si="216"/>
        <v>#REF!</v>
      </c>
      <c r="AU92" s="23" t="e">
        <f>SUM(AL92:AT92)</f>
        <v>#REF!</v>
      </c>
      <c r="AW92" s="100" t="s">
        <v>1107</v>
      </c>
      <c r="AX92" s="41">
        <v>20.781741272128418</v>
      </c>
      <c r="AY92" s="40">
        <v>13.722340177352837</v>
      </c>
      <c r="AZ92" s="39">
        <v>31.87323221946032</v>
      </c>
      <c r="BA92" s="40">
        <v>8.8721479551194662</v>
      </c>
      <c r="BB92" s="39">
        <v>50.021790311648878</v>
      </c>
      <c r="BC92" s="40">
        <v>21.723686930088629</v>
      </c>
      <c r="BD92" s="39">
        <v>11.89191535012281</v>
      </c>
      <c r="BE92" s="40">
        <v>3.8898582045451495</v>
      </c>
      <c r="BF92" s="39">
        <v>7.0084064797852985</v>
      </c>
      <c r="BG92" s="81">
        <v>169.7851189002518</v>
      </c>
      <c r="BH92" s="66">
        <v>29.541825172048028</v>
      </c>
      <c r="BJ92" s="37" t="s">
        <v>1477</v>
      </c>
      <c r="BK92" s="36" t="s">
        <v>2062</v>
      </c>
      <c r="BL92" s="1" t="s">
        <v>1129</v>
      </c>
      <c r="BM92" s="36" t="s">
        <v>1910</v>
      </c>
      <c r="BN92" s="82" t="str">
        <f t="shared" si="207"/>
        <v>IPOOHT</v>
      </c>
      <c r="BO92" s="26">
        <f t="shared" si="208"/>
        <v>18.048850017311405</v>
      </c>
      <c r="BP92" s="25">
        <f t="shared" si="208"/>
        <v>16.077042271452029</v>
      </c>
      <c r="BQ92" s="24">
        <f t="shared" si="208"/>
        <v>1.8767567812082637</v>
      </c>
      <c r="BR92" s="25">
        <f t="shared" si="208"/>
        <v>0.380370423641816</v>
      </c>
      <c r="BS92" s="24">
        <f t="shared" si="208"/>
        <v>7.5782251538975771</v>
      </c>
      <c r="BT92" s="25">
        <f t="shared" si="208"/>
        <v>4.7992572124020771</v>
      </c>
      <c r="BU92" s="24">
        <f t="shared" si="208"/>
        <v>2.9930157247353639</v>
      </c>
      <c r="BV92" s="25">
        <f t="shared" si="208"/>
        <v>4.1820485371173097E-2</v>
      </c>
      <c r="BW92" s="32">
        <f t="shared" si="208"/>
        <v>0.32410876162659152</v>
      </c>
      <c r="BX92" s="26">
        <f t="shared" ref="BX92:CF92" si="218">BO92/BO95</f>
        <v>0.50650120608297855</v>
      </c>
      <c r="BY92" s="25">
        <f t="shared" si="218"/>
        <v>0.63523242615853992</v>
      </c>
      <c r="BZ92" s="24">
        <f t="shared" si="218"/>
        <v>6.2697502653985659E-2</v>
      </c>
      <c r="CA92" s="25">
        <f t="shared" si="218"/>
        <v>6.6212976575608609E-2</v>
      </c>
      <c r="CB92" s="24">
        <f t="shared" si="218"/>
        <v>0.30339125562133556</v>
      </c>
      <c r="CC92" s="25">
        <f t="shared" si="218"/>
        <v>0.29787764838202868</v>
      </c>
      <c r="CD92" s="24">
        <f t="shared" si="218"/>
        <v>0.29666680084950398</v>
      </c>
      <c r="CE92" s="25">
        <f t="shared" si="218"/>
        <v>4.1190749890268635E-2</v>
      </c>
      <c r="CF92" s="32">
        <f t="shared" si="218"/>
        <v>3.8097190221823132E-2</v>
      </c>
      <c r="CH92" s="54" t="s">
        <v>2096</v>
      </c>
      <c r="CI92" s="41">
        <v>0</v>
      </c>
      <c r="CJ92" s="40">
        <v>0</v>
      </c>
      <c r="CK92" s="39">
        <v>0</v>
      </c>
      <c r="CL92" s="40">
        <v>0</v>
      </c>
      <c r="CM92" s="39">
        <v>0</v>
      </c>
      <c r="CN92" s="40">
        <v>0</v>
      </c>
      <c r="CO92" s="39">
        <v>0</v>
      </c>
      <c r="CP92" s="40">
        <v>0</v>
      </c>
      <c r="CQ92" s="66">
        <v>0</v>
      </c>
      <c r="CS92" s="54" t="s">
        <v>2053</v>
      </c>
      <c r="CT92" s="39">
        <v>0</v>
      </c>
      <c r="CU92" s="40">
        <v>0</v>
      </c>
      <c r="CV92" s="39">
        <v>8.2958663970040175E-2</v>
      </c>
      <c r="CW92" s="40">
        <v>0</v>
      </c>
      <c r="CX92" s="39">
        <v>0.49234163617002102</v>
      </c>
      <c r="CY92" s="40">
        <v>8.3760196955257951E-2</v>
      </c>
      <c r="CZ92" s="39">
        <v>0</v>
      </c>
      <c r="DA92" s="40">
        <v>0</v>
      </c>
      <c r="DB92" s="39">
        <v>0</v>
      </c>
      <c r="DC92" s="38">
        <v>0.65906049709531911</v>
      </c>
      <c r="DE92" s="37" t="s">
        <v>2095</v>
      </c>
      <c r="DF92" s="35" t="str">
        <f t="shared" si="164"/>
        <v>ICAST</v>
      </c>
      <c r="DG92" s="26">
        <f t="shared" si="210"/>
        <v>0</v>
      </c>
      <c r="DH92" s="25">
        <f t="shared" si="210"/>
        <v>0</v>
      </c>
      <c r="DI92" s="24">
        <f t="shared" si="210"/>
        <v>0.92128434782039714</v>
      </c>
      <c r="DJ92" s="25">
        <f t="shared" si="210"/>
        <v>9.6525691443906911</v>
      </c>
      <c r="DK92" s="24">
        <f t="shared" si="210"/>
        <v>0.91713297987527909</v>
      </c>
      <c r="DL92" s="25">
        <f t="shared" si="210"/>
        <v>1.0027150267438636</v>
      </c>
      <c r="DM92" s="24">
        <f t="shared" si="210"/>
        <v>5.7116436204906824</v>
      </c>
      <c r="DN92" s="25">
        <f t="shared" si="210"/>
        <v>1.2575451513749474</v>
      </c>
      <c r="DO92" s="32">
        <f t="shared" si="210"/>
        <v>0</v>
      </c>
      <c r="DP92" s="26">
        <f t="shared" si="165"/>
        <v>0</v>
      </c>
      <c r="DQ92" s="25">
        <f t="shared" si="166"/>
        <v>0</v>
      </c>
      <c r="DR92" s="24">
        <f t="shared" si="167"/>
        <v>1</v>
      </c>
      <c r="DS92" s="25">
        <f t="shared" si="168"/>
        <v>1</v>
      </c>
      <c r="DT92" s="24">
        <f t="shared" si="169"/>
        <v>1</v>
      </c>
      <c r="DU92" s="25">
        <f t="shared" si="170"/>
        <v>0.14472352862675894</v>
      </c>
      <c r="DV92" s="24">
        <f t="shared" si="171"/>
        <v>0.55102052545069291</v>
      </c>
      <c r="DW92" s="25">
        <f t="shared" si="172"/>
        <v>1</v>
      </c>
      <c r="DX92" s="32">
        <f t="shared" si="173"/>
        <v>0</v>
      </c>
      <c r="DZ92" s="54" t="s">
        <v>1923</v>
      </c>
      <c r="EA92" s="39">
        <v>2.8080267789056781E-2</v>
      </c>
      <c r="EB92" s="40">
        <v>1.841326654409783E-2</v>
      </c>
      <c r="EC92" s="39">
        <v>2.5396548362022441E-2</v>
      </c>
      <c r="ED92" s="40">
        <v>2.5758630089419834E-2</v>
      </c>
      <c r="EE92" s="39">
        <v>2.2370679808891604E-2</v>
      </c>
      <c r="EF92" s="40">
        <v>2.2370679808891607E-2</v>
      </c>
      <c r="EG92" s="39">
        <v>2.2370679808891607E-2</v>
      </c>
      <c r="EH92" s="40">
        <v>1.7678529896923829E-2</v>
      </c>
      <c r="EI92" s="66">
        <v>1.7678529896923825E-2</v>
      </c>
      <c r="EO92" s="83" t="s">
        <v>1539</v>
      </c>
      <c r="EP92" s="82" t="s">
        <v>518</v>
      </c>
      <c r="EQ92" s="81">
        <f t="shared" si="174"/>
        <v>32.996436973779794</v>
      </c>
      <c r="ER92" s="80">
        <f>EQ92/SUM(EQ89:EQ97)</f>
        <v>0.11356879596990374</v>
      </c>
      <c r="ET92" s="73" t="s">
        <v>518</v>
      </c>
      <c r="EU92" s="72">
        <v>0.14824200847386612</v>
      </c>
      <c r="EW92" s="37" t="s">
        <v>1539</v>
      </c>
      <c r="EX92" s="36" t="s">
        <v>2087</v>
      </c>
      <c r="EY92" s="36" t="s">
        <v>1145</v>
      </c>
      <c r="EZ92" s="1" t="s">
        <v>1945</v>
      </c>
      <c r="FA92" s="36" t="str">
        <f t="shared" si="175"/>
        <v>INOFAC</v>
      </c>
      <c r="FB92" s="1" t="s">
        <v>519</v>
      </c>
      <c r="FC92" s="26">
        <f t="shared" si="176"/>
        <v>23.759101302549464</v>
      </c>
      <c r="FD92" s="25">
        <f t="shared" si="177"/>
        <v>2.1997324446519455</v>
      </c>
      <c r="FE92" s="24">
        <f t="shared" si="178"/>
        <v>9.2584833771296893E-2</v>
      </c>
      <c r="FF92" s="36">
        <v>0</v>
      </c>
      <c r="FG92" s="86">
        <f t="shared" si="179"/>
        <v>0</v>
      </c>
    </row>
    <row r="93" spans="1:163">
      <c r="A93" s="37" t="s">
        <v>2075</v>
      </c>
      <c r="B93" s="36" t="s">
        <v>1107</v>
      </c>
      <c r="C93" s="1" t="s">
        <v>1111</v>
      </c>
      <c r="D93" s="36" t="s">
        <v>1111</v>
      </c>
      <c r="E93" s="36" t="s">
        <v>2094</v>
      </c>
      <c r="F93" s="1" t="e">
        <f t="shared" ca="1" si="159"/>
        <v>#NAME?</v>
      </c>
      <c r="G93" s="35" t="s">
        <v>1109</v>
      </c>
      <c r="H93" s="34">
        <f>1-I93</f>
        <v>0.48901213487462869</v>
      </c>
      <c r="I93" s="33">
        <v>0.51098786512537131</v>
      </c>
      <c r="J93" s="26">
        <v>0</v>
      </c>
      <c r="K93" s="25">
        <v>2.7425575586949236E-2</v>
      </c>
      <c r="L93" s="24"/>
      <c r="M93" s="25"/>
      <c r="N93" s="24"/>
      <c r="O93" s="25"/>
      <c r="P93" s="24"/>
      <c r="Q93" s="25"/>
      <c r="R93" s="32"/>
      <c r="S93" s="31" t="e">
        <v>#REF!</v>
      </c>
      <c r="T93" s="29" t="e">
        <f t="shared" si="214"/>
        <v>#REF!</v>
      </c>
      <c r="U93" s="30" t="e">
        <f t="shared" si="214"/>
        <v>#REF!</v>
      </c>
      <c r="V93" s="29" t="e">
        <f t="shared" si="214"/>
        <v>#REF!</v>
      </c>
      <c r="W93" s="30" t="e">
        <f t="shared" si="214"/>
        <v>#REF!</v>
      </c>
      <c r="X93" s="29" t="e">
        <f t="shared" si="214"/>
        <v>#REF!</v>
      </c>
      <c r="Y93" s="30" t="e">
        <f t="shared" si="214"/>
        <v>#REF!</v>
      </c>
      <c r="Z93" s="29" t="e">
        <f t="shared" si="214"/>
        <v>#REF!</v>
      </c>
      <c r="AA93" s="28" t="e">
        <f t="shared" si="214"/>
        <v>#REF!</v>
      </c>
      <c r="AB93" s="26" t="e">
        <f t="shared" si="215"/>
        <v>#REF!</v>
      </c>
      <c r="AC93" s="25" t="e">
        <f t="shared" si="215"/>
        <v>#REF!</v>
      </c>
      <c r="AD93" s="24" t="e">
        <f t="shared" si="215"/>
        <v>#REF!</v>
      </c>
      <c r="AE93" s="25" t="e">
        <f t="shared" si="215"/>
        <v>#REF!</v>
      </c>
      <c r="AF93" s="24" t="e">
        <f t="shared" si="215"/>
        <v>#REF!</v>
      </c>
      <c r="AG93" s="25" t="e">
        <f t="shared" si="215"/>
        <v>#REF!</v>
      </c>
      <c r="AH93" s="24" t="e">
        <f t="shared" si="215"/>
        <v>#REF!</v>
      </c>
      <c r="AI93" s="25" t="e">
        <f t="shared" si="215"/>
        <v>#REF!</v>
      </c>
      <c r="AJ93" s="24" t="e">
        <f t="shared" si="215"/>
        <v>#REF!</v>
      </c>
      <c r="AK93" s="27" t="e">
        <f t="shared" si="160"/>
        <v>#REF!</v>
      </c>
      <c r="AL93" s="26" t="e">
        <f t="shared" si="216"/>
        <v>#REF!</v>
      </c>
      <c r="AM93" s="25" t="e">
        <f t="shared" si="216"/>
        <v>#REF!</v>
      </c>
      <c r="AN93" s="24" t="e">
        <f t="shared" si="216"/>
        <v>#REF!</v>
      </c>
      <c r="AO93" s="25" t="e">
        <f t="shared" si="216"/>
        <v>#REF!</v>
      </c>
      <c r="AP93" s="24" t="e">
        <f t="shared" si="216"/>
        <v>#REF!</v>
      </c>
      <c r="AQ93" s="25" t="e">
        <f t="shared" si="216"/>
        <v>#REF!</v>
      </c>
      <c r="AR93" s="24" t="e">
        <f t="shared" si="216"/>
        <v>#REF!</v>
      </c>
      <c r="AS93" s="25" t="e">
        <f t="shared" si="216"/>
        <v>#REF!</v>
      </c>
      <c r="AT93" s="24" t="e">
        <f t="shared" si="216"/>
        <v>#REF!</v>
      </c>
      <c r="AU93" s="23" t="e">
        <f>SUM(AL93:AT93)</f>
        <v>#REF!</v>
      </c>
      <c r="AW93" s="51" t="s">
        <v>1282</v>
      </c>
      <c r="AX93" s="7">
        <v>14.655675246007366</v>
      </c>
      <c r="AY93" s="6">
        <v>11.701787827065161</v>
      </c>
      <c r="AZ93" s="5">
        <v>26.751531672592957</v>
      </c>
      <c r="BA93" s="6">
        <v>5.7141005560069811</v>
      </c>
      <c r="BB93" s="5">
        <v>276.06027553346769</v>
      </c>
      <c r="BC93" s="6">
        <v>150.24986429554087</v>
      </c>
      <c r="BD93" s="5">
        <v>117.70704127351154</v>
      </c>
      <c r="BE93" s="6">
        <v>9.4341286208250494</v>
      </c>
      <c r="BF93" s="5">
        <v>71.178857797192777</v>
      </c>
      <c r="BG93" s="77">
        <v>683.45326282221049</v>
      </c>
      <c r="BH93" s="59">
        <v>34.299856231419199</v>
      </c>
      <c r="BJ93" s="37" t="s">
        <v>1477</v>
      </c>
      <c r="BK93" s="36" t="s">
        <v>2062</v>
      </c>
      <c r="BL93" s="1" t="s">
        <v>1123</v>
      </c>
      <c r="BM93" s="36" t="s">
        <v>1935</v>
      </c>
      <c r="BN93" s="82" t="str">
        <f t="shared" si="207"/>
        <v>IPOPRH</v>
      </c>
      <c r="BO93" s="26">
        <f t="shared" si="208"/>
        <v>1.3670927048036945</v>
      </c>
      <c r="BP93" s="25">
        <f t="shared" si="208"/>
        <v>1.2062582689444363</v>
      </c>
      <c r="BQ93" s="24">
        <f t="shared" si="208"/>
        <v>9.9114957093333995</v>
      </c>
      <c r="BR93" s="25">
        <f t="shared" si="208"/>
        <v>1.8979459868936295</v>
      </c>
      <c r="BS93" s="24">
        <f t="shared" si="208"/>
        <v>4.9480170414699209</v>
      </c>
      <c r="BT93" s="25">
        <f t="shared" si="208"/>
        <v>2.8730421531115673</v>
      </c>
      <c r="BU93" s="24">
        <f t="shared" si="208"/>
        <v>2.0749748883583541</v>
      </c>
      <c r="BV93" s="25">
        <f t="shared" si="208"/>
        <v>0.20125389730908894</v>
      </c>
      <c r="BW93" s="32">
        <f t="shared" si="208"/>
        <v>1.5597177041454393</v>
      </c>
      <c r="BX93" s="26">
        <f t="shared" ref="BX93:CF93" si="219">BO93/BO95</f>
        <v>3.8364444446386897E-2</v>
      </c>
      <c r="BY93" s="25">
        <f t="shared" si="219"/>
        <v>4.7661401507664819E-2</v>
      </c>
      <c r="BZ93" s="24">
        <f t="shared" si="219"/>
        <v>0.33111697517928868</v>
      </c>
      <c r="CA93" s="25">
        <f t="shared" si="219"/>
        <v>0.33038492311982925</v>
      </c>
      <c r="CB93" s="24">
        <f t="shared" si="219"/>
        <v>0.19809191104268614</v>
      </c>
      <c r="CC93" s="25">
        <f t="shared" si="219"/>
        <v>0.17832239498640456</v>
      </c>
      <c r="CD93" s="24">
        <f t="shared" si="219"/>
        <v>0.20567087465828718</v>
      </c>
      <c r="CE93" s="25">
        <f t="shared" si="219"/>
        <v>0.19822340355271575</v>
      </c>
      <c r="CF93" s="32">
        <f t="shared" si="219"/>
        <v>0.18333617940151009</v>
      </c>
      <c r="CH93" s="54" t="s">
        <v>2093</v>
      </c>
      <c r="CI93" s="41">
        <v>5.6304834633828169E-2</v>
      </c>
      <c r="CJ93" s="40">
        <v>5.6304834633828162E-2</v>
      </c>
      <c r="CK93" s="39">
        <v>5.9643905388491451E-2</v>
      </c>
      <c r="CL93" s="40">
        <v>5.9643905388491451E-2</v>
      </c>
      <c r="CM93" s="39">
        <v>5.903416573379671E-2</v>
      </c>
      <c r="CN93" s="40">
        <v>5.9034165733796717E-2</v>
      </c>
      <c r="CO93" s="39">
        <v>5.8255532297394025E-2</v>
      </c>
      <c r="CP93" s="40">
        <v>6.0044108375186131E-2</v>
      </c>
      <c r="CQ93" s="66">
        <v>6.0044108375186124E-2</v>
      </c>
      <c r="CS93" s="54" t="s">
        <v>1877</v>
      </c>
      <c r="CT93" s="39">
        <v>0.10331819713068111</v>
      </c>
      <c r="CU93" s="40">
        <v>0.28440023621241878</v>
      </c>
      <c r="CV93" s="39">
        <v>2.696785070606639</v>
      </c>
      <c r="CW93" s="40">
        <v>1.8265966517295276</v>
      </c>
      <c r="CX93" s="39">
        <v>1.2924621068286009</v>
      </c>
      <c r="CY93" s="40">
        <v>1.1265689865498618</v>
      </c>
      <c r="CZ93" s="39">
        <v>3.9137033178921699</v>
      </c>
      <c r="DA93" s="40">
        <v>0.15886399494239714</v>
      </c>
      <c r="DB93" s="39">
        <v>9.9614960619669485E-2</v>
      </c>
      <c r="DC93" s="38">
        <v>11.502313522511965</v>
      </c>
      <c r="DE93" s="37" t="s">
        <v>2092</v>
      </c>
      <c r="DF93" s="35" t="str">
        <f t="shared" si="164"/>
        <v>ICAST</v>
      </c>
      <c r="DG93" s="26">
        <f t="shared" si="210"/>
        <v>0</v>
      </c>
      <c r="DH93" s="25">
        <f t="shared" si="210"/>
        <v>0</v>
      </c>
      <c r="DI93" s="24">
        <f t="shared" si="210"/>
        <v>0</v>
      </c>
      <c r="DJ93" s="25">
        <f t="shared" si="210"/>
        <v>0</v>
      </c>
      <c r="DK93" s="24">
        <f t="shared" si="210"/>
        <v>0</v>
      </c>
      <c r="DL93" s="25">
        <f t="shared" si="210"/>
        <v>5.9257715590818547</v>
      </c>
      <c r="DM93" s="24">
        <f t="shared" si="210"/>
        <v>4.6539296325546404</v>
      </c>
      <c r="DN93" s="25">
        <f t="shared" si="210"/>
        <v>0</v>
      </c>
      <c r="DO93" s="32">
        <f t="shared" si="210"/>
        <v>0</v>
      </c>
      <c r="DP93" s="26">
        <f t="shared" si="165"/>
        <v>0</v>
      </c>
      <c r="DQ93" s="25">
        <f t="shared" si="166"/>
        <v>0</v>
      </c>
      <c r="DR93" s="24">
        <f t="shared" si="167"/>
        <v>0</v>
      </c>
      <c r="DS93" s="25">
        <f t="shared" si="168"/>
        <v>0</v>
      </c>
      <c r="DT93" s="24">
        <f t="shared" si="169"/>
        <v>0</v>
      </c>
      <c r="DU93" s="25">
        <f t="shared" si="170"/>
        <v>0.85527647137324114</v>
      </c>
      <c r="DV93" s="24">
        <f t="shared" si="171"/>
        <v>0.44897947454930703</v>
      </c>
      <c r="DW93" s="25">
        <f t="shared" si="172"/>
        <v>0</v>
      </c>
      <c r="DX93" s="32">
        <f t="shared" si="173"/>
        <v>0</v>
      </c>
      <c r="DZ93" s="54" t="s">
        <v>1918</v>
      </c>
      <c r="EA93" s="39">
        <v>0</v>
      </c>
      <c r="EB93" s="40">
        <v>0.34426314298634642</v>
      </c>
      <c r="EC93" s="39">
        <v>0.34829552039345052</v>
      </c>
      <c r="ED93" s="40">
        <v>0.35326121265490046</v>
      </c>
      <c r="EE93" s="39">
        <v>0.30679789452194201</v>
      </c>
      <c r="EF93" s="40">
        <v>0.30679789452194201</v>
      </c>
      <c r="EG93" s="39">
        <v>0.30679789452194201</v>
      </c>
      <c r="EH93" s="40">
        <v>0.24244841001495532</v>
      </c>
      <c r="EI93" s="66">
        <v>0.24244841001495529</v>
      </c>
      <c r="EO93" s="83" t="s">
        <v>1539</v>
      </c>
      <c r="EP93" s="82" t="s">
        <v>517</v>
      </c>
      <c r="EQ93" s="81">
        <f t="shared" si="174"/>
        <v>28.178747619163488</v>
      </c>
      <c r="ER93" s="80">
        <f>EQ93/SUM(EQ89:EQ97)</f>
        <v>9.6987030496389931E-2</v>
      </c>
      <c r="ET93" s="73" t="s">
        <v>517</v>
      </c>
      <c r="EU93" s="72">
        <v>6.3502385382402882E-2</v>
      </c>
      <c r="EW93" s="37" t="s">
        <v>1539</v>
      </c>
      <c r="EX93" s="36" t="s">
        <v>2087</v>
      </c>
      <c r="EY93" s="36" t="s">
        <v>1145</v>
      </c>
      <c r="EZ93" s="1" t="s">
        <v>1945</v>
      </c>
      <c r="FA93" s="36" t="str">
        <f t="shared" si="175"/>
        <v>INOFAC</v>
      </c>
      <c r="FB93" s="1" t="s">
        <v>520</v>
      </c>
      <c r="FC93" s="26">
        <f t="shared" si="176"/>
        <v>82.211642829874165</v>
      </c>
      <c r="FD93" s="25">
        <f t="shared" si="177"/>
        <v>7.6418757039237351</v>
      </c>
      <c r="FE93" s="24">
        <f t="shared" si="178"/>
        <v>9.2953691726335635E-2</v>
      </c>
      <c r="FF93" s="36">
        <v>0</v>
      </c>
      <c r="FG93" s="86">
        <f t="shared" si="179"/>
        <v>0</v>
      </c>
    </row>
    <row r="94" spans="1:163">
      <c r="A94" s="37" t="s">
        <v>2075</v>
      </c>
      <c r="B94" s="36" t="s">
        <v>1107</v>
      </c>
      <c r="C94" s="1" t="s">
        <v>1106</v>
      </c>
      <c r="D94" s="36" t="s">
        <v>1106</v>
      </c>
      <c r="E94" s="36" t="s">
        <v>2091</v>
      </c>
      <c r="F94" s="1" t="e">
        <f t="shared" ca="1" si="159"/>
        <v>#NAME?</v>
      </c>
      <c r="G94" s="35" t="s">
        <v>1104</v>
      </c>
      <c r="H94" s="43">
        <v>1</v>
      </c>
      <c r="I94" s="42">
        <v>0</v>
      </c>
      <c r="J94" s="26">
        <v>0</v>
      </c>
      <c r="K94" s="25">
        <v>0</v>
      </c>
      <c r="L94" s="24"/>
      <c r="M94" s="25"/>
      <c r="N94" s="24"/>
      <c r="O94" s="25"/>
      <c r="P94" s="24"/>
      <c r="Q94" s="25"/>
      <c r="R94" s="32"/>
      <c r="S94" s="31" t="e">
        <v>#REF!</v>
      </c>
      <c r="T94" s="29" t="e">
        <f t="shared" si="214"/>
        <v>#REF!</v>
      </c>
      <c r="U94" s="30" t="e">
        <f t="shared" si="214"/>
        <v>#REF!</v>
      </c>
      <c r="V94" s="29" t="e">
        <f t="shared" si="214"/>
        <v>#REF!</v>
      </c>
      <c r="W94" s="30" t="e">
        <f t="shared" si="214"/>
        <v>#REF!</v>
      </c>
      <c r="X94" s="29" t="e">
        <f t="shared" si="214"/>
        <v>#REF!</v>
      </c>
      <c r="Y94" s="30" t="e">
        <f t="shared" si="214"/>
        <v>#REF!</v>
      </c>
      <c r="Z94" s="29" t="e">
        <f t="shared" si="214"/>
        <v>#REF!</v>
      </c>
      <c r="AA94" s="28" t="e">
        <f t="shared" si="214"/>
        <v>#REF!</v>
      </c>
      <c r="AB94" s="26" t="e">
        <f t="shared" ref="AB94:AJ97" si="220">J94*$H94*S94</f>
        <v>#REF!</v>
      </c>
      <c r="AC94" s="25" t="e">
        <f t="shared" si="220"/>
        <v>#REF!</v>
      </c>
      <c r="AD94" s="24" t="e">
        <f t="shared" si="220"/>
        <v>#REF!</v>
      </c>
      <c r="AE94" s="25" t="e">
        <f t="shared" si="220"/>
        <v>#REF!</v>
      </c>
      <c r="AF94" s="24" t="e">
        <f t="shared" si="220"/>
        <v>#REF!</v>
      </c>
      <c r="AG94" s="25" t="e">
        <f t="shared" si="220"/>
        <v>#REF!</v>
      </c>
      <c r="AH94" s="24" t="e">
        <f t="shared" si="220"/>
        <v>#REF!</v>
      </c>
      <c r="AI94" s="25" t="e">
        <f t="shared" si="220"/>
        <v>#REF!</v>
      </c>
      <c r="AJ94" s="24" t="e">
        <f t="shared" si="220"/>
        <v>#REF!</v>
      </c>
      <c r="AK94" s="27" t="e">
        <f t="shared" si="160"/>
        <v>#REF!</v>
      </c>
      <c r="AL94" s="41">
        <v>0</v>
      </c>
      <c r="AM94" s="40">
        <v>0</v>
      </c>
      <c r="AN94" s="39">
        <v>0</v>
      </c>
      <c r="AO94" s="40">
        <v>0</v>
      </c>
      <c r="AP94" s="39">
        <v>0</v>
      </c>
      <c r="AQ94" s="40">
        <v>0</v>
      </c>
      <c r="AR94" s="39">
        <v>0</v>
      </c>
      <c r="AS94" s="40">
        <v>0</v>
      </c>
      <c r="AT94" s="39">
        <v>0</v>
      </c>
      <c r="AU94" s="38">
        <v>0</v>
      </c>
      <c r="AW94" s="100" t="s">
        <v>1150</v>
      </c>
      <c r="AX94" s="41">
        <v>4.7796169924384124E-2</v>
      </c>
      <c r="AY94" s="40">
        <v>4.2173091109750697E-2</v>
      </c>
      <c r="AZ94" s="39">
        <v>0.13591784791942513</v>
      </c>
      <c r="BA94" s="40">
        <v>2.6026821942017574E-2</v>
      </c>
      <c r="BB94" s="39">
        <v>0.29689856141264487</v>
      </c>
      <c r="BC94" s="40">
        <v>0.17239271307830994</v>
      </c>
      <c r="BD94" s="39">
        <v>0.12450584833433496</v>
      </c>
      <c r="BE94" s="40">
        <v>2.4677283026505549E-2</v>
      </c>
      <c r="BF94" s="39">
        <v>0.19124894345541804</v>
      </c>
      <c r="BG94" s="81">
        <v>1.0616372802027909</v>
      </c>
      <c r="BH94" s="66">
        <v>0</v>
      </c>
      <c r="BJ94" s="37" t="s">
        <v>1477</v>
      </c>
      <c r="BK94" s="36" t="s">
        <v>2062</v>
      </c>
      <c r="BL94" s="1" t="s">
        <v>1107</v>
      </c>
      <c r="BM94" s="36" t="s">
        <v>1937</v>
      </c>
      <c r="BN94" s="82" t="str">
        <f t="shared" si="207"/>
        <v>IPOSTM</v>
      </c>
      <c r="BO94" s="26">
        <f t="shared" si="208"/>
        <v>11.516908173617241</v>
      </c>
      <c r="BP94" s="25">
        <f t="shared" si="208"/>
        <v>3.8772157282907838</v>
      </c>
      <c r="BQ94" s="24">
        <f t="shared" si="208"/>
        <v>2.6267172425130521</v>
      </c>
      <c r="BR94" s="25">
        <f t="shared" si="208"/>
        <v>0.49469753999458338</v>
      </c>
      <c r="BS94" s="24">
        <f t="shared" si="208"/>
        <v>1.5031875731791615</v>
      </c>
      <c r="BT94" s="25">
        <f t="shared" si="208"/>
        <v>2.081744732450725</v>
      </c>
      <c r="BU94" s="24">
        <f t="shared" si="208"/>
        <v>0.42932235459210089</v>
      </c>
      <c r="BV94" s="25">
        <f t="shared" si="208"/>
        <v>0.10649281615486594</v>
      </c>
      <c r="BW94" s="32">
        <f t="shared" si="208"/>
        <v>1.4642542440364177</v>
      </c>
      <c r="BX94" s="26">
        <f t="shared" ref="BX94:CF94" si="221">BO94/BO95</f>
        <v>0.32319665101594047</v>
      </c>
      <c r="BY94" s="25">
        <f t="shared" si="221"/>
        <v>0.15319566324681685</v>
      </c>
      <c r="BZ94" s="24">
        <f t="shared" si="221"/>
        <v>8.7751707058015688E-2</v>
      </c>
      <c r="CA94" s="25">
        <f t="shared" si="221"/>
        <v>8.6114467875970768E-2</v>
      </c>
      <c r="CB94" s="24">
        <f t="shared" si="221"/>
        <v>6.0179521721739779E-2</v>
      </c>
      <c r="CC94" s="25">
        <f t="shared" si="221"/>
        <v>0.12920858332652865</v>
      </c>
      <c r="CD94" s="24">
        <f t="shared" si="221"/>
        <v>4.2554300138625677E-2</v>
      </c>
      <c r="CE94" s="25">
        <f t="shared" si="221"/>
        <v>0.10488924067746651</v>
      </c>
      <c r="CF94" s="32">
        <f t="shared" si="221"/>
        <v>0.17211497828138453</v>
      </c>
      <c r="CH94" s="54" t="s">
        <v>2090</v>
      </c>
      <c r="CI94" s="41">
        <v>0</v>
      </c>
      <c r="CJ94" s="40">
        <v>0</v>
      </c>
      <c r="CK94" s="39">
        <v>0</v>
      </c>
      <c r="CL94" s="40">
        <v>0</v>
      </c>
      <c r="CM94" s="39">
        <v>0</v>
      </c>
      <c r="CN94" s="40">
        <v>0</v>
      </c>
      <c r="CO94" s="39">
        <v>0</v>
      </c>
      <c r="CP94" s="40">
        <v>0</v>
      </c>
      <c r="CQ94" s="66">
        <v>0</v>
      </c>
      <c r="CS94" s="54" t="s">
        <v>1875</v>
      </c>
      <c r="CT94" s="39">
        <v>4.1368382068250338E-2</v>
      </c>
      <c r="CU94" s="40">
        <v>0.11387323780974329</v>
      </c>
      <c r="CV94" s="39">
        <v>1.0597337086679444</v>
      </c>
      <c r="CW94" s="40">
        <v>0.7177828389350831</v>
      </c>
      <c r="CX94" s="39">
        <v>1.0170440015116784</v>
      </c>
      <c r="CY94" s="40">
        <v>0.88650199027581478</v>
      </c>
      <c r="CZ94" s="39">
        <v>3.0797100062961027</v>
      </c>
      <c r="DA94" s="40">
        <v>3.816527943099824E-2</v>
      </c>
      <c r="DB94" s="39">
        <v>2.3931368520199222E-2</v>
      </c>
      <c r="DC94" s="38">
        <v>6.9781108135158147</v>
      </c>
      <c r="DE94" s="37" t="s">
        <v>1800</v>
      </c>
      <c r="DF94" s="35" t="str">
        <f t="shared" si="164"/>
        <v>INCST</v>
      </c>
      <c r="DG94" s="26">
        <f t="shared" si="210"/>
        <v>0</v>
      </c>
      <c r="DH94" s="25">
        <f t="shared" si="210"/>
        <v>0</v>
      </c>
      <c r="DI94" s="24">
        <f t="shared" si="210"/>
        <v>0</v>
      </c>
      <c r="DJ94" s="25">
        <f t="shared" si="210"/>
        <v>0</v>
      </c>
      <c r="DK94" s="24">
        <f t="shared" si="210"/>
        <v>0</v>
      </c>
      <c r="DL94" s="25">
        <f t="shared" si="210"/>
        <v>0</v>
      </c>
      <c r="DM94" s="24">
        <f t="shared" si="210"/>
        <v>0</v>
      </c>
      <c r="DN94" s="25">
        <f t="shared" si="210"/>
        <v>0</v>
      </c>
      <c r="DO94" s="32">
        <f t="shared" si="210"/>
        <v>0</v>
      </c>
      <c r="DP94" s="26">
        <f t="shared" si="165"/>
        <v>0</v>
      </c>
      <c r="DQ94" s="25">
        <f t="shared" si="166"/>
        <v>0</v>
      </c>
      <c r="DR94" s="24">
        <f t="shared" si="167"/>
        <v>0</v>
      </c>
      <c r="DS94" s="25">
        <f t="shared" si="168"/>
        <v>0</v>
      </c>
      <c r="DT94" s="24">
        <f t="shared" si="169"/>
        <v>0</v>
      </c>
      <c r="DU94" s="25">
        <f t="shared" si="170"/>
        <v>0</v>
      </c>
      <c r="DV94" s="24">
        <f t="shared" si="171"/>
        <v>0</v>
      </c>
      <c r="DW94" s="25">
        <f t="shared" si="172"/>
        <v>0</v>
      </c>
      <c r="DX94" s="32">
        <f t="shared" si="173"/>
        <v>0</v>
      </c>
      <c r="DZ94" s="54" t="s">
        <v>1522</v>
      </c>
      <c r="EA94" s="39">
        <v>3.3490383350895554E-3</v>
      </c>
      <c r="EB94" s="40">
        <v>3.3490383350895559E-3</v>
      </c>
      <c r="EC94" s="39">
        <v>2.8784566030521739E-3</v>
      </c>
      <c r="ED94" s="40">
        <v>2.8784566030521735E-3</v>
      </c>
      <c r="EE94" s="39">
        <v>2.5074577382736017E-2</v>
      </c>
      <c r="EF94" s="40">
        <v>2.5074577382736014E-2</v>
      </c>
      <c r="EG94" s="39">
        <v>2.5074577382736014E-2</v>
      </c>
      <c r="EH94" s="40">
        <v>1.6852382131241562E-2</v>
      </c>
      <c r="EI94" s="66">
        <v>1.6852382131241562E-2</v>
      </c>
      <c r="EO94" s="83" t="s">
        <v>1539</v>
      </c>
      <c r="EP94" s="82" t="s">
        <v>519</v>
      </c>
      <c r="EQ94" s="81">
        <f t="shared" si="174"/>
        <v>23.759101302549464</v>
      </c>
      <c r="ER94" s="80">
        <f>EQ94/SUM(EQ89:EQ97)</f>
        <v>8.1775269566277078E-2</v>
      </c>
      <c r="ET94" s="73" t="s">
        <v>519</v>
      </c>
      <c r="EU94" s="72">
        <v>5.4916438456159268E-2</v>
      </c>
      <c r="EW94" s="37" t="s">
        <v>1539</v>
      </c>
      <c r="EX94" s="36" t="s">
        <v>2087</v>
      </c>
      <c r="EY94" s="36" t="s">
        <v>1107</v>
      </c>
      <c r="EZ94" s="87" t="s">
        <v>1937</v>
      </c>
      <c r="FA94" s="36" t="str">
        <f t="shared" si="175"/>
        <v>INOSTM</v>
      </c>
      <c r="FB94" s="1" t="s">
        <v>521</v>
      </c>
      <c r="FC94" s="26">
        <f t="shared" si="176"/>
        <v>28.847202153789933</v>
      </c>
      <c r="FD94" s="25">
        <f t="shared" si="177"/>
        <v>1.687486853645511</v>
      </c>
      <c r="FE94" s="24">
        <f t="shared" si="178"/>
        <v>5.8497418385644366E-2</v>
      </c>
      <c r="FF94" s="36">
        <v>0</v>
      </c>
      <c r="FG94" s="86">
        <f t="shared" si="179"/>
        <v>0</v>
      </c>
    </row>
    <row r="95" spans="1:163">
      <c r="A95" s="37" t="s">
        <v>2075</v>
      </c>
      <c r="B95" s="36" t="s">
        <v>1107</v>
      </c>
      <c r="C95" s="1" t="s">
        <v>1106</v>
      </c>
      <c r="D95" s="36" t="s">
        <v>1106</v>
      </c>
      <c r="E95" s="36" t="s">
        <v>2089</v>
      </c>
      <c r="F95" s="1" t="e">
        <f t="shared" ca="1" si="159"/>
        <v>#NAME?</v>
      </c>
      <c r="G95" s="35" t="s">
        <v>1104</v>
      </c>
      <c r="H95" s="43">
        <v>1</v>
      </c>
      <c r="I95" s="42">
        <v>0</v>
      </c>
      <c r="J95" s="26">
        <v>0</v>
      </c>
      <c r="K95" s="25">
        <v>0</v>
      </c>
      <c r="L95" s="24"/>
      <c r="M95" s="25"/>
      <c r="N95" s="24"/>
      <c r="O95" s="25"/>
      <c r="P95" s="24"/>
      <c r="Q95" s="25"/>
      <c r="R95" s="32"/>
      <c r="S95" s="31" t="e">
        <v>#REF!</v>
      </c>
      <c r="T95" s="29" t="e">
        <f t="shared" si="214"/>
        <v>#REF!</v>
      </c>
      <c r="U95" s="30" t="e">
        <f t="shared" si="214"/>
        <v>#REF!</v>
      </c>
      <c r="V95" s="29" t="e">
        <f t="shared" si="214"/>
        <v>#REF!</v>
      </c>
      <c r="W95" s="30" t="e">
        <f t="shared" si="214"/>
        <v>#REF!</v>
      </c>
      <c r="X95" s="29" t="e">
        <f t="shared" si="214"/>
        <v>#REF!</v>
      </c>
      <c r="Y95" s="30" t="e">
        <f t="shared" si="214"/>
        <v>#REF!</v>
      </c>
      <c r="Z95" s="29" t="e">
        <f t="shared" si="214"/>
        <v>#REF!</v>
      </c>
      <c r="AA95" s="28" t="e">
        <f t="shared" si="214"/>
        <v>#REF!</v>
      </c>
      <c r="AB95" s="26" t="e">
        <f t="shared" si="220"/>
        <v>#REF!</v>
      </c>
      <c r="AC95" s="25" t="e">
        <f t="shared" si="220"/>
        <v>#REF!</v>
      </c>
      <c r="AD95" s="24" t="e">
        <f t="shared" si="220"/>
        <v>#REF!</v>
      </c>
      <c r="AE95" s="25" t="e">
        <f t="shared" si="220"/>
        <v>#REF!</v>
      </c>
      <c r="AF95" s="24" t="e">
        <f t="shared" si="220"/>
        <v>#REF!</v>
      </c>
      <c r="AG95" s="25" t="e">
        <f t="shared" si="220"/>
        <v>#REF!</v>
      </c>
      <c r="AH95" s="24" t="e">
        <f t="shared" si="220"/>
        <v>#REF!</v>
      </c>
      <c r="AI95" s="25" t="e">
        <f t="shared" si="220"/>
        <v>#REF!</v>
      </c>
      <c r="AJ95" s="24" t="e">
        <f t="shared" si="220"/>
        <v>#REF!</v>
      </c>
      <c r="AK95" s="27" t="e">
        <f t="shared" si="160"/>
        <v>#REF!</v>
      </c>
      <c r="AL95" s="41">
        <v>0</v>
      </c>
      <c r="AM95" s="40">
        <v>0</v>
      </c>
      <c r="AN95" s="39">
        <v>0</v>
      </c>
      <c r="AO95" s="40">
        <v>0</v>
      </c>
      <c r="AP95" s="39">
        <v>0</v>
      </c>
      <c r="AQ95" s="40">
        <v>0</v>
      </c>
      <c r="AR95" s="39">
        <v>0</v>
      </c>
      <c r="AS95" s="40">
        <v>0</v>
      </c>
      <c r="AT95" s="39">
        <v>0</v>
      </c>
      <c r="AU95" s="38">
        <v>0</v>
      </c>
      <c r="AW95" s="100" t="s">
        <v>1145</v>
      </c>
      <c r="AX95" s="41">
        <v>0.30974382010956242</v>
      </c>
      <c r="AY95" s="40">
        <v>0.27330337068490806</v>
      </c>
      <c r="AZ95" s="39">
        <v>0.84577592951801051</v>
      </c>
      <c r="BA95" s="40">
        <v>0.16195709288642751</v>
      </c>
      <c r="BB95" s="39">
        <v>2.5698213275455357</v>
      </c>
      <c r="BC95" s="40">
        <v>1.4921543192199886</v>
      </c>
      <c r="BD95" s="39">
        <v>1.0776670083255475</v>
      </c>
      <c r="BE95" s="40">
        <v>0.26994835150601454</v>
      </c>
      <c r="BF95" s="39">
        <v>2.0920997241716126</v>
      </c>
      <c r="BG95" s="81">
        <v>9.0924709439676086</v>
      </c>
      <c r="BH95" s="66">
        <v>0</v>
      </c>
      <c r="BJ95" s="22" t="s">
        <v>1477</v>
      </c>
      <c r="BK95" s="20" t="s">
        <v>2062</v>
      </c>
      <c r="BL95" s="21" t="s">
        <v>1027</v>
      </c>
      <c r="BM95" s="20"/>
      <c r="BN95" s="78"/>
      <c r="BO95" s="11">
        <f t="shared" ref="BO95:BW95" si="222">GETPIVOTDATA("Sum of "&amp;BO$1&amp;" (Out)",$AW$6,"Sub-Sector",$BJ95)</f>
        <v>35.634367303667425</v>
      </c>
      <c r="BP95" s="10">
        <f t="shared" si="222"/>
        <v>25.308913099218202</v>
      </c>
      <c r="BQ95" s="9">
        <f t="shared" si="222"/>
        <v>29.933517313531446</v>
      </c>
      <c r="BR95" s="10">
        <f t="shared" si="222"/>
        <v>5.7446507212596147</v>
      </c>
      <c r="BS95" s="9">
        <f t="shared" si="222"/>
        <v>24.978390159523929</v>
      </c>
      <c r="BT95" s="10">
        <f t="shared" si="222"/>
        <v>16.111504970144722</v>
      </c>
      <c r="BU95" s="9">
        <f t="shared" si="222"/>
        <v>10.088812486482739</v>
      </c>
      <c r="BV95" s="10">
        <f t="shared" si="222"/>
        <v>1.0152882742504583</v>
      </c>
      <c r="BW95" s="16">
        <f t="shared" si="222"/>
        <v>8.5074190442772597</v>
      </c>
      <c r="BX95" s="11"/>
      <c r="BY95" s="6"/>
      <c r="BZ95" s="5"/>
      <c r="CA95" s="6"/>
      <c r="CB95" s="5"/>
      <c r="CC95" s="6"/>
      <c r="CD95" s="5"/>
      <c r="CE95" s="6"/>
      <c r="CF95" s="59"/>
      <c r="CH95" s="54" t="s">
        <v>2088</v>
      </c>
      <c r="CI95" s="41">
        <v>6.2000620804084861E-2</v>
      </c>
      <c r="CJ95" s="40">
        <v>6.2000620804084854E-2</v>
      </c>
      <c r="CK95" s="39">
        <v>7.4652030732101957E-2</v>
      </c>
      <c r="CL95" s="40">
        <v>7.4652030732101957E-2</v>
      </c>
      <c r="CM95" s="39">
        <v>7.2341787287833109E-2</v>
      </c>
      <c r="CN95" s="40">
        <v>7.2341787287833109E-2</v>
      </c>
      <c r="CO95" s="39">
        <v>7.138763245679107E-2</v>
      </c>
      <c r="CP95" s="40">
        <v>7.6168360397180251E-2</v>
      </c>
      <c r="CQ95" s="66">
        <v>7.6168360397180238E-2</v>
      </c>
      <c r="CS95" s="54" t="s">
        <v>1783</v>
      </c>
      <c r="CT95" s="39">
        <v>0</v>
      </c>
      <c r="CU95" s="40">
        <v>0</v>
      </c>
      <c r="CV95" s="39">
        <v>0</v>
      </c>
      <c r="CW95" s="40">
        <v>0</v>
      </c>
      <c r="CX95" s="39">
        <v>270.89648076900465</v>
      </c>
      <c r="CY95" s="40">
        <v>236.12574185924154</v>
      </c>
      <c r="CZ95" s="39">
        <v>820.3013844579699</v>
      </c>
      <c r="DA95" s="40">
        <v>0</v>
      </c>
      <c r="DB95" s="39">
        <v>0</v>
      </c>
      <c r="DC95" s="38">
        <v>1327.323607086216</v>
      </c>
      <c r="DE95" s="37" t="s">
        <v>1803</v>
      </c>
      <c r="DF95" s="35" t="str">
        <f t="shared" si="164"/>
        <v>INCST</v>
      </c>
      <c r="DG95" s="26">
        <f t="shared" si="210"/>
        <v>0</v>
      </c>
      <c r="DH95" s="25">
        <f t="shared" si="210"/>
        <v>5.9265639808539997E-19</v>
      </c>
      <c r="DI95" s="24">
        <f t="shared" si="210"/>
        <v>2.0363210904890515E-17</v>
      </c>
      <c r="DJ95" s="25">
        <f t="shared" si="210"/>
        <v>0</v>
      </c>
      <c r="DK95" s="24">
        <f t="shared" si="210"/>
        <v>0</v>
      </c>
      <c r="DL95" s="25">
        <f t="shared" si="210"/>
        <v>0</v>
      </c>
      <c r="DM95" s="24">
        <f t="shared" si="210"/>
        <v>0</v>
      </c>
      <c r="DN95" s="25">
        <f t="shared" si="210"/>
        <v>0</v>
      </c>
      <c r="DO95" s="32">
        <f t="shared" si="210"/>
        <v>0</v>
      </c>
      <c r="DP95" s="26">
        <f t="shared" si="165"/>
        <v>0</v>
      </c>
      <c r="DQ95" s="25">
        <f t="shared" si="166"/>
        <v>1</v>
      </c>
      <c r="DR95" s="24">
        <f t="shared" si="167"/>
        <v>1</v>
      </c>
      <c r="DS95" s="25">
        <f t="shared" si="168"/>
        <v>0</v>
      </c>
      <c r="DT95" s="24">
        <f t="shared" si="169"/>
        <v>0</v>
      </c>
      <c r="DU95" s="25">
        <f t="shared" si="170"/>
        <v>0</v>
      </c>
      <c r="DV95" s="24">
        <f t="shared" si="171"/>
        <v>0</v>
      </c>
      <c r="DW95" s="25">
        <f t="shared" si="172"/>
        <v>0</v>
      </c>
      <c r="DX95" s="32">
        <f t="shared" si="173"/>
        <v>0</v>
      </c>
      <c r="DZ95" s="54" t="s">
        <v>1519</v>
      </c>
      <c r="EA95" s="39">
        <v>0.18029639576157117</v>
      </c>
      <c r="EB95" s="40">
        <v>0.18029639576157114</v>
      </c>
      <c r="EC95" s="39">
        <v>0.24966180453814121</v>
      </c>
      <c r="ED95" s="40">
        <v>0.24966180453814124</v>
      </c>
      <c r="EE95" s="39">
        <v>0.974925422617264</v>
      </c>
      <c r="EF95" s="40">
        <v>0.974925422617264</v>
      </c>
      <c r="EG95" s="39">
        <v>0.974925422617264</v>
      </c>
      <c r="EH95" s="40">
        <v>0.30241753544835714</v>
      </c>
      <c r="EI95" s="66">
        <v>0.30241753544835709</v>
      </c>
      <c r="EO95" s="83" t="s">
        <v>1539</v>
      </c>
      <c r="EP95" s="82" t="s">
        <v>520</v>
      </c>
      <c r="EQ95" s="81">
        <f t="shared" si="174"/>
        <v>82.211642829874165</v>
      </c>
      <c r="ER95" s="80">
        <f>EQ95/SUM(EQ89:EQ97)</f>
        <v>0.28296016622388209</v>
      </c>
      <c r="ET95" s="73" t="s">
        <v>520</v>
      </c>
      <c r="EU95" s="72">
        <v>0.19459249398256537</v>
      </c>
      <c r="EW95" s="22" t="s">
        <v>1539</v>
      </c>
      <c r="EX95" s="20" t="s">
        <v>2087</v>
      </c>
      <c r="EY95" s="20" t="s">
        <v>1107</v>
      </c>
      <c r="EZ95" s="85" t="s">
        <v>1937</v>
      </c>
      <c r="FA95" s="20" t="str">
        <f t="shared" si="175"/>
        <v>INOSTM</v>
      </c>
      <c r="FB95" s="78" t="s">
        <v>522</v>
      </c>
      <c r="FC95" s="11">
        <f t="shared" si="176"/>
        <v>17.085665523344243</v>
      </c>
      <c r="FD95" s="10">
        <f t="shared" si="177"/>
        <v>5.5286984479474832E-2</v>
      </c>
      <c r="FE95" s="101">
        <f t="shared" si="178"/>
        <v>3.2358695307441146E-3</v>
      </c>
      <c r="FF95" s="20">
        <v>0</v>
      </c>
      <c r="FG95" s="84">
        <f t="shared" si="179"/>
        <v>0</v>
      </c>
    </row>
    <row r="96" spans="1:163">
      <c r="A96" s="37" t="s">
        <v>2075</v>
      </c>
      <c r="B96" s="36" t="s">
        <v>1107</v>
      </c>
      <c r="C96" s="1" t="s">
        <v>1106</v>
      </c>
      <c r="D96" s="36" t="s">
        <v>1106</v>
      </c>
      <c r="E96" s="36" t="s">
        <v>2086</v>
      </c>
      <c r="F96" s="1" t="e">
        <f t="shared" ca="1" si="159"/>
        <v>#NAME?</v>
      </c>
      <c r="G96" s="35" t="s">
        <v>1104</v>
      </c>
      <c r="H96" s="43">
        <v>1</v>
      </c>
      <c r="I96" s="42">
        <v>0</v>
      </c>
      <c r="J96" s="26">
        <v>0</v>
      </c>
      <c r="K96" s="25">
        <v>0</v>
      </c>
      <c r="L96" s="24"/>
      <c r="M96" s="25"/>
      <c r="N96" s="24"/>
      <c r="O96" s="25"/>
      <c r="P96" s="24"/>
      <c r="Q96" s="25"/>
      <c r="R96" s="32"/>
      <c r="S96" s="31" t="e">
        <v>#REF!</v>
      </c>
      <c r="T96" s="29" t="e">
        <f t="shared" si="214"/>
        <v>#REF!</v>
      </c>
      <c r="U96" s="30" t="e">
        <f t="shared" si="214"/>
        <v>#REF!</v>
      </c>
      <c r="V96" s="29" t="e">
        <f t="shared" si="214"/>
        <v>#REF!</v>
      </c>
      <c r="W96" s="30" t="e">
        <f t="shared" si="214"/>
        <v>#REF!</v>
      </c>
      <c r="X96" s="29" t="e">
        <f t="shared" si="214"/>
        <v>#REF!</v>
      </c>
      <c r="Y96" s="30" t="e">
        <f t="shared" si="214"/>
        <v>#REF!</v>
      </c>
      <c r="Z96" s="29" t="e">
        <f t="shared" si="214"/>
        <v>#REF!</v>
      </c>
      <c r="AA96" s="28" t="e">
        <f t="shared" si="214"/>
        <v>#REF!</v>
      </c>
      <c r="AB96" s="26" t="e">
        <f t="shared" si="220"/>
        <v>#REF!</v>
      </c>
      <c r="AC96" s="25" t="e">
        <f t="shared" si="220"/>
        <v>#REF!</v>
      </c>
      <c r="AD96" s="24" t="e">
        <f t="shared" si="220"/>
        <v>#REF!</v>
      </c>
      <c r="AE96" s="25" t="e">
        <f t="shared" si="220"/>
        <v>#REF!</v>
      </c>
      <c r="AF96" s="24" t="e">
        <f t="shared" si="220"/>
        <v>#REF!</v>
      </c>
      <c r="AG96" s="25" t="e">
        <f t="shared" si="220"/>
        <v>#REF!</v>
      </c>
      <c r="AH96" s="24" t="e">
        <f t="shared" si="220"/>
        <v>#REF!</v>
      </c>
      <c r="AI96" s="25" t="e">
        <f t="shared" si="220"/>
        <v>#REF!</v>
      </c>
      <c r="AJ96" s="24" t="e">
        <f t="shared" si="220"/>
        <v>#REF!</v>
      </c>
      <c r="AK96" s="27" t="e">
        <f t="shared" si="160"/>
        <v>#REF!</v>
      </c>
      <c r="AL96" s="41">
        <v>0</v>
      </c>
      <c r="AM96" s="40">
        <v>0</v>
      </c>
      <c r="AN96" s="39">
        <v>0</v>
      </c>
      <c r="AO96" s="40">
        <v>0</v>
      </c>
      <c r="AP96" s="39">
        <v>0</v>
      </c>
      <c r="AQ96" s="40">
        <v>0</v>
      </c>
      <c r="AR96" s="39">
        <v>0</v>
      </c>
      <c r="AS96" s="40">
        <v>0</v>
      </c>
      <c r="AT96" s="39">
        <v>0</v>
      </c>
      <c r="AU96" s="38">
        <v>0</v>
      </c>
      <c r="AW96" s="100" t="s">
        <v>1139</v>
      </c>
      <c r="AX96" s="41">
        <v>0</v>
      </c>
      <c r="AY96" s="40">
        <v>0</v>
      </c>
      <c r="AZ96" s="39">
        <v>0</v>
      </c>
      <c r="BA96" s="40">
        <v>0</v>
      </c>
      <c r="BB96" s="39">
        <v>0</v>
      </c>
      <c r="BC96" s="40">
        <v>0</v>
      </c>
      <c r="BD96" s="39">
        <v>0</v>
      </c>
      <c r="BE96" s="40">
        <v>0.21025074516467288</v>
      </c>
      <c r="BF96" s="39">
        <v>1.6294432750262149</v>
      </c>
      <c r="BG96" s="81">
        <v>1.8396940201908878</v>
      </c>
      <c r="BH96" s="66">
        <v>0</v>
      </c>
      <c r="BJ96" s="37" t="s">
        <v>1353</v>
      </c>
      <c r="BK96" s="36" t="s">
        <v>2033</v>
      </c>
      <c r="BL96" s="1" t="s">
        <v>1150</v>
      </c>
      <c r="BM96" s="36" t="s">
        <v>1902</v>
      </c>
      <c r="BN96" s="82" t="str">
        <f t="shared" ref="BN96:BN102" si="223">BK96&amp;BM96</f>
        <v>IPAETC</v>
      </c>
      <c r="BO96" s="91">
        <f t="shared" ref="BO96:BW102" si="224">IF(ISERROR(GETPIVOTDATA("Sum of "&amp;BO$1&amp;" (Out)",$AW$6,"Sub-Sector",$BJ96,"End-Use",$BL96)),0,GETPIVOTDATA("Sum of "&amp;BO$1&amp;" (Out)",$AW$6,"Sub-Sector",$BJ96,"End-Use",$BL96))</f>
        <v>0</v>
      </c>
      <c r="BP96" s="89">
        <f t="shared" si="224"/>
        <v>0</v>
      </c>
      <c r="BQ96" s="90">
        <f t="shared" si="224"/>
        <v>0</v>
      </c>
      <c r="BR96" s="89">
        <f t="shared" si="224"/>
        <v>0</v>
      </c>
      <c r="BS96" s="90">
        <f t="shared" si="224"/>
        <v>0</v>
      </c>
      <c r="BT96" s="89">
        <f t="shared" si="224"/>
        <v>0</v>
      </c>
      <c r="BU96" s="90">
        <f t="shared" si="224"/>
        <v>0</v>
      </c>
      <c r="BV96" s="89">
        <f t="shared" si="224"/>
        <v>0</v>
      </c>
      <c r="BW96" s="88">
        <f t="shared" si="224"/>
        <v>0</v>
      </c>
      <c r="BX96" s="26">
        <f t="shared" ref="BX96:CF96" si="225">BO96/BO103</f>
        <v>0</v>
      </c>
      <c r="BY96" s="25">
        <f t="shared" si="225"/>
        <v>0</v>
      </c>
      <c r="BZ96" s="24">
        <f t="shared" si="225"/>
        <v>0</v>
      </c>
      <c r="CA96" s="25">
        <f t="shared" si="225"/>
        <v>0</v>
      </c>
      <c r="CB96" s="24">
        <f t="shared" si="225"/>
        <v>0</v>
      </c>
      <c r="CC96" s="25">
        <f t="shared" si="225"/>
        <v>0</v>
      </c>
      <c r="CD96" s="24">
        <f t="shared" si="225"/>
        <v>0</v>
      </c>
      <c r="CE96" s="25">
        <f t="shared" si="225"/>
        <v>0</v>
      </c>
      <c r="CF96" s="32">
        <f t="shared" si="225"/>
        <v>0</v>
      </c>
      <c r="CH96" s="54" t="s">
        <v>2085</v>
      </c>
      <c r="CI96" s="41">
        <v>0.20457328494522248</v>
      </c>
      <c r="CJ96" s="40">
        <v>0.20457328494522248</v>
      </c>
      <c r="CK96" s="39">
        <v>0.20526605613471482</v>
      </c>
      <c r="CL96" s="40">
        <v>0.2052660561347148</v>
      </c>
      <c r="CM96" s="39">
        <v>0.2051395508591756</v>
      </c>
      <c r="CN96" s="40">
        <v>0.20513955085917565</v>
      </c>
      <c r="CO96" s="39">
        <v>0.20243385473486941</v>
      </c>
      <c r="CP96" s="40">
        <v>0.20534908794790524</v>
      </c>
      <c r="CQ96" s="66">
        <v>0.20534908794790521</v>
      </c>
      <c r="CS96" s="54" t="s">
        <v>1780</v>
      </c>
      <c r="CT96" s="39">
        <v>0</v>
      </c>
      <c r="CU96" s="40">
        <v>0</v>
      </c>
      <c r="CV96" s="39">
        <v>0</v>
      </c>
      <c r="CW96" s="40">
        <v>0</v>
      </c>
      <c r="CX96" s="39">
        <v>21.925311298258926</v>
      </c>
      <c r="CY96" s="40">
        <v>19.111102444371635</v>
      </c>
      <c r="CZ96" s="39">
        <v>66.392014992509303</v>
      </c>
      <c r="DA96" s="40">
        <v>0.69501776865670206</v>
      </c>
      <c r="DB96" s="39">
        <v>0.43580779697634892</v>
      </c>
      <c r="DC96" s="38">
        <v>108.55925430077291</v>
      </c>
      <c r="DE96" s="37" t="s">
        <v>1987</v>
      </c>
      <c r="DF96" s="35" t="str">
        <f t="shared" si="164"/>
        <v>IFDST</v>
      </c>
      <c r="DG96" s="26">
        <f t="shared" si="210"/>
        <v>0</v>
      </c>
      <c r="DH96" s="25">
        <f t="shared" si="210"/>
        <v>7.4069983675223341E-2</v>
      </c>
      <c r="DI96" s="24">
        <f t="shared" si="210"/>
        <v>0.1792834045259043</v>
      </c>
      <c r="DJ96" s="25">
        <f t="shared" si="210"/>
        <v>0.32023497887711372</v>
      </c>
      <c r="DK96" s="24">
        <f t="shared" si="210"/>
        <v>3.2584804177315851E-2</v>
      </c>
      <c r="DL96" s="25">
        <f t="shared" si="210"/>
        <v>0</v>
      </c>
      <c r="DM96" s="24">
        <f t="shared" si="210"/>
        <v>8.2929008657982295E-4</v>
      </c>
      <c r="DN96" s="25">
        <f t="shared" si="210"/>
        <v>4.9121844104149531E-6</v>
      </c>
      <c r="DO96" s="32">
        <f t="shared" si="210"/>
        <v>1.472113652940294E-3</v>
      </c>
      <c r="DP96" s="26">
        <f t="shared" si="165"/>
        <v>0</v>
      </c>
      <c r="DQ96" s="25">
        <f t="shared" si="166"/>
        <v>8.2825682621795443E-3</v>
      </c>
      <c r="DR96" s="24">
        <f t="shared" si="167"/>
        <v>1.9831054166707671E-3</v>
      </c>
      <c r="DS96" s="25">
        <f t="shared" si="168"/>
        <v>2.5963517461389247E-3</v>
      </c>
      <c r="DT96" s="24">
        <f t="shared" si="169"/>
        <v>6.0753089509078546E-4</v>
      </c>
      <c r="DU96" s="25">
        <f t="shared" si="170"/>
        <v>0</v>
      </c>
      <c r="DV96" s="24">
        <f t="shared" si="171"/>
        <v>1.3421556252094627E-4</v>
      </c>
      <c r="DW96" s="25">
        <f t="shared" si="172"/>
        <v>4.511225878262755E-7</v>
      </c>
      <c r="DX96" s="32">
        <f t="shared" si="173"/>
        <v>2.9024085164059417E-5</v>
      </c>
      <c r="DZ96" s="54" t="s">
        <v>1516</v>
      </c>
      <c r="EA96" s="39">
        <v>0.81168031585810185</v>
      </c>
      <c r="EB96" s="40">
        <v>0.81168031585810174</v>
      </c>
      <c r="EC96" s="39">
        <v>0.74745973885880668</v>
      </c>
      <c r="ED96" s="40">
        <v>0.74745973885880657</v>
      </c>
      <c r="EE96" s="39">
        <v>0</v>
      </c>
      <c r="EF96" s="40">
        <v>0</v>
      </c>
      <c r="EG96" s="39">
        <v>0</v>
      </c>
      <c r="EH96" s="40">
        <v>0.68073008242040134</v>
      </c>
      <c r="EI96" s="66">
        <v>0.68073008242040123</v>
      </c>
      <c r="EO96" s="83" t="s">
        <v>1539</v>
      </c>
      <c r="EP96" s="82" t="s">
        <v>521</v>
      </c>
      <c r="EQ96" s="81">
        <f t="shared" si="174"/>
        <v>28.847202153789933</v>
      </c>
      <c r="ER96" s="80">
        <f>EQ96/SUM(EQ89:EQ97)</f>
        <v>9.928775092624946E-2</v>
      </c>
      <c r="ET96" s="73" t="s">
        <v>521</v>
      </c>
      <c r="EU96" s="72">
        <v>0.10858684289582327</v>
      </c>
      <c r="EW96" s="37" t="s">
        <v>1477</v>
      </c>
      <c r="EX96" s="36" t="s">
        <v>2062</v>
      </c>
      <c r="EY96" s="36" t="s">
        <v>1145</v>
      </c>
      <c r="EZ96" s="1" t="s">
        <v>1945</v>
      </c>
      <c r="FA96" s="36" t="str">
        <f t="shared" si="175"/>
        <v>IPOFAC</v>
      </c>
      <c r="FB96" s="35" t="s">
        <v>438</v>
      </c>
      <c r="FC96" s="26">
        <f t="shared" si="176"/>
        <v>35.634367303667425</v>
      </c>
      <c r="FD96" s="25">
        <f t="shared" si="177"/>
        <v>2.6357872662438426</v>
      </c>
      <c r="FE96" s="24">
        <f t="shared" si="178"/>
        <v>7.3967561814197613E-2</v>
      </c>
      <c r="FF96" s="36">
        <v>0</v>
      </c>
      <c r="FG96" s="86">
        <f t="shared" si="179"/>
        <v>0</v>
      </c>
    </row>
    <row r="97" spans="1:163">
      <c r="A97" s="37" t="s">
        <v>2075</v>
      </c>
      <c r="B97" s="36" t="s">
        <v>1107</v>
      </c>
      <c r="C97" s="1" t="s">
        <v>1106</v>
      </c>
      <c r="D97" s="36" t="s">
        <v>1106</v>
      </c>
      <c r="E97" s="36" t="s">
        <v>2084</v>
      </c>
      <c r="F97" s="1" t="e">
        <f t="shared" ca="1" si="159"/>
        <v>#NAME?</v>
      </c>
      <c r="G97" s="35" t="s">
        <v>1104</v>
      </c>
      <c r="H97" s="43">
        <v>1</v>
      </c>
      <c r="I97" s="42">
        <v>0</v>
      </c>
      <c r="J97" s="26">
        <v>4.4480783399999995</v>
      </c>
      <c r="K97" s="25">
        <v>8.2274200319999995</v>
      </c>
      <c r="L97" s="24"/>
      <c r="M97" s="25"/>
      <c r="N97" s="24"/>
      <c r="O97" s="25"/>
      <c r="P97" s="24"/>
      <c r="Q97" s="25"/>
      <c r="R97" s="32"/>
      <c r="S97" s="31" t="e">
        <v>#REF!</v>
      </c>
      <c r="T97" s="29" t="e">
        <f t="shared" si="214"/>
        <v>#REF!</v>
      </c>
      <c r="U97" s="30" t="e">
        <f t="shared" si="214"/>
        <v>#REF!</v>
      </c>
      <c r="V97" s="29" t="e">
        <f t="shared" si="214"/>
        <v>#REF!</v>
      </c>
      <c r="W97" s="30" t="e">
        <f t="shared" si="214"/>
        <v>#REF!</v>
      </c>
      <c r="X97" s="29" t="e">
        <f t="shared" si="214"/>
        <v>#REF!</v>
      </c>
      <c r="Y97" s="30" t="e">
        <f t="shared" si="214"/>
        <v>#REF!</v>
      </c>
      <c r="Z97" s="29" t="e">
        <f t="shared" si="214"/>
        <v>#REF!</v>
      </c>
      <c r="AA97" s="28" t="e">
        <f t="shared" si="214"/>
        <v>#REF!</v>
      </c>
      <c r="AB97" s="26" t="e">
        <f t="shared" si="220"/>
        <v>#REF!</v>
      </c>
      <c r="AC97" s="25" t="e">
        <f t="shared" si="220"/>
        <v>#REF!</v>
      </c>
      <c r="AD97" s="24" t="e">
        <f t="shared" si="220"/>
        <v>#REF!</v>
      </c>
      <c r="AE97" s="25" t="e">
        <f t="shared" si="220"/>
        <v>#REF!</v>
      </c>
      <c r="AF97" s="24" t="e">
        <f t="shared" si="220"/>
        <v>#REF!</v>
      </c>
      <c r="AG97" s="25" t="e">
        <f t="shared" si="220"/>
        <v>#REF!</v>
      </c>
      <c r="AH97" s="24" t="e">
        <f t="shared" si="220"/>
        <v>#REF!</v>
      </c>
      <c r="AI97" s="25" t="e">
        <f t="shared" si="220"/>
        <v>#REF!</v>
      </c>
      <c r="AJ97" s="24" t="e">
        <f t="shared" si="220"/>
        <v>#REF!</v>
      </c>
      <c r="AK97" s="27" t="e">
        <f t="shared" si="160"/>
        <v>#REF!</v>
      </c>
      <c r="AL97" s="41">
        <v>0</v>
      </c>
      <c r="AM97" s="40">
        <v>0</v>
      </c>
      <c r="AN97" s="39">
        <v>0</v>
      </c>
      <c r="AO97" s="40">
        <v>0</v>
      </c>
      <c r="AP97" s="39">
        <v>0</v>
      </c>
      <c r="AQ97" s="40">
        <v>0</v>
      </c>
      <c r="AR97" s="39">
        <v>0</v>
      </c>
      <c r="AS97" s="40">
        <v>0</v>
      </c>
      <c r="AT97" s="39">
        <v>0</v>
      </c>
      <c r="AU97" s="38">
        <v>0</v>
      </c>
      <c r="AW97" s="100" t="s">
        <v>1136</v>
      </c>
      <c r="AX97" s="41">
        <v>2.5356114534881313</v>
      </c>
      <c r="AY97" s="40">
        <v>2.2373042236659981</v>
      </c>
      <c r="AZ97" s="39">
        <v>7.1754701071256388</v>
      </c>
      <c r="BA97" s="40">
        <v>1.3740261907261859</v>
      </c>
      <c r="BB97" s="39">
        <v>15.852392042108546</v>
      </c>
      <c r="BC97" s="40">
        <v>9.2046147341275439</v>
      </c>
      <c r="BD97" s="39">
        <v>6.6477773079810039</v>
      </c>
      <c r="BE97" s="40">
        <v>1.2948276413820667</v>
      </c>
      <c r="BF97" s="39">
        <v>10.034914220711018</v>
      </c>
      <c r="BG97" s="81">
        <v>56.356937921316138</v>
      </c>
      <c r="BH97" s="66">
        <v>0</v>
      </c>
      <c r="BJ97" s="37" t="s">
        <v>1353</v>
      </c>
      <c r="BK97" s="36" t="s">
        <v>2033</v>
      </c>
      <c r="BL97" s="1" t="s">
        <v>1145</v>
      </c>
      <c r="BM97" s="36" t="s">
        <v>1945</v>
      </c>
      <c r="BN97" s="82" t="str">
        <f t="shared" si="223"/>
        <v>IPAFAC</v>
      </c>
      <c r="BO97" s="26">
        <f t="shared" si="224"/>
        <v>1.4575942645611193</v>
      </c>
      <c r="BP97" s="25">
        <f t="shared" si="224"/>
        <v>1.2861125863774583</v>
      </c>
      <c r="BQ97" s="24">
        <f t="shared" si="224"/>
        <v>2.0837572419663015</v>
      </c>
      <c r="BR97" s="25">
        <f t="shared" si="224"/>
        <v>0.39901734420631302</v>
      </c>
      <c r="BS97" s="24">
        <f t="shared" si="224"/>
        <v>2.4789139137912723</v>
      </c>
      <c r="BT97" s="25">
        <f t="shared" si="224"/>
        <v>1.4393693692981584</v>
      </c>
      <c r="BU97" s="24">
        <f t="shared" si="224"/>
        <v>1.0395445444931144</v>
      </c>
      <c r="BV97" s="25">
        <f t="shared" si="224"/>
        <v>0.2563534695455173</v>
      </c>
      <c r="BW97" s="32">
        <f t="shared" si="224"/>
        <v>1.9867393889777591</v>
      </c>
      <c r="BX97" s="26">
        <f t="shared" ref="BX97:CF97" si="226">BO97/BO103</f>
        <v>2.0038727072168274E-2</v>
      </c>
      <c r="BY97" s="25">
        <f t="shared" si="226"/>
        <v>2.1945347883092232E-2</v>
      </c>
      <c r="BZ97" s="24">
        <f t="shared" si="226"/>
        <v>1.6328556092205085E-2</v>
      </c>
      <c r="CA97" s="25">
        <f t="shared" si="226"/>
        <v>1.4572991083090202E-2</v>
      </c>
      <c r="CB97" s="24">
        <f t="shared" si="226"/>
        <v>1.3180644324356765E-2</v>
      </c>
      <c r="CC97" s="25">
        <f t="shared" si="226"/>
        <v>1.4530385135639449E-2</v>
      </c>
      <c r="CD97" s="24">
        <f t="shared" si="226"/>
        <v>1.5228792859846393E-2</v>
      </c>
      <c r="CE97" s="25">
        <f t="shared" si="226"/>
        <v>1.9410428796520399E-2</v>
      </c>
      <c r="CF97" s="32">
        <f t="shared" si="226"/>
        <v>2.8630110326645773E-2</v>
      </c>
      <c r="CH97" s="54" t="s">
        <v>2083</v>
      </c>
      <c r="CI97" s="41">
        <v>0.67712125961686453</v>
      </c>
      <c r="CJ97" s="40">
        <v>0.67712125961686453</v>
      </c>
      <c r="CK97" s="39">
        <v>0.66043800774469186</v>
      </c>
      <c r="CL97" s="40">
        <v>0.66043800774469186</v>
      </c>
      <c r="CM97" s="39">
        <v>0.66348449611919469</v>
      </c>
      <c r="CN97" s="40">
        <v>0.66348449611919458</v>
      </c>
      <c r="CO97" s="39">
        <v>0.65473344142414291</v>
      </c>
      <c r="CP97" s="40">
        <v>0.65843844327972834</v>
      </c>
      <c r="CQ97" s="66">
        <v>0.65843844327972845</v>
      </c>
      <c r="CS97" s="54" t="s">
        <v>1777</v>
      </c>
      <c r="CT97" s="39">
        <v>0</v>
      </c>
      <c r="CU97" s="40">
        <v>0</v>
      </c>
      <c r="CV97" s="39">
        <v>0.79648844867872548</v>
      </c>
      <c r="CW97" s="40">
        <v>0.53948056497158514</v>
      </c>
      <c r="CX97" s="39">
        <v>123.36449883045654</v>
      </c>
      <c r="CY97" s="40">
        <v>107.53013004356467</v>
      </c>
      <c r="CZ97" s="39">
        <v>373.55992553435095</v>
      </c>
      <c r="DA97" s="40">
        <v>0.82110117694583173</v>
      </c>
      <c r="DB97" s="39">
        <v>0.51486783670447889</v>
      </c>
      <c r="DC97" s="38">
        <v>607.12649243567284</v>
      </c>
      <c r="DE97" s="37" t="s">
        <v>1993</v>
      </c>
      <c r="DF97" s="35" t="str">
        <f t="shared" si="164"/>
        <v>IFDST</v>
      </c>
      <c r="DG97" s="26">
        <f t="shared" si="210"/>
        <v>3.4594684765029093</v>
      </c>
      <c r="DH97" s="25">
        <f t="shared" si="210"/>
        <v>3.7180848302558616</v>
      </c>
      <c r="DI97" s="24">
        <f t="shared" si="210"/>
        <v>35.882075137201475</v>
      </c>
      <c r="DJ97" s="25">
        <f t="shared" si="210"/>
        <v>20.065943691422735</v>
      </c>
      <c r="DK97" s="24">
        <f t="shared" si="210"/>
        <v>43.221717089283104</v>
      </c>
      <c r="DL97" s="25">
        <f t="shared" si="210"/>
        <v>2.2600785531742131</v>
      </c>
      <c r="DM97" s="24">
        <f t="shared" si="210"/>
        <v>3.3741647607521612</v>
      </c>
      <c r="DN97" s="25">
        <f t="shared" si="210"/>
        <v>5.5374134505715524</v>
      </c>
      <c r="DO97" s="32">
        <f t="shared" si="210"/>
        <v>50.265611735770278</v>
      </c>
      <c r="DP97" s="26">
        <f t="shared" si="165"/>
        <v>0.94963260594347765</v>
      </c>
      <c r="DQ97" s="25">
        <f t="shared" si="166"/>
        <v>0.41575939244427762</v>
      </c>
      <c r="DR97" s="24">
        <f t="shared" si="167"/>
        <v>0.39690197625452961</v>
      </c>
      <c r="DS97" s="25">
        <f t="shared" si="168"/>
        <v>0.1626875618766894</v>
      </c>
      <c r="DT97" s="24">
        <f t="shared" si="169"/>
        <v>0.80585196485216049</v>
      </c>
      <c r="DU97" s="25">
        <f t="shared" si="170"/>
        <v>0.13135666439816926</v>
      </c>
      <c r="DV97" s="24">
        <f t="shared" si="171"/>
        <v>0.54608806825416578</v>
      </c>
      <c r="DW97" s="25">
        <f t="shared" si="172"/>
        <v>0.50854204096845856</v>
      </c>
      <c r="DX97" s="32">
        <f t="shared" si="173"/>
        <v>0.99103312636807106</v>
      </c>
      <c r="DZ97" s="54" t="s">
        <v>1513</v>
      </c>
      <c r="EA97" s="39">
        <v>4.6742500452375312E-3</v>
      </c>
      <c r="EB97" s="40">
        <v>4.6742500452375303E-3</v>
      </c>
      <c r="EC97" s="39">
        <v>0</v>
      </c>
      <c r="ED97" s="40">
        <v>0</v>
      </c>
      <c r="EE97" s="39">
        <v>0</v>
      </c>
      <c r="EF97" s="40">
        <v>0</v>
      </c>
      <c r="EG97" s="39">
        <v>0</v>
      </c>
      <c r="EH97" s="40">
        <v>0</v>
      </c>
      <c r="EI97" s="66">
        <v>0</v>
      </c>
      <c r="EO97" s="79" t="s">
        <v>1539</v>
      </c>
      <c r="EP97" s="78" t="s">
        <v>522</v>
      </c>
      <c r="EQ97" s="77">
        <f t="shared" si="174"/>
        <v>17.085665523344243</v>
      </c>
      <c r="ER97" s="76">
        <f>EQ97/SUM(EQ89:EQ97)</f>
        <v>5.8806302734219891E-2</v>
      </c>
      <c r="ET97" s="73" t="s">
        <v>522</v>
      </c>
      <c r="EU97" s="72">
        <v>5.103894968685551E-2</v>
      </c>
      <c r="EW97" s="37" t="s">
        <v>1477</v>
      </c>
      <c r="EX97" s="36" t="s">
        <v>2062</v>
      </c>
      <c r="EY97" s="36" t="s">
        <v>1145</v>
      </c>
      <c r="EZ97" s="1" t="s">
        <v>1945</v>
      </c>
      <c r="FA97" s="36" t="str">
        <f t="shared" si="175"/>
        <v>IPOFAC</v>
      </c>
      <c r="FB97" s="1" t="s">
        <v>440</v>
      </c>
      <c r="FC97" s="26">
        <f t="shared" si="176"/>
        <v>25.308913099218202</v>
      </c>
      <c r="FD97" s="25">
        <f t="shared" si="177"/>
        <v>2.3256946466857431</v>
      </c>
      <c r="FE97" s="24">
        <f t="shared" si="178"/>
        <v>9.1892316259033047E-2</v>
      </c>
      <c r="FF97" s="36">
        <v>0</v>
      </c>
      <c r="FG97" s="86">
        <f t="shared" si="179"/>
        <v>0</v>
      </c>
    </row>
    <row r="98" spans="1:163">
      <c r="A98" s="37" t="s">
        <v>2075</v>
      </c>
      <c r="B98" s="36" t="s">
        <v>1107</v>
      </c>
      <c r="C98" s="1" t="s">
        <v>1106</v>
      </c>
      <c r="D98" s="36" t="s">
        <v>1106</v>
      </c>
      <c r="E98" s="36" t="s">
        <v>2082</v>
      </c>
      <c r="F98" s="1" t="e">
        <f t="shared" ca="1" si="159"/>
        <v>#NAME?</v>
      </c>
      <c r="G98" s="35" t="s">
        <v>1109</v>
      </c>
      <c r="H98" s="34">
        <f>1-I98</f>
        <v>0.88567074537450385</v>
      </c>
      <c r="I98" s="33">
        <v>0.1143292546254962</v>
      </c>
      <c r="J98" s="26" t="e">
        <v>#REF!</v>
      </c>
      <c r="K98" s="25" t="e">
        <v>#REF!</v>
      </c>
      <c r="L98" s="24"/>
      <c r="M98" s="25"/>
      <c r="N98" s="24"/>
      <c r="O98" s="25"/>
      <c r="P98" s="24"/>
      <c r="Q98" s="25"/>
      <c r="R98" s="32"/>
      <c r="S98" s="31" t="e">
        <v>#REF!</v>
      </c>
      <c r="T98" s="29" t="e">
        <f t="shared" si="214"/>
        <v>#REF!</v>
      </c>
      <c r="U98" s="30" t="e">
        <f t="shared" si="214"/>
        <v>#REF!</v>
      </c>
      <c r="V98" s="29" t="e">
        <f t="shared" si="214"/>
        <v>#REF!</v>
      </c>
      <c r="W98" s="30" t="e">
        <f t="shared" si="214"/>
        <v>#REF!</v>
      </c>
      <c r="X98" s="29" t="e">
        <f t="shared" si="214"/>
        <v>#REF!</v>
      </c>
      <c r="Y98" s="30" t="e">
        <f t="shared" si="214"/>
        <v>#REF!</v>
      </c>
      <c r="Z98" s="29" t="e">
        <f t="shared" si="214"/>
        <v>#REF!</v>
      </c>
      <c r="AA98" s="28" t="e">
        <f t="shared" si="214"/>
        <v>#REF!</v>
      </c>
      <c r="AB98" s="26" t="e">
        <f t="shared" ref="AB98:AJ101" si="227">J98*31.536*$H98*S98</f>
        <v>#REF!</v>
      </c>
      <c r="AC98" s="25" t="e">
        <f t="shared" si="227"/>
        <v>#REF!</v>
      </c>
      <c r="AD98" s="24" t="e">
        <f t="shared" si="227"/>
        <v>#REF!</v>
      </c>
      <c r="AE98" s="25" t="e">
        <f t="shared" si="227"/>
        <v>#REF!</v>
      </c>
      <c r="AF98" s="24" t="e">
        <f t="shared" si="227"/>
        <v>#REF!</v>
      </c>
      <c r="AG98" s="25" t="e">
        <f t="shared" si="227"/>
        <v>#REF!</v>
      </c>
      <c r="AH98" s="24" t="e">
        <f t="shared" si="227"/>
        <v>#REF!</v>
      </c>
      <c r="AI98" s="25" t="e">
        <f t="shared" si="227"/>
        <v>#REF!</v>
      </c>
      <c r="AJ98" s="24" t="e">
        <f t="shared" si="227"/>
        <v>#REF!</v>
      </c>
      <c r="AK98" s="27" t="e">
        <f t="shared" si="160"/>
        <v>#REF!</v>
      </c>
      <c r="AL98" s="26" t="e">
        <f t="shared" ref="AL98:AT101" si="228">J98*31.536*$I98*S98</f>
        <v>#REF!</v>
      </c>
      <c r="AM98" s="25" t="e">
        <f t="shared" si="228"/>
        <v>#REF!</v>
      </c>
      <c r="AN98" s="24" t="e">
        <f t="shared" si="228"/>
        <v>#REF!</v>
      </c>
      <c r="AO98" s="25" t="e">
        <f t="shared" si="228"/>
        <v>#REF!</v>
      </c>
      <c r="AP98" s="24" t="e">
        <f t="shared" si="228"/>
        <v>#REF!</v>
      </c>
      <c r="AQ98" s="25" t="e">
        <f t="shared" si="228"/>
        <v>#REF!</v>
      </c>
      <c r="AR98" s="24" t="e">
        <f t="shared" si="228"/>
        <v>#REF!</v>
      </c>
      <c r="AS98" s="25" t="e">
        <f t="shared" si="228"/>
        <v>#REF!</v>
      </c>
      <c r="AT98" s="24" t="e">
        <f t="shared" si="228"/>
        <v>#REF!</v>
      </c>
      <c r="AU98" s="23" t="e">
        <f>SUM(AL98:AT98)</f>
        <v>#REF!</v>
      </c>
      <c r="AW98" s="100" t="s">
        <v>1129</v>
      </c>
      <c r="AX98" s="41">
        <v>2.8817886647409927</v>
      </c>
      <c r="AY98" s="40">
        <v>3.0768751640527459</v>
      </c>
      <c r="AZ98" s="39">
        <v>5.7989900219633999</v>
      </c>
      <c r="BA98" s="40">
        <v>1.0526116545608106</v>
      </c>
      <c r="BB98" s="39">
        <v>198.01805175382907</v>
      </c>
      <c r="BC98" s="40">
        <v>115.37829605475348</v>
      </c>
      <c r="BD98" s="39">
        <v>81.668395991704429</v>
      </c>
      <c r="BE98" s="40">
        <v>5.3649691235223571</v>
      </c>
      <c r="BF98" s="39">
        <v>43.205365766598653</v>
      </c>
      <c r="BG98" s="81">
        <v>456.44534419572597</v>
      </c>
      <c r="BH98" s="66">
        <v>15.158710740906692</v>
      </c>
      <c r="BJ98" s="37" t="s">
        <v>1353</v>
      </c>
      <c r="BK98" s="36" t="s">
        <v>2033</v>
      </c>
      <c r="BL98" s="1" t="s">
        <v>1139</v>
      </c>
      <c r="BM98" s="36" t="s">
        <v>1943</v>
      </c>
      <c r="BN98" s="82" t="str">
        <f t="shared" si="223"/>
        <v>IPAFEED</v>
      </c>
      <c r="BO98" s="26">
        <f t="shared" si="224"/>
        <v>0</v>
      </c>
      <c r="BP98" s="25">
        <f t="shared" si="224"/>
        <v>0</v>
      </c>
      <c r="BQ98" s="24">
        <f t="shared" si="224"/>
        <v>0</v>
      </c>
      <c r="BR98" s="25">
        <f t="shared" si="224"/>
        <v>0</v>
      </c>
      <c r="BS98" s="24">
        <f t="shared" si="224"/>
        <v>0</v>
      </c>
      <c r="BT98" s="25">
        <f t="shared" si="224"/>
        <v>0</v>
      </c>
      <c r="BU98" s="24">
        <f t="shared" si="224"/>
        <v>0</v>
      </c>
      <c r="BV98" s="25">
        <f t="shared" si="224"/>
        <v>0</v>
      </c>
      <c r="BW98" s="32">
        <f t="shared" si="224"/>
        <v>0</v>
      </c>
      <c r="BX98" s="26">
        <f t="shared" ref="BX98:CF98" si="229">BO98/BO103</f>
        <v>0</v>
      </c>
      <c r="BY98" s="25">
        <f t="shared" si="229"/>
        <v>0</v>
      </c>
      <c r="BZ98" s="24">
        <f t="shared" si="229"/>
        <v>0</v>
      </c>
      <c r="CA98" s="25">
        <f t="shared" si="229"/>
        <v>0</v>
      </c>
      <c r="CB98" s="24">
        <f t="shared" si="229"/>
        <v>0</v>
      </c>
      <c r="CC98" s="25">
        <f t="shared" si="229"/>
        <v>0</v>
      </c>
      <c r="CD98" s="24">
        <f t="shared" si="229"/>
        <v>0</v>
      </c>
      <c r="CE98" s="25">
        <f t="shared" si="229"/>
        <v>0</v>
      </c>
      <c r="CF98" s="32">
        <f t="shared" si="229"/>
        <v>0</v>
      </c>
      <c r="CH98" s="54" t="s">
        <v>2081</v>
      </c>
      <c r="CI98" s="41">
        <v>0</v>
      </c>
      <c r="CJ98" s="40">
        <v>0</v>
      </c>
      <c r="CK98" s="39">
        <v>0</v>
      </c>
      <c r="CL98" s="40">
        <v>0</v>
      </c>
      <c r="CM98" s="39">
        <v>0</v>
      </c>
      <c r="CN98" s="40">
        <v>0</v>
      </c>
      <c r="CO98" s="39">
        <v>1.3189539086802527E-2</v>
      </c>
      <c r="CP98" s="40">
        <v>0</v>
      </c>
      <c r="CQ98" s="66">
        <v>0</v>
      </c>
      <c r="CS98" s="54" t="s">
        <v>1687</v>
      </c>
      <c r="CT98" s="39">
        <v>0.78636627816129512</v>
      </c>
      <c r="CU98" s="40">
        <v>2.1646017978389649</v>
      </c>
      <c r="CV98" s="39">
        <v>20.52553081517275</v>
      </c>
      <c r="CW98" s="40">
        <v>13.90243007149696</v>
      </c>
      <c r="CX98" s="39">
        <v>9.8370727019732414</v>
      </c>
      <c r="CY98" s="40">
        <v>8.5744417309628371</v>
      </c>
      <c r="CZ98" s="39">
        <v>29.787630808401516</v>
      </c>
      <c r="DA98" s="40">
        <v>1.2091315170615782</v>
      </c>
      <c r="DB98" s="39">
        <v>0.75818053360526216</v>
      </c>
      <c r="DC98" s="38">
        <v>87.545386254674398</v>
      </c>
      <c r="DE98" s="37" t="s">
        <v>1984</v>
      </c>
      <c r="DF98" s="35" t="str">
        <f t="shared" si="164"/>
        <v>IFDST</v>
      </c>
      <c r="DG98" s="26">
        <f t="shared" ref="DG98:DO107" si="230">GETPIVOTDATA("Sum of "&amp;DG$1&amp;" (Out)",$CS$6,"Constraint Identifier",$DE98)</f>
        <v>0.18348613020613821</v>
      </c>
      <c r="DH98" s="25">
        <f t="shared" si="230"/>
        <v>0.50507558418121157</v>
      </c>
      <c r="DI98" s="24">
        <f t="shared" si="230"/>
        <v>1.9328278266636691</v>
      </c>
      <c r="DJ98" s="25">
        <f t="shared" si="230"/>
        <v>1.309150245243436</v>
      </c>
      <c r="DK98" s="24">
        <f t="shared" si="230"/>
        <v>0.46257831027083146</v>
      </c>
      <c r="DL98" s="25">
        <f t="shared" si="230"/>
        <v>0.40320437670739923</v>
      </c>
      <c r="DM98" s="24">
        <f t="shared" si="230"/>
        <v>1.4007329562134629</v>
      </c>
      <c r="DN98" s="25">
        <f t="shared" si="230"/>
        <v>0.72296250763076231</v>
      </c>
      <c r="DO98" s="32">
        <f t="shared" si="230"/>
        <v>0.4533304211142935</v>
      </c>
      <c r="DP98" s="26">
        <f t="shared" si="165"/>
        <v>5.0367394056522408E-2</v>
      </c>
      <c r="DQ98" s="25">
        <f t="shared" si="166"/>
        <v>5.6477979283535762E-2</v>
      </c>
      <c r="DR98" s="24">
        <f t="shared" si="167"/>
        <v>2.1379565736631724E-2</v>
      </c>
      <c r="DS98" s="25">
        <f t="shared" si="168"/>
        <v>1.0614126342832547E-2</v>
      </c>
      <c r="DT98" s="24">
        <f t="shared" si="169"/>
        <v>8.624591185484639E-3</v>
      </c>
      <c r="DU98" s="25">
        <f t="shared" si="170"/>
        <v>2.3434398738327512E-2</v>
      </c>
      <c r="DV98" s="24">
        <f t="shared" si="171"/>
        <v>0.22670011941801027</v>
      </c>
      <c r="DW98" s="25">
        <f t="shared" si="172"/>
        <v>6.6395047517406228E-2</v>
      </c>
      <c r="DX98" s="32">
        <f t="shared" si="173"/>
        <v>8.937829442448501E-3</v>
      </c>
      <c r="DZ98" s="54" t="s">
        <v>1905</v>
      </c>
      <c r="EA98" s="39">
        <v>0.81286100669883621</v>
      </c>
      <c r="EB98" s="40">
        <v>0.88018243039439015</v>
      </c>
      <c r="EC98" s="39">
        <v>8.0118606474490955E-2</v>
      </c>
      <c r="ED98" s="40">
        <v>0.28972953403796448</v>
      </c>
      <c r="EE98" s="39">
        <v>0.78762189957288187</v>
      </c>
      <c r="EF98" s="40">
        <v>0.62931664052838043</v>
      </c>
      <c r="EG98" s="39">
        <v>0.60548414534100026</v>
      </c>
      <c r="EH98" s="40">
        <v>0</v>
      </c>
      <c r="EI98" s="66">
        <v>0.91996120052832231</v>
      </c>
      <c r="EO98" s="83" t="s">
        <v>1477</v>
      </c>
      <c r="EP98" s="82" t="s">
        <v>438</v>
      </c>
      <c r="EQ98" s="81">
        <f t="shared" si="174"/>
        <v>35.634367303667425</v>
      </c>
      <c r="ER98" s="80">
        <f>EQ98/SUM(EQ98:EQ106)</f>
        <v>0.22650469575631282</v>
      </c>
      <c r="ET98" s="74" t="s">
        <v>1539</v>
      </c>
      <c r="EU98" s="70">
        <v>1</v>
      </c>
      <c r="EW98" s="37" t="s">
        <v>1477</v>
      </c>
      <c r="EX98" s="36" t="s">
        <v>2062</v>
      </c>
      <c r="EY98" s="36" t="s">
        <v>1145</v>
      </c>
      <c r="EZ98" s="1" t="s">
        <v>1945</v>
      </c>
      <c r="FA98" s="36" t="str">
        <f t="shared" si="175"/>
        <v>IPOFAC</v>
      </c>
      <c r="FB98" s="1" t="s">
        <v>439</v>
      </c>
      <c r="FC98" s="26">
        <f t="shared" si="176"/>
        <v>29.933517313531446</v>
      </c>
      <c r="FD98" s="25">
        <f t="shared" si="177"/>
        <v>8.2928153965429132</v>
      </c>
      <c r="FE98" s="24">
        <f t="shared" si="178"/>
        <v>0.27704112783278384</v>
      </c>
      <c r="FF98" s="36">
        <v>0</v>
      </c>
      <c r="FG98" s="86">
        <f t="shared" si="179"/>
        <v>0</v>
      </c>
    </row>
    <row r="99" spans="1:163">
      <c r="A99" s="37" t="s">
        <v>2075</v>
      </c>
      <c r="B99" s="36" t="s">
        <v>1107</v>
      </c>
      <c r="C99" s="1" t="s">
        <v>1106</v>
      </c>
      <c r="D99" s="36" t="s">
        <v>1106</v>
      </c>
      <c r="E99" s="36" t="s">
        <v>2080</v>
      </c>
      <c r="F99" s="1" t="e">
        <f>GETPIVOTDATA("Sum of "&amp;A99&amp;" (Out)",Fractions10!$AW$6,"Sub-Sector","Other Chemicals")</f>
        <v>#REF!</v>
      </c>
      <c r="G99" s="35" t="s">
        <v>1109</v>
      </c>
      <c r="H99" s="34">
        <f>1-I99</f>
        <v>0.88601390461942942</v>
      </c>
      <c r="I99" s="33">
        <v>0.11398609538057063</v>
      </c>
      <c r="J99" s="26" t="e">
        <v>#REF!</v>
      </c>
      <c r="K99" s="25" t="e">
        <v>#REF!</v>
      </c>
      <c r="L99" s="24"/>
      <c r="M99" s="25"/>
      <c r="N99" s="24"/>
      <c r="O99" s="25"/>
      <c r="P99" s="24"/>
      <c r="Q99" s="25"/>
      <c r="R99" s="32"/>
      <c r="S99" s="31" t="e">
        <v>#REF!</v>
      </c>
      <c r="T99" s="29" t="e">
        <f t="shared" si="214"/>
        <v>#REF!</v>
      </c>
      <c r="U99" s="30" t="e">
        <f t="shared" si="214"/>
        <v>#REF!</v>
      </c>
      <c r="V99" s="29" t="e">
        <f t="shared" si="214"/>
        <v>#REF!</v>
      </c>
      <c r="W99" s="30" t="e">
        <f t="shared" si="214"/>
        <v>#REF!</v>
      </c>
      <c r="X99" s="29" t="e">
        <f t="shared" si="214"/>
        <v>#REF!</v>
      </c>
      <c r="Y99" s="30" t="e">
        <f t="shared" si="214"/>
        <v>#REF!</v>
      </c>
      <c r="Z99" s="29" t="e">
        <f t="shared" si="214"/>
        <v>#REF!</v>
      </c>
      <c r="AA99" s="28" t="e">
        <f t="shared" si="214"/>
        <v>#REF!</v>
      </c>
      <c r="AB99" s="26" t="e">
        <f t="shared" si="227"/>
        <v>#REF!</v>
      </c>
      <c r="AC99" s="25" t="e">
        <f t="shared" si="227"/>
        <v>#REF!</v>
      </c>
      <c r="AD99" s="24" t="e">
        <f t="shared" si="227"/>
        <v>#REF!</v>
      </c>
      <c r="AE99" s="25" t="e">
        <f t="shared" si="227"/>
        <v>#REF!</v>
      </c>
      <c r="AF99" s="24" t="e">
        <f t="shared" si="227"/>
        <v>#REF!</v>
      </c>
      <c r="AG99" s="25" t="e">
        <f t="shared" si="227"/>
        <v>#REF!</v>
      </c>
      <c r="AH99" s="24" t="e">
        <f t="shared" si="227"/>
        <v>#REF!</v>
      </c>
      <c r="AI99" s="25" t="e">
        <f t="shared" si="227"/>
        <v>#REF!</v>
      </c>
      <c r="AJ99" s="24" t="e">
        <f t="shared" si="227"/>
        <v>#REF!</v>
      </c>
      <c r="AK99" s="27" t="e">
        <f t="shared" si="160"/>
        <v>#REF!</v>
      </c>
      <c r="AL99" s="26" t="e">
        <f t="shared" si="228"/>
        <v>#REF!</v>
      </c>
      <c r="AM99" s="25" t="e">
        <f t="shared" si="228"/>
        <v>#REF!</v>
      </c>
      <c r="AN99" s="24" t="e">
        <f t="shared" si="228"/>
        <v>#REF!</v>
      </c>
      <c r="AO99" s="25" t="e">
        <f t="shared" si="228"/>
        <v>#REF!</v>
      </c>
      <c r="AP99" s="24" t="e">
        <f t="shared" si="228"/>
        <v>#REF!</v>
      </c>
      <c r="AQ99" s="25" t="e">
        <f t="shared" si="228"/>
        <v>#REF!</v>
      </c>
      <c r="AR99" s="24" t="e">
        <f t="shared" si="228"/>
        <v>#REF!</v>
      </c>
      <c r="AS99" s="25" t="e">
        <f t="shared" si="228"/>
        <v>#REF!</v>
      </c>
      <c r="AT99" s="24" t="e">
        <f t="shared" si="228"/>
        <v>#REF!</v>
      </c>
      <c r="AU99" s="23" t="e">
        <f>SUM(AL99:AT99)</f>
        <v>#REF!</v>
      </c>
      <c r="AW99" s="100" t="s">
        <v>1123</v>
      </c>
      <c r="AX99" s="41">
        <v>1.7406270587254722</v>
      </c>
      <c r="AY99" s="40">
        <v>1.5358474047577697</v>
      </c>
      <c r="AZ99" s="39">
        <v>4.162976245841886</v>
      </c>
      <c r="BA99" s="40">
        <v>0.79716566409738221</v>
      </c>
      <c r="BB99" s="39">
        <v>12.243250801289026</v>
      </c>
      <c r="BC99" s="40">
        <v>7.1089843362323393</v>
      </c>
      <c r="BD99" s="39">
        <v>5.1342664650566894</v>
      </c>
      <c r="BE99" s="40">
        <v>0.68624461313854035</v>
      </c>
      <c r="BF99" s="39">
        <v>5.3183957518236884</v>
      </c>
      <c r="BG99" s="81">
        <v>38.727758340962794</v>
      </c>
      <c r="BH99" s="66">
        <v>0</v>
      </c>
      <c r="BJ99" s="37" t="s">
        <v>1353</v>
      </c>
      <c r="BK99" s="36" t="s">
        <v>2033</v>
      </c>
      <c r="BL99" s="1" t="s">
        <v>1136</v>
      </c>
      <c r="BM99" s="36" t="s">
        <v>1941</v>
      </c>
      <c r="BN99" s="82" t="str">
        <f t="shared" si="223"/>
        <v>IPAMDR</v>
      </c>
      <c r="BO99" s="26">
        <f t="shared" si="224"/>
        <v>2.893124899795068</v>
      </c>
      <c r="BP99" s="25">
        <f t="shared" si="224"/>
        <v>2.5527572645250598</v>
      </c>
      <c r="BQ99" s="24">
        <f t="shared" si="224"/>
        <v>20.156252898626942</v>
      </c>
      <c r="BR99" s="25">
        <f t="shared" si="224"/>
        <v>3.8597080018647336</v>
      </c>
      <c r="BS99" s="24">
        <f t="shared" si="224"/>
        <v>17.171152935230499</v>
      </c>
      <c r="BT99" s="25">
        <f t="shared" si="224"/>
        <v>9.9703468656177101</v>
      </c>
      <c r="BU99" s="24">
        <f t="shared" si="224"/>
        <v>7.2008060696127911</v>
      </c>
      <c r="BV99" s="25">
        <f t="shared" si="224"/>
        <v>2.7116418429588856</v>
      </c>
      <c r="BW99" s="32">
        <f t="shared" si="224"/>
        <v>21.015224282931364</v>
      </c>
      <c r="BX99" s="26">
        <f t="shared" ref="BX99:CF99" si="231">BO99/BO103</f>
        <v>3.9774127589712799E-2</v>
      </c>
      <c r="BY99" s="25">
        <f t="shared" si="231"/>
        <v>4.3558508659716839E-2</v>
      </c>
      <c r="BZ99" s="24">
        <f t="shared" si="231"/>
        <v>0.1579466645324436</v>
      </c>
      <c r="CA99" s="25">
        <f t="shared" si="231"/>
        <v>0.14096502598499513</v>
      </c>
      <c r="CB99" s="24">
        <f t="shared" si="231"/>
        <v>9.1300814529804153E-2</v>
      </c>
      <c r="CC99" s="25">
        <f t="shared" si="231"/>
        <v>0.10065031463326299</v>
      </c>
      <c r="CD99" s="24">
        <f t="shared" si="231"/>
        <v>0.1054881049965283</v>
      </c>
      <c r="CE99" s="25">
        <f t="shared" si="231"/>
        <v>0.20531858222060556</v>
      </c>
      <c r="CF99" s="32">
        <f t="shared" si="231"/>
        <v>0.30284203006067534</v>
      </c>
      <c r="CH99" s="54" t="s">
        <v>2079</v>
      </c>
      <c r="CI99" s="41">
        <v>4.9724379856731149E-3</v>
      </c>
      <c r="CJ99" s="40">
        <v>4.674118725178384E-3</v>
      </c>
      <c r="CK99" s="39">
        <v>2.6640298855729015E-3</v>
      </c>
      <c r="CL99" s="40">
        <v>2.6033649672351036E-3</v>
      </c>
      <c r="CM99" s="39">
        <v>4.3654117445784801E-3</v>
      </c>
      <c r="CN99" s="40">
        <v>4.5129119776796461E-3</v>
      </c>
      <c r="CO99" s="39">
        <v>4.5308914178919454E-3</v>
      </c>
      <c r="CP99" s="40">
        <v>3.7769221192454471E-3</v>
      </c>
      <c r="CQ99" s="66">
        <v>3.9986087829781735E-3</v>
      </c>
      <c r="CS99" s="54" t="s">
        <v>1685</v>
      </c>
      <c r="CT99" s="39">
        <v>0.12640338965298714</v>
      </c>
      <c r="CU99" s="40">
        <v>0.34794600441866003</v>
      </c>
      <c r="CV99" s="39">
        <v>3.2380752209298298</v>
      </c>
      <c r="CW99" s="40">
        <v>2.1932253411905318</v>
      </c>
      <c r="CX99" s="39">
        <v>3.107634449063462</v>
      </c>
      <c r="CY99" s="40">
        <v>2.7087560813983234</v>
      </c>
      <c r="CZ99" s="39">
        <v>9.4102250192380925</v>
      </c>
      <c r="DA99" s="40">
        <v>0.11661613159471686</v>
      </c>
      <c r="DB99" s="39">
        <v>7.3123626033942069E-2</v>
      </c>
      <c r="DC99" s="38">
        <v>21.322005263520548</v>
      </c>
      <c r="DE99" s="37" t="s">
        <v>1980</v>
      </c>
      <c r="DF99" s="35" t="str">
        <f t="shared" si="164"/>
        <v>IFDST</v>
      </c>
      <c r="DG99" s="26">
        <f t="shared" si="230"/>
        <v>0</v>
      </c>
      <c r="DH99" s="25">
        <f t="shared" si="230"/>
        <v>3.9117821712528396</v>
      </c>
      <c r="DI99" s="24">
        <f t="shared" si="230"/>
        <v>45.343384832265279</v>
      </c>
      <c r="DJ99" s="25">
        <f t="shared" si="230"/>
        <v>92.533589319106028</v>
      </c>
      <c r="DK99" s="24">
        <f t="shared" si="230"/>
        <v>8.6640922066501158</v>
      </c>
      <c r="DL99" s="25">
        <f t="shared" si="230"/>
        <v>12.393318381016744</v>
      </c>
      <c r="DM99" s="24">
        <f t="shared" si="230"/>
        <v>1.4030653103469068</v>
      </c>
      <c r="DN99" s="25">
        <f t="shared" si="230"/>
        <v>3.9684746664883885</v>
      </c>
      <c r="DO99" s="32">
        <f t="shared" si="230"/>
        <v>0</v>
      </c>
      <c r="DP99" s="26">
        <f t="shared" si="165"/>
        <v>0</v>
      </c>
      <c r="DQ99" s="25">
        <f t="shared" si="166"/>
        <v>0.43741879304634346</v>
      </c>
      <c r="DR99" s="24">
        <f t="shared" si="167"/>
        <v>0.50155625005469984</v>
      </c>
      <c r="DS99" s="25">
        <f t="shared" si="168"/>
        <v>0.75022955658243706</v>
      </c>
      <c r="DT99" s="24">
        <f t="shared" si="169"/>
        <v>0.16153860139259665</v>
      </c>
      <c r="DU99" s="25">
        <f t="shared" si="170"/>
        <v>0.72030459342595787</v>
      </c>
      <c r="DV99" s="24">
        <f t="shared" si="171"/>
        <v>0.2270775967653029</v>
      </c>
      <c r="DW99" s="25">
        <f t="shared" si="172"/>
        <v>0.36445467264491926</v>
      </c>
      <c r="DX99" s="32">
        <f t="shared" si="173"/>
        <v>0</v>
      </c>
      <c r="DZ99" s="54" t="s">
        <v>1893</v>
      </c>
      <c r="EA99" s="39">
        <v>0</v>
      </c>
      <c r="EB99" s="40">
        <v>0</v>
      </c>
      <c r="EC99" s="39">
        <v>0.46706377548420169</v>
      </c>
      <c r="ED99" s="40">
        <v>0.11588509579296304</v>
      </c>
      <c r="EE99" s="39">
        <v>0.14007738097003453</v>
      </c>
      <c r="EF99" s="40">
        <v>0</v>
      </c>
      <c r="EG99" s="39">
        <v>0</v>
      </c>
      <c r="EH99" s="40">
        <v>0</v>
      </c>
      <c r="EI99" s="66">
        <v>0</v>
      </c>
      <c r="EO99" s="83" t="s">
        <v>1477</v>
      </c>
      <c r="EP99" s="82" t="s">
        <v>440</v>
      </c>
      <c r="EQ99" s="81">
        <f t="shared" si="174"/>
        <v>25.308913099218202</v>
      </c>
      <c r="ER99" s="80">
        <f>EQ99/SUM(EQ98:EQ106)</f>
        <v>0.16087244127585204</v>
      </c>
      <c r="ET99" s="73" t="s">
        <v>438</v>
      </c>
      <c r="EU99" s="72">
        <v>2.615859386007182E-2</v>
      </c>
      <c r="EW99" s="37" t="s">
        <v>1477</v>
      </c>
      <c r="EX99" s="36" t="s">
        <v>2062</v>
      </c>
      <c r="EY99" s="36" t="s">
        <v>1145</v>
      </c>
      <c r="EZ99" s="1" t="s">
        <v>1945</v>
      </c>
      <c r="FA99" s="36" t="str">
        <f t="shared" si="175"/>
        <v>IPOFAC</v>
      </c>
      <c r="FB99" s="1" t="s">
        <v>518</v>
      </c>
      <c r="FC99" s="26">
        <f t="shared" si="176"/>
        <v>5.7446507212596147</v>
      </c>
      <c r="FD99" s="25">
        <f t="shared" si="177"/>
        <v>1.5879859269975787</v>
      </c>
      <c r="FE99" s="24">
        <f t="shared" si="178"/>
        <v>0.27642862970255311</v>
      </c>
      <c r="FF99" s="36">
        <v>0</v>
      </c>
      <c r="FG99" s="86">
        <f t="shared" si="179"/>
        <v>0</v>
      </c>
    </row>
    <row r="100" spans="1:163" ht="15.75" thickBot="1">
      <c r="A100" s="37" t="s">
        <v>2075</v>
      </c>
      <c r="B100" s="36" t="s">
        <v>1107</v>
      </c>
      <c r="C100" s="1" t="s">
        <v>1106</v>
      </c>
      <c r="D100" s="36" t="s">
        <v>1106</v>
      </c>
      <c r="E100" s="36" t="s">
        <v>2078</v>
      </c>
      <c r="F100" s="1" t="e">
        <f t="shared" ref="F100:F163" ca="1" si="232">EndUse(A100,B100,C100,G100)</f>
        <v>#NAME?</v>
      </c>
      <c r="G100" s="35" t="s">
        <v>1109</v>
      </c>
      <c r="H100" s="34">
        <f>1-I100</f>
        <v>0.90515046348995953</v>
      </c>
      <c r="I100" s="33">
        <v>9.4849536510040508E-2</v>
      </c>
      <c r="J100" s="26" t="e">
        <v>#REF!</v>
      </c>
      <c r="K100" s="25" t="e">
        <v>#REF!</v>
      </c>
      <c r="L100" s="24"/>
      <c r="M100" s="25"/>
      <c r="N100" s="24"/>
      <c r="O100" s="25"/>
      <c r="P100" s="24"/>
      <c r="Q100" s="25"/>
      <c r="R100" s="32"/>
      <c r="S100" s="31" t="e">
        <v>#REF!</v>
      </c>
      <c r="T100" s="29" t="e">
        <f t="shared" si="214"/>
        <v>#REF!</v>
      </c>
      <c r="U100" s="30" t="e">
        <f t="shared" si="214"/>
        <v>#REF!</v>
      </c>
      <c r="V100" s="29" t="e">
        <f t="shared" si="214"/>
        <v>#REF!</v>
      </c>
      <c r="W100" s="30" t="e">
        <f t="shared" si="214"/>
        <v>#REF!</v>
      </c>
      <c r="X100" s="29" t="e">
        <f t="shared" si="214"/>
        <v>#REF!</v>
      </c>
      <c r="Y100" s="30" t="e">
        <f t="shared" si="214"/>
        <v>#REF!</v>
      </c>
      <c r="Z100" s="29" t="e">
        <f t="shared" si="214"/>
        <v>#REF!</v>
      </c>
      <c r="AA100" s="28" t="e">
        <f t="shared" si="214"/>
        <v>#REF!</v>
      </c>
      <c r="AB100" s="26" t="e">
        <f t="shared" si="227"/>
        <v>#REF!</v>
      </c>
      <c r="AC100" s="25" t="e">
        <f t="shared" si="227"/>
        <v>#REF!</v>
      </c>
      <c r="AD100" s="24" t="e">
        <f t="shared" si="227"/>
        <v>#REF!</v>
      </c>
      <c r="AE100" s="25" t="e">
        <f t="shared" si="227"/>
        <v>#REF!</v>
      </c>
      <c r="AF100" s="24" t="e">
        <f t="shared" si="227"/>
        <v>#REF!</v>
      </c>
      <c r="AG100" s="25" t="e">
        <f t="shared" si="227"/>
        <v>#REF!</v>
      </c>
      <c r="AH100" s="24" t="e">
        <f t="shared" si="227"/>
        <v>#REF!</v>
      </c>
      <c r="AI100" s="25" t="e">
        <f t="shared" si="227"/>
        <v>#REF!</v>
      </c>
      <c r="AJ100" s="24" t="e">
        <f t="shared" si="227"/>
        <v>#REF!</v>
      </c>
      <c r="AK100" s="27" t="e">
        <f t="shared" si="160"/>
        <v>#REF!</v>
      </c>
      <c r="AL100" s="26" t="e">
        <f t="shared" si="228"/>
        <v>#REF!</v>
      </c>
      <c r="AM100" s="25" t="e">
        <f t="shared" si="228"/>
        <v>#REF!</v>
      </c>
      <c r="AN100" s="24" t="e">
        <f t="shared" si="228"/>
        <v>#REF!</v>
      </c>
      <c r="AO100" s="25" t="e">
        <f t="shared" si="228"/>
        <v>#REF!</v>
      </c>
      <c r="AP100" s="24" t="e">
        <f t="shared" si="228"/>
        <v>#REF!</v>
      </c>
      <c r="AQ100" s="25" t="e">
        <f t="shared" si="228"/>
        <v>#REF!</v>
      </c>
      <c r="AR100" s="24" t="e">
        <f t="shared" si="228"/>
        <v>#REF!</v>
      </c>
      <c r="AS100" s="25" t="e">
        <f t="shared" si="228"/>
        <v>#REF!</v>
      </c>
      <c r="AT100" s="24" t="e">
        <f t="shared" si="228"/>
        <v>#REF!</v>
      </c>
      <c r="AU100" s="23" t="e">
        <f>SUM(AL100:AT100)</f>
        <v>#REF!</v>
      </c>
      <c r="AW100" s="100" t="s">
        <v>1107</v>
      </c>
      <c r="AX100" s="41">
        <v>7.1401080790188232</v>
      </c>
      <c r="AY100" s="40">
        <v>4.5362845727939876</v>
      </c>
      <c r="AZ100" s="39">
        <v>8.6324015202245974</v>
      </c>
      <c r="BA100" s="40">
        <v>2.3023131317941572</v>
      </c>
      <c r="BB100" s="39">
        <v>47.07986104728289</v>
      </c>
      <c r="BC100" s="40">
        <v>16.893422138129218</v>
      </c>
      <c r="BD100" s="39">
        <v>23.054428652109539</v>
      </c>
      <c r="BE100" s="40">
        <v>1.583210863084892</v>
      </c>
      <c r="BF100" s="39">
        <v>8.7073901154061701</v>
      </c>
      <c r="BG100" s="81">
        <v>119.92942011984424</v>
      </c>
      <c r="BH100" s="66">
        <v>19.14114549051251</v>
      </c>
      <c r="BJ100" s="37" t="s">
        <v>1353</v>
      </c>
      <c r="BK100" s="36" t="s">
        <v>2033</v>
      </c>
      <c r="BL100" s="1" t="s">
        <v>1129</v>
      </c>
      <c r="BM100" s="36" t="s">
        <v>1910</v>
      </c>
      <c r="BN100" s="82" t="str">
        <f t="shared" si="223"/>
        <v>IPAOHT</v>
      </c>
      <c r="BO100" s="26">
        <f t="shared" si="224"/>
        <v>37.39077477580976</v>
      </c>
      <c r="BP100" s="25">
        <f t="shared" si="224"/>
        <v>32.030248349583715</v>
      </c>
      <c r="BQ100" s="24">
        <f t="shared" si="224"/>
        <v>59.198156002443909</v>
      </c>
      <c r="BR100" s="25">
        <f t="shared" si="224"/>
        <v>11.51088052970692</v>
      </c>
      <c r="BS100" s="24">
        <f t="shared" si="224"/>
        <v>105.43711966883444</v>
      </c>
      <c r="BT100" s="25">
        <f t="shared" si="224"/>
        <v>58.398785597896932</v>
      </c>
      <c r="BU100" s="24">
        <f t="shared" si="224"/>
        <v>42.693289863327216</v>
      </c>
      <c r="BV100" s="25">
        <f t="shared" si="224"/>
        <v>4.9713088011419764</v>
      </c>
      <c r="BW100" s="32">
        <f t="shared" si="224"/>
        <v>28.704767476115137</v>
      </c>
      <c r="BX100" s="26">
        <f t="shared" ref="BX100:CF100" si="233">BO100/BO103</f>
        <v>0.51404121775614176</v>
      </c>
      <c r="BY100" s="25">
        <f t="shared" si="233"/>
        <v>0.54654230917164703</v>
      </c>
      <c r="BZ100" s="24">
        <f t="shared" si="233"/>
        <v>0.46388340799664257</v>
      </c>
      <c r="CA100" s="25">
        <f t="shared" si="233"/>
        <v>0.42040267610823706</v>
      </c>
      <c r="CB100" s="24">
        <f t="shared" si="233"/>
        <v>0.56062018338268305</v>
      </c>
      <c r="CC100" s="25">
        <f t="shared" si="233"/>
        <v>0.58953376686405101</v>
      </c>
      <c r="CD100" s="24">
        <f t="shared" si="233"/>
        <v>0.62543473608532452</v>
      </c>
      <c r="CE100" s="25">
        <f t="shared" si="233"/>
        <v>0.37641478260916666</v>
      </c>
      <c r="CF100" s="32">
        <f t="shared" si="233"/>
        <v>0.41365297547392099</v>
      </c>
      <c r="CH100" s="54" t="s">
        <v>2077</v>
      </c>
      <c r="CI100" s="41">
        <v>8.9397668670927452E-2</v>
      </c>
      <c r="CJ100" s="40">
        <v>8.4034294309154711E-2</v>
      </c>
      <c r="CK100" s="39">
        <v>5.785662855002334E-2</v>
      </c>
      <c r="CL100" s="40">
        <v>5.6539125444936125E-2</v>
      </c>
      <c r="CM100" s="39">
        <v>8.9558786591462367E-2</v>
      </c>
      <c r="CN100" s="40">
        <v>9.2584833771296893E-2</v>
      </c>
      <c r="CO100" s="39">
        <v>9.2953691726335635E-2</v>
      </c>
      <c r="CP100" s="40">
        <v>9.444432619496719E-2</v>
      </c>
      <c r="CQ100" s="66">
        <v>9.9987741420809975E-2</v>
      </c>
      <c r="CS100" s="54" t="s">
        <v>2076</v>
      </c>
      <c r="CT100" s="39">
        <v>0</v>
      </c>
      <c r="CU100" s="40">
        <v>0</v>
      </c>
      <c r="CV100" s="39">
        <v>0</v>
      </c>
      <c r="CW100" s="40">
        <v>0</v>
      </c>
      <c r="CX100" s="39">
        <v>2.696709218706173</v>
      </c>
      <c r="CY100" s="40">
        <v>2.3505748876399122</v>
      </c>
      <c r="CZ100" s="39">
        <v>8.1659027068407344</v>
      </c>
      <c r="DA100" s="40">
        <v>0</v>
      </c>
      <c r="DB100" s="39">
        <v>0</v>
      </c>
      <c r="DC100" s="38">
        <v>13.21318681318682</v>
      </c>
      <c r="DE100" s="37" t="s">
        <v>1977</v>
      </c>
      <c r="DF100" s="35" t="str">
        <f t="shared" si="164"/>
        <v>IFDST</v>
      </c>
      <c r="DG100" s="26">
        <f t="shared" si="230"/>
        <v>0</v>
      </c>
      <c r="DH100" s="25">
        <f t="shared" si="230"/>
        <v>0</v>
      </c>
      <c r="DI100" s="24">
        <f t="shared" si="230"/>
        <v>1.0614424856193321</v>
      </c>
      <c r="DJ100" s="25">
        <f t="shared" si="230"/>
        <v>0.48657786686258087</v>
      </c>
      <c r="DK100" s="24">
        <f t="shared" si="230"/>
        <v>9.1967182834690769E-2</v>
      </c>
      <c r="DL100" s="25">
        <f t="shared" si="230"/>
        <v>0</v>
      </c>
      <c r="DM100" s="24">
        <f t="shared" si="230"/>
        <v>0</v>
      </c>
      <c r="DN100" s="25">
        <f t="shared" si="230"/>
        <v>0</v>
      </c>
      <c r="DO100" s="32">
        <f t="shared" si="230"/>
        <v>0</v>
      </c>
      <c r="DP100" s="26">
        <f t="shared" si="165"/>
        <v>0</v>
      </c>
      <c r="DQ100" s="25">
        <f t="shared" si="166"/>
        <v>0</v>
      </c>
      <c r="DR100" s="24">
        <f t="shared" si="167"/>
        <v>1.1740921298781114E-2</v>
      </c>
      <c r="DS100" s="25">
        <f t="shared" si="168"/>
        <v>3.9450009449030288E-3</v>
      </c>
      <c r="DT100" s="24">
        <f t="shared" si="169"/>
        <v>1.7146920571471146E-3</v>
      </c>
      <c r="DU100" s="25">
        <f t="shared" si="170"/>
        <v>0</v>
      </c>
      <c r="DV100" s="24">
        <f t="shared" si="171"/>
        <v>0</v>
      </c>
      <c r="DW100" s="25">
        <f t="shared" si="172"/>
        <v>0</v>
      </c>
      <c r="DX100" s="32">
        <f t="shared" si="173"/>
        <v>0</v>
      </c>
      <c r="DZ100" s="54" t="s">
        <v>1908</v>
      </c>
      <c r="EA100" s="39">
        <v>0</v>
      </c>
      <c r="EB100" s="40">
        <v>3.1105290345738602E-3</v>
      </c>
      <c r="EC100" s="39">
        <v>6.3164011606154941E-3</v>
      </c>
      <c r="ED100" s="40">
        <v>0</v>
      </c>
      <c r="EE100" s="39">
        <v>5.6657820510849733E-4</v>
      </c>
      <c r="EF100" s="40">
        <v>0</v>
      </c>
      <c r="EG100" s="39">
        <v>0</v>
      </c>
      <c r="EH100" s="40">
        <v>6.5637699738873678E-2</v>
      </c>
      <c r="EI100" s="66">
        <v>0</v>
      </c>
      <c r="EO100" s="83" t="s">
        <v>1477</v>
      </c>
      <c r="EP100" s="82" t="s">
        <v>439</v>
      </c>
      <c r="EQ100" s="81">
        <f t="shared" si="174"/>
        <v>29.933517313531446</v>
      </c>
      <c r="ER100" s="80">
        <f>EQ100/SUM(EQ98:EQ106)</f>
        <v>0.19026806830157944</v>
      </c>
      <c r="ET100" s="73" t="s">
        <v>440</v>
      </c>
      <c r="EU100" s="72">
        <v>7.660148068351133E-2</v>
      </c>
      <c r="EW100" s="37" t="s">
        <v>1477</v>
      </c>
      <c r="EX100" s="36" t="s">
        <v>2062</v>
      </c>
      <c r="EY100" s="36" t="s">
        <v>1145</v>
      </c>
      <c r="EZ100" s="1" t="s">
        <v>1945</v>
      </c>
      <c r="FA100" s="36" t="str">
        <f t="shared" si="175"/>
        <v>IPOFAC</v>
      </c>
      <c r="FB100" s="1" t="s">
        <v>517</v>
      </c>
      <c r="FC100" s="26">
        <f t="shared" si="176"/>
        <v>24.978390159523929</v>
      </c>
      <c r="FD100" s="25">
        <f t="shared" si="177"/>
        <v>5.1163134026725956</v>
      </c>
      <c r="FE100" s="24">
        <f t="shared" si="178"/>
        <v>0.20482958949705624</v>
      </c>
      <c r="FF100" s="36">
        <v>0</v>
      </c>
      <c r="FG100" s="86">
        <f t="shared" si="179"/>
        <v>0</v>
      </c>
    </row>
    <row r="101" spans="1:163">
      <c r="A101" s="22" t="s">
        <v>2075</v>
      </c>
      <c r="B101" s="20" t="s">
        <v>1107</v>
      </c>
      <c r="C101" s="21" t="s">
        <v>1106</v>
      </c>
      <c r="D101" s="20" t="s">
        <v>1106</v>
      </c>
      <c r="E101" s="20" t="s">
        <v>2074</v>
      </c>
      <c r="F101" s="21" t="e">
        <f t="shared" ca="1" si="232"/>
        <v>#NAME?</v>
      </c>
      <c r="G101" s="19" t="s">
        <v>1109</v>
      </c>
      <c r="H101" s="50">
        <f>1-I101</f>
        <v>0.90210545168774126</v>
      </c>
      <c r="I101" s="49">
        <v>9.7894548312258772E-2</v>
      </c>
      <c r="J101" s="11" t="e">
        <v>#REF!</v>
      </c>
      <c r="K101" s="10" t="e">
        <v>#REF!</v>
      </c>
      <c r="L101" s="9"/>
      <c r="M101" s="10"/>
      <c r="N101" s="9"/>
      <c r="O101" s="10"/>
      <c r="P101" s="9"/>
      <c r="Q101" s="10"/>
      <c r="R101" s="16"/>
      <c r="S101" s="15" t="e">
        <v>#REF!</v>
      </c>
      <c r="T101" s="13" t="e">
        <f t="shared" ref="T101:AA101" si="234">S101</f>
        <v>#REF!</v>
      </c>
      <c r="U101" s="14" t="e">
        <f t="shared" si="234"/>
        <v>#REF!</v>
      </c>
      <c r="V101" s="13" t="e">
        <f t="shared" si="234"/>
        <v>#REF!</v>
      </c>
      <c r="W101" s="14" t="e">
        <f t="shared" si="234"/>
        <v>#REF!</v>
      </c>
      <c r="X101" s="13" t="e">
        <f t="shared" si="234"/>
        <v>#REF!</v>
      </c>
      <c r="Y101" s="14" t="e">
        <f t="shared" si="234"/>
        <v>#REF!</v>
      </c>
      <c r="Z101" s="13" t="e">
        <f t="shared" si="234"/>
        <v>#REF!</v>
      </c>
      <c r="AA101" s="12" t="e">
        <f t="shared" si="234"/>
        <v>#REF!</v>
      </c>
      <c r="AB101" s="11" t="e">
        <f t="shared" si="227"/>
        <v>#REF!</v>
      </c>
      <c r="AC101" s="10" t="e">
        <f t="shared" si="227"/>
        <v>#REF!</v>
      </c>
      <c r="AD101" s="9" t="e">
        <f t="shared" si="227"/>
        <v>#REF!</v>
      </c>
      <c r="AE101" s="10" t="e">
        <f t="shared" si="227"/>
        <v>#REF!</v>
      </c>
      <c r="AF101" s="9" t="e">
        <f t="shared" si="227"/>
        <v>#REF!</v>
      </c>
      <c r="AG101" s="10" t="e">
        <f t="shared" si="227"/>
        <v>#REF!</v>
      </c>
      <c r="AH101" s="9" t="e">
        <f t="shared" si="227"/>
        <v>#REF!</v>
      </c>
      <c r="AI101" s="10" t="e">
        <f t="shared" si="227"/>
        <v>#REF!</v>
      </c>
      <c r="AJ101" s="9" t="e">
        <f t="shared" si="227"/>
        <v>#REF!</v>
      </c>
      <c r="AK101" s="8" t="e">
        <f t="shared" si="160"/>
        <v>#REF!</v>
      </c>
      <c r="AL101" s="11" t="e">
        <f t="shared" si="228"/>
        <v>#REF!</v>
      </c>
      <c r="AM101" s="10" t="e">
        <f t="shared" si="228"/>
        <v>#REF!</v>
      </c>
      <c r="AN101" s="9" t="e">
        <f t="shared" si="228"/>
        <v>#REF!</v>
      </c>
      <c r="AO101" s="10" t="e">
        <f t="shared" si="228"/>
        <v>#REF!</v>
      </c>
      <c r="AP101" s="9" t="e">
        <f t="shared" si="228"/>
        <v>#REF!</v>
      </c>
      <c r="AQ101" s="10" t="e">
        <f t="shared" si="228"/>
        <v>#REF!</v>
      </c>
      <c r="AR101" s="9" t="e">
        <f t="shared" si="228"/>
        <v>#REF!</v>
      </c>
      <c r="AS101" s="10" t="e">
        <f t="shared" si="228"/>
        <v>#REF!</v>
      </c>
      <c r="AT101" s="9" t="e">
        <f t="shared" si="228"/>
        <v>#REF!</v>
      </c>
      <c r="AU101" s="48" t="e">
        <f>SUM(AL101:AT101)</f>
        <v>#REF!</v>
      </c>
      <c r="AW101" s="51" t="s">
        <v>1247</v>
      </c>
      <c r="AX101" s="7">
        <v>8.0645257055617776</v>
      </c>
      <c r="AY101" s="6">
        <v>18.843743769691979</v>
      </c>
      <c r="AZ101" s="5">
        <v>116.24677052467294</v>
      </c>
      <c r="BA101" s="6">
        <v>69.492713422491462</v>
      </c>
      <c r="BB101" s="5">
        <v>249.53943408050742</v>
      </c>
      <c r="BC101" s="6">
        <v>224.53550971197137</v>
      </c>
      <c r="BD101" s="5">
        <v>753.50961557892583</v>
      </c>
      <c r="BE101" s="6">
        <v>0.91116270172091884</v>
      </c>
      <c r="BF101" s="5">
        <v>0.8859872117082348</v>
      </c>
      <c r="BG101" s="77">
        <v>1442.0294627072517</v>
      </c>
      <c r="BH101" s="59">
        <v>53.370730640856365</v>
      </c>
      <c r="BJ101" s="37" t="s">
        <v>1353</v>
      </c>
      <c r="BK101" s="36" t="s">
        <v>2033</v>
      </c>
      <c r="BL101" s="1" t="s">
        <v>1123</v>
      </c>
      <c r="BM101" s="36" t="s">
        <v>1935</v>
      </c>
      <c r="BN101" s="82" t="str">
        <f t="shared" si="223"/>
        <v>IPAPRH</v>
      </c>
      <c r="BO101" s="26">
        <f t="shared" si="224"/>
        <v>10.215629851922595</v>
      </c>
      <c r="BP101" s="25">
        <f t="shared" si="224"/>
        <v>9.013791045814056</v>
      </c>
      <c r="BQ101" s="24">
        <f t="shared" si="224"/>
        <v>14.302900795346876</v>
      </c>
      <c r="BR101" s="25">
        <f t="shared" si="224"/>
        <v>2.7388533437898266</v>
      </c>
      <c r="BS101" s="24">
        <f t="shared" si="224"/>
        <v>12.963309531370291</v>
      </c>
      <c r="BT101" s="25">
        <f t="shared" si="224"/>
        <v>7.5270829536988781</v>
      </c>
      <c r="BU101" s="24">
        <f t="shared" si="224"/>
        <v>5.4362265776714125</v>
      </c>
      <c r="BV101" s="25">
        <f t="shared" si="224"/>
        <v>1.3778344067583279</v>
      </c>
      <c r="BW101" s="32">
        <f t="shared" si="224"/>
        <v>10.67821665237704</v>
      </c>
      <c r="BX101" s="26">
        <f t="shared" ref="BX101:CF101" si="235">BO101/BO103</f>
        <v>0.14044252467925922</v>
      </c>
      <c r="BY101" s="25">
        <f t="shared" si="235"/>
        <v>0.15380518186440964</v>
      </c>
      <c r="BZ101" s="24">
        <f t="shared" si="235"/>
        <v>0.11207913916963033</v>
      </c>
      <c r="CA101" s="25">
        <f t="shared" si="235"/>
        <v>0.10002894845669578</v>
      </c>
      <c r="CB101" s="24">
        <f t="shared" si="235"/>
        <v>6.8927271434857426E-2</v>
      </c>
      <c r="CC101" s="25">
        <f t="shared" si="235"/>
        <v>7.5985648019230217E-2</v>
      </c>
      <c r="CD101" s="24">
        <f t="shared" si="235"/>
        <v>7.9637923097289606E-2</v>
      </c>
      <c r="CE101" s="25">
        <f t="shared" si="235"/>
        <v>0.10432609589093081</v>
      </c>
      <c r="CF101" s="32">
        <f t="shared" si="235"/>
        <v>0.1538795287119579</v>
      </c>
      <c r="CH101" s="54" t="s">
        <v>2073</v>
      </c>
      <c r="CI101" s="41">
        <v>0</v>
      </c>
      <c r="CJ101" s="40">
        <v>0</v>
      </c>
      <c r="CK101" s="39">
        <v>0</v>
      </c>
      <c r="CL101" s="40">
        <v>0</v>
      </c>
      <c r="CM101" s="39">
        <v>0</v>
      </c>
      <c r="CN101" s="40">
        <v>0</v>
      </c>
      <c r="CO101" s="39">
        <v>0</v>
      </c>
      <c r="CP101" s="40">
        <v>0</v>
      </c>
      <c r="CQ101" s="66">
        <v>0</v>
      </c>
      <c r="CS101" s="54" t="s">
        <v>2072</v>
      </c>
      <c r="CT101" s="39">
        <v>0</v>
      </c>
      <c r="CU101" s="40">
        <v>0</v>
      </c>
      <c r="CV101" s="39">
        <v>0</v>
      </c>
      <c r="CW101" s="40">
        <v>0</v>
      </c>
      <c r="CX101" s="39">
        <v>3.1979798246112536</v>
      </c>
      <c r="CY101" s="40">
        <v>2.7875052359248627</v>
      </c>
      <c r="CZ101" s="39">
        <v>9.6837997679053629</v>
      </c>
      <c r="DA101" s="40">
        <v>0</v>
      </c>
      <c r="DB101" s="39">
        <v>0</v>
      </c>
      <c r="DC101" s="38">
        <v>15.66928482844148</v>
      </c>
      <c r="DE101" s="37" t="s">
        <v>1990</v>
      </c>
      <c r="DF101" s="35" t="str">
        <f t="shared" si="164"/>
        <v>IFDST</v>
      </c>
      <c r="DG101" s="26">
        <f t="shared" si="230"/>
        <v>0</v>
      </c>
      <c r="DH101" s="25">
        <f t="shared" si="230"/>
        <v>0.73386376205575876</v>
      </c>
      <c r="DI101" s="24">
        <f t="shared" si="230"/>
        <v>6.0063692140871918</v>
      </c>
      <c r="DJ101" s="25">
        <f t="shared" si="230"/>
        <v>8.6248715329352379</v>
      </c>
      <c r="DK101" s="24">
        <f t="shared" si="230"/>
        <v>1.1618704890705152</v>
      </c>
      <c r="DL101" s="25">
        <f t="shared" si="230"/>
        <v>2.1490620905674955</v>
      </c>
      <c r="DM101" s="24">
        <f t="shared" si="230"/>
        <v>0</v>
      </c>
      <c r="DN101" s="25">
        <f t="shared" si="230"/>
        <v>0.65994618348255896</v>
      </c>
      <c r="DO101" s="32">
        <f t="shared" si="230"/>
        <v>1.0196992778445369E-6</v>
      </c>
      <c r="DP101" s="26">
        <f t="shared" si="165"/>
        <v>0</v>
      </c>
      <c r="DQ101" s="25">
        <f t="shared" si="166"/>
        <v>8.2061266963663615E-2</v>
      </c>
      <c r="DR101" s="24">
        <f t="shared" si="167"/>
        <v>6.6438181238686889E-2</v>
      </c>
      <c r="DS101" s="25">
        <f t="shared" si="168"/>
        <v>6.9927402506999178E-2</v>
      </c>
      <c r="DT101" s="24">
        <f t="shared" si="169"/>
        <v>2.1662619617520269E-2</v>
      </c>
      <c r="DU101" s="25">
        <f t="shared" si="170"/>
        <v>0.12490434343754535</v>
      </c>
      <c r="DV101" s="24">
        <f t="shared" si="171"/>
        <v>0</v>
      </c>
      <c r="DW101" s="25">
        <f t="shared" si="172"/>
        <v>6.0607787746628311E-2</v>
      </c>
      <c r="DX101" s="32">
        <f t="shared" si="173"/>
        <v>2.0104316417945807E-8</v>
      </c>
      <c r="DZ101" s="54" t="s">
        <v>1900</v>
      </c>
      <c r="EA101" s="39">
        <v>0.18713899330116382</v>
      </c>
      <c r="EB101" s="40">
        <v>2.2659023825792601E-2</v>
      </c>
      <c r="EC101" s="39">
        <v>3.4804058861038198E-2</v>
      </c>
      <c r="ED101" s="40">
        <v>0.16639788773147327</v>
      </c>
      <c r="EE101" s="39">
        <v>8.4873406441776586E-3</v>
      </c>
      <c r="EF101" s="40">
        <v>3.3972455197825338E-2</v>
      </c>
      <c r="EG101" s="39">
        <v>4.146871271558461E-2</v>
      </c>
      <c r="EH101" s="40">
        <v>0.13283134144643885</v>
      </c>
      <c r="EI101" s="66">
        <v>2.8971405742890713E-2</v>
      </c>
      <c r="EO101" s="83" t="s">
        <v>1477</v>
      </c>
      <c r="EP101" s="82" t="s">
        <v>518</v>
      </c>
      <c r="EQ101" s="81">
        <f t="shared" si="174"/>
        <v>5.7446507212596147</v>
      </c>
      <c r="ER101" s="80">
        <f>EQ101/SUM(EQ98:EQ106)</f>
        <v>3.6515040459586777E-2</v>
      </c>
      <c r="ET101" s="73" t="s">
        <v>439</v>
      </c>
      <c r="EU101" s="72">
        <v>0.16385460953949468</v>
      </c>
      <c r="EW101" s="37" t="s">
        <v>1477</v>
      </c>
      <c r="EX101" s="36" t="s">
        <v>2062</v>
      </c>
      <c r="EY101" s="36" t="s">
        <v>1145</v>
      </c>
      <c r="EZ101" s="1" t="s">
        <v>1945</v>
      </c>
      <c r="FA101" s="36" t="str">
        <f t="shared" si="175"/>
        <v>IPOFAC</v>
      </c>
      <c r="FB101" s="1" t="s">
        <v>519</v>
      </c>
      <c r="FC101" s="26">
        <f t="shared" si="176"/>
        <v>16.111504970144722</v>
      </c>
      <c r="FD101" s="25">
        <f t="shared" si="177"/>
        <v>2.9707626209066689</v>
      </c>
      <c r="FE101" s="24">
        <f t="shared" si="178"/>
        <v>0.18438765505839544</v>
      </c>
      <c r="FF101" s="36">
        <v>0</v>
      </c>
      <c r="FG101" s="86">
        <f t="shared" si="179"/>
        <v>0</v>
      </c>
    </row>
    <row r="102" spans="1:163">
      <c r="A102" s="37" t="s">
        <v>2032</v>
      </c>
      <c r="B102" s="36" t="s">
        <v>1145</v>
      </c>
      <c r="C102" s="1" t="s">
        <v>1126</v>
      </c>
      <c r="D102" s="36" t="s">
        <v>1126</v>
      </c>
      <c r="E102" s="36" t="s">
        <v>2071</v>
      </c>
      <c r="F102" s="1" t="e">
        <f t="shared" ca="1" si="232"/>
        <v>#NAME?</v>
      </c>
      <c r="G102" s="35" t="s">
        <v>1121</v>
      </c>
      <c r="H102" s="43">
        <v>1</v>
      </c>
      <c r="I102" s="42">
        <v>0</v>
      </c>
      <c r="J102" s="26">
        <v>1.211028188892084</v>
      </c>
      <c r="K102" s="25">
        <v>0.73448448181904291</v>
      </c>
      <c r="L102" s="24"/>
      <c r="M102" s="25"/>
      <c r="N102" s="24"/>
      <c r="O102" s="25"/>
      <c r="P102" s="24"/>
      <c r="Q102" s="25"/>
      <c r="R102" s="32"/>
      <c r="S102" s="47">
        <v>1</v>
      </c>
      <c r="T102" s="45">
        <v>1</v>
      </c>
      <c r="U102" s="46">
        <v>1</v>
      </c>
      <c r="V102" s="45">
        <v>1</v>
      </c>
      <c r="W102" s="46">
        <v>1</v>
      </c>
      <c r="X102" s="45">
        <v>1</v>
      </c>
      <c r="Y102" s="46">
        <v>1</v>
      </c>
      <c r="Z102" s="45">
        <v>1</v>
      </c>
      <c r="AA102" s="44">
        <v>1</v>
      </c>
      <c r="AB102" s="26">
        <f t="shared" ref="AB102:AB112" si="236">J102*$H102*S102</f>
        <v>1.211028188892084</v>
      </c>
      <c r="AC102" s="25">
        <f t="shared" ref="AC102:AC112" si="237">K102*$H102*T102</f>
        <v>0.73448448181904291</v>
      </c>
      <c r="AD102" s="24">
        <f t="shared" ref="AD102:AD112" si="238">L102*$H102*U102</f>
        <v>0</v>
      </c>
      <c r="AE102" s="25">
        <f t="shared" ref="AE102:AE112" si="239">M102*$H102*V102</f>
        <v>0</v>
      </c>
      <c r="AF102" s="24">
        <f t="shared" ref="AF102:AF112" si="240">N102*$H102*W102</f>
        <v>0</v>
      </c>
      <c r="AG102" s="25">
        <f t="shared" ref="AG102:AG112" si="241">O102*$H102*X102</f>
        <v>0</v>
      </c>
      <c r="AH102" s="24">
        <f t="shared" ref="AH102:AH112" si="242">P102*$H102*Y102</f>
        <v>0</v>
      </c>
      <c r="AI102" s="25">
        <f t="shared" ref="AI102:AI112" si="243">Q102*$H102*Z102</f>
        <v>0</v>
      </c>
      <c r="AJ102" s="24">
        <f t="shared" ref="AJ102:AJ112" si="244">R102*$H102*AA102</f>
        <v>0</v>
      </c>
      <c r="AK102" s="27">
        <f t="shared" si="160"/>
        <v>1.945512670711127</v>
      </c>
      <c r="AL102" s="41">
        <v>0</v>
      </c>
      <c r="AM102" s="40">
        <v>0</v>
      </c>
      <c r="AN102" s="39">
        <v>0</v>
      </c>
      <c r="AO102" s="40">
        <v>0</v>
      </c>
      <c r="AP102" s="39">
        <v>0</v>
      </c>
      <c r="AQ102" s="40">
        <v>0</v>
      </c>
      <c r="AR102" s="39">
        <v>0</v>
      </c>
      <c r="AS102" s="40">
        <v>0</v>
      </c>
      <c r="AT102" s="39">
        <v>0</v>
      </c>
      <c r="AU102" s="38">
        <v>0</v>
      </c>
      <c r="AW102" s="100" t="s">
        <v>1150</v>
      </c>
      <c r="AX102" s="41">
        <v>0.11213804322720264</v>
      </c>
      <c r="AY102" s="40">
        <v>0.30867830515738132</v>
      </c>
      <c r="AZ102" s="39">
        <v>1.0035423189574528</v>
      </c>
      <c r="BA102" s="40">
        <v>0.67972307458088332</v>
      </c>
      <c r="BB102" s="39">
        <v>1.8608494992542197</v>
      </c>
      <c r="BC102" s="40">
        <v>1.6220013905403061</v>
      </c>
      <c r="BD102" s="39">
        <v>5.6348366585381289</v>
      </c>
      <c r="BE102" s="40">
        <v>8.6212777743130159E-2</v>
      </c>
      <c r="BF102" s="39">
        <v>5.4059338385064534E-2</v>
      </c>
      <c r="BG102" s="81">
        <v>11.362041406383771</v>
      </c>
      <c r="BH102" s="66">
        <v>0</v>
      </c>
      <c r="BJ102" s="37" t="s">
        <v>1353</v>
      </c>
      <c r="BK102" s="36" t="s">
        <v>2033</v>
      </c>
      <c r="BL102" s="1" t="s">
        <v>1107</v>
      </c>
      <c r="BM102" s="36" t="s">
        <v>1937</v>
      </c>
      <c r="BN102" s="82" t="str">
        <f t="shared" si="223"/>
        <v>IPASTM</v>
      </c>
      <c r="BO102" s="26">
        <f t="shared" si="224"/>
        <v>20.781741272128418</v>
      </c>
      <c r="BP102" s="25">
        <f t="shared" si="224"/>
        <v>13.722340177352837</v>
      </c>
      <c r="BQ102" s="24">
        <f t="shared" si="224"/>
        <v>31.87323221946032</v>
      </c>
      <c r="BR102" s="25">
        <f t="shared" si="224"/>
        <v>8.8721479551194662</v>
      </c>
      <c r="BS102" s="24">
        <f t="shared" si="224"/>
        <v>50.021790311648878</v>
      </c>
      <c r="BT102" s="25">
        <f t="shared" si="224"/>
        <v>21.723686930088629</v>
      </c>
      <c r="BU102" s="24">
        <f t="shared" si="224"/>
        <v>11.89191535012281</v>
      </c>
      <c r="BV102" s="25">
        <f t="shared" si="224"/>
        <v>3.8898582045451495</v>
      </c>
      <c r="BW102" s="32">
        <f t="shared" si="224"/>
        <v>7.0084064797852985</v>
      </c>
      <c r="BX102" s="26">
        <f t="shared" ref="BX102:CF102" si="245">BO102/BO103</f>
        <v>0.28570340290271806</v>
      </c>
      <c r="BY102" s="25">
        <f t="shared" si="245"/>
        <v>0.23414865242113433</v>
      </c>
      <c r="BZ102" s="24">
        <f t="shared" si="245"/>
        <v>0.24976223220907842</v>
      </c>
      <c r="CA102" s="25">
        <f t="shared" si="245"/>
        <v>0.3240303583669818</v>
      </c>
      <c r="CB102" s="24">
        <f t="shared" si="245"/>
        <v>0.26597108632829858</v>
      </c>
      <c r="CC102" s="25">
        <f t="shared" si="245"/>
        <v>0.2192998853478163</v>
      </c>
      <c r="CD102" s="24">
        <f t="shared" si="245"/>
        <v>0.1742104429610111</v>
      </c>
      <c r="CE102" s="25">
        <f t="shared" si="245"/>
        <v>0.29453011048277655</v>
      </c>
      <c r="CF102" s="32">
        <f t="shared" si="245"/>
        <v>0.10099535542679999</v>
      </c>
      <c r="CH102" s="54" t="s">
        <v>2070</v>
      </c>
      <c r="CI102" s="41">
        <v>0.14961709507014417</v>
      </c>
      <c r="CJ102" s="40">
        <v>0.14064088233761812</v>
      </c>
      <c r="CK102" s="39">
        <v>8.3147048750787919E-2</v>
      </c>
      <c r="CL102" s="40">
        <v>8.1253635711462838E-2</v>
      </c>
      <c r="CM102" s="39">
        <v>0.13706035508446868</v>
      </c>
      <c r="CN102" s="40">
        <v>0.14169140377053935</v>
      </c>
      <c r="CO102" s="39">
        <v>0.14225590228841184</v>
      </c>
      <c r="CP102" s="40">
        <v>0.13805771560539376</v>
      </c>
      <c r="CQ102" s="66">
        <v>0.1461610212624444</v>
      </c>
      <c r="CS102" s="54" t="s">
        <v>2069</v>
      </c>
      <c r="CT102" s="39">
        <v>1.3789460689416781E-2</v>
      </c>
      <c r="CU102" s="40">
        <v>3.7957745936581098E-2</v>
      </c>
      <c r="CV102" s="39">
        <v>0.35324456955598149</v>
      </c>
      <c r="CW102" s="40">
        <v>0.23926094631169439</v>
      </c>
      <c r="CX102" s="39">
        <v>0.3390146671705595</v>
      </c>
      <c r="CY102" s="40">
        <v>0.29550066342527165</v>
      </c>
      <c r="CZ102" s="39">
        <v>1.026570002098701</v>
      </c>
      <c r="DA102" s="40">
        <v>1.2721759810332748E-2</v>
      </c>
      <c r="DB102" s="39">
        <v>7.9771228400664085E-3</v>
      </c>
      <c r="DC102" s="38">
        <v>2.3260369378386052</v>
      </c>
      <c r="DE102" s="37" t="s">
        <v>1770</v>
      </c>
      <c r="DF102" s="35" t="str">
        <f t="shared" si="164"/>
        <v>INGST</v>
      </c>
      <c r="DG102" s="26">
        <f t="shared" si="230"/>
        <v>0</v>
      </c>
      <c r="DH102" s="25">
        <f t="shared" si="230"/>
        <v>0</v>
      </c>
      <c r="DI102" s="24">
        <f t="shared" si="230"/>
        <v>0</v>
      </c>
      <c r="DJ102" s="25">
        <f t="shared" si="230"/>
        <v>0</v>
      </c>
      <c r="DK102" s="24">
        <f t="shared" si="230"/>
        <v>0</v>
      </c>
      <c r="DL102" s="25">
        <f t="shared" si="230"/>
        <v>0</v>
      </c>
      <c r="DM102" s="24">
        <f t="shared" si="230"/>
        <v>0</v>
      </c>
      <c r="DN102" s="25">
        <f t="shared" si="230"/>
        <v>0</v>
      </c>
      <c r="DO102" s="32">
        <f t="shared" si="230"/>
        <v>0</v>
      </c>
      <c r="DP102" s="26">
        <f t="shared" si="165"/>
        <v>0</v>
      </c>
      <c r="DQ102" s="25">
        <f t="shared" si="166"/>
        <v>0</v>
      </c>
      <c r="DR102" s="24">
        <f t="shared" si="167"/>
        <v>0</v>
      </c>
      <c r="DS102" s="25">
        <f t="shared" si="168"/>
        <v>0</v>
      </c>
      <c r="DT102" s="24">
        <f t="shared" si="169"/>
        <v>0</v>
      </c>
      <c r="DU102" s="25">
        <f t="shared" si="170"/>
        <v>0</v>
      </c>
      <c r="DV102" s="24">
        <f t="shared" si="171"/>
        <v>0</v>
      </c>
      <c r="DW102" s="25">
        <f t="shared" si="172"/>
        <v>0</v>
      </c>
      <c r="DX102" s="32">
        <f t="shared" si="173"/>
        <v>0</v>
      </c>
      <c r="DZ102" s="54" t="s">
        <v>1898</v>
      </c>
      <c r="EA102" s="39">
        <v>0</v>
      </c>
      <c r="EB102" s="40">
        <v>9.4048016745243351E-2</v>
      </c>
      <c r="EC102" s="39">
        <v>0.41169715801965356</v>
      </c>
      <c r="ED102" s="40">
        <v>0.42798748243759932</v>
      </c>
      <c r="EE102" s="39">
        <v>6.2394814183647236E-2</v>
      </c>
      <c r="EF102" s="40">
        <v>0.33373085549929354</v>
      </c>
      <c r="EG102" s="39">
        <v>0.34864457534316978</v>
      </c>
      <c r="EH102" s="40">
        <v>0.8015309588146875</v>
      </c>
      <c r="EI102" s="66">
        <v>5.1067393728786971E-2</v>
      </c>
      <c r="EO102" s="83" t="s">
        <v>1477</v>
      </c>
      <c r="EP102" s="82" t="s">
        <v>517</v>
      </c>
      <c r="EQ102" s="81">
        <f t="shared" si="174"/>
        <v>24.978390159523929</v>
      </c>
      <c r="ER102" s="80">
        <f>EQ102/SUM(EQ98:EQ106)</f>
        <v>0.15877152007082679</v>
      </c>
      <c r="ET102" s="73" t="s">
        <v>518</v>
      </c>
      <c r="EU102" s="72">
        <v>0.11356879596990374</v>
      </c>
      <c r="EW102" s="37" t="s">
        <v>1477</v>
      </c>
      <c r="EX102" s="36" t="s">
        <v>2062</v>
      </c>
      <c r="EY102" s="36" t="s">
        <v>1145</v>
      </c>
      <c r="EZ102" s="1" t="s">
        <v>1945</v>
      </c>
      <c r="FA102" s="36" t="str">
        <f t="shared" si="175"/>
        <v>IPOFAC</v>
      </c>
      <c r="FB102" s="1" t="s">
        <v>520</v>
      </c>
      <c r="FC102" s="26">
        <f t="shared" si="176"/>
        <v>10.088812486482739</v>
      </c>
      <c r="FD102" s="25">
        <f t="shared" si="177"/>
        <v>2.1455507817659276</v>
      </c>
      <c r="FE102" s="24">
        <f t="shared" si="178"/>
        <v>0.21266633557126707</v>
      </c>
      <c r="FF102" s="36">
        <v>0</v>
      </c>
      <c r="FG102" s="86">
        <f t="shared" si="179"/>
        <v>0</v>
      </c>
    </row>
    <row r="103" spans="1:163">
      <c r="A103" s="37" t="s">
        <v>2032</v>
      </c>
      <c r="B103" s="36" t="s">
        <v>1145</v>
      </c>
      <c r="C103" s="1" t="s">
        <v>665</v>
      </c>
      <c r="D103" s="36" t="s">
        <v>665</v>
      </c>
      <c r="E103" s="36" t="s">
        <v>2068</v>
      </c>
      <c r="F103" s="1" t="e">
        <f t="shared" ca="1" si="232"/>
        <v>#NAME?</v>
      </c>
      <c r="G103" s="35" t="s">
        <v>1121</v>
      </c>
      <c r="H103" s="43">
        <v>1</v>
      </c>
      <c r="I103" s="42">
        <v>0</v>
      </c>
      <c r="J103" s="26">
        <v>1.2769877818706121</v>
      </c>
      <c r="K103" s="25">
        <v>0.80675911546644286</v>
      </c>
      <c r="L103" s="24"/>
      <c r="M103" s="25"/>
      <c r="N103" s="24"/>
      <c r="O103" s="25"/>
      <c r="P103" s="24"/>
      <c r="Q103" s="25"/>
      <c r="R103" s="32"/>
      <c r="S103" s="47">
        <v>1</v>
      </c>
      <c r="T103" s="45">
        <v>1</v>
      </c>
      <c r="U103" s="46">
        <v>1</v>
      </c>
      <c r="V103" s="45">
        <v>1</v>
      </c>
      <c r="W103" s="46">
        <v>1</v>
      </c>
      <c r="X103" s="45">
        <v>1</v>
      </c>
      <c r="Y103" s="46">
        <v>1</v>
      </c>
      <c r="Z103" s="45">
        <v>1</v>
      </c>
      <c r="AA103" s="44">
        <v>1</v>
      </c>
      <c r="AB103" s="26">
        <f t="shared" si="236"/>
        <v>1.2769877818706121</v>
      </c>
      <c r="AC103" s="25">
        <f t="shared" si="237"/>
        <v>0.80675911546644286</v>
      </c>
      <c r="AD103" s="24">
        <f t="shared" si="238"/>
        <v>0</v>
      </c>
      <c r="AE103" s="25">
        <f t="shared" si="239"/>
        <v>0</v>
      </c>
      <c r="AF103" s="24">
        <f t="shared" si="240"/>
        <v>0</v>
      </c>
      <c r="AG103" s="25">
        <f t="shared" si="241"/>
        <v>0</v>
      </c>
      <c r="AH103" s="24">
        <f t="shared" si="242"/>
        <v>0</v>
      </c>
      <c r="AI103" s="25">
        <f t="shared" si="243"/>
        <v>0</v>
      </c>
      <c r="AJ103" s="24">
        <f t="shared" si="244"/>
        <v>0</v>
      </c>
      <c r="AK103" s="27">
        <f t="shared" si="160"/>
        <v>2.083746897337055</v>
      </c>
      <c r="AL103" s="41">
        <v>0</v>
      </c>
      <c r="AM103" s="40">
        <v>0</v>
      </c>
      <c r="AN103" s="39">
        <v>0</v>
      </c>
      <c r="AO103" s="40">
        <v>0</v>
      </c>
      <c r="AP103" s="39">
        <v>0</v>
      </c>
      <c r="AQ103" s="40">
        <v>0</v>
      </c>
      <c r="AR103" s="39">
        <v>0</v>
      </c>
      <c r="AS103" s="40">
        <v>0</v>
      </c>
      <c r="AT103" s="39">
        <v>0</v>
      </c>
      <c r="AU103" s="38">
        <v>0</v>
      </c>
      <c r="AW103" s="100" t="s">
        <v>1145</v>
      </c>
      <c r="AX103" s="41">
        <v>0.13684191590291611</v>
      </c>
      <c r="AY103" s="40">
        <v>0.37667975523541475</v>
      </c>
      <c r="AZ103" s="39">
        <v>1.2081852895915466</v>
      </c>
      <c r="BA103" s="40">
        <v>0.81833262453516797</v>
      </c>
      <c r="BB103" s="39">
        <v>2.6546496488783591</v>
      </c>
      <c r="BC103" s="40">
        <v>2.3139138461244206</v>
      </c>
      <c r="BD103" s="39">
        <v>8.0385421620986204</v>
      </c>
      <c r="BE103" s="40">
        <v>0.10143999794455959</v>
      </c>
      <c r="BF103" s="39">
        <v>6.3607499006748697E-2</v>
      </c>
      <c r="BG103" s="81">
        <v>15.712192739317754</v>
      </c>
      <c r="BH103" s="66">
        <v>0</v>
      </c>
      <c r="BJ103" s="22" t="s">
        <v>1353</v>
      </c>
      <c r="BK103" s="20" t="s">
        <v>2033</v>
      </c>
      <c r="BL103" s="21" t="s">
        <v>1027</v>
      </c>
      <c r="BM103" s="20"/>
      <c r="BN103" s="78"/>
      <c r="BO103" s="11">
        <f t="shared" ref="BO103:BW103" si="246">GETPIVOTDATA("Sum of "&amp;BO$1&amp;" (Out)",$AW$6,"Sub-Sector",$BJ103)</f>
        <v>72.738865064216952</v>
      </c>
      <c r="BP103" s="10">
        <f t="shared" si="246"/>
        <v>58.60524942365312</v>
      </c>
      <c r="BQ103" s="9">
        <f t="shared" si="246"/>
        <v>127.61429915784434</v>
      </c>
      <c r="BR103" s="10">
        <f t="shared" si="246"/>
        <v>27.38060717468726</v>
      </c>
      <c r="BS103" s="9">
        <f t="shared" si="246"/>
        <v>188.07228636087538</v>
      </c>
      <c r="BT103" s="10">
        <f t="shared" si="246"/>
        <v>99.059271716600307</v>
      </c>
      <c r="BU103" s="9">
        <f t="shared" si="246"/>
        <v>68.261782405227351</v>
      </c>
      <c r="BV103" s="10">
        <f t="shared" si="246"/>
        <v>13.206996724949857</v>
      </c>
      <c r="BW103" s="16">
        <f t="shared" si="246"/>
        <v>69.3933542801866</v>
      </c>
      <c r="BX103" s="11"/>
      <c r="BY103" s="6"/>
      <c r="BZ103" s="5"/>
      <c r="CA103" s="6"/>
      <c r="CB103" s="5"/>
      <c r="CC103" s="6"/>
      <c r="CD103" s="5"/>
      <c r="CE103" s="6"/>
      <c r="CF103" s="59"/>
      <c r="CH103" s="54" t="s">
        <v>2067</v>
      </c>
      <c r="CI103" s="41">
        <v>3.28374272753914E-2</v>
      </c>
      <c r="CJ103" s="40">
        <v>6.7105759569902793E-2</v>
      </c>
      <c r="CK103" s="39">
        <v>0.1203346414570043</v>
      </c>
      <c r="CL103" s="40">
        <v>0.11759439772448049</v>
      </c>
      <c r="CM103" s="39">
        <v>5.4614223225779107E-2</v>
      </c>
      <c r="CN103" s="40">
        <v>5.6459549881723067E-2</v>
      </c>
      <c r="CO103" s="39">
        <v>5.6684484714605347E-2</v>
      </c>
      <c r="CP103" s="40">
        <v>2.5989271882583414E-2</v>
      </c>
      <c r="CQ103" s="66">
        <v>2.7514713709179434E-2</v>
      </c>
      <c r="CS103" s="54" t="s">
        <v>2066</v>
      </c>
      <c r="CT103" s="39">
        <v>0.32707477324960438</v>
      </c>
      <c r="CU103" s="40">
        <v>0.90032680935823028</v>
      </c>
      <c r="CV103" s="39">
        <v>4.2076307471041714</v>
      </c>
      <c r="CW103" s="40">
        <v>2.849928352890879</v>
      </c>
      <c r="CX103" s="39">
        <v>28.306858042102476</v>
      </c>
      <c r="CY103" s="40">
        <v>24.67354996979514</v>
      </c>
      <c r="CZ103" s="39">
        <v>85.715970822787725</v>
      </c>
      <c r="DA103" s="40">
        <v>0.56578083422988712</v>
      </c>
      <c r="DB103" s="39">
        <v>0.35477035272598889</v>
      </c>
      <c r="DC103" s="38">
        <v>147.9018907042441</v>
      </c>
      <c r="DE103" s="37" t="s">
        <v>1772</v>
      </c>
      <c r="DF103" s="35" t="str">
        <f t="shared" si="164"/>
        <v>INGST</v>
      </c>
      <c r="DG103" s="26">
        <f t="shared" si="230"/>
        <v>0</v>
      </c>
      <c r="DH103" s="25">
        <f t="shared" si="230"/>
        <v>0</v>
      </c>
      <c r="DI103" s="24">
        <f t="shared" si="230"/>
        <v>0</v>
      </c>
      <c r="DJ103" s="25">
        <f t="shared" si="230"/>
        <v>0</v>
      </c>
      <c r="DK103" s="24">
        <f t="shared" si="230"/>
        <v>0</v>
      </c>
      <c r="DL103" s="25">
        <f t="shared" si="230"/>
        <v>0</v>
      </c>
      <c r="DM103" s="24">
        <f t="shared" si="230"/>
        <v>1.0566564568276462</v>
      </c>
      <c r="DN103" s="25">
        <f t="shared" si="230"/>
        <v>0</v>
      </c>
      <c r="DO103" s="32">
        <f t="shared" si="230"/>
        <v>0</v>
      </c>
      <c r="DP103" s="26">
        <f t="shared" si="165"/>
        <v>0</v>
      </c>
      <c r="DQ103" s="25">
        <f t="shared" si="166"/>
        <v>0</v>
      </c>
      <c r="DR103" s="24">
        <f t="shared" si="167"/>
        <v>0</v>
      </c>
      <c r="DS103" s="25">
        <f t="shared" si="168"/>
        <v>0</v>
      </c>
      <c r="DT103" s="24">
        <f t="shared" si="169"/>
        <v>0</v>
      </c>
      <c r="DU103" s="25">
        <f t="shared" si="170"/>
        <v>0</v>
      </c>
      <c r="DV103" s="24">
        <f t="shared" si="171"/>
        <v>1</v>
      </c>
      <c r="DW103" s="25">
        <f t="shared" si="172"/>
        <v>0</v>
      </c>
      <c r="DX103" s="32">
        <f t="shared" si="173"/>
        <v>0</v>
      </c>
      <c r="DZ103" s="54" t="s">
        <v>1896</v>
      </c>
      <c r="EA103" s="39">
        <v>0</v>
      </c>
      <c r="EB103" s="40">
        <v>0</v>
      </c>
      <c r="EC103" s="39">
        <v>0</v>
      </c>
      <c r="ED103" s="40">
        <v>0</v>
      </c>
      <c r="EE103" s="39">
        <v>8.5198642414997729E-4</v>
      </c>
      <c r="EF103" s="40">
        <v>2.9800487745008744E-3</v>
      </c>
      <c r="EG103" s="39">
        <v>4.4025666002454012E-3</v>
      </c>
      <c r="EH103" s="40">
        <v>0</v>
      </c>
      <c r="EI103" s="66">
        <v>0</v>
      </c>
      <c r="EO103" s="83" t="s">
        <v>1477</v>
      </c>
      <c r="EP103" s="82" t="s">
        <v>519</v>
      </c>
      <c r="EQ103" s="81">
        <f t="shared" si="174"/>
        <v>16.111504970144722</v>
      </c>
      <c r="ER103" s="80">
        <f>EQ103/SUM(EQ98:EQ106)</f>
        <v>0.10241044832760002</v>
      </c>
      <c r="ET103" s="73" t="s">
        <v>517</v>
      </c>
      <c r="EU103" s="72">
        <v>9.6987030496389931E-2</v>
      </c>
      <c r="EW103" s="37" t="s">
        <v>1477</v>
      </c>
      <c r="EX103" s="36" t="s">
        <v>2062</v>
      </c>
      <c r="EY103" s="36" t="s">
        <v>1129</v>
      </c>
      <c r="EZ103" s="1" t="s">
        <v>1910</v>
      </c>
      <c r="FA103" s="36" t="str">
        <f t="shared" si="175"/>
        <v>IPOOHT</v>
      </c>
      <c r="FB103" s="1" t="s">
        <v>521</v>
      </c>
      <c r="FC103" s="26">
        <f t="shared" si="176"/>
        <v>1.0152882742504583</v>
      </c>
      <c r="FD103" s="25">
        <f t="shared" si="177"/>
        <v>4.1820485371173097E-2</v>
      </c>
      <c r="FE103" s="24">
        <f t="shared" si="178"/>
        <v>4.1190749890268635E-2</v>
      </c>
      <c r="FF103" s="36">
        <v>0</v>
      </c>
      <c r="FG103" s="86">
        <f t="shared" si="179"/>
        <v>0</v>
      </c>
    </row>
    <row r="104" spans="1:163">
      <c r="A104" s="37" t="s">
        <v>2032</v>
      </c>
      <c r="B104" s="36" t="s">
        <v>1136</v>
      </c>
      <c r="C104" s="1" t="s">
        <v>1126</v>
      </c>
      <c r="D104" s="36" t="s">
        <v>1126</v>
      </c>
      <c r="E104" s="36" t="s">
        <v>2065</v>
      </c>
      <c r="F104" s="1" t="e">
        <f t="shared" ca="1" si="232"/>
        <v>#NAME?</v>
      </c>
      <c r="G104" s="35" t="s">
        <v>1121</v>
      </c>
      <c r="H104" s="43">
        <v>1</v>
      </c>
      <c r="I104" s="42">
        <v>0</v>
      </c>
      <c r="J104" s="26">
        <v>3.1140724857225015</v>
      </c>
      <c r="K104" s="25">
        <v>1.8886743818203962</v>
      </c>
      <c r="L104" s="24"/>
      <c r="M104" s="25"/>
      <c r="N104" s="24"/>
      <c r="O104" s="25"/>
      <c r="P104" s="24"/>
      <c r="Q104" s="25"/>
      <c r="R104" s="32"/>
      <c r="S104" s="47">
        <v>1</v>
      </c>
      <c r="T104" s="45">
        <v>1</v>
      </c>
      <c r="U104" s="46">
        <v>1</v>
      </c>
      <c r="V104" s="45">
        <v>1</v>
      </c>
      <c r="W104" s="46">
        <v>1</v>
      </c>
      <c r="X104" s="45">
        <v>1</v>
      </c>
      <c r="Y104" s="46">
        <v>1</v>
      </c>
      <c r="Z104" s="45">
        <v>1</v>
      </c>
      <c r="AA104" s="44">
        <v>1</v>
      </c>
      <c r="AB104" s="26">
        <f t="shared" si="236"/>
        <v>3.1140724857225015</v>
      </c>
      <c r="AC104" s="25">
        <f t="shared" si="237"/>
        <v>1.8886743818203962</v>
      </c>
      <c r="AD104" s="24">
        <f t="shared" si="238"/>
        <v>0</v>
      </c>
      <c r="AE104" s="25">
        <f t="shared" si="239"/>
        <v>0</v>
      </c>
      <c r="AF104" s="24">
        <f t="shared" si="240"/>
        <v>0</v>
      </c>
      <c r="AG104" s="25">
        <f t="shared" si="241"/>
        <v>0</v>
      </c>
      <c r="AH104" s="24">
        <f t="shared" si="242"/>
        <v>0</v>
      </c>
      <c r="AI104" s="25">
        <f t="shared" si="243"/>
        <v>0</v>
      </c>
      <c r="AJ104" s="24">
        <f t="shared" si="244"/>
        <v>0</v>
      </c>
      <c r="AK104" s="27">
        <f t="shared" si="160"/>
        <v>5.0027468675428981</v>
      </c>
      <c r="AL104" s="41">
        <v>0</v>
      </c>
      <c r="AM104" s="40">
        <v>0</v>
      </c>
      <c r="AN104" s="39">
        <v>0</v>
      </c>
      <c r="AO104" s="40">
        <v>0</v>
      </c>
      <c r="AP104" s="39">
        <v>0</v>
      </c>
      <c r="AQ104" s="40">
        <v>0</v>
      </c>
      <c r="AR104" s="39">
        <v>0</v>
      </c>
      <c r="AS104" s="40">
        <v>0</v>
      </c>
      <c r="AT104" s="39">
        <v>0</v>
      </c>
      <c r="AU104" s="38">
        <v>0</v>
      </c>
      <c r="AW104" s="100" t="s">
        <v>1139</v>
      </c>
      <c r="AX104" s="41">
        <v>3.1330203906408194</v>
      </c>
      <c r="AY104" s="40">
        <v>8.6241510585938705</v>
      </c>
      <c r="AZ104" s="39">
        <v>89.370900221342254</v>
      </c>
      <c r="BA104" s="40">
        <v>60.533035756400039</v>
      </c>
      <c r="BB104" s="39">
        <v>193.0095243872953</v>
      </c>
      <c r="BC104" s="40">
        <v>168.23591433331018</v>
      </c>
      <c r="BD104" s="39">
        <v>584.45196341800511</v>
      </c>
      <c r="BE104" s="40">
        <v>0</v>
      </c>
      <c r="BF104" s="39">
        <v>0</v>
      </c>
      <c r="BG104" s="81">
        <v>1107.3585095655876</v>
      </c>
      <c r="BH104" s="66">
        <v>0</v>
      </c>
      <c r="BJ104" s="37" t="s">
        <v>1282</v>
      </c>
      <c r="BK104" s="36" t="s">
        <v>2006</v>
      </c>
      <c r="BL104" s="1" t="s">
        <v>1150</v>
      </c>
      <c r="BM104" s="36" t="s">
        <v>1902</v>
      </c>
      <c r="BN104" s="82" t="str">
        <f t="shared" ref="BN104:BN110" si="247">BK104&amp;BM104</f>
        <v>IPBETC</v>
      </c>
      <c r="BO104" s="91">
        <f t="shared" ref="BO104:BW110" si="248">IF(ISERROR(GETPIVOTDATA("Sum of "&amp;BO$1&amp;" (Out)",$AW$6,"Sub-Sector",$BJ104,"End-Use",$BL104)),0,GETPIVOTDATA("Sum of "&amp;BO$1&amp;" (Out)",$AW$6,"Sub-Sector",$BJ104,"End-Use",$BL104))</f>
        <v>4.7796169924384124E-2</v>
      </c>
      <c r="BP104" s="89">
        <f t="shared" si="248"/>
        <v>4.2173091109750697E-2</v>
      </c>
      <c r="BQ104" s="90">
        <f t="shared" si="248"/>
        <v>0.13591784791942513</v>
      </c>
      <c r="BR104" s="89">
        <f t="shared" si="248"/>
        <v>2.6026821942017574E-2</v>
      </c>
      <c r="BS104" s="90">
        <f t="shared" si="248"/>
        <v>0.29689856141264487</v>
      </c>
      <c r="BT104" s="89">
        <f t="shared" si="248"/>
        <v>0.17239271307830994</v>
      </c>
      <c r="BU104" s="90">
        <f t="shared" si="248"/>
        <v>0.12450584833433496</v>
      </c>
      <c r="BV104" s="89">
        <f t="shared" si="248"/>
        <v>2.4677283026505549E-2</v>
      </c>
      <c r="BW104" s="88">
        <f t="shared" si="248"/>
        <v>0.19124894345541804</v>
      </c>
      <c r="BX104" s="26">
        <f t="shared" ref="BX104:CF104" si="249">BO104/BO111</f>
        <v>3.2612738152344905E-3</v>
      </c>
      <c r="BY104" s="25">
        <f t="shared" si="249"/>
        <v>3.6039869918174563E-3</v>
      </c>
      <c r="BZ104" s="24">
        <f t="shared" si="249"/>
        <v>5.080750126119824E-3</v>
      </c>
      <c r="CA104" s="25">
        <f t="shared" si="249"/>
        <v>4.5548414290078826E-3</v>
      </c>
      <c r="CB104" s="24">
        <f t="shared" si="249"/>
        <v>1.0754845507522175E-3</v>
      </c>
      <c r="CC104" s="25">
        <f t="shared" si="249"/>
        <v>1.1473735027088888E-3</v>
      </c>
      <c r="CD104" s="24">
        <f t="shared" si="249"/>
        <v>1.0577604108238971E-3</v>
      </c>
      <c r="CE104" s="25">
        <f t="shared" si="249"/>
        <v>2.615745875250472E-3</v>
      </c>
      <c r="CF104" s="32">
        <f t="shared" si="249"/>
        <v>2.6868785110367522E-3</v>
      </c>
      <c r="CH104" s="54" t="s">
        <v>2064</v>
      </c>
      <c r="CI104" s="41">
        <v>0.72317537099786378</v>
      </c>
      <c r="CJ104" s="40">
        <v>0.67978877824282502</v>
      </c>
      <c r="CK104" s="39">
        <v>0.71633110591569438</v>
      </c>
      <c r="CL104" s="40">
        <v>0.70001891351930401</v>
      </c>
      <c r="CM104" s="39">
        <v>0.67787868108752358</v>
      </c>
      <c r="CN104" s="40">
        <v>0.70078311011392591</v>
      </c>
      <c r="CO104" s="39">
        <v>0.70357502985275522</v>
      </c>
      <c r="CP104" s="40">
        <v>0.67923434581216591</v>
      </c>
      <c r="CQ104" s="66">
        <v>0.71910204529384381</v>
      </c>
      <c r="CS104" s="54" t="s">
        <v>1546</v>
      </c>
      <c r="CT104" s="39">
        <v>0.1090580969712745</v>
      </c>
      <c r="CU104" s="40">
        <v>0.3002002493353309</v>
      </c>
      <c r="CV104" s="39">
        <v>2.8466064634181185</v>
      </c>
      <c r="CW104" s="40">
        <v>1.9280742434922791</v>
      </c>
      <c r="CX104" s="39">
        <v>1.3642655572079676</v>
      </c>
      <c r="CY104" s="40">
        <v>1.1891561524692986</v>
      </c>
      <c r="CZ104" s="39">
        <v>4.1311312799972901</v>
      </c>
      <c r="DA104" s="40">
        <v>0.16768977243919697</v>
      </c>
      <c r="DB104" s="39">
        <v>0.10514912509854001</v>
      </c>
      <c r="DC104" s="38">
        <v>12.141330940429297</v>
      </c>
      <c r="DE104" s="37" t="s">
        <v>2063</v>
      </c>
      <c r="DF104" s="35" t="str">
        <f t="shared" si="164"/>
        <v>ICIST</v>
      </c>
      <c r="DG104" s="26">
        <f t="shared" si="230"/>
        <v>0</v>
      </c>
      <c r="DH104" s="25">
        <f t="shared" si="230"/>
        <v>0</v>
      </c>
      <c r="DI104" s="24">
        <f t="shared" si="230"/>
        <v>0</v>
      </c>
      <c r="DJ104" s="25">
        <f t="shared" si="230"/>
        <v>0</v>
      </c>
      <c r="DK104" s="24">
        <f t="shared" si="230"/>
        <v>0</v>
      </c>
      <c r="DL104" s="25">
        <f t="shared" si="230"/>
        <v>0</v>
      </c>
      <c r="DM104" s="24">
        <f t="shared" si="230"/>
        <v>0</v>
      </c>
      <c r="DN104" s="25">
        <f t="shared" si="230"/>
        <v>0</v>
      </c>
      <c r="DO104" s="32">
        <f t="shared" si="230"/>
        <v>0</v>
      </c>
      <c r="DP104" s="26">
        <f t="shared" si="165"/>
        <v>0</v>
      </c>
      <c r="DQ104" s="25">
        <f t="shared" si="166"/>
        <v>0</v>
      </c>
      <c r="DR104" s="24">
        <f t="shared" si="167"/>
        <v>0</v>
      </c>
      <c r="DS104" s="25">
        <f t="shared" si="168"/>
        <v>0</v>
      </c>
      <c r="DT104" s="24">
        <f t="shared" si="169"/>
        <v>0</v>
      </c>
      <c r="DU104" s="25">
        <f t="shared" si="170"/>
        <v>0</v>
      </c>
      <c r="DV104" s="24">
        <f t="shared" si="171"/>
        <v>0</v>
      </c>
      <c r="DW104" s="25">
        <f t="shared" si="172"/>
        <v>0</v>
      </c>
      <c r="DX104" s="32">
        <f t="shared" si="173"/>
        <v>0</v>
      </c>
      <c r="DZ104" s="54" t="s">
        <v>1885</v>
      </c>
      <c r="EA104" s="39">
        <v>4.2952334895122513E-4</v>
      </c>
      <c r="EB104" s="40">
        <v>4.2952334895122508E-4</v>
      </c>
      <c r="EC104" s="39">
        <v>1.509029904103374E-2</v>
      </c>
      <c r="ED104" s="40">
        <v>1.5090299041033735E-2</v>
      </c>
      <c r="EE104" s="39">
        <v>2.4545250589161935E-3</v>
      </c>
      <c r="EF104" s="40">
        <v>2.4545250589161939E-3</v>
      </c>
      <c r="EG104" s="39">
        <v>2.4545250589161935E-3</v>
      </c>
      <c r="EH104" s="40">
        <v>3.972509512911687E-3</v>
      </c>
      <c r="EI104" s="66">
        <v>3.9725095129116853E-3</v>
      </c>
      <c r="EO104" s="83" t="s">
        <v>1477</v>
      </c>
      <c r="EP104" s="82" t="s">
        <v>520</v>
      </c>
      <c r="EQ104" s="81">
        <f t="shared" ref="EQ104:EQ135" si="250">GETPIVOTDATA("Sum of "&amp;EP104&amp;" (Out)",$AW$6,"Sub-Sector",EO104)</f>
        <v>10.088812486482739</v>
      </c>
      <c r="ER104" s="80">
        <f>EQ104/SUM(EQ98:EQ106)</f>
        <v>6.412807566694409E-2</v>
      </c>
      <c r="ET104" s="73" t="s">
        <v>519</v>
      </c>
      <c r="EU104" s="72">
        <v>8.1775269566277078E-2</v>
      </c>
      <c r="EW104" s="22" t="s">
        <v>1477</v>
      </c>
      <c r="EX104" s="20" t="s">
        <v>2062</v>
      </c>
      <c r="EY104" s="20" t="s">
        <v>1129</v>
      </c>
      <c r="EZ104" s="85" t="s">
        <v>1910</v>
      </c>
      <c r="FA104" s="20" t="str">
        <f t="shared" ref="FA104:FA135" si="251">EX104&amp;EZ104</f>
        <v>IPOOHT</v>
      </c>
      <c r="FB104" s="78" t="s">
        <v>522</v>
      </c>
      <c r="FC104" s="11">
        <f t="shared" ref="FC104:FC135" si="252">GETPIVOTDATA("Sum of "&amp;FB104&amp;" (Out)",$AW$6,"Sub-Sector",EW104)</f>
        <v>8.5074190442772597</v>
      </c>
      <c r="FD104" s="10">
        <f t="shared" ref="FD104:FD135" si="253">GETPIVOTDATA("Sum of "&amp;FB104&amp;" (Out)",$AW$6,"Sub-Sector",EW104,"End-Use",EY104)</f>
        <v>0.32410876162659152</v>
      </c>
      <c r="FE104" s="9">
        <f t="shared" ref="FE104:FE135" si="254">GETPIVOTDATA("Sum of "&amp;FB104&amp;" (%)",$CH$6,"End-Use Commodity",FA104)</f>
        <v>3.8097190221823132E-2</v>
      </c>
      <c r="FF104" s="20">
        <v>0</v>
      </c>
      <c r="FG104" s="84">
        <f t="shared" ref="FG104:FG135" si="255">FC104-((FD104-FF104)/FE104)</f>
        <v>0</v>
      </c>
    </row>
    <row r="105" spans="1:163">
      <c r="A105" s="37" t="s">
        <v>2032</v>
      </c>
      <c r="B105" s="36" t="s">
        <v>1129</v>
      </c>
      <c r="C105" s="1" t="s">
        <v>1120</v>
      </c>
      <c r="D105" s="36" t="s">
        <v>1120</v>
      </c>
      <c r="E105" s="36" t="s">
        <v>2061</v>
      </c>
      <c r="F105" s="1" t="e">
        <f t="shared" ca="1" si="232"/>
        <v>#NAME?</v>
      </c>
      <c r="G105" s="35" t="s">
        <v>1121</v>
      </c>
      <c r="H105" s="43">
        <v>1</v>
      </c>
      <c r="I105" s="42">
        <v>0</v>
      </c>
      <c r="J105" s="26">
        <v>3.7574155153941993</v>
      </c>
      <c r="K105" s="25">
        <v>2.3496717693370841</v>
      </c>
      <c r="L105" s="24"/>
      <c r="M105" s="25"/>
      <c r="N105" s="24"/>
      <c r="O105" s="25"/>
      <c r="P105" s="24"/>
      <c r="Q105" s="25"/>
      <c r="R105" s="32"/>
      <c r="S105" s="47">
        <v>1</v>
      </c>
      <c r="T105" s="45">
        <v>1</v>
      </c>
      <c r="U105" s="46">
        <v>1</v>
      </c>
      <c r="V105" s="45">
        <v>1</v>
      </c>
      <c r="W105" s="46">
        <v>1</v>
      </c>
      <c r="X105" s="45">
        <v>1</v>
      </c>
      <c r="Y105" s="46">
        <v>1</v>
      </c>
      <c r="Z105" s="45">
        <v>1</v>
      </c>
      <c r="AA105" s="44">
        <v>1</v>
      </c>
      <c r="AB105" s="26">
        <f t="shared" si="236"/>
        <v>3.7574155153941993</v>
      </c>
      <c r="AC105" s="25">
        <f t="shared" si="237"/>
        <v>2.3496717693370841</v>
      </c>
      <c r="AD105" s="24">
        <f t="shared" si="238"/>
        <v>0</v>
      </c>
      <c r="AE105" s="25">
        <f t="shared" si="239"/>
        <v>0</v>
      </c>
      <c r="AF105" s="24">
        <f t="shared" si="240"/>
        <v>0</v>
      </c>
      <c r="AG105" s="25">
        <f t="shared" si="241"/>
        <v>0</v>
      </c>
      <c r="AH105" s="24">
        <f t="shared" si="242"/>
        <v>0</v>
      </c>
      <c r="AI105" s="25">
        <f t="shared" si="243"/>
        <v>0</v>
      </c>
      <c r="AJ105" s="24">
        <f t="shared" si="244"/>
        <v>0</v>
      </c>
      <c r="AK105" s="27">
        <f t="shared" si="160"/>
        <v>6.1070872847312838</v>
      </c>
      <c r="AL105" s="41">
        <v>0</v>
      </c>
      <c r="AM105" s="40">
        <v>0</v>
      </c>
      <c r="AN105" s="39">
        <v>0</v>
      </c>
      <c r="AO105" s="40">
        <v>0</v>
      </c>
      <c r="AP105" s="39">
        <v>0</v>
      </c>
      <c r="AQ105" s="40">
        <v>0</v>
      </c>
      <c r="AR105" s="39">
        <v>0</v>
      </c>
      <c r="AS105" s="40">
        <v>0</v>
      </c>
      <c r="AT105" s="39">
        <v>0</v>
      </c>
      <c r="AU105" s="38">
        <v>0</v>
      </c>
      <c r="AW105" s="100" t="s">
        <v>1136</v>
      </c>
      <c r="AX105" s="41">
        <v>0.68649501447704964</v>
      </c>
      <c r="AY105" s="40">
        <v>1.8896898097144881</v>
      </c>
      <c r="AZ105" s="39">
        <v>6.1168512490490539</v>
      </c>
      <c r="BA105" s="40">
        <v>4.1430887957738589</v>
      </c>
      <c r="BB105" s="39">
        <v>12.015654995785079</v>
      </c>
      <c r="BC105" s="40">
        <v>10.473393533021785</v>
      </c>
      <c r="BD105" s="39">
        <v>36.384593850137513</v>
      </c>
      <c r="BE105" s="40">
        <v>0.52166510454119808</v>
      </c>
      <c r="BF105" s="39">
        <v>0.32710778086859488</v>
      </c>
      <c r="BG105" s="81">
        <v>72.558540133368624</v>
      </c>
      <c r="BH105" s="66">
        <v>0</v>
      </c>
      <c r="BJ105" s="37" t="s">
        <v>1282</v>
      </c>
      <c r="BK105" s="36" t="s">
        <v>2006</v>
      </c>
      <c r="BL105" s="1" t="s">
        <v>1145</v>
      </c>
      <c r="BM105" s="36" t="s">
        <v>1945</v>
      </c>
      <c r="BN105" s="82" t="str">
        <f t="shared" si="247"/>
        <v>IPBFAC</v>
      </c>
      <c r="BO105" s="26">
        <f t="shared" si="248"/>
        <v>0.30974382010956242</v>
      </c>
      <c r="BP105" s="25">
        <f t="shared" si="248"/>
        <v>0.27330337068490806</v>
      </c>
      <c r="BQ105" s="24">
        <f t="shared" si="248"/>
        <v>0.84577592951801051</v>
      </c>
      <c r="BR105" s="25">
        <f t="shared" si="248"/>
        <v>0.16195709288642751</v>
      </c>
      <c r="BS105" s="24">
        <f t="shared" si="248"/>
        <v>2.5698213275455357</v>
      </c>
      <c r="BT105" s="25">
        <f t="shared" si="248"/>
        <v>1.4921543192199886</v>
      </c>
      <c r="BU105" s="24">
        <f t="shared" si="248"/>
        <v>1.0776670083255475</v>
      </c>
      <c r="BV105" s="25">
        <f t="shared" si="248"/>
        <v>0.26994835150601454</v>
      </c>
      <c r="BW105" s="32">
        <f t="shared" si="248"/>
        <v>2.0920997241716126</v>
      </c>
      <c r="BX105" s="26">
        <f t="shared" ref="BX105:CF105" si="256">BO105/BO111</f>
        <v>2.1134735514417576E-2</v>
      </c>
      <c r="BY105" s="25">
        <f t="shared" si="256"/>
        <v>2.3355693567848022E-2</v>
      </c>
      <c r="BZ105" s="24">
        <f t="shared" si="256"/>
        <v>3.1615981464886027E-2</v>
      </c>
      <c r="CA105" s="25">
        <f t="shared" si="256"/>
        <v>2.8343409658090315E-2</v>
      </c>
      <c r="CB105" s="24">
        <f t="shared" si="256"/>
        <v>9.3089138688264034E-3</v>
      </c>
      <c r="CC105" s="25">
        <f t="shared" si="256"/>
        <v>9.9311525252690214E-3</v>
      </c>
      <c r="CD105" s="24">
        <f t="shared" si="256"/>
        <v>9.1555016307088392E-3</v>
      </c>
      <c r="CE105" s="25">
        <f t="shared" si="256"/>
        <v>2.8614020685506253E-2</v>
      </c>
      <c r="CF105" s="32">
        <f t="shared" si="256"/>
        <v>2.9392150828446182E-2</v>
      </c>
      <c r="CH105" s="54" t="s">
        <v>2060</v>
      </c>
      <c r="CI105" s="41">
        <v>0</v>
      </c>
      <c r="CJ105" s="40">
        <v>2.3756166815321021E-2</v>
      </c>
      <c r="CK105" s="39">
        <v>1.9666545440917158E-2</v>
      </c>
      <c r="CL105" s="40">
        <v>4.199056263258158E-2</v>
      </c>
      <c r="CM105" s="39">
        <v>3.6522542266187723E-2</v>
      </c>
      <c r="CN105" s="40">
        <v>3.9681904848350548E-3</v>
      </c>
      <c r="CO105" s="39">
        <v>0</v>
      </c>
      <c r="CP105" s="40">
        <v>5.8497418385644366E-2</v>
      </c>
      <c r="CQ105" s="66">
        <v>3.2358695307441146E-3</v>
      </c>
      <c r="CS105" s="54" t="s">
        <v>1543</v>
      </c>
      <c r="CT105" s="39">
        <v>1.854682462726557</v>
      </c>
      <c r="CU105" s="40">
        <v>5.1053168284701576</v>
      </c>
      <c r="CV105" s="39">
        <v>47.511394605279506</v>
      </c>
      <c r="CW105" s="40">
        <v>32.180597278922896</v>
      </c>
      <c r="CX105" s="39">
        <v>45.597472734440252</v>
      </c>
      <c r="CY105" s="40">
        <v>39.744839230699036</v>
      </c>
      <c r="CZ105" s="39">
        <v>138.07366528227527</v>
      </c>
      <c r="DA105" s="40">
        <v>1.7110766944897546</v>
      </c>
      <c r="DB105" s="39">
        <v>1.0729230219889319</v>
      </c>
      <c r="DC105" s="38">
        <v>312.85196813929235</v>
      </c>
      <c r="DE105" s="37" t="s">
        <v>2059</v>
      </c>
      <c r="DF105" s="35" t="str">
        <f t="shared" si="164"/>
        <v>ICIST</v>
      </c>
      <c r="DG105" s="26">
        <f t="shared" si="230"/>
        <v>0</v>
      </c>
      <c r="DH105" s="25">
        <f t="shared" si="230"/>
        <v>0.10260283412550769</v>
      </c>
      <c r="DI105" s="24">
        <f t="shared" si="230"/>
        <v>1.348961564199902</v>
      </c>
      <c r="DJ105" s="25">
        <f t="shared" si="230"/>
        <v>1.2973151399976981</v>
      </c>
      <c r="DK105" s="24">
        <f t="shared" si="230"/>
        <v>0.58737731195898435</v>
      </c>
      <c r="DL105" s="25">
        <f t="shared" si="230"/>
        <v>1.2262673782924474</v>
      </c>
      <c r="DM105" s="24">
        <f t="shared" si="230"/>
        <v>4.4965385473330066</v>
      </c>
      <c r="DN105" s="25">
        <f t="shared" si="230"/>
        <v>0</v>
      </c>
      <c r="DO105" s="32">
        <f t="shared" si="230"/>
        <v>0.16218196987767</v>
      </c>
      <c r="DP105" s="26">
        <f t="shared" si="165"/>
        <v>0</v>
      </c>
      <c r="DQ105" s="25">
        <f t="shared" si="166"/>
        <v>8.4483533226041879E-2</v>
      </c>
      <c r="DR105" s="24">
        <f t="shared" si="167"/>
        <v>0.78980025658507613</v>
      </c>
      <c r="DS105" s="25">
        <f t="shared" si="168"/>
        <v>0.91527640388969644</v>
      </c>
      <c r="DT105" s="24">
        <f t="shared" si="169"/>
        <v>4.204073469310448E-2</v>
      </c>
      <c r="DU105" s="25">
        <f t="shared" si="170"/>
        <v>0.64694308602566986</v>
      </c>
      <c r="DV105" s="24">
        <f t="shared" si="171"/>
        <v>0.12809364772372178</v>
      </c>
      <c r="DW105" s="25">
        <f t="shared" si="172"/>
        <v>0</v>
      </c>
      <c r="DX105" s="32">
        <f t="shared" si="173"/>
        <v>0.36958969567162492</v>
      </c>
      <c r="DZ105" s="54" t="s">
        <v>1895</v>
      </c>
      <c r="EA105" s="39">
        <v>0.10503464974097179</v>
      </c>
      <c r="EB105" s="40">
        <v>0.10503464974097179</v>
      </c>
      <c r="EC105" s="39">
        <v>2.5449289281047761E-2</v>
      </c>
      <c r="ED105" s="40">
        <v>2.5449289281047754E-2</v>
      </c>
      <c r="EE105" s="39">
        <v>7.5027987556788342E-2</v>
      </c>
      <c r="EF105" s="40">
        <v>7.5027987556788342E-2</v>
      </c>
      <c r="EG105" s="39">
        <v>7.5027987556788342E-2</v>
      </c>
      <c r="EH105" s="40">
        <v>0.17809519200379684</v>
      </c>
      <c r="EI105" s="66">
        <v>0.17809519200379678</v>
      </c>
      <c r="EO105" s="83" t="s">
        <v>1477</v>
      </c>
      <c r="EP105" s="82" t="s">
        <v>521</v>
      </c>
      <c r="EQ105" s="81">
        <f t="shared" si="250"/>
        <v>1.0152882742504583</v>
      </c>
      <c r="ER105" s="80">
        <f>EQ105/SUM(EQ98:EQ106)</f>
        <v>6.4535328971698658E-3</v>
      </c>
      <c r="ET105" s="73" t="s">
        <v>520</v>
      </c>
      <c r="EU105" s="72">
        <v>0.28296016622388209</v>
      </c>
      <c r="EW105" s="37" t="s">
        <v>1353</v>
      </c>
      <c r="EX105" s="36" t="s">
        <v>2033</v>
      </c>
      <c r="EY105" s="36" t="s">
        <v>1145</v>
      </c>
      <c r="EZ105" s="1" t="s">
        <v>1945</v>
      </c>
      <c r="FA105" s="36" t="str">
        <f t="shared" si="251"/>
        <v>IPAFAC</v>
      </c>
      <c r="FB105" s="35" t="s">
        <v>438</v>
      </c>
      <c r="FC105" s="26">
        <f t="shared" si="252"/>
        <v>72.738865064216952</v>
      </c>
      <c r="FD105" s="25">
        <f t="shared" si="253"/>
        <v>1.4575942645611193</v>
      </c>
      <c r="FE105" s="24">
        <f t="shared" si="254"/>
        <v>2.0038727072168274E-2</v>
      </c>
      <c r="FF105" s="36">
        <v>0</v>
      </c>
      <c r="FG105" s="86">
        <f t="shared" si="255"/>
        <v>0</v>
      </c>
    </row>
    <row r="106" spans="1:163">
      <c r="A106" s="37" t="s">
        <v>2032</v>
      </c>
      <c r="B106" s="36" t="s">
        <v>1129</v>
      </c>
      <c r="C106" s="1" t="s">
        <v>456</v>
      </c>
      <c r="D106" s="36" t="s">
        <v>456</v>
      </c>
      <c r="E106" s="36" t="s">
        <v>2058</v>
      </c>
      <c r="F106" s="1" t="e">
        <f t="shared" ca="1" si="232"/>
        <v>#NAME?</v>
      </c>
      <c r="G106" s="35" t="s">
        <v>1121</v>
      </c>
      <c r="H106" s="43">
        <v>1</v>
      </c>
      <c r="I106" s="42">
        <v>0</v>
      </c>
      <c r="J106" s="26">
        <v>4.4963604359617921</v>
      </c>
      <c r="K106" s="25">
        <v>2.8117654642822254</v>
      </c>
      <c r="L106" s="24"/>
      <c r="M106" s="25"/>
      <c r="N106" s="24"/>
      <c r="O106" s="25"/>
      <c r="P106" s="24"/>
      <c r="Q106" s="25"/>
      <c r="R106" s="32"/>
      <c r="S106" s="47">
        <v>1</v>
      </c>
      <c r="T106" s="45">
        <v>1</v>
      </c>
      <c r="U106" s="46">
        <v>1</v>
      </c>
      <c r="V106" s="45">
        <v>1</v>
      </c>
      <c r="W106" s="46">
        <v>1</v>
      </c>
      <c r="X106" s="45">
        <v>1</v>
      </c>
      <c r="Y106" s="46">
        <v>1</v>
      </c>
      <c r="Z106" s="45">
        <v>1</v>
      </c>
      <c r="AA106" s="44">
        <v>1</v>
      </c>
      <c r="AB106" s="26">
        <f t="shared" si="236"/>
        <v>4.4963604359617921</v>
      </c>
      <c r="AC106" s="25">
        <f t="shared" si="237"/>
        <v>2.8117654642822254</v>
      </c>
      <c r="AD106" s="24">
        <f t="shared" si="238"/>
        <v>0</v>
      </c>
      <c r="AE106" s="25">
        <f t="shared" si="239"/>
        <v>0</v>
      </c>
      <c r="AF106" s="24">
        <f t="shared" si="240"/>
        <v>0</v>
      </c>
      <c r="AG106" s="25">
        <f t="shared" si="241"/>
        <v>0</v>
      </c>
      <c r="AH106" s="24">
        <f t="shared" si="242"/>
        <v>0</v>
      </c>
      <c r="AI106" s="25">
        <f t="shared" si="243"/>
        <v>0</v>
      </c>
      <c r="AJ106" s="24">
        <f t="shared" si="244"/>
        <v>0</v>
      </c>
      <c r="AK106" s="27">
        <f t="shared" si="160"/>
        <v>7.3081259002440175</v>
      </c>
      <c r="AL106" s="41">
        <v>0</v>
      </c>
      <c r="AM106" s="40">
        <v>0</v>
      </c>
      <c r="AN106" s="39">
        <v>0</v>
      </c>
      <c r="AO106" s="40">
        <v>0</v>
      </c>
      <c r="AP106" s="39">
        <v>0</v>
      </c>
      <c r="AQ106" s="40">
        <v>0</v>
      </c>
      <c r="AR106" s="39">
        <v>0</v>
      </c>
      <c r="AS106" s="40">
        <v>0</v>
      </c>
      <c r="AT106" s="39">
        <v>0</v>
      </c>
      <c r="AU106" s="38">
        <v>0</v>
      </c>
      <c r="AW106" s="100" t="s">
        <v>1129</v>
      </c>
      <c r="AX106" s="41">
        <v>0.33953455583040465</v>
      </c>
      <c r="AY106" s="40">
        <v>0.93462439882016157</v>
      </c>
      <c r="AZ106" s="39">
        <v>2.1238498420257703</v>
      </c>
      <c r="BA106" s="40">
        <v>1.438533998316702</v>
      </c>
      <c r="BB106" s="39">
        <v>9.0841000397362119</v>
      </c>
      <c r="BC106" s="40">
        <v>7.9181163775816135</v>
      </c>
      <c r="BD106" s="39">
        <v>27.507554981876751</v>
      </c>
      <c r="BE106" s="40">
        <v>9.5791975270144627E-3</v>
      </c>
      <c r="BF106" s="39">
        <v>6.0065931538960601E-3</v>
      </c>
      <c r="BG106" s="81">
        <v>49.361899984868529</v>
      </c>
      <c r="BH106" s="66">
        <v>0</v>
      </c>
      <c r="BJ106" s="37" t="s">
        <v>1282</v>
      </c>
      <c r="BK106" s="36" t="s">
        <v>2006</v>
      </c>
      <c r="BL106" s="1" t="s">
        <v>1139</v>
      </c>
      <c r="BM106" s="36" t="s">
        <v>1943</v>
      </c>
      <c r="BN106" s="82" t="str">
        <f t="shared" si="247"/>
        <v>IPBFEED</v>
      </c>
      <c r="BO106" s="26">
        <f t="shared" si="248"/>
        <v>0</v>
      </c>
      <c r="BP106" s="25">
        <f t="shared" si="248"/>
        <v>0</v>
      </c>
      <c r="BQ106" s="24">
        <f t="shared" si="248"/>
        <v>0</v>
      </c>
      <c r="BR106" s="25">
        <f t="shared" si="248"/>
        <v>0</v>
      </c>
      <c r="BS106" s="24">
        <f t="shared" si="248"/>
        <v>0</v>
      </c>
      <c r="BT106" s="25">
        <f t="shared" si="248"/>
        <v>0</v>
      </c>
      <c r="BU106" s="24">
        <f t="shared" si="248"/>
        <v>0</v>
      </c>
      <c r="BV106" s="25">
        <f t="shared" si="248"/>
        <v>0.21025074516467288</v>
      </c>
      <c r="BW106" s="32">
        <f t="shared" si="248"/>
        <v>1.6294432750262149</v>
      </c>
      <c r="BX106" s="26">
        <f t="shared" ref="BX106:CF106" si="257">BO106/BO111</f>
        <v>0</v>
      </c>
      <c r="BY106" s="25">
        <f t="shared" si="257"/>
        <v>0</v>
      </c>
      <c r="BZ106" s="24">
        <f t="shared" si="257"/>
        <v>0</v>
      </c>
      <c r="CA106" s="25">
        <f t="shared" si="257"/>
        <v>0</v>
      </c>
      <c r="CB106" s="24">
        <f t="shared" si="257"/>
        <v>0</v>
      </c>
      <c r="CC106" s="25">
        <f t="shared" si="257"/>
        <v>0</v>
      </c>
      <c r="CD106" s="24">
        <f t="shared" si="257"/>
        <v>0</v>
      </c>
      <c r="CE106" s="25">
        <f t="shared" si="257"/>
        <v>2.2286185997142539E-2</v>
      </c>
      <c r="CF106" s="32">
        <f t="shared" si="257"/>
        <v>2.289223690086354E-2</v>
      </c>
      <c r="CH106" s="54" t="s">
        <v>2057</v>
      </c>
      <c r="CI106" s="41">
        <v>6.7857386818111834E-3</v>
      </c>
      <c r="CJ106" s="40">
        <v>6.6733927488421352E-3</v>
      </c>
      <c r="CK106" s="39">
        <v>7.0430676770411498E-3</v>
      </c>
      <c r="CL106" s="40">
        <v>7.3888356485006749E-3</v>
      </c>
      <c r="CM106" s="39">
        <v>6.7561632184519613E-3</v>
      </c>
      <c r="CN106" s="40">
        <v>7.639506689835443E-3</v>
      </c>
      <c r="CO106" s="39">
        <v>8.0304454599270138E-3</v>
      </c>
      <c r="CP106" s="40">
        <v>8.9371987465531946E-3</v>
      </c>
      <c r="CQ106" s="66">
        <v>7.9033979876826921E-3</v>
      </c>
      <c r="CS106" s="54" t="s">
        <v>1540</v>
      </c>
      <c r="CT106" s="39">
        <v>0</v>
      </c>
      <c r="CU106" s="40">
        <v>0</v>
      </c>
      <c r="CV106" s="39">
        <v>1.5393299548192365</v>
      </c>
      <c r="CW106" s="40">
        <v>1.0426247801599131</v>
      </c>
      <c r="CX106" s="39">
        <v>0.5945155771564925</v>
      </c>
      <c r="CY106" s="40">
        <v>0.51820692282324377</v>
      </c>
      <c r="CZ106" s="39">
        <v>1.8002520728172531</v>
      </c>
      <c r="DA106" s="40">
        <v>0</v>
      </c>
      <c r="DB106" s="39">
        <v>0</v>
      </c>
      <c r="DC106" s="38">
        <v>5.4949293077761387</v>
      </c>
      <c r="DE106" s="37" t="s">
        <v>2056</v>
      </c>
      <c r="DF106" s="35" t="str">
        <f t="shared" si="164"/>
        <v>ICIST</v>
      </c>
      <c r="DG106" s="26">
        <f t="shared" si="230"/>
        <v>1.1127368669517117</v>
      </c>
      <c r="DH106" s="25">
        <f t="shared" si="230"/>
        <v>1.1118685570151339</v>
      </c>
      <c r="DI106" s="24">
        <f t="shared" si="230"/>
        <v>0.27605790041729994</v>
      </c>
      <c r="DJ106" s="25">
        <f t="shared" si="230"/>
        <v>0.12008744405716491</v>
      </c>
      <c r="DK106" s="24">
        <f t="shared" si="230"/>
        <v>12.891904436828773</v>
      </c>
      <c r="DL106" s="25">
        <f t="shared" si="230"/>
        <v>0.58545195731165578</v>
      </c>
      <c r="DM106" s="24">
        <f t="shared" si="230"/>
        <v>30.606986313098368</v>
      </c>
      <c r="DN106" s="25">
        <f t="shared" si="230"/>
        <v>1.8909303666907864</v>
      </c>
      <c r="DO106" s="32">
        <f t="shared" si="230"/>
        <v>0.27663429523207567</v>
      </c>
      <c r="DP106" s="26">
        <f t="shared" si="165"/>
        <v>1</v>
      </c>
      <c r="DQ106" s="25">
        <f t="shared" si="166"/>
        <v>0.91551646677395815</v>
      </c>
      <c r="DR106" s="24">
        <f t="shared" si="167"/>
        <v>0.1616284750939064</v>
      </c>
      <c r="DS106" s="25">
        <f t="shared" si="168"/>
        <v>8.4723596110303639E-2</v>
      </c>
      <c r="DT106" s="24">
        <f t="shared" si="169"/>
        <v>0.92272058025186532</v>
      </c>
      <c r="DU106" s="25">
        <f t="shared" si="170"/>
        <v>0.30886746454136194</v>
      </c>
      <c r="DV106" s="24">
        <f t="shared" si="171"/>
        <v>0.87190635227627811</v>
      </c>
      <c r="DW106" s="25">
        <f t="shared" si="172"/>
        <v>1</v>
      </c>
      <c r="DX106" s="32">
        <f t="shared" si="173"/>
        <v>0.63041030432837497</v>
      </c>
      <c r="DZ106" s="54" t="s">
        <v>1892</v>
      </c>
      <c r="EA106" s="39">
        <v>0.38053673888202955</v>
      </c>
      <c r="EB106" s="40">
        <v>0.38053673888202955</v>
      </c>
      <c r="EC106" s="39">
        <v>0.43411706749259849</v>
      </c>
      <c r="ED106" s="40">
        <v>0.43411706749259837</v>
      </c>
      <c r="EE106" s="39">
        <v>0.44737648413959641</v>
      </c>
      <c r="EF106" s="40">
        <v>0.44737648413959635</v>
      </c>
      <c r="EG106" s="39">
        <v>0.44737648413959641</v>
      </c>
      <c r="EH106" s="40">
        <v>0.30061966060463158</v>
      </c>
      <c r="EI106" s="66">
        <v>0.30061966060463152</v>
      </c>
      <c r="EO106" s="79" t="s">
        <v>1477</v>
      </c>
      <c r="EP106" s="78" t="s">
        <v>522</v>
      </c>
      <c r="EQ106" s="77">
        <f t="shared" si="250"/>
        <v>8.5074190442772597</v>
      </c>
      <c r="ER106" s="76">
        <f>EQ106/SUM(EQ98:EQ106)</f>
        <v>5.4076177244128089E-2</v>
      </c>
      <c r="ET106" s="73" t="s">
        <v>521</v>
      </c>
      <c r="EU106" s="72">
        <v>9.928775092624946E-2</v>
      </c>
      <c r="EW106" s="37" t="s">
        <v>1353</v>
      </c>
      <c r="EX106" s="36" t="s">
        <v>2033</v>
      </c>
      <c r="EY106" s="36" t="s">
        <v>1145</v>
      </c>
      <c r="EZ106" s="1" t="s">
        <v>1945</v>
      </c>
      <c r="FA106" s="36" t="str">
        <f t="shared" si="251"/>
        <v>IPAFAC</v>
      </c>
      <c r="FB106" s="1" t="s">
        <v>440</v>
      </c>
      <c r="FC106" s="26">
        <f t="shared" si="252"/>
        <v>58.60524942365312</v>
      </c>
      <c r="FD106" s="25">
        <f t="shared" si="253"/>
        <v>1.2861125863774583</v>
      </c>
      <c r="FE106" s="24">
        <f t="shared" si="254"/>
        <v>2.1945347883092232E-2</v>
      </c>
      <c r="FF106" s="36">
        <v>0</v>
      </c>
      <c r="FG106" s="86">
        <f t="shared" si="255"/>
        <v>0</v>
      </c>
    </row>
    <row r="107" spans="1:163" ht="15.75" thickBot="1">
      <c r="A107" s="37" t="s">
        <v>2032</v>
      </c>
      <c r="B107" s="36" t="s">
        <v>1129</v>
      </c>
      <c r="C107" s="1" t="s">
        <v>665</v>
      </c>
      <c r="D107" s="36" t="s">
        <v>665</v>
      </c>
      <c r="E107" s="36" t="s">
        <v>2055</v>
      </c>
      <c r="F107" s="1" t="e">
        <f t="shared" ca="1" si="232"/>
        <v>#NAME?</v>
      </c>
      <c r="G107" s="35" t="s">
        <v>1121</v>
      </c>
      <c r="H107" s="43">
        <v>1</v>
      </c>
      <c r="I107" s="42">
        <v>0</v>
      </c>
      <c r="J107" s="26">
        <v>0.18242682598151599</v>
      </c>
      <c r="K107" s="25">
        <v>0.11525130220949183</v>
      </c>
      <c r="L107" s="24"/>
      <c r="M107" s="25"/>
      <c r="N107" s="24"/>
      <c r="O107" s="25"/>
      <c r="P107" s="24"/>
      <c r="Q107" s="25"/>
      <c r="R107" s="32"/>
      <c r="S107" s="47">
        <v>1</v>
      </c>
      <c r="T107" s="45">
        <v>1</v>
      </c>
      <c r="U107" s="46">
        <v>1</v>
      </c>
      <c r="V107" s="45">
        <v>1</v>
      </c>
      <c r="W107" s="46">
        <v>1</v>
      </c>
      <c r="X107" s="45">
        <v>1</v>
      </c>
      <c r="Y107" s="46">
        <v>1</v>
      </c>
      <c r="Z107" s="45">
        <v>1</v>
      </c>
      <c r="AA107" s="44">
        <v>1</v>
      </c>
      <c r="AB107" s="26">
        <f t="shared" si="236"/>
        <v>0.18242682598151599</v>
      </c>
      <c r="AC107" s="25">
        <f t="shared" si="237"/>
        <v>0.11525130220949183</v>
      </c>
      <c r="AD107" s="24">
        <f t="shared" si="238"/>
        <v>0</v>
      </c>
      <c r="AE107" s="25">
        <f t="shared" si="239"/>
        <v>0</v>
      </c>
      <c r="AF107" s="24">
        <f t="shared" si="240"/>
        <v>0</v>
      </c>
      <c r="AG107" s="25">
        <f t="shared" si="241"/>
        <v>0</v>
      </c>
      <c r="AH107" s="24">
        <f t="shared" si="242"/>
        <v>0</v>
      </c>
      <c r="AI107" s="25">
        <f t="shared" si="243"/>
        <v>0</v>
      </c>
      <c r="AJ107" s="24">
        <f t="shared" si="244"/>
        <v>0</v>
      </c>
      <c r="AK107" s="27">
        <f t="shared" si="160"/>
        <v>0.29767812819100781</v>
      </c>
      <c r="AL107" s="41">
        <v>0</v>
      </c>
      <c r="AM107" s="40">
        <v>0</v>
      </c>
      <c r="AN107" s="39">
        <v>0</v>
      </c>
      <c r="AO107" s="40">
        <v>0</v>
      </c>
      <c r="AP107" s="39">
        <v>0</v>
      </c>
      <c r="AQ107" s="40">
        <v>0</v>
      </c>
      <c r="AR107" s="39">
        <v>0</v>
      </c>
      <c r="AS107" s="40">
        <v>0</v>
      </c>
      <c r="AT107" s="39">
        <v>0</v>
      </c>
      <c r="AU107" s="38">
        <v>0</v>
      </c>
      <c r="AW107" s="100" t="s">
        <v>1123</v>
      </c>
      <c r="AX107" s="41">
        <v>0.33373863746867327</v>
      </c>
      <c r="AY107" s="40">
        <v>0.91867018555548974</v>
      </c>
      <c r="AZ107" s="39">
        <v>2.6641237856541897</v>
      </c>
      <c r="BA107" s="40">
        <v>1.8044743868202566</v>
      </c>
      <c r="BB107" s="39">
        <v>13.071350138767361</v>
      </c>
      <c r="BC107" s="40">
        <v>11.393585623027002</v>
      </c>
      <c r="BD107" s="39">
        <v>39.581343342399663</v>
      </c>
      <c r="BE107" s="40">
        <v>0.18268642643800223</v>
      </c>
      <c r="BF107" s="39">
        <v>0.11455271020956197</v>
      </c>
      <c r="BG107" s="81">
        <v>70.064525236340202</v>
      </c>
      <c r="BH107" s="66">
        <v>0</v>
      </c>
      <c r="BJ107" s="37" t="s">
        <v>1282</v>
      </c>
      <c r="BK107" s="36" t="s">
        <v>2006</v>
      </c>
      <c r="BL107" s="1" t="s">
        <v>1136</v>
      </c>
      <c r="BM107" s="36" t="s">
        <v>1941</v>
      </c>
      <c r="BN107" s="82" t="str">
        <f t="shared" si="247"/>
        <v>IPBMDR</v>
      </c>
      <c r="BO107" s="26">
        <f t="shared" si="248"/>
        <v>2.5356114534881313</v>
      </c>
      <c r="BP107" s="25">
        <f t="shared" si="248"/>
        <v>2.2373042236659981</v>
      </c>
      <c r="BQ107" s="24">
        <f t="shared" si="248"/>
        <v>7.1754701071256388</v>
      </c>
      <c r="BR107" s="25">
        <f t="shared" si="248"/>
        <v>1.3740261907261859</v>
      </c>
      <c r="BS107" s="24">
        <f t="shared" si="248"/>
        <v>15.852392042108546</v>
      </c>
      <c r="BT107" s="25">
        <f t="shared" si="248"/>
        <v>9.2046147341275439</v>
      </c>
      <c r="BU107" s="24">
        <f t="shared" si="248"/>
        <v>6.6477773079810039</v>
      </c>
      <c r="BV107" s="25">
        <f t="shared" si="248"/>
        <v>1.2948276413820667</v>
      </c>
      <c r="BW107" s="32">
        <f t="shared" si="248"/>
        <v>10.034914220711018</v>
      </c>
      <c r="BX107" s="26">
        <f t="shared" ref="BX107:CF107" si="258">BO107/BO111</f>
        <v>0.17301225708988782</v>
      </c>
      <c r="BY107" s="25">
        <f t="shared" si="258"/>
        <v>0.19119336777678697</v>
      </c>
      <c r="BZ107" s="24">
        <f t="shared" si="258"/>
        <v>0.26822651483828625</v>
      </c>
      <c r="CA107" s="25">
        <f t="shared" si="258"/>
        <v>0.24046237500698742</v>
      </c>
      <c r="CB107" s="24">
        <f t="shared" si="258"/>
        <v>5.7423662319668695E-2</v>
      </c>
      <c r="CC107" s="25">
        <f t="shared" si="258"/>
        <v>6.1262050234016215E-2</v>
      </c>
      <c r="CD107" s="24">
        <f t="shared" si="258"/>
        <v>5.6477312113672178E-2</v>
      </c>
      <c r="CE107" s="25">
        <f t="shared" si="258"/>
        <v>0.13724930975859742</v>
      </c>
      <c r="CF107" s="32">
        <f t="shared" si="258"/>
        <v>0.14098166971579004</v>
      </c>
      <c r="CH107" s="106" t="s">
        <v>2054</v>
      </c>
      <c r="CI107" s="41">
        <v>0.27419586283024916</v>
      </c>
      <c r="CJ107" s="40">
        <v>0.26965622588423938</v>
      </c>
      <c r="CK107" s="39">
        <v>0.29752159618040641</v>
      </c>
      <c r="CL107" s="40">
        <v>0.3121279358457264</v>
      </c>
      <c r="CM107" s="39">
        <v>0.24351429649771231</v>
      </c>
      <c r="CN107" s="40">
        <v>0.27535289438894017</v>
      </c>
      <c r="CO107" s="39">
        <v>0.28944361074589969</v>
      </c>
      <c r="CP107" s="40">
        <v>0.31052357179553614</v>
      </c>
      <c r="CQ107" s="66">
        <v>0.27460409486847198</v>
      </c>
      <c r="CS107" s="53" t="s">
        <v>2050</v>
      </c>
      <c r="CT107" s="39">
        <v>0</v>
      </c>
      <c r="CU107" s="40">
        <v>0</v>
      </c>
      <c r="CV107" s="39">
        <v>0</v>
      </c>
      <c r="CW107" s="40">
        <v>0</v>
      </c>
      <c r="CX107" s="39">
        <v>0</v>
      </c>
      <c r="CY107" s="40">
        <v>0</v>
      </c>
      <c r="CZ107" s="39">
        <v>0</v>
      </c>
      <c r="DA107" s="40">
        <v>0</v>
      </c>
      <c r="DB107" s="39">
        <v>0</v>
      </c>
      <c r="DC107" s="38">
        <v>0</v>
      </c>
      <c r="DE107" s="37" t="s">
        <v>2053</v>
      </c>
      <c r="DF107" s="35" t="str">
        <f t="shared" si="164"/>
        <v>ICIST</v>
      </c>
      <c r="DG107" s="26">
        <f t="shared" si="230"/>
        <v>0</v>
      </c>
      <c r="DH107" s="25">
        <f t="shared" si="230"/>
        <v>0</v>
      </c>
      <c r="DI107" s="24">
        <f t="shared" si="230"/>
        <v>8.2958663970040175E-2</v>
      </c>
      <c r="DJ107" s="25">
        <f t="shared" si="230"/>
        <v>0</v>
      </c>
      <c r="DK107" s="24">
        <f t="shared" si="230"/>
        <v>0.49234163617002102</v>
      </c>
      <c r="DL107" s="25">
        <f t="shared" si="230"/>
        <v>8.3760196955257951E-2</v>
      </c>
      <c r="DM107" s="24">
        <f t="shared" si="230"/>
        <v>0</v>
      </c>
      <c r="DN107" s="25">
        <f t="shared" si="230"/>
        <v>0</v>
      </c>
      <c r="DO107" s="32">
        <f t="shared" si="230"/>
        <v>0</v>
      </c>
      <c r="DP107" s="26">
        <f t="shared" si="165"/>
        <v>0</v>
      </c>
      <c r="DQ107" s="25">
        <f t="shared" si="166"/>
        <v>0</v>
      </c>
      <c r="DR107" s="24">
        <f t="shared" si="167"/>
        <v>4.8571268321017443E-2</v>
      </c>
      <c r="DS107" s="25">
        <f t="shared" si="168"/>
        <v>0</v>
      </c>
      <c r="DT107" s="24">
        <f t="shared" si="169"/>
        <v>3.5238685055030118E-2</v>
      </c>
      <c r="DU107" s="25">
        <f t="shared" si="170"/>
        <v>4.4189449432968125E-2</v>
      </c>
      <c r="DV107" s="24">
        <f t="shared" si="171"/>
        <v>0</v>
      </c>
      <c r="DW107" s="25">
        <f t="shared" si="172"/>
        <v>0</v>
      </c>
      <c r="DX107" s="32">
        <f t="shared" si="173"/>
        <v>0</v>
      </c>
      <c r="DZ107" s="53" t="s">
        <v>1889</v>
      </c>
      <c r="EA107" s="39">
        <v>3.0256333700704522E-2</v>
      </c>
      <c r="EB107" s="40">
        <v>3.0256333700704519E-2</v>
      </c>
      <c r="EC107" s="39">
        <v>0</v>
      </c>
      <c r="ED107" s="40">
        <v>0</v>
      </c>
      <c r="EE107" s="39">
        <v>2.1612599594598235E-2</v>
      </c>
      <c r="EF107" s="40">
        <v>2.1612599594598235E-2</v>
      </c>
      <c r="EG107" s="39">
        <v>2.1612599594598235E-2</v>
      </c>
      <c r="EH107" s="40">
        <v>1.3991506369253037E-2</v>
      </c>
      <c r="EI107" s="66">
        <v>1.3991506369253033E-2</v>
      </c>
      <c r="EO107" s="83" t="s">
        <v>1353</v>
      </c>
      <c r="EP107" s="82" t="s">
        <v>438</v>
      </c>
      <c r="EQ107" s="81">
        <f t="shared" si="250"/>
        <v>72.738865064216952</v>
      </c>
      <c r="ER107" s="80">
        <f>EQ107/SUM(EQ107:EQ115)</f>
        <v>0.10042189704841441</v>
      </c>
      <c r="ET107" s="73" t="s">
        <v>522</v>
      </c>
      <c r="EU107" s="72">
        <v>5.8806302734219891E-2</v>
      </c>
      <c r="EW107" s="37" t="s">
        <v>1353</v>
      </c>
      <c r="EX107" s="36" t="s">
        <v>2033</v>
      </c>
      <c r="EY107" s="36" t="s">
        <v>1145</v>
      </c>
      <c r="EZ107" s="1" t="s">
        <v>1945</v>
      </c>
      <c r="FA107" s="36" t="str">
        <f t="shared" si="251"/>
        <v>IPAFAC</v>
      </c>
      <c r="FB107" s="1" t="s">
        <v>439</v>
      </c>
      <c r="FC107" s="26">
        <f t="shared" si="252"/>
        <v>127.61429915784434</v>
      </c>
      <c r="FD107" s="25">
        <f t="shared" si="253"/>
        <v>2.0837572419663015</v>
      </c>
      <c r="FE107" s="24">
        <f t="shared" si="254"/>
        <v>1.6328556092205085E-2</v>
      </c>
      <c r="FF107" s="36">
        <v>0</v>
      </c>
      <c r="FG107" s="86">
        <f t="shared" si="255"/>
        <v>0</v>
      </c>
    </row>
    <row r="108" spans="1:163" ht="15.75" thickBot="1">
      <c r="A108" s="37" t="s">
        <v>2032</v>
      </c>
      <c r="B108" s="36" t="s">
        <v>1129</v>
      </c>
      <c r="C108" s="1" t="s">
        <v>1111</v>
      </c>
      <c r="D108" s="36" t="s">
        <v>1111</v>
      </c>
      <c r="E108" s="36" t="s">
        <v>2052</v>
      </c>
      <c r="F108" s="1" t="e">
        <f t="shared" ca="1" si="232"/>
        <v>#NAME?</v>
      </c>
      <c r="G108" s="35" t="s">
        <v>1121</v>
      </c>
      <c r="H108" s="43">
        <v>1</v>
      </c>
      <c r="I108" s="42">
        <v>0</v>
      </c>
      <c r="J108" s="26">
        <v>9.391678476317164E-2</v>
      </c>
      <c r="K108" s="25">
        <v>5.8730160910026544E-2</v>
      </c>
      <c r="L108" s="24"/>
      <c r="M108" s="25"/>
      <c r="N108" s="24"/>
      <c r="O108" s="25"/>
      <c r="P108" s="24"/>
      <c r="Q108" s="25"/>
      <c r="R108" s="32"/>
      <c r="S108" s="47">
        <v>1</v>
      </c>
      <c r="T108" s="45">
        <v>1</v>
      </c>
      <c r="U108" s="46">
        <v>1</v>
      </c>
      <c r="V108" s="45">
        <v>1</v>
      </c>
      <c r="W108" s="46">
        <v>1</v>
      </c>
      <c r="X108" s="45">
        <v>1</v>
      </c>
      <c r="Y108" s="46">
        <v>1</v>
      </c>
      <c r="Z108" s="45">
        <v>1</v>
      </c>
      <c r="AA108" s="44">
        <v>1</v>
      </c>
      <c r="AB108" s="26">
        <f t="shared" si="236"/>
        <v>9.391678476317164E-2</v>
      </c>
      <c r="AC108" s="25">
        <f t="shared" si="237"/>
        <v>5.8730160910026544E-2</v>
      </c>
      <c r="AD108" s="24">
        <f t="shared" si="238"/>
        <v>0</v>
      </c>
      <c r="AE108" s="25">
        <f t="shared" si="239"/>
        <v>0</v>
      </c>
      <c r="AF108" s="24">
        <f t="shared" si="240"/>
        <v>0</v>
      </c>
      <c r="AG108" s="25">
        <f t="shared" si="241"/>
        <v>0</v>
      </c>
      <c r="AH108" s="24">
        <f t="shared" si="242"/>
        <v>0</v>
      </c>
      <c r="AI108" s="25">
        <f t="shared" si="243"/>
        <v>0</v>
      </c>
      <c r="AJ108" s="24">
        <f t="shared" si="244"/>
        <v>0</v>
      </c>
      <c r="AK108" s="27">
        <f t="shared" si="160"/>
        <v>0.1526469456731982</v>
      </c>
      <c r="AL108" s="41">
        <v>0</v>
      </c>
      <c r="AM108" s="40">
        <v>0</v>
      </c>
      <c r="AN108" s="39">
        <v>0</v>
      </c>
      <c r="AO108" s="40">
        <v>0</v>
      </c>
      <c r="AP108" s="39">
        <v>0</v>
      </c>
      <c r="AQ108" s="40">
        <v>0</v>
      </c>
      <c r="AR108" s="39">
        <v>0</v>
      </c>
      <c r="AS108" s="40">
        <v>0</v>
      </c>
      <c r="AT108" s="39">
        <v>0</v>
      </c>
      <c r="AU108" s="38">
        <v>0</v>
      </c>
      <c r="AW108" s="100" t="s">
        <v>1107</v>
      </c>
      <c r="AX108" s="41">
        <v>3.3227571480147136</v>
      </c>
      <c r="AY108" s="40">
        <v>5.7912502566151733</v>
      </c>
      <c r="AZ108" s="39">
        <v>13.759317818052683</v>
      </c>
      <c r="BA108" s="40">
        <v>7.552478606454259E-2</v>
      </c>
      <c r="BB108" s="39">
        <v>17.84330537079088</v>
      </c>
      <c r="BC108" s="40">
        <v>22.578584608366061</v>
      </c>
      <c r="BD108" s="39">
        <v>51.910781165869878</v>
      </c>
      <c r="BE108" s="40">
        <v>9.5791975270144627E-3</v>
      </c>
      <c r="BF108" s="39">
        <v>0.32065329008436871</v>
      </c>
      <c r="BG108" s="81">
        <v>115.61175364138531</v>
      </c>
      <c r="BH108" s="66">
        <v>53.370730640856365</v>
      </c>
      <c r="BJ108" s="37" t="s">
        <v>1282</v>
      </c>
      <c r="BK108" s="36" t="s">
        <v>2006</v>
      </c>
      <c r="BL108" s="1" t="s">
        <v>1129</v>
      </c>
      <c r="BM108" s="36" t="s">
        <v>1910</v>
      </c>
      <c r="BN108" s="82" t="str">
        <f t="shared" si="247"/>
        <v>IPBOHT</v>
      </c>
      <c r="BO108" s="26">
        <f t="shared" si="248"/>
        <v>2.8817886647409927</v>
      </c>
      <c r="BP108" s="25">
        <f t="shared" si="248"/>
        <v>3.0768751640527459</v>
      </c>
      <c r="BQ108" s="24">
        <f t="shared" si="248"/>
        <v>5.7989900219633999</v>
      </c>
      <c r="BR108" s="25">
        <f t="shared" si="248"/>
        <v>1.0526116545608106</v>
      </c>
      <c r="BS108" s="24">
        <f t="shared" si="248"/>
        <v>198.01805175382907</v>
      </c>
      <c r="BT108" s="25">
        <f t="shared" si="248"/>
        <v>115.37829605475348</v>
      </c>
      <c r="BU108" s="24">
        <f t="shared" si="248"/>
        <v>81.668395991704429</v>
      </c>
      <c r="BV108" s="25">
        <f t="shared" si="248"/>
        <v>5.3649691235223571</v>
      </c>
      <c r="BW108" s="32">
        <f t="shared" si="248"/>
        <v>43.205365766598653</v>
      </c>
      <c r="BX108" s="26">
        <f t="shared" ref="BX108:CF108" si="259">BO108/BO111</f>
        <v>0.19663295046920995</v>
      </c>
      <c r="BY108" s="25">
        <f t="shared" si="259"/>
        <v>0.26294060442082329</v>
      </c>
      <c r="BZ108" s="24">
        <f t="shared" si="259"/>
        <v>0.21677226160117352</v>
      </c>
      <c r="CA108" s="25">
        <f t="shared" si="259"/>
        <v>0.18421300854676884</v>
      </c>
      <c r="CB108" s="24">
        <f t="shared" si="259"/>
        <v>0.71730005837012467</v>
      </c>
      <c r="CC108" s="25">
        <f t="shared" si="259"/>
        <v>0.76790948594672159</v>
      </c>
      <c r="CD108" s="24">
        <f t="shared" si="259"/>
        <v>0.69382761734648124</v>
      </c>
      <c r="CE108" s="25">
        <f t="shared" si="259"/>
        <v>0.5686766991579526</v>
      </c>
      <c r="CF108" s="32">
        <f t="shared" si="259"/>
        <v>0.60699717730371661</v>
      </c>
      <c r="CH108" s="67" t="s">
        <v>2051</v>
      </c>
      <c r="CI108" s="41">
        <v>4.8166461027049487E-3</v>
      </c>
      <c r="CJ108" s="40">
        <v>5.5140851084269542E-3</v>
      </c>
      <c r="CK108" s="39">
        <v>1.0219451429821603E-2</v>
      </c>
      <c r="CL108" s="40">
        <v>1.0721158803987149E-2</v>
      </c>
      <c r="CM108" s="39">
        <v>2.250647154411517E-2</v>
      </c>
      <c r="CN108" s="40">
        <v>2.5449109852212114E-2</v>
      </c>
      <c r="CO108" s="39">
        <v>2.6751424793409362E-2</v>
      </c>
      <c r="CP108" s="40">
        <v>0</v>
      </c>
      <c r="CQ108" s="66">
        <v>0</v>
      </c>
      <c r="CS108" s="67" t="s">
        <v>2047</v>
      </c>
      <c r="CT108" s="39">
        <v>2.295959936237358E-2</v>
      </c>
      <c r="CU108" s="40">
        <v>6.3200052491648617E-2</v>
      </c>
      <c r="CV108" s="39">
        <v>0.59928557124591975</v>
      </c>
      <c r="CW108" s="40">
        <v>0.40591036705100608</v>
      </c>
      <c r="CX108" s="39">
        <v>0.28721380151746689</v>
      </c>
      <c r="CY108" s="40">
        <v>0.25034866367774705</v>
      </c>
      <c r="CZ108" s="39">
        <v>0.86971184842048221</v>
      </c>
      <c r="DA108" s="40">
        <v>3.5303109987199363E-2</v>
      </c>
      <c r="DB108" s="39">
        <v>2.2136657915482107E-2</v>
      </c>
      <c r="DC108" s="38">
        <v>2.5560696716693254</v>
      </c>
      <c r="DE108" s="37" t="s">
        <v>2050</v>
      </c>
      <c r="DF108" s="35" t="str">
        <f t="shared" si="164"/>
        <v>ICOST</v>
      </c>
      <c r="DG108" s="26">
        <f t="shared" ref="DG108:DO117" si="260">GETPIVOTDATA("Sum of "&amp;DG$1&amp;" (Out)",$CS$6,"Constraint Identifier",$DE108)</f>
        <v>0</v>
      </c>
      <c r="DH108" s="25">
        <f t="shared" si="260"/>
        <v>0</v>
      </c>
      <c r="DI108" s="24">
        <f t="shared" si="260"/>
        <v>0</v>
      </c>
      <c r="DJ108" s="25">
        <f t="shared" si="260"/>
        <v>0</v>
      </c>
      <c r="DK108" s="24">
        <f t="shared" si="260"/>
        <v>0</v>
      </c>
      <c r="DL108" s="25">
        <f t="shared" si="260"/>
        <v>0</v>
      </c>
      <c r="DM108" s="24">
        <f t="shared" si="260"/>
        <v>0</v>
      </c>
      <c r="DN108" s="25">
        <f t="shared" si="260"/>
        <v>0</v>
      </c>
      <c r="DO108" s="32">
        <f t="shared" si="260"/>
        <v>0</v>
      </c>
      <c r="DP108" s="26">
        <f t="shared" si="165"/>
        <v>0</v>
      </c>
      <c r="DQ108" s="25">
        <f t="shared" si="166"/>
        <v>0</v>
      </c>
      <c r="DR108" s="24">
        <f t="shared" si="167"/>
        <v>0</v>
      </c>
      <c r="DS108" s="25">
        <f t="shared" si="168"/>
        <v>0</v>
      </c>
      <c r="DT108" s="24">
        <f t="shared" si="169"/>
        <v>0</v>
      </c>
      <c r="DU108" s="25">
        <f t="shared" si="170"/>
        <v>0</v>
      </c>
      <c r="DV108" s="24">
        <f t="shared" si="171"/>
        <v>0</v>
      </c>
      <c r="DW108" s="25">
        <f t="shared" si="172"/>
        <v>0</v>
      </c>
      <c r="DX108" s="32">
        <f t="shared" si="173"/>
        <v>0</v>
      </c>
      <c r="DZ108" s="67" t="s">
        <v>1887</v>
      </c>
      <c r="EA108" s="39">
        <v>0.48374275432734293</v>
      </c>
      <c r="EB108" s="40">
        <v>0.48374275432734298</v>
      </c>
      <c r="EC108" s="39">
        <v>0.52534334418532003</v>
      </c>
      <c r="ED108" s="40">
        <v>0.52534334418532003</v>
      </c>
      <c r="EE108" s="39">
        <v>0.45352840365010078</v>
      </c>
      <c r="EF108" s="40">
        <v>0.45352840365010089</v>
      </c>
      <c r="EG108" s="39">
        <v>0.45352840365010083</v>
      </c>
      <c r="EH108" s="40">
        <v>0.50332113150940705</v>
      </c>
      <c r="EI108" s="66">
        <v>0.50332113150940694</v>
      </c>
      <c r="EO108" s="83" t="s">
        <v>1353</v>
      </c>
      <c r="EP108" s="82" t="s">
        <v>440</v>
      </c>
      <c r="EQ108" s="81">
        <f t="shared" si="250"/>
        <v>58.60524942365312</v>
      </c>
      <c r="ER108" s="80">
        <f>EQ108/SUM(EQ107:EQ115)</f>
        <v>8.0909295449179644E-2</v>
      </c>
      <c r="ET108" s="74" t="s">
        <v>1477</v>
      </c>
      <c r="EU108" s="70">
        <v>1</v>
      </c>
      <c r="EW108" s="37" t="s">
        <v>1353</v>
      </c>
      <c r="EX108" s="36" t="s">
        <v>2033</v>
      </c>
      <c r="EY108" s="36" t="s">
        <v>1145</v>
      </c>
      <c r="EZ108" s="1" t="s">
        <v>1945</v>
      </c>
      <c r="FA108" s="36" t="str">
        <f t="shared" si="251"/>
        <v>IPAFAC</v>
      </c>
      <c r="FB108" s="1" t="s">
        <v>518</v>
      </c>
      <c r="FC108" s="26">
        <f t="shared" si="252"/>
        <v>27.38060717468726</v>
      </c>
      <c r="FD108" s="25">
        <f t="shared" si="253"/>
        <v>0.39901734420631302</v>
      </c>
      <c r="FE108" s="24">
        <f t="shared" si="254"/>
        <v>1.4572991083090202E-2</v>
      </c>
      <c r="FF108" s="36">
        <v>0</v>
      </c>
      <c r="FG108" s="86">
        <f t="shared" si="255"/>
        <v>0</v>
      </c>
    </row>
    <row r="109" spans="1:163">
      <c r="A109" s="37" t="s">
        <v>2032</v>
      </c>
      <c r="B109" s="36" t="s">
        <v>1129</v>
      </c>
      <c r="C109" s="1" t="s">
        <v>1106</v>
      </c>
      <c r="D109" s="36" t="s">
        <v>1106</v>
      </c>
      <c r="E109" s="36" t="s">
        <v>2049</v>
      </c>
      <c r="F109" s="1" t="e">
        <f t="shared" ca="1" si="232"/>
        <v>#NAME?</v>
      </c>
      <c r="G109" s="35" t="s">
        <v>1121</v>
      </c>
      <c r="H109" s="43">
        <v>1</v>
      </c>
      <c r="I109" s="42">
        <v>0</v>
      </c>
      <c r="J109" s="26">
        <v>3.2452298211897289E-2</v>
      </c>
      <c r="K109" s="25">
        <v>2.0293802654030822E-2</v>
      </c>
      <c r="L109" s="24"/>
      <c r="M109" s="25"/>
      <c r="N109" s="24"/>
      <c r="O109" s="25"/>
      <c r="P109" s="24"/>
      <c r="Q109" s="25"/>
      <c r="R109" s="32"/>
      <c r="S109" s="47">
        <v>1</v>
      </c>
      <c r="T109" s="45">
        <v>1</v>
      </c>
      <c r="U109" s="46">
        <v>1</v>
      </c>
      <c r="V109" s="45">
        <v>1</v>
      </c>
      <c r="W109" s="46">
        <v>1</v>
      </c>
      <c r="X109" s="45">
        <v>1</v>
      </c>
      <c r="Y109" s="46">
        <v>1</v>
      </c>
      <c r="Z109" s="45">
        <v>1</v>
      </c>
      <c r="AA109" s="44">
        <v>1</v>
      </c>
      <c r="AB109" s="26">
        <f t="shared" si="236"/>
        <v>3.2452298211897289E-2</v>
      </c>
      <c r="AC109" s="25">
        <f t="shared" si="237"/>
        <v>2.0293802654030822E-2</v>
      </c>
      <c r="AD109" s="24">
        <f t="shared" si="238"/>
        <v>0</v>
      </c>
      <c r="AE109" s="25">
        <f t="shared" si="239"/>
        <v>0</v>
      </c>
      <c r="AF109" s="24">
        <f t="shared" si="240"/>
        <v>0</v>
      </c>
      <c r="AG109" s="25">
        <f t="shared" si="241"/>
        <v>0</v>
      </c>
      <c r="AH109" s="24">
        <f t="shared" si="242"/>
        <v>0</v>
      </c>
      <c r="AI109" s="25">
        <f t="shared" si="243"/>
        <v>0</v>
      </c>
      <c r="AJ109" s="24">
        <f t="shared" si="244"/>
        <v>0</v>
      </c>
      <c r="AK109" s="27">
        <f t="shared" si="160"/>
        <v>5.2746100865928111E-2</v>
      </c>
      <c r="AL109" s="41">
        <v>0</v>
      </c>
      <c r="AM109" s="40">
        <v>0</v>
      </c>
      <c r="AN109" s="39">
        <v>0</v>
      </c>
      <c r="AO109" s="40">
        <v>0</v>
      </c>
      <c r="AP109" s="39">
        <v>0</v>
      </c>
      <c r="AQ109" s="40">
        <v>0</v>
      </c>
      <c r="AR109" s="39">
        <v>0</v>
      </c>
      <c r="AS109" s="40">
        <v>0</v>
      </c>
      <c r="AT109" s="39">
        <v>0</v>
      </c>
      <c r="AU109" s="38">
        <v>0</v>
      </c>
      <c r="AW109" s="51" t="s">
        <v>1231</v>
      </c>
      <c r="AX109" s="7">
        <v>3.0427843931077136</v>
      </c>
      <c r="AY109" s="6">
        <v>15.825052118743701</v>
      </c>
      <c r="AZ109" s="5">
        <v>54.595027087982025</v>
      </c>
      <c r="BA109" s="6">
        <v>36.935149398008399</v>
      </c>
      <c r="BB109" s="5">
        <v>27.847713841354377</v>
      </c>
      <c r="BC109" s="6">
        <v>24.314539191249725</v>
      </c>
      <c r="BD109" s="5">
        <v>86.981704343525962</v>
      </c>
      <c r="BE109" s="6">
        <v>30.610164755054562</v>
      </c>
      <c r="BF109" s="5">
        <v>19.193967504984265</v>
      </c>
      <c r="BG109" s="77">
        <v>299.34610263401072</v>
      </c>
      <c r="BH109" s="59">
        <v>3.4506407819765705</v>
      </c>
      <c r="BJ109" s="37" t="s">
        <v>1282</v>
      </c>
      <c r="BK109" s="36" t="s">
        <v>2006</v>
      </c>
      <c r="BL109" s="1" t="s">
        <v>1123</v>
      </c>
      <c r="BM109" s="36" t="s">
        <v>1935</v>
      </c>
      <c r="BN109" s="82" t="str">
        <f t="shared" si="247"/>
        <v>IPBPRH</v>
      </c>
      <c r="BO109" s="26">
        <f t="shared" si="248"/>
        <v>1.7406270587254722</v>
      </c>
      <c r="BP109" s="25">
        <f t="shared" si="248"/>
        <v>1.5358474047577697</v>
      </c>
      <c r="BQ109" s="24">
        <f t="shared" si="248"/>
        <v>4.162976245841886</v>
      </c>
      <c r="BR109" s="25">
        <f t="shared" si="248"/>
        <v>0.79716566409738221</v>
      </c>
      <c r="BS109" s="24">
        <f t="shared" si="248"/>
        <v>12.243250801289026</v>
      </c>
      <c r="BT109" s="25">
        <f t="shared" si="248"/>
        <v>7.1089843362323393</v>
      </c>
      <c r="BU109" s="24">
        <f t="shared" si="248"/>
        <v>5.1342664650566894</v>
      </c>
      <c r="BV109" s="25">
        <f t="shared" si="248"/>
        <v>0.68624461313854035</v>
      </c>
      <c r="BW109" s="32">
        <f t="shared" si="248"/>
        <v>5.3183957518236884</v>
      </c>
      <c r="BX109" s="26">
        <f t="shared" ref="BX109:CF109" si="261">BO109/BO111</f>
        <v>0.11876812425955398</v>
      </c>
      <c r="BY109" s="25">
        <f t="shared" si="261"/>
        <v>0.13124895336125439</v>
      </c>
      <c r="BZ109" s="24">
        <f t="shared" si="261"/>
        <v>0.15561636981357857</v>
      </c>
      <c r="CA109" s="25">
        <f t="shared" si="261"/>
        <v>0.13950851166932252</v>
      </c>
      <c r="CB109" s="24">
        <f t="shared" si="261"/>
        <v>4.4349918790850214E-2</v>
      </c>
      <c r="CC109" s="25">
        <f t="shared" si="261"/>
        <v>4.7314414356135433E-2</v>
      </c>
      <c r="CD109" s="24">
        <f t="shared" si="261"/>
        <v>4.3619025756720727E-2</v>
      </c>
      <c r="CE109" s="25">
        <f t="shared" si="261"/>
        <v>7.2740646298134287E-2</v>
      </c>
      <c r="CF109" s="32">
        <f t="shared" si="261"/>
        <v>7.4718756614178775E-2</v>
      </c>
      <c r="CH109" s="54" t="s">
        <v>2048</v>
      </c>
      <c r="CI109" s="41">
        <v>0.22458483454948328</v>
      </c>
      <c r="CJ109" s="40">
        <v>0.22086656687793388</v>
      </c>
      <c r="CK109" s="39">
        <v>0.23129578454571598</v>
      </c>
      <c r="CL109" s="40">
        <v>0.24265087552265083</v>
      </c>
      <c r="CM109" s="39">
        <v>0.21926606445694677</v>
      </c>
      <c r="CN109" s="40">
        <v>0.24793429526655905</v>
      </c>
      <c r="CO109" s="39">
        <v>0.26062191141643326</v>
      </c>
      <c r="CP109" s="40">
        <v>0.29608501558090555</v>
      </c>
      <c r="CQ109" s="66">
        <v>0.26183570296314873</v>
      </c>
      <c r="CS109" s="54" t="s">
        <v>2044</v>
      </c>
      <c r="CT109" s="39">
        <v>0</v>
      </c>
      <c r="CU109" s="40">
        <v>2.5448803320722764</v>
      </c>
      <c r="CV109" s="39">
        <v>3.2251125229978284</v>
      </c>
      <c r="CW109" s="40">
        <v>1.9003150245886453</v>
      </c>
      <c r="CX109" s="39">
        <v>3.5133835671933666</v>
      </c>
      <c r="CY109" s="40">
        <v>3.0120751921690507</v>
      </c>
      <c r="CZ109" s="39">
        <v>85.451655777984712</v>
      </c>
      <c r="DA109" s="40">
        <v>0</v>
      </c>
      <c r="DB109" s="39">
        <v>0</v>
      </c>
      <c r="DC109" s="38">
        <v>99.647422417005885</v>
      </c>
      <c r="DE109" s="37" t="s">
        <v>2047</v>
      </c>
      <c r="DF109" s="35" t="str">
        <f t="shared" si="164"/>
        <v>ICOST</v>
      </c>
      <c r="DG109" s="26">
        <f t="shared" si="260"/>
        <v>2.295959936237358E-2</v>
      </c>
      <c r="DH109" s="25">
        <f t="shared" si="260"/>
        <v>6.3200052491648617E-2</v>
      </c>
      <c r="DI109" s="24">
        <f t="shared" si="260"/>
        <v>0.59928557124591975</v>
      </c>
      <c r="DJ109" s="25">
        <f t="shared" si="260"/>
        <v>0.40591036705100608</v>
      </c>
      <c r="DK109" s="24">
        <f t="shared" si="260"/>
        <v>0.28721380151746689</v>
      </c>
      <c r="DL109" s="25">
        <f t="shared" si="260"/>
        <v>0.25034866367774705</v>
      </c>
      <c r="DM109" s="24">
        <f t="shared" si="260"/>
        <v>0.86971184842048221</v>
      </c>
      <c r="DN109" s="25">
        <f t="shared" si="260"/>
        <v>3.5303109987199363E-2</v>
      </c>
      <c r="DO109" s="32">
        <f t="shared" si="260"/>
        <v>2.2136657915482107E-2</v>
      </c>
      <c r="DP109" s="26">
        <f t="shared" si="165"/>
        <v>1</v>
      </c>
      <c r="DQ109" s="25">
        <f t="shared" si="166"/>
        <v>2.1389458501140917E-3</v>
      </c>
      <c r="DR109" s="24">
        <f t="shared" si="167"/>
        <v>1.4174397900830792E-2</v>
      </c>
      <c r="DS109" s="25">
        <f t="shared" si="168"/>
        <v>4.7925673799264969E-2</v>
      </c>
      <c r="DT109" s="24">
        <f t="shared" si="169"/>
        <v>2.1918394495291742E-2</v>
      </c>
      <c r="DU109" s="25">
        <f t="shared" si="170"/>
        <v>6.2193465631006695E-2</v>
      </c>
      <c r="DV109" s="24">
        <f t="shared" si="171"/>
        <v>6.3285104575444917E-3</v>
      </c>
      <c r="DW109" s="25">
        <f t="shared" si="172"/>
        <v>0.10126036925984895</v>
      </c>
      <c r="DX109" s="32">
        <f t="shared" si="173"/>
        <v>0.10966616428955242</v>
      </c>
      <c r="DZ109" s="54" t="s">
        <v>1791</v>
      </c>
      <c r="EA109" s="39">
        <v>0</v>
      </c>
      <c r="EB109" s="40">
        <v>0</v>
      </c>
      <c r="EC109" s="39">
        <v>0.23846041793001094</v>
      </c>
      <c r="ED109" s="40">
        <v>0.23846041793001091</v>
      </c>
      <c r="EE109" s="39">
        <v>0</v>
      </c>
      <c r="EF109" s="40">
        <v>0</v>
      </c>
      <c r="EG109" s="39">
        <v>0</v>
      </c>
      <c r="EH109" s="40">
        <v>0</v>
      </c>
      <c r="EI109" s="66">
        <v>0</v>
      </c>
      <c r="EO109" s="83" t="s">
        <v>1353</v>
      </c>
      <c r="EP109" s="82" t="s">
        <v>439</v>
      </c>
      <c r="EQ109" s="81">
        <f t="shared" si="250"/>
        <v>127.61429915784434</v>
      </c>
      <c r="ER109" s="80">
        <f>EQ109/SUM(EQ107:EQ115)</f>
        <v>0.17618188021796516</v>
      </c>
      <c r="ET109" s="73" t="s">
        <v>438</v>
      </c>
      <c r="EU109" s="72">
        <v>0.22650469575631282</v>
      </c>
      <c r="EW109" s="37" t="s">
        <v>1353</v>
      </c>
      <c r="EX109" s="36" t="s">
        <v>2033</v>
      </c>
      <c r="EY109" s="36" t="s">
        <v>1145</v>
      </c>
      <c r="EZ109" s="1" t="s">
        <v>1945</v>
      </c>
      <c r="FA109" s="36" t="str">
        <f t="shared" si="251"/>
        <v>IPAFAC</v>
      </c>
      <c r="FB109" s="1" t="s">
        <v>517</v>
      </c>
      <c r="FC109" s="26">
        <f t="shared" si="252"/>
        <v>188.07228636087538</v>
      </c>
      <c r="FD109" s="25">
        <f t="shared" si="253"/>
        <v>2.4789139137912723</v>
      </c>
      <c r="FE109" s="24">
        <f t="shared" si="254"/>
        <v>1.3180644324356765E-2</v>
      </c>
      <c r="FF109" s="36">
        <v>0.02</v>
      </c>
      <c r="FG109" s="32">
        <f t="shared" si="255"/>
        <v>1.5173765035933684</v>
      </c>
    </row>
    <row r="110" spans="1:163">
      <c r="A110" s="37" t="s">
        <v>2032</v>
      </c>
      <c r="B110" s="36" t="s">
        <v>1123</v>
      </c>
      <c r="C110" s="1" t="s">
        <v>1126</v>
      </c>
      <c r="D110" s="36" t="s">
        <v>1126</v>
      </c>
      <c r="E110" s="36" t="s">
        <v>2046</v>
      </c>
      <c r="F110" s="1" t="e">
        <f t="shared" ca="1" si="232"/>
        <v>#NAME?</v>
      </c>
      <c r="G110" s="35" t="s">
        <v>1121</v>
      </c>
      <c r="H110" s="43">
        <v>1</v>
      </c>
      <c r="I110" s="42">
        <v>0</v>
      </c>
      <c r="J110" s="26">
        <v>3.2870765127070847</v>
      </c>
      <c r="K110" s="25">
        <v>1.9936007363659736</v>
      </c>
      <c r="L110" s="24"/>
      <c r="M110" s="25"/>
      <c r="N110" s="24"/>
      <c r="O110" s="25"/>
      <c r="P110" s="24"/>
      <c r="Q110" s="25"/>
      <c r="R110" s="32"/>
      <c r="S110" s="47">
        <v>1</v>
      </c>
      <c r="T110" s="45">
        <v>1</v>
      </c>
      <c r="U110" s="46">
        <v>1</v>
      </c>
      <c r="V110" s="45">
        <v>1</v>
      </c>
      <c r="W110" s="46">
        <v>1</v>
      </c>
      <c r="X110" s="45">
        <v>1</v>
      </c>
      <c r="Y110" s="46">
        <v>1</v>
      </c>
      <c r="Z110" s="45">
        <v>1</v>
      </c>
      <c r="AA110" s="44">
        <v>1</v>
      </c>
      <c r="AB110" s="26">
        <f t="shared" si="236"/>
        <v>3.2870765127070847</v>
      </c>
      <c r="AC110" s="25">
        <f t="shared" si="237"/>
        <v>1.9936007363659736</v>
      </c>
      <c r="AD110" s="24">
        <f t="shared" si="238"/>
        <v>0</v>
      </c>
      <c r="AE110" s="25">
        <f t="shared" si="239"/>
        <v>0</v>
      </c>
      <c r="AF110" s="24">
        <f t="shared" si="240"/>
        <v>0</v>
      </c>
      <c r="AG110" s="25">
        <f t="shared" si="241"/>
        <v>0</v>
      </c>
      <c r="AH110" s="24">
        <f t="shared" si="242"/>
        <v>0</v>
      </c>
      <c r="AI110" s="25">
        <f t="shared" si="243"/>
        <v>0</v>
      </c>
      <c r="AJ110" s="24">
        <f t="shared" si="244"/>
        <v>0</v>
      </c>
      <c r="AK110" s="27">
        <f t="shared" si="160"/>
        <v>5.280677249073058</v>
      </c>
      <c r="AL110" s="41">
        <v>0</v>
      </c>
      <c r="AM110" s="40">
        <v>0</v>
      </c>
      <c r="AN110" s="39">
        <v>0</v>
      </c>
      <c r="AO110" s="40">
        <v>0</v>
      </c>
      <c r="AP110" s="39">
        <v>0</v>
      </c>
      <c r="AQ110" s="40">
        <v>0</v>
      </c>
      <c r="AR110" s="39">
        <v>0</v>
      </c>
      <c r="AS110" s="40">
        <v>0</v>
      </c>
      <c r="AT110" s="39">
        <v>0</v>
      </c>
      <c r="AU110" s="38">
        <v>0</v>
      </c>
      <c r="AW110" s="100" t="s">
        <v>1150</v>
      </c>
      <c r="AX110" s="41">
        <v>1.0007773425960593</v>
      </c>
      <c r="AY110" s="40">
        <v>2.7548033215325591</v>
      </c>
      <c r="AZ110" s="39">
        <v>32.839127705765236</v>
      </c>
      <c r="BA110" s="40">
        <v>22.242722034787832</v>
      </c>
      <c r="BB110" s="39">
        <v>10.986284462000247</v>
      </c>
      <c r="BC110" s="40">
        <v>9.5761471743832374</v>
      </c>
      <c r="BD110" s="39">
        <v>33.267557882793383</v>
      </c>
      <c r="BE110" s="40">
        <v>13.079918876034903</v>
      </c>
      <c r="BF110" s="39">
        <v>8.2017048873606004</v>
      </c>
      <c r="BG110" s="81">
        <v>133.94904368725403</v>
      </c>
      <c r="BH110" s="66">
        <v>0</v>
      </c>
      <c r="BJ110" s="37" t="s">
        <v>1282</v>
      </c>
      <c r="BK110" s="36" t="s">
        <v>2006</v>
      </c>
      <c r="BL110" s="1" t="s">
        <v>1107</v>
      </c>
      <c r="BM110" s="36" t="s">
        <v>1937</v>
      </c>
      <c r="BN110" s="82" t="str">
        <f t="shared" si="247"/>
        <v>IPBSTM</v>
      </c>
      <c r="BO110" s="26">
        <f t="shared" si="248"/>
        <v>7.1401080790188232</v>
      </c>
      <c r="BP110" s="25">
        <f t="shared" si="248"/>
        <v>4.5362845727939876</v>
      </c>
      <c r="BQ110" s="24">
        <f t="shared" si="248"/>
        <v>8.6324015202245974</v>
      </c>
      <c r="BR110" s="25">
        <f t="shared" si="248"/>
        <v>2.3023131317941572</v>
      </c>
      <c r="BS110" s="24">
        <f t="shared" si="248"/>
        <v>47.07986104728289</v>
      </c>
      <c r="BT110" s="25">
        <f t="shared" si="248"/>
        <v>16.893422138129218</v>
      </c>
      <c r="BU110" s="24">
        <f t="shared" si="248"/>
        <v>23.054428652109539</v>
      </c>
      <c r="BV110" s="25">
        <f t="shared" si="248"/>
        <v>1.583210863084892</v>
      </c>
      <c r="BW110" s="32">
        <f t="shared" si="248"/>
        <v>8.7073901154061701</v>
      </c>
      <c r="BX110" s="26">
        <f t="shared" ref="BX110:CF110" si="262">BO110/BO111</f>
        <v>0.48719065885169616</v>
      </c>
      <c r="BY110" s="25">
        <f t="shared" si="262"/>
        <v>0.3876573938814698</v>
      </c>
      <c r="BZ110" s="24">
        <f t="shared" si="262"/>
        <v>0.32268812215595583</v>
      </c>
      <c r="CA110" s="25">
        <f t="shared" si="262"/>
        <v>0.40291785368982302</v>
      </c>
      <c r="CB110" s="24">
        <f t="shared" si="262"/>
        <v>0.1705419620997779</v>
      </c>
      <c r="CC110" s="25">
        <f t="shared" si="262"/>
        <v>0.11243552343514883</v>
      </c>
      <c r="CD110" s="24">
        <f t="shared" si="262"/>
        <v>0.19586278274159324</v>
      </c>
      <c r="CE110" s="25">
        <f t="shared" si="262"/>
        <v>0.16781739222741637</v>
      </c>
      <c r="CF110" s="32">
        <f t="shared" si="262"/>
        <v>0.12233113012596812</v>
      </c>
      <c r="CH110" s="54" t="s">
        <v>2045</v>
      </c>
      <c r="CI110" s="41">
        <v>8.8111585902741818E-2</v>
      </c>
      <c r="CJ110" s="40">
        <v>0.12042851849063559</v>
      </c>
      <c r="CK110" s="39">
        <v>4.5120851318353181E-2</v>
      </c>
      <c r="CL110" s="40">
        <v>4.7511466454043909E-2</v>
      </c>
      <c r="CM110" s="39">
        <v>8.5982778541965357E-2</v>
      </c>
      <c r="CN110" s="40">
        <v>9.4913356915964239E-2</v>
      </c>
      <c r="CO110" s="39">
        <v>0.10553017173771541</v>
      </c>
      <c r="CP110" s="40">
        <v>8.0009593003540561E-2</v>
      </c>
      <c r="CQ110" s="66">
        <v>7.1939020327864325E-2</v>
      </c>
      <c r="CS110" s="54" t="s">
        <v>2041</v>
      </c>
      <c r="CT110" s="39">
        <v>0</v>
      </c>
      <c r="CU110" s="40">
        <v>26.939209224603843</v>
      </c>
      <c r="CV110" s="39">
        <v>36.135555454915938</v>
      </c>
      <c r="CW110" s="40">
        <v>5.2446197628352333</v>
      </c>
      <c r="CX110" s="39">
        <v>8.2649093085008847</v>
      </c>
      <c r="CY110" s="40">
        <v>0</v>
      </c>
      <c r="CZ110" s="39">
        <v>47.31805556279955</v>
      </c>
      <c r="DA110" s="40">
        <v>0.31333387647891164</v>
      </c>
      <c r="DB110" s="39">
        <v>0.17971829031663183</v>
      </c>
      <c r="DC110" s="38">
        <v>124.39540148045101</v>
      </c>
      <c r="DE110" s="37" t="s">
        <v>2044</v>
      </c>
      <c r="DF110" s="35" t="str">
        <f t="shared" si="164"/>
        <v>ICOST</v>
      </c>
      <c r="DG110" s="26">
        <f t="shared" si="260"/>
        <v>0</v>
      </c>
      <c r="DH110" s="25">
        <f t="shared" si="260"/>
        <v>2.5448803320722764</v>
      </c>
      <c r="DI110" s="24">
        <f t="shared" si="260"/>
        <v>3.2251125229978284</v>
      </c>
      <c r="DJ110" s="25">
        <f t="shared" si="260"/>
        <v>1.9003150245886453</v>
      </c>
      <c r="DK110" s="24">
        <f t="shared" si="260"/>
        <v>3.5133835671933666</v>
      </c>
      <c r="DL110" s="25">
        <f t="shared" si="260"/>
        <v>3.0120751921690507</v>
      </c>
      <c r="DM110" s="24">
        <f t="shared" si="260"/>
        <v>85.451655777984712</v>
      </c>
      <c r="DN110" s="25">
        <f t="shared" si="260"/>
        <v>0</v>
      </c>
      <c r="DO110" s="32">
        <f t="shared" si="260"/>
        <v>0</v>
      </c>
      <c r="DP110" s="26">
        <f t="shared" si="165"/>
        <v>0</v>
      </c>
      <c r="DQ110" s="25">
        <f t="shared" si="166"/>
        <v>8.612906177636899E-2</v>
      </c>
      <c r="DR110" s="24">
        <f t="shared" si="167"/>
        <v>7.628087571153043E-2</v>
      </c>
      <c r="DS110" s="25">
        <f t="shared" si="168"/>
        <v>0.22436943073403545</v>
      </c>
      <c r="DT110" s="24">
        <f t="shared" si="169"/>
        <v>0.26811986970039925</v>
      </c>
      <c r="DU110" s="25">
        <f t="shared" si="170"/>
        <v>0.74828198477348296</v>
      </c>
      <c r="DV110" s="24">
        <f t="shared" si="171"/>
        <v>0.62179410133092161</v>
      </c>
      <c r="DW110" s="25">
        <f t="shared" si="172"/>
        <v>0</v>
      </c>
      <c r="DX110" s="32">
        <f t="shared" si="173"/>
        <v>0</v>
      </c>
      <c r="DZ110" s="54" t="s">
        <v>1798</v>
      </c>
      <c r="EA110" s="39">
        <v>0</v>
      </c>
      <c r="EB110" s="40">
        <v>0</v>
      </c>
      <c r="EC110" s="39">
        <v>0.1768504963325806</v>
      </c>
      <c r="ED110" s="40">
        <v>0.17685049633258057</v>
      </c>
      <c r="EE110" s="39">
        <v>0</v>
      </c>
      <c r="EF110" s="40">
        <v>0</v>
      </c>
      <c r="EG110" s="39">
        <v>0</v>
      </c>
      <c r="EH110" s="40">
        <v>0</v>
      </c>
      <c r="EI110" s="66">
        <v>0</v>
      </c>
      <c r="EO110" s="83" t="s">
        <v>1353</v>
      </c>
      <c r="EP110" s="82" t="s">
        <v>518</v>
      </c>
      <c r="EQ110" s="81">
        <f t="shared" si="250"/>
        <v>27.38060717468726</v>
      </c>
      <c r="ER110" s="80">
        <f>EQ110/SUM(EQ107:EQ115)</f>
        <v>3.7801146778851255E-2</v>
      </c>
      <c r="ET110" s="73" t="s">
        <v>440</v>
      </c>
      <c r="EU110" s="72">
        <v>0.16087244127585204</v>
      </c>
      <c r="EW110" s="37" t="s">
        <v>1353</v>
      </c>
      <c r="EX110" s="36" t="s">
        <v>2033</v>
      </c>
      <c r="EY110" s="36" t="s">
        <v>1145</v>
      </c>
      <c r="EZ110" s="1" t="s">
        <v>1945</v>
      </c>
      <c r="FA110" s="36" t="str">
        <f t="shared" si="251"/>
        <v>IPAFAC</v>
      </c>
      <c r="FB110" s="1" t="s">
        <v>519</v>
      </c>
      <c r="FC110" s="26">
        <f t="shared" si="252"/>
        <v>99.059271716600307</v>
      </c>
      <c r="FD110" s="25">
        <f t="shared" si="253"/>
        <v>1.4393693692981584</v>
      </c>
      <c r="FE110" s="24">
        <f t="shared" si="254"/>
        <v>1.4530385135639449E-2</v>
      </c>
      <c r="FF110" s="36">
        <v>0</v>
      </c>
      <c r="FG110" s="86">
        <f t="shared" si="255"/>
        <v>0</v>
      </c>
    </row>
    <row r="111" spans="1:163">
      <c r="A111" s="37" t="s">
        <v>2032</v>
      </c>
      <c r="B111" s="36" t="s">
        <v>1123</v>
      </c>
      <c r="C111" s="1" t="s">
        <v>665</v>
      </c>
      <c r="D111" s="36" t="s">
        <v>665</v>
      </c>
      <c r="E111" s="36" t="s">
        <v>2043</v>
      </c>
      <c r="F111" s="1" t="e">
        <f t="shared" ca="1" si="232"/>
        <v>#NAME?</v>
      </c>
      <c r="G111" s="35" t="s">
        <v>1121</v>
      </c>
      <c r="H111" s="43">
        <v>1</v>
      </c>
      <c r="I111" s="42">
        <v>0</v>
      </c>
      <c r="J111" s="26">
        <v>24.262767855541629</v>
      </c>
      <c r="K111" s="25">
        <v>15.328423193862415</v>
      </c>
      <c r="L111" s="24"/>
      <c r="M111" s="25"/>
      <c r="N111" s="24"/>
      <c r="O111" s="25"/>
      <c r="P111" s="24"/>
      <c r="Q111" s="25"/>
      <c r="R111" s="32"/>
      <c r="S111" s="47">
        <v>1</v>
      </c>
      <c r="T111" s="45">
        <v>1</v>
      </c>
      <c r="U111" s="46">
        <v>1</v>
      </c>
      <c r="V111" s="45">
        <v>1</v>
      </c>
      <c r="W111" s="46">
        <v>1</v>
      </c>
      <c r="X111" s="45">
        <v>1</v>
      </c>
      <c r="Y111" s="46">
        <v>1</v>
      </c>
      <c r="Z111" s="45">
        <v>1</v>
      </c>
      <c r="AA111" s="44">
        <v>1</v>
      </c>
      <c r="AB111" s="26">
        <f t="shared" si="236"/>
        <v>24.262767855541629</v>
      </c>
      <c r="AC111" s="25">
        <f t="shared" si="237"/>
        <v>15.328423193862415</v>
      </c>
      <c r="AD111" s="24">
        <f t="shared" si="238"/>
        <v>0</v>
      </c>
      <c r="AE111" s="25">
        <f t="shared" si="239"/>
        <v>0</v>
      </c>
      <c r="AF111" s="24">
        <f t="shared" si="240"/>
        <v>0</v>
      </c>
      <c r="AG111" s="25">
        <f t="shared" si="241"/>
        <v>0</v>
      </c>
      <c r="AH111" s="24">
        <f t="shared" si="242"/>
        <v>0</v>
      </c>
      <c r="AI111" s="25">
        <f t="shared" si="243"/>
        <v>0</v>
      </c>
      <c r="AJ111" s="24">
        <f t="shared" si="244"/>
        <v>0</v>
      </c>
      <c r="AK111" s="27">
        <f t="shared" si="160"/>
        <v>39.591191049404046</v>
      </c>
      <c r="AL111" s="41">
        <v>0</v>
      </c>
      <c r="AM111" s="40">
        <v>0</v>
      </c>
      <c r="AN111" s="39">
        <v>0</v>
      </c>
      <c r="AO111" s="40">
        <v>0</v>
      </c>
      <c r="AP111" s="39">
        <v>0</v>
      </c>
      <c r="AQ111" s="40">
        <v>0</v>
      </c>
      <c r="AR111" s="39">
        <v>0</v>
      </c>
      <c r="AS111" s="40">
        <v>0</v>
      </c>
      <c r="AT111" s="39">
        <v>0</v>
      </c>
      <c r="AU111" s="38">
        <v>0</v>
      </c>
      <c r="AW111" s="100" t="s">
        <v>1145</v>
      </c>
      <c r="AX111" s="41">
        <v>0.17341777982404577</v>
      </c>
      <c r="AY111" s="40">
        <v>0.47736080298623307</v>
      </c>
      <c r="AZ111" s="39">
        <v>2.0727505463644635</v>
      </c>
      <c r="BA111" s="40">
        <v>1.4039232303404154</v>
      </c>
      <c r="BB111" s="39">
        <v>1.3024956332671107</v>
      </c>
      <c r="BC111" s="40">
        <v>1.1353146663277309</v>
      </c>
      <c r="BD111" s="39">
        <v>3.9440858300796333</v>
      </c>
      <c r="BE111" s="40">
        <v>0.84690959173716052</v>
      </c>
      <c r="BF111" s="39">
        <v>0.53105088827652647</v>
      </c>
      <c r="BG111" s="81">
        <v>11.887308969203319</v>
      </c>
      <c r="BH111" s="66">
        <v>0</v>
      </c>
      <c r="BJ111" s="22" t="s">
        <v>1282</v>
      </c>
      <c r="BK111" s="20" t="s">
        <v>2006</v>
      </c>
      <c r="BL111" s="21" t="s">
        <v>1027</v>
      </c>
      <c r="BM111" s="20"/>
      <c r="BN111" s="78"/>
      <c r="BO111" s="11">
        <f t="shared" ref="BO111:BW111" si="263">GETPIVOTDATA("Sum of "&amp;BO$1&amp;" (Out)",$AW$6,"Sub-Sector",$BJ111)</f>
        <v>14.655675246007366</v>
      </c>
      <c r="BP111" s="10">
        <f t="shared" si="263"/>
        <v>11.701787827065161</v>
      </c>
      <c r="BQ111" s="9">
        <f t="shared" si="263"/>
        <v>26.751531672592957</v>
      </c>
      <c r="BR111" s="10">
        <f t="shared" si="263"/>
        <v>5.7141005560069811</v>
      </c>
      <c r="BS111" s="9">
        <f t="shared" si="263"/>
        <v>276.06027553346769</v>
      </c>
      <c r="BT111" s="10">
        <f t="shared" si="263"/>
        <v>150.24986429554087</v>
      </c>
      <c r="BU111" s="9">
        <f t="shared" si="263"/>
        <v>117.70704127351154</v>
      </c>
      <c r="BV111" s="10">
        <f t="shared" si="263"/>
        <v>9.4341286208250494</v>
      </c>
      <c r="BW111" s="16">
        <f t="shared" si="263"/>
        <v>71.178857797192777</v>
      </c>
      <c r="BX111" s="11"/>
      <c r="BY111" s="6"/>
      <c r="BZ111" s="5"/>
      <c r="CA111" s="6"/>
      <c r="CB111" s="5"/>
      <c r="CC111" s="6"/>
      <c r="CD111" s="5"/>
      <c r="CE111" s="6"/>
      <c r="CF111" s="59"/>
      <c r="CH111" s="54" t="s">
        <v>2042</v>
      </c>
      <c r="CI111" s="41">
        <v>0.28258680340614845</v>
      </c>
      <c r="CJ111" s="40">
        <v>0.27790824451048951</v>
      </c>
      <c r="CK111" s="39">
        <v>0.30362074263018995</v>
      </c>
      <c r="CL111" s="40">
        <v>0.31852650998700438</v>
      </c>
      <c r="CM111" s="39">
        <v>0.23013591856635637</v>
      </c>
      <c r="CN111" s="40">
        <v>0.26022534278885329</v>
      </c>
      <c r="CO111" s="39">
        <v>0.27354193240476254</v>
      </c>
      <c r="CP111" s="40">
        <v>0.28328458791844136</v>
      </c>
      <c r="CQ111" s="66">
        <v>0.25051595086878975</v>
      </c>
      <c r="CS111" s="54" t="s">
        <v>2038</v>
      </c>
      <c r="CT111" s="39">
        <v>0</v>
      </c>
      <c r="CU111" s="40">
        <v>0</v>
      </c>
      <c r="CV111" s="39">
        <v>0</v>
      </c>
      <c r="CW111" s="40">
        <v>0</v>
      </c>
      <c r="CX111" s="39">
        <v>1.0382725060292286</v>
      </c>
      <c r="CY111" s="40">
        <v>0.31323427776792584</v>
      </c>
      <c r="CZ111" s="39">
        <v>3.7881522655629918</v>
      </c>
      <c r="DA111" s="40">
        <v>0</v>
      </c>
      <c r="DB111" s="39">
        <v>0</v>
      </c>
      <c r="DC111" s="38">
        <v>5.1396590493601462</v>
      </c>
      <c r="DE111" s="37" t="s">
        <v>2041</v>
      </c>
      <c r="DF111" s="35" t="str">
        <f t="shared" si="164"/>
        <v>ICOST</v>
      </c>
      <c r="DG111" s="26">
        <f t="shared" si="260"/>
        <v>0</v>
      </c>
      <c r="DH111" s="25">
        <f t="shared" si="260"/>
        <v>26.939209224603843</v>
      </c>
      <c r="DI111" s="24">
        <f t="shared" si="260"/>
        <v>36.135555454915938</v>
      </c>
      <c r="DJ111" s="25">
        <f t="shared" si="260"/>
        <v>5.2446197628352333</v>
      </c>
      <c r="DK111" s="24">
        <f t="shared" si="260"/>
        <v>8.2649093085008847</v>
      </c>
      <c r="DL111" s="25">
        <f t="shared" si="260"/>
        <v>0</v>
      </c>
      <c r="DM111" s="24">
        <f t="shared" si="260"/>
        <v>47.31805556279955</v>
      </c>
      <c r="DN111" s="25">
        <f t="shared" si="260"/>
        <v>0.31333387647891164</v>
      </c>
      <c r="DO111" s="32">
        <f t="shared" si="260"/>
        <v>0.17971829031663183</v>
      </c>
      <c r="DP111" s="26">
        <f t="shared" si="165"/>
        <v>0</v>
      </c>
      <c r="DQ111" s="25">
        <f t="shared" si="166"/>
        <v>0.91173199237351688</v>
      </c>
      <c r="DR111" s="24">
        <f t="shared" si="167"/>
        <v>0.85468392025632711</v>
      </c>
      <c r="DS111" s="25">
        <f t="shared" si="168"/>
        <v>0.61923014625353312</v>
      </c>
      <c r="DT111" s="24">
        <f t="shared" si="169"/>
        <v>0.63072715076512231</v>
      </c>
      <c r="DU111" s="25">
        <f t="shared" si="170"/>
        <v>0</v>
      </c>
      <c r="DV111" s="24">
        <f t="shared" si="171"/>
        <v>0.34431267091933526</v>
      </c>
      <c r="DW111" s="25">
        <f t="shared" si="172"/>
        <v>0.89873963074015106</v>
      </c>
      <c r="DX111" s="32">
        <f t="shared" si="173"/>
        <v>0.89033383571044755</v>
      </c>
      <c r="DZ111" s="54" t="s">
        <v>1795</v>
      </c>
      <c r="EA111" s="39">
        <v>0</v>
      </c>
      <c r="EB111" s="40">
        <v>0</v>
      </c>
      <c r="EC111" s="39">
        <v>0.58468908573740852</v>
      </c>
      <c r="ED111" s="40">
        <v>0.58468908573740852</v>
      </c>
      <c r="EE111" s="39">
        <v>0</v>
      </c>
      <c r="EF111" s="40">
        <v>0</v>
      </c>
      <c r="EG111" s="39">
        <v>0</v>
      </c>
      <c r="EH111" s="40">
        <v>1</v>
      </c>
      <c r="EI111" s="66">
        <v>1</v>
      </c>
      <c r="EO111" s="83" t="s">
        <v>1353</v>
      </c>
      <c r="EP111" s="82" t="s">
        <v>517</v>
      </c>
      <c r="EQ111" s="81">
        <f t="shared" si="250"/>
        <v>188.07228636087538</v>
      </c>
      <c r="ER111" s="80">
        <f>EQ111/SUM(EQ107:EQ115)</f>
        <v>0.25964903029374831</v>
      </c>
      <c r="ET111" s="73" t="s">
        <v>439</v>
      </c>
      <c r="EU111" s="72">
        <v>0.19026806830157944</v>
      </c>
      <c r="EW111" s="37" t="s">
        <v>1353</v>
      </c>
      <c r="EX111" s="36" t="s">
        <v>2033</v>
      </c>
      <c r="EY111" s="36" t="s">
        <v>1145</v>
      </c>
      <c r="EZ111" s="1" t="s">
        <v>1945</v>
      </c>
      <c r="FA111" s="36" t="str">
        <f t="shared" si="251"/>
        <v>IPAFAC</v>
      </c>
      <c r="FB111" s="1" t="s">
        <v>520</v>
      </c>
      <c r="FC111" s="26">
        <f t="shared" si="252"/>
        <v>68.261782405227351</v>
      </c>
      <c r="FD111" s="25">
        <f t="shared" si="253"/>
        <v>1.0395445444931144</v>
      </c>
      <c r="FE111" s="24">
        <f t="shared" si="254"/>
        <v>1.5228792859846393E-2</v>
      </c>
      <c r="FF111" s="36">
        <v>0</v>
      </c>
      <c r="FG111" s="86">
        <f t="shared" si="255"/>
        <v>0</v>
      </c>
    </row>
    <row r="112" spans="1:163">
      <c r="A112" s="37" t="s">
        <v>2032</v>
      </c>
      <c r="B112" s="36" t="s">
        <v>1107</v>
      </c>
      <c r="C112" s="1" t="s">
        <v>665</v>
      </c>
      <c r="D112" s="36" t="s">
        <v>665</v>
      </c>
      <c r="E112" s="36" t="s">
        <v>2040</v>
      </c>
      <c r="F112" s="1" t="e">
        <f t="shared" ca="1" si="232"/>
        <v>#NAME?</v>
      </c>
      <c r="G112" s="35" t="s">
        <v>1104</v>
      </c>
      <c r="H112" s="43">
        <v>1</v>
      </c>
      <c r="I112" s="42">
        <v>0</v>
      </c>
      <c r="J112" s="26">
        <v>3.3687470015999996</v>
      </c>
      <c r="K112" s="25">
        <v>0</v>
      </c>
      <c r="L112" s="24"/>
      <c r="M112" s="25"/>
      <c r="N112" s="24"/>
      <c r="O112" s="25"/>
      <c r="P112" s="24"/>
      <c r="Q112" s="25"/>
      <c r="R112" s="32"/>
      <c r="S112" s="31" t="e">
        <v>#REF!</v>
      </c>
      <c r="T112" s="29" t="e">
        <f t="shared" ref="T112:AA114" si="264">S112</f>
        <v>#REF!</v>
      </c>
      <c r="U112" s="30" t="e">
        <f t="shared" si="264"/>
        <v>#REF!</v>
      </c>
      <c r="V112" s="29" t="e">
        <f t="shared" si="264"/>
        <v>#REF!</v>
      </c>
      <c r="W112" s="30" t="e">
        <f t="shared" si="264"/>
        <v>#REF!</v>
      </c>
      <c r="X112" s="29" t="e">
        <f t="shared" si="264"/>
        <v>#REF!</v>
      </c>
      <c r="Y112" s="30" t="e">
        <f t="shared" si="264"/>
        <v>#REF!</v>
      </c>
      <c r="Z112" s="29" t="e">
        <f t="shared" si="264"/>
        <v>#REF!</v>
      </c>
      <c r="AA112" s="28" t="e">
        <f t="shared" si="264"/>
        <v>#REF!</v>
      </c>
      <c r="AB112" s="26" t="e">
        <f t="shared" si="236"/>
        <v>#REF!</v>
      </c>
      <c r="AC112" s="25" t="e">
        <f t="shared" si="237"/>
        <v>#REF!</v>
      </c>
      <c r="AD112" s="24" t="e">
        <f t="shared" si="238"/>
        <v>#REF!</v>
      </c>
      <c r="AE112" s="25" t="e">
        <f t="shared" si="239"/>
        <v>#REF!</v>
      </c>
      <c r="AF112" s="24" t="e">
        <f t="shared" si="240"/>
        <v>#REF!</v>
      </c>
      <c r="AG112" s="25" t="e">
        <f t="shared" si="241"/>
        <v>#REF!</v>
      </c>
      <c r="AH112" s="24" t="e">
        <f t="shared" si="242"/>
        <v>#REF!</v>
      </c>
      <c r="AI112" s="25" t="e">
        <f t="shared" si="243"/>
        <v>#REF!</v>
      </c>
      <c r="AJ112" s="24" t="e">
        <f t="shared" si="244"/>
        <v>#REF!</v>
      </c>
      <c r="AK112" s="27" t="e">
        <f t="shared" si="160"/>
        <v>#REF!</v>
      </c>
      <c r="AL112" s="41">
        <v>0</v>
      </c>
      <c r="AM112" s="40">
        <v>0</v>
      </c>
      <c r="AN112" s="39">
        <v>0</v>
      </c>
      <c r="AO112" s="40">
        <v>0</v>
      </c>
      <c r="AP112" s="39">
        <v>0</v>
      </c>
      <c r="AQ112" s="40">
        <v>0</v>
      </c>
      <c r="AR112" s="39">
        <v>0</v>
      </c>
      <c r="AS112" s="40">
        <v>0</v>
      </c>
      <c r="AT112" s="39">
        <v>0</v>
      </c>
      <c r="AU112" s="38">
        <v>0</v>
      </c>
      <c r="AW112" s="100" t="s">
        <v>1139</v>
      </c>
      <c r="AX112" s="41">
        <v>0</v>
      </c>
      <c r="AY112" s="40">
        <v>0</v>
      </c>
      <c r="AZ112" s="39">
        <v>3.4442162161897865</v>
      </c>
      <c r="BA112" s="40">
        <v>2.3328495388435275</v>
      </c>
      <c r="BB112" s="39">
        <v>3.1922634759543942</v>
      </c>
      <c r="BC112" s="40">
        <v>2.7825226054252146</v>
      </c>
      <c r="BD112" s="39">
        <v>9.6664900977909536</v>
      </c>
      <c r="BE112" s="40">
        <v>10.716371884255038</v>
      </c>
      <c r="BF112" s="39">
        <v>6.7196532708551739</v>
      </c>
      <c r="BG112" s="81">
        <v>38.854367089314088</v>
      </c>
      <c r="BH112" s="66">
        <v>0</v>
      </c>
      <c r="BJ112" s="37" t="s">
        <v>1247</v>
      </c>
      <c r="BK112" s="36" t="s">
        <v>1983</v>
      </c>
      <c r="BL112" s="1" t="s">
        <v>1150</v>
      </c>
      <c r="BM112" s="36" t="s">
        <v>1902</v>
      </c>
      <c r="BN112" s="82" t="str">
        <f t="shared" ref="BN112:BN118" si="265">BK112&amp;BM112</f>
        <v>ICPETC</v>
      </c>
      <c r="BO112" s="91">
        <f t="shared" ref="BO112:BW118" si="266">IF(ISERROR(GETPIVOTDATA("Sum of "&amp;BO$1&amp;" (Out)",$AW$6,"Sub-Sector",$BJ112,"End-Use",$BL112)),0,GETPIVOTDATA("Sum of "&amp;BO$1&amp;" (Out)",$AW$6,"Sub-Sector",$BJ112,"End-Use",$BL112))</f>
        <v>0.11213804322720264</v>
      </c>
      <c r="BP112" s="89">
        <f t="shared" si="266"/>
        <v>0.30867830515738132</v>
      </c>
      <c r="BQ112" s="90">
        <f t="shared" si="266"/>
        <v>1.0035423189574528</v>
      </c>
      <c r="BR112" s="89">
        <f t="shared" si="266"/>
        <v>0.67972307458088332</v>
      </c>
      <c r="BS112" s="90">
        <f t="shared" si="266"/>
        <v>1.8608494992542197</v>
      </c>
      <c r="BT112" s="89">
        <f t="shared" si="266"/>
        <v>1.6220013905403061</v>
      </c>
      <c r="BU112" s="90">
        <f t="shared" si="266"/>
        <v>5.6348366585381289</v>
      </c>
      <c r="BV112" s="89">
        <f t="shared" si="266"/>
        <v>8.6212777743130159E-2</v>
      </c>
      <c r="BW112" s="88">
        <f t="shared" si="266"/>
        <v>5.4059338385064534E-2</v>
      </c>
      <c r="BX112" s="26">
        <f t="shared" ref="BX112:CF112" si="267">BO112/BO119</f>
        <v>1.3905100848009644E-2</v>
      </c>
      <c r="BY112" s="25">
        <f t="shared" si="267"/>
        <v>1.6380943666505131E-2</v>
      </c>
      <c r="BZ112" s="24">
        <f t="shared" si="267"/>
        <v>8.6328619232003065E-3</v>
      </c>
      <c r="CA112" s="25">
        <f t="shared" si="267"/>
        <v>9.7812136136979436E-3</v>
      </c>
      <c r="CB112" s="24">
        <f t="shared" si="267"/>
        <v>7.4571360078257813E-3</v>
      </c>
      <c r="CC112" s="25">
        <f t="shared" si="267"/>
        <v>7.223807907359373E-3</v>
      </c>
      <c r="CD112" s="24">
        <f t="shared" si="267"/>
        <v>7.4781217678408134E-3</v>
      </c>
      <c r="CE112" s="25">
        <f t="shared" si="267"/>
        <v>9.4618422791340709E-2</v>
      </c>
      <c r="CF112" s="32">
        <f t="shared" si="267"/>
        <v>6.1015935298699163E-2</v>
      </c>
      <c r="CH112" s="54" t="s">
        <v>2039</v>
      </c>
      <c r="CI112" s="41">
        <v>0.1189185285268613</v>
      </c>
      <c r="CJ112" s="40">
        <v>9.8952966379432586E-2</v>
      </c>
      <c r="CK112" s="39">
        <v>0.10517850621847182</v>
      </c>
      <c r="CL112" s="40">
        <v>6.1073217738086598E-2</v>
      </c>
      <c r="CM112" s="39">
        <v>0.19183830717445224</v>
      </c>
      <c r="CN112" s="40">
        <v>8.8485494097635592E-2</v>
      </c>
      <c r="CO112" s="39">
        <v>3.6080503441852596E-2</v>
      </c>
      <c r="CP112" s="40">
        <v>2.116003295502316E-2</v>
      </c>
      <c r="CQ112" s="66">
        <v>0.13320183298404262</v>
      </c>
      <c r="CS112" s="54" t="s">
        <v>2034</v>
      </c>
      <c r="CT112" s="39">
        <v>0</v>
      </c>
      <c r="CU112" s="40">
        <v>0</v>
      </c>
      <c r="CV112" s="39">
        <v>2.3194840282766243</v>
      </c>
      <c r="CW112" s="40">
        <v>0.91873565415698932</v>
      </c>
      <c r="CX112" s="39">
        <v>0</v>
      </c>
      <c r="CY112" s="40">
        <v>0.44966287298528701</v>
      </c>
      <c r="CZ112" s="39">
        <v>0</v>
      </c>
      <c r="DA112" s="40">
        <v>0</v>
      </c>
      <c r="DB112" s="39">
        <v>0</v>
      </c>
      <c r="DC112" s="38">
        <v>3.6878825554189008</v>
      </c>
      <c r="DE112" s="37" t="s">
        <v>2038</v>
      </c>
      <c r="DF112" s="35" t="str">
        <f t="shared" si="164"/>
        <v>ICOST</v>
      </c>
      <c r="DG112" s="26">
        <f t="shared" si="260"/>
        <v>0</v>
      </c>
      <c r="DH112" s="25">
        <f t="shared" si="260"/>
        <v>0</v>
      </c>
      <c r="DI112" s="24">
        <f t="shared" si="260"/>
        <v>0</v>
      </c>
      <c r="DJ112" s="25">
        <f t="shared" si="260"/>
        <v>0</v>
      </c>
      <c r="DK112" s="24">
        <f t="shared" si="260"/>
        <v>1.0382725060292286</v>
      </c>
      <c r="DL112" s="25">
        <f t="shared" si="260"/>
        <v>0.31323427776792584</v>
      </c>
      <c r="DM112" s="24">
        <f t="shared" si="260"/>
        <v>3.7881522655629918</v>
      </c>
      <c r="DN112" s="25">
        <f t="shared" si="260"/>
        <v>0</v>
      </c>
      <c r="DO112" s="32">
        <f t="shared" si="260"/>
        <v>0</v>
      </c>
      <c r="DP112" s="26">
        <f t="shared" si="165"/>
        <v>0</v>
      </c>
      <c r="DQ112" s="25">
        <f t="shared" si="166"/>
        <v>0</v>
      </c>
      <c r="DR112" s="24">
        <f t="shared" si="167"/>
        <v>0</v>
      </c>
      <c r="DS112" s="25">
        <f t="shared" si="168"/>
        <v>0</v>
      </c>
      <c r="DT112" s="24">
        <f t="shared" si="169"/>
        <v>7.923458503918665E-2</v>
      </c>
      <c r="DU112" s="25">
        <f t="shared" si="170"/>
        <v>7.7815974739490229E-2</v>
      </c>
      <c r="DV112" s="24">
        <f t="shared" si="171"/>
        <v>2.7564717292198806E-2</v>
      </c>
      <c r="DW112" s="25">
        <f t="shared" si="172"/>
        <v>0</v>
      </c>
      <c r="DX112" s="32">
        <f t="shared" si="173"/>
        <v>0</v>
      </c>
      <c r="DZ112" s="54" t="s">
        <v>1704</v>
      </c>
      <c r="EA112" s="39">
        <v>6.2590605998687444E-3</v>
      </c>
      <c r="EB112" s="40">
        <v>6.2590605998687427E-3</v>
      </c>
      <c r="EC112" s="39">
        <v>1.3384216014749595E-3</v>
      </c>
      <c r="ED112" s="40">
        <v>1.3384216014749595E-3</v>
      </c>
      <c r="EE112" s="39">
        <v>3.8422503162122879E-3</v>
      </c>
      <c r="EF112" s="40">
        <v>3.8422503162122879E-3</v>
      </c>
      <c r="EG112" s="39">
        <v>3.8422503162122879E-3</v>
      </c>
      <c r="EH112" s="40">
        <v>1.3179280101272724E-2</v>
      </c>
      <c r="EI112" s="66">
        <v>1.3179280101272726E-2</v>
      </c>
      <c r="EO112" s="83" t="s">
        <v>1353</v>
      </c>
      <c r="EP112" s="82" t="s">
        <v>519</v>
      </c>
      <c r="EQ112" s="81">
        <f t="shared" si="250"/>
        <v>99.059271716600307</v>
      </c>
      <c r="ER112" s="80">
        <f>EQ112/SUM(EQ107:EQ115)</f>
        <v>0.13675935110113521</v>
      </c>
      <c r="ET112" s="73" t="s">
        <v>518</v>
      </c>
      <c r="EU112" s="72">
        <v>3.6515040459586777E-2</v>
      </c>
      <c r="EW112" s="37" t="s">
        <v>1353</v>
      </c>
      <c r="EX112" s="36" t="s">
        <v>2033</v>
      </c>
      <c r="EY112" s="36" t="s">
        <v>1145</v>
      </c>
      <c r="EZ112" s="1" t="s">
        <v>1945</v>
      </c>
      <c r="FA112" s="36" t="str">
        <f t="shared" si="251"/>
        <v>IPAFAC</v>
      </c>
      <c r="FB112" s="1" t="s">
        <v>521</v>
      </c>
      <c r="FC112" s="26">
        <f t="shared" si="252"/>
        <v>13.206996724949857</v>
      </c>
      <c r="FD112" s="25">
        <f t="shared" si="253"/>
        <v>0.2563534695455173</v>
      </c>
      <c r="FE112" s="24">
        <f t="shared" si="254"/>
        <v>1.9410428796520399E-2</v>
      </c>
      <c r="FF112" s="36">
        <v>0</v>
      </c>
      <c r="FG112" s="86">
        <f t="shared" si="255"/>
        <v>0</v>
      </c>
    </row>
    <row r="113" spans="1:163">
      <c r="A113" s="37" t="s">
        <v>2032</v>
      </c>
      <c r="B113" s="36" t="s">
        <v>1107</v>
      </c>
      <c r="C113" s="1" t="s">
        <v>665</v>
      </c>
      <c r="D113" s="36" t="s">
        <v>665</v>
      </c>
      <c r="E113" s="36" t="s">
        <v>2037</v>
      </c>
      <c r="F113" s="1" t="e">
        <f t="shared" ca="1" si="232"/>
        <v>#NAME?</v>
      </c>
      <c r="G113" s="35" t="s">
        <v>1109</v>
      </c>
      <c r="H113" s="34">
        <f>1-I113</f>
        <v>0.49060269678639434</v>
      </c>
      <c r="I113" s="33">
        <v>0.50939730321360566</v>
      </c>
      <c r="J113" s="26">
        <v>0</v>
      </c>
      <c r="K113" s="25">
        <v>0</v>
      </c>
      <c r="L113" s="24"/>
      <c r="M113" s="25"/>
      <c r="N113" s="24"/>
      <c r="O113" s="25"/>
      <c r="P113" s="24"/>
      <c r="Q113" s="25"/>
      <c r="R113" s="32"/>
      <c r="S113" s="31" t="e">
        <v>#REF!</v>
      </c>
      <c r="T113" s="29" t="e">
        <f t="shared" si="264"/>
        <v>#REF!</v>
      </c>
      <c r="U113" s="30" t="e">
        <f t="shared" si="264"/>
        <v>#REF!</v>
      </c>
      <c r="V113" s="29" t="e">
        <f t="shared" si="264"/>
        <v>#REF!</v>
      </c>
      <c r="W113" s="30" t="e">
        <f t="shared" si="264"/>
        <v>#REF!</v>
      </c>
      <c r="X113" s="29" t="e">
        <f t="shared" si="264"/>
        <v>#REF!</v>
      </c>
      <c r="Y113" s="30" t="e">
        <f t="shared" si="264"/>
        <v>#REF!</v>
      </c>
      <c r="Z113" s="29" t="e">
        <f t="shared" si="264"/>
        <v>#REF!</v>
      </c>
      <c r="AA113" s="28" t="e">
        <f t="shared" si="264"/>
        <v>#REF!</v>
      </c>
      <c r="AB113" s="26" t="e">
        <f t="shared" ref="AB113:AJ114" si="268">J113*31.536*$H113*S113</f>
        <v>#REF!</v>
      </c>
      <c r="AC113" s="25" t="e">
        <f t="shared" si="268"/>
        <v>#REF!</v>
      </c>
      <c r="AD113" s="24" t="e">
        <f t="shared" si="268"/>
        <v>#REF!</v>
      </c>
      <c r="AE113" s="25" t="e">
        <f t="shared" si="268"/>
        <v>#REF!</v>
      </c>
      <c r="AF113" s="24" t="e">
        <f t="shared" si="268"/>
        <v>#REF!</v>
      </c>
      <c r="AG113" s="25" t="e">
        <f t="shared" si="268"/>
        <v>#REF!</v>
      </c>
      <c r="AH113" s="24" t="e">
        <f t="shared" si="268"/>
        <v>#REF!</v>
      </c>
      <c r="AI113" s="25" t="e">
        <f t="shared" si="268"/>
        <v>#REF!</v>
      </c>
      <c r="AJ113" s="24" t="e">
        <f t="shared" si="268"/>
        <v>#REF!</v>
      </c>
      <c r="AK113" s="27" t="e">
        <f t="shared" si="160"/>
        <v>#REF!</v>
      </c>
      <c r="AL113" s="26" t="e">
        <f t="shared" ref="AL113:AT114" si="269">J113*31.536*$I113*S113</f>
        <v>#REF!</v>
      </c>
      <c r="AM113" s="25" t="e">
        <f t="shared" si="269"/>
        <v>#REF!</v>
      </c>
      <c r="AN113" s="24" t="e">
        <f t="shared" si="269"/>
        <v>#REF!</v>
      </c>
      <c r="AO113" s="25" t="e">
        <f t="shared" si="269"/>
        <v>#REF!</v>
      </c>
      <c r="AP113" s="24" t="e">
        <f t="shared" si="269"/>
        <v>#REF!</v>
      </c>
      <c r="AQ113" s="25" t="e">
        <f t="shared" si="269"/>
        <v>#REF!</v>
      </c>
      <c r="AR113" s="24" t="e">
        <f t="shared" si="269"/>
        <v>#REF!</v>
      </c>
      <c r="AS113" s="25" t="e">
        <f t="shared" si="269"/>
        <v>#REF!</v>
      </c>
      <c r="AT113" s="24" t="e">
        <f t="shared" si="269"/>
        <v>#REF!</v>
      </c>
      <c r="AU113" s="23" t="e">
        <f>SUM(AL113:AT113)</f>
        <v>#REF!</v>
      </c>
      <c r="AW113" s="100" t="s">
        <v>1136</v>
      </c>
      <c r="AX113" s="41">
        <v>0.32775452663404048</v>
      </c>
      <c r="AY113" s="40">
        <v>0.90219794172860357</v>
      </c>
      <c r="AZ113" s="39">
        <v>7.137097951590909</v>
      </c>
      <c r="BA113" s="40">
        <v>4.8341261465486598</v>
      </c>
      <c r="BB113" s="39">
        <v>2.8469488293127898</v>
      </c>
      <c r="BC113" s="40">
        <v>2.4815305922338791</v>
      </c>
      <c r="BD113" s="39">
        <v>8.6208431336457743</v>
      </c>
      <c r="BE113" s="40">
        <v>2.8640537075594104</v>
      </c>
      <c r="BF113" s="39">
        <v>1.7958921239176793</v>
      </c>
      <c r="BG113" s="81">
        <v>31.810444953171746</v>
      </c>
      <c r="BH113" s="66">
        <v>0</v>
      </c>
      <c r="BJ113" s="37" t="s">
        <v>1247</v>
      </c>
      <c r="BK113" s="36" t="s">
        <v>1983</v>
      </c>
      <c r="BL113" s="1" t="s">
        <v>1145</v>
      </c>
      <c r="BM113" s="36" t="s">
        <v>1945</v>
      </c>
      <c r="BN113" s="82" t="str">
        <f t="shared" si="265"/>
        <v>ICPFAC</v>
      </c>
      <c r="BO113" s="26">
        <f t="shared" si="266"/>
        <v>0.13684191590291611</v>
      </c>
      <c r="BP113" s="25">
        <f t="shared" si="266"/>
        <v>0.37667975523541475</v>
      </c>
      <c r="BQ113" s="24">
        <f t="shared" si="266"/>
        <v>1.2081852895915466</v>
      </c>
      <c r="BR113" s="25">
        <f t="shared" si="266"/>
        <v>0.81833262453516797</v>
      </c>
      <c r="BS113" s="24">
        <f t="shared" si="266"/>
        <v>2.6546496488783591</v>
      </c>
      <c r="BT113" s="25">
        <f t="shared" si="266"/>
        <v>2.3139138461244206</v>
      </c>
      <c r="BU113" s="24">
        <f t="shared" si="266"/>
        <v>8.0385421620986204</v>
      </c>
      <c r="BV113" s="25">
        <f t="shared" si="266"/>
        <v>0.10143999794455959</v>
      </c>
      <c r="BW113" s="32">
        <f t="shared" si="266"/>
        <v>6.3607499006748697E-2</v>
      </c>
      <c r="BX113" s="26">
        <f t="shared" ref="BX113:CF113" si="270">BO113/BO119</f>
        <v>1.6968377422188853E-2</v>
      </c>
      <c r="BY113" s="25">
        <f t="shared" si="270"/>
        <v>1.9989645361303487E-2</v>
      </c>
      <c r="BZ113" s="24">
        <f t="shared" si="270"/>
        <v>1.0393280468252783E-2</v>
      </c>
      <c r="CA113" s="25">
        <f t="shared" si="270"/>
        <v>1.17758047460313E-2</v>
      </c>
      <c r="CB113" s="24">
        <f t="shared" si="270"/>
        <v>1.063819695937078E-2</v>
      </c>
      <c r="CC113" s="25">
        <f t="shared" si="270"/>
        <v>1.0305335886927874E-2</v>
      </c>
      <c r="CD113" s="24">
        <f t="shared" si="270"/>
        <v>1.0668134813279804E-2</v>
      </c>
      <c r="CE113" s="25">
        <f t="shared" si="270"/>
        <v>0.11133027916196439</v>
      </c>
      <c r="CF113" s="32">
        <f t="shared" si="270"/>
        <v>7.1792795839693599E-2</v>
      </c>
      <c r="CH113" s="54" t="s">
        <v>2036</v>
      </c>
      <c r="CI113" s="41">
        <v>0</v>
      </c>
      <c r="CJ113" s="40">
        <v>0</v>
      </c>
      <c r="CK113" s="39">
        <v>0</v>
      </c>
      <c r="CL113" s="40">
        <v>0</v>
      </c>
      <c r="CM113" s="39">
        <v>0</v>
      </c>
      <c r="CN113" s="40">
        <v>0</v>
      </c>
      <c r="CO113" s="39">
        <v>0</v>
      </c>
      <c r="CP113" s="40">
        <v>0</v>
      </c>
      <c r="CQ113" s="66">
        <v>0</v>
      </c>
      <c r="CS113" s="54" t="s">
        <v>2035</v>
      </c>
      <c r="CT113" s="39">
        <v>0.52203697683094341</v>
      </c>
      <c r="CU113" s="40">
        <v>1.4369921625185693</v>
      </c>
      <c r="CV113" s="39">
        <v>3.2678985586167504</v>
      </c>
      <c r="CW113" s="40">
        <v>2.2134253969369375</v>
      </c>
      <c r="CX113" s="39">
        <v>1.4013987333665723</v>
      </c>
      <c r="CY113" s="40">
        <v>1.2215231243219784</v>
      </c>
      <c r="CZ113" s="39">
        <v>4.243574216597116</v>
      </c>
      <c r="DA113" s="40">
        <v>1.5810636099500879</v>
      </c>
      <c r="DB113" s="39">
        <v>0.99139889626644417</v>
      </c>
      <c r="DC113" s="38">
        <v>16.879311675405397</v>
      </c>
      <c r="DE113" s="37" t="s">
        <v>2034</v>
      </c>
      <c r="DF113" s="35" t="str">
        <f t="shared" si="164"/>
        <v>ICOST</v>
      </c>
      <c r="DG113" s="26">
        <f t="shared" si="260"/>
        <v>0</v>
      </c>
      <c r="DH113" s="25">
        <f t="shared" si="260"/>
        <v>0</v>
      </c>
      <c r="DI113" s="24">
        <f t="shared" si="260"/>
        <v>2.3194840282766243</v>
      </c>
      <c r="DJ113" s="25">
        <f t="shared" si="260"/>
        <v>0.91873565415698932</v>
      </c>
      <c r="DK113" s="24">
        <f t="shared" si="260"/>
        <v>0</v>
      </c>
      <c r="DL113" s="25">
        <f t="shared" si="260"/>
        <v>0.44966287298528701</v>
      </c>
      <c r="DM113" s="24">
        <f t="shared" si="260"/>
        <v>0</v>
      </c>
      <c r="DN113" s="25">
        <f t="shared" si="260"/>
        <v>0</v>
      </c>
      <c r="DO113" s="32">
        <f t="shared" si="260"/>
        <v>0</v>
      </c>
      <c r="DP113" s="26">
        <f t="shared" si="165"/>
        <v>0</v>
      </c>
      <c r="DQ113" s="25">
        <f t="shared" si="166"/>
        <v>0</v>
      </c>
      <c r="DR113" s="24">
        <f t="shared" si="167"/>
        <v>5.4860806131311605E-2</v>
      </c>
      <c r="DS113" s="25">
        <f t="shared" si="168"/>
        <v>0.10847474921316635</v>
      </c>
      <c r="DT113" s="24">
        <f t="shared" si="169"/>
        <v>0</v>
      </c>
      <c r="DU113" s="25">
        <f t="shared" si="170"/>
        <v>0.11170857485601997</v>
      </c>
      <c r="DV113" s="24">
        <f t="shared" si="171"/>
        <v>0</v>
      </c>
      <c r="DW113" s="25">
        <f t="shared" si="172"/>
        <v>0</v>
      </c>
      <c r="DX113" s="32">
        <f t="shared" si="173"/>
        <v>0</v>
      </c>
      <c r="DZ113" s="54" t="s">
        <v>1701</v>
      </c>
      <c r="EA113" s="39">
        <v>0.95539506802880025</v>
      </c>
      <c r="EB113" s="40">
        <v>0.95539506802880003</v>
      </c>
      <c r="EC113" s="39">
        <v>0.96190897682506327</v>
      </c>
      <c r="ED113" s="40">
        <v>0.96190897682506327</v>
      </c>
      <c r="EE113" s="39">
        <v>0.96526230703835425</v>
      </c>
      <c r="EF113" s="40">
        <v>0.96526230703835425</v>
      </c>
      <c r="EG113" s="39">
        <v>0.96526230703835436</v>
      </c>
      <c r="EH113" s="40">
        <v>0.93727430550984425</v>
      </c>
      <c r="EI113" s="66">
        <v>0.93727430550984436</v>
      </c>
      <c r="EO113" s="83" t="s">
        <v>1353</v>
      </c>
      <c r="EP113" s="82" t="s">
        <v>520</v>
      </c>
      <c r="EQ113" s="81">
        <f t="shared" si="250"/>
        <v>68.261782405227351</v>
      </c>
      <c r="ER113" s="80">
        <f>EQ113/SUM(EQ107:EQ115)</f>
        <v>9.4240921672164413E-2</v>
      </c>
      <c r="ET113" s="73" t="s">
        <v>517</v>
      </c>
      <c r="EU113" s="72">
        <v>0.15877152007082679</v>
      </c>
      <c r="EW113" s="22" t="s">
        <v>1353</v>
      </c>
      <c r="EX113" s="20" t="s">
        <v>2033</v>
      </c>
      <c r="EY113" s="20" t="s">
        <v>1145</v>
      </c>
      <c r="EZ113" s="85" t="s">
        <v>1945</v>
      </c>
      <c r="FA113" s="20" t="str">
        <f t="shared" si="251"/>
        <v>IPAFAC</v>
      </c>
      <c r="FB113" s="78" t="s">
        <v>522</v>
      </c>
      <c r="FC113" s="11">
        <f t="shared" si="252"/>
        <v>69.3933542801866</v>
      </c>
      <c r="FD113" s="10">
        <f t="shared" si="253"/>
        <v>1.9867393889777591</v>
      </c>
      <c r="FE113" s="9">
        <f t="shared" si="254"/>
        <v>2.8630110326645773E-2</v>
      </c>
      <c r="FF113" s="20">
        <v>0</v>
      </c>
      <c r="FG113" s="84">
        <f t="shared" si="255"/>
        <v>0</v>
      </c>
    </row>
    <row r="114" spans="1:163">
      <c r="A114" s="22" t="s">
        <v>2032</v>
      </c>
      <c r="B114" s="20" t="s">
        <v>1107</v>
      </c>
      <c r="C114" s="21" t="s">
        <v>665</v>
      </c>
      <c r="D114" s="20" t="s">
        <v>665</v>
      </c>
      <c r="E114" s="20" t="s">
        <v>2031</v>
      </c>
      <c r="F114" s="21" t="e">
        <f t="shared" ca="1" si="232"/>
        <v>#NAME?</v>
      </c>
      <c r="G114" s="19" t="s">
        <v>1109</v>
      </c>
      <c r="H114" s="50">
        <f>1-I114</f>
        <v>0.67811158798283255</v>
      </c>
      <c r="I114" s="49">
        <v>0.32188841201716739</v>
      </c>
      <c r="J114" s="11">
        <v>0</v>
      </c>
      <c r="K114" s="10">
        <v>0</v>
      </c>
      <c r="L114" s="9"/>
      <c r="M114" s="10"/>
      <c r="N114" s="9"/>
      <c r="O114" s="10"/>
      <c r="P114" s="9"/>
      <c r="Q114" s="10"/>
      <c r="R114" s="16"/>
      <c r="S114" s="15" t="e">
        <v>#REF!</v>
      </c>
      <c r="T114" s="13" t="e">
        <f t="shared" si="264"/>
        <v>#REF!</v>
      </c>
      <c r="U114" s="14" t="e">
        <f t="shared" si="264"/>
        <v>#REF!</v>
      </c>
      <c r="V114" s="13" t="e">
        <f t="shared" si="264"/>
        <v>#REF!</v>
      </c>
      <c r="W114" s="14" t="e">
        <f t="shared" si="264"/>
        <v>#REF!</v>
      </c>
      <c r="X114" s="13" t="e">
        <f t="shared" si="264"/>
        <v>#REF!</v>
      </c>
      <c r="Y114" s="14" t="e">
        <f t="shared" si="264"/>
        <v>#REF!</v>
      </c>
      <c r="Z114" s="13" t="e">
        <f t="shared" si="264"/>
        <v>#REF!</v>
      </c>
      <c r="AA114" s="12" t="e">
        <f t="shared" si="264"/>
        <v>#REF!</v>
      </c>
      <c r="AB114" s="11" t="e">
        <f t="shared" si="268"/>
        <v>#REF!</v>
      </c>
      <c r="AC114" s="10" t="e">
        <f t="shared" si="268"/>
        <v>#REF!</v>
      </c>
      <c r="AD114" s="9" t="e">
        <f t="shared" si="268"/>
        <v>#REF!</v>
      </c>
      <c r="AE114" s="10" t="e">
        <f t="shared" si="268"/>
        <v>#REF!</v>
      </c>
      <c r="AF114" s="9" t="e">
        <f t="shared" si="268"/>
        <v>#REF!</v>
      </c>
      <c r="AG114" s="10" t="e">
        <f t="shared" si="268"/>
        <v>#REF!</v>
      </c>
      <c r="AH114" s="9" t="e">
        <f t="shared" si="268"/>
        <v>#REF!</v>
      </c>
      <c r="AI114" s="10" t="e">
        <f t="shared" si="268"/>
        <v>#REF!</v>
      </c>
      <c r="AJ114" s="9" t="e">
        <f t="shared" si="268"/>
        <v>#REF!</v>
      </c>
      <c r="AK114" s="8" t="e">
        <f t="shared" si="160"/>
        <v>#REF!</v>
      </c>
      <c r="AL114" s="11" t="e">
        <f t="shared" si="269"/>
        <v>#REF!</v>
      </c>
      <c r="AM114" s="10" t="e">
        <f t="shared" si="269"/>
        <v>#REF!</v>
      </c>
      <c r="AN114" s="9" t="e">
        <f t="shared" si="269"/>
        <v>#REF!</v>
      </c>
      <c r="AO114" s="10" t="e">
        <f t="shared" si="269"/>
        <v>#REF!</v>
      </c>
      <c r="AP114" s="9" t="e">
        <f t="shared" si="269"/>
        <v>#REF!</v>
      </c>
      <c r="AQ114" s="10" t="e">
        <f t="shared" si="269"/>
        <v>#REF!</v>
      </c>
      <c r="AR114" s="9" t="e">
        <f t="shared" si="269"/>
        <v>#REF!</v>
      </c>
      <c r="AS114" s="10" t="e">
        <f t="shared" si="269"/>
        <v>#REF!</v>
      </c>
      <c r="AT114" s="9" t="e">
        <f t="shared" si="269"/>
        <v>#REF!</v>
      </c>
      <c r="AU114" s="48" t="e">
        <f>SUM(AL114:AT114)</f>
        <v>#REF!</v>
      </c>
      <c r="AW114" s="100" t="s">
        <v>1129</v>
      </c>
      <c r="AX114" s="41">
        <v>0</v>
      </c>
      <c r="AY114" s="40">
        <v>1.5850931959191099</v>
      </c>
      <c r="AZ114" s="39">
        <v>1.8900265017063882</v>
      </c>
      <c r="BA114" s="40">
        <v>1.2801598901318325</v>
      </c>
      <c r="BB114" s="39">
        <v>1.6175262994380317</v>
      </c>
      <c r="BC114" s="40">
        <v>1.4099097793644706</v>
      </c>
      <c r="BD114" s="39">
        <v>4.8980299007930492</v>
      </c>
      <c r="BE114" s="40">
        <v>0</v>
      </c>
      <c r="BF114" s="39">
        <v>0</v>
      </c>
      <c r="BG114" s="81">
        <v>12.680745567352883</v>
      </c>
      <c r="BH114" s="66">
        <v>0</v>
      </c>
      <c r="BJ114" s="37" t="s">
        <v>1247</v>
      </c>
      <c r="BK114" s="36" t="s">
        <v>1983</v>
      </c>
      <c r="BL114" s="1" t="s">
        <v>1139</v>
      </c>
      <c r="BM114" s="36" t="s">
        <v>1943</v>
      </c>
      <c r="BN114" s="82" t="str">
        <f t="shared" si="265"/>
        <v>ICPFEED</v>
      </c>
      <c r="BO114" s="26">
        <f t="shared" si="266"/>
        <v>3.1330203906408194</v>
      </c>
      <c r="BP114" s="25">
        <f t="shared" si="266"/>
        <v>8.6241510585938705</v>
      </c>
      <c r="BQ114" s="24">
        <f t="shared" si="266"/>
        <v>89.370900221342254</v>
      </c>
      <c r="BR114" s="25">
        <f t="shared" si="266"/>
        <v>60.533035756400039</v>
      </c>
      <c r="BS114" s="24">
        <f t="shared" si="266"/>
        <v>193.0095243872953</v>
      </c>
      <c r="BT114" s="25">
        <f t="shared" si="266"/>
        <v>168.23591433331018</v>
      </c>
      <c r="BU114" s="24">
        <f t="shared" si="266"/>
        <v>584.45196341800511</v>
      </c>
      <c r="BV114" s="25">
        <f t="shared" si="266"/>
        <v>0</v>
      </c>
      <c r="BW114" s="32">
        <f t="shared" si="266"/>
        <v>0</v>
      </c>
      <c r="BX114" s="26">
        <f t="shared" ref="BX114:CF114" si="271">BO114/BO119</f>
        <v>0.38849406710677375</v>
      </c>
      <c r="BY114" s="25">
        <f t="shared" si="271"/>
        <v>0.45766654248742428</v>
      </c>
      <c r="BZ114" s="24">
        <f t="shared" si="271"/>
        <v>0.76880329507625866</v>
      </c>
      <c r="CA114" s="25">
        <f t="shared" si="271"/>
        <v>0.87107025722798148</v>
      </c>
      <c r="CB114" s="24">
        <f t="shared" si="271"/>
        <v>0.77346302037787662</v>
      </c>
      <c r="CC114" s="25">
        <f t="shared" si="271"/>
        <v>0.74926195214787661</v>
      </c>
      <c r="CD114" s="24">
        <f t="shared" si="271"/>
        <v>0.77563968837871733</v>
      </c>
      <c r="CE114" s="25">
        <f t="shared" si="271"/>
        <v>0</v>
      </c>
      <c r="CF114" s="32">
        <f t="shared" si="271"/>
        <v>0</v>
      </c>
      <c r="CH114" s="54" t="s">
        <v>2030</v>
      </c>
      <c r="CI114" s="41">
        <v>2.0038727072168274E-2</v>
      </c>
      <c r="CJ114" s="40">
        <v>2.1945347883092232E-2</v>
      </c>
      <c r="CK114" s="39">
        <v>1.6328556092205085E-2</v>
      </c>
      <c r="CL114" s="40">
        <v>1.4572991083090202E-2</v>
      </c>
      <c r="CM114" s="39">
        <v>1.3180644324356765E-2</v>
      </c>
      <c r="CN114" s="40">
        <v>1.4530385135639449E-2</v>
      </c>
      <c r="CO114" s="39">
        <v>1.5228792859846393E-2</v>
      </c>
      <c r="CP114" s="40">
        <v>1.9410428796520399E-2</v>
      </c>
      <c r="CQ114" s="66">
        <v>2.8630110326645773E-2</v>
      </c>
      <c r="CS114" s="54" t="s">
        <v>1725</v>
      </c>
      <c r="CT114" s="39">
        <v>0.48553364664097953</v>
      </c>
      <c r="CU114" s="40">
        <v>1.3365107757263217</v>
      </c>
      <c r="CV114" s="39">
        <v>0.93109773006943419</v>
      </c>
      <c r="CW114" s="40">
        <v>0.63065463195968108</v>
      </c>
      <c r="CX114" s="39">
        <v>0.53123596040394905</v>
      </c>
      <c r="CY114" s="40">
        <v>0.46304951949394796</v>
      </c>
      <c r="CZ114" s="39">
        <v>1.6086351234839626</v>
      </c>
      <c r="DA114" s="40">
        <v>2.0797185367509385</v>
      </c>
      <c r="DB114" s="39">
        <v>1.3040782476454782</v>
      </c>
      <c r="DC114" s="38">
        <v>9.3705141721746923</v>
      </c>
      <c r="DE114" s="37" t="s">
        <v>1629</v>
      </c>
      <c r="DF114" s="35" t="str">
        <f t="shared" si="164"/>
        <v>IOTST</v>
      </c>
      <c r="DG114" s="26">
        <f t="shared" si="260"/>
        <v>6.0080788177421608E-2</v>
      </c>
      <c r="DH114" s="25">
        <f t="shared" si="260"/>
        <v>6.1111827464060728E-2</v>
      </c>
      <c r="DI114" s="24">
        <f t="shared" si="260"/>
        <v>5.6645470424386779E-2</v>
      </c>
      <c r="DJ114" s="25">
        <f t="shared" si="260"/>
        <v>0.1723980685007323</v>
      </c>
      <c r="DK114" s="24">
        <f t="shared" si="260"/>
        <v>0.43718699282092388</v>
      </c>
      <c r="DL114" s="25">
        <f t="shared" si="260"/>
        <v>5.2753386934128602E-3</v>
      </c>
      <c r="DM114" s="24">
        <f t="shared" si="260"/>
        <v>0</v>
      </c>
      <c r="DN114" s="25">
        <f t="shared" si="260"/>
        <v>0</v>
      </c>
      <c r="DO114" s="32">
        <f t="shared" si="260"/>
        <v>2.2536246898259737E-2</v>
      </c>
      <c r="DP114" s="26">
        <f t="shared" si="165"/>
        <v>6.5672259645444941E-3</v>
      </c>
      <c r="DQ114" s="25">
        <f t="shared" si="166"/>
        <v>2.8680633422953107E-3</v>
      </c>
      <c r="DR114" s="24">
        <f t="shared" si="167"/>
        <v>1.1607307344683709E-3</v>
      </c>
      <c r="DS114" s="25">
        <f t="shared" si="168"/>
        <v>9.4230763835093014E-3</v>
      </c>
      <c r="DT114" s="24">
        <f t="shared" si="169"/>
        <v>1.0986777037897282E-2</v>
      </c>
      <c r="DU114" s="25">
        <f t="shared" si="170"/>
        <v>3.7285664744338951E-4</v>
      </c>
      <c r="DV114" s="24">
        <f t="shared" si="171"/>
        <v>0</v>
      </c>
      <c r="DW114" s="25">
        <f t="shared" si="172"/>
        <v>0</v>
      </c>
      <c r="DX114" s="32">
        <f t="shared" si="173"/>
        <v>1.3487666277902295E-3</v>
      </c>
      <c r="DZ114" s="54" t="s">
        <v>1698</v>
      </c>
      <c r="EA114" s="39">
        <v>3.8345871371331094E-2</v>
      </c>
      <c r="EB114" s="40">
        <v>3.8345871371331088E-2</v>
      </c>
      <c r="EC114" s="39">
        <v>3.6752601573461802E-2</v>
      </c>
      <c r="ED114" s="40">
        <v>3.6752601573461802E-2</v>
      </c>
      <c r="EE114" s="39">
        <v>3.0895442645433372E-2</v>
      </c>
      <c r="EF114" s="40">
        <v>3.0895442645433379E-2</v>
      </c>
      <c r="EG114" s="39">
        <v>3.0895442645433372E-2</v>
      </c>
      <c r="EH114" s="40">
        <v>4.9546414388882881E-2</v>
      </c>
      <c r="EI114" s="66">
        <v>4.9546414388882888E-2</v>
      </c>
      <c r="EO114" s="83" t="s">
        <v>1353</v>
      </c>
      <c r="EP114" s="82" t="s">
        <v>521</v>
      </c>
      <c r="EQ114" s="81">
        <f t="shared" si="250"/>
        <v>13.206996724949857</v>
      </c>
      <c r="ER114" s="80">
        <f>EQ114/SUM(EQ107:EQ115)</f>
        <v>1.8233329104884601E-2</v>
      </c>
      <c r="ET114" s="73" t="s">
        <v>519</v>
      </c>
      <c r="EU114" s="72">
        <v>0.10241044832760002</v>
      </c>
      <c r="EW114" s="37" t="s">
        <v>1282</v>
      </c>
      <c r="EX114" s="36" t="s">
        <v>2006</v>
      </c>
      <c r="EY114" s="36" t="s">
        <v>1150</v>
      </c>
      <c r="EZ114" s="1" t="s">
        <v>1902</v>
      </c>
      <c r="FA114" s="36" t="str">
        <f t="shared" si="251"/>
        <v>IPBETC</v>
      </c>
      <c r="FB114" s="35" t="s">
        <v>438</v>
      </c>
      <c r="FC114" s="26">
        <f t="shared" si="252"/>
        <v>14.655675246007366</v>
      </c>
      <c r="FD114" s="25">
        <f t="shared" si="253"/>
        <v>4.7796169924384124E-2</v>
      </c>
      <c r="FE114" s="24">
        <f t="shared" si="254"/>
        <v>3.2612738152344905E-3</v>
      </c>
      <c r="FF114" s="36">
        <v>0</v>
      </c>
      <c r="FG114" s="86">
        <f t="shared" si="255"/>
        <v>0</v>
      </c>
    </row>
    <row r="115" spans="1:163">
      <c r="A115" s="37" t="s">
        <v>1976</v>
      </c>
      <c r="B115" s="36" t="s">
        <v>1150</v>
      </c>
      <c r="C115" s="1" t="s">
        <v>1126</v>
      </c>
      <c r="D115" s="36" t="s">
        <v>1126</v>
      </c>
      <c r="E115" s="36" t="s">
        <v>2029</v>
      </c>
      <c r="F115" s="1" t="e">
        <f t="shared" ca="1" si="232"/>
        <v>#NAME?</v>
      </c>
      <c r="G115" s="35" t="s">
        <v>1121</v>
      </c>
      <c r="H115" s="43">
        <v>1</v>
      </c>
      <c r="I115" s="42">
        <v>0</v>
      </c>
      <c r="J115" s="26">
        <v>6.2607158721262897</v>
      </c>
      <c r="K115" s="25">
        <v>9.492757260592354</v>
      </c>
      <c r="L115" s="24"/>
      <c r="M115" s="25"/>
      <c r="N115" s="24"/>
      <c r="O115" s="25"/>
      <c r="P115" s="24"/>
      <c r="Q115" s="25"/>
      <c r="R115" s="32"/>
      <c r="S115" s="47">
        <v>1</v>
      </c>
      <c r="T115" s="45">
        <v>1</v>
      </c>
      <c r="U115" s="46">
        <v>1</v>
      </c>
      <c r="V115" s="45">
        <v>1</v>
      </c>
      <c r="W115" s="46">
        <v>1</v>
      </c>
      <c r="X115" s="45">
        <v>1</v>
      </c>
      <c r="Y115" s="46">
        <v>1</v>
      </c>
      <c r="Z115" s="45">
        <v>1</v>
      </c>
      <c r="AA115" s="44">
        <v>1</v>
      </c>
      <c r="AB115" s="26">
        <f t="shared" ref="AB115:AB129" si="272">J115*$H115*S115</f>
        <v>6.2607158721262897</v>
      </c>
      <c r="AC115" s="25">
        <f t="shared" ref="AC115:AC129" si="273">K115*$H115*T115</f>
        <v>9.492757260592354</v>
      </c>
      <c r="AD115" s="24">
        <f t="shared" ref="AD115:AD129" si="274">L115*$H115*U115</f>
        <v>0</v>
      </c>
      <c r="AE115" s="25">
        <f t="shared" ref="AE115:AE129" si="275">M115*$H115*V115</f>
        <v>0</v>
      </c>
      <c r="AF115" s="24">
        <f t="shared" ref="AF115:AF129" si="276">N115*$H115*W115</f>
        <v>0</v>
      </c>
      <c r="AG115" s="25">
        <f t="shared" ref="AG115:AG129" si="277">O115*$H115*X115</f>
        <v>0</v>
      </c>
      <c r="AH115" s="24">
        <f t="shared" ref="AH115:AH129" si="278">P115*$H115*Y115</f>
        <v>0</v>
      </c>
      <c r="AI115" s="25">
        <f t="shared" ref="AI115:AI129" si="279">Q115*$H115*Z115</f>
        <v>0</v>
      </c>
      <c r="AJ115" s="24">
        <f t="shared" ref="AJ115:AJ129" si="280">R115*$H115*AA115</f>
        <v>0</v>
      </c>
      <c r="AK115" s="27">
        <f t="shared" si="160"/>
        <v>15.753473132718643</v>
      </c>
      <c r="AL115" s="41">
        <v>0</v>
      </c>
      <c r="AM115" s="40">
        <v>0</v>
      </c>
      <c r="AN115" s="39">
        <v>0</v>
      </c>
      <c r="AO115" s="40">
        <v>0</v>
      </c>
      <c r="AP115" s="39">
        <v>0</v>
      </c>
      <c r="AQ115" s="40">
        <v>0</v>
      </c>
      <c r="AR115" s="39">
        <v>0</v>
      </c>
      <c r="AS115" s="40">
        <v>0</v>
      </c>
      <c r="AT115" s="39">
        <v>0</v>
      </c>
      <c r="AU115" s="38">
        <v>0</v>
      </c>
      <c r="AW115" s="100" t="s">
        <v>1123</v>
      </c>
      <c r="AX115" s="41">
        <v>1.5408347440535681</v>
      </c>
      <c r="AY115" s="40">
        <v>4.2413996502364997</v>
      </c>
      <c r="AZ115" s="39">
        <v>7.147790638081001</v>
      </c>
      <c r="BA115" s="40">
        <v>4.8413685573561329</v>
      </c>
      <c r="BB115" s="39">
        <v>7.902195141381803</v>
      </c>
      <c r="BC115" s="40">
        <v>6.8879141020157748</v>
      </c>
      <c r="BD115" s="39">
        <v>23.928629845361254</v>
      </c>
      <c r="BE115" s="40">
        <v>3.1029106954680512</v>
      </c>
      <c r="BF115" s="39">
        <v>1.9456663345742826</v>
      </c>
      <c r="BG115" s="81">
        <v>61.538709708528359</v>
      </c>
      <c r="BH115" s="66">
        <v>0</v>
      </c>
      <c r="BJ115" s="37" t="s">
        <v>1247</v>
      </c>
      <c r="BK115" s="36" t="s">
        <v>1983</v>
      </c>
      <c r="BL115" s="1" t="s">
        <v>1136</v>
      </c>
      <c r="BM115" s="36" t="s">
        <v>1941</v>
      </c>
      <c r="BN115" s="82" t="str">
        <f t="shared" si="265"/>
        <v>ICPMDR</v>
      </c>
      <c r="BO115" s="26">
        <f t="shared" si="266"/>
        <v>0.68649501447704964</v>
      </c>
      <c r="BP115" s="25">
        <f t="shared" si="266"/>
        <v>1.8896898097144881</v>
      </c>
      <c r="BQ115" s="24">
        <f t="shared" si="266"/>
        <v>6.1168512490490539</v>
      </c>
      <c r="BR115" s="25">
        <f t="shared" si="266"/>
        <v>4.1430887957738589</v>
      </c>
      <c r="BS115" s="24">
        <f t="shared" si="266"/>
        <v>12.015654995785079</v>
      </c>
      <c r="BT115" s="25">
        <f t="shared" si="266"/>
        <v>10.473393533021785</v>
      </c>
      <c r="BU115" s="24">
        <f t="shared" si="266"/>
        <v>36.384593850137513</v>
      </c>
      <c r="BV115" s="25">
        <f t="shared" si="266"/>
        <v>0.52166510454119808</v>
      </c>
      <c r="BW115" s="32">
        <f t="shared" si="266"/>
        <v>0.32710778086859488</v>
      </c>
      <c r="BX115" s="26">
        <f t="shared" ref="BX115:CF115" si="281">BO115/BO119</f>
        <v>8.5125280709763468E-2</v>
      </c>
      <c r="BY115" s="25">
        <f t="shared" si="281"/>
        <v>0.10028207944293105</v>
      </c>
      <c r="BZ115" s="24">
        <f t="shared" si="281"/>
        <v>5.2619537054156486E-2</v>
      </c>
      <c r="CA115" s="25">
        <f t="shared" si="281"/>
        <v>5.9619039057884009E-2</v>
      </c>
      <c r="CB115" s="24">
        <f t="shared" si="281"/>
        <v>4.81513274247009E-2</v>
      </c>
      <c r="CC115" s="25">
        <f t="shared" si="281"/>
        <v>4.6644709099495203E-2</v>
      </c>
      <c r="CD115" s="24">
        <f t="shared" si="281"/>
        <v>4.8286834166254157E-2</v>
      </c>
      <c r="CE115" s="25">
        <f t="shared" si="281"/>
        <v>0.57252684241346341</v>
      </c>
      <c r="CF115" s="32">
        <f t="shared" si="281"/>
        <v>0.36920146989245145</v>
      </c>
      <c r="CH115" s="54" t="s">
        <v>2028</v>
      </c>
      <c r="CI115" s="41">
        <v>0</v>
      </c>
      <c r="CJ115" s="40">
        <v>0</v>
      </c>
      <c r="CK115" s="39">
        <v>0</v>
      </c>
      <c r="CL115" s="40">
        <v>0</v>
      </c>
      <c r="CM115" s="39">
        <v>0</v>
      </c>
      <c r="CN115" s="40">
        <v>0</v>
      </c>
      <c r="CO115" s="39">
        <v>0</v>
      </c>
      <c r="CP115" s="40">
        <v>0</v>
      </c>
      <c r="CQ115" s="66">
        <v>0</v>
      </c>
      <c r="CS115" s="54" t="s">
        <v>1723</v>
      </c>
      <c r="CT115" s="39">
        <v>10.641522989246154</v>
      </c>
      <c r="CU115" s="40">
        <v>29.292532543647756</v>
      </c>
      <c r="CV115" s="39">
        <v>66.614855233341444</v>
      </c>
      <c r="CW115" s="40">
        <v>45.119825399099113</v>
      </c>
      <c r="CX115" s="39">
        <v>28.566974180164738</v>
      </c>
      <c r="CY115" s="40">
        <v>24.90027907271725</v>
      </c>
      <c r="CZ115" s="39">
        <v>86.503628261402753</v>
      </c>
      <c r="DA115" s="40">
        <v>32.229373587444094</v>
      </c>
      <c r="DB115" s="39">
        <v>20.209285193123669</v>
      </c>
      <c r="DC115" s="38">
        <v>344.07827646018694</v>
      </c>
      <c r="DE115" s="37" t="s">
        <v>1634</v>
      </c>
      <c r="DF115" s="35" t="str">
        <f t="shared" si="164"/>
        <v>IOTST</v>
      </c>
      <c r="DG115" s="26">
        <f t="shared" si="260"/>
        <v>6.4591369471662796</v>
      </c>
      <c r="DH115" s="25">
        <f t="shared" si="260"/>
        <v>14.027909022272729</v>
      </c>
      <c r="DI115" s="24">
        <f t="shared" si="260"/>
        <v>14.524962643256993</v>
      </c>
      <c r="DJ115" s="25">
        <f t="shared" si="260"/>
        <v>0.29848824381787992</v>
      </c>
      <c r="DK115" s="24">
        <f t="shared" si="260"/>
        <v>17.417004725287129</v>
      </c>
      <c r="DL115" s="25">
        <f t="shared" si="260"/>
        <v>0</v>
      </c>
      <c r="DM115" s="24">
        <f t="shared" si="260"/>
        <v>4.1244039001955803</v>
      </c>
      <c r="DN115" s="25">
        <f t="shared" si="260"/>
        <v>2.3253086101935803</v>
      </c>
      <c r="DO115" s="32">
        <f t="shared" si="260"/>
        <v>5.7712079005684576</v>
      </c>
      <c r="DP115" s="26">
        <f t="shared" si="165"/>
        <v>0.70602622160539474</v>
      </c>
      <c r="DQ115" s="25">
        <f t="shared" si="166"/>
        <v>0.65834934586917182</v>
      </c>
      <c r="DR115" s="24">
        <f t="shared" si="167"/>
        <v>0.29763316344134422</v>
      </c>
      <c r="DS115" s="25">
        <f t="shared" si="168"/>
        <v>1.6315017595823489E-2</v>
      </c>
      <c r="DT115" s="24">
        <f t="shared" si="169"/>
        <v>0.43770000189167269</v>
      </c>
      <c r="DU115" s="25">
        <f t="shared" si="170"/>
        <v>0</v>
      </c>
      <c r="DV115" s="24">
        <f t="shared" si="171"/>
        <v>0.21631988080180395</v>
      </c>
      <c r="DW115" s="25">
        <f t="shared" si="172"/>
        <v>0.62117838165519124</v>
      </c>
      <c r="DX115" s="32">
        <f t="shared" si="173"/>
        <v>0.34539968671212662</v>
      </c>
      <c r="DZ115" s="54" t="s">
        <v>2027</v>
      </c>
      <c r="EA115" s="39">
        <v>0.22170490440665339</v>
      </c>
      <c r="EB115" s="40">
        <v>0</v>
      </c>
      <c r="EC115" s="39">
        <v>0.32840694571343093</v>
      </c>
      <c r="ED115" s="40">
        <v>2.4460692716429842E-2</v>
      </c>
      <c r="EE115" s="39">
        <v>0.4702447503268653</v>
      </c>
      <c r="EF115" s="40">
        <v>9.0896360549273976E-3</v>
      </c>
      <c r="EG115" s="39">
        <v>0</v>
      </c>
      <c r="EH115" s="40">
        <v>0.52428283112521523</v>
      </c>
      <c r="EI115" s="66">
        <v>0</v>
      </c>
      <c r="EO115" s="79" t="s">
        <v>1353</v>
      </c>
      <c r="EP115" s="78" t="s">
        <v>522</v>
      </c>
      <c r="EQ115" s="77">
        <f t="shared" si="250"/>
        <v>69.3933542801866</v>
      </c>
      <c r="ER115" s="76">
        <f>EQ115/SUM(EQ107:EQ115)</f>
        <v>9.5803148333657107E-2</v>
      </c>
      <c r="ET115" s="73" t="s">
        <v>520</v>
      </c>
      <c r="EU115" s="72">
        <v>6.412807566694409E-2</v>
      </c>
      <c r="EW115" s="37" t="s">
        <v>1282</v>
      </c>
      <c r="EX115" s="36" t="s">
        <v>2006</v>
      </c>
      <c r="EY115" s="36" t="s">
        <v>1150</v>
      </c>
      <c r="EZ115" s="1" t="s">
        <v>1902</v>
      </c>
      <c r="FA115" s="36" t="str">
        <f t="shared" si="251"/>
        <v>IPBETC</v>
      </c>
      <c r="FB115" s="1" t="s">
        <v>440</v>
      </c>
      <c r="FC115" s="26">
        <f t="shared" si="252"/>
        <v>11.701787827065161</v>
      </c>
      <c r="FD115" s="25">
        <f t="shared" si="253"/>
        <v>4.2173091109750697E-2</v>
      </c>
      <c r="FE115" s="24">
        <f t="shared" si="254"/>
        <v>3.6039869918174563E-3</v>
      </c>
      <c r="FF115" s="36">
        <v>0</v>
      </c>
      <c r="FG115" s="86">
        <f t="shared" si="255"/>
        <v>0</v>
      </c>
    </row>
    <row r="116" spans="1:163" ht="15.75" thickBot="1">
      <c r="A116" s="37" t="s">
        <v>1976</v>
      </c>
      <c r="B116" s="36" t="s">
        <v>1145</v>
      </c>
      <c r="C116" s="1" t="s">
        <v>1126</v>
      </c>
      <c r="D116" s="36" t="s">
        <v>1126</v>
      </c>
      <c r="E116" s="36" t="s">
        <v>2026</v>
      </c>
      <c r="F116" s="1" t="e">
        <f t="shared" ca="1" si="232"/>
        <v>#NAME?</v>
      </c>
      <c r="G116" s="35" t="s">
        <v>1121</v>
      </c>
      <c r="H116" s="43">
        <v>1</v>
      </c>
      <c r="I116" s="42">
        <v>0</v>
      </c>
      <c r="J116" s="26">
        <v>0.62607158721262912</v>
      </c>
      <c r="K116" s="25">
        <v>0.9492757260592356</v>
      </c>
      <c r="L116" s="24"/>
      <c r="M116" s="25"/>
      <c r="N116" s="24"/>
      <c r="O116" s="25"/>
      <c r="P116" s="24"/>
      <c r="Q116" s="25"/>
      <c r="R116" s="32"/>
      <c r="S116" s="47">
        <v>1</v>
      </c>
      <c r="T116" s="45">
        <v>1</v>
      </c>
      <c r="U116" s="46">
        <v>1</v>
      </c>
      <c r="V116" s="45">
        <v>1</v>
      </c>
      <c r="W116" s="46">
        <v>1</v>
      </c>
      <c r="X116" s="45">
        <v>1</v>
      </c>
      <c r="Y116" s="46">
        <v>1</v>
      </c>
      <c r="Z116" s="45">
        <v>1</v>
      </c>
      <c r="AA116" s="44">
        <v>1</v>
      </c>
      <c r="AB116" s="26">
        <f t="shared" si="272"/>
        <v>0.62607158721262912</v>
      </c>
      <c r="AC116" s="25">
        <f t="shared" si="273"/>
        <v>0.9492757260592356</v>
      </c>
      <c r="AD116" s="24">
        <f t="shared" si="274"/>
        <v>0</v>
      </c>
      <c r="AE116" s="25">
        <f t="shared" si="275"/>
        <v>0</v>
      </c>
      <c r="AF116" s="24">
        <f t="shared" si="276"/>
        <v>0</v>
      </c>
      <c r="AG116" s="25">
        <f t="shared" si="277"/>
        <v>0</v>
      </c>
      <c r="AH116" s="24">
        <f t="shared" si="278"/>
        <v>0</v>
      </c>
      <c r="AI116" s="25">
        <f t="shared" si="279"/>
        <v>0</v>
      </c>
      <c r="AJ116" s="24">
        <f t="shared" si="280"/>
        <v>0</v>
      </c>
      <c r="AK116" s="27">
        <f t="shared" si="160"/>
        <v>1.5753473132718647</v>
      </c>
      <c r="AL116" s="41">
        <v>0</v>
      </c>
      <c r="AM116" s="40">
        <v>0</v>
      </c>
      <c r="AN116" s="39">
        <v>0</v>
      </c>
      <c r="AO116" s="40">
        <v>0</v>
      </c>
      <c r="AP116" s="39">
        <v>0</v>
      </c>
      <c r="AQ116" s="40">
        <v>0</v>
      </c>
      <c r="AR116" s="39">
        <v>0</v>
      </c>
      <c r="AS116" s="40">
        <v>0</v>
      </c>
      <c r="AT116" s="39">
        <v>0</v>
      </c>
      <c r="AU116" s="38">
        <v>0</v>
      </c>
      <c r="AW116" s="100" t="s">
        <v>1107</v>
      </c>
      <c r="AX116" s="41">
        <v>0</v>
      </c>
      <c r="AY116" s="40">
        <v>5.8641972063406964</v>
      </c>
      <c r="AZ116" s="39">
        <v>6.4017528284246672E-2</v>
      </c>
      <c r="BA116" s="40">
        <v>0</v>
      </c>
      <c r="BB116" s="39">
        <v>0</v>
      </c>
      <c r="BC116" s="40">
        <v>4.1200271499421494E-2</v>
      </c>
      <c r="BD116" s="39">
        <v>2.6560676530619074</v>
      </c>
      <c r="BE116" s="40">
        <v>0</v>
      </c>
      <c r="BF116" s="39">
        <v>0</v>
      </c>
      <c r="BG116" s="81">
        <v>8.6254826591862717</v>
      </c>
      <c r="BH116" s="66">
        <v>3.4506407819765705</v>
      </c>
      <c r="BJ116" s="37" t="s">
        <v>1247</v>
      </c>
      <c r="BK116" s="36" t="s">
        <v>1983</v>
      </c>
      <c r="BL116" s="1" t="s">
        <v>1129</v>
      </c>
      <c r="BM116" s="36" t="s">
        <v>1910</v>
      </c>
      <c r="BN116" s="82" t="str">
        <f t="shared" si="265"/>
        <v>ICPOHT</v>
      </c>
      <c r="BO116" s="26">
        <f t="shared" si="266"/>
        <v>0.33953455583040465</v>
      </c>
      <c r="BP116" s="25">
        <f t="shared" si="266"/>
        <v>0.93462439882016157</v>
      </c>
      <c r="BQ116" s="24">
        <f t="shared" si="266"/>
        <v>2.1238498420257703</v>
      </c>
      <c r="BR116" s="25">
        <f t="shared" si="266"/>
        <v>1.438533998316702</v>
      </c>
      <c r="BS116" s="24">
        <f t="shared" si="266"/>
        <v>9.0841000397362119</v>
      </c>
      <c r="BT116" s="25">
        <f t="shared" si="266"/>
        <v>7.9181163775816135</v>
      </c>
      <c r="BU116" s="24">
        <f t="shared" si="266"/>
        <v>27.507554981876751</v>
      </c>
      <c r="BV116" s="25">
        <f t="shared" si="266"/>
        <v>9.5791975270144627E-3</v>
      </c>
      <c r="BW116" s="32">
        <f t="shared" si="266"/>
        <v>6.0065931538960601E-3</v>
      </c>
      <c r="BX116" s="26">
        <f t="shared" ref="BX116:CF116" si="282">BO116/BO119</f>
        <v>4.2102234927001519E-2</v>
      </c>
      <c r="BY116" s="25">
        <f t="shared" si="282"/>
        <v>4.9598657795559643E-2</v>
      </c>
      <c r="BZ116" s="24">
        <f t="shared" si="282"/>
        <v>1.8270183614047076E-2</v>
      </c>
      <c r="CA116" s="25">
        <f t="shared" si="282"/>
        <v>2.0700501210406293E-2</v>
      </c>
      <c r="CB116" s="24">
        <f t="shared" si="282"/>
        <v>3.6403464940156366E-2</v>
      </c>
      <c r="CC116" s="25">
        <f t="shared" si="282"/>
        <v>3.5264428275682443E-2</v>
      </c>
      <c r="CD116" s="24">
        <f t="shared" si="282"/>
        <v>3.6505911023766477E-2</v>
      </c>
      <c r="CE116" s="25">
        <f t="shared" si="282"/>
        <v>1.0513158087926746E-2</v>
      </c>
      <c r="CF116" s="32">
        <f t="shared" si="282"/>
        <v>6.7795483665221302E-3</v>
      </c>
      <c r="CH116" s="54" t="s">
        <v>2025</v>
      </c>
      <c r="CI116" s="41">
        <v>3.9774127589712799E-2</v>
      </c>
      <c r="CJ116" s="40">
        <v>4.3558508659716839E-2</v>
      </c>
      <c r="CK116" s="39">
        <v>0.1579466645324436</v>
      </c>
      <c r="CL116" s="40">
        <v>0.14096502598499513</v>
      </c>
      <c r="CM116" s="39">
        <v>9.1300814529804153E-2</v>
      </c>
      <c r="CN116" s="40">
        <v>0.10065031463326299</v>
      </c>
      <c r="CO116" s="39">
        <v>0.1054881049965283</v>
      </c>
      <c r="CP116" s="40">
        <v>0.20531858222060556</v>
      </c>
      <c r="CQ116" s="66">
        <v>0.30284203006067534</v>
      </c>
      <c r="CS116" s="54" t="s">
        <v>1721</v>
      </c>
      <c r="CT116" s="39">
        <v>0.27401785444605503</v>
      </c>
      <c r="CU116" s="40">
        <v>0.75427896242041692</v>
      </c>
      <c r="CV116" s="39">
        <v>7.3566964030945217</v>
      </c>
      <c r="CW116" s="40">
        <v>4.9828653993031464</v>
      </c>
      <c r="CX116" s="39">
        <v>2.3085416858912491</v>
      </c>
      <c r="CY116" s="40">
        <v>2.0122303421832606</v>
      </c>
      <c r="CZ116" s="39">
        <v>6.9904929574566861</v>
      </c>
      <c r="DA116" s="40">
        <v>1.8960074326986989</v>
      </c>
      <c r="DB116" s="39">
        <v>1.1888830179007182</v>
      </c>
      <c r="DC116" s="38">
        <v>27.764014055394753</v>
      </c>
      <c r="DE116" s="37" t="s">
        <v>1626</v>
      </c>
      <c r="DF116" s="35" t="str">
        <f t="shared" si="164"/>
        <v>IOTST</v>
      </c>
      <c r="DG116" s="26">
        <f t="shared" si="260"/>
        <v>0.36141021472911461</v>
      </c>
      <c r="DH116" s="25">
        <f t="shared" si="260"/>
        <v>0.99484072789747091</v>
      </c>
      <c r="DI116" s="24">
        <f t="shared" si="260"/>
        <v>2.2623913098115964</v>
      </c>
      <c r="DJ116" s="25">
        <f t="shared" si="260"/>
        <v>1.5323714286486489</v>
      </c>
      <c r="DK116" s="24">
        <f t="shared" si="260"/>
        <v>0.9701991230999345</v>
      </c>
      <c r="DL116" s="25">
        <f t="shared" si="260"/>
        <v>0.84566985529983107</v>
      </c>
      <c r="DM116" s="24">
        <f t="shared" si="260"/>
        <v>2.9378590730287724</v>
      </c>
      <c r="DN116" s="25">
        <f t="shared" si="260"/>
        <v>1.0945824991962145</v>
      </c>
      <c r="DO116" s="32">
        <f t="shared" si="260"/>
        <v>0.68635308203061518</v>
      </c>
      <c r="DP116" s="26">
        <f t="shared" si="165"/>
        <v>3.9504517467575287E-2</v>
      </c>
      <c r="DQ116" s="25">
        <f t="shared" si="166"/>
        <v>4.6689263625492111E-2</v>
      </c>
      <c r="DR116" s="24">
        <f t="shared" si="167"/>
        <v>4.6358995821172096E-2</v>
      </c>
      <c r="DS116" s="25">
        <f t="shared" si="168"/>
        <v>8.375762643768922E-2</v>
      </c>
      <c r="DT116" s="24">
        <f t="shared" si="169"/>
        <v>2.4381698501786439E-2</v>
      </c>
      <c r="DU116" s="25">
        <f t="shared" si="170"/>
        <v>5.9771257433148879E-2</v>
      </c>
      <c r="DV116" s="24">
        <f t="shared" si="171"/>
        <v>0.15408707291251128</v>
      </c>
      <c r="DW116" s="25">
        <f t="shared" si="172"/>
        <v>0.29240462210398621</v>
      </c>
      <c r="DX116" s="32">
        <f t="shared" si="173"/>
        <v>4.107738684720165E-2</v>
      </c>
      <c r="DZ116" s="54" t="s">
        <v>2024</v>
      </c>
      <c r="EA116" s="39">
        <v>3.5790948222920037E-3</v>
      </c>
      <c r="EB116" s="40">
        <v>0.1427181072430061</v>
      </c>
      <c r="EC116" s="39">
        <v>0.33869771511794</v>
      </c>
      <c r="ED116" s="40">
        <v>0.59479531691871701</v>
      </c>
      <c r="EE116" s="39">
        <v>0.25661552285967648</v>
      </c>
      <c r="EF116" s="40">
        <v>0.6535223453833261</v>
      </c>
      <c r="EG116" s="39">
        <v>0.72070696846894777</v>
      </c>
      <c r="EH116" s="40">
        <v>2.6936766589570449E-2</v>
      </c>
      <c r="EI116" s="66">
        <v>0.40932066509314208</v>
      </c>
      <c r="EO116" s="83" t="s">
        <v>1282</v>
      </c>
      <c r="EP116" s="82" t="s">
        <v>438</v>
      </c>
      <c r="EQ116" s="81">
        <f t="shared" si="250"/>
        <v>14.655675246007366</v>
      </c>
      <c r="ER116" s="80">
        <f>EQ116/SUM(EQ116:EQ124)</f>
        <v>2.1443566141580935E-2</v>
      </c>
      <c r="ET116" s="73" t="s">
        <v>521</v>
      </c>
      <c r="EU116" s="72">
        <v>6.4535328971698658E-3</v>
      </c>
      <c r="EW116" s="37" t="s">
        <v>1282</v>
      </c>
      <c r="EX116" s="36" t="s">
        <v>2006</v>
      </c>
      <c r="EY116" s="36" t="s">
        <v>1150</v>
      </c>
      <c r="EZ116" s="1" t="s">
        <v>1902</v>
      </c>
      <c r="FA116" s="36" t="str">
        <f t="shared" si="251"/>
        <v>IPBETC</v>
      </c>
      <c r="FB116" s="1" t="s">
        <v>439</v>
      </c>
      <c r="FC116" s="26">
        <f t="shared" si="252"/>
        <v>26.751531672592957</v>
      </c>
      <c r="FD116" s="25">
        <f t="shared" si="253"/>
        <v>0.13591784791942513</v>
      </c>
      <c r="FE116" s="24">
        <f t="shared" si="254"/>
        <v>5.080750126119824E-3</v>
      </c>
      <c r="FF116" s="36">
        <v>0</v>
      </c>
      <c r="FG116" s="86">
        <f t="shared" si="255"/>
        <v>0</v>
      </c>
    </row>
    <row r="117" spans="1:163">
      <c r="A117" s="37" t="s">
        <v>1976</v>
      </c>
      <c r="B117" s="36" t="s">
        <v>1145</v>
      </c>
      <c r="C117" s="1" t="s">
        <v>665</v>
      </c>
      <c r="D117" s="36" t="s">
        <v>665</v>
      </c>
      <c r="E117" s="36" t="s">
        <v>2023</v>
      </c>
      <c r="F117" s="1" t="e">
        <f t="shared" ca="1" si="232"/>
        <v>#NAME?</v>
      </c>
      <c r="G117" s="35" t="s">
        <v>1121</v>
      </c>
      <c r="H117" s="43">
        <v>1</v>
      </c>
      <c r="I117" s="42">
        <v>0</v>
      </c>
      <c r="J117" s="26">
        <v>4.3459978743046267E-2</v>
      </c>
      <c r="K117" s="25">
        <v>0.24161801988944176</v>
      </c>
      <c r="L117" s="24"/>
      <c r="M117" s="25"/>
      <c r="N117" s="24"/>
      <c r="O117" s="25"/>
      <c r="P117" s="24"/>
      <c r="Q117" s="25"/>
      <c r="R117" s="32"/>
      <c r="S117" s="47">
        <v>1</v>
      </c>
      <c r="T117" s="45">
        <v>1</v>
      </c>
      <c r="U117" s="46">
        <v>1</v>
      </c>
      <c r="V117" s="45">
        <v>1</v>
      </c>
      <c r="W117" s="46">
        <v>1</v>
      </c>
      <c r="X117" s="45">
        <v>1</v>
      </c>
      <c r="Y117" s="46">
        <v>1</v>
      </c>
      <c r="Z117" s="45">
        <v>1</v>
      </c>
      <c r="AA117" s="44">
        <v>1</v>
      </c>
      <c r="AB117" s="26">
        <f t="shared" si="272"/>
        <v>4.3459978743046267E-2</v>
      </c>
      <c r="AC117" s="25">
        <f t="shared" si="273"/>
        <v>0.24161801988944176</v>
      </c>
      <c r="AD117" s="24">
        <f t="shared" si="274"/>
        <v>0</v>
      </c>
      <c r="AE117" s="25">
        <f t="shared" si="275"/>
        <v>0</v>
      </c>
      <c r="AF117" s="24">
        <f t="shared" si="276"/>
        <v>0</v>
      </c>
      <c r="AG117" s="25">
        <f t="shared" si="277"/>
        <v>0</v>
      </c>
      <c r="AH117" s="24">
        <f t="shared" si="278"/>
        <v>0</v>
      </c>
      <c r="AI117" s="25">
        <f t="shared" si="279"/>
        <v>0</v>
      </c>
      <c r="AJ117" s="24">
        <f t="shared" si="280"/>
        <v>0</v>
      </c>
      <c r="AK117" s="27">
        <f t="shared" si="160"/>
        <v>0.28507799863248801</v>
      </c>
      <c r="AL117" s="41">
        <v>0</v>
      </c>
      <c r="AM117" s="40">
        <v>0</v>
      </c>
      <c r="AN117" s="39">
        <v>0</v>
      </c>
      <c r="AO117" s="40">
        <v>0</v>
      </c>
      <c r="AP117" s="39">
        <v>0</v>
      </c>
      <c r="AQ117" s="40">
        <v>0</v>
      </c>
      <c r="AR117" s="39">
        <v>0</v>
      </c>
      <c r="AS117" s="40">
        <v>0</v>
      </c>
      <c r="AT117" s="39">
        <v>0</v>
      </c>
      <c r="AU117" s="38">
        <v>0</v>
      </c>
      <c r="AW117" s="51" t="s">
        <v>1201</v>
      </c>
      <c r="AX117" s="7">
        <v>44.82039899077246</v>
      </c>
      <c r="AY117" s="6">
        <v>130.84773862054098</v>
      </c>
      <c r="AZ117" s="5">
        <v>267.50343871101956</v>
      </c>
      <c r="BA117" s="6">
        <v>175.42665234580812</v>
      </c>
      <c r="BB117" s="5">
        <v>42.052445104134478</v>
      </c>
      <c r="BC117" s="6">
        <v>36.947866466767216</v>
      </c>
      <c r="BD117" s="5">
        <v>125.70035565865331</v>
      </c>
      <c r="BE117" s="6">
        <v>11.986899290832991</v>
      </c>
      <c r="BF117" s="5">
        <v>10.153384572114925</v>
      </c>
      <c r="BG117" s="77">
        <v>845.43917976064381</v>
      </c>
      <c r="BH117" s="59">
        <v>3.2803103476690718</v>
      </c>
      <c r="BJ117" s="37" t="s">
        <v>1247</v>
      </c>
      <c r="BK117" s="36" t="s">
        <v>1983</v>
      </c>
      <c r="BL117" s="1" t="s">
        <v>1123</v>
      </c>
      <c r="BM117" s="36" t="s">
        <v>1935</v>
      </c>
      <c r="BN117" s="82" t="str">
        <f t="shared" si="265"/>
        <v>ICPPRH</v>
      </c>
      <c r="BO117" s="26">
        <f t="shared" si="266"/>
        <v>0.33373863746867327</v>
      </c>
      <c r="BP117" s="25">
        <f t="shared" si="266"/>
        <v>0.91867018555548974</v>
      </c>
      <c r="BQ117" s="24">
        <f t="shared" si="266"/>
        <v>2.6641237856541897</v>
      </c>
      <c r="BR117" s="25">
        <f t="shared" si="266"/>
        <v>1.8044743868202566</v>
      </c>
      <c r="BS117" s="24">
        <f t="shared" si="266"/>
        <v>13.071350138767361</v>
      </c>
      <c r="BT117" s="25">
        <f t="shared" si="266"/>
        <v>11.393585623027002</v>
      </c>
      <c r="BU117" s="24">
        <f t="shared" si="266"/>
        <v>39.581343342399663</v>
      </c>
      <c r="BV117" s="25">
        <f t="shared" si="266"/>
        <v>0.18268642643800223</v>
      </c>
      <c r="BW117" s="32">
        <f t="shared" si="266"/>
        <v>0.11455271020956197</v>
      </c>
      <c r="BX117" s="26">
        <f t="shared" ref="BX117:CF117" si="283">BO117/BO119</f>
        <v>4.1383541903587361E-2</v>
      </c>
      <c r="BY117" s="25">
        <f t="shared" si="283"/>
        <v>4.8751999431931689E-2</v>
      </c>
      <c r="BZ117" s="24">
        <f t="shared" si="283"/>
        <v>2.2917830522343325E-2</v>
      </c>
      <c r="CA117" s="25">
        <f t="shared" si="283"/>
        <v>2.5966382631365702E-2</v>
      </c>
      <c r="CB117" s="24">
        <f t="shared" si="283"/>
        <v>5.238190183019422E-2</v>
      </c>
      <c r="CC117" s="25">
        <f t="shared" si="283"/>
        <v>5.0742912057172664E-2</v>
      </c>
      <c r="CD117" s="24">
        <f t="shared" si="283"/>
        <v>5.252931419062129E-2</v>
      </c>
      <c r="CE117" s="25">
        <f t="shared" si="283"/>
        <v>0.20049813945737816</v>
      </c>
      <c r="CF117" s="32">
        <f t="shared" si="283"/>
        <v>0.12929386417293506</v>
      </c>
      <c r="CH117" s="54" t="s">
        <v>2022</v>
      </c>
      <c r="CI117" s="41">
        <v>0.51404121775614176</v>
      </c>
      <c r="CJ117" s="40">
        <v>0.54654230917164703</v>
      </c>
      <c r="CK117" s="39">
        <v>0.46388340799664257</v>
      </c>
      <c r="CL117" s="40">
        <v>0.42040267610823706</v>
      </c>
      <c r="CM117" s="39">
        <v>0.56062018338268305</v>
      </c>
      <c r="CN117" s="40">
        <v>0.58953376686405101</v>
      </c>
      <c r="CO117" s="39">
        <v>0.62543473608532452</v>
      </c>
      <c r="CP117" s="40">
        <v>0.37641478260916666</v>
      </c>
      <c r="CQ117" s="66">
        <v>0.41365297547392099</v>
      </c>
      <c r="CS117" s="54" t="s">
        <v>1719</v>
      </c>
      <c r="CT117" s="39">
        <v>9.2667813403406178</v>
      </c>
      <c r="CU117" s="40">
        <v>25.508331303809427</v>
      </c>
      <c r="CV117" s="39">
        <v>61.556284097321786</v>
      </c>
      <c r="CW117" s="40">
        <v>41.69353488737115</v>
      </c>
      <c r="CX117" s="39">
        <v>18.36525983427115</v>
      </c>
      <c r="CY117" s="40">
        <v>16.007999035257971</v>
      </c>
      <c r="CZ117" s="39">
        <v>55.611826426158125</v>
      </c>
      <c r="DA117" s="40">
        <v>18.729061953948026</v>
      </c>
      <c r="DB117" s="39">
        <v>11.743974899173153</v>
      </c>
      <c r="DC117" s="38">
        <v>258.48305377765138</v>
      </c>
      <c r="DE117" s="37" t="s">
        <v>1622</v>
      </c>
      <c r="DF117" s="35" t="str">
        <f t="shared" si="164"/>
        <v>IOTST</v>
      </c>
      <c r="DG117" s="26">
        <f t="shared" si="260"/>
        <v>1.6375619910311745</v>
      </c>
      <c r="DH117" s="25">
        <f t="shared" si="260"/>
        <v>6.1812647290778626</v>
      </c>
      <c r="DI117" s="24">
        <f t="shared" si="260"/>
        <v>27.549123783531954</v>
      </c>
      <c r="DJ117" s="25">
        <f t="shared" si="260"/>
        <v>9.4391833323244647</v>
      </c>
      <c r="DK117" s="24">
        <f t="shared" si="260"/>
        <v>16.339702327616411</v>
      </c>
      <c r="DL117" s="25">
        <f t="shared" si="260"/>
        <v>11.201772588974356</v>
      </c>
      <c r="DM117" s="24">
        <f t="shared" si="260"/>
        <v>11.973354960071228</v>
      </c>
      <c r="DN117" s="25">
        <f t="shared" si="260"/>
        <v>0.32349191691186963</v>
      </c>
      <c r="DO117" s="32">
        <f t="shared" si="260"/>
        <v>10.197941795029575</v>
      </c>
      <c r="DP117" s="26">
        <f t="shared" si="165"/>
        <v>0.17899631400129595</v>
      </c>
      <c r="DQ117" s="25">
        <f t="shared" si="166"/>
        <v>0.29009537947326136</v>
      </c>
      <c r="DR117" s="24">
        <f t="shared" si="167"/>
        <v>0.56451318073002454</v>
      </c>
      <c r="DS117" s="25">
        <f t="shared" si="168"/>
        <v>0.51593469875831854</v>
      </c>
      <c r="DT117" s="24">
        <f t="shared" si="169"/>
        <v>0.41062673246700687</v>
      </c>
      <c r="DU117" s="25">
        <f t="shared" si="170"/>
        <v>0.79173217411869423</v>
      </c>
      <c r="DV117" s="24">
        <f t="shared" si="171"/>
        <v>0.62798765117002098</v>
      </c>
      <c r="DW117" s="25">
        <f t="shared" si="172"/>
        <v>8.6416996240822483E-2</v>
      </c>
      <c r="DX117" s="32">
        <f t="shared" si="173"/>
        <v>0.61033425962089638</v>
      </c>
      <c r="DZ117" s="54" t="s">
        <v>2021</v>
      </c>
      <c r="EA117" s="39">
        <v>2.4295386119093021E-3</v>
      </c>
      <c r="EB117" s="40">
        <v>2.6884683647566987E-3</v>
      </c>
      <c r="EC117" s="39">
        <v>3.5646083534131942E-2</v>
      </c>
      <c r="ED117" s="40">
        <v>4.0769666885571286E-2</v>
      </c>
      <c r="EE117" s="39">
        <v>5.0261699136839848E-3</v>
      </c>
      <c r="EF117" s="40">
        <v>6.2084323211271135E-3</v>
      </c>
      <c r="EG117" s="39">
        <v>5.1393997078340772E-3</v>
      </c>
      <c r="EH117" s="40">
        <v>1.2610674979084947E-2</v>
      </c>
      <c r="EI117" s="66">
        <v>1.659801780880453E-2</v>
      </c>
      <c r="EO117" s="83" t="s">
        <v>1282</v>
      </c>
      <c r="EP117" s="82" t="s">
        <v>440</v>
      </c>
      <c r="EQ117" s="81">
        <f t="shared" si="250"/>
        <v>11.701787827065161</v>
      </c>
      <c r="ER117" s="80">
        <f>EQ117/SUM(EQ116:EQ124)</f>
        <v>1.7121562605092424E-2</v>
      </c>
      <c r="ET117" s="73" t="s">
        <v>522</v>
      </c>
      <c r="EU117" s="72">
        <v>5.4076177244128089E-2</v>
      </c>
      <c r="EW117" s="37" t="s">
        <v>1282</v>
      </c>
      <c r="EX117" s="36" t="s">
        <v>2006</v>
      </c>
      <c r="EY117" s="36" t="s">
        <v>1150</v>
      </c>
      <c r="EZ117" s="1" t="s">
        <v>1902</v>
      </c>
      <c r="FA117" s="36" t="str">
        <f t="shared" si="251"/>
        <v>IPBETC</v>
      </c>
      <c r="FB117" s="1" t="s">
        <v>518</v>
      </c>
      <c r="FC117" s="26">
        <f t="shared" si="252"/>
        <v>5.7141005560069811</v>
      </c>
      <c r="FD117" s="25">
        <f t="shared" si="253"/>
        <v>2.6026821942017574E-2</v>
      </c>
      <c r="FE117" s="24">
        <f t="shared" si="254"/>
        <v>4.5548414290078826E-3</v>
      </c>
      <c r="FF117" s="36">
        <v>0</v>
      </c>
      <c r="FG117" s="86">
        <f t="shared" si="255"/>
        <v>0</v>
      </c>
    </row>
    <row r="118" spans="1:163">
      <c r="A118" s="37" t="s">
        <v>1976</v>
      </c>
      <c r="B118" s="36" t="s">
        <v>1139</v>
      </c>
      <c r="C118" s="1" t="s">
        <v>665</v>
      </c>
      <c r="D118" s="36" t="s">
        <v>665</v>
      </c>
      <c r="E118" s="36" t="s">
        <v>2020</v>
      </c>
      <c r="F118" s="1" t="e">
        <f t="shared" ca="1" si="232"/>
        <v>#NAME?</v>
      </c>
      <c r="G118" s="35" t="s">
        <v>1121</v>
      </c>
      <c r="H118" s="43">
        <v>1</v>
      </c>
      <c r="I118" s="42">
        <v>0</v>
      </c>
      <c r="J118" s="26">
        <v>2.2832057061157003</v>
      </c>
      <c r="K118" s="25">
        <v>24.464031553846791</v>
      </c>
      <c r="L118" s="24"/>
      <c r="M118" s="25"/>
      <c r="N118" s="24"/>
      <c r="O118" s="25"/>
      <c r="P118" s="24"/>
      <c r="Q118" s="25"/>
      <c r="R118" s="32"/>
      <c r="S118" s="47">
        <v>1</v>
      </c>
      <c r="T118" s="45">
        <v>1</v>
      </c>
      <c r="U118" s="46">
        <v>1</v>
      </c>
      <c r="V118" s="45">
        <v>1</v>
      </c>
      <c r="W118" s="46">
        <v>1</v>
      </c>
      <c r="X118" s="45">
        <v>1</v>
      </c>
      <c r="Y118" s="46">
        <v>1</v>
      </c>
      <c r="Z118" s="45">
        <v>1</v>
      </c>
      <c r="AA118" s="44">
        <v>1</v>
      </c>
      <c r="AB118" s="26">
        <f t="shared" si="272"/>
        <v>2.2832057061157003</v>
      </c>
      <c r="AC118" s="25">
        <f t="shared" si="273"/>
        <v>24.464031553846791</v>
      </c>
      <c r="AD118" s="24">
        <f t="shared" si="274"/>
        <v>0</v>
      </c>
      <c r="AE118" s="25">
        <f t="shared" si="275"/>
        <v>0</v>
      </c>
      <c r="AF118" s="24">
        <f t="shared" si="276"/>
        <v>0</v>
      </c>
      <c r="AG118" s="25">
        <f t="shared" si="277"/>
        <v>0</v>
      </c>
      <c r="AH118" s="24">
        <f t="shared" si="278"/>
        <v>0</v>
      </c>
      <c r="AI118" s="25">
        <f t="shared" si="279"/>
        <v>0</v>
      </c>
      <c r="AJ118" s="24">
        <f t="shared" si="280"/>
        <v>0</v>
      </c>
      <c r="AK118" s="27">
        <f t="shared" si="160"/>
        <v>26.747237259962493</v>
      </c>
      <c r="AL118" s="41">
        <v>0</v>
      </c>
      <c r="AM118" s="40">
        <v>0</v>
      </c>
      <c r="AN118" s="39">
        <v>0</v>
      </c>
      <c r="AO118" s="40">
        <v>0</v>
      </c>
      <c r="AP118" s="39">
        <v>0</v>
      </c>
      <c r="AQ118" s="40">
        <v>0</v>
      </c>
      <c r="AR118" s="39">
        <v>0</v>
      </c>
      <c r="AS118" s="40">
        <v>0</v>
      </c>
      <c r="AT118" s="39">
        <v>0</v>
      </c>
      <c r="AU118" s="38">
        <v>0</v>
      </c>
      <c r="AW118" s="100" t="s">
        <v>1150</v>
      </c>
      <c r="AX118" s="41">
        <v>8.0473687899115229E-2</v>
      </c>
      <c r="AY118" s="40">
        <v>0.22151698812983309</v>
      </c>
      <c r="AZ118" s="39">
        <v>0.6031445914816187</v>
      </c>
      <c r="BA118" s="40">
        <v>0.40852417321535817</v>
      </c>
      <c r="BB118" s="39">
        <v>0.234209051593194</v>
      </c>
      <c r="BC118" s="40">
        <v>0.20414730342971635</v>
      </c>
      <c r="BD118" s="39">
        <v>0.70920821388709332</v>
      </c>
      <c r="BE118" s="40">
        <v>9.2803387271877841E-2</v>
      </c>
      <c r="BF118" s="39">
        <v>5.8191950742596324E-2</v>
      </c>
      <c r="BG118" s="81">
        <v>2.6122193476504032</v>
      </c>
      <c r="BH118" s="66">
        <v>0</v>
      </c>
      <c r="BJ118" s="37" t="s">
        <v>1247</v>
      </c>
      <c r="BK118" s="36" t="s">
        <v>1983</v>
      </c>
      <c r="BL118" s="1" t="s">
        <v>1107</v>
      </c>
      <c r="BM118" s="36" t="s">
        <v>1937</v>
      </c>
      <c r="BN118" s="82" t="str">
        <f t="shared" si="265"/>
        <v>ICPSTM</v>
      </c>
      <c r="BO118" s="26">
        <f t="shared" si="266"/>
        <v>3.3227571480147136</v>
      </c>
      <c r="BP118" s="25">
        <f t="shared" si="266"/>
        <v>5.7912502566151733</v>
      </c>
      <c r="BQ118" s="24">
        <f t="shared" si="266"/>
        <v>13.759317818052683</v>
      </c>
      <c r="BR118" s="25">
        <f t="shared" si="266"/>
        <v>7.552478606454259E-2</v>
      </c>
      <c r="BS118" s="24">
        <f t="shared" si="266"/>
        <v>17.84330537079088</v>
      </c>
      <c r="BT118" s="25">
        <f t="shared" si="266"/>
        <v>22.578584608366061</v>
      </c>
      <c r="BU118" s="24">
        <f t="shared" si="266"/>
        <v>51.910781165869878</v>
      </c>
      <c r="BV118" s="25">
        <f t="shared" si="266"/>
        <v>9.5791975270144627E-3</v>
      </c>
      <c r="BW118" s="32">
        <f t="shared" si="266"/>
        <v>0.32065329008436871</v>
      </c>
      <c r="BX118" s="26">
        <f t="shared" ref="BX118:CF118" si="284">BO118/BO119</f>
        <v>0.41202139708267554</v>
      </c>
      <c r="BY118" s="25">
        <f t="shared" si="284"/>
        <v>0.30733013181434471</v>
      </c>
      <c r="BZ118" s="24">
        <f t="shared" si="284"/>
        <v>0.11836301134174149</v>
      </c>
      <c r="CA118" s="25">
        <f t="shared" si="284"/>
        <v>1.0868015126331049E-3</v>
      </c>
      <c r="CB118" s="24">
        <f t="shared" si="284"/>
        <v>7.1504952459875343E-2</v>
      </c>
      <c r="CC118" s="25">
        <f t="shared" si="284"/>
        <v>0.1005568546254858</v>
      </c>
      <c r="CD118" s="24">
        <f t="shared" si="284"/>
        <v>6.8891995659519908E-2</v>
      </c>
      <c r="CE118" s="25">
        <f t="shared" si="284"/>
        <v>1.0513158087926746E-2</v>
      </c>
      <c r="CF118" s="32">
        <f t="shared" si="284"/>
        <v>0.36191638642969864</v>
      </c>
      <c r="CH118" s="54" t="s">
        <v>2019</v>
      </c>
      <c r="CI118" s="41">
        <v>0.14044252467925922</v>
      </c>
      <c r="CJ118" s="40">
        <v>0.15380518186440964</v>
      </c>
      <c r="CK118" s="39">
        <v>0.11207913916963033</v>
      </c>
      <c r="CL118" s="40">
        <v>0.10002894845669578</v>
      </c>
      <c r="CM118" s="39">
        <v>6.8927271434857426E-2</v>
      </c>
      <c r="CN118" s="40">
        <v>7.5985648019230217E-2</v>
      </c>
      <c r="CO118" s="39">
        <v>7.9637923097289606E-2</v>
      </c>
      <c r="CP118" s="40">
        <v>0.10432609589093081</v>
      </c>
      <c r="CQ118" s="66">
        <v>0.1538795287119579</v>
      </c>
      <c r="CS118" s="54" t="s">
        <v>1717</v>
      </c>
      <c r="CT118" s="39">
        <v>0.16841657486860231</v>
      </c>
      <c r="CU118" s="40">
        <v>0.46359416835481571</v>
      </c>
      <c r="CV118" s="39">
        <v>0</v>
      </c>
      <c r="CW118" s="40">
        <v>0</v>
      </c>
      <c r="CX118" s="39">
        <v>9.6741377856191191E-2</v>
      </c>
      <c r="CY118" s="40">
        <v>8.4324202182075758E-2</v>
      </c>
      <c r="CZ118" s="39">
        <v>0.29294247737929663</v>
      </c>
      <c r="DA118" s="40">
        <v>0</v>
      </c>
      <c r="DB118" s="39">
        <v>0</v>
      </c>
      <c r="DC118" s="38">
        <v>1.1060188006409815</v>
      </c>
      <c r="DE118" s="37" t="s">
        <v>1618</v>
      </c>
      <c r="DF118" s="35" t="str">
        <f t="shared" si="164"/>
        <v>IOTST</v>
      </c>
      <c r="DG118" s="26">
        <f t="shared" ref="DG118:DO127" si="285">GETPIVOTDATA("Sum of "&amp;DG$1&amp;" (Out)",$CS$6,"Constraint Identifier",$DE118)</f>
        <v>0.24551987470361292</v>
      </c>
      <c r="DH118" s="25">
        <f t="shared" si="285"/>
        <v>4.2571665938975184E-2</v>
      </c>
      <c r="DI118" s="24">
        <f t="shared" si="285"/>
        <v>5.6940438587137918E-2</v>
      </c>
      <c r="DJ118" s="25">
        <f t="shared" si="285"/>
        <v>0.11289125159782387</v>
      </c>
      <c r="DK118" s="24">
        <f t="shared" si="285"/>
        <v>0.28721081569736773</v>
      </c>
      <c r="DL118" s="25">
        <f t="shared" si="285"/>
        <v>8.8836854961335893E-2</v>
      </c>
      <c r="DM118" s="24">
        <f t="shared" si="285"/>
        <v>3.0608827315621086E-2</v>
      </c>
      <c r="DN118" s="25">
        <f t="shared" si="285"/>
        <v>0</v>
      </c>
      <c r="DO118" s="32">
        <f t="shared" si="285"/>
        <v>3.0742490316999344E-2</v>
      </c>
      <c r="DP118" s="26">
        <f t="shared" si="165"/>
        <v>2.6836939808509579E-2</v>
      </c>
      <c r="DQ118" s="25">
        <f t="shared" si="166"/>
        <v>1.9979476897793867E-3</v>
      </c>
      <c r="DR118" s="24">
        <f t="shared" si="167"/>
        <v>1.1667749708323702E-3</v>
      </c>
      <c r="DS118" s="25">
        <f t="shared" si="168"/>
        <v>6.1705035102045946E-3</v>
      </c>
      <c r="DT118" s="24">
        <f t="shared" si="169"/>
        <v>7.2177838013404039E-3</v>
      </c>
      <c r="DU118" s="25">
        <f t="shared" si="170"/>
        <v>6.2789166412496782E-3</v>
      </c>
      <c r="DV118" s="24">
        <f t="shared" si="171"/>
        <v>1.6053951156636648E-3</v>
      </c>
      <c r="DW118" s="25">
        <f t="shared" si="172"/>
        <v>0</v>
      </c>
      <c r="DX118" s="32">
        <f t="shared" si="173"/>
        <v>1.8399001919851569E-3</v>
      </c>
      <c r="DZ118" s="54" t="s">
        <v>2018</v>
      </c>
      <c r="EA118" s="39">
        <v>0.11882275445893777</v>
      </c>
      <c r="EB118" s="40">
        <v>0.13148637144937569</v>
      </c>
      <c r="EC118" s="39">
        <v>1.2023187733122255E-2</v>
      </c>
      <c r="ED118" s="40">
        <v>1.3751338441226552E-2</v>
      </c>
      <c r="EE118" s="39">
        <v>3.0727200145896871E-2</v>
      </c>
      <c r="EF118" s="40">
        <v>3.7954893248665085E-2</v>
      </c>
      <c r="EG118" s="39">
        <v>3.1419423967828597E-2</v>
      </c>
      <c r="EH118" s="40">
        <v>0.1130721310747199</v>
      </c>
      <c r="EI118" s="66">
        <v>0.14882417066258122</v>
      </c>
      <c r="EO118" s="83" t="s">
        <v>1282</v>
      </c>
      <c r="EP118" s="82" t="s">
        <v>439</v>
      </c>
      <c r="EQ118" s="81">
        <f t="shared" si="250"/>
        <v>26.751531672592957</v>
      </c>
      <c r="ER118" s="80">
        <f>EQ118/SUM(EQ116:EQ124)</f>
        <v>3.9141713307691013E-2</v>
      </c>
      <c r="ET118" s="74" t="s">
        <v>1353</v>
      </c>
      <c r="EU118" s="70">
        <v>1</v>
      </c>
      <c r="EW118" s="37" t="s">
        <v>1282</v>
      </c>
      <c r="EX118" s="36" t="s">
        <v>2006</v>
      </c>
      <c r="EY118" s="36" t="s">
        <v>1123</v>
      </c>
      <c r="EZ118" s="1" t="s">
        <v>1935</v>
      </c>
      <c r="FA118" s="36" t="str">
        <f t="shared" si="251"/>
        <v>IPBPRH</v>
      </c>
      <c r="FB118" s="1" t="s">
        <v>517</v>
      </c>
      <c r="FC118" s="26">
        <f t="shared" si="252"/>
        <v>276.06027553346769</v>
      </c>
      <c r="FD118" s="25">
        <f t="shared" si="253"/>
        <v>12.243250801289026</v>
      </c>
      <c r="FE118" s="24">
        <f t="shared" si="254"/>
        <v>4.4349918790850214E-2</v>
      </c>
      <c r="FF118" s="36">
        <v>0.02</v>
      </c>
      <c r="FG118" s="32">
        <f t="shared" si="255"/>
        <v>0.45095911210836448</v>
      </c>
    </row>
    <row r="119" spans="1:163">
      <c r="A119" s="37" t="s">
        <v>1976</v>
      </c>
      <c r="B119" s="36" t="s">
        <v>1139</v>
      </c>
      <c r="C119" s="1" t="s">
        <v>1274</v>
      </c>
      <c r="D119" s="36" t="s">
        <v>1274</v>
      </c>
      <c r="E119" s="36" t="s">
        <v>2017</v>
      </c>
      <c r="F119" s="1" t="e">
        <f t="shared" ca="1" si="232"/>
        <v>#NAME?</v>
      </c>
      <c r="G119" s="35" t="s">
        <v>1121</v>
      </c>
      <c r="H119" s="43">
        <v>1</v>
      </c>
      <c r="I119" s="42">
        <v>0</v>
      </c>
      <c r="J119" s="26">
        <v>0.53948056497158514</v>
      </c>
      <c r="K119" s="25">
        <v>1.0906437654907157</v>
      </c>
      <c r="L119" s="24"/>
      <c r="M119" s="25"/>
      <c r="N119" s="24"/>
      <c r="O119" s="25"/>
      <c r="P119" s="24"/>
      <c r="Q119" s="25"/>
      <c r="R119" s="32"/>
      <c r="S119" s="47">
        <v>1</v>
      </c>
      <c r="T119" s="45">
        <v>1</v>
      </c>
      <c r="U119" s="46">
        <v>1</v>
      </c>
      <c r="V119" s="45">
        <v>1</v>
      </c>
      <c r="W119" s="46">
        <v>1</v>
      </c>
      <c r="X119" s="45">
        <v>1</v>
      </c>
      <c r="Y119" s="46">
        <v>1</v>
      </c>
      <c r="Z119" s="45">
        <v>1</v>
      </c>
      <c r="AA119" s="44">
        <v>1</v>
      </c>
      <c r="AB119" s="26">
        <f t="shared" si="272"/>
        <v>0.53948056497158514</v>
      </c>
      <c r="AC119" s="25">
        <f t="shared" si="273"/>
        <v>1.0906437654907157</v>
      </c>
      <c r="AD119" s="24">
        <f t="shared" si="274"/>
        <v>0</v>
      </c>
      <c r="AE119" s="25">
        <f t="shared" si="275"/>
        <v>0</v>
      </c>
      <c r="AF119" s="24">
        <f t="shared" si="276"/>
        <v>0</v>
      </c>
      <c r="AG119" s="25">
        <f t="shared" si="277"/>
        <v>0</v>
      </c>
      <c r="AH119" s="24">
        <f t="shared" si="278"/>
        <v>0</v>
      </c>
      <c r="AI119" s="25">
        <f t="shared" si="279"/>
        <v>0</v>
      </c>
      <c r="AJ119" s="24">
        <f t="shared" si="280"/>
        <v>0</v>
      </c>
      <c r="AK119" s="27">
        <f t="shared" si="160"/>
        <v>1.630124330462301</v>
      </c>
      <c r="AL119" s="41">
        <v>0</v>
      </c>
      <c r="AM119" s="40">
        <v>0</v>
      </c>
      <c r="AN119" s="39">
        <v>0</v>
      </c>
      <c r="AO119" s="40">
        <v>0</v>
      </c>
      <c r="AP119" s="39">
        <v>0</v>
      </c>
      <c r="AQ119" s="40">
        <v>0</v>
      </c>
      <c r="AR119" s="39">
        <v>0</v>
      </c>
      <c r="AS119" s="40">
        <v>0</v>
      </c>
      <c r="AT119" s="39">
        <v>0</v>
      </c>
      <c r="AU119" s="38">
        <v>0</v>
      </c>
      <c r="AW119" s="100" t="s">
        <v>1145</v>
      </c>
      <c r="AX119" s="41">
        <v>0.75327607171062794</v>
      </c>
      <c r="AY119" s="40">
        <v>2.0735155923858812</v>
      </c>
      <c r="AZ119" s="39">
        <v>9.4366519323420306</v>
      </c>
      <c r="BA119" s="40">
        <v>6.3916687358683335</v>
      </c>
      <c r="BB119" s="39">
        <v>1.8725611759399783</v>
      </c>
      <c r="BC119" s="40">
        <v>1.6322098226985606</v>
      </c>
      <c r="BD119" s="39">
        <v>5.6703007759470356</v>
      </c>
      <c r="BE119" s="40">
        <v>0.72121693911498874</v>
      </c>
      <c r="BF119" s="39">
        <v>0.45223587014935784</v>
      </c>
      <c r="BG119" s="81">
        <v>29.003636916156797</v>
      </c>
      <c r="BH119" s="66">
        <v>0</v>
      </c>
      <c r="BJ119" s="22" t="s">
        <v>1247</v>
      </c>
      <c r="BK119" s="20" t="s">
        <v>1983</v>
      </c>
      <c r="BL119" s="21" t="s">
        <v>1027</v>
      </c>
      <c r="BM119" s="20"/>
      <c r="BN119" s="78"/>
      <c r="BO119" s="11">
        <f t="shared" ref="BO119:BW119" si="286">GETPIVOTDATA("Sum of "&amp;BO$1&amp;" (Out)",$AW$6,"Sub-Sector",$BJ119)</f>
        <v>8.0645257055617776</v>
      </c>
      <c r="BP119" s="10">
        <f t="shared" si="286"/>
        <v>18.843743769691979</v>
      </c>
      <c r="BQ119" s="9">
        <f t="shared" si="286"/>
        <v>116.24677052467294</v>
      </c>
      <c r="BR119" s="10">
        <f t="shared" si="286"/>
        <v>69.492713422491462</v>
      </c>
      <c r="BS119" s="9">
        <f t="shared" si="286"/>
        <v>249.53943408050742</v>
      </c>
      <c r="BT119" s="10">
        <f t="shared" si="286"/>
        <v>224.53550971197137</v>
      </c>
      <c r="BU119" s="9">
        <f t="shared" si="286"/>
        <v>753.50961557892583</v>
      </c>
      <c r="BV119" s="10">
        <f t="shared" si="286"/>
        <v>0.91116270172091884</v>
      </c>
      <c r="BW119" s="16">
        <f t="shared" si="286"/>
        <v>0.8859872117082348</v>
      </c>
      <c r="BX119" s="11"/>
      <c r="BY119" s="6"/>
      <c r="BZ119" s="5"/>
      <c r="CA119" s="6"/>
      <c r="CB119" s="5"/>
      <c r="CC119" s="6"/>
      <c r="CD119" s="5"/>
      <c r="CE119" s="6"/>
      <c r="CF119" s="59"/>
      <c r="CH119" s="54" t="s">
        <v>2016</v>
      </c>
      <c r="CI119" s="41">
        <v>0.28570340290271806</v>
      </c>
      <c r="CJ119" s="40">
        <v>0.23414865242113433</v>
      </c>
      <c r="CK119" s="39">
        <v>0.24976223220907842</v>
      </c>
      <c r="CL119" s="40">
        <v>0.3240303583669818</v>
      </c>
      <c r="CM119" s="39">
        <v>0.26597108632829858</v>
      </c>
      <c r="CN119" s="40">
        <v>0.2192998853478163</v>
      </c>
      <c r="CO119" s="39">
        <v>0.1742104429610111</v>
      </c>
      <c r="CP119" s="40">
        <v>0.29453011048277655</v>
      </c>
      <c r="CQ119" s="66">
        <v>0.10099535542679999</v>
      </c>
      <c r="CS119" s="54" t="s">
        <v>1727</v>
      </c>
      <c r="CT119" s="39">
        <v>0.25802344100051522</v>
      </c>
      <c r="CU119" s="40">
        <v>0.71025172338296949</v>
      </c>
      <c r="CV119" s="39">
        <v>1.5875031031097457</v>
      </c>
      <c r="CW119" s="40">
        <v>1.0752535989448377</v>
      </c>
      <c r="CX119" s="39">
        <v>0.64225678079049853</v>
      </c>
      <c r="CY119" s="40">
        <v>0.5598203357894509</v>
      </c>
      <c r="CZ119" s="39">
        <v>1.9448171676663768</v>
      </c>
      <c r="DA119" s="40">
        <v>0</v>
      </c>
      <c r="DB119" s="39">
        <v>0</v>
      </c>
      <c r="DC119" s="38">
        <v>6.7779261506843937</v>
      </c>
      <c r="DE119" s="37" t="s">
        <v>1632</v>
      </c>
      <c r="DF119" s="35" t="str">
        <f t="shared" si="164"/>
        <v>IOTST</v>
      </c>
      <c r="DG119" s="26">
        <f t="shared" si="285"/>
        <v>0.384869584656019</v>
      </c>
      <c r="DH119" s="25">
        <f t="shared" si="285"/>
        <v>0</v>
      </c>
      <c r="DI119" s="24">
        <f t="shared" si="285"/>
        <v>4.3514962185980464</v>
      </c>
      <c r="DJ119" s="25">
        <f t="shared" si="285"/>
        <v>6.7399739513531722</v>
      </c>
      <c r="DK119" s="24">
        <f t="shared" si="285"/>
        <v>4.3408016814903192</v>
      </c>
      <c r="DL119" s="25">
        <f t="shared" si="285"/>
        <v>2.0068821127228293</v>
      </c>
      <c r="DM119" s="24">
        <f t="shared" si="285"/>
        <v>0</v>
      </c>
      <c r="DN119" s="25">
        <f t="shared" si="285"/>
        <v>0</v>
      </c>
      <c r="DO119" s="32">
        <f t="shared" si="285"/>
        <v>0</v>
      </c>
      <c r="DP119" s="26">
        <f t="shared" si="165"/>
        <v>4.2068781152679834E-2</v>
      </c>
      <c r="DQ119" s="25">
        <f t="shared" si="166"/>
        <v>0</v>
      </c>
      <c r="DR119" s="24">
        <f t="shared" si="167"/>
        <v>8.9167154302158463E-2</v>
      </c>
      <c r="DS119" s="25">
        <f t="shared" si="168"/>
        <v>0.36839907731445476</v>
      </c>
      <c r="DT119" s="24">
        <f t="shared" si="169"/>
        <v>0.10908700630029637</v>
      </c>
      <c r="DU119" s="25">
        <f t="shared" si="170"/>
        <v>0.1418447951594638</v>
      </c>
      <c r="DV119" s="24">
        <f t="shared" si="171"/>
        <v>0</v>
      </c>
      <c r="DW119" s="25">
        <f t="shared" si="172"/>
        <v>0</v>
      </c>
      <c r="DX119" s="32">
        <f t="shared" si="173"/>
        <v>0</v>
      </c>
      <c r="DZ119" s="54" t="s">
        <v>2015</v>
      </c>
      <c r="EA119" s="39">
        <v>0.22421382490550693</v>
      </c>
      <c r="EB119" s="40">
        <v>0.24810956790097558</v>
      </c>
      <c r="EC119" s="39">
        <v>0.10681926907530472</v>
      </c>
      <c r="ED119" s="40">
        <v>0.12217291734140669</v>
      </c>
      <c r="EE119" s="39">
        <v>9.5427075617950496E-2</v>
      </c>
      <c r="EF119" s="40">
        <v>0.11787355993758682</v>
      </c>
      <c r="EG119" s="39">
        <v>9.7576861302502885E-2</v>
      </c>
      <c r="EH119" s="40">
        <v>9.9407587421703247E-2</v>
      </c>
      <c r="EI119" s="66">
        <v>0.13083906365775266</v>
      </c>
      <c r="EO119" s="83" t="s">
        <v>1282</v>
      </c>
      <c r="EP119" s="82" t="s">
        <v>518</v>
      </c>
      <c r="EQ119" s="81">
        <f t="shared" si="250"/>
        <v>5.7141005560069811</v>
      </c>
      <c r="ER119" s="80">
        <f>EQ119/SUM(EQ116:EQ124)</f>
        <v>8.3606310289770537E-3</v>
      </c>
      <c r="ET119" s="75" t="s">
        <v>438</v>
      </c>
      <c r="EU119" s="72">
        <v>0.10042189704841441</v>
      </c>
      <c r="EW119" s="37" t="s">
        <v>1282</v>
      </c>
      <c r="EX119" s="36" t="s">
        <v>2006</v>
      </c>
      <c r="EY119" s="36" t="s">
        <v>1145</v>
      </c>
      <c r="EZ119" s="1" t="s">
        <v>1945</v>
      </c>
      <c r="FA119" s="36" t="str">
        <f t="shared" si="251"/>
        <v>IPBFAC</v>
      </c>
      <c r="FB119" s="1" t="s">
        <v>519</v>
      </c>
      <c r="FC119" s="26">
        <f t="shared" si="252"/>
        <v>150.24986429554087</v>
      </c>
      <c r="FD119" s="25">
        <f t="shared" si="253"/>
        <v>1.4921543192199886</v>
      </c>
      <c r="FE119" s="24">
        <f t="shared" si="254"/>
        <v>9.9311525252690214E-3</v>
      </c>
      <c r="FF119" s="36">
        <v>0.02</v>
      </c>
      <c r="FG119" s="32">
        <f t="shared" si="255"/>
        <v>2.0138649516369185</v>
      </c>
    </row>
    <row r="120" spans="1:163">
      <c r="A120" s="37" t="s">
        <v>1976</v>
      </c>
      <c r="B120" s="36" t="s">
        <v>1136</v>
      </c>
      <c r="C120" s="1" t="s">
        <v>1126</v>
      </c>
      <c r="D120" s="36" t="s">
        <v>1126</v>
      </c>
      <c r="E120" s="36" t="s">
        <v>2014</v>
      </c>
      <c r="F120" s="1" t="e">
        <f t="shared" ca="1" si="232"/>
        <v>#NAME?</v>
      </c>
      <c r="G120" s="35" t="s">
        <v>1121</v>
      </c>
      <c r="H120" s="43">
        <v>1</v>
      </c>
      <c r="I120" s="42">
        <v>0</v>
      </c>
      <c r="J120" s="26">
        <v>11.37363383436276</v>
      </c>
      <c r="K120" s="25">
        <v>17.245175690076113</v>
      </c>
      <c r="L120" s="24"/>
      <c r="M120" s="25"/>
      <c r="N120" s="24"/>
      <c r="O120" s="25"/>
      <c r="P120" s="24"/>
      <c r="Q120" s="25"/>
      <c r="R120" s="32"/>
      <c r="S120" s="47">
        <v>1</v>
      </c>
      <c r="T120" s="45">
        <v>1</v>
      </c>
      <c r="U120" s="46">
        <v>1</v>
      </c>
      <c r="V120" s="45">
        <v>1</v>
      </c>
      <c r="W120" s="46">
        <v>1</v>
      </c>
      <c r="X120" s="45">
        <v>1</v>
      </c>
      <c r="Y120" s="46">
        <v>1</v>
      </c>
      <c r="Z120" s="45">
        <v>1</v>
      </c>
      <c r="AA120" s="44">
        <v>1</v>
      </c>
      <c r="AB120" s="26">
        <f t="shared" si="272"/>
        <v>11.37363383436276</v>
      </c>
      <c r="AC120" s="25">
        <f t="shared" si="273"/>
        <v>17.245175690076113</v>
      </c>
      <c r="AD120" s="24">
        <f t="shared" si="274"/>
        <v>0</v>
      </c>
      <c r="AE120" s="25">
        <f t="shared" si="275"/>
        <v>0</v>
      </c>
      <c r="AF120" s="24">
        <f t="shared" si="276"/>
        <v>0</v>
      </c>
      <c r="AG120" s="25">
        <f t="shared" si="277"/>
        <v>0</v>
      </c>
      <c r="AH120" s="24">
        <f t="shared" si="278"/>
        <v>0</v>
      </c>
      <c r="AI120" s="25">
        <f t="shared" si="279"/>
        <v>0</v>
      </c>
      <c r="AJ120" s="24">
        <f t="shared" si="280"/>
        <v>0</v>
      </c>
      <c r="AK120" s="27">
        <f t="shared" si="160"/>
        <v>28.618809524438873</v>
      </c>
      <c r="AL120" s="41">
        <v>0</v>
      </c>
      <c r="AM120" s="40">
        <v>0</v>
      </c>
      <c r="AN120" s="39">
        <v>0</v>
      </c>
      <c r="AO120" s="40">
        <v>0</v>
      </c>
      <c r="AP120" s="39">
        <v>0</v>
      </c>
      <c r="AQ120" s="40">
        <v>0</v>
      </c>
      <c r="AR120" s="39">
        <v>0</v>
      </c>
      <c r="AS120" s="40">
        <v>0</v>
      </c>
      <c r="AT120" s="39">
        <v>0</v>
      </c>
      <c r="AU120" s="38">
        <v>0</v>
      </c>
      <c r="AW120" s="100" t="s">
        <v>1139</v>
      </c>
      <c r="AX120" s="41">
        <v>33.079245737024991</v>
      </c>
      <c r="AY120" s="40">
        <v>96.186512217195542</v>
      </c>
      <c r="AZ120" s="39">
        <v>100.10811250089058</v>
      </c>
      <c r="BA120" s="40">
        <v>67.805604939794534</v>
      </c>
      <c r="BB120" s="39">
        <v>16.689116435740424</v>
      </c>
      <c r="BC120" s="40">
        <v>14.546995915848594</v>
      </c>
      <c r="BD120" s="39">
        <v>50.536298141472635</v>
      </c>
      <c r="BE120" s="40">
        <v>1.3781928467391809</v>
      </c>
      <c r="BF120" s="39">
        <v>0.8641896875627072</v>
      </c>
      <c r="BG120" s="81">
        <v>381.19426842226915</v>
      </c>
      <c r="BH120" s="66">
        <v>0</v>
      </c>
      <c r="BJ120" s="37" t="s">
        <v>1231</v>
      </c>
      <c r="BK120" s="36" t="s">
        <v>1961</v>
      </c>
      <c r="BL120" s="1" t="s">
        <v>1150</v>
      </c>
      <c r="BM120" s="36" t="s">
        <v>1902</v>
      </c>
      <c r="BN120" s="82" t="str">
        <f t="shared" ref="BN120:BN126" si="287">BK120&amp;BM120</f>
        <v>IMAETC</v>
      </c>
      <c r="BO120" s="91">
        <f t="shared" ref="BO120:BW126" si="288">IF(ISERROR(GETPIVOTDATA("Sum of "&amp;BO$1&amp;" (Out)",$AW$6,"Sub-Sector",$BJ120,"End-Use",$BL120)),0,GETPIVOTDATA("Sum of "&amp;BO$1&amp;" (Out)",$AW$6,"Sub-Sector",$BJ120,"End-Use",$BL120))</f>
        <v>1.0007773425960593</v>
      </c>
      <c r="BP120" s="89">
        <f t="shared" si="288"/>
        <v>2.7548033215325591</v>
      </c>
      <c r="BQ120" s="90">
        <f t="shared" si="288"/>
        <v>32.839127705765236</v>
      </c>
      <c r="BR120" s="89">
        <f t="shared" si="288"/>
        <v>22.242722034787832</v>
      </c>
      <c r="BS120" s="90">
        <f t="shared" si="288"/>
        <v>10.986284462000247</v>
      </c>
      <c r="BT120" s="89">
        <f t="shared" si="288"/>
        <v>9.5761471743832374</v>
      </c>
      <c r="BU120" s="90">
        <f t="shared" si="288"/>
        <v>33.267557882793383</v>
      </c>
      <c r="BV120" s="89">
        <f t="shared" si="288"/>
        <v>13.079918876034903</v>
      </c>
      <c r="BW120" s="88">
        <f t="shared" si="288"/>
        <v>8.2017048873606004</v>
      </c>
      <c r="BX120" s="26">
        <f t="shared" ref="BX120:CF120" si="289">BO120/BO127</f>
        <v>0.32890182586151845</v>
      </c>
      <c r="BY120" s="25">
        <f t="shared" si="289"/>
        <v>0.17407862551489997</v>
      </c>
      <c r="BZ120" s="24">
        <f t="shared" si="289"/>
        <v>0.60150400974879448</v>
      </c>
      <c r="CA120" s="25">
        <f t="shared" si="289"/>
        <v>0.60221015475267559</v>
      </c>
      <c r="CB120" s="24">
        <f t="shared" si="289"/>
        <v>0.39451297598747259</v>
      </c>
      <c r="CC120" s="25">
        <f t="shared" si="289"/>
        <v>0.39384448535341704</v>
      </c>
      <c r="CD120" s="24">
        <f t="shared" si="289"/>
        <v>0.38246615347299162</v>
      </c>
      <c r="CE120" s="25">
        <f t="shared" si="289"/>
        <v>0.42730638598980608</v>
      </c>
      <c r="CF120" s="32">
        <f t="shared" si="289"/>
        <v>0.42730638598980603</v>
      </c>
      <c r="CH120" s="54" t="s">
        <v>2013</v>
      </c>
      <c r="CI120" s="41">
        <v>3.2612738152344905E-3</v>
      </c>
      <c r="CJ120" s="40">
        <v>3.6039869918174563E-3</v>
      </c>
      <c r="CK120" s="39">
        <v>5.080750126119824E-3</v>
      </c>
      <c r="CL120" s="40">
        <v>4.5548414290078826E-3</v>
      </c>
      <c r="CM120" s="39">
        <v>1.0754845507522175E-3</v>
      </c>
      <c r="CN120" s="40">
        <v>1.1473735027088888E-3</v>
      </c>
      <c r="CO120" s="39">
        <v>1.0577604108238971E-3</v>
      </c>
      <c r="CP120" s="40">
        <v>2.615745875250472E-3</v>
      </c>
      <c r="CQ120" s="66">
        <v>2.6868785110367522E-3</v>
      </c>
      <c r="CS120" s="54" t="s">
        <v>1712</v>
      </c>
      <c r="CT120" s="39">
        <v>0</v>
      </c>
      <c r="CU120" s="40">
        <v>0</v>
      </c>
      <c r="CV120" s="39">
        <v>0.8727703713351026</v>
      </c>
      <c r="CW120" s="40">
        <v>0.59114812499715508</v>
      </c>
      <c r="CX120" s="39">
        <v>0.29877444104201978</v>
      </c>
      <c r="CY120" s="40">
        <v>0.26042544494988917</v>
      </c>
      <c r="CZ120" s="39">
        <v>0.90471861034034873</v>
      </c>
      <c r="DA120" s="40">
        <v>0</v>
      </c>
      <c r="DB120" s="39">
        <v>0</v>
      </c>
      <c r="DC120" s="38">
        <v>2.9278369926645151</v>
      </c>
      <c r="DE120" s="37" t="s">
        <v>1908</v>
      </c>
      <c r="DF120" s="35" t="str">
        <f t="shared" si="164"/>
        <v>ICTST</v>
      </c>
      <c r="DG120" s="26">
        <f t="shared" si="285"/>
        <v>0</v>
      </c>
      <c r="DH120" s="25">
        <f t="shared" si="285"/>
        <v>5.897433226639133E-2</v>
      </c>
      <c r="DI120" s="24">
        <f t="shared" si="285"/>
        <v>0.10209509197542703</v>
      </c>
      <c r="DJ120" s="25">
        <f t="shared" si="285"/>
        <v>0</v>
      </c>
      <c r="DK120" s="24">
        <f t="shared" si="285"/>
        <v>1.152582665852989E-2</v>
      </c>
      <c r="DL120" s="25">
        <f t="shared" si="285"/>
        <v>0</v>
      </c>
      <c r="DM120" s="24">
        <f t="shared" si="285"/>
        <v>0</v>
      </c>
      <c r="DN120" s="25">
        <f t="shared" si="285"/>
        <v>5.9290934342980051E-2</v>
      </c>
      <c r="DO120" s="32">
        <f t="shared" si="285"/>
        <v>0</v>
      </c>
      <c r="DP120" s="26">
        <f t="shared" si="165"/>
        <v>0</v>
      </c>
      <c r="DQ120" s="25">
        <f t="shared" si="166"/>
        <v>3.1105290345738602E-3</v>
      </c>
      <c r="DR120" s="24">
        <f t="shared" si="167"/>
        <v>6.3164011606154941E-3</v>
      </c>
      <c r="DS120" s="25">
        <f t="shared" si="168"/>
        <v>0</v>
      </c>
      <c r="DT120" s="24">
        <f t="shared" si="169"/>
        <v>5.6657820510849733E-4</v>
      </c>
      <c r="DU120" s="25">
        <f t="shared" si="170"/>
        <v>0</v>
      </c>
      <c r="DV120" s="24">
        <f t="shared" si="171"/>
        <v>0</v>
      </c>
      <c r="DW120" s="25">
        <f t="shared" si="172"/>
        <v>6.5637699738873678E-2</v>
      </c>
      <c r="DX120" s="32">
        <f t="shared" si="173"/>
        <v>0</v>
      </c>
      <c r="DZ120" s="54" t="s">
        <v>2012</v>
      </c>
      <c r="EA120" s="39">
        <v>0.38307123089700346</v>
      </c>
      <c r="EB120" s="40">
        <v>0.42389731147580106</v>
      </c>
      <c r="EC120" s="39">
        <v>0.17373417022427839</v>
      </c>
      <c r="ED120" s="40">
        <v>0.19870581967028031</v>
      </c>
      <c r="EE120" s="39">
        <v>0.13001762327932018</v>
      </c>
      <c r="EF120" s="40">
        <v>0.16060054246988445</v>
      </c>
      <c r="EG120" s="39">
        <v>0.13294666646182793</v>
      </c>
      <c r="EH120" s="40">
        <v>0.22369000880970616</v>
      </c>
      <c r="EI120" s="66">
        <v>0.29441808277771925</v>
      </c>
      <c r="EO120" s="83" t="s">
        <v>1282</v>
      </c>
      <c r="EP120" s="82" t="s">
        <v>517</v>
      </c>
      <c r="EQ120" s="81">
        <f t="shared" si="250"/>
        <v>276.06027553346769</v>
      </c>
      <c r="ER120" s="80">
        <f>EQ120/SUM(EQ116:EQ124)</f>
        <v>0.40391975655148848</v>
      </c>
      <c r="ET120" s="75" t="s">
        <v>440</v>
      </c>
      <c r="EU120" s="72">
        <v>8.0909295449179644E-2</v>
      </c>
      <c r="EW120" s="37" t="s">
        <v>1282</v>
      </c>
      <c r="EX120" s="36" t="s">
        <v>2006</v>
      </c>
      <c r="EY120" s="36" t="s">
        <v>1150</v>
      </c>
      <c r="EZ120" s="1" t="s">
        <v>1902</v>
      </c>
      <c r="FA120" s="36" t="str">
        <f t="shared" si="251"/>
        <v>IPBETC</v>
      </c>
      <c r="FB120" s="1" t="s">
        <v>520</v>
      </c>
      <c r="FC120" s="26">
        <f t="shared" si="252"/>
        <v>117.70704127351154</v>
      </c>
      <c r="FD120" s="25">
        <f t="shared" si="253"/>
        <v>0.12450584833433496</v>
      </c>
      <c r="FE120" s="24">
        <f t="shared" si="254"/>
        <v>1.0577604108238971E-3</v>
      </c>
      <c r="FF120" s="36">
        <v>0</v>
      </c>
      <c r="FG120" s="86">
        <f t="shared" si="255"/>
        <v>0</v>
      </c>
    </row>
    <row r="121" spans="1:163">
      <c r="A121" s="37" t="s">
        <v>1976</v>
      </c>
      <c r="B121" s="36" t="s">
        <v>1136</v>
      </c>
      <c r="C121" s="1" t="s">
        <v>665</v>
      </c>
      <c r="D121" s="36" t="s">
        <v>665</v>
      </c>
      <c r="E121" s="36" t="s">
        <v>2011</v>
      </c>
      <c r="F121" s="1" t="e">
        <f t="shared" ca="1" si="232"/>
        <v>#NAME?</v>
      </c>
      <c r="G121" s="35" t="s">
        <v>1121</v>
      </c>
      <c r="H121" s="43">
        <v>1</v>
      </c>
      <c r="I121" s="42">
        <v>0</v>
      </c>
      <c r="J121" s="26">
        <v>0.76054962800330972</v>
      </c>
      <c r="K121" s="25">
        <v>4.2283153480652311</v>
      </c>
      <c r="L121" s="24"/>
      <c r="M121" s="25"/>
      <c r="N121" s="24"/>
      <c r="O121" s="25"/>
      <c r="P121" s="24"/>
      <c r="Q121" s="25"/>
      <c r="R121" s="32"/>
      <c r="S121" s="47">
        <v>1</v>
      </c>
      <c r="T121" s="45">
        <v>1</v>
      </c>
      <c r="U121" s="46">
        <v>1</v>
      </c>
      <c r="V121" s="45">
        <v>1</v>
      </c>
      <c r="W121" s="46">
        <v>1</v>
      </c>
      <c r="X121" s="45">
        <v>1</v>
      </c>
      <c r="Y121" s="46">
        <v>1</v>
      </c>
      <c r="Z121" s="45">
        <v>1</v>
      </c>
      <c r="AA121" s="44">
        <v>1</v>
      </c>
      <c r="AB121" s="26">
        <f t="shared" si="272"/>
        <v>0.76054962800330972</v>
      </c>
      <c r="AC121" s="25">
        <f t="shared" si="273"/>
        <v>4.2283153480652311</v>
      </c>
      <c r="AD121" s="24">
        <f t="shared" si="274"/>
        <v>0</v>
      </c>
      <c r="AE121" s="25">
        <f t="shared" si="275"/>
        <v>0</v>
      </c>
      <c r="AF121" s="24">
        <f t="shared" si="276"/>
        <v>0</v>
      </c>
      <c r="AG121" s="25">
        <f t="shared" si="277"/>
        <v>0</v>
      </c>
      <c r="AH121" s="24">
        <f t="shared" si="278"/>
        <v>0</v>
      </c>
      <c r="AI121" s="25">
        <f t="shared" si="279"/>
        <v>0</v>
      </c>
      <c r="AJ121" s="24">
        <f t="shared" si="280"/>
        <v>0</v>
      </c>
      <c r="AK121" s="27">
        <f t="shared" si="160"/>
        <v>4.9888649760685411</v>
      </c>
      <c r="AL121" s="41">
        <v>0</v>
      </c>
      <c r="AM121" s="40">
        <v>0</v>
      </c>
      <c r="AN121" s="39">
        <v>0</v>
      </c>
      <c r="AO121" s="40">
        <v>0</v>
      </c>
      <c r="AP121" s="39">
        <v>0</v>
      </c>
      <c r="AQ121" s="40">
        <v>0</v>
      </c>
      <c r="AR121" s="39">
        <v>0</v>
      </c>
      <c r="AS121" s="40">
        <v>0</v>
      </c>
      <c r="AT121" s="39">
        <v>0</v>
      </c>
      <c r="AU121" s="38">
        <v>0</v>
      </c>
      <c r="AW121" s="100" t="s">
        <v>1136</v>
      </c>
      <c r="AX121" s="41">
        <v>1.4937165862774</v>
      </c>
      <c r="AY121" s="40">
        <v>4.1116992143637479</v>
      </c>
      <c r="AZ121" s="39">
        <v>12.234239221202257</v>
      </c>
      <c r="BA121" s="40">
        <v>8.2865411268682116</v>
      </c>
      <c r="BB121" s="39">
        <v>4.1009766159308425</v>
      </c>
      <c r="BC121" s="40">
        <v>3.5745984703647284</v>
      </c>
      <c r="BD121" s="39">
        <v>12.418163521830202</v>
      </c>
      <c r="BE121" s="40">
        <v>1.6650263147038791</v>
      </c>
      <c r="BF121" s="39">
        <v>1.0440473364029426</v>
      </c>
      <c r="BG121" s="81">
        <v>48.92900840794421</v>
      </c>
      <c r="BH121" s="66">
        <v>0</v>
      </c>
      <c r="BJ121" s="37" t="s">
        <v>1231</v>
      </c>
      <c r="BK121" s="36" t="s">
        <v>1961</v>
      </c>
      <c r="BL121" s="1" t="s">
        <v>1145</v>
      </c>
      <c r="BM121" s="36" t="s">
        <v>1945</v>
      </c>
      <c r="BN121" s="82" t="str">
        <f t="shared" si="287"/>
        <v>IMAFAC</v>
      </c>
      <c r="BO121" s="26">
        <f t="shared" si="288"/>
        <v>0.17341777982404577</v>
      </c>
      <c r="BP121" s="25">
        <f t="shared" si="288"/>
        <v>0.47736080298623307</v>
      </c>
      <c r="BQ121" s="24">
        <f t="shared" si="288"/>
        <v>2.0727505463644635</v>
      </c>
      <c r="BR121" s="25">
        <f t="shared" si="288"/>
        <v>1.4039232303404154</v>
      </c>
      <c r="BS121" s="24">
        <f t="shared" si="288"/>
        <v>1.3024956332671107</v>
      </c>
      <c r="BT121" s="25">
        <f t="shared" si="288"/>
        <v>1.1353146663277309</v>
      </c>
      <c r="BU121" s="24">
        <f t="shared" si="288"/>
        <v>3.9440858300796333</v>
      </c>
      <c r="BV121" s="25">
        <f t="shared" si="288"/>
        <v>0.84690959173716052</v>
      </c>
      <c r="BW121" s="32">
        <f t="shared" si="288"/>
        <v>0.53105088827652647</v>
      </c>
      <c r="BX121" s="26">
        <f t="shared" ref="BX121:CF121" si="290">BO121/BO127</f>
        <v>5.6993121240157103E-2</v>
      </c>
      <c r="BY121" s="25">
        <f t="shared" si="290"/>
        <v>3.0164880305249143E-2</v>
      </c>
      <c r="BZ121" s="24">
        <f t="shared" si="290"/>
        <v>3.7965922116388821E-2</v>
      </c>
      <c r="CA121" s="25">
        <f t="shared" si="290"/>
        <v>3.8010492802179302E-2</v>
      </c>
      <c r="CB121" s="24">
        <f t="shared" si="290"/>
        <v>4.6772084799754018E-2</v>
      </c>
      <c r="CC121" s="25">
        <f t="shared" si="290"/>
        <v>4.6692830877761646E-2</v>
      </c>
      <c r="CD121" s="24">
        <f t="shared" si="290"/>
        <v>4.5343855467614679E-2</v>
      </c>
      <c r="CE121" s="25">
        <f t="shared" si="290"/>
        <v>2.7667593379983781E-2</v>
      </c>
      <c r="CF121" s="32">
        <f t="shared" si="290"/>
        <v>2.7667593379983781E-2</v>
      </c>
      <c r="CH121" s="54" t="s">
        <v>2010</v>
      </c>
      <c r="CI121" s="41">
        <v>2.1134735514417576E-2</v>
      </c>
      <c r="CJ121" s="40">
        <v>2.3355693567848022E-2</v>
      </c>
      <c r="CK121" s="39">
        <v>3.1615981464886027E-2</v>
      </c>
      <c r="CL121" s="40">
        <v>2.8343409658090315E-2</v>
      </c>
      <c r="CM121" s="39">
        <v>9.3089138688264034E-3</v>
      </c>
      <c r="CN121" s="40">
        <v>9.9311525252690214E-3</v>
      </c>
      <c r="CO121" s="39">
        <v>9.1555016307088392E-3</v>
      </c>
      <c r="CP121" s="40">
        <v>2.8614020685506253E-2</v>
      </c>
      <c r="CQ121" s="66">
        <v>2.9392150828446182E-2</v>
      </c>
      <c r="CS121" s="54" t="s">
        <v>1709</v>
      </c>
      <c r="CT121" s="39">
        <v>0.21482386651380481</v>
      </c>
      <c r="CU121" s="40">
        <v>0.5913378289336052</v>
      </c>
      <c r="CV121" s="39">
        <v>0.48062378066441269</v>
      </c>
      <c r="CW121" s="40">
        <v>0.32553791478299726</v>
      </c>
      <c r="CX121" s="39">
        <v>0.32906273204450326</v>
      </c>
      <c r="CY121" s="40">
        <v>0.28682610236082262</v>
      </c>
      <c r="CZ121" s="39">
        <v>0.99643455648949442</v>
      </c>
      <c r="DA121" s="40">
        <v>0</v>
      </c>
      <c r="DB121" s="39">
        <v>0</v>
      </c>
      <c r="DC121" s="38">
        <v>3.22464678178964</v>
      </c>
      <c r="DE121" s="37" t="s">
        <v>1905</v>
      </c>
      <c r="DF121" s="35" t="str">
        <f t="shared" si="164"/>
        <v>ICTST</v>
      </c>
      <c r="DG121" s="26">
        <f t="shared" si="285"/>
        <v>0.67790500013447119</v>
      </c>
      <c r="DH121" s="25">
        <f t="shared" si="285"/>
        <v>16.687891522038147</v>
      </c>
      <c r="DI121" s="24">
        <f t="shared" si="285"/>
        <v>1.2949963577296182</v>
      </c>
      <c r="DJ121" s="25">
        <f t="shared" si="285"/>
        <v>0.66344715397526155</v>
      </c>
      <c r="DK121" s="24">
        <f t="shared" si="285"/>
        <v>16.022489755321025</v>
      </c>
      <c r="DL121" s="25">
        <f t="shared" si="285"/>
        <v>2.7878288365522597</v>
      </c>
      <c r="DM121" s="24">
        <f t="shared" si="285"/>
        <v>7.6337187582697643</v>
      </c>
      <c r="DN121" s="25">
        <f t="shared" si="285"/>
        <v>0</v>
      </c>
      <c r="DO121" s="32">
        <f t="shared" si="285"/>
        <v>2.389101114603144</v>
      </c>
      <c r="DP121" s="26">
        <f t="shared" si="165"/>
        <v>0.81286100669883621</v>
      </c>
      <c r="DQ121" s="25">
        <f t="shared" si="166"/>
        <v>0.88018243039439015</v>
      </c>
      <c r="DR121" s="24">
        <f t="shared" si="167"/>
        <v>8.0118606474490955E-2</v>
      </c>
      <c r="DS121" s="25">
        <f t="shared" si="168"/>
        <v>0.28972953403796448</v>
      </c>
      <c r="DT121" s="24">
        <f t="shared" si="169"/>
        <v>0.78762189957288187</v>
      </c>
      <c r="DU121" s="25">
        <f t="shared" si="170"/>
        <v>0.62931664052838043</v>
      </c>
      <c r="DV121" s="24">
        <f t="shared" si="171"/>
        <v>0.60548414534100026</v>
      </c>
      <c r="DW121" s="25">
        <f t="shared" si="172"/>
        <v>0</v>
      </c>
      <c r="DX121" s="32">
        <f t="shared" si="173"/>
        <v>0.91996120052832231</v>
      </c>
      <c r="DZ121" s="54" t="s">
        <v>2009</v>
      </c>
      <c r="EA121" s="39">
        <v>4.6178651897697091E-2</v>
      </c>
      <c r="EB121" s="40">
        <v>5.110017356608499E-2</v>
      </c>
      <c r="EC121" s="39">
        <v>4.6726286017917821E-3</v>
      </c>
      <c r="ED121" s="40">
        <v>5.3442480263682863E-3</v>
      </c>
      <c r="EE121" s="39">
        <v>1.1941657856606835E-2</v>
      </c>
      <c r="EF121" s="40">
        <v>1.4750590584483133E-2</v>
      </c>
      <c r="EG121" s="39">
        <v>1.2210680091058784E-2</v>
      </c>
      <c r="EH121" s="40">
        <v>0</v>
      </c>
      <c r="EI121" s="66">
        <v>0</v>
      </c>
      <c r="EO121" s="83" t="s">
        <v>1282</v>
      </c>
      <c r="EP121" s="82" t="s">
        <v>519</v>
      </c>
      <c r="EQ121" s="81">
        <f t="shared" si="250"/>
        <v>150.24986429554087</v>
      </c>
      <c r="ER121" s="80">
        <f>EQ121/SUM(EQ116:EQ124)</f>
        <v>0.21983926695310257</v>
      </c>
      <c r="ET121" s="75" t="s">
        <v>439</v>
      </c>
      <c r="EU121" s="72">
        <v>0.17618188021796516</v>
      </c>
      <c r="EW121" s="37" t="s">
        <v>1282</v>
      </c>
      <c r="EX121" s="36" t="s">
        <v>2006</v>
      </c>
      <c r="EY121" s="36" t="s">
        <v>1150</v>
      </c>
      <c r="EZ121" s="1" t="s">
        <v>1902</v>
      </c>
      <c r="FA121" s="36" t="str">
        <f t="shared" si="251"/>
        <v>IPBETC</v>
      </c>
      <c r="FB121" s="1" t="s">
        <v>521</v>
      </c>
      <c r="FC121" s="26">
        <f t="shared" si="252"/>
        <v>9.4341286208250494</v>
      </c>
      <c r="FD121" s="25">
        <f t="shared" si="253"/>
        <v>2.4677283026505549E-2</v>
      </c>
      <c r="FE121" s="24">
        <f t="shared" si="254"/>
        <v>2.615745875250472E-3</v>
      </c>
      <c r="FF121" s="36">
        <v>0</v>
      </c>
      <c r="FG121" s="86">
        <f t="shared" si="255"/>
        <v>0</v>
      </c>
    </row>
    <row r="122" spans="1:163">
      <c r="A122" s="37" t="s">
        <v>1976</v>
      </c>
      <c r="B122" s="36" t="s">
        <v>1129</v>
      </c>
      <c r="C122" s="1" t="s">
        <v>1126</v>
      </c>
      <c r="D122" s="36" t="s">
        <v>1126</v>
      </c>
      <c r="E122" s="36" t="s">
        <v>2008</v>
      </c>
      <c r="F122" s="1" t="e">
        <f t="shared" ca="1" si="232"/>
        <v>#NAME?</v>
      </c>
      <c r="G122" s="35" t="s">
        <v>1121</v>
      </c>
      <c r="H122" s="43">
        <v>1</v>
      </c>
      <c r="I122" s="42">
        <v>0</v>
      </c>
      <c r="J122" s="26">
        <v>0.10434526453543817</v>
      </c>
      <c r="K122" s="25">
        <v>0.1582126210098726</v>
      </c>
      <c r="L122" s="24"/>
      <c r="M122" s="25"/>
      <c r="N122" s="24"/>
      <c r="O122" s="25"/>
      <c r="P122" s="24"/>
      <c r="Q122" s="25"/>
      <c r="R122" s="32"/>
      <c r="S122" s="47">
        <v>1</v>
      </c>
      <c r="T122" s="45">
        <v>1</v>
      </c>
      <c r="U122" s="46">
        <v>1</v>
      </c>
      <c r="V122" s="45">
        <v>1</v>
      </c>
      <c r="W122" s="46">
        <v>1</v>
      </c>
      <c r="X122" s="45">
        <v>1</v>
      </c>
      <c r="Y122" s="46">
        <v>1</v>
      </c>
      <c r="Z122" s="45">
        <v>1</v>
      </c>
      <c r="AA122" s="44">
        <v>1</v>
      </c>
      <c r="AB122" s="26">
        <f t="shared" si="272"/>
        <v>0.10434526453543817</v>
      </c>
      <c r="AC122" s="25">
        <f t="shared" si="273"/>
        <v>0.1582126210098726</v>
      </c>
      <c r="AD122" s="24">
        <f t="shared" si="274"/>
        <v>0</v>
      </c>
      <c r="AE122" s="25">
        <f t="shared" si="275"/>
        <v>0</v>
      </c>
      <c r="AF122" s="24">
        <f t="shared" si="276"/>
        <v>0</v>
      </c>
      <c r="AG122" s="25">
        <f t="shared" si="277"/>
        <v>0</v>
      </c>
      <c r="AH122" s="24">
        <f t="shared" si="278"/>
        <v>0</v>
      </c>
      <c r="AI122" s="25">
        <f t="shared" si="279"/>
        <v>0</v>
      </c>
      <c r="AJ122" s="24">
        <f t="shared" si="280"/>
        <v>0</v>
      </c>
      <c r="AK122" s="27">
        <f t="shared" si="160"/>
        <v>0.26255788554531079</v>
      </c>
      <c r="AL122" s="41">
        <v>0</v>
      </c>
      <c r="AM122" s="40">
        <v>0</v>
      </c>
      <c r="AN122" s="39">
        <v>0</v>
      </c>
      <c r="AO122" s="40">
        <v>0</v>
      </c>
      <c r="AP122" s="39">
        <v>0</v>
      </c>
      <c r="AQ122" s="40">
        <v>0</v>
      </c>
      <c r="AR122" s="39">
        <v>0</v>
      </c>
      <c r="AS122" s="40">
        <v>0</v>
      </c>
      <c r="AT122" s="39">
        <v>0</v>
      </c>
      <c r="AU122" s="38">
        <v>0</v>
      </c>
      <c r="AW122" s="100" t="s">
        <v>1129</v>
      </c>
      <c r="AX122" s="41">
        <v>0.48190871849616773</v>
      </c>
      <c r="AY122" s="40">
        <v>1.3265325681184832</v>
      </c>
      <c r="AZ122" s="39">
        <v>16.970124166661254</v>
      </c>
      <c r="BA122" s="40">
        <v>11.494268608986669</v>
      </c>
      <c r="BB122" s="39">
        <v>1.0309412706455012</v>
      </c>
      <c r="BC122" s="40">
        <v>0.89861548460666074</v>
      </c>
      <c r="BD122" s="39">
        <v>3.1217923141883954</v>
      </c>
      <c r="BE122" s="40">
        <v>0.19192803927658808</v>
      </c>
      <c r="BF122" s="39">
        <v>0.12034762238781713</v>
      </c>
      <c r="BG122" s="81">
        <v>35.636458793367538</v>
      </c>
      <c r="BH122" s="66">
        <v>0</v>
      </c>
      <c r="BJ122" s="37" t="s">
        <v>1231</v>
      </c>
      <c r="BK122" s="36" t="s">
        <v>1961</v>
      </c>
      <c r="BL122" s="1" t="s">
        <v>1139</v>
      </c>
      <c r="BM122" s="36" t="s">
        <v>1943</v>
      </c>
      <c r="BN122" s="82" t="str">
        <f t="shared" si="287"/>
        <v>IMAFEED</v>
      </c>
      <c r="BO122" s="26">
        <f t="shared" si="288"/>
        <v>0</v>
      </c>
      <c r="BP122" s="25">
        <f t="shared" si="288"/>
        <v>0</v>
      </c>
      <c r="BQ122" s="24">
        <f t="shared" si="288"/>
        <v>3.4442162161897865</v>
      </c>
      <c r="BR122" s="25">
        <f t="shared" si="288"/>
        <v>2.3328495388435275</v>
      </c>
      <c r="BS122" s="24">
        <f t="shared" si="288"/>
        <v>3.1922634759543942</v>
      </c>
      <c r="BT122" s="25">
        <f t="shared" si="288"/>
        <v>2.7825226054252146</v>
      </c>
      <c r="BU122" s="24">
        <f t="shared" si="288"/>
        <v>9.6664900977909536</v>
      </c>
      <c r="BV122" s="25">
        <f t="shared" si="288"/>
        <v>10.716371884255038</v>
      </c>
      <c r="BW122" s="32">
        <f t="shared" si="288"/>
        <v>6.7196532708551739</v>
      </c>
      <c r="BX122" s="26">
        <f t="shared" ref="BX122:CF122" si="291">BO122/BO127</f>
        <v>0</v>
      </c>
      <c r="BY122" s="25">
        <f t="shared" si="291"/>
        <v>0</v>
      </c>
      <c r="BZ122" s="24">
        <f t="shared" si="291"/>
        <v>6.308662894587995E-2</v>
      </c>
      <c r="CA122" s="25">
        <f t="shared" si="291"/>
        <v>6.3160690476842057E-2</v>
      </c>
      <c r="CB122" s="24">
        <f t="shared" si="291"/>
        <v>0.11463287414329226</v>
      </c>
      <c r="CC122" s="25">
        <f t="shared" si="291"/>
        <v>0.1144386321097372</v>
      </c>
      <c r="CD122" s="24">
        <f t="shared" si="291"/>
        <v>0.11113245217194263</v>
      </c>
      <c r="CE122" s="25">
        <f t="shared" si="291"/>
        <v>0.35009193743347872</v>
      </c>
      <c r="CF122" s="32">
        <f t="shared" si="291"/>
        <v>0.35009193743347866</v>
      </c>
      <c r="CH122" s="54" t="s">
        <v>2007</v>
      </c>
      <c r="CI122" s="41">
        <v>0</v>
      </c>
      <c r="CJ122" s="40">
        <v>0</v>
      </c>
      <c r="CK122" s="39">
        <v>0</v>
      </c>
      <c r="CL122" s="40">
        <v>0</v>
      </c>
      <c r="CM122" s="39">
        <v>0</v>
      </c>
      <c r="CN122" s="40">
        <v>0</v>
      </c>
      <c r="CO122" s="39">
        <v>0</v>
      </c>
      <c r="CP122" s="40">
        <v>2.2286185997142539E-2</v>
      </c>
      <c r="CQ122" s="66">
        <v>2.289223690086354E-2</v>
      </c>
      <c r="CS122" s="54" t="s">
        <v>1706</v>
      </c>
      <c r="CT122" s="39">
        <v>0</v>
      </c>
      <c r="CU122" s="40">
        <v>0</v>
      </c>
      <c r="CV122" s="39">
        <v>0</v>
      </c>
      <c r="CW122" s="40">
        <v>0</v>
      </c>
      <c r="CX122" s="39">
        <v>1.0793181908062981</v>
      </c>
      <c r="CY122" s="40">
        <v>0.9407830171246413</v>
      </c>
      <c r="CZ122" s="39">
        <v>3.2682824216680602</v>
      </c>
      <c r="DA122" s="40">
        <v>0</v>
      </c>
      <c r="DB122" s="39">
        <v>0</v>
      </c>
      <c r="DC122" s="38">
        <v>5.2883836295990001</v>
      </c>
      <c r="DE122" s="37" t="s">
        <v>1900</v>
      </c>
      <c r="DF122" s="35" t="str">
        <f t="shared" si="164"/>
        <v>ICTST</v>
      </c>
      <c r="DG122" s="26">
        <f t="shared" si="285"/>
        <v>0.15606906744635202</v>
      </c>
      <c r="DH122" s="25">
        <f t="shared" si="285"/>
        <v>0.42960563463039414</v>
      </c>
      <c r="DI122" s="24">
        <f t="shared" si="285"/>
        <v>0.5625550847992089</v>
      </c>
      <c r="DJ122" s="25">
        <f t="shared" si="285"/>
        <v>0.38103193521332673</v>
      </c>
      <c r="DK122" s="24">
        <f t="shared" si="285"/>
        <v>0.17265686568009495</v>
      </c>
      <c r="DL122" s="25">
        <f t="shared" si="285"/>
        <v>0.15049560769513143</v>
      </c>
      <c r="DM122" s="24">
        <f t="shared" si="285"/>
        <v>0.52282209629118481</v>
      </c>
      <c r="DN122" s="25">
        <f t="shared" si="285"/>
        <v>0.11998736055228365</v>
      </c>
      <c r="DO122" s="32">
        <f t="shared" si="285"/>
        <v>7.5237540139965101E-2</v>
      </c>
      <c r="DP122" s="26">
        <f t="shared" si="165"/>
        <v>0.18713899330116382</v>
      </c>
      <c r="DQ122" s="25">
        <f t="shared" si="166"/>
        <v>2.2659023825792601E-2</v>
      </c>
      <c r="DR122" s="24">
        <f t="shared" si="167"/>
        <v>3.4804058861038198E-2</v>
      </c>
      <c r="DS122" s="25">
        <f t="shared" si="168"/>
        <v>0.16639788773147327</v>
      </c>
      <c r="DT122" s="24">
        <f t="shared" si="169"/>
        <v>8.4873406441776586E-3</v>
      </c>
      <c r="DU122" s="25">
        <f t="shared" si="170"/>
        <v>3.3972455197825338E-2</v>
      </c>
      <c r="DV122" s="24">
        <f t="shared" si="171"/>
        <v>4.146871271558461E-2</v>
      </c>
      <c r="DW122" s="25">
        <f t="shared" si="172"/>
        <v>0.13283134144643885</v>
      </c>
      <c r="DX122" s="32">
        <f t="shared" si="173"/>
        <v>2.8971405742890713E-2</v>
      </c>
      <c r="DZ122" s="54" t="s">
        <v>1567</v>
      </c>
      <c r="EA122" s="39">
        <v>3.8656939838776884E-3</v>
      </c>
      <c r="EB122" s="40">
        <v>3.8656939838776884E-3</v>
      </c>
      <c r="EC122" s="39">
        <v>0.11303692261152151</v>
      </c>
      <c r="ED122" s="40">
        <v>0.11303692261152146</v>
      </c>
      <c r="EE122" s="39">
        <v>2.2711053994540396E-2</v>
      </c>
      <c r="EF122" s="40">
        <v>2.2711053994540393E-2</v>
      </c>
      <c r="EG122" s="39">
        <v>2.27110539945404E-2</v>
      </c>
      <c r="EH122" s="40">
        <v>3.4113943393424245E-2</v>
      </c>
      <c r="EI122" s="66">
        <v>3.4113943393424245E-2</v>
      </c>
      <c r="EO122" s="83" t="s">
        <v>1282</v>
      </c>
      <c r="EP122" s="82" t="s">
        <v>520</v>
      </c>
      <c r="EQ122" s="81">
        <f t="shared" si="250"/>
        <v>117.70704127351154</v>
      </c>
      <c r="ER122" s="80">
        <f>EQ122/SUM(EQ116:EQ124)</f>
        <v>0.17222398030182667</v>
      </c>
      <c r="ET122" s="75" t="s">
        <v>518</v>
      </c>
      <c r="EU122" s="72">
        <v>3.7801146778851255E-2</v>
      </c>
      <c r="EW122" s="22" t="s">
        <v>1282</v>
      </c>
      <c r="EX122" s="20" t="s">
        <v>2006</v>
      </c>
      <c r="EY122" s="20" t="s">
        <v>1150</v>
      </c>
      <c r="EZ122" s="21" t="s">
        <v>1902</v>
      </c>
      <c r="FA122" s="20" t="str">
        <f t="shared" si="251"/>
        <v>IPBETC</v>
      </c>
      <c r="FB122" s="78" t="s">
        <v>522</v>
      </c>
      <c r="FC122" s="11">
        <f t="shared" si="252"/>
        <v>71.178857797192777</v>
      </c>
      <c r="FD122" s="10">
        <f t="shared" si="253"/>
        <v>0.19124894345541804</v>
      </c>
      <c r="FE122" s="101">
        <f t="shared" si="254"/>
        <v>2.6868785110367522E-3</v>
      </c>
      <c r="FF122" s="20">
        <v>0</v>
      </c>
      <c r="FG122" s="84">
        <f t="shared" si="255"/>
        <v>0</v>
      </c>
    </row>
    <row r="123" spans="1:163">
      <c r="A123" s="37" t="s">
        <v>1976</v>
      </c>
      <c r="B123" s="36" t="s">
        <v>1129</v>
      </c>
      <c r="C123" s="1" t="s">
        <v>1197</v>
      </c>
      <c r="D123" s="36" t="s">
        <v>1197</v>
      </c>
      <c r="E123" s="36" t="s">
        <v>2005</v>
      </c>
      <c r="F123" s="1" t="e">
        <f t="shared" ca="1" si="232"/>
        <v>#NAME?</v>
      </c>
      <c r="G123" s="35" t="s">
        <v>1121</v>
      </c>
      <c r="H123" s="43">
        <v>1</v>
      </c>
      <c r="I123" s="42">
        <v>0</v>
      </c>
      <c r="J123" s="26">
        <v>5.5759467773951972</v>
      </c>
      <c r="K123" s="25">
        <v>1.8787737638563589</v>
      </c>
      <c r="L123" s="24"/>
      <c r="M123" s="25"/>
      <c r="N123" s="24"/>
      <c r="O123" s="25"/>
      <c r="P123" s="24"/>
      <c r="Q123" s="25"/>
      <c r="R123" s="32"/>
      <c r="S123" s="47">
        <v>1</v>
      </c>
      <c r="T123" s="45">
        <v>1</v>
      </c>
      <c r="U123" s="46">
        <v>1</v>
      </c>
      <c r="V123" s="45">
        <v>1</v>
      </c>
      <c r="W123" s="46">
        <v>1</v>
      </c>
      <c r="X123" s="45">
        <v>1</v>
      </c>
      <c r="Y123" s="46">
        <v>1</v>
      </c>
      <c r="Z123" s="45">
        <v>1</v>
      </c>
      <c r="AA123" s="44">
        <v>1</v>
      </c>
      <c r="AB123" s="26">
        <f t="shared" si="272"/>
        <v>5.5759467773951972</v>
      </c>
      <c r="AC123" s="25">
        <f t="shared" si="273"/>
        <v>1.8787737638563589</v>
      </c>
      <c r="AD123" s="24">
        <f t="shared" si="274"/>
        <v>0</v>
      </c>
      <c r="AE123" s="25">
        <f t="shared" si="275"/>
        <v>0</v>
      </c>
      <c r="AF123" s="24">
        <f t="shared" si="276"/>
        <v>0</v>
      </c>
      <c r="AG123" s="25">
        <f t="shared" si="277"/>
        <v>0</v>
      </c>
      <c r="AH123" s="24">
        <f t="shared" si="278"/>
        <v>0</v>
      </c>
      <c r="AI123" s="25">
        <f t="shared" si="279"/>
        <v>0</v>
      </c>
      <c r="AJ123" s="24">
        <f t="shared" si="280"/>
        <v>0</v>
      </c>
      <c r="AK123" s="27">
        <f t="shared" si="160"/>
        <v>7.4547205412515556</v>
      </c>
      <c r="AL123" s="41">
        <v>0</v>
      </c>
      <c r="AM123" s="40">
        <v>0</v>
      </c>
      <c r="AN123" s="39">
        <v>0</v>
      </c>
      <c r="AO123" s="40">
        <v>0</v>
      </c>
      <c r="AP123" s="39">
        <v>0</v>
      </c>
      <c r="AQ123" s="40">
        <v>0</v>
      </c>
      <c r="AR123" s="39">
        <v>0</v>
      </c>
      <c r="AS123" s="40">
        <v>0</v>
      </c>
      <c r="AT123" s="39">
        <v>0</v>
      </c>
      <c r="AU123" s="38">
        <v>0</v>
      </c>
      <c r="AW123" s="100" t="s">
        <v>1123</v>
      </c>
      <c r="AX123" s="41">
        <v>8.9259767168918689</v>
      </c>
      <c r="AY123" s="40">
        <v>24.570210836138923</v>
      </c>
      <c r="AZ123" s="39">
        <v>119.64742332469916</v>
      </c>
      <c r="BA123" s="40">
        <v>81.040044761075023</v>
      </c>
      <c r="BB123" s="39">
        <v>17.583504128291331</v>
      </c>
      <c r="BC123" s="40">
        <v>15.326585066707443</v>
      </c>
      <c r="BD123" s="39">
        <v>53.244592691327952</v>
      </c>
      <c r="BE123" s="40">
        <v>7.7200822797639681</v>
      </c>
      <c r="BF123" s="39">
        <v>4.8408432166026181</v>
      </c>
      <c r="BG123" s="81">
        <v>332.89926302149826</v>
      </c>
      <c r="BH123" s="66">
        <v>0</v>
      </c>
      <c r="BJ123" s="37" t="s">
        <v>1231</v>
      </c>
      <c r="BK123" s="36" t="s">
        <v>1961</v>
      </c>
      <c r="BL123" s="1" t="s">
        <v>1136</v>
      </c>
      <c r="BM123" s="36" t="s">
        <v>1941</v>
      </c>
      <c r="BN123" s="82" t="str">
        <f t="shared" si="287"/>
        <v>IMAMDR</v>
      </c>
      <c r="BO123" s="26">
        <f t="shared" si="288"/>
        <v>0.32775452663404048</v>
      </c>
      <c r="BP123" s="25">
        <f t="shared" si="288"/>
        <v>0.90219794172860357</v>
      </c>
      <c r="BQ123" s="24">
        <f t="shared" si="288"/>
        <v>7.137097951590909</v>
      </c>
      <c r="BR123" s="25">
        <f t="shared" si="288"/>
        <v>4.8341261465486598</v>
      </c>
      <c r="BS123" s="24">
        <f t="shared" si="288"/>
        <v>2.8469488293127898</v>
      </c>
      <c r="BT123" s="25">
        <f t="shared" si="288"/>
        <v>2.4815305922338791</v>
      </c>
      <c r="BU123" s="24">
        <f t="shared" si="288"/>
        <v>8.6208431336457743</v>
      </c>
      <c r="BV123" s="25">
        <f t="shared" si="288"/>
        <v>2.8640537075594104</v>
      </c>
      <c r="BW123" s="32">
        <f t="shared" si="288"/>
        <v>1.7958921239176793</v>
      </c>
      <c r="BX123" s="26">
        <f t="shared" ref="BX123:CF123" si="292">BO123/BO127</f>
        <v>0.10771533052964428</v>
      </c>
      <c r="BY123" s="25">
        <f t="shared" si="292"/>
        <v>5.7010740625619255E-2</v>
      </c>
      <c r="BZ123" s="24">
        <f t="shared" si="292"/>
        <v>0.13072798627041976</v>
      </c>
      <c r="CA123" s="25">
        <f t="shared" si="292"/>
        <v>0.13088145642668833</v>
      </c>
      <c r="CB123" s="24">
        <f t="shared" si="292"/>
        <v>0.1022327665937524</v>
      </c>
      <c r="CC123" s="25">
        <f t="shared" si="292"/>
        <v>0.1020595361777174</v>
      </c>
      <c r="CD123" s="24">
        <f t="shared" si="292"/>
        <v>9.9110993498110533E-2</v>
      </c>
      <c r="CE123" s="25">
        <f t="shared" si="292"/>
        <v>9.3565445677206885E-2</v>
      </c>
      <c r="CF123" s="32">
        <f t="shared" si="292"/>
        <v>9.3565445677206885E-2</v>
      </c>
      <c r="CH123" s="54" t="s">
        <v>2004</v>
      </c>
      <c r="CI123" s="41">
        <v>0.17301225708988782</v>
      </c>
      <c r="CJ123" s="40">
        <v>0.19119336777678697</v>
      </c>
      <c r="CK123" s="39">
        <v>0.26822651483828625</v>
      </c>
      <c r="CL123" s="40">
        <v>0.24046237500698742</v>
      </c>
      <c r="CM123" s="39">
        <v>5.7423662319668695E-2</v>
      </c>
      <c r="CN123" s="40">
        <v>6.1262050234016215E-2</v>
      </c>
      <c r="CO123" s="39">
        <v>5.6477312113672178E-2</v>
      </c>
      <c r="CP123" s="40">
        <v>0.13724930975859742</v>
      </c>
      <c r="CQ123" s="66">
        <v>0.14098166971579004</v>
      </c>
      <c r="CS123" s="54" t="s">
        <v>1703</v>
      </c>
      <c r="CT123" s="39">
        <v>0</v>
      </c>
      <c r="CU123" s="40">
        <v>0</v>
      </c>
      <c r="CV123" s="39">
        <v>3.1805833857237262</v>
      </c>
      <c r="CW123" s="40">
        <v>2.1542847541805217</v>
      </c>
      <c r="CX123" s="39">
        <v>0.8166039898359585</v>
      </c>
      <c r="CY123" s="40">
        <v>0.71178932394345951</v>
      </c>
      <c r="CZ123" s="39">
        <v>2.4727577911487679</v>
      </c>
      <c r="DA123" s="40">
        <v>0</v>
      </c>
      <c r="DB123" s="39">
        <v>0</v>
      </c>
      <c r="DC123" s="38">
        <v>9.3360192448324337</v>
      </c>
      <c r="DE123" s="37" t="s">
        <v>1898</v>
      </c>
      <c r="DF123" s="35" t="str">
        <f t="shared" si="164"/>
        <v>ICTST</v>
      </c>
      <c r="DG123" s="26">
        <f t="shared" si="285"/>
        <v>0</v>
      </c>
      <c r="DH123" s="25">
        <f t="shared" si="285"/>
        <v>1.7831111450432005</v>
      </c>
      <c r="DI123" s="24">
        <f t="shared" si="285"/>
        <v>6.654463221259789</v>
      </c>
      <c r="DJ123" s="25">
        <f t="shared" si="285"/>
        <v>0.98004187975898827</v>
      </c>
      <c r="DK123" s="24">
        <f t="shared" si="285"/>
        <v>1.2692895811870943</v>
      </c>
      <c r="DL123" s="25">
        <f t="shared" si="285"/>
        <v>1.4784044194779689</v>
      </c>
      <c r="DM123" s="24">
        <f t="shared" si="285"/>
        <v>4.3955810490582827</v>
      </c>
      <c r="DN123" s="25">
        <f t="shared" si="285"/>
        <v>0.72402780173604797</v>
      </c>
      <c r="DO123" s="32">
        <f t="shared" si="285"/>
        <v>0.13261990528215375</v>
      </c>
      <c r="DP123" s="26">
        <f t="shared" si="165"/>
        <v>0</v>
      </c>
      <c r="DQ123" s="25">
        <f t="shared" si="166"/>
        <v>9.4048016745243351E-2</v>
      </c>
      <c r="DR123" s="24">
        <f t="shared" si="167"/>
        <v>0.41169715801965356</v>
      </c>
      <c r="DS123" s="25">
        <f t="shared" si="168"/>
        <v>0.42798748243759932</v>
      </c>
      <c r="DT123" s="24">
        <f t="shared" si="169"/>
        <v>6.2394814183647236E-2</v>
      </c>
      <c r="DU123" s="25">
        <f t="shared" si="170"/>
        <v>0.33373085549929354</v>
      </c>
      <c r="DV123" s="24">
        <f t="shared" si="171"/>
        <v>0.34864457534316978</v>
      </c>
      <c r="DW123" s="25">
        <f t="shared" si="172"/>
        <v>0.8015309588146875</v>
      </c>
      <c r="DX123" s="32">
        <f t="shared" si="173"/>
        <v>5.1067393728786971E-2</v>
      </c>
      <c r="DZ123" s="54" t="s">
        <v>1582</v>
      </c>
      <c r="EA123" s="39">
        <v>1.1238660550257639E-2</v>
      </c>
      <c r="EB123" s="40">
        <v>1.1238660550257639E-2</v>
      </c>
      <c r="EC123" s="39">
        <v>2.2664148438224143E-3</v>
      </c>
      <c r="ED123" s="40">
        <v>2.2664148438224134E-3</v>
      </c>
      <c r="EE123" s="39">
        <v>8.2534283510194793E-3</v>
      </c>
      <c r="EF123" s="40">
        <v>8.2534283510194758E-3</v>
      </c>
      <c r="EG123" s="39">
        <v>8.2534283510194793E-3</v>
      </c>
      <c r="EH123" s="40">
        <v>1.8182786608356774E-2</v>
      </c>
      <c r="EI123" s="66">
        <v>1.8182786608356774E-2</v>
      </c>
      <c r="EO123" s="83" t="s">
        <v>1282</v>
      </c>
      <c r="EP123" s="82" t="s">
        <v>521</v>
      </c>
      <c r="EQ123" s="81">
        <f t="shared" si="250"/>
        <v>9.4341286208250494</v>
      </c>
      <c r="ER123" s="80">
        <f>EQ123/SUM(EQ116:EQ124)</f>
        <v>1.3803619258277196E-2</v>
      </c>
      <c r="ET123" s="75" t="s">
        <v>517</v>
      </c>
      <c r="EU123" s="72">
        <v>0.25964903029374831</v>
      </c>
      <c r="EW123" s="37" t="s">
        <v>1247</v>
      </c>
      <c r="EX123" s="36" t="s">
        <v>1983</v>
      </c>
      <c r="EY123" s="36" t="s">
        <v>1150</v>
      </c>
      <c r="EZ123" s="1" t="s">
        <v>1902</v>
      </c>
      <c r="FA123" s="36" t="str">
        <f t="shared" si="251"/>
        <v>ICPETC</v>
      </c>
      <c r="FB123" s="35" t="s">
        <v>438</v>
      </c>
      <c r="FC123" s="26">
        <f t="shared" si="252"/>
        <v>8.0645257055617776</v>
      </c>
      <c r="FD123" s="25">
        <f t="shared" si="253"/>
        <v>0.11213804322720264</v>
      </c>
      <c r="FE123" s="24">
        <f t="shared" si="254"/>
        <v>1.3905100848009644E-2</v>
      </c>
      <c r="FF123" s="36">
        <v>0</v>
      </c>
      <c r="FG123" s="86">
        <f t="shared" si="255"/>
        <v>0</v>
      </c>
    </row>
    <row r="124" spans="1:163" ht="15.75" thickBot="1">
      <c r="A124" s="37" t="s">
        <v>1976</v>
      </c>
      <c r="B124" s="36" t="s">
        <v>1123</v>
      </c>
      <c r="C124" s="1" t="s">
        <v>1126</v>
      </c>
      <c r="D124" s="36" t="s">
        <v>1126</v>
      </c>
      <c r="E124" s="36" t="s">
        <v>2003</v>
      </c>
      <c r="F124" s="1" t="e">
        <f t="shared" ca="1" si="232"/>
        <v>#NAME?</v>
      </c>
      <c r="G124" s="35" t="s">
        <v>1121</v>
      </c>
      <c r="H124" s="43">
        <v>1</v>
      </c>
      <c r="I124" s="42">
        <v>0</v>
      </c>
      <c r="J124" s="26">
        <v>0.73041685174806725</v>
      </c>
      <c r="K124" s="25">
        <v>1.1074883470691081</v>
      </c>
      <c r="L124" s="24"/>
      <c r="M124" s="25"/>
      <c r="N124" s="24"/>
      <c r="O124" s="25"/>
      <c r="P124" s="24"/>
      <c r="Q124" s="25"/>
      <c r="R124" s="32"/>
      <c r="S124" s="47">
        <v>1</v>
      </c>
      <c r="T124" s="45">
        <v>1</v>
      </c>
      <c r="U124" s="46">
        <v>1</v>
      </c>
      <c r="V124" s="45">
        <v>1</v>
      </c>
      <c r="W124" s="46">
        <v>1</v>
      </c>
      <c r="X124" s="45">
        <v>1</v>
      </c>
      <c r="Y124" s="46">
        <v>1</v>
      </c>
      <c r="Z124" s="45">
        <v>1</v>
      </c>
      <c r="AA124" s="44">
        <v>1</v>
      </c>
      <c r="AB124" s="26">
        <f t="shared" si="272"/>
        <v>0.73041685174806725</v>
      </c>
      <c r="AC124" s="25">
        <f t="shared" si="273"/>
        <v>1.1074883470691081</v>
      </c>
      <c r="AD124" s="24">
        <f t="shared" si="274"/>
        <v>0</v>
      </c>
      <c r="AE124" s="25">
        <f t="shared" si="275"/>
        <v>0</v>
      </c>
      <c r="AF124" s="24">
        <f t="shared" si="276"/>
        <v>0</v>
      </c>
      <c r="AG124" s="25">
        <f t="shared" si="277"/>
        <v>0</v>
      </c>
      <c r="AH124" s="24">
        <f t="shared" si="278"/>
        <v>0</v>
      </c>
      <c r="AI124" s="25">
        <f t="shared" si="279"/>
        <v>0</v>
      </c>
      <c r="AJ124" s="24">
        <f t="shared" si="280"/>
        <v>0</v>
      </c>
      <c r="AK124" s="27">
        <f t="shared" si="160"/>
        <v>1.8379051988171753</v>
      </c>
      <c r="AL124" s="41">
        <v>0</v>
      </c>
      <c r="AM124" s="40">
        <v>0</v>
      </c>
      <c r="AN124" s="39">
        <v>0</v>
      </c>
      <c r="AO124" s="40">
        <v>0</v>
      </c>
      <c r="AP124" s="39">
        <v>0</v>
      </c>
      <c r="AQ124" s="40">
        <v>0</v>
      </c>
      <c r="AR124" s="39">
        <v>0</v>
      </c>
      <c r="AS124" s="40">
        <v>0</v>
      </c>
      <c r="AT124" s="39">
        <v>0</v>
      </c>
      <c r="AU124" s="38">
        <v>0</v>
      </c>
      <c r="AW124" s="100" t="s">
        <v>1107</v>
      </c>
      <c r="AX124" s="41">
        <v>5.8014724722938614E-3</v>
      </c>
      <c r="AY124" s="40">
        <v>2.3577512042085691</v>
      </c>
      <c r="AZ124" s="39">
        <v>8.5037429737426251</v>
      </c>
      <c r="BA124" s="40">
        <v>0</v>
      </c>
      <c r="BB124" s="39">
        <v>0.54113642599319944</v>
      </c>
      <c r="BC124" s="40">
        <v>0.76471440311151018</v>
      </c>
      <c r="BD124" s="39">
        <v>0</v>
      </c>
      <c r="BE124" s="40">
        <v>0.21764948396250672</v>
      </c>
      <c r="BF124" s="39">
        <v>2.773528888266886</v>
      </c>
      <c r="BG124" s="81">
        <v>15.164324851757588</v>
      </c>
      <c r="BH124" s="66">
        <v>3.2803103476690718</v>
      </c>
      <c r="BJ124" s="37" t="s">
        <v>1231</v>
      </c>
      <c r="BK124" s="36" t="s">
        <v>1961</v>
      </c>
      <c r="BL124" s="1" t="s">
        <v>1129</v>
      </c>
      <c r="BM124" s="36" t="s">
        <v>1910</v>
      </c>
      <c r="BN124" s="82" t="str">
        <f t="shared" si="287"/>
        <v>IMAOHT</v>
      </c>
      <c r="BO124" s="26">
        <f t="shared" si="288"/>
        <v>0</v>
      </c>
      <c r="BP124" s="25">
        <f t="shared" si="288"/>
        <v>1.5850931959191099</v>
      </c>
      <c r="BQ124" s="24">
        <f t="shared" si="288"/>
        <v>1.8900265017063882</v>
      </c>
      <c r="BR124" s="25">
        <f t="shared" si="288"/>
        <v>1.2801598901318325</v>
      </c>
      <c r="BS124" s="24">
        <f t="shared" si="288"/>
        <v>1.6175262994380317</v>
      </c>
      <c r="BT124" s="25">
        <f t="shared" si="288"/>
        <v>1.4099097793644706</v>
      </c>
      <c r="BU124" s="24">
        <f t="shared" si="288"/>
        <v>4.8980299007930492</v>
      </c>
      <c r="BV124" s="25">
        <f t="shared" si="288"/>
        <v>0</v>
      </c>
      <c r="BW124" s="32">
        <f t="shared" si="288"/>
        <v>0</v>
      </c>
      <c r="BX124" s="26">
        <f t="shared" ref="BX124:CF124" si="293">BO124/BO127</f>
        <v>0</v>
      </c>
      <c r="BY124" s="25">
        <f t="shared" si="293"/>
        <v>0.10016353715774967</v>
      </c>
      <c r="BZ124" s="24">
        <f t="shared" si="293"/>
        <v>3.4619023059747484E-2</v>
      </c>
      <c r="CA124" s="25">
        <f t="shared" si="293"/>
        <v>3.4659664601244602E-2</v>
      </c>
      <c r="CB124" s="24">
        <f t="shared" si="293"/>
        <v>5.8084707012321234E-2</v>
      </c>
      <c r="CC124" s="25">
        <f t="shared" si="293"/>
        <v>5.7986284184726254E-2</v>
      </c>
      <c r="CD124" s="24">
        <f t="shared" si="293"/>
        <v>5.6311036185825315E-2</v>
      </c>
      <c r="CE124" s="25">
        <f t="shared" si="293"/>
        <v>0</v>
      </c>
      <c r="CF124" s="32">
        <f t="shared" si="293"/>
        <v>0</v>
      </c>
      <c r="CH124" s="54" t="s">
        <v>2002</v>
      </c>
      <c r="CI124" s="41">
        <v>0.19663295046920995</v>
      </c>
      <c r="CJ124" s="40">
        <v>0.26294060442082329</v>
      </c>
      <c r="CK124" s="39">
        <v>0.21677226160117352</v>
      </c>
      <c r="CL124" s="40">
        <v>0.18421300854676884</v>
      </c>
      <c r="CM124" s="39">
        <v>0.71730005837012467</v>
      </c>
      <c r="CN124" s="40">
        <v>0.76790948594672159</v>
      </c>
      <c r="CO124" s="39">
        <v>0.69382761734648124</v>
      </c>
      <c r="CP124" s="40">
        <v>0.5686766991579526</v>
      </c>
      <c r="CQ124" s="66">
        <v>0.60699717730371661</v>
      </c>
      <c r="CS124" s="54" t="s">
        <v>1700</v>
      </c>
      <c r="CT124" s="39">
        <v>0</v>
      </c>
      <c r="CU124" s="40">
        <v>0</v>
      </c>
      <c r="CV124" s="39">
        <v>4.01940044733536E-3</v>
      </c>
      <c r="CW124" s="40">
        <v>2.7224354951695868E-3</v>
      </c>
      <c r="CX124" s="39">
        <v>3.3022957554517986E-2</v>
      </c>
      <c r="CY124" s="40">
        <v>2.8784317643446418E-2</v>
      </c>
      <c r="CZ124" s="39">
        <v>9.9996787422154343E-2</v>
      </c>
      <c r="DA124" s="40">
        <v>0</v>
      </c>
      <c r="DB124" s="39">
        <v>0</v>
      </c>
      <c r="DC124" s="38">
        <v>0.1685458985626237</v>
      </c>
      <c r="DE124" s="37" t="s">
        <v>1896</v>
      </c>
      <c r="DF124" s="35" t="str">
        <f t="shared" si="164"/>
        <v>ICTST</v>
      </c>
      <c r="DG124" s="26">
        <f t="shared" si="285"/>
        <v>0</v>
      </c>
      <c r="DH124" s="25">
        <f t="shared" si="285"/>
        <v>0</v>
      </c>
      <c r="DI124" s="24">
        <f t="shared" si="285"/>
        <v>0</v>
      </c>
      <c r="DJ124" s="25">
        <f t="shared" si="285"/>
        <v>0</v>
      </c>
      <c r="DK124" s="24">
        <f t="shared" si="285"/>
        <v>1.7331848898587448E-2</v>
      </c>
      <c r="DL124" s="25">
        <f t="shared" si="285"/>
        <v>1.3201408278208558E-2</v>
      </c>
      <c r="DM124" s="24">
        <f t="shared" si="285"/>
        <v>5.5505921169740513E-2</v>
      </c>
      <c r="DN124" s="25">
        <f t="shared" si="285"/>
        <v>0</v>
      </c>
      <c r="DO124" s="32">
        <f t="shared" si="285"/>
        <v>0</v>
      </c>
      <c r="DP124" s="26">
        <f t="shared" si="165"/>
        <v>0</v>
      </c>
      <c r="DQ124" s="25">
        <f t="shared" si="166"/>
        <v>0</v>
      </c>
      <c r="DR124" s="24">
        <f t="shared" si="167"/>
        <v>0</v>
      </c>
      <c r="DS124" s="25">
        <f t="shared" si="168"/>
        <v>0</v>
      </c>
      <c r="DT124" s="24">
        <f t="shared" si="169"/>
        <v>8.5198642414997729E-4</v>
      </c>
      <c r="DU124" s="25">
        <f t="shared" si="170"/>
        <v>2.9800487745008744E-3</v>
      </c>
      <c r="DV124" s="24">
        <f t="shared" si="171"/>
        <v>4.4025666002454012E-3</v>
      </c>
      <c r="DW124" s="25">
        <f t="shared" si="172"/>
        <v>0</v>
      </c>
      <c r="DX124" s="32">
        <f t="shared" si="173"/>
        <v>0</v>
      </c>
      <c r="DZ124" s="54" t="s">
        <v>1579</v>
      </c>
      <c r="EA124" s="39">
        <v>9.1486991935975648E-2</v>
      </c>
      <c r="EB124" s="40">
        <v>9.1486991935975648E-2</v>
      </c>
      <c r="EC124" s="39">
        <v>8.6866315697659596E-2</v>
      </c>
      <c r="ED124" s="40">
        <v>8.6866315697659569E-2</v>
      </c>
      <c r="EE124" s="39">
        <v>0.11057705868610757</v>
      </c>
      <c r="EF124" s="40">
        <v>0.11057705868610754</v>
      </c>
      <c r="EG124" s="39">
        <v>0.11057705868610757</v>
      </c>
      <c r="EH124" s="40">
        <v>6.8961455758522139E-2</v>
      </c>
      <c r="EI124" s="66">
        <v>6.8961455758522153E-2</v>
      </c>
      <c r="EO124" s="79" t="s">
        <v>1282</v>
      </c>
      <c r="EP124" s="78" t="s">
        <v>522</v>
      </c>
      <c r="EQ124" s="77">
        <f t="shared" si="250"/>
        <v>71.178857797192777</v>
      </c>
      <c r="ER124" s="76">
        <f>EQ124/SUM(EQ116:EQ124)</f>
        <v>0.10414590385196366</v>
      </c>
      <c r="ET124" s="75" t="s">
        <v>519</v>
      </c>
      <c r="EU124" s="72">
        <v>0.13675935110113521</v>
      </c>
      <c r="EW124" s="37" t="s">
        <v>1247</v>
      </c>
      <c r="EX124" s="36" t="s">
        <v>1983</v>
      </c>
      <c r="EY124" s="36" t="s">
        <v>1150</v>
      </c>
      <c r="EZ124" s="1" t="s">
        <v>1902</v>
      </c>
      <c r="FA124" s="36" t="str">
        <f t="shared" si="251"/>
        <v>ICPETC</v>
      </c>
      <c r="FB124" s="1" t="s">
        <v>440</v>
      </c>
      <c r="FC124" s="26">
        <f t="shared" si="252"/>
        <v>18.843743769691979</v>
      </c>
      <c r="FD124" s="25">
        <f t="shared" si="253"/>
        <v>0.30867830515738132</v>
      </c>
      <c r="FE124" s="24">
        <f t="shared" si="254"/>
        <v>1.6380943666505131E-2</v>
      </c>
      <c r="FF124" s="36">
        <v>0</v>
      </c>
      <c r="FG124" s="86">
        <f t="shared" si="255"/>
        <v>0</v>
      </c>
    </row>
    <row r="125" spans="1:163" ht="15.75" thickBot="1">
      <c r="A125" s="37" t="s">
        <v>1976</v>
      </c>
      <c r="B125" s="36" t="s">
        <v>1123</v>
      </c>
      <c r="C125" s="1" t="s">
        <v>665</v>
      </c>
      <c r="D125" s="36" t="s">
        <v>665</v>
      </c>
      <c r="E125" s="36" t="s">
        <v>2001</v>
      </c>
      <c r="F125" s="1" t="e">
        <f t="shared" ca="1" si="232"/>
        <v>#NAME?</v>
      </c>
      <c r="G125" s="35" t="s">
        <v>1121</v>
      </c>
      <c r="H125" s="43">
        <v>1</v>
      </c>
      <c r="I125" s="42">
        <v>0</v>
      </c>
      <c r="J125" s="26">
        <v>1.3689893304059573</v>
      </c>
      <c r="K125" s="25">
        <v>7.6109676265174144</v>
      </c>
      <c r="L125" s="24"/>
      <c r="M125" s="25"/>
      <c r="N125" s="24"/>
      <c r="O125" s="25"/>
      <c r="P125" s="24"/>
      <c r="Q125" s="25"/>
      <c r="R125" s="32"/>
      <c r="S125" s="47">
        <v>1</v>
      </c>
      <c r="T125" s="45">
        <v>1</v>
      </c>
      <c r="U125" s="46">
        <v>1</v>
      </c>
      <c r="V125" s="45">
        <v>1</v>
      </c>
      <c r="W125" s="46">
        <v>1</v>
      </c>
      <c r="X125" s="45">
        <v>1</v>
      </c>
      <c r="Y125" s="46">
        <v>1</v>
      </c>
      <c r="Z125" s="45">
        <v>1</v>
      </c>
      <c r="AA125" s="44">
        <v>1</v>
      </c>
      <c r="AB125" s="26">
        <f t="shared" si="272"/>
        <v>1.3689893304059573</v>
      </c>
      <c r="AC125" s="25">
        <f t="shared" si="273"/>
        <v>7.6109676265174144</v>
      </c>
      <c r="AD125" s="24">
        <f t="shared" si="274"/>
        <v>0</v>
      </c>
      <c r="AE125" s="25">
        <f t="shared" si="275"/>
        <v>0</v>
      </c>
      <c r="AF125" s="24">
        <f t="shared" si="276"/>
        <v>0</v>
      </c>
      <c r="AG125" s="25">
        <f t="shared" si="277"/>
        <v>0</v>
      </c>
      <c r="AH125" s="24">
        <f t="shared" si="278"/>
        <v>0</v>
      </c>
      <c r="AI125" s="25">
        <f t="shared" si="279"/>
        <v>0</v>
      </c>
      <c r="AJ125" s="24">
        <f t="shared" si="280"/>
        <v>0</v>
      </c>
      <c r="AK125" s="27">
        <f t="shared" si="160"/>
        <v>8.9799569569233721</v>
      </c>
      <c r="AL125" s="41">
        <v>0</v>
      </c>
      <c r="AM125" s="40">
        <v>0</v>
      </c>
      <c r="AN125" s="39">
        <v>0</v>
      </c>
      <c r="AO125" s="40">
        <v>0</v>
      </c>
      <c r="AP125" s="39">
        <v>0</v>
      </c>
      <c r="AQ125" s="40">
        <v>0</v>
      </c>
      <c r="AR125" s="39">
        <v>0</v>
      </c>
      <c r="AS125" s="40">
        <v>0</v>
      </c>
      <c r="AT125" s="39">
        <v>0</v>
      </c>
      <c r="AU125" s="38">
        <v>0</v>
      </c>
      <c r="AW125" s="51" t="s">
        <v>1164</v>
      </c>
      <c r="AX125" s="7">
        <v>7.3643678189191304</v>
      </c>
      <c r="AY125" s="6">
        <v>6.1030137926704979</v>
      </c>
      <c r="AZ125" s="5">
        <v>1.2341345385391349</v>
      </c>
      <c r="BA125" s="6">
        <v>0.23632363503940876</v>
      </c>
      <c r="BB125" s="5">
        <v>89.386793276478571</v>
      </c>
      <c r="BC125" s="6">
        <v>52.733868481521391</v>
      </c>
      <c r="BD125" s="5">
        <v>38.200371737968986</v>
      </c>
      <c r="BE125" s="6">
        <v>0.74672865094505603</v>
      </c>
      <c r="BF125" s="5">
        <v>8.353314580454235</v>
      </c>
      <c r="BG125" s="77">
        <v>204.35891651253638</v>
      </c>
      <c r="BH125" s="59">
        <v>7.5828236762566679</v>
      </c>
      <c r="BJ125" s="37" t="s">
        <v>1231</v>
      </c>
      <c r="BK125" s="36" t="s">
        <v>1961</v>
      </c>
      <c r="BL125" s="1" t="s">
        <v>1123</v>
      </c>
      <c r="BM125" s="36" t="s">
        <v>1935</v>
      </c>
      <c r="BN125" s="82" t="str">
        <f t="shared" si="287"/>
        <v>IMAPRH</v>
      </c>
      <c r="BO125" s="26">
        <f t="shared" si="288"/>
        <v>1.5408347440535681</v>
      </c>
      <c r="BP125" s="25">
        <f t="shared" si="288"/>
        <v>4.2413996502364997</v>
      </c>
      <c r="BQ125" s="24">
        <f t="shared" si="288"/>
        <v>7.147790638081001</v>
      </c>
      <c r="BR125" s="25">
        <f t="shared" si="288"/>
        <v>4.8413685573561329</v>
      </c>
      <c r="BS125" s="24">
        <f t="shared" si="288"/>
        <v>7.902195141381803</v>
      </c>
      <c r="BT125" s="25">
        <f t="shared" si="288"/>
        <v>6.8879141020157748</v>
      </c>
      <c r="BU125" s="24">
        <f t="shared" si="288"/>
        <v>23.928629845361254</v>
      </c>
      <c r="BV125" s="25">
        <f t="shared" si="288"/>
        <v>3.1029106954680512</v>
      </c>
      <c r="BW125" s="32">
        <f t="shared" si="288"/>
        <v>1.9456663345742826</v>
      </c>
      <c r="BX125" s="26">
        <f t="shared" ref="BX125:CF125" si="294">BO125/BO127</f>
        <v>0.50638972236868018</v>
      </c>
      <c r="BY125" s="25">
        <f t="shared" si="294"/>
        <v>0.26801805254169431</v>
      </c>
      <c r="BZ125" s="24">
        <f t="shared" si="294"/>
        <v>0.13092384085755754</v>
      </c>
      <c r="CA125" s="25">
        <f t="shared" si="294"/>
        <v>0.13107754094037014</v>
      </c>
      <c r="CB125" s="24">
        <f t="shared" si="294"/>
        <v>0.28376459146340749</v>
      </c>
      <c r="CC125" s="25">
        <f t="shared" si="294"/>
        <v>0.28328376070950118</v>
      </c>
      <c r="CD125" s="24">
        <f t="shared" si="294"/>
        <v>0.27509957439851268</v>
      </c>
      <c r="CE125" s="25">
        <f t="shared" si="294"/>
        <v>0.10136863751952453</v>
      </c>
      <c r="CF125" s="32">
        <f t="shared" si="294"/>
        <v>0.10136863751952453</v>
      </c>
      <c r="CH125" s="54" t="s">
        <v>2000</v>
      </c>
      <c r="CI125" s="41">
        <v>0.11876812425955398</v>
      </c>
      <c r="CJ125" s="40">
        <v>0.13124895336125439</v>
      </c>
      <c r="CK125" s="39">
        <v>0.15561636981357857</v>
      </c>
      <c r="CL125" s="40">
        <v>0.13950851166932252</v>
      </c>
      <c r="CM125" s="39">
        <v>4.4349918790850214E-2</v>
      </c>
      <c r="CN125" s="40">
        <v>4.7314414356135433E-2</v>
      </c>
      <c r="CO125" s="39">
        <v>4.3619025756720727E-2</v>
      </c>
      <c r="CP125" s="40">
        <v>7.2740646298134287E-2</v>
      </c>
      <c r="CQ125" s="66">
        <v>7.4718756614178775E-2</v>
      </c>
      <c r="CS125" s="54" t="s">
        <v>1697</v>
      </c>
      <c r="CT125" s="39">
        <v>0</v>
      </c>
      <c r="CU125" s="40">
        <v>0.16735231431487405</v>
      </c>
      <c r="CV125" s="39">
        <v>9.2916319402799388E-2</v>
      </c>
      <c r="CW125" s="40">
        <v>6.2934432469995194E-2</v>
      </c>
      <c r="CX125" s="39">
        <v>0.86116156775197827</v>
      </c>
      <c r="CY125" s="40">
        <v>0.75062774336848959</v>
      </c>
      <c r="CZ125" s="39">
        <v>2.6076825518870663</v>
      </c>
      <c r="DA125" s="40">
        <v>0</v>
      </c>
      <c r="DB125" s="39">
        <v>0</v>
      </c>
      <c r="DC125" s="38">
        <v>4.5426749291952024</v>
      </c>
      <c r="DE125" s="37" t="s">
        <v>1893</v>
      </c>
      <c r="DF125" s="35" t="str">
        <f t="shared" si="164"/>
        <v>ICTST</v>
      </c>
      <c r="DG125" s="26">
        <f t="shared" si="285"/>
        <v>0</v>
      </c>
      <c r="DH125" s="25">
        <f t="shared" si="285"/>
        <v>0</v>
      </c>
      <c r="DI125" s="24">
        <f t="shared" si="285"/>
        <v>7.5493810326326987</v>
      </c>
      <c r="DJ125" s="25">
        <f t="shared" si="285"/>
        <v>0.26536347855347564</v>
      </c>
      <c r="DK125" s="24">
        <f t="shared" si="285"/>
        <v>2.8495759231195632</v>
      </c>
      <c r="DL125" s="25">
        <f t="shared" si="285"/>
        <v>0</v>
      </c>
      <c r="DM125" s="24">
        <f t="shared" si="285"/>
        <v>0</v>
      </c>
      <c r="DN125" s="25">
        <f t="shared" si="285"/>
        <v>0</v>
      </c>
      <c r="DO125" s="32">
        <f t="shared" si="285"/>
        <v>0</v>
      </c>
      <c r="DP125" s="26">
        <f t="shared" si="165"/>
        <v>0</v>
      </c>
      <c r="DQ125" s="25">
        <f t="shared" si="166"/>
        <v>0</v>
      </c>
      <c r="DR125" s="24">
        <f t="shared" si="167"/>
        <v>0.46706377548420169</v>
      </c>
      <c r="DS125" s="25">
        <f t="shared" si="168"/>
        <v>0.11588509579296304</v>
      </c>
      <c r="DT125" s="24">
        <f t="shared" si="169"/>
        <v>0.14007738097003453</v>
      </c>
      <c r="DU125" s="25">
        <f t="shared" si="170"/>
        <v>0</v>
      </c>
      <c r="DV125" s="24">
        <f t="shared" si="171"/>
        <v>0</v>
      </c>
      <c r="DW125" s="25">
        <f t="shared" si="172"/>
        <v>0</v>
      </c>
      <c r="DX125" s="32">
        <f t="shared" si="173"/>
        <v>0</v>
      </c>
      <c r="DZ125" s="54" t="s">
        <v>1576</v>
      </c>
      <c r="EA125" s="39">
        <v>7.5640518111915866E-3</v>
      </c>
      <c r="EB125" s="40">
        <v>7.5640518111915866E-3</v>
      </c>
      <c r="EC125" s="39">
        <v>0</v>
      </c>
      <c r="ED125" s="40">
        <v>0</v>
      </c>
      <c r="EE125" s="39">
        <v>5.5548754576129379E-3</v>
      </c>
      <c r="EF125" s="40">
        <v>5.554875457612937E-3</v>
      </c>
      <c r="EG125" s="39">
        <v>5.5548754576129379E-3</v>
      </c>
      <c r="EH125" s="40">
        <v>3.3375590047750973E-3</v>
      </c>
      <c r="EI125" s="66">
        <v>3.3375590047750973E-3</v>
      </c>
      <c r="EO125" s="83" t="s">
        <v>1247</v>
      </c>
      <c r="EP125" s="82" t="s">
        <v>438</v>
      </c>
      <c r="EQ125" s="81">
        <f t="shared" si="250"/>
        <v>8.0645257055617776</v>
      </c>
      <c r="ER125" s="80">
        <f>EQ125/SUM(EQ125:EQ133)</f>
        <v>5.5924833119716686E-3</v>
      </c>
      <c r="ET125" s="75" t="s">
        <v>520</v>
      </c>
      <c r="EU125" s="72">
        <v>9.4240921672164413E-2</v>
      </c>
      <c r="EW125" s="37" t="s">
        <v>1247</v>
      </c>
      <c r="EX125" s="36" t="s">
        <v>1983</v>
      </c>
      <c r="EY125" s="36" t="s">
        <v>1150</v>
      </c>
      <c r="EZ125" s="1" t="s">
        <v>1902</v>
      </c>
      <c r="FA125" s="36" t="str">
        <f t="shared" si="251"/>
        <v>ICPETC</v>
      </c>
      <c r="FB125" s="1" t="s">
        <v>439</v>
      </c>
      <c r="FC125" s="26">
        <f t="shared" si="252"/>
        <v>116.24677052467294</v>
      </c>
      <c r="FD125" s="25">
        <f t="shared" si="253"/>
        <v>1.0035423189574528</v>
      </c>
      <c r="FE125" s="24">
        <f t="shared" si="254"/>
        <v>8.6328619232003065E-3</v>
      </c>
      <c r="FF125" s="36">
        <v>0</v>
      </c>
      <c r="FG125" s="86">
        <f t="shared" si="255"/>
        <v>0</v>
      </c>
    </row>
    <row r="126" spans="1:163">
      <c r="A126" s="37" t="s">
        <v>1976</v>
      </c>
      <c r="B126" s="36" t="s">
        <v>1123</v>
      </c>
      <c r="C126" s="1" t="s">
        <v>1111</v>
      </c>
      <c r="D126" s="36" t="s">
        <v>1111</v>
      </c>
      <c r="E126" s="36" t="s">
        <v>1999</v>
      </c>
      <c r="F126" s="1" t="e">
        <f t="shared" ca="1" si="232"/>
        <v>#NAME?</v>
      </c>
      <c r="G126" s="35" t="s">
        <v>1121</v>
      </c>
      <c r="H126" s="43">
        <v>1</v>
      </c>
      <c r="I126" s="42">
        <v>0</v>
      </c>
      <c r="J126" s="26">
        <v>0</v>
      </c>
      <c r="K126" s="25">
        <v>0</v>
      </c>
      <c r="L126" s="24"/>
      <c r="M126" s="25"/>
      <c r="N126" s="24"/>
      <c r="O126" s="25"/>
      <c r="P126" s="24"/>
      <c r="Q126" s="25"/>
      <c r="R126" s="32"/>
      <c r="S126" s="47">
        <v>1</v>
      </c>
      <c r="T126" s="45">
        <v>1</v>
      </c>
      <c r="U126" s="46">
        <v>1</v>
      </c>
      <c r="V126" s="45">
        <v>1</v>
      </c>
      <c r="W126" s="46">
        <v>1</v>
      </c>
      <c r="X126" s="45">
        <v>1</v>
      </c>
      <c r="Y126" s="46">
        <v>1</v>
      </c>
      <c r="Z126" s="45">
        <v>1</v>
      </c>
      <c r="AA126" s="44">
        <v>1</v>
      </c>
      <c r="AB126" s="26">
        <f t="shared" si="272"/>
        <v>0</v>
      </c>
      <c r="AC126" s="25">
        <f t="shared" si="273"/>
        <v>0</v>
      </c>
      <c r="AD126" s="24">
        <f t="shared" si="274"/>
        <v>0</v>
      </c>
      <c r="AE126" s="25">
        <f t="shared" si="275"/>
        <v>0</v>
      </c>
      <c r="AF126" s="24">
        <f t="shared" si="276"/>
        <v>0</v>
      </c>
      <c r="AG126" s="25">
        <f t="shared" si="277"/>
        <v>0</v>
      </c>
      <c r="AH126" s="24">
        <f t="shared" si="278"/>
        <v>0</v>
      </c>
      <c r="AI126" s="25">
        <f t="shared" si="279"/>
        <v>0</v>
      </c>
      <c r="AJ126" s="24">
        <f t="shared" si="280"/>
        <v>0</v>
      </c>
      <c r="AK126" s="27">
        <f t="shared" si="160"/>
        <v>0</v>
      </c>
      <c r="AL126" s="41">
        <v>0</v>
      </c>
      <c r="AM126" s="40">
        <v>0</v>
      </c>
      <c r="AN126" s="39">
        <v>0</v>
      </c>
      <c r="AO126" s="40">
        <v>0</v>
      </c>
      <c r="AP126" s="39">
        <v>0</v>
      </c>
      <c r="AQ126" s="40">
        <v>0</v>
      </c>
      <c r="AR126" s="39">
        <v>0</v>
      </c>
      <c r="AS126" s="40">
        <v>0</v>
      </c>
      <c r="AT126" s="39">
        <v>0</v>
      </c>
      <c r="AU126" s="38">
        <v>0</v>
      </c>
      <c r="AW126" s="105" t="s">
        <v>1136</v>
      </c>
      <c r="AX126" s="41">
        <v>0.46999567092311051</v>
      </c>
      <c r="AY126" s="40">
        <v>0.41470206257921516</v>
      </c>
      <c r="AZ126" s="39">
        <v>0.7425141691894519</v>
      </c>
      <c r="BA126" s="40">
        <v>0.14218356431287374</v>
      </c>
      <c r="BB126" s="39">
        <v>1.7693954670046512</v>
      </c>
      <c r="BC126" s="40">
        <v>1.0273909163252815</v>
      </c>
      <c r="BD126" s="39">
        <v>0.74200455067936988</v>
      </c>
      <c r="BE126" s="40">
        <v>0.10110831240026578</v>
      </c>
      <c r="BF126" s="39">
        <v>0.78358942110205987</v>
      </c>
      <c r="BG126" s="81">
        <v>6.1928841345162793</v>
      </c>
      <c r="BH126" s="66">
        <v>0</v>
      </c>
      <c r="BJ126" s="37" t="s">
        <v>1231</v>
      </c>
      <c r="BK126" s="36" t="s">
        <v>1961</v>
      </c>
      <c r="BL126" s="1" t="s">
        <v>1107</v>
      </c>
      <c r="BM126" s="36" t="s">
        <v>1937</v>
      </c>
      <c r="BN126" s="82" t="str">
        <f t="shared" si="287"/>
        <v>IMASTM</v>
      </c>
      <c r="BO126" s="26">
        <f t="shared" si="288"/>
        <v>0</v>
      </c>
      <c r="BP126" s="25">
        <f t="shared" si="288"/>
        <v>5.8641972063406964</v>
      </c>
      <c r="BQ126" s="24">
        <f t="shared" si="288"/>
        <v>6.4017528284246672E-2</v>
      </c>
      <c r="BR126" s="25">
        <f t="shared" si="288"/>
        <v>0</v>
      </c>
      <c r="BS126" s="24">
        <f t="shared" si="288"/>
        <v>0</v>
      </c>
      <c r="BT126" s="25">
        <f t="shared" si="288"/>
        <v>4.1200271499421494E-2</v>
      </c>
      <c r="BU126" s="24">
        <f t="shared" si="288"/>
        <v>2.6560676530619074</v>
      </c>
      <c r="BV126" s="25">
        <f t="shared" si="288"/>
        <v>0</v>
      </c>
      <c r="BW126" s="32">
        <f t="shared" si="288"/>
        <v>0</v>
      </c>
      <c r="BX126" s="26">
        <f t="shared" ref="BX126:CF126" si="295">BO126/BO127</f>
        <v>0</v>
      </c>
      <c r="BY126" s="25">
        <f t="shared" si="295"/>
        <v>0.37056416385478774</v>
      </c>
      <c r="BZ126" s="24">
        <f t="shared" si="295"/>
        <v>1.1725890012121419E-3</v>
      </c>
      <c r="CA126" s="25">
        <f t="shared" si="295"/>
        <v>0</v>
      </c>
      <c r="CB126" s="24">
        <f t="shared" si="295"/>
        <v>0</v>
      </c>
      <c r="CC126" s="25">
        <f t="shared" si="295"/>
        <v>1.6944705871394254E-3</v>
      </c>
      <c r="CD126" s="24">
        <f t="shared" si="295"/>
        <v>3.0535934805002451E-2</v>
      </c>
      <c r="CE126" s="25">
        <f t="shared" si="295"/>
        <v>0</v>
      </c>
      <c r="CF126" s="32">
        <f t="shared" si="295"/>
        <v>0</v>
      </c>
      <c r="CH126" s="54" t="s">
        <v>1998</v>
      </c>
      <c r="CI126" s="41">
        <v>0.48719065885169616</v>
      </c>
      <c r="CJ126" s="40">
        <v>0.3876573938814698</v>
      </c>
      <c r="CK126" s="39">
        <v>0.32268812215595583</v>
      </c>
      <c r="CL126" s="40">
        <v>0.40291785368982302</v>
      </c>
      <c r="CM126" s="39">
        <v>0.1705419620997779</v>
      </c>
      <c r="CN126" s="40">
        <v>0.11243552343514883</v>
      </c>
      <c r="CO126" s="39">
        <v>0.19586278274159324</v>
      </c>
      <c r="CP126" s="40">
        <v>0.16781739222741637</v>
      </c>
      <c r="CQ126" s="66">
        <v>0.12233113012596812</v>
      </c>
      <c r="CS126" s="54" t="s">
        <v>1715</v>
      </c>
      <c r="CT126" s="39">
        <v>0.15572788736680584</v>
      </c>
      <c r="CU126" s="40">
        <v>0.4286664806584064</v>
      </c>
      <c r="CV126" s="39">
        <v>0.11078909838039874</v>
      </c>
      <c r="CW126" s="40">
        <v>7.5040090645506041E-2</v>
      </c>
      <c r="CX126" s="39">
        <v>1.1053541701960603</v>
      </c>
      <c r="CY126" s="40">
        <v>0.96347716557200247</v>
      </c>
      <c r="CZ126" s="39">
        <v>3.3471219469306739</v>
      </c>
      <c r="DA126" s="40">
        <v>0</v>
      </c>
      <c r="DB126" s="39">
        <v>0</v>
      </c>
      <c r="DC126" s="38">
        <v>6.1861768397498533</v>
      </c>
      <c r="DE126" s="37" t="s">
        <v>1849</v>
      </c>
      <c r="DF126" s="35" t="str">
        <f t="shared" si="164"/>
        <v>IMOST</v>
      </c>
      <c r="DG126" s="26">
        <f t="shared" si="285"/>
        <v>0</v>
      </c>
      <c r="DH126" s="25">
        <f t="shared" si="285"/>
        <v>0</v>
      </c>
      <c r="DI126" s="24">
        <f t="shared" si="285"/>
        <v>0</v>
      </c>
      <c r="DJ126" s="25">
        <f t="shared" si="285"/>
        <v>0</v>
      </c>
      <c r="DK126" s="24">
        <f t="shared" si="285"/>
        <v>0</v>
      </c>
      <c r="DL126" s="25">
        <f t="shared" si="285"/>
        <v>0</v>
      </c>
      <c r="DM126" s="24">
        <f t="shared" si="285"/>
        <v>0</v>
      </c>
      <c r="DN126" s="25">
        <f t="shared" si="285"/>
        <v>0</v>
      </c>
      <c r="DO126" s="32">
        <f t="shared" si="285"/>
        <v>0</v>
      </c>
      <c r="DP126" s="26">
        <f t="shared" si="165"/>
        <v>0</v>
      </c>
      <c r="DQ126" s="25">
        <f t="shared" si="166"/>
        <v>0</v>
      </c>
      <c r="DR126" s="24">
        <f t="shared" si="167"/>
        <v>0</v>
      </c>
      <c r="DS126" s="25">
        <f t="shared" si="168"/>
        <v>0</v>
      </c>
      <c r="DT126" s="24">
        <f t="shared" si="169"/>
        <v>0</v>
      </c>
      <c r="DU126" s="25">
        <f t="shared" si="170"/>
        <v>0</v>
      </c>
      <c r="DV126" s="24">
        <f t="shared" si="171"/>
        <v>0</v>
      </c>
      <c r="DW126" s="25">
        <f t="shared" si="172"/>
        <v>0</v>
      </c>
      <c r="DX126" s="32">
        <f t="shared" si="173"/>
        <v>0</v>
      </c>
      <c r="DZ126" s="54" t="s">
        <v>1573</v>
      </c>
      <c r="EA126" s="39">
        <v>0.88176260725756661</v>
      </c>
      <c r="EB126" s="40">
        <v>0.88176260725756661</v>
      </c>
      <c r="EC126" s="39">
        <v>0.79700716219810219</v>
      </c>
      <c r="ED126" s="40">
        <v>0.79700716219810208</v>
      </c>
      <c r="EE126" s="39">
        <v>0.84990585538613206</v>
      </c>
      <c r="EF126" s="40">
        <v>0.84990585538613195</v>
      </c>
      <c r="EG126" s="39">
        <v>0.84990585538613206</v>
      </c>
      <c r="EH126" s="40">
        <v>0.8754042552349216</v>
      </c>
      <c r="EI126" s="66">
        <v>0.87540425523492171</v>
      </c>
      <c r="EO126" s="83" t="s">
        <v>1247</v>
      </c>
      <c r="EP126" s="82" t="s">
        <v>440</v>
      </c>
      <c r="EQ126" s="81">
        <f t="shared" si="250"/>
        <v>18.843743769691979</v>
      </c>
      <c r="ER126" s="80">
        <f>EQ126/SUM(EQ125:EQ133)</f>
        <v>1.3067516480776281E-2</v>
      </c>
      <c r="ET126" s="75" t="s">
        <v>521</v>
      </c>
      <c r="EU126" s="72">
        <v>1.8233329104884601E-2</v>
      </c>
      <c r="EW126" s="37" t="s">
        <v>1247</v>
      </c>
      <c r="EX126" s="36" t="s">
        <v>1983</v>
      </c>
      <c r="EY126" s="36" t="s">
        <v>1150</v>
      </c>
      <c r="EZ126" s="1" t="s">
        <v>1902</v>
      </c>
      <c r="FA126" s="36" t="str">
        <f t="shared" si="251"/>
        <v>ICPETC</v>
      </c>
      <c r="FB126" s="1" t="s">
        <v>518</v>
      </c>
      <c r="FC126" s="26">
        <f t="shared" si="252"/>
        <v>69.492713422491462</v>
      </c>
      <c r="FD126" s="25">
        <f t="shared" si="253"/>
        <v>0.67972307458088332</v>
      </c>
      <c r="FE126" s="24">
        <f t="shared" si="254"/>
        <v>9.7812136136979436E-3</v>
      </c>
      <c r="FF126" s="36">
        <v>0</v>
      </c>
      <c r="FG126" s="86">
        <f t="shared" si="255"/>
        <v>0</v>
      </c>
    </row>
    <row r="127" spans="1:163">
      <c r="A127" s="37" t="s">
        <v>1976</v>
      </c>
      <c r="B127" s="36" t="s">
        <v>1123</v>
      </c>
      <c r="C127" s="1" t="s">
        <v>1106</v>
      </c>
      <c r="D127" s="36" t="s">
        <v>1106</v>
      </c>
      <c r="E127" s="36" t="s">
        <v>1997</v>
      </c>
      <c r="F127" s="1" t="e">
        <f t="shared" ca="1" si="232"/>
        <v>#NAME?</v>
      </c>
      <c r="G127" s="35" t="s">
        <v>1121</v>
      </c>
      <c r="H127" s="43">
        <v>1</v>
      </c>
      <c r="I127" s="42">
        <v>0</v>
      </c>
      <c r="J127" s="26">
        <v>0</v>
      </c>
      <c r="K127" s="25">
        <v>9.2651778258154655E-2</v>
      </c>
      <c r="L127" s="24"/>
      <c r="M127" s="25"/>
      <c r="N127" s="24"/>
      <c r="O127" s="25"/>
      <c r="P127" s="24"/>
      <c r="Q127" s="25"/>
      <c r="R127" s="32"/>
      <c r="S127" s="47">
        <v>1</v>
      </c>
      <c r="T127" s="45">
        <v>1</v>
      </c>
      <c r="U127" s="46">
        <v>1</v>
      </c>
      <c r="V127" s="45">
        <v>1</v>
      </c>
      <c r="W127" s="46">
        <v>1</v>
      </c>
      <c r="X127" s="45">
        <v>1</v>
      </c>
      <c r="Y127" s="46">
        <v>1</v>
      </c>
      <c r="Z127" s="45">
        <v>1</v>
      </c>
      <c r="AA127" s="44">
        <v>1</v>
      </c>
      <c r="AB127" s="26">
        <f t="shared" si="272"/>
        <v>0</v>
      </c>
      <c r="AC127" s="25">
        <f t="shared" si="273"/>
        <v>9.2651778258154655E-2</v>
      </c>
      <c r="AD127" s="24">
        <f t="shared" si="274"/>
        <v>0</v>
      </c>
      <c r="AE127" s="25">
        <f t="shared" si="275"/>
        <v>0</v>
      </c>
      <c r="AF127" s="24">
        <f t="shared" si="276"/>
        <v>0</v>
      </c>
      <c r="AG127" s="25">
        <f t="shared" si="277"/>
        <v>0</v>
      </c>
      <c r="AH127" s="24">
        <f t="shared" si="278"/>
        <v>0</v>
      </c>
      <c r="AI127" s="25">
        <f t="shared" si="279"/>
        <v>0</v>
      </c>
      <c r="AJ127" s="24">
        <f t="shared" si="280"/>
        <v>0</v>
      </c>
      <c r="AK127" s="27">
        <f t="shared" si="160"/>
        <v>9.2651778258154655E-2</v>
      </c>
      <c r="AL127" s="41">
        <v>0</v>
      </c>
      <c r="AM127" s="40">
        <v>0</v>
      </c>
      <c r="AN127" s="39">
        <v>0</v>
      </c>
      <c r="AO127" s="40">
        <v>0</v>
      </c>
      <c r="AP127" s="39">
        <v>0</v>
      </c>
      <c r="AQ127" s="40">
        <v>0</v>
      </c>
      <c r="AR127" s="39">
        <v>0</v>
      </c>
      <c r="AS127" s="40">
        <v>0</v>
      </c>
      <c r="AT127" s="39">
        <v>0</v>
      </c>
      <c r="AU127" s="38">
        <v>0</v>
      </c>
      <c r="AW127" s="104" t="s">
        <v>1129</v>
      </c>
      <c r="AX127" s="41">
        <v>5.6207975420737117</v>
      </c>
      <c r="AY127" s="40">
        <v>4.6402930034413856</v>
      </c>
      <c r="AZ127" s="39">
        <v>0</v>
      </c>
      <c r="BA127" s="40">
        <v>0</v>
      </c>
      <c r="BB127" s="39">
        <v>79.703790746117164</v>
      </c>
      <c r="BC127" s="40">
        <v>47.786143294012646</v>
      </c>
      <c r="BD127" s="39">
        <v>34.294102435813549</v>
      </c>
      <c r="BE127" s="40">
        <v>0.53111222786796219</v>
      </c>
      <c r="BF127" s="39">
        <v>4.1161197659767064</v>
      </c>
      <c r="BG127" s="81">
        <v>176.69235901530311</v>
      </c>
      <c r="BH127" s="66">
        <v>4.0265827233454896</v>
      </c>
      <c r="BJ127" s="22" t="s">
        <v>1231</v>
      </c>
      <c r="BK127" s="20" t="s">
        <v>1961</v>
      </c>
      <c r="BL127" s="21" t="s">
        <v>1027</v>
      </c>
      <c r="BM127" s="20"/>
      <c r="BN127" s="78"/>
      <c r="BO127" s="11">
        <f t="shared" ref="BO127:BW127" si="296">GETPIVOTDATA("Sum of "&amp;BO$1&amp;" (Out)",$AW$6,"Sub-Sector",$BJ127)</f>
        <v>3.0427843931077136</v>
      </c>
      <c r="BP127" s="10">
        <f t="shared" si="296"/>
        <v>15.825052118743701</v>
      </c>
      <c r="BQ127" s="9">
        <f t="shared" si="296"/>
        <v>54.595027087982025</v>
      </c>
      <c r="BR127" s="10">
        <f t="shared" si="296"/>
        <v>36.935149398008399</v>
      </c>
      <c r="BS127" s="9">
        <f t="shared" si="296"/>
        <v>27.847713841354377</v>
      </c>
      <c r="BT127" s="10">
        <f t="shared" si="296"/>
        <v>24.314539191249725</v>
      </c>
      <c r="BU127" s="9">
        <f t="shared" si="296"/>
        <v>86.981704343525962</v>
      </c>
      <c r="BV127" s="10">
        <f t="shared" si="296"/>
        <v>30.610164755054562</v>
      </c>
      <c r="BW127" s="16">
        <f t="shared" si="296"/>
        <v>19.193967504984265</v>
      </c>
      <c r="BX127" s="11"/>
      <c r="BY127" s="6"/>
      <c r="BZ127" s="5"/>
      <c r="CA127" s="6"/>
      <c r="CB127" s="5"/>
      <c r="CC127" s="6"/>
      <c r="CD127" s="5"/>
      <c r="CE127" s="6"/>
      <c r="CF127" s="59"/>
      <c r="CH127" s="54" t="s">
        <v>1996</v>
      </c>
      <c r="CI127" s="41">
        <v>0</v>
      </c>
      <c r="CJ127" s="40">
        <v>0</v>
      </c>
      <c r="CK127" s="39">
        <v>0</v>
      </c>
      <c r="CL127" s="40">
        <v>0</v>
      </c>
      <c r="CM127" s="39">
        <v>0</v>
      </c>
      <c r="CN127" s="40">
        <v>0</v>
      </c>
      <c r="CO127" s="39">
        <v>0</v>
      </c>
      <c r="CP127" s="40">
        <v>0</v>
      </c>
      <c r="CQ127" s="66">
        <v>0</v>
      </c>
      <c r="CS127" s="54" t="s">
        <v>1693</v>
      </c>
      <c r="CT127" s="39">
        <v>0</v>
      </c>
      <c r="CU127" s="40">
        <v>0</v>
      </c>
      <c r="CV127" s="39">
        <v>0</v>
      </c>
      <c r="CW127" s="40">
        <v>0</v>
      </c>
      <c r="CX127" s="39">
        <v>0.14511206678428679</v>
      </c>
      <c r="CY127" s="40">
        <v>0.12648630327311364</v>
      </c>
      <c r="CZ127" s="39">
        <v>0.43941371606894497</v>
      </c>
      <c r="DA127" s="40">
        <v>0</v>
      </c>
      <c r="DB127" s="39">
        <v>0</v>
      </c>
      <c r="DC127" s="38">
        <v>0.71101208612634537</v>
      </c>
      <c r="DE127" s="37" t="s">
        <v>1846</v>
      </c>
      <c r="DF127" s="35" t="str">
        <f t="shared" si="164"/>
        <v>IMOST</v>
      </c>
      <c r="DG127" s="26">
        <f t="shared" si="285"/>
        <v>3.9236971327340879E-2</v>
      </c>
      <c r="DH127" s="25">
        <f t="shared" si="285"/>
        <v>0.10800618113420313</v>
      </c>
      <c r="DI127" s="24">
        <f t="shared" si="285"/>
        <v>0.29470535391836827</v>
      </c>
      <c r="DJ127" s="25">
        <f t="shared" si="285"/>
        <v>0.19961094363110116</v>
      </c>
      <c r="DK127" s="24">
        <f t="shared" si="285"/>
        <v>7.5127971065641203E-2</v>
      </c>
      <c r="DL127" s="25">
        <f t="shared" si="285"/>
        <v>6.5484969948283997E-2</v>
      </c>
      <c r="DM127" s="24">
        <f t="shared" si="285"/>
        <v>0.22749494013993504</v>
      </c>
      <c r="DN127" s="25">
        <f t="shared" si="285"/>
        <v>9.6961342463843095E-2</v>
      </c>
      <c r="DO127" s="32">
        <f t="shared" si="285"/>
        <v>6.0799178030668449E-2</v>
      </c>
      <c r="DP127" s="26">
        <f t="shared" si="165"/>
        <v>0.16523698015830299</v>
      </c>
      <c r="DQ127" s="25">
        <f t="shared" si="166"/>
        <v>7.1300398291281847E-2</v>
      </c>
      <c r="DR127" s="24">
        <f t="shared" si="167"/>
        <v>0.1041377298148624</v>
      </c>
      <c r="DS127" s="25">
        <f t="shared" si="168"/>
        <v>1</v>
      </c>
      <c r="DT127" s="24">
        <f t="shared" si="169"/>
        <v>0.31506141241163554</v>
      </c>
      <c r="DU127" s="25">
        <f t="shared" si="170"/>
        <v>1</v>
      </c>
      <c r="DV127" s="24">
        <f t="shared" si="171"/>
        <v>0.15424758386518284</v>
      </c>
      <c r="DW127" s="25">
        <f t="shared" si="172"/>
        <v>1.0148738443570978E-2</v>
      </c>
      <c r="DX127" s="32">
        <f t="shared" si="173"/>
        <v>0.14734207588732678</v>
      </c>
      <c r="DZ127" s="54" t="s">
        <v>1570</v>
      </c>
      <c r="EA127" s="39">
        <v>4.0819944611308091E-3</v>
      </c>
      <c r="EB127" s="40">
        <v>4.0819944611308091E-3</v>
      </c>
      <c r="EC127" s="39">
        <v>8.2318464889445024E-4</v>
      </c>
      <c r="ED127" s="40">
        <v>8.2318464889444992E-4</v>
      </c>
      <c r="EE127" s="39">
        <v>2.9977281245876911E-3</v>
      </c>
      <c r="EF127" s="40">
        <v>2.9977281245876898E-3</v>
      </c>
      <c r="EG127" s="39">
        <v>2.9977281245876911E-3</v>
      </c>
      <c r="EH127" s="40">
        <v>0</v>
      </c>
      <c r="EI127" s="66">
        <v>0</v>
      </c>
      <c r="EO127" s="83" t="s">
        <v>1247</v>
      </c>
      <c r="EP127" s="82" t="s">
        <v>439</v>
      </c>
      <c r="EQ127" s="81">
        <f t="shared" si="250"/>
        <v>116.24677052467294</v>
      </c>
      <c r="ER127" s="80">
        <f>EQ127/SUM(EQ125:EQ133)</f>
        <v>8.0613311677025234E-2</v>
      </c>
      <c r="ET127" s="75" t="s">
        <v>522</v>
      </c>
      <c r="EU127" s="72">
        <v>9.5803148333657107E-2</v>
      </c>
      <c r="EW127" s="37" t="s">
        <v>1247</v>
      </c>
      <c r="EX127" s="36" t="s">
        <v>1983</v>
      </c>
      <c r="EY127" s="36" t="s">
        <v>1139</v>
      </c>
      <c r="EZ127" s="1" t="s">
        <v>1943</v>
      </c>
      <c r="FA127" s="36" t="str">
        <f t="shared" si="251"/>
        <v>ICPFEED</v>
      </c>
      <c r="FB127" s="1" t="s">
        <v>517</v>
      </c>
      <c r="FC127" s="26">
        <f t="shared" si="252"/>
        <v>249.53943408050742</v>
      </c>
      <c r="FD127" s="25">
        <f t="shared" si="253"/>
        <v>193.0095243872953</v>
      </c>
      <c r="FE127" s="24">
        <f t="shared" si="254"/>
        <v>0.77346302037787662</v>
      </c>
      <c r="FF127" s="36">
        <v>0.02</v>
      </c>
      <c r="FG127" s="32">
        <f t="shared" si="255"/>
        <v>2.5857732655737209E-2</v>
      </c>
    </row>
    <row r="128" spans="1:163">
      <c r="A128" s="37" t="s">
        <v>1976</v>
      </c>
      <c r="B128" s="36" t="s">
        <v>1107</v>
      </c>
      <c r="C128" s="1" t="s">
        <v>1120</v>
      </c>
      <c r="D128" s="36" t="s">
        <v>1120</v>
      </c>
      <c r="E128" s="36" t="s">
        <v>1995</v>
      </c>
      <c r="F128" s="1" t="e">
        <f t="shared" ca="1" si="232"/>
        <v>#NAME?</v>
      </c>
      <c r="G128" s="35" t="s">
        <v>1104</v>
      </c>
      <c r="H128" s="43">
        <v>1</v>
      </c>
      <c r="I128" s="42">
        <v>0</v>
      </c>
      <c r="J128" s="26">
        <v>7.7400074999999999E-2</v>
      </c>
      <c r="K128" s="25">
        <v>0</v>
      </c>
      <c r="L128" s="24"/>
      <c r="M128" s="25"/>
      <c r="N128" s="24"/>
      <c r="O128" s="25"/>
      <c r="P128" s="24"/>
      <c r="Q128" s="25"/>
      <c r="R128" s="32"/>
      <c r="S128" s="31" t="e">
        <v>#REF!</v>
      </c>
      <c r="T128" s="29" t="e">
        <f t="shared" ref="T128:AA134" si="297">S128</f>
        <v>#REF!</v>
      </c>
      <c r="U128" s="30" t="e">
        <f t="shared" si="297"/>
        <v>#REF!</v>
      </c>
      <c r="V128" s="29" t="e">
        <f t="shared" si="297"/>
        <v>#REF!</v>
      </c>
      <c r="W128" s="30" t="e">
        <f t="shared" si="297"/>
        <v>#REF!</v>
      </c>
      <c r="X128" s="29" t="e">
        <f t="shared" si="297"/>
        <v>#REF!</v>
      </c>
      <c r="Y128" s="30" t="e">
        <f t="shared" si="297"/>
        <v>#REF!</v>
      </c>
      <c r="Z128" s="29" t="e">
        <f t="shared" si="297"/>
        <v>#REF!</v>
      </c>
      <c r="AA128" s="28" t="e">
        <f t="shared" si="297"/>
        <v>#REF!</v>
      </c>
      <c r="AB128" s="26" t="e">
        <f t="shared" si="272"/>
        <v>#REF!</v>
      </c>
      <c r="AC128" s="25" t="e">
        <f t="shared" si="273"/>
        <v>#REF!</v>
      </c>
      <c r="AD128" s="24" t="e">
        <f t="shared" si="274"/>
        <v>#REF!</v>
      </c>
      <c r="AE128" s="25" t="e">
        <f t="shared" si="275"/>
        <v>#REF!</v>
      </c>
      <c r="AF128" s="24" t="e">
        <f t="shared" si="276"/>
        <v>#REF!</v>
      </c>
      <c r="AG128" s="25" t="e">
        <f t="shared" si="277"/>
        <v>#REF!</v>
      </c>
      <c r="AH128" s="24" t="e">
        <f t="shared" si="278"/>
        <v>#REF!</v>
      </c>
      <c r="AI128" s="25" t="e">
        <f t="shared" si="279"/>
        <v>#REF!</v>
      </c>
      <c r="AJ128" s="24" t="e">
        <f t="shared" si="280"/>
        <v>#REF!</v>
      </c>
      <c r="AK128" s="27" t="e">
        <f t="shared" si="160"/>
        <v>#REF!</v>
      </c>
      <c r="AL128" s="41">
        <v>0</v>
      </c>
      <c r="AM128" s="40">
        <v>0</v>
      </c>
      <c r="AN128" s="39">
        <v>0</v>
      </c>
      <c r="AO128" s="40">
        <v>0</v>
      </c>
      <c r="AP128" s="39">
        <v>0</v>
      </c>
      <c r="AQ128" s="40">
        <v>0</v>
      </c>
      <c r="AR128" s="39">
        <v>0</v>
      </c>
      <c r="AS128" s="40">
        <v>0</v>
      </c>
      <c r="AT128" s="39">
        <v>0</v>
      </c>
      <c r="AU128" s="38">
        <v>0</v>
      </c>
      <c r="AW128" s="104" t="s">
        <v>1123</v>
      </c>
      <c r="AX128" s="41">
        <v>0.59264090106654188</v>
      </c>
      <c r="AY128" s="40">
        <v>0.52291844211753691</v>
      </c>
      <c r="AZ128" s="39">
        <v>0.49162036934968295</v>
      </c>
      <c r="BA128" s="40">
        <v>9.4140070726535019E-2</v>
      </c>
      <c r="BB128" s="39">
        <v>4.5630660368905662</v>
      </c>
      <c r="BC128" s="40">
        <v>2.6495222149687159</v>
      </c>
      <c r="BD128" s="39">
        <v>1.9135438219218501</v>
      </c>
      <c r="BE128" s="40">
        <v>5.0495885514788057E-2</v>
      </c>
      <c r="BF128" s="39">
        <v>0.39134311273960742</v>
      </c>
      <c r="BG128" s="81">
        <v>11.269290855295825</v>
      </c>
      <c r="BH128" s="66">
        <v>0</v>
      </c>
      <c r="BJ128" s="37" t="s">
        <v>1201</v>
      </c>
      <c r="BK128" s="36" t="s">
        <v>1950</v>
      </c>
      <c r="BL128" s="1" t="s">
        <v>1150</v>
      </c>
      <c r="BM128" s="36" t="s">
        <v>1902</v>
      </c>
      <c r="BN128" s="82" t="str">
        <f t="shared" ref="BN128:BN134" si="298">BK128&amp;BM128</f>
        <v>IMSETC</v>
      </c>
      <c r="BO128" s="91">
        <f t="shared" ref="BO128:BW134" si="299">IF(ISERROR(GETPIVOTDATA("Sum of "&amp;BO$1&amp;" (Out)",$AW$6,"Sub-Sector",$BJ128,"End-Use",$BL128)),0,GETPIVOTDATA("Sum of "&amp;BO$1&amp;" (Out)",$AW$6,"Sub-Sector",$BJ128,"End-Use",$BL128))</f>
        <v>8.0473687899115229E-2</v>
      </c>
      <c r="BP128" s="89">
        <f t="shared" si="299"/>
        <v>0.22151698812983309</v>
      </c>
      <c r="BQ128" s="90">
        <f t="shared" si="299"/>
        <v>0.6031445914816187</v>
      </c>
      <c r="BR128" s="89">
        <f t="shared" si="299"/>
        <v>0.40852417321535817</v>
      </c>
      <c r="BS128" s="90">
        <f t="shared" si="299"/>
        <v>0.234209051593194</v>
      </c>
      <c r="BT128" s="89">
        <f t="shared" si="299"/>
        <v>0.20414730342971635</v>
      </c>
      <c r="BU128" s="90">
        <f t="shared" si="299"/>
        <v>0.70920821388709332</v>
      </c>
      <c r="BV128" s="89">
        <f t="shared" si="299"/>
        <v>9.2803387271877841E-2</v>
      </c>
      <c r="BW128" s="88">
        <f t="shared" si="299"/>
        <v>5.8191950742596324E-2</v>
      </c>
      <c r="BX128" s="26">
        <f t="shared" ref="BX128:CF128" si="300">BO128/BO135</f>
        <v>1.7954701366153167E-3</v>
      </c>
      <c r="BY128" s="25">
        <f t="shared" si="300"/>
        <v>1.6929370768281548E-3</v>
      </c>
      <c r="BZ128" s="24">
        <f t="shared" si="300"/>
        <v>2.2547171520033724E-3</v>
      </c>
      <c r="CA128" s="25">
        <f t="shared" si="300"/>
        <v>2.3287463321711162E-3</v>
      </c>
      <c r="CB128" s="24">
        <f t="shared" si="300"/>
        <v>5.5694514555151807E-3</v>
      </c>
      <c r="CC128" s="25">
        <f t="shared" si="300"/>
        <v>5.5252798862780554E-3</v>
      </c>
      <c r="CD128" s="24">
        <f t="shared" si="300"/>
        <v>5.6420541546675484E-3</v>
      </c>
      <c r="CE128" s="25">
        <f t="shared" si="300"/>
        <v>7.7420678208958886E-3</v>
      </c>
      <c r="CF128" s="32">
        <f t="shared" si="300"/>
        <v>5.7312859893452342E-3</v>
      </c>
      <c r="CH128" s="54" t="s">
        <v>1994</v>
      </c>
      <c r="CI128" s="41">
        <v>0</v>
      </c>
      <c r="CJ128" s="40">
        <v>0</v>
      </c>
      <c r="CK128" s="39">
        <v>0</v>
      </c>
      <c r="CL128" s="40">
        <v>0</v>
      </c>
      <c r="CM128" s="39">
        <v>0</v>
      </c>
      <c r="CN128" s="40">
        <v>0</v>
      </c>
      <c r="CO128" s="39">
        <v>0</v>
      </c>
      <c r="CP128" s="40">
        <v>0</v>
      </c>
      <c r="CQ128" s="66">
        <v>0</v>
      </c>
      <c r="CS128" s="54" t="s">
        <v>1683</v>
      </c>
      <c r="CT128" s="39">
        <v>0.51882738241064674</v>
      </c>
      <c r="CU128" s="40">
        <v>1.4281572289189839</v>
      </c>
      <c r="CV128" s="39">
        <v>0.99494443155990975</v>
      </c>
      <c r="CW128" s="40">
        <v>0.67389952100834505</v>
      </c>
      <c r="CX128" s="39">
        <v>0.56766356911736271</v>
      </c>
      <c r="CY128" s="40">
        <v>0.49480148654496153</v>
      </c>
      <c r="CZ128" s="39">
        <v>1.7189415319514345</v>
      </c>
      <c r="DA128" s="40">
        <v>2.2223278078424316</v>
      </c>
      <c r="DB128" s="39">
        <v>1.393500756055454</v>
      </c>
      <c r="DC128" s="38">
        <v>10.01306371540953</v>
      </c>
      <c r="DE128" s="37" t="s">
        <v>1843</v>
      </c>
      <c r="DF128" s="35" t="str">
        <f t="shared" si="164"/>
        <v>IMOST</v>
      </c>
      <c r="DG128" s="26">
        <f t="shared" ref="DG128:DO137" si="301">GETPIVOTDATA("Sum of "&amp;DG$1&amp;" (Out)",$CS$6,"Constraint Identifier",$DE128)</f>
        <v>0</v>
      </c>
      <c r="DH128" s="25">
        <f t="shared" si="301"/>
        <v>1.1849013863281961</v>
      </c>
      <c r="DI128" s="24">
        <f t="shared" si="301"/>
        <v>2.1344348736462946</v>
      </c>
      <c r="DJ128" s="25">
        <f t="shared" si="301"/>
        <v>0</v>
      </c>
      <c r="DK128" s="24">
        <f t="shared" si="301"/>
        <v>0.16332703518401226</v>
      </c>
      <c r="DL128" s="25">
        <f t="shared" si="301"/>
        <v>0</v>
      </c>
      <c r="DM128" s="24">
        <f t="shared" si="301"/>
        <v>0</v>
      </c>
      <c r="DN128" s="25">
        <f t="shared" si="301"/>
        <v>0.13928064199288731</v>
      </c>
      <c r="DO128" s="32">
        <f t="shared" si="301"/>
        <v>0.33386389183589166</v>
      </c>
      <c r="DP128" s="26">
        <f t="shared" si="165"/>
        <v>0</v>
      </c>
      <c r="DQ128" s="25">
        <f t="shared" si="166"/>
        <v>0.78221394270126854</v>
      </c>
      <c r="DR128" s="24">
        <f t="shared" si="167"/>
        <v>0.75422858534414949</v>
      </c>
      <c r="DS128" s="25">
        <f t="shared" si="168"/>
        <v>0</v>
      </c>
      <c r="DT128" s="24">
        <f t="shared" si="169"/>
        <v>0.68493858758836446</v>
      </c>
      <c r="DU128" s="25">
        <f t="shared" si="170"/>
        <v>0</v>
      </c>
      <c r="DV128" s="24">
        <f t="shared" si="171"/>
        <v>0</v>
      </c>
      <c r="DW128" s="25">
        <f t="shared" si="172"/>
        <v>1.4578209933155213E-2</v>
      </c>
      <c r="DX128" s="32">
        <f t="shared" si="173"/>
        <v>0.80909315685334726</v>
      </c>
      <c r="DZ128" s="54" t="s">
        <v>1993</v>
      </c>
      <c r="EA128" s="39">
        <v>0.94963260594347765</v>
      </c>
      <c r="EB128" s="40">
        <v>0.41575939244427762</v>
      </c>
      <c r="EC128" s="39">
        <v>0.39690197625452961</v>
      </c>
      <c r="ED128" s="40">
        <v>0.1626875618766894</v>
      </c>
      <c r="EE128" s="39">
        <v>0.80585196485216049</v>
      </c>
      <c r="EF128" s="40">
        <v>0.13135666439816926</v>
      </c>
      <c r="EG128" s="39">
        <v>0.54608806825416578</v>
      </c>
      <c r="EH128" s="40">
        <v>0.50854204096845856</v>
      </c>
      <c r="EI128" s="66">
        <v>0.99103312636807106</v>
      </c>
      <c r="EO128" s="83" t="s">
        <v>1247</v>
      </c>
      <c r="EP128" s="82" t="s">
        <v>518</v>
      </c>
      <c r="EQ128" s="81">
        <f t="shared" si="250"/>
        <v>69.492713422491462</v>
      </c>
      <c r="ER128" s="80">
        <f>EQ128/SUM(EQ125:EQ133)</f>
        <v>4.8190910948536739E-2</v>
      </c>
      <c r="ET128" s="74" t="s">
        <v>1282</v>
      </c>
      <c r="EU128" s="70">
        <v>0.99999999999999989</v>
      </c>
      <c r="EW128" s="37" t="s">
        <v>1247</v>
      </c>
      <c r="EX128" s="36" t="s">
        <v>1983</v>
      </c>
      <c r="EY128" s="36" t="s">
        <v>1139</v>
      </c>
      <c r="EZ128" s="1" t="s">
        <v>1943</v>
      </c>
      <c r="FA128" s="36" t="str">
        <f t="shared" si="251"/>
        <v>ICPFEED</v>
      </c>
      <c r="FB128" s="1" t="s">
        <v>519</v>
      </c>
      <c r="FC128" s="26">
        <f t="shared" si="252"/>
        <v>224.53550971197137</v>
      </c>
      <c r="FD128" s="25">
        <f t="shared" si="253"/>
        <v>168.23591433331018</v>
      </c>
      <c r="FE128" s="24">
        <f t="shared" si="254"/>
        <v>0.74926195214787661</v>
      </c>
      <c r="FF128" s="36">
        <v>0.02</v>
      </c>
      <c r="FG128" s="32">
        <f t="shared" si="255"/>
        <v>2.6692934217038555E-2</v>
      </c>
    </row>
    <row r="129" spans="1:163" ht="15.75" thickBot="1">
      <c r="A129" s="37" t="s">
        <v>1976</v>
      </c>
      <c r="B129" s="36" t="s">
        <v>1107</v>
      </c>
      <c r="C129" s="1" t="s">
        <v>665</v>
      </c>
      <c r="D129" s="36" t="s">
        <v>665</v>
      </c>
      <c r="E129" s="36" t="s">
        <v>1992</v>
      </c>
      <c r="F129" s="1" t="e">
        <f t="shared" ca="1" si="232"/>
        <v>#NAME?</v>
      </c>
      <c r="G129" s="35" t="s">
        <v>1104</v>
      </c>
      <c r="H129" s="43">
        <v>1</v>
      </c>
      <c r="I129" s="42">
        <v>0</v>
      </c>
      <c r="J129" s="26">
        <v>2.6559389819399999</v>
      </c>
      <c r="K129" s="25">
        <v>5.5448027460000002</v>
      </c>
      <c r="L129" s="24"/>
      <c r="M129" s="25"/>
      <c r="N129" s="24"/>
      <c r="O129" s="25"/>
      <c r="P129" s="24"/>
      <c r="Q129" s="25"/>
      <c r="R129" s="32"/>
      <c r="S129" s="31" t="e">
        <v>#REF!</v>
      </c>
      <c r="T129" s="29" t="e">
        <f t="shared" si="297"/>
        <v>#REF!</v>
      </c>
      <c r="U129" s="30" t="e">
        <f t="shared" si="297"/>
        <v>#REF!</v>
      </c>
      <c r="V129" s="29" t="e">
        <f t="shared" si="297"/>
        <v>#REF!</v>
      </c>
      <c r="W129" s="30" t="e">
        <f t="shared" si="297"/>
        <v>#REF!</v>
      </c>
      <c r="X129" s="29" t="e">
        <f t="shared" si="297"/>
        <v>#REF!</v>
      </c>
      <c r="Y129" s="30" t="e">
        <f t="shared" si="297"/>
        <v>#REF!</v>
      </c>
      <c r="Z129" s="29" t="e">
        <f t="shared" si="297"/>
        <v>#REF!</v>
      </c>
      <c r="AA129" s="28" t="e">
        <f t="shared" si="297"/>
        <v>#REF!</v>
      </c>
      <c r="AB129" s="26" t="e">
        <f t="shared" si="272"/>
        <v>#REF!</v>
      </c>
      <c r="AC129" s="25" t="e">
        <f t="shared" si="273"/>
        <v>#REF!</v>
      </c>
      <c r="AD129" s="24" t="e">
        <f t="shared" si="274"/>
        <v>#REF!</v>
      </c>
      <c r="AE129" s="25" t="e">
        <f t="shared" si="275"/>
        <v>#REF!</v>
      </c>
      <c r="AF129" s="24" t="e">
        <f t="shared" si="276"/>
        <v>#REF!</v>
      </c>
      <c r="AG129" s="25" t="e">
        <f t="shared" si="277"/>
        <v>#REF!</v>
      </c>
      <c r="AH129" s="24" t="e">
        <f t="shared" si="278"/>
        <v>#REF!</v>
      </c>
      <c r="AI129" s="25" t="e">
        <f t="shared" si="279"/>
        <v>#REF!</v>
      </c>
      <c r="AJ129" s="24" t="e">
        <f t="shared" si="280"/>
        <v>#REF!</v>
      </c>
      <c r="AK129" s="27" t="e">
        <f t="shared" si="160"/>
        <v>#REF!</v>
      </c>
      <c r="AL129" s="41">
        <v>0</v>
      </c>
      <c r="AM129" s="40">
        <v>0</v>
      </c>
      <c r="AN129" s="39">
        <v>0</v>
      </c>
      <c r="AO129" s="40">
        <v>0</v>
      </c>
      <c r="AP129" s="39">
        <v>0</v>
      </c>
      <c r="AQ129" s="40">
        <v>0</v>
      </c>
      <c r="AR129" s="39">
        <v>0</v>
      </c>
      <c r="AS129" s="40">
        <v>0</v>
      </c>
      <c r="AT129" s="39">
        <v>0</v>
      </c>
      <c r="AU129" s="38">
        <v>0</v>
      </c>
      <c r="AW129" s="103" t="s">
        <v>1107</v>
      </c>
      <c r="AX129" s="41">
        <v>0.68093370485576654</v>
      </c>
      <c r="AY129" s="40">
        <v>0.52510028453236013</v>
      </c>
      <c r="AZ129" s="39">
        <v>0</v>
      </c>
      <c r="BA129" s="40">
        <v>0</v>
      </c>
      <c r="BB129" s="39">
        <v>3.3505410264661846</v>
      </c>
      <c r="BC129" s="40">
        <v>1.2708120562147416</v>
      </c>
      <c r="BD129" s="39">
        <v>1.2507209295542177</v>
      </c>
      <c r="BE129" s="40">
        <v>6.4012225162040096E-2</v>
      </c>
      <c r="BF129" s="39">
        <v>3.0622622806358617</v>
      </c>
      <c r="BG129" s="81">
        <v>10.204382507421172</v>
      </c>
      <c r="BH129" s="66">
        <v>3.5562409529111783</v>
      </c>
      <c r="BJ129" s="37" t="s">
        <v>1201</v>
      </c>
      <c r="BK129" s="36" t="s">
        <v>1950</v>
      </c>
      <c r="BL129" s="1" t="s">
        <v>1145</v>
      </c>
      <c r="BM129" s="36" t="s">
        <v>1945</v>
      </c>
      <c r="BN129" s="82" t="str">
        <f t="shared" si="298"/>
        <v>IMSFAC</v>
      </c>
      <c r="BO129" s="26">
        <f t="shared" si="299"/>
        <v>0.75327607171062794</v>
      </c>
      <c r="BP129" s="25">
        <f t="shared" si="299"/>
        <v>2.0735155923858812</v>
      </c>
      <c r="BQ129" s="24">
        <f t="shared" si="299"/>
        <v>9.4366519323420306</v>
      </c>
      <c r="BR129" s="25">
        <f t="shared" si="299"/>
        <v>6.3916687358683335</v>
      </c>
      <c r="BS129" s="24">
        <f t="shared" si="299"/>
        <v>1.8725611759399783</v>
      </c>
      <c r="BT129" s="25">
        <f t="shared" si="299"/>
        <v>1.6322098226985606</v>
      </c>
      <c r="BU129" s="24">
        <f t="shared" si="299"/>
        <v>5.6703007759470356</v>
      </c>
      <c r="BV129" s="25">
        <f t="shared" si="299"/>
        <v>0.72121693911498874</v>
      </c>
      <c r="BW129" s="32">
        <f t="shared" si="299"/>
        <v>0.45223587014935784</v>
      </c>
      <c r="BX129" s="26">
        <f t="shared" ref="BX129:CF129" si="302">BO129/BO135</f>
        <v>1.6806545427355768E-2</v>
      </c>
      <c r="BY129" s="25">
        <f t="shared" si="302"/>
        <v>1.584678202501524E-2</v>
      </c>
      <c r="BZ129" s="24">
        <f t="shared" si="302"/>
        <v>3.5276750002964714E-2</v>
      </c>
      <c r="CA129" s="25">
        <f t="shared" si="302"/>
        <v>3.6434992348077289E-2</v>
      </c>
      <c r="CB129" s="24">
        <f t="shared" si="302"/>
        <v>4.452918662168049E-2</v>
      </c>
      <c r="CC129" s="25">
        <f t="shared" si="302"/>
        <v>4.4176023645821412E-2</v>
      </c>
      <c r="CD129" s="24">
        <f t="shared" si="302"/>
        <v>4.5109663741485902E-2</v>
      </c>
      <c r="CE129" s="25">
        <f t="shared" si="302"/>
        <v>6.0167097563465902E-2</v>
      </c>
      <c r="CF129" s="32">
        <f t="shared" si="302"/>
        <v>4.4540405904782768E-2</v>
      </c>
      <c r="CH129" s="54" t="s">
        <v>1991</v>
      </c>
      <c r="CI129" s="41">
        <v>0</v>
      </c>
      <c r="CJ129" s="40">
        <v>0</v>
      </c>
      <c r="CK129" s="39">
        <v>0</v>
      </c>
      <c r="CL129" s="40">
        <v>0</v>
      </c>
      <c r="CM129" s="39">
        <v>0</v>
      </c>
      <c r="CN129" s="40">
        <v>0</v>
      </c>
      <c r="CO129" s="39">
        <v>0</v>
      </c>
      <c r="CP129" s="40">
        <v>0</v>
      </c>
      <c r="CQ129" s="66">
        <v>0</v>
      </c>
      <c r="CS129" s="54" t="s">
        <v>1681</v>
      </c>
      <c r="CT129" s="39">
        <v>16.051432336835745</v>
      </c>
      <c r="CU129" s="40">
        <v>44.184192861686348</v>
      </c>
      <c r="CV129" s="39">
        <v>100.48033937309904</v>
      </c>
      <c r="CW129" s="40">
        <v>68.057723051048669</v>
      </c>
      <c r="CX129" s="39">
        <v>43.089777053945099</v>
      </c>
      <c r="CY129" s="40">
        <v>37.559017173383168</v>
      </c>
      <c r="CZ129" s="39">
        <v>130.48011429678456</v>
      </c>
      <c r="DA129" s="40">
        <v>48.614057397634554</v>
      </c>
      <c r="DB129" s="39">
        <v>30.483228216586394</v>
      </c>
      <c r="DC129" s="38">
        <v>518.99988176100362</v>
      </c>
      <c r="DE129" s="37" t="s">
        <v>1841</v>
      </c>
      <c r="DF129" s="35" t="str">
        <f t="shared" si="164"/>
        <v>IMOST</v>
      </c>
      <c r="DG129" s="26">
        <f t="shared" si="301"/>
        <v>0.19822180630070857</v>
      </c>
      <c r="DH129" s="25">
        <f t="shared" si="301"/>
        <v>0.22189717027508163</v>
      </c>
      <c r="DI129" s="24">
        <f t="shared" si="301"/>
        <v>0.40081731464698139</v>
      </c>
      <c r="DJ129" s="25">
        <f t="shared" si="301"/>
        <v>0</v>
      </c>
      <c r="DK129" s="24">
        <f t="shared" si="301"/>
        <v>0</v>
      </c>
      <c r="DL129" s="25">
        <f t="shared" si="301"/>
        <v>0</v>
      </c>
      <c r="DM129" s="24">
        <f t="shared" si="301"/>
        <v>1.247373802950217</v>
      </c>
      <c r="DN129" s="25">
        <f t="shared" si="301"/>
        <v>9.3177871200440521</v>
      </c>
      <c r="DO129" s="32">
        <f t="shared" si="301"/>
        <v>1.7976548955980991E-2</v>
      </c>
      <c r="DP129" s="26">
        <f t="shared" si="165"/>
        <v>0.83476301984169721</v>
      </c>
      <c r="DQ129" s="25">
        <f t="shared" si="166"/>
        <v>0.14648565900744953</v>
      </c>
      <c r="DR129" s="24">
        <f t="shared" si="167"/>
        <v>0.14163368484098812</v>
      </c>
      <c r="DS129" s="25">
        <f t="shared" si="168"/>
        <v>0</v>
      </c>
      <c r="DT129" s="24">
        <f t="shared" si="169"/>
        <v>0</v>
      </c>
      <c r="DU129" s="25">
        <f t="shared" si="170"/>
        <v>0</v>
      </c>
      <c r="DV129" s="24">
        <f t="shared" si="171"/>
        <v>0.84575241613481711</v>
      </c>
      <c r="DW129" s="25">
        <f t="shared" si="172"/>
        <v>0.97527305162327371</v>
      </c>
      <c r="DX129" s="32">
        <f t="shared" si="173"/>
        <v>4.3564767259325982E-2</v>
      </c>
      <c r="DZ129" s="54" t="s">
        <v>1990</v>
      </c>
      <c r="EA129" s="39">
        <v>0</v>
      </c>
      <c r="EB129" s="40">
        <v>8.2061266963663615E-2</v>
      </c>
      <c r="EC129" s="39">
        <v>6.6438181238686889E-2</v>
      </c>
      <c r="ED129" s="40">
        <v>6.9927402506999178E-2</v>
      </c>
      <c r="EE129" s="39">
        <v>2.1662619617520269E-2</v>
      </c>
      <c r="EF129" s="40">
        <v>0.12490434343754535</v>
      </c>
      <c r="EG129" s="39">
        <v>0</v>
      </c>
      <c r="EH129" s="40">
        <v>6.0607787746628311E-2</v>
      </c>
      <c r="EI129" s="66">
        <v>2.0104316417945807E-8</v>
      </c>
      <c r="EO129" s="83" t="s">
        <v>1247</v>
      </c>
      <c r="EP129" s="82" t="s">
        <v>517</v>
      </c>
      <c r="EQ129" s="81">
        <f t="shared" si="250"/>
        <v>249.53943408050742</v>
      </c>
      <c r="ER129" s="80">
        <f>EQ129/SUM(EQ125:EQ133)</f>
        <v>0.17304738948400161</v>
      </c>
      <c r="ET129" s="75" t="s">
        <v>438</v>
      </c>
      <c r="EU129" s="72">
        <v>2.1443566141580935E-2</v>
      </c>
      <c r="EW129" s="37" t="s">
        <v>1247</v>
      </c>
      <c r="EX129" s="36" t="s">
        <v>1983</v>
      </c>
      <c r="EY129" s="36" t="s">
        <v>1139</v>
      </c>
      <c r="EZ129" s="1" t="s">
        <v>1943</v>
      </c>
      <c r="FA129" s="36" t="str">
        <f t="shared" si="251"/>
        <v>ICPFEED</v>
      </c>
      <c r="FB129" s="1" t="s">
        <v>520</v>
      </c>
      <c r="FC129" s="26">
        <f t="shared" si="252"/>
        <v>753.50961557892583</v>
      </c>
      <c r="FD129" s="25">
        <f t="shared" si="253"/>
        <v>584.45196341800511</v>
      </c>
      <c r="FE129" s="24">
        <f t="shared" si="254"/>
        <v>0.77563968837871733</v>
      </c>
      <c r="FF129" s="36">
        <v>0.02</v>
      </c>
      <c r="FG129" s="32">
        <f t="shared" si="255"/>
        <v>2.5785168422430615E-2</v>
      </c>
    </row>
    <row r="130" spans="1:163">
      <c r="A130" s="37" t="s">
        <v>1976</v>
      </c>
      <c r="B130" s="36" t="s">
        <v>1107</v>
      </c>
      <c r="C130" s="1" t="s">
        <v>665</v>
      </c>
      <c r="D130" s="36" t="s">
        <v>665</v>
      </c>
      <c r="E130" s="36" t="s">
        <v>1989</v>
      </c>
      <c r="F130" s="1" t="e">
        <f t="shared" ca="1" si="232"/>
        <v>#NAME?</v>
      </c>
      <c r="G130" s="35" t="s">
        <v>1109</v>
      </c>
      <c r="H130" s="34">
        <f>1-I130</f>
        <v>0.88423254584500766</v>
      </c>
      <c r="I130" s="33">
        <v>0.11576745415499237</v>
      </c>
      <c r="J130" s="26" t="e">
        <v>#REF!</v>
      </c>
      <c r="K130" s="25" t="e">
        <v>#REF!</v>
      </c>
      <c r="L130" s="24"/>
      <c r="M130" s="25"/>
      <c r="N130" s="24"/>
      <c r="O130" s="25"/>
      <c r="P130" s="24"/>
      <c r="Q130" s="25"/>
      <c r="R130" s="32"/>
      <c r="S130" s="31" t="e">
        <v>#REF!</v>
      </c>
      <c r="T130" s="29" t="e">
        <f t="shared" si="297"/>
        <v>#REF!</v>
      </c>
      <c r="U130" s="30" t="e">
        <f t="shared" si="297"/>
        <v>#REF!</v>
      </c>
      <c r="V130" s="29" t="e">
        <f t="shared" si="297"/>
        <v>#REF!</v>
      </c>
      <c r="W130" s="30" t="e">
        <f t="shared" si="297"/>
        <v>#REF!</v>
      </c>
      <c r="X130" s="29" t="e">
        <f t="shared" si="297"/>
        <v>#REF!</v>
      </c>
      <c r="Y130" s="30" t="e">
        <f t="shared" si="297"/>
        <v>#REF!</v>
      </c>
      <c r="Z130" s="29" t="e">
        <f t="shared" si="297"/>
        <v>#REF!</v>
      </c>
      <c r="AA130" s="28" t="e">
        <f t="shared" si="297"/>
        <v>#REF!</v>
      </c>
      <c r="AB130" s="26" t="e">
        <f t="shared" ref="AB130:AJ131" si="303">J130*31.536*$H130*S130</f>
        <v>#REF!</v>
      </c>
      <c r="AC130" s="25" t="e">
        <f t="shared" si="303"/>
        <v>#REF!</v>
      </c>
      <c r="AD130" s="24" t="e">
        <f t="shared" si="303"/>
        <v>#REF!</v>
      </c>
      <c r="AE130" s="25" t="e">
        <f t="shared" si="303"/>
        <v>#REF!</v>
      </c>
      <c r="AF130" s="24" t="e">
        <f t="shared" si="303"/>
        <v>#REF!</v>
      </c>
      <c r="AG130" s="25" t="e">
        <f t="shared" si="303"/>
        <v>#REF!</v>
      </c>
      <c r="AH130" s="24" t="e">
        <f t="shared" si="303"/>
        <v>#REF!</v>
      </c>
      <c r="AI130" s="25" t="e">
        <f t="shared" si="303"/>
        <v>#REF!</v>
      </c>
      <c r="AJ130" s="24" t="e">
        <f t="shared" si="303"/>
        <v>#REF!</v>
      </c>
      <c r="AK130" s="27" t="e">
        <f t="shared" si="160"/>
        <v>#REF!</v>
      </c>
      <c r="AL130" s="26" t="e">
        <f t="shared" ref="AL130:AT131" si="304">J130*31.536*$I130*S130</f>
        <v>#REF!</v>
      </c>
      <c r="AM130" s="25" t="e">
        <f t="shared" si="304"/>
        <v>#REF!</v>
      </c>
      <c r="AN130" s="24" t="e">
        <f t="shared" si="304"/>
        <v>#REF!</v>
      </c>
      <c r="AO130" s="25" t="e">
        <f t="shared" si="304"/>
        <v>#REF!</v>
      </c>
      <c r="AP130" s="24" t="e">
        <f t="shared" si="304"/>
        <v>#REF!</v>
      </c>
      <c r="AQ130" s="25" t="e">
        <f t="shared" si="304"/>
        <v>#REF!</v>
      </c>
      <c r="AR130" s="24" t="e">
        <f t="shared" si="304"/>
        <v>#REF!</v>
      </c>
      <c r="AS130" s="25" t="e">
        <f t="shared" si="304"/>
        <v>#REF!</v>
      </c>
      <c r="AT130" s="24" t="e">
        <f t="shared" si="304"/>
        <v>#REF!</v>
      </c>
      <c r="AU130" s="23" t="e">
        <f>SUM(AL130:AT130)</f>
        <v>#REF!</v>
      </c>
      <c r="AW130" s="51" t="s">
        <v>1152</v>
      </c>
      <c r="AX130" s="7">
        <v>3.981350532008201</v>
      </c>
      <c r="AY130" s="6">
        <v>11.29378602509215</v>
      </c>
      <c r="AZ130" s="5">
        <v>5.8562470054176563</v>
      </c>
      <c r="BA130" s="6">
        <v>3.9604264401412914</v>
      </c>
      <c r="BB130" s="5">
        <v>1.5351732425452957</v>
      </c>
      <c r="BC130" s="6">
        <v>1.3381270947095341</v>
      </c>
      <c r="BD130" s="5">
        <v>4.6486566849000708</v>
      </c>
      <c r="BE130" s="6">
        <v>0.70238912238446283</v>
      </c>
      <c r="BF130" s="5">
        <v>0.48599275309370837</v>
      </c>
      <c r="BG130" s="77">
        <v>33.802148900292373</v>
      </c>
      <c r="BH130" s="59">
        <v>0.40330525042582271</v>
      </c>
      <c r="BJ130" s="37" t="s">
        <v>1201</v>
      </c>
      <c r="BK130" s="36" t="s">
        <v>1950</v>
      </c>
      <c r="BL130" s="1" t="s">
        <v>1139</v>
      </c>
      <c r="BM130" s="36" t="s">
        <v>1943</v>
      </c>
      <c r="BN130" s="82" t="str">
        <f t="shared" si="298"/>
        <v>IMSFEED</v>
      </c>
      <c r="BO130" s="26">
        <f t="shared" si="299"/>
        <v>33.079245737024991</v>
      </c>
      <c r="BP130" s="25">
        <f t="shared" si="299"/>
        <v>96.186512217195542</v>
      </c>
      <c r="BQ130" s="24">
        <f t="shared" si="299"/>
        <v>100.10811250089058</v>
      </c>
      <c r="BR130" s="25">
        <f t="shared" si="299"/>
        <v>67.805604939794534</v>
      </c>
      <c r="BS130" s="24">
        <f t="shared" si="299"/>
        <v>16.689116435740424</v>
      </c>
      <c r="BT130" s="25">
        <f t="shared" si="299"/>
        <v>14.546995915848594</v>
      </c>
      <c r="BU130" s="24">
        <f t="shared" si="299"/>
        <v>50.536298141472635</v>
      </c>
      <c r="BV130" s="25">
        <f t="shared" si="299"/>
        <v>1.3781928467391809</v>
      </c>
      <c r="BW130" s="32">
        <f t="shared" si="299"/>
        <v>0.8641896875627072</v>
      </c>
      <c r="BX130" s="26">
        <f t="shared" ref="BX130:CF130" si="305">BO130/BO135</f>
        <v>0.73803996577173003</v>
      </c>
      <c r="BY130" s="25">
        <f t="shared" si="305"/>
        <v>0.7351025950562039</v>
      </c>
      <c r="BZ130" s="24">
        <f t="shared" si="305"/>
        <v>0.37423112384374269</v>
      </c>
      <c r="CA130" s="25">
        <f t="shared" si="305"/>
        <v>0.38651826294976765</v>
      </c>
      <c r="CB130" s="24">
        <f t="shared" si="305"/>
        <v>0.39686435341424647</v>
      </c>
      <c r="CC130" s="25">
        <f t="shared" si="305"/>
        <v>0.39371680443126261</v>
      </c>
      <c r="CD130" s="24">
        <f t="shared" si="305"/>
        <v>0.40203782938138155</v>
      </c>
      <c r="CE130" s="25">
        <f t="shared" si="305"/>
        <v>0.11497492498273987</v>
      </c>
      <c r="CF130" s="32">
        <f t="shared" si="305"/>
        <v>8.5113459598103111E-2</v>
      </c>
      <c r="CH130" s="54" t="s">
        <v>1988</v>
      </c>
      <c r="CI130" s="41">
        <v>6.3820233111617164E-2</v>
      </c>
      <c r="CJ130" s="40">
        <v>6.7950372826824923E-2</v>
      </c>
      <c r="CK130" s="39">
        <v>0.60164766968468286</v>
      </c>
      <c r="CL130" s="40">
        <v>0.60164766968468286</v>
      </c>
      <c r="CM130" s="39">
        <v>1.9794819817865125E-2</v>
      </c>
      <c r="CN130" s="40">
        <v>1.9482563026554597E-2</v>
      </c>
      <c r="CO130" s="39">
        <v>1.94240138752854E-2</v>
      </c>
      <c r="CP130" s="40">
        <v>0.13540167806914014</v>
      </c>
      <c r="CQ130" s="66">
        <v>9.3805807689269369E-2</v>
      </c>
      <c r="CS130" s="54" t="s">
        <v>1678</v>
      </c>
      <c r="CT130" s="39">
        <v>5.8718111667011789E-2</v>
      </c>
      <c r="CU130" s="40">
        <v>0.16163120623294647</v>
      </c>
      <c r="CV130" s="39">
        <v>1.5764349435202545</v>
      </c>
      <c r="CW130" s="40">
        <v>1.0677568712792456</v>
      </c>
      <c r="CX130" s="39">
        <v>0.49468750411955337</v>
      </c>
      <c r="CY130" s="40">
        <v>0.43119221618212727</v>
      </c>
      <c r="CZ130" s="39">
        <v>1.4979627765978611</v>
      </c>
      <c r="DA130" s="40">
        <v>0.406287307006864</v>
      </c>
      <c r="DB130" s="39">
        <v>0.25476064669301102</v>
      </c>
      <c r="DC130" s="38">
        <v>5.9494315832988756</v>
      </c>
      <c r="DE130" s="37" t="s">
        <v>1839</v>
      </c>
      <c r="DF130" s="35" t="str">
        <f t="shared" si="164"/>
        <v>IMOST</v>
      </c>
      <c r="DG130" s="26">
        <f t="shared" si="301"/>
        <v>-6.6040718692496739E-17</v>
      </c>
      <c r="DH130" s="25">
        <f t="shared" si="301"/>
        <v>0</v>
      </c>
      <c r="DI130" s="24">
        <f t="shared" si="301"/>
        <v>0</v>
      </c>
      <c r="DJ130" s="25">
        <f t="shared" si="301"/>
        <v>0</v>
      </c>
      <c r="DK130" s="24">
        <f t="shared" si="301"/>
        <v>0</v>
      </c>
      <c r="DL130" s="25">
        <f t="shared" si="301"/>
        <v>0</v>
      </c>
      <c r="DM130" s="24">
        <f t="shared" si="301"/>
        <v>0</v>
      </c>
      <c r="DN130" s="25">
        <f t="shared" si="301"/>
        <v>0</v>
      </c>
      <c r="DO130" s="32">
        <f t="shared" si="301"/>
        <v>-9.9489913874410677E-18</v>
      </c>
      <c r="DP130" s="26">
        <f t="shared" si="165"/>
        <v>-2.7811445570540912E-16</v>
      </c>
      <c r="DQ130" s="25">
        <f t="shared" si="166"/>
        <v>0</v>
      </c>
      <c r="DR130" s="24">
        <f t="shared" si="167"/>
        <v>0</v>
      </c>
      <c r="DS130" s="25">
        <f t="shared" si="168"/>
        <v>0</v>
      </c>
      <c r="DT130" s="24">
        <f t="shared" si="169"/>
        <v>0</v>
      </c>
      <c r="DU130" s="25">
        <f t="shared" si="170"/>
        <v>0</v>
      </c>
      <c r="DV130" s="24">
        <f t="shared" si="171"/>
        <v>0</v>
      </c>
      <c r="DW130" s="25">
        <f t="shared" si="172"/>
        <v>0</v>
      </c>
      <c r="DX130" s="32">
        <f t="shared" si="173"/>
        <v>-2.4110606286013729E-17</v>
      </c>
      <c r="DZ130" s="54" t="s">
        <v>1987</v>
      </c>
      <c r="EA130" s="39">
        <v>0</v>
      </c>
      <c r="EB130" s="40">
        <v>8.2825682621795443E-3</v>
      </c>
      <c r="EC130" s="39">
        <v>1.9831054166707671E-3</v>
      </c>
      <c r="ED130" s="40">
        <v>2.5963517461389247E-3</v>
      </c>
      <c r="EE130" s="39">
        <v>6.0753089509078546E-4</v>
      </c>
      <c r="EF130" s="40">
        <v>0</v>
      </c>
      <c r="EG130" s="39">
        <v>1.3421556252094627E-4</v>
      </c>
      <c r="EH130" s="40">
        <v>4.511225878262755E-7</v>
      </c>
      <c r="EI130" s="66">
        <v>2.9024085164059417E-5</v>
      </c>
      <c r="EO130" s="83" t="s">
        <v>1247</v>
      </c>
      <c r="EP130" s="82" t="s">
        <v>519</v>
      </c>
      <c r="EQ130" s="81">
        <f t="shared" si="250"/>
        <v>224.53550971197137</v>
      </c>
      <c r="ER130" s="80">
        <f>EQ130/SUM(EQ125:EQ133)</f>
        <v>0.15570799038351868</v>
      </c>
      <c r="ET130" s="75" t="s">
        <v>440</v>
      </c>
      <c r="EU130" s="72">
        <v>1.7121562605092424E-2</v>
      </c>
      <c r="EW130" s="37" t="s">
        <v>1247</v>
      </c>
      <c r="EX130" s="36" t="s">
        <v>1983</v>
      </c>
      <c r="EY130" s="36" t="s">
        <v>1150</v>
      </c>
      <c r="EZ130" s="1" t="s">
        <v>1902</v>
      </c>
      <c r="FA130" s="36" t="str">
        <f t="shared" si="251"/>
        <v>ICPETC</v>
      </c>
      <c r="FB130" s="1" t="s">
        <v>521</v>
      </c>
      <c r="FC130" s="26">
        <f t="shared" si="252"/>
        <v>0.91116270172091884</v>
      </c>
      <c r="FD130" s="25">
        <f t="shared" si="253"/>
        <v>8.6212777743130159E-2</v>
      </c>
      <c r="FE130" s="24">
        <f t="shared" si="254"/>
        <v>9.4618422791340709E-2</v>
      </c>
      <c r="FF130" s="36">
        <v>0</v>
      </c>
      <c r="FG130" s="86">
        <f t="shared" si="255"/>
        <v>0</v>
      </c>
    </row>
    <row r="131" spans="1:163">
      <c r="A131" s="37" t="s">
        <v>1976</v>
      </c>
      <c r="B131" s="36" t="s">
        <v>1107</v>
      </c>
      <c r="C131" s="1" t="s">
        <v>665</v>
      </c>
      <c r="D131" s="36" t="s">
        <v>665</v>
      </c>
      <c r="E131" s="36" t="s">
        <v>1986</v>
      </c>
      <c r="F131" s="1" t="e">
        <f t="shared" ca="1" si="232"/>
        <v>#NAME?</v>
      </c>
      <c r="G131" s="35" t="s">
        <v>1109</v>
      </c>
      <c r="H131" s="34">
        <f>1-I131</f>
        <v>0.49148745416618422</v>
      </c>
      <c r="I131" s="33">
        <v>0.50851254583381578</v>
      </c>
      <c r="J131" s="26">
        <v>9.6893508276756427E-2</v>
      </c>
      <c r="K131" s="25">
        <v>2.0771360642815369</v>
      </c>
      <c r="L131" s="24"/>
      <c r="M131" s="25"/>
      <c r="N131" s="24"/>
      <c r="O131" s="25"/>
      <c r="P131" s="24"/>
      <c r="Q131" s="25"/>
      <c r="R131" s="32"/>
      <c r="S131" s="31" t="e">
        <v>#REF!</v>
      </c>
      <c r="T131" s="29" t="e">
        <f t="shared" si="297"/>
        <v>#REF!</v>
      </c>
      <c r="U131" s="30" t="e">
        <f t="shared" si="297"/>
        <v>#REF!</v>
      </c>
      <c r="V131" s="29" t="e">
        <f t="shared" si="297"/>
        <v>#REF!</v>
      </c>
      <c r="W131" s="30" t="e">
        <f t="shared" si="297"/>
        <v>#REF!</v>
      </c>
      <c r="X131" s="29" t="e">
        <f t="shared" si="297"/>
        <v>#REF!</v>
      </c>
      <c r="Y131" s="30" t="e">
        <f t="shared" si="297"/>
        <v>#REF!</v>
      </c>
      <c r="Z131" s="29" t="e">
        <f t="shared" si="297"/>
        <v>#REF!</v>
      </c>
      <c r="AA131" s="28" t="e">
        <f t="shared" si="297"/>
        <v>#REF!</v>
      </c>
      <c r="AB131" s="26" t="e">
        <f t="shared" si="303"/>
        <v>#REF!</v>
      </c>
      <c r="AC131" s="25" t="e">
        <f t="shared" si="303"/>
        <v>#REF!</v>
      </c>
      <c r="AD131" s="24" t="e">
        <f t="shared" si="303"/>
        <v>#REF!</v>
      </c>
      <c r="AE131" s="25" t="e">
        <f t="shared" si="303"/>
        <v>#REF!</v>
      </c>
      <c r="AF131" s="24" t="e">
        <f t="shared" si="303"/>
        <v>#REF!</v>
      </c>
      <c r="AG131" s="25" t="e">
        <f t="shared" si="303"/>
        <v>#REF!</v>
      </c>
      <c r="AH131" s="24" t="e">
        <f t="shared" si="303"/>
        <v>#REF!</v>
      </c>
      <c r="AI131" s="25" t="e">
        <f t="shared" si="303"/>
        <v>#REF!</v>
      </c>
      <c r="AJ131" s="24" t="e">
        <f t="shared" si="303"/>
        <v>#REF!</v>
      </c>
      <c r="AK131" s="27" t="e">
        <f t="shared" si="160"/>
        <v>#REF!</v>
      </c>
      <c r="AL131" s="26" t="e">
        <f t="shared" si="304"/>
        <v>#REF!</v>
      </c>
      <c r="AM131" s="25" t="e">
        <f t="shared" si="304"/>
        <v>#REF!</v>
      </c>
      <c r="AN131" s="24" t="e">
        <f t="shared" si="304"/>
        <v>#REF!</v>
      </c>
      <c r="AO131" s="25" t="e">
        <f t="shared" si="304"/>
        <v>#REF!</v>
      </c>
      <c r="AP131" s="24" t="e">
        <f t="shared" si="304"/>
        <v>#REF!</v>
      </c>
      <c r="AQ131" s="25" t="e">
        <f t="shared" si="304"/>
        <v>#REF!</v>
      </c>
      <c r="AR131" s="24" t="e">
        <f t="shared" si="304"/>
        <v>#REF!</v>
      </c>
      <c r="AS131" s="25" t="e">
        <f t="shared" si="304"/>
        <v>#REF!</v>
      </c>
      <c r="AT131" s="24" t="e">
        <f t="shared" si="304"/>
        <v>#REF!</v>
      </c>
      <c r="AU131" s="23" t="e">
        <f>SUM(AL131:AT131)</f>
        <v>#REF!</v>
      </c>
      <c r="AW131" s="100" t="s">
        <v>1150</v>
      </c>
      <c r="AX131" s="41">
        <v>2.3413992000138952</v>
      </c>
      <c r="AY131" s="40">
        <v>6.4450842547055816</v>
      </c>
      <c r="AZ131" s="39">
        <v>0.7483420546311963</v>
      </c>
      <c r="BA131" s="40">
        <v>0.50686986747158602</v>
      </c>
      <c r="BB131" s="39">
        <v>0.25617904367977912</v>
      </c>
      <c r="BC131" s="40">
        <v>0.22329735168933235</v>
      </c>
      <c r="BD131" s="39">
        <v>0.77573552673367085</v>
      </c>
      <c r="BE131" s="40">
        <v>0</v>
      </c>
      <c r="BF131" s="39">
        <v>0</v>
      </c>
      <c r="BG131" s="81">
        <v>11.296907298925042</v>
      </c>
      <c r="BH131" s="66">
        <v>0</v>
      </c>
      <c r="BJ131" s="37" t="s">
        <v>1201</v>
      </c>
      <c r="BK131" s="36" t="s">
        <v>1950</v>
      </c>
      <c r="BL131" s="1" t="s">
        <v>1136</v>
      </c>
      <c r="BM131" s="36" t="s">
        <v>1941</v>
      </c>
      <c r="BN131" s="82" t="str">
        <f t="shared" si="298"/>
        <v>IMSMDR</v>
      </c>
      <c r="BO131" s="26">
        <f t="shared" si="299"/>
        <v>1.4937165862774</v>
      </c>
      <c r="BP131" s="25">
        <f t="shared" si="299"/>
        <v>4.1116992143637479</v>
      </c>
      <c r="BQ131" s="24">
        <f t="shared" si="299"/>
        <v>12.234239221202257</v>
      </c>
      <c r="BR131" s="25">
        <f t="shared" si="299"/>
        <v>8.2865411268682116</v>
      </c>
      <c r="BS131" s="24">
        <f t="shared" si="299"/>
        <v>4.1009766159308425</v>
      </c>
      <c r="BT131" s="25">
        <f t="shared" si="299"/>
        <v>3.5745984703647284</v>
      </c>
      <c r="BU131" s="24">
        <f t="shared" si="299"/>
        <v>12.418163521830202</v>
      </c>
      <c r="BV131" s="25">
        <f t="shared" si="299"/>
        <v>1.6650263147038791</v>
      </c>
      <c r="BW131" s="32">
        <f t="shared" si="299"/>
        <v>1.0440473364029426</v>
      </c>
      <c r="BX131" s="26">
        <f t="shared" ref="BX131:CF131" si="306">BO131/BO135</f>
        <v>3.3326713280373149E-2</v>
      </c>
      <c r="BY131" s="25">
        <f t="shared" si="306"/>
        <v>3.1423540503727726E-2</v>
      </c>
      <c r="BZ131" s="24">
        <f t="shared" si="306"/>
        <v>4.5734885802416712E-2</v>
      </c>
      <c r="CA131" s="25">
        <f t="shared" si="306"/>
        <v>4.7236500361036625E-2</v>
      </c>
      <c r="CB131" s="24">
        <f t="shared" si="306"/>
        <v>9.7520527183986405E-2</v>
      </c>
      <c r="CC131" s="25">
        <f t="shared" si="306"/>
        <v>9.6747087509908139E-2</v>
      </c>
      <c r="CD131" s="24">
        <f t="shared" si="306"/>
        <v>9.8791793044344711E-2</v>
      </c>
      <c r="CE131" s="25">
        <f t="shared" si="306"/>
        <v>0.13890383779041274</v>
      </c>
      <c r="CF131" s="32">
        <f t="shared" si="306"/>
        <v>0.10282751815294139</v>
      </c>
      <c r="CH131" s="54" t="s">
        <v>1985</v>
      </c>
      <c r="CI131" s="41">
        <v>0.76324236924095912</v>
      </c>
      <c r="CJ131" s="40">
        <v>0.76032812002067107</v>
      </c>
      <c r="CK131" s="39">
        <v>0</v>
      </c>
      <c r="CL131" s="40">
        <v>0</v>
      </c>
      <c r="CM131" s="39">
        <v>0.89167300699096219</v>
      </c>
      <c r="CN131" s="40">
        <v>0.90617556932614396</v>
      </c>
      <c r="CO131" s="39">
        <v>0.89774263640809471</v>
      </c>
      <c r="CP131" s="40">
        <v>0.71125197512615757</v>
      </c>
      <c r="CQ131" s="66">
        <v>0.49275287388409128</v>
      </c>
      <c r="CS131" s="54" t="s">
        <v>1675</v>
      </c>
      <c r="CT131" s="39">
        <v>0.56265995420324577</v>
      </c>
      <c r="CU131" s="40">
        <v>1.5488135519851469</v>
      </c>
      <c r="CV131" s="39">
        <v>3.7375713010886664</v>
      </c>
      <c r="CW131" s="40">
        <v>2.5315459131614073</v>
      </c>
      <c r="CX131" s="39">
        <v>1.1151009048090792</v>
      </c>
      <c r="CY131" s="40">
        <v>0.97197286449976616</v>
      </c>
      <c r="CZ131" s="39">
        <v>3.3766360250549345</v>
      </c>
      <c r="DA131" s="40">
        <v>1.1371902232551008</v>
      </c>
      <c r="DB131" s="39">
        <v>0.71307006567287246</v>
      </c>
      <c r="DC131" s="38">
        <v>15.694560803730218</v>
      </c>
      <c r="DE131" s="37" t="s">
        <v>1729</v>
      </c>
      <c r="DF131" s="35" t="str">
        <f t="shared" si="164"/>
        <v>INOST</v>
      </c>
      <c r="DG131" s="26">
        <f t="shared" si="301"/>
        <v>0</v>
      </c>
      <c r="DH131" s="25">
        <f t="shared" si="301"/>
        <v>9.0314115683091285E-3</v>
      </c>
      <c r="DI131" s="24">
        <f t="shared" si="301"/>
        <v>0.93625633258137952</v>
      </c>
      <c r="DJ131" s="25">
        <f t="shared" si="301"/>
        <v>1.385538953399531</v>
      </c>
      <c r="DK131" s="24">
        <f t="shared" si="301"/>
        <v>0.81282704114782156</v>
      </c>
      <c r="DL131" s="25">
        <f t="shared" si="301"/>
        <v>0</v>
      </c>
      <c r="DM131" s="24">
        <f t="shared" si="301"/>
        <v>0</v>
      </c>
      <c r="DN131" s="25">
        <f t="shared" si="301"/>
        <v>0</v>
      </c>
      <c r="DO131" s="32">
        <f t="shared" si="301"/>
        <v>0</v>
      </c>
      <c r="DP131" s="26">
        <f t="shared" si="165"/>
        <v>0</v>
      </c>
      <c r="DQ131" s="25">
        <f t="shared" si="166"/>
        <v>1.708181752734771E-2</v>
      </c>
      <c r="DR131" s="24">
        <f t="shared" si="167"/>
        <v>1.0000000000000007</v>
      </c>
      <c r="DS131" s="25">
        <f t="shared" si="168"/>
        <v>1</v>
      </c>
      <c r="DT131" s="24">
        <f t="shared" si="169"/>
        <v>0.78979695607337208</v>
      </c>
      <c r="DU131" s="25">
        <f t="shared" si="170"/>
        <v>0</v>
      </c>
      <c r="DV131" s="24">
        <f t="shared" si="171"/>
        <v>0</v>
      </c>
      <c r="DW131" s="25">
        <f t="shared" si="172"/>
        <v>0</v>
      </c>
      <c r="DX131" s="32">
        <f t="shared" si="173"/>
        <v>0</v>
      </c>
      <c r="DZ131" s="54" t="s">
        <v>1984</v>
      </c>
      <c r="EA131" s="39">
        <v>5.0367394056522408E-2</v>
      </c>
      <c r="EB131" s="40">
        <v>5.6477979283535762E-2</v>
      </c>
      <c r="EC131" s="39">
        <v>2.1379565736631724E-2</v>
      </c>
      <c r="ED131" s="40">
        <v>1.0614126342832547E-2</v>
      </c>
      <c r="EE131" s="39">
        <v>8.624591185484639E-3</v>
      </c>
      <c r="EF131" s="40">
        <v>2.3434398738327512E-2</v>
      </c>
      <c r="EG131" s="39">
        <v>0.22670011941801027</v>
      </c>
      <c r="EH131" s="40">
        <v>6.6395047517406228E-2</v>
      </c>
      <c r="EI131" s="66">
        <v>8.937829442448501E-3</v>
      </c>
      <c r="EO131" s="83" t="s">
        <v>1247</v>
      </c>
      <c r="EP131" s="82" t="s">
        <v>520</v>
      </c>
      <c r="EQ131" s="81">
        <f t="shared" si="250"/>
        <v>753.50961557892583</v>
      </c>
      <c r="ER131" s="80">
        <f>EQ131/SUM(EQ125:EQ133)</f>
        <v>0.52253413336250032</v>
      </c>
      <c r="ET131" s="75" t="s">
        <v>439</v>
      </c>
      <c r="EU131" s="72">
        <v>3.9141713307691013E-2</v>
      </c>
      <c r="EW131" s="22" t="s">
        <v>1247</v>
      </c>
      <c r="EX131" s="20" t="s">
        <v>1983</v>
      </c>
      <c r="EY131" s="20" t="s">
        <v>1150</v>
      </c>
      <c r="EZ131" s="85" t="s">
        <v>1902</v>
      </c>
      <c r="FA131" s="20" t="str">
        <f t="shared" si="251"/>
        <v>ICPETC</v>
      </c>
      <c r="FB131" s="78" t="s">
        <v>522</v>
      </c>
      <c r="FC131" s="11">
        <f t="shared" si="252"/>
        <v>0.8859872117082348</v>
      </c>
      <c r="FD131" s="10">
        <f t="shared" si="253"/>
        <v>5.4059338385064534E-2</v>
      </c>
      <c r="FE131" s="101">
        <f t="shared" si="254"/>
        <v>6.1015935298699163E-2</v>
      </c>
      <c r="FF131" s="20">
        <v>0</v>
      </c>
      <c r="FG131" s="84">
        <f t="shared" si="255"/>
        <v>0</v>
      </c>
    </row>
    <row r="132" spans="1:163">
      <c r="A132" s="37" t="s">
        <v>1976</v>
      </c>
      <c r="B132" s="36" t="s">
        <v>1107</v>
      </c>
      <c r="C132" s="1" t="s">
        <v>1106</v>
      </c>
      <c r="D132" s="36" t="s">
        <v>1106</v>
      </c>
      <c r="E132" s="36" t="s">
        <v>1982</v>
      </c>
      <c r="F132" s="1" t="e">
        <f t="shared" ca="1" si="232"/>
        <v>#NAME?</v>
      </c>
      <c r="G132" s="35" t="s">
        <v>1104</v>
      </c>
      <c r="H132" s="43">
        <v>1</v>
      </c>
      <c r="I132" s="42">
        <v>0</v>
      </c>
      <c r="J132" s="26">
        <v>22.707102599999999</v>
      </c>
      <c r="K132" s="25">
        <v>3.8630723999999996</v>
      </c>
      <c r="L132" s="24"/>
      <c r="M132" s="25"/>
      <c r="N132" s="24"/>
      <c r="O132" s="25"/>
      <c r="P132" s="24"/>
      <c r="Q132" s="25"/>
      <c r="R132" s="32"/>
      <c r="S132" s="31" t="e">
        <v>#REF!</v>
      </c>
      <c r="T132" s="29" t="e">
        <f t="shared" si="297"/>
        <v>#REF!</v>
      </c>
      <c r="U132" s="30" t="e">
        <f t="shared" si="297"/>
        <v>#REF!</v>
      </c>
      <c r="V132" s="29" t="e">
        <f t="shared" si="297"/>
        <v>#REF!</v>
      </c>
      <c r="W132" s="30" t="e">
        <f t="shared" si="297"/>
        <v>#REF!</v>
      </c>
      <c r="X132" s="29" t="e">
        <f t="shared" si="297"/>
        <v>#REF!</v>
      </c>
      <c r="Y132" s="30" t="e">
        <f t="shared" si="297"/>
        <v>#REF!</v>
      </c>
      <c r="Z132" s="29" t="e">
        <f t="shared" si="297"/>
        <v>#REF!</v>
      </c>
      <c r="AA132" s="28" t="e">
        <f t="shared" si="297"/>
        <v>#REF!</v>
      </c>
      <c r="AB132" s="26" t="e">
        <f t="shared" ref="AB132:AJ132" si="307">J132*$H132*S132</f>
        <v>#REF!</v>
      </c>
      <c r="AC132" s="25" t="e">
        <f t="shared" si="307"/>
        <v>#REF!</v>
      </c>
      <c r="AD132" s="24" t="e">
        <f t="shared" si="307"/>
        <v>#REF!</v>
      </c>
      <c r="AE132" s="25" t="e">
        <f t="shared" si="307"/>
        <v>#REF!</v>
      </c>
      <c r="AF132" s="24" t="e">
        <f t="shared" si="307"/>
        <v>#REF!</v>
      </c>
      <c r="AG132" s="25" t="e">
        <f t="shared" si="307"/>
        <v>#REF!</v>
      </c>
      <c r="AH132" s="24" t="e">
        <f t="shared" si="307"/>
        <v>#REF!</v>
      </c>
      <c r="AI132" s="25" t="e">
        <f t="shared" si="307"/>
        <v>#REF!</v>
      </c>
      <c r="AJ132" s="24" t="e">
        <f t="shared" si="307"/>
        <v>#REF!</v>
      </c>
      <c r="AK132" s="27" t="e">
        <f t="shared" si="160"/>
        <v>#REF!</v>
      </c>
      <c r="AL132" s="41">
        <v>0</v>
      </c>
      <c r="AM132" s="40">
        <v>0</v>
      </c>
      <c r="AN132" s="39">
        <v>0</v>
      </c>
      <c r="AO132" s="40">
        <v>0</v>
      </c>
      <c r="AP132" s="39">
        <v>0</v>
      </c>
      <c r="AQ132" s="40">
        <v>0</v>
      </c>
      <c r="AR132" s="39">
        <v>0</v>
      </c>
      <c r="AS132" s="40">
        <v>0</v>
      </c>
      <c r="AT132" s="39">
        <v>0</v>
      </c>
      <c r="AU132" s="38">
        <v>0</v>
      </c>
      <c r="AW132" s="100" t="s">
        <v>1136</v>
      </c>
      <c r="AX132" s="41">
        <v>0.33448560000198496</v>
      </c>
      <c r="AY132" s="40">
        <v>0.9207263221007973</v>
      </c>
      <c r="AZ132" s="39">
        <v>0.10690600780445661</v>
      </c>
      <c r="BA132" s="40">
        <v>7.2409981067369414E-2</v>
      </c>
      <c r="BB132" s="39">
        <v>3.6597006239968442E-2</v>
      </c>
      <c r="BC132" s="40">
        <v>3.1899621669904621E-2</v>
      </c>
      <c r="BD132" s="39">
        <v>0.11081936096195298</v>
      </c>
      <c r="BE132" s="40">
        <v>0</v>
      </c>
      <c r="BF132" s="39">
        <v>0</v>
      </c>
      <c r="BG132" s="81">
        <v>1.6138438998464344</v>
      </c>
      <c r="BH132" s="66">
        <v>0</v>
      </c>
      <c r="BJ132" s="37" t="s">
        <v>1201</v>
      </c>
      <c r="BK132" s="36" t="s">
        <v>1950</v>
      </c>
      <c r="BL132" s="1" t="s">
        <v>1129</v>
      </c>
      <c r="BM132" s="36" t="s">
        <v>1910</v>
      </c>
      <c r="BN132" s="82" t="str">
        <f t="shared" si="298"/>
        <v>IMSOHT</v>
      </c>
      <c r="BO132" s="26">
        <f t="shared" si="299"/>
        <v>0.48190871849616773</v>
      </c>
      <c r="BP132" s="25">
        <f t="shared" si="299"/>
        <v>1.3265325681184832</v>
      </c>
      <c r="BQ132" s="24">
        <f t="shared" si="299"/>
        <v>16.970124166661254</v>
      </c>
      <c r="BR132" s="25">
        <f t="shared" si="299"/>
        <v>11.494268608986669</v>
      </c>
      <c r="BS132" s="24">
        <f t="shared" si="299"/>
        <v>1.0309412706455012</v>
      </c>
      <c r="BT132" s="25">
        <f t="shared" si="299"/>
        <v>0.89861548460666074</v>
      </c>
      <c r="BU132" s="24">
        <f t="shared" si="299"/>
        <v>3.1217923141883954</v>
      </c>
      <c r="BV132" s="25">
        <f t="shared" si="299"/>
        <v>0.19192803927658808</v>
      </c>
      <c r="BW132" s="32">
        <f t="shared" si="299"/>
        <v>0.12034762238781713</v>
      </c>
      <c r="BX132" s="26">
        <f t="shared" ref="BX132:CF132" si="308">BO132/BO135</f>
        <v>1.0751995282223663E-2</v>
      </c>
      <c r="BY132" s="25">
        <f t="shared" si="308"/>
        <v>1.0137986197571464E-2</v>
      </c>
      <c r="BZ132" s="24">
        <f t="shared" si="308"/>
        <v>6.3438901004161885E-2</v>
      </c>
      <c r="CA132" s="25">
        <f t="shared" si="308"/>
        <v>6.552179190154471E-2</v>
      </c>
      <c r="CB132" s="24">
        <f t="shared" si="308"/>
        <v>2.4515608262315809E-2</v>
      </c>
      <c r="CC132" s="25">
        <f t="shared" si="308"/>
        <v>2.4321173873866873E-2</v>
      </c>
      <c r="CD132" s="24">
        <f t="shared" si="308"/>
        <v>2.4835190782322093E-2</v>
      </c>
      <c r="CE132" s="25">
        <f t="shared" si="308"/>
        <v>1.6011483422019364E-2</v>
      </c>
      <c r="CF132" s="32">
        <f t="shared" si="308"/>
        <v>1.1852956177621568E-2</v>
      </c>
      <c r="CH132" s="54" t="s">
        <v>1981</v>
      </c>
      <c r="CI132" s="41">
        <v>8.0474103906657379E-2</v>
      </c>
      <c r="CJ132" s="40">
        <v>8.5682002348666381E-2</v>
      </c>
      <c r="CK132" s="39">
        <v>0.39835233031531714</v>
      </c>
      <c r="CL132" s="40">
        <v>0.39835233031531714</v>
      </c>
      <c r="CM132" s="39">
        <v>5.1048548332825149E-2</v>
      </c>
      <c r="CN132" s="40">
        <v>5.0243274223227941E-2</v>
      </c>
      <c r="CO132" s="39">
        <v>5.0092282741319424E-2</v>
      </c>
      <c r="CP132" s="40">
        <v>6.7622804416143295E-2</v>
      </c>
      <c r="CQ132" s="66">
        <v>4.684884173466948E-2</v>
      </c>
      <c r="CS132" s="54" t="s">
        <v>1671</v>
      </c>
      <c r="CT132" s="39">
        <v>8.6007813666838406E-2</v>
      </c>
      <c r="CU132" s="40">
        <v>0.23675057446098982</v>
      </c>
      <c r="CV132" s="39">
        <v>0.52916770103658195</v>
      </c>
      <c r="CW132" s="40">
        <v>0.35841786631494593</v>
      </c>
      <c r="CX132" s="39">
        <v>0.21408559359683282</v>
      </c>
      <c r="CY132" s="40">
        <v>0.18660677859648364</v>
      </c>
      <c r="CZ132" s="39">
        <v>0.6482723892221256</v>
      </c>
      <c r="DA132" s="40">
        <v>0</v>
      </c>
      <c r="DB132" s="39">
        <v>0</v>
      </c>
      <c r="DC132" s="38">
        <v>2.2593087168947981</v>
      </c>
      <c r="DE132" s="37" t="s">
        <v>1731</v>
      </c>
      <c r="DF132" s="35" t="str">
        <f t="shared" si="164"/>
        <v>INOST</v>
      </c>
      <c r="DG132" s="26">
        <f t="shared" si="301"/>
        <v>0</v>
      </c>
      <c r="DH132" s="25">
        <f t="shared" si="301"/>
        <v>0.51968349560418503</v>
      </c>
      <c r="DI132" s="24">
        <f t="shared" si="301"/>
        <v>-6.1931724624495442E-16</v>
      </c>
      <c r="DJ132" s="25">
        <f t="shared" si="301"/>
        <v>0</v>
      </c>
      <c r="DK132" s="24">
        <f t="shared" si="301"/>
        <v>0.21633245978131346</v>
      </c>
      <c r="DL132" s="25">
        <f t="shared" si="301"/>
        <v>9.4280639717008938E-2</v>
      </c>
      <c r="DM132" s="24">
        <f t="shared" si="301"/>
        <v>0</v>
      </c>
      <c r="DN132" s="25">
        <f t="shared" si="301"/>
        <v>1.687486853645511</v>
      </c>
      <c r="DO132" s="32">
        <f t="shared" si="301"/>
        <v>5.5286984479474832E-2</v>
      </c>
      <c r="DP132" s="26">
        <f t="shared" si="165"/>
        <v>0</v>
      </c>
      <c r="DQ132" s="25">
        <f t="shared" si="166"/>
        <v>0.98291818247265228</v>
      </c>
      <c r="DR132" s="24">
        <f t="shared" si="167"/>
        <v>-6.6148257127128562E-16</v>
      </c>
      <c r="DS132" s="25">
        <f t="shared" si="168"/>
        <v>0</v>
      </c>
      <c r="DT132" s="24">
        <f t="shared" si="169"/>
        <v>0.21020304392662795</v>
      </c>
      <c r="DU132" s="25">
        <f t="shared" si="170"/>
        <v>1</v>
      </c>
      <c r="DV132" s="24">
        <f t="shared" si="171"/>
        <v>0</v>
      </c>
      <c r="DW132" s="25">
        <f t="shared" si="172"/>
        <v>1</v>
      </c>
      <c r="DX132" s="32">
        <f t="shared" si="173"/>
        <v>1</v>
      </c>
      <c r="DZ132" s="54" t="s">
        <v>1980</v>
      </c>
      <c r="EA132" s="39">
        <v>0</v>
      </c>
      <c r="EB132" s="40">
        <v>0.43741879304634346</v>
      </c>
      <c r="EC132" s="39">
        <v>0.50155625005469984</v>
      </c>
      <c r="ED132" s="40">
        <v>0.75022955658243706</v>
      </c>
      <c r="EE132" s="39">
        <v>0.16153860139259665</v>
      </c>
      <c r="EF132" s="40">
        <v>0.72030459342595787</v>
      </c>
      <c r="EG132" s="39">
        <v>0.2270775967653029</v>
      </c>
      <c r="EH132" s="40">
        <v>0.36445467264491926</v>
      </c>
      <c r="EI132" s="66">
        <v>0</v>
      </c>
      <c r="EO132" s="83" t="s">
        <v>1247</v>
      </c>
      <c r="EP132" s="82" t="s">
        <v>521</v>
      </c>
      <c r="EQ132" s="81">
        <f t="shared" si="250"/>
        <v>0.91116270172091884</v>
      </c>
      <c r="ER132" s="80">
        <f>EQ132/SUM(EQ125:EQ133)</f>
        <v>6.3186136295045664E-4</v>
      </c>
      <c r="ET132" s="75" t="s">
        <v>518</v>
      </c>
      <c r="EU132" s="72">
        <v>8.3606310289770537E-3</v>
      </c>
      <c r="EW132" s="37" t="s">
        <v>1231</v>
      </c>
      <c r="EX132" s="36" t="s">
        <v>1961</v>
      </c>
      <c r="EY132" s="36" t="s">
        <v>1145</v>
      </c>
      <c r="EZ132" s="1" t="s">
        <v>1945</v>
      </c>
      <c r="FA132" s="36" t="str">
        <f t="shared" si="251"/>
        <v>IMAFAC</v>
      </c>
      <c r="FB132" s="35" t="s">
        <v>438</v>
      </c>
      <c r="FC132" s="26">
        <f t="shared" si="252"/>
        <v>3.0427843931077136</v>
      </c>
      <c r="FD132" s="25">
        <f t="shared" si="253"/>
        <v>0.17341777982404577</v>
      </c>
      <c r="FE132" s="24">
        <f t="shared" si="254"/>
        <v>5.6993121240157103E-2</v>
      </c>
      <c r="FF132" s="102">
        <v>0</v>
      </c>
      <c r="FG132" s="86">
        <f t="shared" si="255"/>
        <v>0</v>
      </c>
    </row>
    <row r="133" spans="1:163">
      <c r="A133" s="37" t="s">
        <v>1976</v>
      </c>
      <c r="B133" s="36" t="s">
        <v>1107</v>
      </c>
      <c r="C133" s="1" t="s">
        <v>1106</v>
      </c>
      <c r="D133" s="36" t="s">
        <v>1106</v>
      </c>
      <c r="E133" s="36" t="s">
        <v>1979</v>
      </c>
      <c r="F133" s="1" t="e">
        <f t="shared" ca="1" si="232"/>
        <v>#NAME?</v>
      </c>
      <c r="G133" s="35" t="s">
        <v>1109</v>
      </c>
      <c r="H133" s="34">
        <f>1-I133</f>
        <v>0.88407718648632827</v>
      </c>
      <c r="I133" s="33">
        <v>0.11592281351367174</v>
      </c>
      <c r="J133" s="26" t="e">
        <v>#REF!</v>
      </c>
      <c r="K133" s="25" t="e">
        <v>#REF!</v>
      </c>
      <c r="L133" s="24"/>
      <c r="M133" s="25"/>
      <c r="N133" s="24"/>
      <c r="O133" s="25"/>
      <c r="P133" s="24"/>
      <c r="Q133" s="25"/>
      <c r="R133" s="32"/>
      <c r="S133" s="31" t="e">
        <v>#REF!</v>
      </c>
      <c r="T133" s="29" t="e">
        <f t="shared" si="297"/>
        <v>#REF!</v>
      </c>
      <c r="U133" s="30" t="e">
        <f t="shared" si="297"/>
        <v>#REF!</v>
      </c>
      <c r="V133" s="29" t="e">
        <f t="shared" si="297"/>
        <v>#REF!</v>
      </c>
      <c r="W133" s="30" t="e">
        <f t="shared" si="297"/>
        <v>#REF!</v>
      </c>
      <c r="X133" s="29" t="e">
        <f t="shared" si="297"/>
        <v>#REF!</v>
      </c>
      <c r="Y133" s="30" t="e">
        <f t="shared" si="297"/>
        <v>#REF!</v>
      </c>
      <c r="Z133" s="29" t="e">
        <f t="shared" si="297"/>
        <v>#REF!</v>
      </c>
      <c r="AA133" s="28" t="e">
        <f t="shared" si="297"/>
        <v>#REF!</v>
      </c>
      <c r="AB133" s="26" t="e">
        <f t="shared" ref="AB133:AJ134" si="309">J133*31.536*$H133*S133</f>
        <v>#REF!</v>
      </c>
      <c r="AC133" s="25" t="e">
        <f t="shared" si="309"/>
        <v>#REF!</v>
      </c>
      <c r="AD133" s="24" t="e">
        <f t="shared" si="309"/>
        <v>#REF!</v>
      </c>
      <c r="AE133" s="25" t="e">
        <f t="shared" si="309"/>
        <v>#REF!</v>
      </c>
      <c r="AF133" s="24" t="e">
        <f t="shared" si="309"/>
        <v>#REF!</v>
      </c>
      <c r="AG133" s="25" t="e">
        <f t="shared" si="309"/>
        <v>#REF!</v>
      </c>
      <c r="AH133" s="24" t="e">
        <f t="shared" si="309"/>
        <v>#REF!</v>
      </c>
      <c r="AI133" s="25" t="e">
        <f t="shared" si="309"/>
        <v>#REF!</v>
      </c>
      <c r="AJ133" s="24" t="e">
        <f t="shared" si="309"/>
        <v>#REF!</v>
      </c>
      <c r="AK133" s="27" t="e">
        <f t="shared" si="160"/>
        <v>#REF!</v>
      </c>
      <c r="AL133" s="26" t="e">
        <f t="shared" ref="AL133:AT134" si="310">J133*31.536*$I133*S133</f>
        <v>#REF!</v>
      </c>
      <c r="AM133" s="25" t="e">
        <f t="shared" si="310"/>
        <v>#REF!</v>
      </c>
      <c r="AN133" s="24" t="e">
        <f t="shared" si="310"/>
        <v>#REF!</v>
      </c>
      <c r="AO133" s="25" t="e">
        <f t="shared" si="310"/>
        <v>#REF!</v>
      </c>
      <c r="AP133" s="24" t="e">
        <f t="shared" si="310"/>
        <v>#REF!</v>
      </c>
      <c r="AQ133" s="25" t="e">
        <f t="shared" si="310"/>
        <v>#REF!</v>
      </c>
      <c r="AR133" s="24" t="e">
        <f t="shared" si="310"/>
        <v>#REF!</v>
      </c>
      <c r="AS133" s="25" t="e">
        <f t="shared" si="310"/>
        <v>#REF!</v>
      </c>
      <c r="AT133" s="24" t="e">
        <f t="shared" si="310"/>
        <v>#REF!</v>
      </c>
      <c r="AU133" s="23" t="e">
        <f>SUM(AL133:AT133)</f>
        <v>#REF!</v>
      </c>
      <c r="AW133" s="100" t="s">
        <v>1129</v>
      </c>
      <c r="AX133" s="41">
        <v>0.46531186402484209</v>
      </c>
      <c r="AY133" s="40">
        <v>1.2808470116229715</v>
      </c>
      <c r="AZ133" s="39">
        <v>0.92536768596065311</v>
      </c>
      <c r="BA133" s="40">
        <v>0.62677353683740356</v>
      </c>
      <c r="BB133" s="39">
        <v>0.23758501280380395</v>
      </c>
      <c r="BC133" s="40">
        <v>0.20708994536836534</v>
      </c>
      <c r="BD133" s="39">
        <v>0.71943095892637332</v>
      </c>
      <c r="BE133" s="40">
        <v>0.11924537281588643</v>
      </c>
      <c r="BF133" s="39">
        <v>7.4772280033870667E-2</v>
      </c>
      <c r="BG133" s="81">
        <v>4.6564236683941704</v>
      </c>
      <c r="BH133" s="66">
        <v>0</v>
      </c>
      <c r="BJ133" s="37" t="s">
        <v>1201</v>
      </c>
      <c r="BK133" s="36" t="s">
        <v>1950</v>
      </c>
      <c r="BL133" s="1" t="s">
        <v>1123</v>
      </c>
      <c r="BM133" s="36" t="s">
        <v>1935</v>
      </c>
      <c r="BN133" s="82" t="str">
        <f t="shared" si="298"/>
        <v>IMSPRH</v>
      </c>
      <c r="BO133" s="26">
        <f t="shared" si="299"/>
        <v>8.9259767168918689</v>
      </c>
      <c r="BP133" s="25">
        <f t="shared" si="299"/>
        <v>24.570210836138923</v>
      </c>
      <c r="BQ133" s="24">
        <f t="shared" si="299"/>
        <v>119.64742332469916</v>
      </c>
      <c r="BR133" s="25">
        <f t="shared" si="299"/>
        <v>81.040044761075023</v>
      </c>
      <c r="BS133" s="24">
        <f t="shared" si="299"/>
        <v>17.583504128291331</v>
      </c>
      <c r="BT133" s="25">
        <f t="shared" si="299"/>
        <v>15.326585066707443</v>
      </c>
      <c r="BU133" s="24">
        <f t="shared" si="299"/>
        <v>53.244592691327952</v>
      </c>
      <c r="BV133" s="25">
        <f t="shared" si="299"/>
        <v>7.7200822797639681</v>
      </c>
      <c r="BW133" s="32">
        <f t="shared" si="299"/>
        <v>4.8408432166026181</v>
      </c>
      <c r="BX133" s="26">
        <f t="shared" ref="BX133:CF133" si="311">BO133/BO135</f>
        <v>0.19914987188600289</v>
      </c>
      <c r="BY133" s="25">
        <f t="shared" si="311"/>
        <v>0.18777711479900042</v>
      </c>
      <c r="BZ133" s="24">
        <f t="shared" si="311"/>
        <v>0.44727433748600404</v>
      </c>
      <c r="CA133" s="25">
        <f t="shared" si="311"/>
        <v>0.46195970610740267</v>
      </c>
      <c r="CB133" s="24">
        <f t="shared" si="311"/>
        <v>0.41813274078949025</v>
      </c>
      <c r="CC133" s="25">
        <f t="shared" si="311"/>
        <v>0.41481651127252367</v>
      </c>
      <c r="CD133" s="24">
        <f t="shared" si="311"/>
        <v>0.42358346889579823</v>
      </c>
      <c r="CE133" s="25">
        <f t="shared" si="311"/>
        <v>0.64404330865346626</v>
      </c>
      <c r="CF133" s="32">
        <f t="shared" si="311"/>
        <v>0.47677138418428705</v>
      </c>
      <c r="CH133" s="54" t="s">
        <v>1978</v>
      </c>
      <c r="CI133" s="41">
        <v>9.2463293740766381E-2</v>
      </c>
      <c r="CJ133" s="40">
        <v>8.6039504803837555E-2</v>
      </c>
      <c r="CK133" s="39">
        <v>0</v>
      </c>
      <c r="CL133" s="40">
        <v>0</v>
      </c>
      <c r="CM133" s="39">
        <v>3.7483624858347539E-2</v>
      </c>
      <c r="CN133" s="40">
        <v>2.4098593424073375E-2</v>
      </c>
      <c r="CO133" s="39">
        <v>3.2741066975300465E-2</v>
      </c>
      <c r="CP133" s="40">
        <v>8.5723542388559143E-2</v>
      </c>
      <c r="CQ133" s="66">
        <v>0.36659247669196993</v>
      </c>
      <c r="CS133" s="54" t="s">
        <v>1674</v>
      </c>
      <c r="CT133" s="39">
        <v>6.9361949520139937E-2</v>
      </c>
      <c r="CU133" s="40">
        <v>0.19093011081804595</v>
      </c>
      <c r="CV133" s="39">
        <v>0.13301396143849059</v>
      </c>
      <c r="CW133" s="40">
        <v>9.0093518851383017E-2</v>
      </c>
      <c r="CX133" s="39">
        <v>7.5890851486278429E-2</v>
      </c>
      <c r="CY133" s="40">
        <v>6.614993135627828E-2</v>
      </c>
      <c r="CZ133" s="39">
        <v>0.22980501764056607</v>
      </c>
      <c r="DA133" s="40">
        <v>0.29710264810727693</v>
      </c>
      <c r="DB133" s="39">
        <v>0.1862968925207826</v>
      </c>
      <c r="DC133" s="38">
        <v>1.3386448817392416</v>
      </c>
      <c r="DE133" s="37" t="s">
        <v>1415</v>
      </c>
      <c r="DF133" s="35" t="str">
        <f t="shared" si="164"/>
        <v>IPOST</v>
      </c>
      <c r="DG133" s="26">
        <f t="shared" si="301"/>
        <v>0</v>
      </c>
      <c r="DH133" s="25">
        <f t="shared" si="301"/>
        <v>0</v>
      </c>
      <c r="DI133" s="24">
        <f t="shared" si="301"/>
        <v>0</v>
      </c>
      <c r="DJ133" s="25">
        <f t="shared" si="301"/>
        <v>0</v>
      </c>
      <c r="DK133" s="24">
        <f t="shared" si="301"/>
        <v>0</v>
      </c>
      <c r="DL133" s="25">
        <f t="shared" si="301"/>
        <v>0</v>
      </c>
      <c r="DM133" s="24">
        <f t="shared" si="301"/>
        <v>0</v>
      </c>
      <c r="DN133" s="25">
        <f t="shared" si="301"/>
        <v>0</v>
      </c>
      <c r="DO133" s="32">
        <f t="shared" si="301"/>
        <v>0</v>
      </c>
      <c r="DP133" s="26">
        <f t="shared" si="165"/>
        <v>0</v>
      </c>
      <c r="DQ133" s="25">
        <f t="shared" si="166"/>
        <v>0</v>
      </c>
      <c r="DR133" s="24">
        <f t="shared" si="167"/>
        <v>0</v>
      </c>
      <c r="DS133" s="25">
        <f t="shared" si="168"/>
        <v>0</v>
      </c>
      <c r="DT133" s="24">
        <f t="shared" si="169"/>
        <v>0</v>
      </c>
      <c r="DU133" s="25">
        <f t="shared" si="170"/>
        <v>0</v>
      </c>
      <c r="DV133" s="24">
        <f t="shared" si="171"/>
        <v>0</v>
      </c>
      <c r="DW133" s="25">
        <f t="shared" si="172"/>
        <v>0</v>
      </c>
      <c r="DX133" s="32">
        <f t="shared" si="173"/>
        <v>0</v>
      </c>
      <c r="DZ133" s="54" t="s">
        <v>1977</v>
      </c>
      <c r="EA133" s="39">
        <v>0</v>
      </c>
      <c r="EB133" s="40">
        <v>0</v>
      </c>
      <c r="EC133" s="39">
        <v>1.1740921298781114E-2</v>
      </c>
      <c r="ED133" s="40">
        <v>3.9450009449030288E-3</v>
      </c>
      <c r="EE133" s="39">
        <v>1.7146920571471146E-3</v>
      </c>
      <c r="EF133" s="40">
        <v>0</v>
      </c>
      <c r="EG133" s="39">
        <v>0</v>
      </c>
      <c r="EH133" s="40">
        <v>0</v>
      </c>
      <c r="EI133" s="66">
        <v>0</v>
      </c>
      <c r="EO133" s="79" t="s">
        <v>1247</v>
      </c>
      <c r="EP133" s="78" t="s">
        <v>522</v>
      </c>
      <c r="EQ133" s="77">
        <f t="shared" si="250"/>
        <v>0.8859872117082348</v>
      </c>
      <c r="ER133" s="76">
        <f>EQ133/SUM(EQ125:EQ133)</f>
        <v>6.1440298871903156E-4</v>
      </c>
      <c r="ET133" s="75" t="s">
        <v>517</v>
      </c>
      <c r="EU133" s="72">
        <v>0.40391975655148848</v>
      </c>
      <c r="EW133" s="37" t="s">
        <v>1231</v>
      </c>
      <c r="EX133" s="36" t="s">
        <v>1961</v>
      </c>
      <c r="EY133" s="36" t="s">
        <v>1129</v>
      </c>
      <c r="EZ133" s="1" t="s">
        <v>1910</v>
      </c>
      <c r="FA133" s="36" t="str">
        <f t="shared" si="251"/>
        <v>IMAOHT</v>
      </c>
      <c r="FB133" s="1" t="s">
        <v>440</v>
      </c>
      <c r="FC133" s="26">
        <f t="shared" si="252"/>
        <v>15.825052118743701</v>
      </c>
      <c r="FD133" s="25">
        <f t="shared" si="253"/>
        <v>1.5850931959191099</v>
      </c>
      <c r="FE133" s="24">
        <f t="shared" si="254"/>
        <v>0.10016353715774967</v>
      </c>
      <c r="FF133" s="36">
        <v>0</v>
      </c>
      <c r="FG133" s="86">
        <f t="shared" si="255"/>
        <v>0</v>
      </c>
    </row>
    <row r="134" spans="1:163">
      <c r="A134" s="22" t="s">
        <v>1976</v>
      </c>
      <c r="B134" s="20" t="s">
        <v>1107</v>
      </c>
      <c r="C134" s="21" t="s">
        <v>1106</v>
      </c>
      <c r="D134" s="20" t="s">
        <v>1106</v>
      </c>
      <c r="E134" s="20" t="s">
        <v>1975</v>
      </c>
      <c r="F134" s="21" t="e">
        <f t="shared" ca="1" si="232"/>
        <v>#NAME?</v>
      </c>
      <c r="G134" s="19" t="s">
        <v>1109</v>
      </c>
      <c r="H134" s="50">
        <f>1-I134</f>
        <v>0.88332652522877819</v>
      </c>
      <c r="I134" s="49">
        <v>0.11667347477122178</v>
      </c>
      <c r="J134" s="11" t="e">
        <v>#REF!</v>
      </c>
      <c r="K134" s="10" t="e">
        <v>#REF!</v>
      </c>
      <c r="L134" s="9"/>
      <c r="M134" s="10"/>
      <c r="N134" s="9"/>
      <c r="O134" s="10"/>
      <c r="P134" s="9"/>
      <c r="Q134" s="10"/>
      <c r="R134" s="16"/>
      <c r="S134" s="15" t="e">
        <v>#REF!</v>
      </c>
      <c r="T134" s="13" t="e">
        <f t="shared" si="297"/>
        <v>#REF!</v>
      </c>
      <c r="U134" s="14" t="e">
        <f t="shared" si="297"/>
        <v>#REF!</v>
      </c>
      <c r="V134" s="13" t="e">
        <f t="shared" si="297"/>
        <v>#REF!</v>
      </c>
      <c r="W134" s="14" t="e">
        <f t="shared" si="297"/>
        <v>#REF!</v>
      </c>
      <c r="X134" s="13" t="e">
        <f t="shared" si="297"/>
        <v>#REF!</v>
      </c>
      <c r="Y134" s="14" t="e">
        <f t="shared" si="297"/>
        <v>#REF!</v>
      </c>
      <c r="Z134" s="13" t="e">
        <f t="shared" si="297"/>
        <v>#REF!</v>
      </c>
      <c r="AA134" s="12" t="e">
        <f t="shared" si="297"/>
        <v>#REF!</v>
      </c>
      <c r="AB134" s="11" t="e">
        <f t="shared" si="309"/>
        <v>#REF!</v>
      </c>
      <c r="AC134" s="10" t="e">
        <f t="shared" si="309"/>
        <v>#REF!</v>
      </c>
      <c r="AD134" s="9" t="e">
        <f t="shared" si="309"/>
        <v>#REF!</v>
      </c>
      <c r="AE134" s="10" t="e">
        <f t="shared" si="309"/>
        <v>#REF!</v>
      </c>
      <c r="AF134" s="9" t="e">
        <f t="shared" si="309"/>
        <v>#REF!</v>
      </c>
      <c r="AG134" s="10" t="e">
        <f t="shared" si="309"/>
        <v>#REF!</v>
      </c>
      <c r="AH134" s="9" t="e">
        <f t="shared" si="309"/>
        <v>#REF!</v>
      </c>
      <c r="AI134" s="10" t="e">
        <f t="shared" si="309"/>
        <v>#REF!</v>
      </c>
      <c r="AJ134" s="9" t="e">
        <f t="shared" si="309"/>
        <v>#REF!</v>
      </c>
      <c r="AK134" s="8" t="e">
        <f t="shared" si="160"/>
        <v>#REF!</v>
      </c>
      <c r="AL134" s="11" t="e">
        <f t="shared" si="310"/>
        <v>#REF!</v>
      </c>
      <c r="AM134" s="10" t="e">
        <f t="shared" si="310"/>
        <v>#REF!</v>
      </c>
      <c r="AN134" s="9" t="e">
        <f t="shared" si="310"/>
        <v>#REF!</v>
      </c>
      <c r="AO134" s="10" t="e">
        <f t="shared" si="310"/>
        <v>#REF!</v>
      </c>
      <c r="AP134" s="9" t="e">
        <f t="shared" si="310"/>
        <v>#REF!</v>
      </c>
      <c r="AQ134" s="10" t="e">
        <f t="shared" si="310"/>
        <v>#REF!</v>
      </c>
      <c r="AR134" s="9" t="e">
        <f t="shared" si="310"/>
        <v>#REF!</v>
      </c>
      <c r="AS134" s="10" t="e">
        <f t="shared" si="310"/>
        <v>#REF!</v>
      </c>
      <c r="AT134" s="9" t="e">
        <f t="shared" si="310"/>
        <v>#REF!</v>
      </c>
      <c r="AU134" s="48" t="e">
        <f>SUM(AL134:AT134)</f>
        <v>#REF!</v>
      </c>
      <c r="AW134" s="100" t="s">
        <v>1123</v>
      </c>
      <c r="AX134" s="41">
        <v>0.84015386796747893</v>
      </c>
      <c r="AY134" s="40">
        <v>2.3126609362192725</v>
      </c>
      <c r="AZ134" s="39">
        <v>4.0665530214007868</v>
      </c>
      <c r="BA134" s="40">
        <v>2.7543730547649323</v>
      </c>
      <c r="BB134" s="39">
        <v>1.0048121798217442</v>
      </c>
      <c r="BC134" s="40">
        <v>0.87584017598193165</v>
      </c>
      <c r="BD134" s="39">
        <v>3.0426708382780738</v>
      </c>
      <c r="BE134" s="40">
        <v>0.5831437495685764</v>
      </c>
      <c r="BF134" s="39">
        <v>0.36565769147340821</v>
      </c>
      <c r="BG134" s="81">
        <v>15.845865515476206</v>
      </c>
      <c r="BH134" s="66">
        <v>0</v>
      </c>
      <c r="BJ134" s="37" t="s">
        <v>1201</v>
      </c>
      <c r="BK134" s="36" t="s">
        <v>1950</v>
      </c>
      <c r="BL134" s="1" t="s">
        <v>1107</v>
      </c>
      <c r="BM134" s="36" t="s">
        <v>1937</v>
      </c>
      <c r="BN134" s="82" t="str">
        <f t="shared" si="298"/>
        <v>IMSSTM</v>
      </c>
      <c r="BO134" s="26">
        <f t="shared" si="299"/>
        <v>5.8014724722938614E-3</v>
      </c>
      <c r="BP134" s="25">
        <f t="shared" si="299"/>
        <v>2.3577512042085691</v>
      </c>
      <c r="BQ134" s="24">
        <f t="shared" si="299"/>
        <v>8.5037429737426251</v>
      </c>
      <c r="BR134" s="25">
        <f t="shared" si="299"/>
        <v>0</v>
      </c>
      <c r="BS134" s="24">
        <f t="shared" si="299"/>
        <v>0.54113642599319944</v>
      </c>
      <c r="BT134" s="25">
        <f t="shared" si="299"/>
        <v>0.76471440311151018</v>
      </c>
      <c r="BU134" s="24">
        <f t="shared" si="299"/>
        <v>0</v>
      </c>
      <c r="BV134" s="25">
        <f t="shared" si="299"/>
        <v>0.21764948396250672</v>
      </c>
      <c r="BW134" s="32">
        <f t="shared" si="299"/>
        <v>2.773528888266886</v>
      </c>
      <c r="BX134" s="26">
        <f t="shared" ref="BX134:CF134" si="312">BO134/BO135</f>
        <v>1.2943821569924574E-4</v>
      </c>
      <c r="BY134" s="25">
        <f t="shared" si="312"/>
        <v>1.8019044341653148E-2</v>
      </c>
      <c r="BZ134" s="24">
        <f t="shared" si="312"/>
        <v>3.1789284708706518E-2</v>
      </c>
      <c r="CA134" s="25">
        <f t="shared" si="312"/>
        <v>0</v>
      </c>
      <c r="CB134" s="24">
        <f t="shared" si="312"/>
        <v>1.2868132272765192E-2</v>
      </c>
      <c r="CC134" s="25">
        <f t="shared" si="312"/>
        <v>2.0697119380339135E-2</v>
      </c>
      <c r="CD134" s="24">
        <f t="shared" si="312"/>
        <v>0</v>
      </c>
      <c r="CE134" s="25">
        <f t="shared" si="312"/>
        <v>1.8157279766999851E-2</v>
      </c>
      <c r="CF134" s="32">
        <f t="shared" si="312"/>
        <v>0.27316298999291888</v>
      </c>
      <c r="CH134" s="54" t="s">
        <v>1974</v>
      </c>
      <c r="CI134" s="41">
        <v>0</v>
      </c>
      <c r="CJ134" s="40">
        <v>0</v>
      </c>
      <c r="CK134" s="39">
        <v>0</v>
      </c>
      <c r="CL134" s="40">
        <v>0</v>
      </c>
      <c r="CM134" s="39">
        <v>0</v>
      </c>
      <c r="CN134" s="40">
        <v>0</v>
      </c>
      <c r="CO134" s="39">
        <v>0</v>
      </c>
      <c r="CP134" s="40">
        <v>0</v>
      </c>
      <c r="CQ134" s="66">
        <v>0</v>
      </c>
      <c r="CS134" s="54" t="s">
        <v>1670</v>
      </c>
      <c r="CT134" s="39">
        <v>1.0842306441873439</v>
      </c>
      <c r="CU134" s="40">
        <v>2.984522183692413</v>
      </c>
      <c r="CV134" s="39">
        <v>6.7871739294347897</v>
      </c>
      <c r="CW134" s="40">
        <v>4.5971142859459473</v>
      </c>
      <c r="CX134" s="39">
        <v>2.9105973692998037</v>
      </c>
      <c r="CY134" s="40">
        <v>2.5370095658994933</v>
      </c>
      <c r="CZ134" s="39">
        <v>8.8135772190863175</v>
      </c>
      <c r="DA134" s="40">
        <v>3.283747497588644</v>
      </c>
      <c r="DB134" s="39">
        <v>2.0590592460918455</v>
      </c>
      <c r="DC134" s="38">
        <v>35.057031941226597</v>
      </c>
      <c r="DE134" s="37" t="s">
        <v>1412</v>
      </c>
      <c r="DF134" s="35" t="str">
        <f t="shared" si="164"/>
        <v>IPOST</v>
      </c>
      <c r="DG134" s="26">
        <f t="shared" si="301"/>
        <v>7.8696949549916184E-2</v>
      </c>
      <c r="DH134" s="25">
        <f t="shared" si="301"/>
        <v>6.943848489698487E-2</v>
      </c>
      <c r="DI134" s="24">
        <f t="shared" si="301"/>
        <v>0.2693772334733826</v>
      </c>
      <c r="DJ134" s="25">
        <f t="shared" si="301"/>
        <v>5.1582874494903043E-2</v>
      </c>
      <c r="DK134" s="24">
        <f t="shared" si="301"/>
        <v>0.2222031516703516</v>
      </c>
      <c r="DL134" s="25">
        <f t="shared" si="301"/>
        <v>0.12902118484084932</v>
      </c>
      <c r="DM134" s="24">
        <f t="shared" si="301"/>
        <v>9.3181966829502291E-2</v>
      </c>
      <c r="DN134" s="25">
        <f t="shared" si="301"/>
        <v>8.4648819683943461E-3</v>
      </c>
      <c r="DO134" s="32">
        <f t="shared" si="301"/>
        <v>6.5602835255056183E-2</v>
      </c>
      <c r="DP134" s="26">
        <f t="shared" si="165"/>
        <v>6.8331663640588862E-3</v>
      </c>
      <c r="DQ134" s="25">
        <f t="shared" si="166"/>
        <v>1.790936841360536E-2</v>
      </c>
      <c r="DR134" s="24">
        <f t="shared" si="167"/>
        <v>0.10255280968714472</v>
      </c>
      <c r="DS134" s="25">
        <f t="shared" si="168"/>
        <v>0.1042715403344594</v>
      </c>
      <c r="DT134" s="24">
        <f t="shared" si="169"/>
        <v>0.14782130695798915</v>
      </c>
      <c r="DU134" s="25">
        <f t="shared" si="170"/>
        <v>6.1977428274291674E-2</v>
      </c>
      <c r="DV134" s="24">
        <f t="shared" si="171"/>
        <v>0.21704429278562601</v>
      </c>
      <c r="DW134" s="25">
        <f t="shared" si="172"/>
        <v>7.9487821564267674E-2</v>
      </c>
      <c r="DX134" s="32">
        <f t="shared" si="173"/>
        <v>4.4802899170169358E-2</v>
      </c>
      <c r="DZ134" s="54" t="s">
        <v>1609</v>
      </c>
      <c r="EA134" s="39">
        <v>0</v>
      </c>
      <c r="EB134" s="40">
        <v>0</v>
      </c>
      <c r="EC134" s="39">
        <v>0</v>
      </c>
      <c r="ED134" s="40">
        <v>0</v>
      </c>
      <c r="EE134" s="39">
        <v>0.11502317166408933</v>
      </c>
      <c r="EF134" s="40">
        <v>0.11502317166408933</v>
      </c>
      <c r="EG134" s="39">
        <v>0.11502317166408933</v>
      </c>
      <c r="EH134" s="40">
        <v>0</v>
      </c>
      <c r="EI134" s="66">
        <v>0</v>
      </c>
      <c r="EO134" s="83" t="s">
        <v>1231</v>
      </c>
      <c r="EP134" s="82" t="s">
        <v>438</v>
      </c>
      <c r="EQ134" s="81">
        <f t="shared" si="250"/>
        <v>3.0427843931077136</v>
      </c>
      <c r="ER134" s="80">
        <f>EQ134/SUM(EQ134:EQ142)</f>
        <v>1.016477036558552E-2</v>
      </c>
      <c r="ET134" s="75" t="s">
        <v>519</v>
      </c>
      <c r="EU134" s="72">
        <v>0.21983926695310257</v>
      </c>
      <c r="EW134" s="37" t="s">
        <v>1231</v>
      </c>
      <c r="EX134" s="36" t="s">
        <v>1961</v>
      </c>
      <c r="EY134" s="36" t="s">
        <v>1107</v>
      </c>
      <c r="EZ134" s="1" t="s">
        <v>1937</v>
      </c>
      <c r="FA134" s="36" t="str">
        <f t="shared" si="251"/>
        <v>IMASTM</v>
      </c>
      <c r="FB134" s="1" t="s">
        <v>439</v>
      </c>
      <c r="FC134" s="26">
        <f t="shared" si="252"/>
        <v>54.595027087982025</v>
      </c>
      <c r="FD134" s="25">
        <f t="shared" si="253"/>
        <v>6.4017528284246672E-2</v>
      </c>
      <c r="FE134" s="24">
        <f t="shared" si="254"/>
        <v>1.1725890012121419E-3</v>
      </c>
      <c r="FF134" s="36">
        <v>0</v>
      </c>
      <c r="FG134" s="86">
        <f t="shared" si="255"/>
        <v>0</v>
      </c>
    </row>
    <row r="135" spans="1:163" ht="15.75" thickBot="1">
      <c r="A135" s="37" t="s">
        <v>1931</v>
      </c>
      <c r="B135" s="36" t="s">
        <v>1145</v>
      </c>
      <c r="C135" s="1" t="s">
        <v>1126</v>
      </c>
      <c r="D135" s="36" t="s">
        <v>1126</v>
      </c>
      <c r="E135" s="36" t="s">
        <v>1973</v>
      </c>
      <c r="F135" s="1" t="e">
        <f t="shared" ca="1" si="232"/>
        <v>#NAME?</v>
      </c>
      <c r="G135" s="35" t="s">
        <v>1121</v>
      </c>
      <c r="H135" s="43">
        <v>1</v>
      </c>
      <c r="I135" s="42">
        <v>0</v>
      </c>
      <c r="J135" s="26">
        <v>1.8265966517295276</v>
      </c>
      <c r="K135" s="25">
        <v>1.2924621068286009</v>
      </c>
      <c r="L135" s="24"/>
      <c r="M135" s="25"/>
      <c r="N135" s="24"/>
      <c r="O135" s="25"/>
      <c r="P135" s="24"/>
      <c r="Q135" s="25"/>
      <c r="R135" s="32"/>
      <c r="S135" s="47">
        <v>1</v>
      </c>
      <c r="T135" s="45">
        <v>1</v>
      </c>
      <c r="U135" s="46">
        <v>1</v>
      </c>
      <c r="V135" s="45">
        <v>1</v>
      </c>
      <c r="W135" s="46">
        <v>1</v>
      </c>
      <c r="X135" s="45">
        <v>1</v>
      </c>
      <c r="Y135" s="46">
        <v>1</v>
      </c>
      <c r="Z135" s="45">
        <v>1</v>
      </c>
      <c r="AA135" s="44">
        <v>1</v>
      </c>
      <c r="AB135" s="26">
        <f t="shared" ref="AB135:AB152" si="313">J135*$H135*S135</f>
        <v>1.8265966517295276</v>
      </c>
      <c r="AC135" s="25">
        <f t="shared" ref="AC135:AC152" si="314">K135*$H135*T135</f>
        <v>1.2924621068286009</v>
      </c>
      <c r="AD135" s="24">
        <f t="shared" ref="AD135:AD152" si="315">L135*$H135*U135</f>
        <v>0</v>
      </c>
      <c r="AE135" s="25">
        <f t="shared" ref="AE135:AE152" si="316">M135*$H135*V135</f>
        <v>0</v>
      </c>
      <c r="AF135" s="24">
        <f t="shared" ref="AF135:AF152" si="317">N135*$H135*W135</f>
        <v>0</v>
      </c>
      <c r="AG135" s="25">
        <f t="shared" ref="AG135:AG152" si="318">O135*$H135*X135</f>
        <v>0</v>
      </c>
      <c r="AH135" s="24">
        <f t="shared" ref="AH135:AH152" si="319">P135*$H135*Y135</f>
        <v>0</v>
      </c>
      <c r="AI135" s="25">
        <f t="shared" ref="AI135:AI152" si="320">Q135*$H135*Z135</f>
        <v>0</v>
      </c>
      <c r="AJ135" s="24">
        <f t="shared" ref="AJ135:AJ152" si="321">R135*$H135*AA135</f>
        <v>0</v>
      </c>
      <c r="AK135" s="27">
        <f t="shared" si="160"/>
        <v>3.1190587585581282</v>
      </c>
      <c r="AL135" s="41">
        <v>0</v>
      </c>
      <c r="AM135" s="40">
        <v>0</v>
      </c>
      <c r="AN135" s="39">
        <v>0</v>
      </c>
      <c r="AO135" s="40">
        <v>0</v>
      </c>
      <c r="AP135" s="39">
        <v>0</v>
      </c>
      <c r="AQ135" s="40">
        <v>0</v>
      </c>
      <c r="AR135" s="39">
        <v>0</v>
      </c>
      <c r="AS135" s="40">
        <v>0</v>
      </c>
      <c r="AT135" s="39">
        <v>0</v>
      </c>
      <c r="AU135" s="38">
        <v>0</v>
      </c>
      <c r="AW135" s="100" t="s">
        <v>1107</v>
      </c>
      <c r="AX135" s="41">
        <v>0</v>
      </c>
      <c r="AY135" s="40">
        <v>0.3344675004435278</v>
      </c>
      <c r="AZ135" s="39">
        <v>9.0782356205638647E-3</v>
      </c>
      <c r="BA135" s="40">
        <v>0</v>
      </c>
      <c r="BB135" s="39">
        <v>0</v>
      </c>
      <c r="BC135" s="40">
        <v>0</v>
      </c>
      <c r="BD135" s="39">
        <v>0</v>
      </c>
      <c r="BE135" s="40">
        <v>0</v>
      </c>
      <c r="BF135" s="39">
        <v>4.556278158642952E-2</v>
      </c>
      <c r="BG135" s="81">
        <v>0.38910851765052112</v>
      </c>
      <c r="BH135" s="66">
        <v>0.40330525042582271</v>
      </c>
      <c r="BJ135" s="22" t="s">
        <v>1201</v>
      </c>
      <c r="BK135" s="20" t="s">
        <v>1950</v>
      </c>
      <c r="BL135" s="21" t="s">
        <v>1027</v>
      </c>
      <c r="BM135" s="20"/>
      <c r="BN135" s="78"/>
      <c r="BO135" s="11">
        <f t="shared" ref="BO135:BW135" si="322">GETPIVOTDATA("Sum of "&amp;BO$1&amp;" (Out)",$AW$6,"Sub-Sector",$BJ135)</f>
        <v>44.82039899077246</v>
      </c>
      <c r="BP135" s="10">
        <f t="shared" si="322"/>
        <v>130.84773862054098</v>
      </c>
      <c r="BQ135" s="9">
        <f t="shared" si="322"/>
        <v>267.50343871101956</v>
      </c>
      <c r="BR135" s="10">
        <f t="shared" si="322"/>
        <v>175.42665234580812</v>
      </c>
      <c r="BS135" s="9">
        <f t="shared" si="322"/>
        <v>42.052445104134478</v>
      </c>
      <c r="BT135" s="10">
        <f t="shared" si="322"/>
        <v>36.947866466767216</v>
      </c>
      <c r="BU135" s="9">
        <f t="shared" si="322"/>
        <v>125.70035565865331</v>
      </c>
      <c r="BV135" s="10">
        <f t="shared" si="322"/>
        <v>11.986899290832991</v>
      </c>
      <c r="BW135" s="16">
        <f t="shared" si="322"/>
        <v>10.153384572114925</v>
      </c>
      <c r="BX135" s="11"/>
      <c r="BY135" s="6"/>
      <c r="BZ135" s="5"/>
      <c r="CA135" s="6"/>
      <c r="CB135" s="5"/>
      <c r="CC135" s="6"/>
      <c r="CD135" s="5"/>
      <c r="CE135" s="6"/>
      <c r="CF135" s="59"/>
      <c r="CH135" s="54" t="s">
        <v>1972</v>
      </c>
      <c r="CI135" s="41">
        <v>7.3967561814197613E-2</v>
      </c>
      <c r="CJ135" s="40">
        <v>9.1892316259033047E-2</v>
      </c>
      <c r="CK135" s="39">
        <v>0.27704112783278384</v>
      </c>
      <c r="CL135" s="40">
        <v>0.27642862970255311</v>
      </c>
      <c r="CM135" s="39">
        <v>0.20482958949705624</v>
      </c>
      <c r="CN135" s="40">
        <v>0.18438765505839544</v>
      </c>
      <c r="CO135" s="39">
        <v>0.21266633557126707</v>
      </c>
      <c r="CP135" s="40">
        <v>0.43441959779955841</v>
      </c>
      <c r="CQ135" s="66">
        <v>0.40179326906033508</v>
      </c>
      <c r="CS135" s="54" t="s">
        <v>1666</v>
      </c>
      <c r="CT135" s="39">
        <v>3.914540777800786E-2</v>
      </c>
      <c r="CU135" s="40">
        <v>0.10775413748863097</v>
      </c>
      <c r="CV135" s="39">
        <v>1.0509566290135028</v>
      </c>
      <c r="CW135" s="40">
        <v>0.71183791418616371</v>
      </c>
      <c r="CX135" s="39">
        <v>0.32979166941303556</v>
      </c>
      <c r="CY135" s="40">
        <v>0.28746147745475148</v>
      </c>
      <c r="CZ135" s="39">
        <v>0.99864185106524073</v>
      </c>
      <c r="DA135" s="40">
        <v>0.27085820467124266</v>
      </c>
      <c r="DB135" s="39">
        <v>0.169840431128674</v>
      </c>
      <c r="DC135" s="38">
        <v>3.9662877221992496</v>
      </c>
      <c r="DE135" s="37" t="s">
        <v>1409</v>
      </c>
      <c r="DF135" s="35" t="str">
        <f t="shared" si="164"/>
        <v>IPOST</v>
      </c>
      <c r="DG135" s="26">
        <f t="shared" si="301"/>
        <v>0.64665007095829918</v>
      </c>
      <c r="DH135" s="25">
        <f t="shared" si="301"/>
        <v>5.294211107260928E-2</v>
      </c>
      <c r="DI135" s="24">
        <f t="shared" si="301"/>
        <v>0.91715484625540333</v>
      </c>
      <c r="DJ135" s="25">
        <f t="shared" si="301"/>
        <v>0.42017548470324828</v>
      </c>
      <c r="DK135" s="24">
        <f t="shared" si="301"/>
        <v>1.1451672747844681</v>
      </c>
      <c r="DL135" s="25">
        <f t="shared" si="301"/>
        <v>1.9527235476098759</v>
      </c>
      <c r="DM135" s="24">
        <f t="shared" si="301"/>
        <v>0.33614038776259858</v>
      </c>
      <c r="DN135" s="25">
        <f t="shared" si="301"/>
        <v>0</v>
      </c>
      <c r="DO135" s="32">
        <f t="shared" si="301"/>
        <v>0.10504387117581207</v>
      </c>
      <c r="DP135" s="26">
        <f t="shared" si="165"/>
        <v>5.6147888062495405E-2</v>
      </c>
      <c r="DQ135" s="25">
        <f t="shared" si="166"/>
        <v>1.3654672523457463E-2</v>
      </c>
      <c r="DR135" s="24">
        <f t="shared" si="167"/>
        <v>0.34916390367846989</v>
      </c>
      <c r="DS135" s="25">
        <f t="shared" si="168"/>
        <v>0.84935834673414579</v>
      </c>
      <c r="DT135" s="24">
        <f t="shared" si="169"/>
        <v>0.76182593258305109</v>
      </c>
      <c r="DU135" s="25">
        <f t="shared" si="170"/>
        <v>0.93802257172570846</v>
      </c>
      <c r="DV135" s="24">
        <f t="shared" si="171"/>
        <v>0.78295570721437402</v>
      </c>
      <c r="DW135" s="25">
        <f t="shared" si="172"/>
        <v>0</v>
      </c>
      <c r="DX135" s="32">
        <f t="shared" si="173"/>
        <v>7.1738819678093771E-2</v>
      </c>
      <c r="DZ135" s="54" t="s">
        <v>1607</v>
      </c>
      <c r="EA135" s="39">
        <v>0.27811585079141826</v>
      </c>
      <c r="EB135" s="40">
        <v>0.27811585079141821</v>
      </c>
      <c r="EC135" s="39">
        <v>0.76353064622711486</v>
      </c>
      <c r="ED135" s="40">
        <v>0.76353064622711486</v>
      </c>
      <c r="EE135" s="39">
        <v>0.40649617443746988</v>
      </c>
      <c r="EF135" s="40">
        <v>0.40649617443746988</v>
      </c>
      <c r="EG135" s="39">
        <v>0.40649617443746988</v>
      </c>
      <c r="EH135" s="40">
        <v>0.74430322001841887</v>
      </c>
      <c r="EI135" s="66">
        <v>0.74430322001841887</v>
      </c>
      <c r="EO135" s="83" t="s">
        <v>1231</v>
      </c>
      <c r="EP135" s="82" t="s">
        <v>440</v>
      </c>
      <c r="EQ135" s="81">
        <f t="shared" si="250"/>
        <v>15.825052118743701</v>
      </c>
      <c r="ER135" s="80">
        <f>EQ135/SUM(EQ134:EQ142)</f>
        <v>5.2865402220024463E-2</v>
      </c>
      <c r="ET135" s="75" t="s">
        <v>520</v>
      </c>
      <c r="EU135" s="72">
        <v>0.17222398030182667</v>
      </c>
      <c r="EW135" s="37" t="s">
        <v>1231</v>
      </c>
      <c r="EX135" s="36" t="s">
        <v>1961</v>
      </c>
      <c r="EY135" s="36" t="s">
        <v>1145</v>
      </c>
      <c r="EZ135" s="1" t="s">
        <v>1945</v>
      </c>
      <c r="FA135" s="36" t="str">
        <f t="shared" si="251"/>
        <v>IMAFAC</v>
      </c>
      <c r="FB135" s="1" t="s">
        <v>518</v>
      </c>
      <c r="FC135" s="26">
        <f t="shared" si="252"/>
        <v>36.935149398008399</v>
      </c>
      <c r="FD135" s="25">
        <f t="shared" si="253"/>
        <v>1.4039232303404154</v>
      </c>
      <c r="FE135" s="24">
        <f t="shared" si="254"/>
        <v>3.8010492802179302E-2</v>
      </c>
      <c r="FF135" s="36">
        <v>0</v>
      </c>
      <c r="FG135" s="86">
        <f t="shared" si="255"/>
        <v>0</v>
      </c>
    </row>
    <row r="136" spans="1:163">
      <c r="A136" s="37" t="s">
        <v>1931</v>
      </c>
      <c r="B136" s="36" t="s">
        <v>1145</v>
      </c>
      <c r="C136" s="1" t="s">
        <v>665</v>
      </c>
      <c r="D136" s="36" t="s">
        <v>665</v>
      </c>
      <c r="E136" s="36" t="s">
        <v>1971</v>
      </c>
      <c r="F136" s="1" t="e">
        <f t="shared" ca="1" si="232"/>
        <v>#NAME?</v>
      </c>
      <c r="G136" s="35" t="s">
        <v>1121</v>
      </c>
      <c r="H136" s="43">
        <v>1</v>
      </c>
      <c r="I136" s="42">
        <v>0</v>
      </c>
      <c r="J136" s="26">
        <v>0.7177828389350831</v>
      </c>
      <c r="K136" s="25">
        <v>1.0170440015116784</v>
      </c>
      <c r="L136" s="24"/>
      <c r="M136" s="25"/>
      <c r="N136" s="24"/>
      <c r="O136" s="25"/>
      <c r="P136" s="24"/>
      <c r="Q136" s="25"/>
      <c r="R136" s="32"/>
      <c r="S136" s="47">
        <v>1</v>
      </c>
      <c r="T136" s="45">
        <v>1</v>
      </c>
      <c r="U136" s="46">
        <v>1</v>
      </c>
      <c r="V136" s="45">
        <v>1</v>
      </c>
      <c r="W136" s="46">
        <v>1</v>
      </c>
      <c r="X136" s="45">
        <v>1</v>
      </c>
      <c r="Y136" s="46">
        <v>1</v>
      </c>
      <c r="Z136" s="45">
        <v>1</v>
      </c>
      <c r="AA136" s="44">
        <v>1</v>
      </c>
      <c r="AB136" s="26">
        <f t="shared" si="313"/>
        <v>0.7177828389350831</v>
      </c>
      <c r="AC136" s="25">
        <f t="shared" si="314"/>
        <v>1.0170440015116784</v>
      </c>
      <c r="AD136" s="24">
        <f t="shared" si="315"/>
        <v>0</v>
      </c>
      <c r="AE136" s="25">
        <f t="shared" si="316"/>
        <v>0</v>
      </c>
      <c r="AF136" s="24">
        <f t="shared" si="317"/>
        <v>0</v>
      </c>
      <c r="AG136" s="25">
        <f t="shared" si="318"/>
        <v>0</v>
      </c>
      <c r="AH136" s="24">
        <f t="shared" si="319"/>
        <v>0</v>
      </c>
      <c r="AI136" s="25">
        <f t="shared" si="320"/>
        <v>0</v>
      </c>
      <c r="AJ136" s="24">
        <f t="shared" si="321"/>
        <v>0</v>
      </c>
      <c r="AK136" s="27">
        <f t="shared" ref="AK136:AK199" si="323">SUM(AB136:AJ136)</f>
        <v>1.7348268404467615</v>
      </c>
      <c r="AL136" s="41">
        <v>0</v>
      </c>
      <c r="AM136" s="40">
        <v>0</v>
      </c>
      <c r="AN136" s="39">
        <v>0</v>
      </c>
      <c r="AO136" s="40">
        <v>0</v>
      </c>
      <c r="AP136" s="39">
        <v>0</v>
      </c>
      <c r="AQ136" s="40">
        <v>0</v>
      </c>
      <c r="AR136" s="39">
        <v>0</v>
      </c>
      <c r="AS136" s="40">
        <v>0</v>
      </c>
      <c r="AT136" s="39">
        <v>0</v>
      </c>
      <c r="AU136" s="38">
        <v>0</v>
      </c>
      <c r="AW136" s="51" t="s">
        <v>1108</v>
      </c>
      <c r="AX136" s="7">
        <v>11.914283276028124</v>
      </c>
      <c r="AY136" s="6">
        <v>34.782310266219753</v>
      </c>
      <c r="AZ136" s="5">
        <v>71.108509024448225</v>
      </c>
      <c r="BA136" s="6">
        <v>46.632401256480648</v>
      </c>
      <c r="BB136" s="5">
        <v>11.178498065655996</v>
      </c>
      <c r="BC136" s="6">
        <v>9.8215847569887522</v>
      </c>
      <c r="BD136" s="5">
        <v>33.41401859280657</v>
      </c>
      <c r="BE136" s="6">
        <v>3.1863909507277564</v>
      </c>
      <c r="BF136" s="5">
        <v>2.6990009622077644</v>
      </c>
      <c r="BG136" s="77">
        <v>224.73699715156354</v>
      </c>
      <c r="BH136" s="59">
        <v>0.87198123165886687</v>
      </c>
      <c r="BJ136" s="37" t="s">
        <v>1164</v>
      </c>
      <c r="BK136" s="36" t="s">
        <v>1936</v>
      </c>
      <c r="BL136" s="1" t="s">
        <v>1150</v>
      </c>
      <c r="BM136" s="36" t="s">
        <v>1902</v>
      </c>
      <c r="BN136" s="82" t="str">
        <f t="shared" ref="BN136:BN142" si="324">BK136&amp;BM136</f>
        <v>IPLETC</v>
      </c>
      <c r="BO136" s="91">
        <f t="shared" ref="BO136:BW142" si="325">IF(ISERROR(GETPIVOTDATA("Sum of "&amp;BO$1&amp;" (Out)",$AW$6,"Sub-Sector",$BJ136,"End-Use",$BL136)),0,GETPIVOTDATA("Sum of "&amp;BO$1&amp;" (Out)",$AW$6,"Sub-Sector",$BJ136,"End-Use",$BL136))</f>
        <v>0</v>
      </c>
      <c r="BP136" s="89">
        <f t="shared" si="325"/>
        <v>0</v>
      </c>
      <c r="BQ136" s="90">
        <f t="shared" si="325"/>
        <v>0</v>
      </c>
      <c r="BR136" s="89">
        <f t="shared" si="325"/>
        <v>0</v>
      </c>
      <c r="BS136" s="90">
        <f t="shared" si="325"/>
        <v>0</v>
      </c>
      <c r="BT136" s="89">
        <f t="shared" si="325"/>
        <v>0</v>
      </c>
      <c r="BU136" s="90">
        <f t="shared" si="325"/>
        <v>0</v>
      </c>
      <c r="BV136" s="89">
        <f t="shared" si="325"/>
        <v>0</v>
      </c>
      <c r="BW136" s="88">
        <f t="shared" si="325"/>
        <v>0</v>
      </c>
      <c r="BX136" s="26">
        <f t="shared" ref="BX136:CF136" si="326">BO136/BO143</f>
        <v>0</v>
      </c>
      <c r="BY136" s="25">
        <f t="shared" si="326"/>
        <v>0</v>
      </c>
      <c r="BZ136" s="24">
        <f t="shared" si="326"/>
        <v>0</v>
      </c>
      <c r="CA136" s="25">
        <f t="shared" si="326"/>
        <v>0</v>
      </c>
      <c r="CB136" s="24">
        <f t="shared" si="326"/>
        <v>0</v>
      </c>
      <c r="CC136" s="25">
        <f t="shared" si="326"/>
        <v>0</v>
      </c>
      <c r="CD136" s="24">
        <f t="shared" si="326"/>
        <v>0</v>
      </c>
      <c r="CE136" s="25">
        <f t="shared" si="326"/>
        <v>0</v>
      </c>
      <c r="CF136" s="32">
        <f t="shared" si="326"/>
        <v>0</v>
      </c>
      <c r="CH136" s="54" t="s">
        <v>1970</v>
      </c>
      <c r="CI136" s="41">
        <v>0</v>
      </c>
      <c r="CJ136" s="40">
        <v>0</v>
      </c>
      <c r="CK136" s="39">
        <v>0</v>
      </c>
      <c r="CL136" s="40">
        <v>0</v>
      </c>
      <c r="CM136" s="39">
        <v>0</v>
      </c>
      <c r="CN136" s="40">
        <v>0</v>
      </c>
      <c r="CO136" s="39">
        <v>0</v>
      </c>
      <c r="CP136" s="40">
        <v>0</v>
      </c>
      <c r="CQ136" s="66">
        <v>0</v>
      </c>
      <c r="CS136" s="54" t="s">
        <v>1662</v>
      </c>
      <c r="CT136" s="39">
        <v>1.1880488897872588</v>
      </c>
      <c r="CU136" s="40">
        <v>3.2702988851037733</v>
      </c>
      <c r="CV136" s="39">
        <v>7.8918312945284343</v>
      </c>
      <c r="CW136" s="40">
        <v>5.3453249855604046</v>
      </c>
      <c r="CX136" s="39">
        <v>2.3545204915732247</v>
      </c>
      <c r="CY136" s="40">
        <v>2.0523075686228172</v>
      </c>
      <c r="CZ136" s="39">
        <v>7.1297213366869396</v>
      </c>
      <c r="DA136" s="40">
        <v>2.4011617889676962</v>
      </c>
      <c r="DB136" s="39">
        <v>1.5056378075863017</v>
      </c>
      <c r="DC136" s="38">
        <v>33.138853048416848</v>
      </c>
      <c r="DE136" s="37" t="s">
        <v>1423</v>
      </c>
      <c r="DF136" s="35" t="str">
        <f t="shared" ref="DF136:DF199" si="327">LEFT(DE136,5)</f>
        <v>IPOST</v>
      </c>
      <c r="DG136" s="26">
        <f t="shared" si="301"/>
        <v>10.335884427789098</v>
      </c>
      <c r="DH136" s="25">
        <f t="shared" si="301"/>
        <v>3.3527674335094897</v>
      </c>
      <c r="DI136" s="24">
        <f t="shared" si="301"/>
        <v>0</v>
      </c>
      <c r="DJ136" s="25">
        <f t="shared" si="301"/>
        <v>2.2939180796432042E-2</v>
      </c>
      <c r="DK136" s="24">
        <f t="shared" si="301"/>
        <v>0.13581714672434184</v>
      </c>
      <c r="DL136" s="25">
        <f t="shared" si="301"/>
        <v>0</v>
      </c>
      <c r="DM136" s="24">
        <f t="shared" si="301"/>
        <v>0</v>
      </c>
      <c r="DN136" s="25">
        <f t="shared" si="301"/>
        <v>0</v>
      </c>
      <c r="DO136" s="32">
        <f t="shared" si="301"/>
        <v>0.53389104766039452</v>
      </c>
      <c r="DP136" s="26">
        <f t="shared" ref="DP136:DP199" si="328">IF(SUMIF($DF$8:$DF$380,"="&amp;$DF136,DG$8:DG$380)=0,0,DG136/SUMIF($DF$8:$DF$380,"="&amp;$DF136,DG$8:DG$380))</f>
        <v>0.89745305527974828</v>
      </c>
      <c r="DQ136" s="25">
        <f t="shared" ref="DQ136:DQ199" si="329">IF(SUMIF($DF$8:$DF$380,"="&amp;$DF136,DH$8:DH$380)=0,0,DH136/SUMIF($DF$8:$DF$380,"="&amp;$DF136,DH$8:DH$380))</f>
        <v>0.86473584872913689</v>
      </c>
      <c r="DR136" s="24">
        <f t="shared" ref="DR136:DR199" si="330">IF(SUMIF($DF$8:$DF$380,"="&amp;$DF136,DI$8:DI$380)=0,0,DI136/SUMIF($DF$8:$DF$380,"="&amp;$DF136,DI$8:DI$380))</f>
        <v>0</v>
      </c>
      <c r="DS136" s="25">
        <f t="shared" ref="DS136:DS199" si="331">IF(SUMIF($DF$8:$DF$380,"="&amp;$DF136,DJ$8:DJ$380)=0,0,DJ136/SUMIF($DF$8:$DF$380,"="&amp;$DF136,DJ$8:DJ$380))</f>
        <v>4.6370112931394827E-2</v>
      </c>
      <c r="DT136" s="24">
        <f t="shared" ref="DT136:DT199" si="332">IF(SUMIF($DF$8:$DF$380,"="&amp;$DF136,DK$8:DK$380)=0,0,DK136/SUMIF($DF$8:$DF$380,"="&amp;$DF136,DK$8:DK$380))</f>
        <v>9.0352760458959763E-2</v>
      </c>
      <c r="DU136" s="25">
        <f t="shared" ref="DU136:DU199" si="333">IF(SUMIF($DF$8:$DF$380,"="&amp;$DF136,DL$8:DL$380)=0,0,DL136/SUMIF($DF$8:$DF$380,"="&amp;$DF136,DL$8:DL$380))</f>
        <v>0</v>
      </c>
      <c r="DV136" s="24">
        <f t="shared" ref="DV136:DV199" si="334">IF(SUMIF($DF$8:$DF$380,"="&amp;$DF136,DM$8:DM$380)=0,0,DM136/SUMIF($DF$8:$DF$380,"="&amp;$DF136,DM$8:DM$380))</f>
        <v>0</v>
      </c>
      <c r="DW136" s="25">
        <f t="shared" ref="DW136:DW199" si="335">IF(SUMIF($DF$8:$DF$380,"="&amp;$DF136,DN$8:DN$380)=0,0,DN136/SUMIF($DF$8:$DF$380,"="&amp;$DF136,DN$8:DN$380))</f>
        <v>0</v>
      </c>
      <c r="DX136" s="32">
        <f t="shared" ref="DX136:DX199" si="336">IF(SUMIF($DF$8:$DF$380,"="&amp;$DF136,DO$8:DO$380)=0,0,DO136/SUMIF($DF$8:$DF$380,"="&amp;$DF136,DO$8:DO$380))</f>
        <v>0.36461635664353659</v>
      </c>
      <c r="DZ136" s="54" t="s">
        <v>1605</v>
      </c>
      <c r="EA136" s="39">
        <v>0.72188414920858179</v>
      </c>
      <c r="EB136" s="40">
        <v>0.72188414920858168</v>
      </c>
      <c r="EC136" s="39">
        <v>0.23646935377288503</v>
      </c>
      <c r="ED136" s="40">
        <v>0.23646935377288508</v>
      </c>
      <c r="EE136" s="39">
        <v>0.4784806538984408</v>
      </c>
      <c r="EF136" s="40">
        <v>0.4784806538984408</v>
      </c>
      <c r="EG136" s="39">
        <v>0.47848065389844074</v>
      </c>
      <c r="EH136" s="40">
        <v>0.25569677998158108</v>
      </c>
      <c r="EI136" s="66">
        <v>0.25569677998158108</v>
      </c>
      <c r="EO136" s="83" t="s">
        <v>1231</v>
      </c>
      <c r="EP136" s="82" t="s">
        <v>439</v>
      </c>
      <c r="EQ136" s="81">
        <f t="shared" ref="EQ136:EQ167" si="337">GETPIVOTDATA("Sum of "&amp;EP136&amp;" (Out)",$AW$6,"Sub-Sector",EO136)</f>
        <v>54.595027087982025</v>
      </c>
      <c r="ER136" s="80">
        <f>EQ136/SUM(EQ134:EQ142)</f>
        <v>0.18238095170636479</v>
      </c>
      <c r="ET136" s="75" t="s">
        <v>521</v>
      </c>
      <c r="EU136" s="72">
        <v>1.3803619258277196E-2</v>
      </c>
      <c r="EW136" s="37" t="s">
        <v>1231</v>
      </c>
      <c r="EX136" s="36" t="s">
        <v>1961</v>
      </c>
      <c r="EY136" s="36" t="s">
        <v>1145</v>
      </c>
      <c r="EZ136" s="1" t="s">
        <v>1945</v>
      </c>
      <c r="FA136" s="36" t="str">
        <f t="shared" ref="FA136:FA167" si="338">EX136&amp;EZ136</f>
        <v>IMAFAC</v>
      </c>
      <c r="FB136" s="1" t="s">
        <v>517</v>
      </c>
      <c r="FC136" s="26">
        <f t="shared" ref="FC136:FC167" si="339">GETPIVOTDATA("Sum of "&amp;FB136&amp;" (Out)",$AW$6,"Sub-Sector",EW136)</f>
        <v>27.847713841354377</v>
      </c>
      <c r="FD136" s="25">
        <f t="shared" ref="FD136:FD167" si="340">GETPIVOTDATA("Sum of "&amp;FB136&amp;" (Out)",$AW$6,"Sub-Sector",EW136,"End-Use",EY136)</f>
        <v>1.3024956332671107</v>
      </c>
      <c r="FE136" s="24">
        <f t="shared" ref="FE136:FE167" si="341">GETPIVOTDATA("Sum of "&amp;FB136&amp;" (%)",$CH$6,"End-Use Commodity",FA136)</f>
        <v>4.6772084799754018E-2</v>
      </c>
      <c r="FF136" s="36">
        <v>0</v>
      </c>
      <c r="FG136" s="86">
        <f t="shared" ref="FG136:FG167" si="342">FC136-((FD136-FF136)/FE136)</f>
        <v>0</v>
      </c>
    </row>
    <row r="137" spans="1:163">
      <c r="A137" s="37" t="s">
        <v>1931</v>
      </c>
      <c r="B137" s="36" t="s">
        <v>1139</v>
      </c>
      <c r="C137" s="1" t="s">
        <v>456</v>
      </c>
      <c r="D137" s="36" t="s">
        <v>456</v>
      </c>
      <c r="E137" s="36" t="s">
        <v>1969</v>
      </c>
      <c r="F137" s="1" t="e">
        <f t="shared" ca="1" si="232"/>
        <v>#NAME?</v>
      </c>
      <c r="G137" s="35" t="s">
        <v>1121</v>
      </c>
      <c r="H137" s="43">
        <v>1</v>
      </c>
      <c r="I137" s="42">
        <v>0</v>
      </c>
      <c r="J137" s="26">
        <v>0</v>
      </c>
      <c r="K137" s="25">
        <v>270.89648076900465</v>
      </c>
      <c r="L137" s="24"/>
      <c r="M137" s="25"/>
      <c r="N137" s="24"/>
      <c r="O137" s="25"/>
      <c r="P137" s="24"/>
      <c r="Q137" s="25"/>
      <c r="R137" s="32"/>
      <c r="S137" s="47">
        <v>1</v>
      </c>
      <c r="T137" s="45">
        <v>1</v>
      </c>
      <c r="U137" s="46">
        <v>1</v>
      </c>
      <c r="V137" s="45">
        <v>1</v>
      </c>
      <c r="W137" s="46">
        <v>1</v>
      </c>
      <c r="X137" s="45">
        <v>1</v>
      </c>
      <c r="Y137" s="46">
        <v>1</v>
      </c>
      <c r="Z137" s="45">
        <v>1</v>
      </c>
      <c r="AA137" s="44">
        <v>1</v>
      </c>
      <c r="AB137" s="26">
        <f t="shared" si="313"/>
        <v>0</v>
      </c>
      <c r="AC137" s="25">
        <f t="shared" si="314"/>
        <v>270.89648076900465</v>
      </c>
      <c r="AD137" s="24">
        <f t="shared" si="315"/>
        <v>0</v>
      </c>
      <c r="AE137" s="25">
        <f t="shared" si="316"/>
        <v>0</v>
      </c>
      <c r="AF137" s="24">
        <f t="shared" si="317"/>
        <v>0</v>
      </c>
      <c r="AG137" s="25">
        <f t="shared" si="318"/>
        <v>0</v>
      </c>
      <c r="AH137" s="24">
        <f t="shared" si="319"/>
        <v>0</v>
      </c>
      <c r="AI137" s="25">
        <f t="shared" si="320"/>
        <v>0</v>
      </c>
      <c r="AJ137" s="24">
        <f t="shared" si="321"/>
        <v>0</v>
      </c>
      <c r="AK137" s="27">
        <f t="shared" si="323"/>
        <v>270.89648076900465</v>
      </c>
      <c r="AL137" s="41">
        <v>0</v>
      </c>
      <c r="AM137" s="40">
        <v>0</v>
      </c>
      <c r="AN137" s="39">
        <v>0</v>
      </c>
      <c r="AO137" s="40">
        <v>0</v>
      </c>
      <c r="AP137" s="39">
        <v>0</v>
      </c>
      <c r="AQ137" s="40">
        <v>0</v>
      </c>
      <c r="AR137" s="39">
        <v>0</v>
      </c>
      <c r="AS137" s="40">
        <v>0</v>
      </c>
      <c r="AT137" s="39">
        <v>0</v>
      </c>
      <c r="AU137" s="38">
        <v>0</v>
      </c>
      <c r="AW137" s="100" t="s">
        <v>1150</v>
      </c>
      <c r="AX137" s="41">
        <v>2.1391739821283791E-2</v>
      </c>
      <c r="AY137" s="40">
        <v>5.888426266742397E-2</v>
      </c>
      <c r="AZ137" s="39">
        <v>0.16032957495081002</v>
      </c>
      <c r="BA137" s="40">
        <v>0.10859503338636103</v>
      </c>
      <c r="BB137" s="39">
        <v>6.2258102322241424E-2</v>
      </c>
      <c r="BC137" s="40">
        <v>5.4267004709165095E-2</v>
      </c>
      <c r="BD137" s="39">
        <v>0.188523702425683</v>
      </c>
      <c r="BE137" s="40">
        <v>2.466925484442322E-2</v>
      </c>
      <c r="BF137" s="39">
        <v>1.5468746399930667E-2</v>
      </c>
      <c r="BG137" s="81">
        <v>0.69438742152732214</v>
      </c>
      <c r="BH137" s="66">
        <v>0</v>
      </c>
      <c r="BJ137" s="37" t="s">
        <v>1164</v>
      </c>
      <c r="BK137" s="36" t="s">
        <v>1936</v>
      </c>
      <c r="BL137" s="1" t="s">
        <v>1145</v>
      </c>
      <c r="BM137" s="36" t="s">
        <v>1945</v>
      </c>
      <c r="BN137" s="82" t="str">
        <f t="shared" si="324"/>
        <v>IPLFAC</v>
      </c>
      <c r="BO137" s="26">
        <f t="shared" si="325"/>
        <v>0</v>
      </c>
      <c r="BP137" s="25">
        <f t="shared" si="325"/>
        <v>0</v>
      </c>
      <c r="BQ137" s="24">
        <f t="shared" si="325"/>
        <v>0</v>
      </c>
      <c r="BR137" s="25">
        <f t="shared" si="325"/>
        <v>0</v>
      </c>
      <c r="BS137" s="24">
        <f t="shared" si="325"/>
        <v>0</v>
      </c>
      <c r="BT137" s="25">
        <f t="shared" si="325"/>
        <v>0</v>
      </c>
      <c r="BU137" s="24">
        <f t="shared" si="325"/>
        <v>0</v>
      </c>
      <c r="BV137" s="25">
        <f t="shared" si="325"/>
        <v>0</v>
      </c>
      <c r="BW137" s="32">
        <f t="shared" si="325"/>
        <v>0</v>
      </c>
      <c r="BX137" s="26">
        <f t="shared" ref="BX137:CF137" si="343">BO137/BO143</f>
        <v>0</v>
      </c>
      <c r="BY137" s="25">
        <f t="shared" si="343"/>
        <v>0</v>
      </c>
      <c r="BZ137" s="24">
        <f t="shared" si="343"/>
        <v>0</v>
      </c>
      <c r="CA137" s="25">
        <f t="shared" si="343"/>
        <v>0</v>
      </c>
      <c r="CB137" s="24">
        <f t="shared" si="343"/>
        <v>0</v>
      </c>
      <c r="CC137" s="25">
        <f t="shared" si="343"/>
        <v>0</v>
      </c>
      <c r="CD137" s="24">
        <f t="shared" si="343"/>
        <v>0</v>
      </c>
      <c r="CE137" s="25">
        <f t="shared" si="343"/>
        <v>0</v>
      </c>
      <c r="CF137" s="32">
        <f t="shared" si="343"/>
        <v>0</v>
      </c>
      <c r="CH137" s="54" t="s">
        <v>1968</v>
      </c>
      <c r="CI137" s="41">
        <v>5.7970136640496418E-2</v>
      </c>
      <c r="CJ137" s="40">
        <v>7.2018192827945429E-2</v>
      </c>
      <c r="CK137" s="39">
        <v>0.24139268727592603</v>
      </c>
      <c r="CL137" s="40">
        <v>0.24085900272603813</v>
      </c>
      <c r="CM137" s="39">
        <v>0.23350772211718229</v>
      </c>
      <c r="CN137" s="40">
        <v>0.21020371824664255</v>
      </c>
      <c r="CO137" s="39">
        <v>0.24244168878231603</v>
      </c>
      <c r="CP137" s="40">
        <v>0.22127700807999065</v>
      </c>
      <c r="CQ137" s="66">
        <v>0.20465838303494699</v>
      </c>
      <c r="CS137" s="54" t="s">
        <v>1658</v>
      </c>
      <c r="CT137" s="39">
        <v>0</v>
      </c>
      <c r="CU137" s="40">
        <v>0</v>
      </c>
      <c r="CV137" s="39">
        <v>4.01940044733536E-3</v>
      </c>
      <c r="CW137" s="40">
        <v>2.7224354951695868E-3</v>
      </c>
      <c r="CX137" s="39">
        <v>0</v>
      </c>
      <c r="CY137" s="40">
        <v>0</v>
      </c>
      <c r="CZ137" s="39">
        <v>0</v>
      </c>
      <c r="DA137" s="40">
        <v>0</v>
      </c>
      <c r="DB137" s="39">
        <v>0</v>
      </c>
      <c r="DC137" s="38">
        <v>6.7418359425049472E-3</v>
      </c>
      <c r="DE137" s="37" t="s">
        <v>1406</v>
      </c>
      <c r="DF137" s="35" t="str">
        <f t="shared" si="327"/>
        <v>IPOST</v>
      </c>
      <c r="DG137" s="26">
        <f t="shared" si="301"/>
        <v>0.45567672531992659</v>
      </c>
      <c r="DH137" s="25">
        <f t="shared" si="301"/>
        <v>0.40206769881169996</v>
      </c>
      <c r="DI137" s="24">
        <f t="shared" si="301"/>
        <v>0</v>
      </c>
      <c r="DJ137" s="25">
        <f t="shared" si="301"/>
        <v>0</v>
      </c>
      <c r="DK137" s="24">
        <f t="shared" si="301"/>
        <v>0</v>
      </c>
      <c r="DL137" s="25">
        <f t="shared" si="301"/>
        <v>0</v>
      </c>
      <c r="DM137" s="24">
        <f t="shared" si="301"/>
        <v>0</v>
      </c>
      <c r="DN137" s="25">
        <f t="shared" si="301"/>
        <v>9.8027934186471599E-2</v>
      </c>
      <c r="DO137" s="32">
        <f t="shared" si="301"/>
        <v>0.75971648994515495</v>
      </c>
      <c r="DP137" s="26">
        <f t="shared" si="328"/>
        <v>3.9565890293697399E-2</v>
      </c>
      <c r="DQ137" s="25">
        <f t="shared" si="329"/>
        <v>0.10370011033380025</v>
      </c>
      <c r="DR137" s="24">
        <f t="shared" si="330"/>
        <v>0</v>
      </c>
      <c r="DS137" s="25">
        <f t="shared" si="331"/>
        <v>0</v>
      </c>
      <c r="DT137" s="24">
        <f t="shared" si="332"/>
        <v>0</v>
      </c>
      <c r="DU137" s="25">
        <f t="shared" si="333"/>
        <v>0</v>
      </c>
      <c r="DV137" s="24">
        <f t="shared" si="334"/>
        <v>0</v>
      </c>
      <c r="DW137" s="25">
        <f t="shared" si="335"/>
        <v>0.9205121784357323</v>
      </c>
      <c r="DX137" s="32">
        <f t="shared" si="336"/>
        <v>0.51884192450820033</v>
      </c>
      <c r="DZ137" s="54" t="s">
        <v>1603</v>
      </c>
      <c r="EA137" s="39">
        <v>0</v>
      </c>
      <c r="EB137" s="40">
        <v>0</v>
      </c>
      <c r="EC137" s="39">
        <v>0.17686940232344492</v>
      </c>
      <c r="ED137" s="40">
        <v>0.17686940232344495</v>
      </c>
      <c r="EE137" s="39">
        <v>0.39195759562254628</v>
      </c>
      <c r="EF137" s="40">
        <v>0.39195759562254628</v>
      </c>
      <c r="EG137" s="39">
        <v>0.39195759562254628</v>
      </c>
      <c r="EH137" s="40">
        <v>0</v>
      </c>
      <c r="EI137" s="66">
        <v>0</v>
      </c>
      <c r="EO137" s="83" t="s">
        <v>1231</v>
      </c>
      <c r="EP137" s="82" t="s">
        <v>518</v>
      </c>
      <c r="EQ137" s="81">
        <f t="shared" si="337"/>
        <v>36.935149398008399</v>
      </c>
      <c r="ER137" s="80">
        <f>EQ137/SUM(EQ134:EQ142)</f>
        <v>0.12338610415505022</v>
      </c>
      <c r="ET137" s="75" t="s">
        <v>522</v>
      </c>
      <c r="EU137" s="72">
        <v>0.10414590385196366</v>
      </c>
      <c r="EW137" s="37" t="s">
        <v>1231</v>
      </c>
      <c r="EX137" s="36" t="s">
        <v>1961</v>
      </c>
      <c r="EY137" s="36" t="s">
        <v>1107</v>
      </c>
      <c r="EZ137" s="1" t="s">
        <v>1937</v>
      </c>
      <c r="FA137" s="36" t="str">
        <f t="shared" si="338"/>
        <v>IMASTM</v>
      </c>
      <c r="FB137" s="1" t="s">
        <v>519</v>
      </c>
      <c r="FC137" s="26">
        <f t="shared" si="339"/>
        <v>24.314539191249725</v>
      </c>
      <c r="FD137" s="25">
        <f t="shared" si="340"/>
        <v>4.1200271499421494E-2</v>
      </c>
      <c r="FE137" s="24">
        <f t="shared" si="341"/>
        <v>1.6944705871394254E-3</v>
      </c>
      <c r="FF137" s="36">
        <v>0</v>
      </c>
      <c r="FG137" s="86">
        <f t="shared" si="342"/>
        <v>0</v>
      </c>
    </row>
    <row r="138" spans="1:163">
      <c r="A138" s="37" t="s">
        <v>1931</v>
      </c>
      <c r="B138" s="36" t="s">
        <v>1139</v>
      </c>
      <c r="C138" s="1" t="s">
        <v>665</v>
      </c>
      <c r="D138" s="36" t="s">
        <v>665</v>
      </c>
      <c r="E138" s="36" t="s">
        <v>1967</v>
      </c>
      <c r="F138" s="1" t="e">
        <f t="shared" ca="1" si="232"/>
        <v>#NAME?</v>
      </c>
      <c r="G138" s="35" t="s">
        <v>1121</v>
      </c>
      <c r="H138" s="43">
        <v>1</v>
      </c>
      <c r="I138" s="42">
        <v>0</v>
      </c>
      <c r="J138" s="26">
        <v>0</v>
      </c>
      <c r="K138" s="25">
        <v>21.925311298258926</v>
      </c>
      <c r="L138" s="24"/>
      <c r="M138" s="25"/>
      <c r="N138" s="24"/>
      <c r="O138" s="25"/>
      <c r="P138" s="24"/>
      <c r="Q138" s="25"/>
      <c r="R138" s="32"/>
      <c r="S138" s="47">
        <v>1</v>
      </c>
      <c r="T138" s="45">
        <v>1</v>
      </c>
      <c r="U138" s="46">
        <v>1</v>
      </c>
      <c r="V138" s="45">
        <v>1</v>
      </c>
      <c r="W138" s="46">
        <v>1</v>
      </c>
      <c r="X138" s="45">
        <v>1</v>
      </c>
      <c r="Y138" s="46">
        <v>1</v>
      </c>
      <c r="Z138" s="45">
        <v>1</v>
      </c>
      <c r="AA138" s="44">
        <v>1</v>
      </c>
      <c r="AB138" s="26">
        <f t="shared" si="313"/>
        <v>0</v>
      </c>
      <c r="AC138" s="25">
        <f t="shared" si="314"/>
        <v>21.925311298258926</v>
      </c>
      <c r="AD138" s="24">
        <f t="shared" si="315"/>
        <v>0</v>
      </c>
      <c r="AE138" s="25">
        <f t="shared" si="316"/>
        <v>0</v>
      </c>
      <c r="AF138" s="24">
        <f t="shared" si="317"/>
        <v>0</v>
      </c>
      <c r="AG138" s="25">
        <f t="shared" si="318"/>
        <v>0</v>
      </c>
      <c r="AH138" s="24">
        <f t="shared" si="319"/>
        <v>0</v>
      </c>
      <c r="AI138" s="25">
        <f t="shared" si="320"/>
        <v>0</v>
      </c>
      <c r="AJ138" s="24">
        <f t="shared" si="321"/>
        <v>0</v>
      </c>
      <c r="AK138" s="27">
        <f t="shared" si="323"/>
        <v>21.925311298258926</v>
      </c>
      <c r="AL138" s="41">
        <v>0</v>
      </c>
      <c r="AM138" s="40">
        <v>0</v>
      </c>
      <c r="AN138" s="39">
        <v>0</v>
      </c>
      <c r="AO138" s="40">
        <v>0</v>
      </c>
      <c r="AP138" s="39">
        <v>0</v>
      </c>
      <c r="AQ138" s="40">
        <v>0</v>
      </c>
      <c r="AR138" s="39">
        <v>0</v>
      </c>
      <c r="AS138" s="40">
        <v>0</v>
      </c>
      <c r="AT138" s="39">
        <v>0</v>
      </c>
      <c r="AU138" s="38">
        <v>0</v>
      </c>
      <c r="AW138" s="100" t="s">
        <v>1145</v>
      </c>
      <c r="AX138" s="41">
        <v>0.20023794311295168</v>
      </c>
      <c r="AY138" s="40">
        <v>0.55118768911523397</v>
      </c>
      <c r="AZ138" s="39">
        <v>2.5084770959390199</v>
      </c>
      <c r="BA138" s="40">
        <v>1.6990511829523416</v>
      </c>
      <c r="BB138" s="39">
        <v>0.49776942651569028</v>
      </c>
      <c r="BC138" s="40">
        <v>0.43387856046417422</v>
      </c>
      <c r="BD138" s="39">
        <v>1.5072951429732622</v>
      </c>
      <c r="BE138" s="40">
        <v>0.19171589520778176</v>
      </c>
      <c r="BF138" s="39">
        <v>0.12021459839413307</v>
      </c>
      <c r="BG138" s="81">
        <v>7.7098275346745897</v>
      </c>
      <c r="BH138" s="66">
        <v>0</v>
      </c>
      <c r="BJ138" s="37" t="s">
        <v>1164</v>
      </c>
      <c r="BK138" s="36" t="s">
        <v>1936</v>
      </c>
      <c r="BL138" s="1" t="s">
        <v>1139</v>
      </c>
      <c r="BM138" s="36" t="s">
        <v>1943</v>
      </c>
      <c r="BN138" s="82" t="str">
        <f t="shared" si="324"/>
        <v>IPLFEED</v>
      </c>
      <c r="BO138" s="26">
        <f t="shared" si="325"/>
        <v>0</v>
      </c>
      <c r="BP138" s="25">
        <f t="shared" si="325"/>
        <v>0</v>
      </c>
      <c r="BQ138" s="24">
        <f t="shared" si="325"/>
        <v>0</v>
      </c>
      <c r="BR138" s="25">
        <f t="shared" si="325"/>
        <v>0</v>
      </c>
      <c r="BS138" s="24">
        <f t="shared" si="325"/>
        <v>0</v>
      </c>
      <c r="BT138" s="25">
        <f t="shared" si="325"/>
        <v>0</v>
      </c>
      <c r="BU138" s="24">
        <f t="shared" si="325"/>
        <v>0</v>
      </c>
      <c r="BV138" s="25">
        <f t="shared" si="325"/>
        <v>0</v>
      </c>
      <c r="BW138" s="32">
        <f t="shared" si="325"/>
        <v>0</v>
      </c>
      <c r="BX138" s="26">
        <f t="shared" ref="BX138:CF138" si="344">BO138/BO143</f>
        <v>0</v>
      </c>
      <c r="BY138" s="25">
        <f t="shared" si="344"/>
        <v>0</v>
      </c>
      <c r="BZ138" s="24">
        <f t="shared" si="344"/>
        <v>0</v>
      </c>
      <c r="CA138" s="25">
        <f t="shared" si="344"/>
        <v>0</v>
      </c>
      <c r="CB138" s="24">
        <f t="shared" si="344"/>
        <v>0</v>
      </c>
      <c r="CC138" s="25">
        <f t="shared" si="344"/>
        <v>0</v>
      </c>
      <c r="CD138" s="24">
        <f t="shared" si="344"/>
        <v>0</v>
      </c>
      <c r="CE138" s="25">
        <f t="shared" si="344"/>
        <v>0</v>
      </c>
      <c r="CF138" s="32">
        <f t="shared" si="344"/>
        <v>0</v>
      </c>
      <c r="CH138" s="54" t="s">
        <v>1966</v>
      </c>
      <c r="CI138" s="41">
        <v>0.50650120608297855</v>
      </c>
      <c r="CJ138" s="40">
        <v>0.63523242615853992</v>
      </c>
      <c r="CK138" s="39">
        <v>6.2697502653985659E-2</v>
      </c>
      <c r="CL138" s="40">
        <v>6.6212976575608609E-2</v>
      </c>
      <c r="CM138" s="39">
        <v>0.30339125562133556</v>
      </c>
      <c r="CN138" s="40">
        <v>0.29787764838202868</v>
      </c>
      <c r="CO138" s="39">
        <v>0.29666680084950398</v>
      </c>
      <c r="CP138" s="40">
        <v>4.1190749890268635E-2</v>
      </c>
      <c r="CQ138" s="66">
        <v>3.8097190221823132E-2</v>
      </c>
      <c r="CS138" s="54" t="s">
        <v>1677</v>
      </c>
      <c r="CT138" s="39">
        <v>4.1955878506586473</v>
      </c>
      <c r="CU138" s="40">
        <v>4.390912781645592</v>
      </c>
      <c r="CV138" s="39">
        <v>4.4236881180214533</v>
      </c>
      <c r="CW138" s="40">
        <v>1.3623332812683804</v>
      </c>
      <c r="CX138" s="39">
        <v>1.8323299349143622</v>
      </c>
      <c r="CY138" s="40">
        <v>2.0150254310653484</v>
      </c>
      <c r="CZ138" s="39">
        <v>8.4324641952465527</v>
      </c>
      <c r="DA138" s="40">
        <v>4.7903108777335994</v>
      </c>
      <c r="DB138" s="39">
        <v>3.8369529383850143</v>
      </c>
      <c r="DC138" s="38">
        <v>35.279605408938949</v>
      </c>
      <c r="DE138" s="37" t="s">
        <v>1418</v>
      </c>
      <c r="DF138" s="35" t="str">
        <f t="shared" si="327"/>
        <v>IPOST</v>
      </c>
      <c r="DG138" s="26">
        <f t="shared" ref="DG138:DO147" si="345">GETPIVOTDATA("Sum of "&amp;DG$1&amp;" (Out)",$CS$6,"Constraint Identifier",$DE138)</f>
        <v>0</v>
      </c>
      <c r="DH138" s="25">
        <f t="shared" si="345"/>
        <v>0</v>
      </c>
      <c r="DI138" s="24">
        <f t="shared" si="345"/>
        <v>1.4401851627842661</v>
      </c>
      <c r="DJ138" s="25">
        <f t="shared" si="345"/>
        <v>0</v>
      </c>
      <c r="DK138" s="24">
        <f t="shared" si="345"/>
        <v>0</v>
      </c>
      <c r="DL138" s="25">
        <f t="shared" si="345"/>
        <v>0</v>
      </c>
      <c r="DM138" s="24">
        <f t="shared" si="345"/>
        <v>0</v>
      </c>
      <c r="DN138" s="25">
        <f t="shared" si="345"/>
        <v>0</v>
      </c>
      <c r="DO138" s="32">
        <f t="shared" si="345"/>
        <v>0</v>
      </c>
      <c r="DP138" s="26">
        <f t="shared" si="328"/>
        <v>0</v>
      </c>
      <c r="DQ138" s="25">
        <f t="shared" si="329"/>
        <v>0</v>
      </c>
      <c r="DR138" s="24">
        <f t="shared" si="330"/>
        <v>0.54828328663438541</v>
      </c>
      <c r="DS138" s="25">
        <f t="shared" si="331"/>
        <v>0</v>
      </c>
      <c r="DT138" s="24">
        <f t="shared" si="332"/>
        <v>0</v>
      </c>
      <c r="DU138" s="25">
        <f t="shared" si="333"/>
        <v>0</v>
      </c>
      <c r="DV138" s="24">
        <f t="shared" si="334"/>
        <v>0</v>
      </c>
      <c r="DW138" s="25">
        <f t="shared" si="335"/>
        <v>0</v>
      </c>
      <c r="DX138" s="32">
        <f t="shared" si="336"/>
        <v>0</v>
      </c>
      <c r="DZ138" s="54" t="s">
        <v>1601</v>
      </c>
      <c r="EA138" s="39">
        <v>0</v>
      </c>
      <c r="EB138" s="40">
        <v>0</v>
      </c>
      <c r="EC138" s="39">
        <v>0.82313059767655505</v>
      </c>
      <c r="ED138" s="40">
        <v>0.82313059767655505</v>
      </c>
      <c r="EE138" s="39">
        <v>0.60804240437745372</v>
      </c>
      <c r="EF138" s="40">
        <v>0.60804240437745372</v>
      </c>
      <c r="EG138" s="39">
        <v>0.60804240437745372</v>
      </c>
      <c r="EH138" s="40">
        <v>1</v>
      </c>
      <c r="EI138" s="66">
        <v>1</v>
      </c>
      <c r="EO138" s="83" t="s">
        <v>1231</v>
      </c>
      <c r="EP138" s="82" t="s">
        <v>517</v>
      </c>
      <c r="EQ138" s="81">
        <f t="shared" si="337"/>
        <v>27.847713841354377</v>
      </c>
      <c r="ER138" s="80">
        <f>EQ138/SUM(EQ134:EQ142)</f>
        <v>9.3028483071322304E-2</v>
      </c>
      <c r="ET138" s="74" t="s">
        <v>1247</v>
      </c>
      <c r="EU138" s="70">
        <v>1</v>
      </c>
      <c r="EW138" s="37" t="s">
        <v>1231</v>
      </c>
      <c r="EX138" s="36" t="s">
        <v>1961</v>
      </c>
      <c r="EY138" s="36" t="s">
        <v>1145</v>
      </c>
      <c r="EZ138" s="1" t="s">
        <v>1945</v>
      </c>
      <c r="FA138" s="36" t="str">
        <f t="shared" si="338"/>
        <v>IMAFAC</v>
      </c>
      <c r="FB138" s="1" t="s">
        <v>520</v>
      </c>
      <c r="FC138" s="26">
        <f t="shared" si="339"/>
        <v>86.981704343525962</v>
      </c>
      <c r="FD138" s="25">
        <f t="shared" si="340"/>
        <v>3.9440858300796333</v>
      </c>
      <c r="FE138" s="24">
        <f t="shared" si="341"/>
        <v>4.5343855467614679E-2</v>
      </c>
      <c r="FF138" s="36">
        <v>0.02</v>
      </c>
      <c r="FG138" s="32">
        <f t="shared" si="342"/>
        <v>0.4410740946870817</v>
      </c>
    </row>
    <row r="139" spans="1:163">
      <c r="A139" s="37" t="s">
        <v>1931</v>
      </c>
      <c r="B139" s="36" t="s">
        <v>1139</v>
      </c>
      <c r="C139" s="1" t="s">
        <v>1274</v>
      </c>
      <c r="D139" s="36" t="s">
        <v>1274</v>
      </c>
      <c r="E139" s="36" t="s">
        <v>1965</v>
      </c>
      <c r="F139" s="1" t="e">
        <f t="shared" ca="1" si="232"/>
        <v>#NAME?</v>
      </c>
      <c r="G139" s="35" t="s">
        <v>1121</v>
      </c>
      <c r="H139" s="43">
        <v>1</v>
      </c>
      <c r="I139" s="42">
        <v>0</v>
      </c>
      <c r="J139" s="26">
        <v>0.53948056497158514</v>
      </c>
      <c r="K139" s="25">
        <v>123.36449883045654</v>
      </c>
      <c r="L139" s="24"/>
      <c r="M139" s="25"/>
      <c r="N139" s="24"/>
      <c r="O139" s="25"/>
      <c r="P139" s="24"/>
      <c r="Q139" s="25"/>
      <c r="R139" s="32"/>
      <c r="S139" s="47">
        <v>1</v>
      </c>
      <c r="T139" s="45">
        <v>1</v>
      </c>
      <c r="U139" s="46">
        <v>1</v>
      </c>
      <c r="V139" s="45">
        <v>1</v>
      </c>
      <c r="W139" s="46">
        <v>1</v>
      </c>
      <c r="X139" s="45">
        <v>1</v>
      </c>
      <c r="Y139" s="46">
        <v>1</v>
      </c>
      <c r="Z139" s="45">
        <v>1</v>
      </c>
      <c r="AA139" s="44">
        <v>1</v>
      </c>
      <c r="AB139" s="26">
        <f t="shared" si="313"/>
        <v>0.53948056497158514</v>
      </c>
      <c r="AC139" s="25">
        <f t="shared" si="314"/>
        <v>123.36449883045654</v>
      </c>
      <c r="AD139" s="24">
        <f t="shared" si="315"/>
        <v>0</v>
      </c>
      <c r="AE139" s="25">
        <f t="shared" si="316"/>
        <v>0</v>
      </c>
      <c r="AF139" s="24">
        <f t="shared" si="317"/>
        <v>0</v>
      </c>
      <c r="AG139" s="25">
        <f t="shared" si="318"/>
        <v>0</v>
      </c>
      <c r="AH139" s="24">
        <f t="shared" si="319"/>
        <v>0</v>
      </c>
      <c r="AI139" s="25">
        <f t="shared" si="320"/>
        <v>0</v>
      </c>
      <c r="AJ139" s="24">
        <f t="shared" si="321"/>
        <v>0</v>
      </c>
      <c r="AK139" s="27">
        <f t="shared" si="323"/>
        <v>123.90397939542812</v>
      </c>
      <c r="AL139" s="41">
        <v>0</v>
      </c>
      <c r="AM139" s="40">
        <v>0</v>
      </c>
      <c r="AN139" s="39">
        <v>0</v>
      </c>
      <c r="AO139" s="40">
        <v>0</v>
      </c>
      <c r="AP139" s="39">
        <v>0</v>
      </c>
      <c r="AQ139" s="40">
        <v>0</v>
      </c>
      <c r="AR139" s="39">
        <v>0</v>
      </c>
      <c r="AS139" s="40">
        <v>0</v>
      </c>
      <c r="AT139" s="39">
        <v>0</v>
      </c>
      <c r="AU139" s="38">
        <v>0</v>
      </c>
      <c r="AW139" s="100" t="s">
        <v>1139</v>
      </c>
      <c r="AX139" s="41">
        <v>8.7932172212344923</v>
      </c>
      <c r="AY139" s="40">
        <v>25.568566538748183</v>
      </c>
      <c r="AZ139" s="39">
        <v>26.611017247072184</v>
      </c>
      <c r="BA139" s="40">
        <v>18.024274730831454</v>
      </c>
      <c r="BB139" s="39">
        <v>4.4363474069689737</v>
      </c>
      <c r="BC139" s="40">
        <v>3.8669229649724115</v>
      </c>
      <c r="BD139" s="39">
        <v>13.43369950596108</v>
      </c>
      <c r="BE139" s="40">
        <v>0.36635506052560496</v>
      </c>
      <c r="BF139" s="39">
        <v>0.22972130935211196</v>
      </c>
      <c r="BG139" s="81">
        <v>101.33012198566649</v>
      </c>
      <c r="BH139" s="66">
        <v>0</v>
      </c>
      <c r="BJ139" s="37" t="s">
        <v>1164</v>
      </c>
      <c r="BK139" s="36" t="s">
        <v>1936</v>
      </c>
      <c r="BL139" s="1" t="s">
        <v>1136</v>
      </c>
      <c r="BM139" s="36" t="s">
        <v>1941</v>
      </c>
      <c r="BN139" s="82" t="str">
        <f t="shared" si="324"/>
        <v>IPLMDR</v>
      </c>
      <c r="BO139" s="26">
        <f t="shared" si="325"/>
        <v>0.46999567092311051</v>
      </c>
      <c r="BP139" s="25">
        <f t="shared" si="325"/>
        <v>0.41470206257921516</v>
      </c>
      <c r="BQ139" s="24">
        <f t="shared" si="325"/>
        <v>0.7425141691894519</v>
      </c>
      <c r="BR139" s="25">
        <f t="shared" si="325"/>
        <v>0.14218356431287374</v>
      </c>
      <c r="BS139" s="24">
        <f t="shared" si="325"/>
        <v>1.7693954670046512</v>
      </c>
      <c r="BT139" s="25">
        <f t="shared" si="325"/>
        <v>1.0273909163252815</v>
      </c>
      <c r="BU139" s="24">
        <f t="shared" si="325"/>
        <v>0.74200455067936988</v>
      </c>
      <c r="BV139" s="25">
        <f t="shared" si="325"/>
        <v>0.10110831240026578</v>
      </c>
      <c r="BW139" s="32">
        <f t="shared" si="325"/>
        <v>0.78358942110205987</v>
      </c>
      <c r="BX139" s="26">
        <f t="shared" ref="BX139:CF139" si="346">BO139/BO143</f>
        <v>6.3820233111617164E-2</v>
      </c>
      <c r="BY139" s="25">
        <f t="shared" si="346"/>
        <v>6.7950372826824923E-2</v>
      </c>
      <c r="BZ139" s="24">
        <f t="shared" si="346"/>
        <v>0.60164766968468286</v>
      </c>
      <c r="CA139" s="25">
        <f t="shared" si="346"/>
        <v>0.60164766968468286</v>
      </c>
      <c r="CB139" s="24">
        <f t="shared" si="346"/>
        <v>1.9794819817865125E-2</v>
      </c>
      <c r="CC139" s="25">
        <f t="shared" si="346"/>
        <v>1.9482563026554597E-2</v>
      </c>
      <c r="CD139" s="24">
        <f t="shared" si="346"/>
        <v>1.94240138752854E-2</v>
      </c>
      <c r="CE139" s="25">
        <f t="shared" si="346"/>
        <v>0.13540167806914014</v>
      </c>
      <c r="CF139" s="32">
        <f t="shared" si="346"/>
        <v>9.3805807689269369E-2</v>
      </c>
      <c r="CH139" s="54" t="s">
        <v>1964</v>
      </c>
      <c r="CI139" s="41">
        <v>3.8364444446386897E-2</v>
      </c>
      <c r="CJ139" s="40">
        <v>4.7661401507664819E-2</v>
      </c>
      <c r="CK139" s="39">
        <v>0.33111697517928868</v>
      </c>
      <c r="CL139" s="40">
        <v>0.33038492311982925</v>
      </c>
      <c r="CM139" s="39">
        <v>0.19809191104268614</v>
      </c>
      <c r="CN139" s="40">
        <v>0.17832239498640456</v>
      </c>
      <c r="CO139" s="39">
        <v>0.20567087465828718</v>
      </c>
      <c r="CP139" s="40">
        <v>0.19822340355271575</v>
      </c>
      <c r="CQ139" s="66">
        <v>0.18333617940151009</v>
      </c>
      <c r="CS139" s="54" t="s">
        <v>1654</v>
      </c>
      <c r="CT139" s="39">
        <v>0</v>
      </c>
      <c r="CU139" s="40">
        <v>0.78727736837772433</v>
      </c>
      <c r="CV139" s="39">
        <v>0.33977160960623287</v>
      </c>
      <c r="CW139" s="40">
        <v>0.23013539018142376</v>
      </c>
      <c r="CX139" s="39">
        <v>0.40691550524634501</v>
      </c>
      <c r="CY139" s="40">
        <v>0.3546861342663663</v>
      </c>
      <c r="CZ139" s="39">
        <v>1.232180467473917</v>
      </c>
      <c r="DA139" s="40">
        <v>0.40293221070292418</v>
      </c>
      <c r="DB139" s="39">
        <v>0.25265684849560732</v>
      </c>
      <c r="DC139" s="38">
        <v>4.0065555343505403</v>
      </c>
      <c r="DE139" s="37" t="s">
        <v>1373</v>
      </c>
      <c r="DF139" s="35" t="str">
        <f t="shared" si="327"/>
        <v>IPAST</v>
      </c>
      <c r="DG139" s="26">
        <f t="shared" si="345"/>
        <v>0</v>
      </c>
      <c r="DH139" s="25">
        <f t="shared" si="345"/>
        <v>0</v>
      </c>
      <c r="DI139" s="24">
        <f t="shared" si="345"/>
        <v>0</v>
      </c>
      <c r="DJ139" s="25">
        <f t="shared" si="345"/>
        <v>0</v>
      </c>
      <c r="DK139" s="24">
        <f t="shared" si="345"/>
        <v>0</v>
      </c>
      <c r="DL139" s="25">
        <f t="shared" si="345"/>
        <v>0</v>
      </c>
      <c r="DM139" s="24">
        <f t="shared" si="345"/>
        <v>0</v>
      </c>
      <c r="DN139" s="25">
        <f t="shared" si="345"/>
        <v>0</v>
      </c>
      <c r="DO139" s="32">
        <f t="shared" si="345"/>
        <v>0</v>
      </c>
      <c r="DP139" s="26">
        <f t="shared" si="328"/>
        <v>0</v>
      </c>
      <c r="DQ139" s="25">
        <f t="shared" si="329"/>
        <v>0</v>
      </c>
      <c r="DR139" s="24">
        <f t="shared" si="330"/>
        <v>0</v>
      </c>
      <c r="DS139" s="25">
        <f t="shared" si="331"/>
        <v>0</v>
      </c>
      <c r="DT139" s="24">
        <f t="shared" si="332"/>
        <v>0</v>
      </c>
      <c r="DU139" s="25">
        <f t="shared" si="333"/>
        <v>0</v>
      </c>
      <c r="DV139" s="24">
        <f t="shared" si="334"/>
        <v>0</v>
      </c>
      <c r="DW139" s="25">
        <f t="shared" si="335"/>
        <v>0</v>
      </c>
      <c r="DX139" s="32">
        <f t="shared" si="336"/>
        <v>0</v>
      </c>
      <c r="DZ139" s="54" t="s">
        <v>1599</v>
      </c>
      <c r="EA139" s="39">
        <v>0.61804479794202016</v>
      </c>
      <c r="EB139" s="40">
        <v>0.61804479794202016</v>
      </c>
      <c r="EC139" s="39">
        <v>0.93132475054206831</v>
      </c>
      <c r="ED139" s="40">
        <v>0.93132475054206831</v>
      </c>
      <c r="EE139" s="39">
        <v>0.78109232035057463</v>
      </c>
      <c r="EF139" s="40">
        <v>0.78109232035057452</v>
      </c>
      <c r="EG139" s="39">
        <v>0.78109232035057463</v>
      </c>
      <c r="EH139" s="40">
        <v>0.9243896666563417</v>
      </c>
      <c r="EI139" s="66">
        <v>0.9243896666563417</v>
      </c>
      <c r="EO139" s="83" t="s">
        <v>1231</v>
      </c>
      <c r="EP139" s="82" t="s">
        <v>519</v>
      </c>
      <c r="EQ139" s="81">
        <f t="shared" si="337"/>
        <v>24.314539191249725</v>
      </c>
      <c r="ER139" s="80">
        <f>EQ139/SUM(EQ134:EQ142)</f>
        <v>8.1225507789481358E-2</v>
      </c>
      <c r="ET139" s="73" t="s">
        <v>438</v>
      </c>
      <c r="EU139" s="72">
        <v>5.5924833119716686E-3</v>
      </c>
      <c r="EW139" s="37" t="s">
        <v>1231</v>
      </c>
      <c r="EX139" s="36" t="s">
        <v>1961</v>
      </c>
      <c r="EY139" s="36" t="s">
        <v>1145</v>
      </c>
      <c r="EZ139" s="1" t="s">
        <v>1945</v>
      </c>
      <c r="FA139" s="36" t="str">
        <f t="shared" si="338"/>
        <v>IMAFAC</v>
      </c>
      <c r="FB139" s="1" t="s">
        <v>521</v>
      </c>
      <c r="FC139" s="26">
        <f t="shared" si="339"/>
        <v>30.610164755054562</v>
      </c>
      <c r="FD139" s="25">
        <f t="shared" si="340"/>
        <v>0.84690959173716052</v>
      </c>
      <c r="FE139" s="24">
        <f t="shared" si="341"/>
        <v>2.7667593379983781E-2</v>
      </c>
      <c r="FF139" s="36">
        <v>0</v>
      </c>
      <c r="FG139" s="86">
        <f t="shared" si="342"/>
        <v>0</v>
      </c>
    </row>
    <row r="140" spans="1:163">
      <c r="A140" s="37" t="s">
        <v>1931</v>
      </c>
      <c r="B140" s="36" t="s">
        <v>1136</v>
      </c>
      <c r="C140" s="1" t="s">
        <v>1126</v>
      </c>
      <c r="D140" s="36" t="s">
        <v>1126</v>
      </c>
      <c r="E140" s="36" t="s">
        <v>1963</v>
      </c>
      <c r="F140" s="1" t="e">
        <f t="shared" ca="1" si="232"/>
        <v>#NAME?</v>
      </c>
      <c r="G140" s="35" t="s">
        <v>1121</v>
      </c>
      <c r="H140" s="43">
        <v>1</v>
      </c>
      <c r="I140" s="42">
        <v>0</v>
      </c>
      <c r="J140" s="26">
        <v>13.90243007149696</v>
      </c>
      <c r="K140" s="25">
        <v>9.8370727019732414</v>
      </c>
      <c r="L140" s="24"/>
      <c r="M140" s="25"/>
      <c r="N140" s="24"/>
      <c r="O140" s="25"/>
      <c r="P140" s="24"/>
      <c r="Q140" s="25"/>
      <c r="R140" s="32"/>
      <c r="S140" s="47">
        <v>1</v>
      </c>
      <c r="T140" s="45">
        <v>1</v>
      </c>
      <c r="U140" s="46">
        <v>1</v>
      </c>
      <c r="V140" s="45">
        <v>1</v>
      </c>
      <c r="W140" s="46">
        <v>1</v>
      </c>
      <c r="X140" s="45">
        <v>1</v>
      </c>
      <c r="Y140" s="46">
        <v>1</v>
      </c>
      <c r="Z140" s="45">
        <v>1</v>
      </c>
      <c r="AA140" s="44">
        <v>1</v>
      </c>
      <c r="AB140" s="26">
        <f t="shared" si="313"/>
        <v>13.90243007149696</v>
      </c>
      <c r="AC140" s="25">
        <f t="shared" si="314"/>
        <v>9.8370727019732414</v>
      </c>
      <c r="AD140" s="24">
        <f t="shared" si="315"/>
        <v>0</v>
      </c>
      <c r="AE140" s="25">
        <f t="shared" si="316"/>
        <v>0</v>
      </c>
      <c r="AF140" s="24">
        <f t="shared" si="317"/>
        <v>0</v>
      </c>
      <c r="AG140" s="25">
        <f t="shared" si="318"/>
        <v>0</v>
      </c>
      <c r="AH140" s="24">
        <f t="shared" si="319"/>
        <v>0</v>
      </c>
      <c r="AI140" s="25">
        <f t="shared" si="320"/>
        <v>0</v>
      </c>
      <c r="AJ140" s="24">
        <f t="shared" si="321"/>
        <v>0</v>
      </c>
      <c r="AK140" s="27">
        <f t="shared" si="323"/>
        <v>23.7395027734702</v>
      </c>
      <c r="AL140" s="41">
        <v>0</v>
      </c>
      <c r="AM140" s="40">
        <v>0</v>
      </c>
      <c r="AN140" s="39">
        <v>0</v>
      </c>
      <c r="AO140" s="40">
        <v>0</v>
      </c>
      <c r="AP140" s="39">
        <v>0</v>
      </c>
      <c r="AQ140" s="40">
        <v>0</v>
      </c>
      <c r="AR140" s="39">
        <v>0</v>
      </c>
      <c r="AS140" s="40">
        <v>0</v>
      </c>
      <c r="AT140" s="39">
        <v>0</v>
      </c>
      <c r="AU140" s="38">
        <v>0</v>
      </c>
      <c r="AW140" s="100" t="s">
        <v>1136</v>
      </c>
      <c r="AX140" s="41">
        <v>0.39706390268133412</v>
      </c>
      <c r="AY140" s="40">
        <v>1.0929833354637812</v>
      </c>
      <c r="AZ140" s="39">
        <v>3.2521395398132582</v>
      </c>
      <c r="BA140" s="40">
        <v>2.2027514387877529</v>
      </c>
      <c r="BB140" s="39">
        <v>1.0901330244879455</v>
      </c>
      <c r="BC140" s="40">
        <v>0.95020971997037085</v>
      </c>
      <c r="BD140" s="39">
        <v>3.3010308096004333</v>
      </c>
      <c r="BE140" s="40">
        <v>0.44260193175672724</v>
      </c>
      <c r="BF140" s="39">
        <v>0.27753157043622523</v>
      </c>
      <c r="BG140" s="81">
        <v>13.006445272997828</v>
      </c>
      <c r="BH140" s="66">
        <v>0</v>
      </c>
      <c r="BJ140" s="37" t="s">
        <v>1164</v>
      </c>
      <c r="BK140" s="36" t="s">
        <v>1936</v>
      </c>
      <c r="BL140" s="1" t="s">
        <v>1129</v>
      </c>
      <c r="BM140" s="36" t="s">
        <v>1910</v>
      </c>
      <c r="BN140" s="82" t="str">
        <f t="shared" si="324"/>
        <v>IPLOHT</v>
      </c>
      <c r="BO140" s="26">
        <f t="shared" si="325"/>
        <v>5.6207975420737117</v>
      </c>
      <c r="BP140" s="25">
        <f t="shared" si="325"/>
        <v>4.6402930034413856</v>
      </c>
      <c r="BQ140" s="24">
        <f t="shared" si="325"/>
        <v>0</v>
      </c>
      <c r="BR140" s="25">
        <f t="shared" si="325"/>
        <v>0</v>
      </c>
      <c r="BS140" s="24">
        <f t="shared" si="325"/>
        <v>79.703790746117164</v>
      </c>
      <c r="BT140" s="25">
        <f t="shared" si="325"/>
        <v>47.786143294012646</v>
      </c>
      <c r="BU140" s="24">
        <f t="shared" si="325"/>
        <v>34.294102435813549</v>
      </c>
      <c r="BV140" s="25">
        <f t="shared" si="325"/>
        <v>0.53111222786796219</v>
      </c>
      <c r="BW140" s="32">
        <f t="shared" si="325"/>
        <v>4.1161197659767064</v>
      </c>
      <c r="BX140" s="26">
        <f t="shared" ref="BX140:CF140" si="347">BO140/BO143</f>
        <v>0.76324236924095912</v>
      </c>
      <c r="BY140" s="25">
        <f t="shared" si="347"/>
        <v>0.76032812002067107</v>
      </c>
      <c r="BZ140" s="24">
        <f t="shared" si="347"/>
        <v>0</v>
      </c>
      <c r="CA140" s="25">
        <f t="shared" si="347"/>
        <v>0</v>
      </c>
      <c r="CB140" s="24">
        <f t="shared" si="347"/>
        <v>0.89167300699096219</v>
      </c>
      <c r="CC140" s="25">
        <f t="shared" si="347"/>
        <v>0.90617556932614396</v>
      </c>
      <c r="CD140" s="24">
        <f t="shared" si="347"/>
        <v>0.89774263640809471</v>
      </c>
      <c r="CE140" s="25">
        <f t="shared" si="347"/>
        <v>0.71125197512615757</v>
      </c>
      <c r="CF140" s="32">
        <f t="shared" si="347"/>
        <v>0.49275287388409128</v>
      </c>
      <c r="CH140" s="54" t="s">
        <v>1962</v>
      </c>
      <c r="CI140" s="41">
        <v>0.32319665101594047</v>
      </c>
      <c r="CJ140" s="40">
        <v>0.15319566324681685</v>
      </c>
      <c r="CK140" s="39">
        <v>8.7751707058015688E-2</v>
      </c>
      <c r="CL140" s="40">
        <v>8.6114467875970768E-2</v>
      </c>
      <c r="CM140" s="39">
        <v>6.0179521721739779E-2</v>
      </c>
      <c r="CN140" s="40">
        <v>0.12920858332652865</v>
      </c>
      <c r="CO140" s="39">
        <v>4.2554300138625677E-2</v>
      </c>
      <c r="CP140" s="40">
        <v>0.10488924067746651</v>
      </c>
      <c r="CQ140" s="66">
        <v>0.17211497828138453</v>
      </c>
      <c r="CS140" s="54" t="s">
        <v>1680</v>
      </c>
      <c r="CT140" s="39">
        <v>3.3764133874989E-2</v>
      </c>
      <c r="CU140" s="40">
        <v>13.736772769326777</v>
      </c>
      <c r="CV140" s="39">
        <v>0.30507652591560147</v>
      </c>
      <c r="CW140" s="40">
        <v>1.8931389140222685</v>
      </c>
      <c r="CX140" s="39">
        <v>9.8282107189937218</v>
      </c>
      <c r="CY140" s="40">
        <v>7.7792591008209664</v>
      </c>
      <c r="CZ140" s="39">
        <v>28.636579562455879</v>
      </c>
      <c r="DA140" s="40">
        <v>2.7082386594575345</v>
      </c>
      <c r="DB140" s="39">
        <v>1.0135560775466981</v>
      </c>
      <c r="DC140" s="38">
        <v>65.934596462414419</v>
      </c>
      <c r="DE140" s="37" t="s">
        <v>1351</v>
      </c>
      <c r="DF140" s="35" t="str">
        <f t="shared" si="327"/>
        <v>IPAST</v>
      </c>
      <c r="DG140" s="26">
        <f t="shared" si="345"/>
        <v>19.841903235372016</v>
      </c>
      <c r="DH140" s="25">
        <f t="shared" si="345"/>
        <v>11.168076854270486</v>
      </c>
      <c r="DI140" s="24">
        <f t="shared" si="345"/>
        <v>24.021780446272672</v>
      </c>
      <c r="DJ140" s="25">
        <f t="shared" si="345"/>
        <v>8.2202721647397912</v>
      </c>
      <c r="DK140" s="24">
        <f t="shared" si="345"/>
        <v>46.432315085060914</v>
      </c>
      <c r="DL140" s="25">
        <f t="shared" si="345"/>
        <v>16.384826570704551</v>
      </c>
      <c r="DM140" s="24">
        <f t="shared" si="345"/>
        <v>9.2661190648207636</v>
      </c>
      <c r="DN140" s="25">
        <f t="shared" si="345"/>
        <v>3.8555426560941504</v>
      </c>
      <c r="DO140" s="32">
        <f t="shared" si="345"/>
        <v>3.7224339644901199</v>
      </c>
      <c r="DP140" s="26">
        <f t="shared" si="328"/>
        <v>0.95477578012113562</v>
      </c>
      <c r="DQ140" s="25">
        <f t="shared" si="329"/>
        <v>0.81386095301019634</v>
      </c>
      <c r="DR140" s="24">
        <f t="shared" si="330"/>
        <v>0.75366628275641545</v>
      </c>
      <c r="DS140" s="25">
        <f t="shared" si="331"/>
        <v>0.92652559519101307</v>
      </c>
      <c r="DT140" s="24">
        <f t="shared" si="332"/>
        <v>0.92824176815294712</v>
      </c>
      <c r="DU140" s="25">
        <f t="shared" si="333"/>
        <v>0.75423783372658382</v>
      </c>
      <c r="DV140" s="24">
        <f t="shared" si="334"/>
        <v>0.77919483884697116</v>
      </c>
      <c r="DW140" s="25">
        <f t="shared" si="335"/>
        <v>0.99117820068327867</v>
      </c>
      <c r="DX140" s="32">
        <f t="shared" si="336"/>
        <v>0.53113842286786939</v>
      </c>
      <c r="DZ140" s="54" t="s">
        <v>1596</v>
      </c>
      <c r="EA140" s="39">
        <v>0.38195520205797978</v>
      </c>
      <c r="EB140" s="40">
        <v>0.38195520205797978</v>
      </c>
      <c r="EC140" s="39">
        <v>6.86752494579317E-2</v>
      </c>
      <c r="ED140" s="40">
        <v>6.86752494579317E-2</v>
      </c>
      <c r="EE140" s="39">
        <v>0.2189076796494254</v>
      </c>
      <c r="EF140" s="40">
        <v>0.21890767964942537</v>
      </c>
      <c r="EG140" s="39">
        <v>0.21890767964942537</v>
      </c>
      <c r="EH140" s="40">
        <v>7.5610333343658284E-2</v>
      </c>
      <c r="EI140" s="66">
        <v>7.561033334365827E-2</v>
      </c>
      <c r="EO140" s="83" t="s">
        <v>1231</v>
      </c>
      <c r="EP140" s="82" t="s">
        <v>520</v>
      </c>
      <c r="EQ140" s="81">
        <f t="shared" si="337"/>
        <v>86.981704343525962</v>
      </c>
      <c r="ER140" s="80">
        <f>EQ140/SUM(EQ134:EQ142)</f>
        <v>0.29057236282067894</v>
      </c>
      <c r="ET140" s="73" t="s">
        <v>440</v>
      </c>
      <c r="EU140" s="72">
        <v>1.3067516480776281E-2</v>
      </c>
      <c r="EW140" s="22" t="s">
        <v>1231</v>
      </c>
      <c r="EX140" s="20" t="s">
        <v>1961</v>
      </c>
      <c r="EY140" s="20" t="s">
        <v>1145</v>
      </c>
      <c r="EZ140" s="85" t="s">
        <v>1945</v>
      </c>
      <c r="FA140" s="20" t="str">
        <f t="shared" si="338"/>
        <v>IMAFAC</v>
      </c>
      <c r="FB140" s="78" t="s">
        <v>522</v>
      </c>
      <c r="FC140" s="11">
        <f t="shared" si="339"/>
        <v>19.193967504984265</v>
      </c>
      <c r="FD140" s="10">
        <f t="shared" si="340"/>
        <v>0.53105088827652647</v>
      </c>
      <c r="FE140" s="101">
        <f t="shared" si="341"/>
        <v>2.7667593379983781E-2</v>
      </c>
      <c r="FF140" s="20">
        <v>0</v>
      </c>
      <c r="FG140" s="84">
        <f t="shared" si="342"/>
        <v>0</v>
      </c>
    </row>
    <row r="141" spans="1:163" ht="15.75" thickBot="1">
      <c r="A141" s="37" t="s">
        <v>1931</v>
      </c>
      <c r="B141" s="36" t="s">
        <v>1136</v>
      </c>
      <c r="C141" s="1" t="s">
        <v>665</v>
      </c>
      <c r="D141" s="36" t="s">
        <v>665</v>
      </c>
      <c r="E141" s="36" t="s">
        <v>1960</v>
      </c>
      <c r="F141" s="1" t="e">
        <f t="shared" ca="1" si="232"/>
        <v>#NAME?</v>
      </c>
      <c r="G141" s="35" t="s">
        <v>1121</v>
      </c>
      <c r="H141" s="43">
        <v>1</v>
      </c>
      <c r="I141" s="42">
        <v>0</v>
      </c>
      <c r="J141" s="26">
        <v>2.1932253411905318</v>
      </c>
      <c r="K141" s="25">
        <v>3.107634449063462</v>
      </c>
      <c r="L141" s="24"/>
      <c r="M141" s="25"/>
      <c r="N141" s="24"/>
      <c r="O141" s="25"/>
      <c r="P141" s="24"/>
      <c r="Q141" s="25"/>
      <c r="R141" s="32"/>
      <c r="S141" s="47">
        <v>1</v>
      </c>
      <c r="T141" s="45">
        <v>1</v>
      </c>
      <c r="U141" s="46">
        <v>1</v>
      </c>
      <c r="V141" s="45">
        <v>1</v>
      </c>
      <c r="W141" s="46">
        <v>1</v>
      </c>
      <c r="X141" s="45">
        <v>1</v>
      </c>
      <c r="Y141" s="46">
        <v>1</v>
      </c>
      <c r="Z141" s="45">
        <v>1</v>
      </c>
      <c r="AA141" s="44">
        <v>1</v>
      </c>
      <c r="AB141" s="26">
        <f t="shared" si="313"/>
        <v>2.1932253411905318</v>
      </c>
      <c r="AC141" s="25">
        <f t="shared" si="314"/>
        <v>3.107634449063462</v>
      </c>
      <c r="AD141" s="24">
        <f t="shared" si="315"/>
        <v>0</v>
      </c>
      <c r="AE141" s="25">
        <f t="shared" si="316"/>
        <v>0</v>
      </c>
      <c r="AF141" s="24">
        <f t="shared" si="317"/>
        <v>0</v>
      </c>
      <c r="AG141" s="25">
        <f t="shared" si="318"/>
        <v>0</v>
      </c>
      <c r="AH141" s="24">
        <f t="shared" si="319"/>
        <v>0</v>
      </c>
      <c r="AI141" s="25">
        <f t="shared" si="320"/>
        <v>0</v>
      </c>
      <c r="AJ141" s="24">
        <f t="shared" si="321"/>
        <v>0</v>
      </c>
      <c r="AK141" s="27">
        <f t="shared" si="323"/>
        <v>5.3008597902539938</v>
      </c>
      <c r="AL141" s="41">
        <v>0</v>
      </c>
      <c r="AM141" s="40">
        <v>0</v>
      </c>
      <c r="AN141" s="39">
        <v>0</v>
      </c>
      <c r="AO141" s="40">
        <v>0</v>
      </c>
      <c r="AP141" s="39">
        <v>0</v>
      </c>
      <c r="AQ141" s="40">
        <v>0</v>
      </c>
      <c r="AR141" s="39">
        <v>0</v>
      </c>
      <c r="AS141" s="40">
        <v>0</v>
      </c>
      <c r="AT141" s="39">
        <v>0</v>
      </c>
      <c r="AU141" s="38">
        <v>0</v>
      </c>
      <c r="AW141" s="100" t="s">
        <v>1129</v>
      </c>
      <c r="AX141" s="41">
        <v>0.12810231757493065</v>
      </c>
      <c r="AY141" s="40">
        <v>0.35262258139858416</v>
      </c>
      <c r="AZ141" s="39">
        <v>4.5110456645555219</v>
      </c>
      <c r="BA141" s="40">
        <v>3.0554384909964565</v>
      </c>
      <c r="BB141" s="39">
        <v>0.27404767953867748</v>
      </c>
      <c r="BC141" s="40">
        <v>0.23887247059164396</v>
      </c>
      <c r="BD141" s="39">
        <v>0.82984352655640881</v>
      </c>
      <c r="BE141" s="40">
        <v>5.1018845883649994E-2</v>
      </c>
      <c r="BF141" s="39">
        <v>3.1991140128407078E-2</v>
      </c>
      <c r="BG141" s="81">
        <v>9.47298271722428</v>
      </c>
      <c r="BH141" s="66">
        <v>0</v>
      </c>
      <c r="BJ141" s="37" t="s">
        <v>1164</v>
      </c>
      <c r="BK141" s="36" t="s">
        <v>1936</v>
      </c>
      <c r="BL141" s="1" t="s">
        <v>1123</v>
      </c>
      <c r="BM141" s="36" t="s">
        <v>1935</v>
      </c>
      <c r="BN141" s="82" t="str">
        <f t="shared" si="324"/>
        <v>IPLPRH</v>
      </c>
      <c r="BO141" s="26">
        <f t="shared" si="325"/>
        <v>0.59264090106654188</v>
      </c>
      <c r="BP141" s="25">
        <f t="shared" si="325"/>
        <v>0.52291844211753691</v>
      </c>
      <c r="BQ141" s="24">
        <f t="shared" si="325"/>
        <v>0.49162036934968295</v>
      </c>
      <c r="BR141" s="25">
        <f t="shared" si="325"/>
        <v>9.4140070726535019E-2</v>
      </c>
      <c r="BS141" s="24">
        <f t="shared" si="325"/>
        <v>4.5630660368905662</v>
      </c>
      <c r="BT141" s="25">
        <f t="shared" si="325"/>
        <v>2.6495222149687159</v>
      </c>
      <c r="BU141" s="24">
        <f t="shared" si="325"/>
        <v>1.9135438219218501</v>
      </c>
      <c r="BV141" s="25">
        <f t="shared" si="325"/>
        <v>5.0495885514788057E-2</v>
      </c>
      <c r="BW141" s="32">
        <f t="shared" si="325"/>
        <v>0.39134311273960742</v>
      </c>
      <c r="BX141" s="26">
        <f t="shared" ref="BX141:CF141" si="348">BO141/BO143</f>
        <v>8.0474103906657379E-2</v>
      </c>
      <c r="BY141" s="25">
        <f t="shared" si="348"/>
        <v>8.5682002348666381E-2</v>
      </c>
      <c r="BZ141" s="24">
        <f t="shared" si="348"/>
        <v>0.39835233031531714</v>
      </c>
      <c r="CA141" s="25">
        <f t="shared" si="348"/>
        <v>0.39835233031531714</v>
      </c>
      <c r="CB141" s="24">
        <f t="shared" si="348"/>
        <v>5.1048548332825149E-2</v>
      </c>
      <c r="CC141" s="25">
        <f t="shared" si="348"/>
        <v>5.0243274223227941E-2</v>
      </c>
      <c r="CD141" s="24">
        <f t="shared" si="348"/>
        <v>5.0092282741319424E-2</v>
      </c>
      <c r="CE141" s="25">
        <f t="shared" si="348"/>
        <v>6.7622804416143295E-2</v>
      </c>
      <c r="CF141" s="32">
        <f t="shared" si="348"/>
        <v>4.684884173466948E-2</v>
      </c>
      <c r="CH141" s="53" t="s">
        <v>1959</v>
      </c>
      <c r="CI141" s="22"/>
      <c r="CJ141" s="20"/>
      <c r="CK141" s="21"/>
      <c r="CL141" s="20"/>
      <c r="CM141" s="21"/>
      <c r="CN141" s="20"/>
      <c r="CO141" s="21"/>
      <c r="CP141" s="20"/>
      <c r="CQ141" s="78"/>
      <c r="CS141" s="54" t="s">
        <v>1650</v>
      </c>
      <c r="CT141" s="39">
        <v>0.16841657486860231</v>
      </c>
      <c r="CU141" s="40">
        <v>0.46359416835481571</v>
      </c>
      <c r="CV141" s="39">
        <v>0</v>
      </c>
      <c r="CW141" s="40">
        <v>0</v>
      </c>
      <c r="CX141" s="39">
        <v>9.6741377856191191E-2</v>
      </c>
      <c r="CY141" s="40">
        <v>8.4324202182075758E-2</v>
      </c>
      <c r="CZ141" s="39">
        <v>0.29294247737929663</v>
      </c>
      <c r="DA141" s="40">
        <v>0</v>
      </c>
      <c r="DB141" s="39">
        <v>0</v>
      </c>
      <c r="DC141" s="38">
        <v>1.1060188006409815</v>
      </c>
      <c r="DE141" s="37" t="s">
        <v>1369</v>
      </c>
      <c r="DF141" s="35" t="str">
        <f t="shared" si="327"/>
        <v>IPAST</v>
      </c>
      <c r="DG141" s="26">
        <f t="shared" si="345"/>
        <v>2.848458611655216E-2</v>
      </c>
      <c r="DH141" s="25">
        <f t="shared" si="345"/>
        <v>2.5133458338134258E-2</v>
      </c>
      <c r="DI141" s="24">
        <f t="shared" si="345"/>
        <v>0.2520048089370262</v>
      </c>
      <c r="DJ141" s="25">
        <f t="shared" si="345"/>
        <v>4.8256240009217778E-2</v>
      </c>
      <c r="DK141" s="24">
        <f t="shared" si="345"/>
        <v>0.21447217781874567</v>
      </c>
      <c r="DL141" s="25">
        <f t="shared" si="345"/>
        <v>0.12453223228185233</v>
      </c>
      <c r="DM141" s="24">
        <f t="shared" si="345"/>
        <v>8.9939945536893343E-2</v>
      </c>
      <c r="DN141" s="25">
        <f t="shared" si="345"/>
        <v>3.4315548450999309E-2</v>
      </c>
      <c r="DO141" s="32">
        <f t="shared" si="345"/>
        <v>0.26594550049524462</v>
      </c>
      <c r="DP141" s="26">
        <f t="shared" si="328"/>
        <v>1.3706544482273227E-3</v>
      </c>
      <c r="DQ141" s="25">
        <f t="shared" si="329"/>
        <v>1.8315723129801267E-3</v>
      </c>
      <c r="DR141" s="24">
        <f t="shared" si="330"/>
        <v>7.9064717127484713E-3</v>
      </c>
      <c r="DS141" s="25">
        <f t="shared" si="331"/>
        <v>5.4390707023063848E-3</v>
      </c>
      <c r="DT141" s="24">
        <f t="shared" si="332"/>
        <v>4.2875750044636092E-3</v>
      </c>
      <c r="DU141" s="25">
        <f t="shared" si="333"/>
        <v>5.732555099077938E-3</v>
      </c>
      <c r="DV141" s="24">
        <f t="shared" si="334"/>
        <v>7.5631168645986478E-3</v>
      </c>
      <c r="DW141" s="25">
        <f t="shared" si="335"/>
        <v>8.8217993167213418E-3</v>
      </c>
      <c r="DX141" s="32">
        <f t="shared" si="336"/>
        <v>3.794664325796808E-2</v>
      </c>
      <c r="DZ141" s="54" t="s">
        <v>1593</v>
      </c>
      <c r="EA141" s="39">
        <v>0</v>
      </c>
      <c r="EB141" s="40">
        <v>1</v>
      </c>
      <c r="EC141" s="39">
        <v>1</v>
      </c>
      <c r="ED141" s="40">
        <v>1</v>
      </c>
      <c r="EE141" s="39">
        <v>1</v>
      </c>
      <c r="EF141" s="40">
        <v>1</v>
      </c>
      <c r="EG141" s="39">
        <v>1</v>
      </c>
      <c r="EH141" s="40">
        <v>0</v>
      </c>
      <c r="EI141" s="66">
        <v>0</v>
      </c>
      <c r="EO141" s="83" t="s">
        <v>1231</v>
      </c>
      <c r="EP141" s="82" t="s">
        <v>521</v>
      </c>
      <c r="EQ141" s="81">
        <f t="shared" si="337"/>
        <v>30.610164755054562</v>
      </c>
      <c r="ER141" s="80">
        <f>EQ141/SUM(EQ134:EQ142)</f>
        <v>0.10225676728612512</v>
      </c>
      <c r="ET141" s="73" t="s">
        <v>439</v>
      </c>
      <c r="EU141" s="72">
        <v>8.0613311677025234E-2</v>
      </c>
      <c r="EW141" s="37" t="s">
        <v>1201</v>
      </c>
      <c r="EX141" s="36" t="s">
        <v>1950</v>
      </c>
      <c r="EY141" s="36" t="s">
        <v>1150</v>
      </c>
      <c r="EZ141" s="1" t="s">
        <v>1902</v>
      </c>
      <c r="FA141" s="36" t="str">
        <f t="shared" si="338"/>
        <v>IMSETC</v>
      </c>
      <c r="FB141" s="35" t="s">
        <v>438</v>
      </c>
      <c r="FC141" s="26">
        <f t="shared" si="339"/>
        <v>44.82039899077246</v>
      </c>
      <c r="FD141" s="25">
        <f t="shared" si="340"/>
        <v>8.0473687899115229E-2</v>
      </c>
      <c r="FE141" s="24">
        <f t="shared" si="341"/>
        <v>1.7954701366153167E-3</v>
      </c>
      <c r="FF141" s="36">
        <v>0</v>
      </c>
      <c r="FG141" s="86">
        <f t="shared" si="342"/>
        <v>0</v>
      </c>
    </row>
    <row r="142" spans="1:163" ht="15.75" thickBot="1">
      <c r="A142" s="37" t="s">
        <v>1931</v>
      </c>
      <c r="B142" s="36" t="s">
        <v>1129</v>
      </c>
      <c r="C142" s="1" t="s">
        <v>1120</v>
      </c>
      <c r="D142" s="36" t="s">
        <v>1120</v>
      </c>
      <c r="E142" s="36" t="s">
        <v>1958</v>
      </c>
      <c r="F142" s="1" t="e">
        <f t="shared" ca="1" si="232"/>
        <v>#NAME?</v>
      </c>
      <c r="G142" s="35" t="s">
        <v>1121</v>
      </c>
      <c r="H142" s="43">
        <v>1</v>
      </c>
      <c r="I142" s="42">
        <v>0</v>
      </c>
      <c r="J142" s="26">
        <v>0</v>
      </c>
      <c r="K142" s="25">
        <v>2.696709218706173</v>
      </c>
      <c r="L142" s="24"/>
      <c r="M142" s="25"/>
      <c r="N142" s="24"/>
      <c r="O142" s="25"/>
      <c r="P142" s="24"/>
      <c r="Q142" s="25"/>
      <c r="R142" s="32"/>
      <c r="S142" s="47">
        <v>1</v>
      </c>
      <c r="T142" s="45">
        <v>1</v>
      </c>
      <c r="U142" s="46">
        <v>1</v>
      </c>
      <c r="V142" s="45">
        <v>1</v>
      </c>
      <c r="W142" s="46">
        <v>1</v>
      </c>
      <c r="X142" s="45">
        <v>1</v>
      </c>
      <c r="Y142" s="46">
        <v>1</v>
      </c>
      <c r="Z142" s="45">
        <v>1</v>
      </c>
      <c r="AA142" s="44">
        <v>1</v>
      </c>
      <c r="AB142" s="26">
        <f t="shared" si="313"/>
        <v>0</v>
      </c>
      <c r="AC142" s="25">
        <f t="shared" si="314"/>
        <v>2.696709218706173</v>
      </c>
      <c r="AD142" s="24">
        <f t="shared" si="315"/>
        <v>0</v>
      </c>
      <c r="AE142" s="25">
        <f t="shared" si="316"/>
        <v>0</v>
      </c>
      <c r="AF142" s="24">
        <f t="shared" si="317"/>
        <v>0</v>
      </c>
      <c r="AG142" s="25">
        <f t="shared" si="318"/>
        <v>0</v>
      </c>
      <c r="AH142" s="24">
        <f t="shared" si="319"/>
        <v>0</v>
      </c>
      <c r="AI142" s="25">
        <f t="shared" si="320"/>
        <v>0</v>
      </c>
      <c r="AJ142" s="24">
        <f t="shared" si="321"/>
        <v>0</v>
      </c>
      <c r="AK142" s="27">
        <f t="shared" si="323"/>
        <v>2.696709218706173</v>
      </c>
      <c r="AL142" s="41">
        <v>0</v>
      </c>
      <c r="AM142" s="40">
        <v>0</v>
      </c>
      <c r="AN142" s="39">
        <v>0</v>
      </c>
      <c r="AO142" s="40">
        <v>0</v>
      </c>
      <c r="AP142" s="39">
        <v>0</v>
      </c>
      <c r="AQ142" s="40">
        <v>0</v>
      </c>
      <c r="AR142" s="39">
        <v>0</v>
      </c>
      <c r="AS142" s="40">
        <v>0</v>
      </c>
      <c r="AT142" s="39">
        <v>0</v>
      </c>
      <c r="AU142" s="38">
        <v>0</v>
      </c>
      <c r="AW142" s="100" t="s">
        <v>1123</v>
      </c>
      <c r="AX142" s="41">
        <v>2.3727279880345469</v>
      </c>
      <c r="AY142" s="40">
        <v>6.5313218678343938</v>
      </c>
      <c r="AZ142" s="39">
        <v>31.805011263527625</v>
      </c>
      <c r="BA142" s="40">
        <v>21.542290379526275</v>
      </c>
      <c r="BB142" s="39">
        <v>4.6740960341027566</v>
      </c>
      <c r="BC142" s="40">
        <v>4.0741555240614709</v>
      </c>
      <c r="BD142" s="39">
        <v>14.153625905289703</v>
      </c>
      <c r="BE142" s="40">
        <v>2.0521737705701684</v>
      </c>
      <c r="BF142" s="39">
        <v>1.2868064246665185</v>
      </c>
      <c r="BG142" s="81">
        <v>88.492209157613445</v>
      </c>
      <c r="BH142" s="66">
        <v>0</v>
      </c>
      <c r="BJ142" s="37" t="s">
        <v>1164</v>
      </c>
      <c r="BK142" s="36" t="s">
        <v>1936</v>
      </c>
      <c r="BL142" s="1" t="s">
        <v>1107</v>
      </c>
      <c r="BM142" s="36" t="s">
        <v>1937</v>
      </c>
      <c r="BN142" s="82" t="str">
        <f t="shared" si="324"/>
        <v>IPLSTM</v>
      </c>
      <c r="BO142" s="26">
        <f t="shared" si="325"/>
        <v>0.68093370485576654</v>
      </c>
      <c r="BP142" s="25">
        <f t="shared" si="325"/>
        <v>0.52510028453236013</v>
      </c>
      <c r="BQ142" s="24">
        <f t="shared" si="325"/>
        <v>0</v>
      </c>
      <c r="BR142" s="25">
        <f t="shared" si="325"/>
        <v>0</v>
      </c>
      <c r="BS142" s="24">
        <f t="shared" si="325"/>
        <v>3.3505410264661846</v>
      </c>
      <c r="BT142" s="25">
        <f t="shared" si="325"/>
        <v>1.2708120562147416</v>
      </c>
      <c r="BU142" s="24">
        <f t="shared" si="325"/>
        <v>1.2507209295542177</v>
      </c>
      <c r="BV142" s="25">
        <f t="shared" si="325"/>
        <v>6.4012225162040096E-2</v>
      </c>
      <c r="BW142" s="32">
        <f t="shared" si="325"/>
        <v>3.0622622806358617</v>
      </c>
      <c r="BX142" s="26">
        <f t="shared" ref="BX142:CF142" si="349">BO142/BO143</f>
        <v>9.2463293740766381E-2</v>
      </c>
      <c r="BY142" s="25">
        <f t="shared" si="349"/>
        <v>8.6039504803837555E-2</v>
      </c>
      <c r="BZ142" s="24">
        <f t="shared" si="349"/>
        <v>0</v>
      </c>
      <c r="CA142" s="25">
        <f t="shared" si="349"/>
        <v>0</v>
      </c>
      <c r="CB142" s="24">
        <f t="shared" si="349"/>
        <v>3.7483624858347539E-2</v>
      </c>
      <c r="CC142" s="25">
        <f t="shared" si="349"/>
        <v>2.4098593424073375E-2</v>
      </c>
      <c r="CD142" s="24">
        <f t="shared" si="349"/>
        <v>3.2741066975300465E-2</v>
      </c>
      <c r="CE142" s="25">
        <f t="shared" si="349"/>
        <v>8.5723542388559143E-2</v>
      </c>
      <c r="CF142" s="32">
        <f t="shared" si="349"/>
        <v>0.36659247669196993</v>
      </c>
      <c r="CH142" s="99" t="s">
        <v>1378</v>
      </c>
      <c r="CI142" s="98">
        <v>18</v>
      </c>
      <c r="CJ142" s="96">
        <v>18</v>
      </c>
      <c r="CK142" s="97">
        <v>18.999999999999993</v>
      </c>
      <c r="CL142" s="96">
        <v>18.999999999999996</v>
      </c>
      <c r="CM142" s="97">
        <v>19</v>
      </c>
      <c r="CN142" s="96">
        <v>19.000000000000004</v>
      </c>
      <c r="CO142" s="97">
        <v>19</v>
      </c>
      <c r="CP142" s="96">
        <v>18.999999999999996</v>
      </c>
      <c r="CQ142" s="95">
        <v>18.999999999999993</v>
      </c>
      <c r="CS142" s="54" t="s">
        <v>1536</v>
      </c>
      <c r="CT142" s="39">
        <v>0.29132018798458775</v>
      </c>
      <c r="CU142" s="40">
        <v>0.80190646543579303</v>
      </c>
      <c r="CV142" s="39">
        <v>0.55865863804166049</v>
      </c>
      <c r="CW142" s="40">
        <v>0.37839277917580866</v>
      </c>
      <c r="CX142" s="39">
        <v>0.31874157624236943</v>
      </c>
      <c r="CY142" s="40">
        <v>0.27782971169636878</v>
      </c>
      <c r="CZ142" s="39">
        <v>0.96518107409037757</v>
      </c>
      <c r="DA142" s="40">
        <v>1.2478311220505631</v>
      </c>
      <c r="DB142" s="39">
        <v>0.78244694858728692</v>
      </c>
      <c r="DC142" s="38">
        <v>5.6223085033048159</v>
      </c>
      <c r="DE142" s="37" t="s">
        <v>1367</v>
      </c>
      <c r="DF142" s="35" t="str">
        <f t="shared" si="327"/>
        <v>IPAST</v>
      </c>
      <c r="DG142" s="26">
        <f t="shared" si="345"/>
        <v>0</v>
      </c>
      <c r="DH142" s="25">
        <f t="shared" si="345"/>
        <v>1.5538295710813932</v>
      </c>
      <c r="DI142" s="24">
        <f t="shared" si="345"/>
        <v>5.8643651257988409</v>
      </c>
      <c r="DJ142" s="25">
        <f t="shared" si="345"/>
        <v>0.44395130602325522</v>
      </c>
      <c r="DK142" s="24">
        <f t="shared" si="345"/>
        <v>1.9495253003629904</v>
      </c>
      <c r="DL142" s="25">
        <f t="shared" si="345"/>
        <v>3.9154574968181444</v>
      </c>
      <c r="DM142" s="24">
        <f t="shared" si="345"/>
        <v>2.2660818837882686</v>
      </c>
      <c r="DN142" s="25">
        <f t="shared" si="345"/>
        <v>0</v>
      </c>
      <c r="DO142" s="32">
        <f t="shared" si="345"/>
        <v>3.0200270147999349</v>
      </c>
      <c r="DP142" s="26">
        <f t="shared" si="328"/>
        <v>0</v>
      </c>
      <c r="DQ142" s="25">
        <f t="shared" si="329"/>
        <v>0.11323357029479653</v>
      </c>
      <c r="DR142" s="24">
        <f t="shared" si="330"/>
        <v>0.18399028643911211</v>
      </c>
      <c r="DS142" s="25">
        <f t="shared" si="331"/>
        <v>5.0038762683965787E-2</v>
      </c>
      <c r="DT142" s="24">
        <f t="shared" si="332"/>
        <v>3.8973521103841668E-2</v>
      </c>
      <c r="DU142" s="25">
        <f t="shared" si="333"/>
        <v>0.18023908692013957</v>
      </c>
      <c r="DV142" s="24">
        <f t="shared" si="334"/>
        <v>0.19055650978585773</v>
      </c>
      <c r="DW142" s="25">
        <f t="shared" si="335"/>
        <v>0</v>
      </c>
      <c r="DX142" s="32">
        <f t="shared" si="336"/>
        <v>0.43091493387416258</v>
      </c>
      <c r="DZ142" s="54" t="s">
        <v>1464</v>
      </c>
      <c r="EA142" s="39">
        <v>2.5041093375784675E-2</v>
      </c>
      <c r="EB142" s="40">
        <v>2.5041093375784671E-2</v>
      </c>
      <c r="EC142" s="39">
        <v>0.17712981750771081</v>
      </c>
      <c r="ED142" s="40">
        <v>0.17712981750771081</v>
      </c>
      <c r="EE142" s="39">
        <v>5.3601257136457636E-2</v>
      </c>
      <c r="EF142" s="40">
        <v>5.3601257136457636E-2</v>
      </c>
      <c r="EG142" s="39">
        <v>5.3601257136457643E-2</v>
      </c>
      <c r="EH142" s="40">
        <v>0.16252031671169145</v>
      </c>
      <c r="EI142" s="66">
        <v>0.16252031671169145</v>
      </c>
      <c r="EO142" s="79" t="s">
        <v>1231</v>
      </c>
      <c r="EP142" s="78" t="s">
        <v>522</v>
      </c>
      <c r="EQ142" s="77">
        <f t="shared" si="337"/>
        <v>19.193967504984265</v>
      </c>
      <c r="ER142" s="76">
        <f>EQ142/SUM(EQ134:EQ142)</f>
        <v>6.4119650585367297E-2</v>
      </c>
      <c r="ET142" s="73" t="s">
        <v>518</v>
      </c>
      <c r="EU142" s="72">
        <v>4.8190910948536739E-2</v>
      </c>
      <c r="EW142" s="37" t="s">
        <v>1201</v>
      </c>
      <c r="EX142" s="36" t="s">
        <v>1950</v>
      </c>
      <c r="EY142" s="36" t="s">
        <v>1145</v>
      </c>
      <c r="EZ142" s="1" t="s">
        <v>1945</v>
      </c>
      <c r="FA142" s="36" t="str">
        <f t="shared" si="338"/>
        <v>IMSFAC</v>
      </c>
      <c r="FB142" s="1" t="s">
        <v>440</v>
      </c>
      <c r="FC142" s="26">
        <f t="shared" si="339"/>
        <v>130.84773862054098</v>
      </c>
      <c r="FD142" s="25">
        <f t="shared" si="340"/>
        <v>2.0735155923858812</v>
      </c>
      <c r="FE142" s="24">
        <f t="shared" si="341"/>
        <v>1.584678202501524E-2</v>
      </c>
      <c r="FF142" s="36">
        <v>0.02</v>
      </c>
      <c r="FG142" s="32">
        <f t="shared" si="342"/>
        <v>1.2620858902727718</v>
      </c>
    </row>
    <row r="143" spans="1:163" ht="15.75" thickBot="1">
      <c r="A143" s="37" t="s">
        <v>1931</v>
      </c>
      <c r="B143" s="36" t="s">
        <v>1129</v>
      </c>
      <c r="C143" s="1" t="s">
        <v>456</v>
      </c>
      <c r="D143" s="36" t="s">
        <v>456</v>
      </c>
      <c r="E143" s="36" t="s">
        <v>1957</v>
      </c>
      <c r="F143" s="1" t="e">
        <f t="shared" ca="1" si="232"/>
        <v>#NAME?</v>
      </c>
      <c r="G143" s="35" t="s">
        <v>1121</v>
      </c>
      <c r="H143" s="43">
        <v>1</v>
      </c>
      <c r="I143" s="42">
        <v>0</v>
      </c>
      <c r="J143" s="26">
        <v>0</v>
      </c>
      <c r="K143" s="25">
        <v>3.1979798246112536</v>
      </c>
      <c r="L143" s="24"/>
      <c r="M143" s="25"/>
      <c r="N143" s="24"/>
      <c r="O143" s="25"/>
      <c r="P143" s="24"/>
      <c r="Q143" s="25"/>
      <c r="R143" s="32"/>
      <c r="S143" s="47">
        <v>1</v>
      </c>
      <c r="T143" s="45">
        <v>1</v>
      </c>
      <c r="U143" s="46">
        <v>1</v>
      </c>
      <c r="V143" s="45">
        <v>1</v>
      </c>
      <c r="W143" s="46">
        <v>1</v>
      </c>
      <c r="X143" s="45">
        <v>1</v>
      </c>
      <c r="Y143" s="46">
        <v>1</v>
      </c>
      <c r="Z143" s="45">
        <v>1</v>
      </c>
      <c r="AA143" s="44">
        <v>1</v>
      </c>
      <c r="AB143" s="26">
        <f t="shared" si="313"/>
        <v>0</v>
      </c>
      <c r="AC143" s="25">
        <f t="shared" si="314"/>
        <v>3.1979798246112536</v>
      </c>
      <c r="AD143" s="24">
        <f t="shared" si="315"/>
        <v>0</v>
      </c>
      <c r="AE143" s="25">
        <f t="shared" si="316"/>
        <v>0</v>
      </c>
      <c r="AF143" s="24">
        <f t="shared" si="317"/>
        <v>0</v>
      </c>
      <c r="AG143" s="25">
        <f t="shared" si="318"/>
        <v>0</v>
      </c>
      <c r="AH143" s="24">
        <f t="shared" si="319"/>
        <v>0</v>
      </c>
      <c r="AI143" s="25">
        <f t="shared" si="320"/>
        <v>0</v>
      </c>
      <c r="AJ143" s="24">
        <f t="shared" si="321"/>
        <v>0</v>
      </c>
      <c r="AK143" s="27">
        <f t="shared" si="323"/>
        <v>3.1979798246112536</v>
      </c>
      <c r="AL143" s="41">
        <v>0</v>
      </c>
      <c r="AM143" s="40">
        <v>0</v>
      </c>
      <c r="AN143" s="39">
        <v>0</v>
      </c>
      <c r="AO143" s="40">
        <v>0</v>
      </c>
      <c r="AP143" s="39">
        <v>0</v>
      </c>
      <c r="AQ143" s="40">
        <v>0</v>
      </c>
      <c r="AR143" s="39">
        <v>0</v>
      </c>
      <c r="AS143" s="40">
        <v>0</v>
      </c>
      <c r="AT143" s="39">
        <v>0</v>
      </c>
      <c r="AU143" s="38">
        <v>0</v>
      </c>
      <c r="AW143" s="94" t="s">
        <v>1107</v>
      </c>
      <c r="AX143" s="7">
        <v>1.5421635685844439E-3</v>
      </c>
      <c r="AY143" s="6">
        <v>0.62674399099215106</v>
      </c>
      <c r="AZ143" s="5">
        <v>2.2604886385898113</v>
      </c>
      <c r="BA143" s="6">
        <v>0</v>
      </c>
      <c r="BB143" s="5">
        <v>0.14384639171971142</v>
      </c>
      <c r="BC143" s="6">
        <v>0.20327851221951532</v>
      </c>
      <c r="BD143" s="5">
        <v>0</v>
      </c>
      <c r="BE143" s="6">
        <v>5.7856191939400517E-2</v>
      </c>
      <c r="BF143" s="5">
        <v>0.73726717283043774</v>
      </c>
      <c r="BG143" s="77">
        <v>4.0310230618596119</v>
      </c>
      <c r="BH143" s="59">
        <v>0.87198123165886687</v>
      </c>
      <c r="BJ143" s="22" t="s">
        <v>1164</v>
      </c>
      <c r="BK143" s="20" t="s">
        <v>1936</v>
      </c>
      <c r="BL143" s="21" t="s">
        <v>1027</v>
      </c>
      <c r="BM143" s="20"/>
      <c r="BN143" s="78"/>
      <c r="BO143" s="11">
        <f t="shared" ref="BO143:BW143" si="350">GETPIVOTDATA("Sum of "&amp;BO$1&amp;" (Out)",$AW$6,"Sub-Sector",$BJ143)</f>
        <v>7.3643678189191304</v>
      </c>
      <c r="BP143" s="10">
        <f t="shared" si="350"/>
        <v>6.1030137926704979</v>
      </c>
      <c r="BQ143" s="9">
        <f t="shared" si="350"/>
        <v>1.2341345385391349</v>
      </c>
      <c r="BR143" s="10">
        <f t="shared" si="350"/>
        <v>0.23632363503940876</v>
      </c>
      <c r="BS143" s="9">
        <f t="shared" si="350"/>
        <v>89.386793276478571</v>
      </c>
      <c r="BT143" s="10">
        <f t="shared" si="350"/>
        <v>52.733868481521391</v>
      </c>
      <c r="BU143" s="9">
        <f t="shared" si="350"/>
        <v>38.200371737968986</v>
      </c>
      <c r="BV143" s="10">
        <f t="shared" si="350"/>
        <v>0.74672865094505603</v>
      </c>
      <c r="BW143" s="16">
        <f t="shared" si="350"/>
        <v>8.353314580454235</v>
      </c>
      <c r="BX143" s="11"/>
      <c r="BY143" s="6"/>
      <c r="BZ143" s="5"/>
      <c r="CA143" s="6"/>
      <c r="CB143" s="5"/>
      <c r="CC143" s="6"/>
      <c r="CD143" s="5"/>
      <c r="CE143" s="6"/>
      <c r="CF143" s="59"/>
      <c r="CS143" s="54" t="s">
        <v>1534</v>
      </c>
      <c r="CT143" s="39">
        <v>6.2965690743916864</v>
      </c>
      <c r="CU143" s="40">
        <v>17.33233623714705</v>
      </c>
      <c r="CV143" s="39">
        <v>39.41588415316204</v>
      </c>
      <c r="CW143" s="40">
        <v>26.697315556900911</v>
      </c>
      <c r="CX143" s="39">
        <v>16.903024722452194</v>
      </c>
      <c r="CY143" s="40">
        <v>14.73344814566817</v>
      </c>
      <c r="CZ143" s="39">
        <v>51.18403362787906</v>
      </c>
      <c r="DA143" s="40">
        <v>19.070059541551831</v>
      </c>
      <c r="DB143" s="39">
        <v>11.957795918044496</v>
      </c>
      <c r="DC143" s="38">
        <v>203.59046697719745</v>
      </c>
      <c r="DE143" s="37" t="s">
        <v>1362</v>
      </c>
      <c r="DF143" s="35" t="str">
        <f t="shared" si="327"/>
        <v>IPAST</v>
      </c>
      <c r="DG143" s="26">
        <f t="shared" si="345"/>
        <v>0.91135345063985318</v>
      </c>
      <c r="DH143" s="25">
        <f t="shared" si="345"/>
        <v>0.80413539762339992</v>
      </c>
      <c r="DI143" s="24">
        <f t="shared" si="345"/>
        <v>0.17997316042047523</v>
      </c>
      <c r="DJ143" s="25">
        <f t="shared" si="345"/>
        <v>3.446294561243142E-2</v>
      </c>
      <c r="DK143" s="24">
        <f t="shared" si="345"/>
        <v>0.64330831809872013</v>
      </c>
      <c r="DL143" s="25">
        <f t="shared" si="345"/>
        <v>0.37353386212183748</v>
      </c>
      <c r="DM143" s="24">
        <f t="shared" si="345"/>
        <v>0.26977445597688265</v>
      </c>
      <c r="DN143" s="25">
        <f t="shared" si="345"/>
        <v>0</v>
      </c>
      <c r="DO143" s="32">
        <f t="shared" si="345"/>
        <v>0</v>
      </c>
      <c r="DP143" s="26">
        <f t="shared" si="328"/>
        <v>4.3853565430637002E-2</v>
      </c>
      <c r="DQ143" s="25">
        <f t="shared" si="329"/>
        <v>5.8600456425831358E-2</v>
      </c>
      <c r="DR143" s="24">
        <f t="shared" si="330"/>
        <v>5.6465299528232959E-3</v>
      </c>
      <c r="DS143" s="25">
        <f t="shared" si="331"/>
        <v>3.8843970802521824E-3</v>
      </c>
      <c r="DT143" s="24">
        <f t="shared" si="332"/>
        <v>1.2860561649048155E-2</v>
      </c>
      <c r="DU143" s="25">
        <f t="shared" si="333"/>
        <v>1.7194772845141232E-2</v>
      </c>
      <c r="DV143" s="24">
        <f t="shared" si="334"/>
        <v>2.2685534502572515E-2</v>
      </c>
      <c r="DW143" s="25">
        <f t="shared" si="335"/>
        <v>0</v>
      </c>
      <c r="DX143" s="32">
        <f t="shared" si="336"/>
        <v>0</v>
      </c>
      <c r="DZ143" s="54" t="s">
        <v>1459</v>
      </c>
      <c r="EA143" s="39">
        <v>0.97495890662421525</v>
      </c>
      <c r="EB143" s="40">
        <v>0.97495890662421547</v>
      </c>
      <c r="EC143" s="39">
        <v>0.82287018249228916</v>
      </c>
      <c r="ED143" s="40">
        <v>0.82287018249228927</v>
      </c>
      <c r="EE143" s="39">
        <v>0.94639874286354231</v>
      </c>
      <c r="EF143" s="40">
        <v>0.94639874286354242</v>
      </c>
      <c r="EG143" s="39">
        <v>0.94639874286354231</v>
      </c>
      <c r="EH143" s="40">
        <v>0.83747968328830857</v>
      </c>
      <c r="EI143" s="66">
        <v>0.83747968328830846</v>
      </c>
      <c r="EO143" s="83" t="s">
        <v>1201</v>
      </c>
      <c r="EP143" s="82" t="s">
        <v>438</v>
      </c>
      <c r="EQ143" s="81">
        <f t="shared" si="337"/>
        <v>44.82039899077246</v>
      </c>
      <c r="ER143" s="80">
        <f>EQ143/SUM(EQ143:EQ151)</f>
        <v>5.3014338658236494E-2</v>
      </c>
      <c r="ET143" s="73" t="s">
        <v>517</v>
      </c>
      <c r="EU143" s="72">
        <v>0.17304738948400161</v>
      </c>
      <c r="EW143" s="37" t="s">
        <v>1201</v>
      </c>
      <c r="EX143" s="36" t="s">
        <v>1950</v>
      </c>
      <c r="EY143" s="36" t="s">
        <v>1145</v>
      </c>
      <c r="EZ143" s="1" t="s">
        <v>1945</v>
      </c>
      <c r="FA143" s="36" t="str">
        <f t="shared" si="338"/>
        <v>IMSFAC</v>
      </c>
      <c r="FB143" s="1" t="s">
        <v>439</v>
      </c>
      <c r="FC143" s="26">
        <f t="shared" si="339"/>
        <v>267.50343871101956</v>
      </c>
      <c r="FD143" s="25">
        <f t="shared" si="340"/>
        <v>9.4366519323420306</v>
      </c>
      <c r="FE143" s="24">
        <f t="shared" si="341"/>
        <v>3.5276750002964714E-2</v>
      </c>
      <c r="FF143" s="36">
        <v>0.02</v>
      </c>
      <c r="FG143" s="32">
        <f t="shared" si="342"/>
        <v>0.56694565112485407</v>
      </c>
    </row>
    <row r="144" spans="1:163">
      <c r="A144" s="37" t="s">
        <v>1931</v>
      </c>
      <c r="B144" s="36" t="s">
        <v>1129</v>
      </c>
      <c r="C144" s="1" t="s">
        <v>665</v>
      </c>
      <c r="D144" s="36" t="s">
        <v>665</v>
      </c>
      <c r="E144" s="36" t="s">
        <v>1956</v>
      </c>
      <c r="F144" s="1" t="e">
        <f t="shared" ca="1" si="232"/>
        <v>#NAME?</v>
      </c>
      <c r="G144" s="35" t="s">
        <v>1121</v>
      </c>
      <c r="H144" s="43">
        <v>1</v>
      </c>
      <c r="I144" s="42">
        <v>0</v>
      </c>
      <c r="J144" s="26">
        <v>0.23926094631169439</v>
      </c>
      <c r="K144" s="25">
        <v>0.3390146671705595</v>
      </c>
      <c r="L144" s="24"/>
      <c r="M144" s="25"/>
      <c r="N144" s="24"/>
      <c r="O144" s="25"/>
      <c r="P144" s="24"/>
      <c r="Q144" s="25"/>
      <c r="R144" s="32"/>
      <c r="S144" s="47">
        <v>1</v>
      </c>
      <c r="T144" s="45">
        <v>1</v>
      </c>
      <c r="U144" s="46">
        <v>1</v>
      </c>
      <c r="V144" s="45">
        <v>1</v>
      </c>
      <c r="W144" s="46">
        <v>1</v>
      </c>
      <c r="X144" s="45">
        <v>1</v>
      </c>
      <c r="Y144" s="46">
        <v>1</v>
      </c>
      <c r="Z144" s="45">
        <v>1</v>
      </c>
      <c r="AA144" s="44">
        <v>1</v>
      </c>
      <c r="AB144" s="26">
        <f t="shared" si="313"/>
        <v>0.23926094631169439</v>
      </c>
      <c r="AC144" s="25">
        <f t="shared" si="314"/>
        <v>0.3390146671705595</v>
      </c>
      <c r="AD144" s="24">
        <f t="shared" si="315"/>
        <v>0</v>
      </c>
      <c r="AE144" s="25">
        <f t="shared" si="316"/>
        <v>0</v>
      </c>
      <c r="AF144" s="24">
        <f t="shared" si="317"/>
        <v>0</v>
      </c>
      <c r="AG144" s="25">
        <f t="shared" si="318"/>
        <v>0</v>
      </c>
      <c r="AH144" s="24">
        <f t="shared" si="319"/>
        <v>0</v>
      </c>
      <c r="AI144" s="25">
        <f t="shared" si="320"/>
        <v>0</v>
      </c>
      <c r="AJ144" s="24">
        <f t="shared" si="321"/>
        <v>0</v>
      </c>
      <c r="AK144" s="27">
        <f t="shared" si="323"/>
        <v>0.57827561348225387</v>
      </c>
      <c r="AL144" s="41">
        <v>0</v>
      </c>
      <c r="AM144" s="40">
        <v>0</v>
      </c>
      <c r="AN144" s="39">
        <v>0</v>
      </c>
      <c r="AO144" s="40">
        <v>0</v>
      </c>
      <c r="AP144" s="39">
        <v>0</v>
      </c>
      <c r="AQ144" s="40">
        <v>0</v>
      </c>
      <c r="AR144" s="39">
        <v>0</v>
      </c>
      <c r="AS144" s="40">
        <v>0</v>
      </c>
      <c r="AT144" s="39">
        <v>0</v>
      </c>
      <c r="AU144" s="38">
        <v>0</v>
      </c>
      <c r="AW144" s="58" t="s">
        <v>1378</v>
      </c>
      <c r="AX144" s="93">
        <v>366.35765829387179</v>
      </c>
      <c r="AY144" s="56">
        <v>823.6935064536724</v>
      </c>
      <c r="AZ144" s="57">
        <v>1935.8281337207413</v>
      </c>
      <c r="BA144" s="56">
        <v>1248.7588135324486</v>
      </c>
      <c r="BB144" s="57">
        <v>2007.5178095110448</v>
      </c>
      <c r="BC144" s="56">
        <v>1494.3686864959789</v>
      </c>
      <c r="BD144" s="57">
        <v>4351.6345120059896</v>
      </c>
      <c r="BE144" s="56">
        <v>508.4758644206471</v>
      </c>
      <c r="BF144" s="57">
        <v>516.18440136112815</v>
      </c>
      <c r="BG144" s="92">
        <v>13252.819385795525</v>
      </c>
      <c r="BH144" s="55">
        <v>447.67030109371433</v>
      </c>
      <c r="BJ144" s="37" t="s">
        <v>1152</v>
      </c>
      <c r="BK144" s="36" t="s">
        <v>1922</v>
      </c>
      <c r="BL144" s="1" t="s">
        <v>1150</v>
      </c>
      <c r="BM144" s="36" t="s">
        <v>1902</v>
      </c>
      <c r="BN144" s="82" t="str">
        <f t="shared" ref="BN144:BN150" si="351">BK144&amp;BM144</f>
        <v>IMLETC</v>
      </c>
      <c r="BO144" s="91">
        <f t="shared" ref="BO144:BW150" si="352">IF(ISERROR(GETPIVOTDATA("Sum of "&amp;BO$1&amp;" (Out)",$AW$6,"Sub-Sector",$BJ144,"End-Use",$BL144)),0,GETPIVOTDATA("Sum of "&amp;BO$1&amp;" (Out)",$AW$6,"Sub-Sector",$BJ144,"End-Use",$BL144))</f>
        <v>2.3413992000138952</v>
      </c>
      <c r="BP144" s="89">
        <f t="shared" si="352"/>
        <v>6.4450842547055816</v>
      </c>
      <c r="BQ144" s="90">
        <f t="shared" si="352"/>
        <v>0.7483420546311963</v>
      </c>
      <c r="BR144" s="89">
        <f t="shared" si="352"/>
        <v>0.50686986747158602</v>
      </c>
      <c r="BS144" s="90">
        <f t="shared" si="352"/>
        <v>0.25617904367977912</v>
      </c>
      <c r="BT144" s="89">
        <f t="shared" si="352"/>
        <v>0.22329735168933235</v>
      </c>
      <c r="BU144" s="90">
        <f t="shared" si="352"/>
        <v>0.77573552673367085</v>
      </c>
      <c r="BV144" s="89">
        <f t="shared" si="352"/>
        <v>0</v>
      </c>
      <c r="BW144" s="88">
        <f t="shared" si="352"/>
        <v>0</v>
      </c>
      <c r="BX144" s="25">
        <f t="shared" ref="BX144:CF144" si="353">BO144/BO151</f>
        <v>0.5880916993342179</v>
      </c>
      <c r="BY144" s="25">
        <f t="shared" si="353"/>
        <v>0.57067525809202624</v>
      </c>
      <c r="BZ144" s="24">
        <f t="shared" si="353"/>
        <v>0.1277852614377262</v>
      </c>
      <c r="CA144" s="25">
        <f t="shared" si="353"/>
        <v>0.12798365911664378</v>
      </c>
      <c r="CB144" s="24">
        <f t="shared" si="353"/>
        <v>0.16687305157497265</v>
      </c>
      <c r="CC144" s="25">
        <f t="shared" si="353"/>
        <v>0.16687305157497262</v>
      </c>
      <c r="CD144" s="24">
        <f t="shared" si="353"/>
        <v>0.16687305157497265</v>
      </c>
      <c r="CE144" s="25">
        <f t="shared" si="353"/>
        <v>0</v>
      </c>
      <c r="CF144" s="32">
        <f t="shared" si="353"/>
        <v>0</v>
      </c>
      <c r="CS144" s="54" t="s">
        <v>1532</v>
      </c>
      <c r="CT144" s="39">
        <v>7.8290815556015719E-2</v>
      </c>
      <c r="CU144" s="40">
        <v>0.21550827497726194</v>
      </c>
      <c r="CV144" s="39">
        <v>2.1019132580270057</v>
      </c>
      <c r="CW144" s="40">
        <v>1.4236758283723274</v>
      </c>
      <c r="CX144" s="39">
        <v>0.65958333882607112</v>
      </c>
      <c r="CY144" s="40">
        <v>0.57492295490950296</v>
      </c>
      <c r="CZ144" s="39">
        <v>1.9972837021304815</v>
      </c>
      <c r="DA144" s="40">
        <v>0.54171640934248533</v>
      </c>
      <c r="DB144" s="39">
        <v>0.339680862257348</v>
      </c>
      <c r="DC144" s="38">
        <v>7.9325754443984993</v>
      </c>
      <c r="DE144" s="37" t="s">
        <v>1357</v>
      </c>
      <c r="DF144" s="35" t="str">
        <f t="shared" si="327"/>
        <v>IPAST</v>
      </c>
      <c r="DG144" s="26">
        <f t="shared" si="345"/>
        <v>0</v>
      </c>
      <c r="DH144" s="25">
        <f t="shared" si="345"/>
        <v>0.17116489603942248</v>
      </c>
      <c r="DI144" s="24">
        <f t="shared" si="345"/>
        <v>1.5551086780313079</v>
      </c>
      <c r="DJ144" s="25">
        <f t="shared" si="345"/>
        <v>0.12520529873476929</v>
      </c>
      <c r="DK144" s="24">
        <f t="shared" si="345"/>
        <v>0.78216943030750441</v>
      </c>
      <c r="DL144" s="25">
        <f t="shared" si="345"/>
        <v>0.92533676816224308</v>
      </c>
      <c r="DM144" s="24">
        <f t="shared" si="345"/>
        <v>0</v>
      </c>
      <c r="DN144" s="25">
        <f t="shared" si="345"/>
        <v>0</v>
      </c>
      <c r="DO144" s="32">
        <f t="shared" si="345"/>
        <v>0</v>
      </c>
      <c r="DP144" s="26">
        <f t="shared" si="328"/>
        <v>0</v>
      </c>
      <c r="DQ144" s="25">
        <f t="shared" si="329"/>
        <v>1.2473447956195597E-2</v>
      </c>
      <c r="DR144" s="24">
        <f t="shared" si="330"/>
        <v>4.8790429138900776E-2</v>
      </c>
      <c r="DS144" s="25">
        <f t="shared" si="331"/>
        <v>1.4112174342462641E-2</v>
      </c>
      <c r="DT144" s="24">
        <f t="shared" si="332"/>
        <v>1.563657408969938E-2</v>
      </c>
      <c r="DU144" s="25">
        <f t="shared" si="333"/>
        <v>4.2595751409057331E-2</v>
      </c>
      <c r="DV144" s="24">
        <f t="shared" si="334"/>
        <v>0</v>
      </c>
      <c r="DW144" s="25">
        <f t="shared" si="335"/>
        <v>0</v>
      </c>
      <c r="DX144" s="32">
        <f t="shared" si="336"/>
        <v>0</v>
      </c>
      <c r="DZ144" s="54" t="s">
        <v>1583</v>
      </c>
      <c r="EA144" s="39">
        <v>0</v>
      </c>
      <c r="EB144" s="40">
        <v>0.49751972623762541</v>
      </c>
      <c r="EC144" s="39">
        <v>1</v>
      </c>
      <c r="ED144" s="40">
        <v>0</v>
      </c>
      <c r="EE144" s="39">
        <v>0</v>
      </c>
      <c r="EF144" s="40">
        <v>0</v>
      </c>
      <c r="EG144" s="39">
        <v>1</v>
      </c>
      <c r="EH144" s="40">
        <v>0</v>
      </c>
      <c r="EI144" s="66">
        <v>0</v>
      </c>
      <c r="EO144" s="83" t="s">
        <v>1201</v>
      </c>
      <c r="EP144" s="82" t="s">
        <v>440</v>
      </c>
      <c r="EQ144" s="81">
        <f t="shared" si="337"/>
        <v>130.84773862054098</v>
      </c>
      <c r="ER144" s="80">
        <f>EQ144/SUM(EQ143:EQ151)</f>
        <v>0.15476895529916873</v>
      </c>
      <c r="ET144" s="73" t="s">
        <v>519</v>
      </c>
      <c r="EU144" s="72">
        <v>0.15570799038351868</v>
      </c>
      <c r="EW144" s="37" t="s">
        <v>1201</v>
      </c>
      <c r="EX144" s="36" t="s">
        <v>1950</v>
      </c>
      <c r="EY144" s="36" t="s">
        <v>1145</v>
      </c>
      <c r="EZ144" s="1" t="s">
        <v>1945</v>
      </c>
      <c r="FA144" s="36" t="str">
        <f t="shared" si="338"/>
        <v>IMSFAC</v>
      </c>
      <c r="FB144" s="1" t="s">
        <v>518</v>
      </c>
      <c r="FC144" s="26">
        <f t="shared" si="339"/>
        <v>175.42665234580812</v>
      </c>
      <c r="FD144" s="25">
        <f t="shared" si="340"/>
        <v>6.3916687358683335</v>
      </c>
      <c r="FE144" s="24">
        <f t="shared" si="341"/>
        <v>3.6434992348077289E-2</v>
      </c>
      <c r="FF144" s="36">
        <v>0.02</v>
      </c>
      <c r="FG144" s="32">
        <f t="shared" si="342"/>
        <v>0.54892285440689648</v>
      </c>
    </row>
    <row r="145" spans="1:163">
      <c r="A145" s="37" t="s">
        <v>1931</v>
      </c>
      <c r="B145" s="36" t="s">
        <v>1129</v>
      </c>
      <c r="C145" s="1" t="s">
        <v>1197</v>
      </c>
      <c r="D145" s="36" t="s">
        <v>1197</v>
      </c>
      <c r="E145" s="36" t="s">
        <v>1955</v>
      </c>
      <c r="F145" s="1" t="e">
        <f t="shared" ca="1" si="232"/>
        <v>#NAME?</v>
      </c>
      <c r="G145" s="35" t="s">
        <v>1121</v>
      </c>
      <c r="H145" s="43">
        <v>1</v>
      </c>
      <c r="I145" s="42">
        <v>0</v>
      </c>
      <c r="J145" s="26">
        <v>2.849928352890879</v>
      </c>
      <c r="K145" s="25">
        <v>28.306858042102476</v>
      </c>
      <c r="L145" s="24"/>
      <c r="M145" s="25"/>
      <c r="N145" s="24"/>
      <c r="O145" s="25"/>
      <c r="P145" s="24"/>
      <c r="Q145" s="25"/>
      <c r="R145" s="32"/>
      <c r="S145" s="47">
        <v>1</v>
      </c>
      <c r="T145" s="45">
        <v>1</v>
      </c>
      <c r="U145" s="46">
        <v>1</v>
      </c>
      <c r="V145" s="45">
        <v>1</v>
      </c>
      <c r="W145" s="46">
        <v>1</v>
      </c>
      <c r="X145" s="45">
        <v>1</v>
      </c>
      <c r="Y145" s="46">
        <v>1</v>
      </c>
      <c r="Z145" s="45">
        <v>1</v>
      </c>
      <c r="AA145" s="44">
        <v>1</v>
      </c>
      <c r="AB145" s="26">
        <f t="shared" si="313"/>
        <v>2.849928352890879</v>
      </c>
      <c r="AC145" s="25">
        <f t="shared" si="314"/>
        <v>28.306858042102476</v>
      </c>
      <c r="AD145" s="24">
        <f t="shared" si="315"/>
        <v>0</v>
      </c>
      <c r="AE145" s="25">
        <f t="shared" si="316"/>
        <v>0</v>
      </c>
      <c r="AF145" s="24">
        <f t="shared" si="317"/>
        <v>0</v>
      </c>
      <c r="AG145" s="25">
        <f t="shared" si="318"/>
        <v>0</v>
      </c>
      <c r="AH145" s="24">
        <f t="shared" si="319"/>
        <v>0</v>
      </c>
      <c r="AI145" s="25">
        <f t="shared" si="320"/>
        <v>0</v>
      </c>
      <c r="AJ145" s="24">
        <f t="shared" si="321"/>
        <v>0</v>
      </c>
      <c r="AK145" s="27">
        <f t="shared" si="323"/>
        <v>31.156786394993354</v>
      </c>
      <c r="AL145" s="41">
        <v>0</v>
      </c>
      <c r="AM145" s="40">
        <v>0</v>
      </c>
      <c r="AN145" s="39">
        <v>0</v>
      </c>
      <c r="AO145" s="40">
        <v>0</v>
      </c>
      <c r="AP145" s="39">
        <v>0</v>
      </c>
      <c r="AQ145" s="40">
        <v>0</v>
      </c>
      <c r="AR145" s="39">
        <v>0</v>
      </c>
      <c r="AS145" s="40">
        <v>0</v>
      </c>
      <c r="AT145" s="39">
        <v>0</v>
      </c>
      <c r="AU145" s="38">
        <v>0</v>
      </c>
      <c r="BJ145" s="37" t="s">
        <v>1152</v>
      </c>
      <c r="BK145" s="36" t="s">
        <v>1922</v>
      </c>
      <c r="BL145" s="1" t="s">
        <v>1145</v>
      </c>
      <c r="BM145" s="36" t="s">
        <v>1945</v>
      </c>
      <c r="BN145" s="82" t="str">
        <f t="shared" si="351"/>
        <v>IMLFAC</v>
      </c>
      <c r="BO145" s="26">
        <f t="shared" si="352"/>
        <v>0</v>
      </c>
      <c r="BP145" s="25">
        <f t="shared" si="352"/>
        <v>0</v>
      </c>
      <c r="BQ145" s="24">
        <f t="shared" si="352"/>
        <v>0</v>
      </c>
      <c r="BR145" s="25">
        <f t="shared" si="352"/>
        <v>0</v>
      </c>
      <c r="BS145" s="24">
        <f t="shared" si="352"/>
        <v>0</v>
      </c>
      <c r="BT145" s="25">
        <f t="shared" si="352"/>
        <v>0</v>
      </c>
      <c r="BU145" s="24">
        <f t="shared" si="352"/>
        <v>0</v>
      </c>
      <c r="BV145" s="25">
        <f t="shared" si="352"/>
        <v>0</v>
      </c>
      <c r="BW145" s="32">
        <f t="shared" si="352"/>
        <v>0</v>
      </c>
      <c r="BX145" s="25">
        <f t="shared" ref="BX145:CF145" si="354">BO145/BO151</f>
        <v>0</v>
      </c>
      <c r="BY145" s="25">
        <f t="shared" si="354"/>
        <v>0</v>
      </c>
      <c r="BZ145" s="24">
        <f t="shared" si="354"/>
        <v>0</v>
      </c>
      <c r="CA145" s="25">
        <f t="shared" si="354"/>
        <v>0</v>
      </c>
      <c r="CB145" s="24">
        <f t="shared" si="354"/>
        <v>0</v>
      </c>
      <c r="CC145" s="25">
        <f t="shared" si="354"/>
        <v>0</v>
      </c>
      <c r="CD145" s="24">
        <f t="shared" si="354"/>
        <v>0</v>
      </c>
      <c r="CE145" s="25">
        <f t="shared" si="354"/>
        <v>0</v>
      </c>
      <c r="CF145" s="32">
        <f t="shared" si="354"/>
        <v>0</v>
      </c>
      <c r="CS145" s="54" t="s">
        <v>1530</v>
      </c>
      <c r="CT145" s="39">
        <v>14.475187673167961</v>
      </c>
      <c r="CU145" s="40">
        <v>39.845321616104371</v>
      </c>
      <c r="CV145" s="39">
        <v>96.154072492534439</v>
      </c>
      <c r="CW145" s="40">
        <v>65.127439624067961</v>
      </c>
      <c r="CX145" s="39">
        <v>28.687477669328167</v>
      </c>
      <c r="CY145" s="40">
        <v>25.005315416100402</v>
      </c>
      <c r="CZ145" s="39">
        <v>86.868524766193673</v>
      </c>
      <c r="DA145" s="40">
        <v>29.255755236782406</v>
      </c>
      <c r="DB145" s="39">
        <v>18.3446910476315</v>
      </c>
      <c r="DC145" s="38">
        <v>403.76378554191086</v>
      </c>
      <c r="DE145" s="37" t="s">
        <v>1306</v>
      </c>
      <c r="DF145" s="35" t="str">
        <f t="shared" si="327"/>
        <v>IPBST</v>
      </c>
      <c r="DG145" s="26">
        <f t="shared" si="345"/>
        <v>0</v>
      </c>
      <c r="DH145" s="25">
        <f t="shared" si="345"/>
        <v>0</v>
      </c>
      <c r="DI145" s="24">
        <f t="shared" si="345"/>
        <v>0</v>
      </c>
      <c r="DJ145" s="25">
        <f t="shared" si="345"/>
        <v>0</v>
      </c>
      <c r="DK145" s="24">
        <f t="shared" si="345"/>
        <v>0</v>
      </c>
      <c r="DL145" s="25">
        <f t="shared" si="345"/>
        <v>0</v>
      </c>
      <c r="DM145" s="24">
        <f t="shared" si="345"/>
        <v>0</v>
      </c>
      <c r="DN145" s="25">
        <f t="shared" si="345"/>
        <v>0</v>
      </c>
      <c r="DO145" s="32">
        <f t="shared" si="345"/>
        <v>0</v>
      </c>
      <c r="DP145" s="26">
        <f t="shared" si="328"/>
        <v>0</v>
      </c>
      <c r="DQ145" s="25">
        <f t="shared" si="329"/>
        <v>0</v>
      </c>
      <c r="DR145" s="24">
        <f t="shared" si="330"/>
        <v>0</v>
      </c>
      <c r="DS145" s="25">
        <f t="shared" si="331"/>
        <v>0</v>
      </c>
      <c r="DT145" s="24">
        <f t="shared" si="332"/>
        <v>0</v>
      </c>
      <c r="DU145" s="25">
        <f t="shared" si="333"/>
        <v>0</v>
      </c>
      <c r="DV145" s="24">
        <f t="shared" si="334"/>
        <v>0</v>
      </c>
      <c r="DW145" s="25">
        <f t="shared" si="335"/>
        <v>0</v>
      </c>
      <c r="DX145" s="32">
        <f t="shared" si="336"/>
        <v>0</v>
      </c>
      <c r="DZ145" s="54" t="s">
        <v>1586</v>
      </c>
      <c r="EA145" s="39">
        <v>0</v>
      </c>
      <c r="EB145" s="40">
        <v>0.5024802737623747</v>
      </c>
      <c r="EC145" s="39">
        <v>0</v>
      </c>
      <c r="ED145" s="40">
        <v>0</v>
      </c>
      <c r="EE145" s="39">
        <v>0</v>
      </c>
      <c r="EF145" s="40">
        <v>1</v>
      </c>
      <c r="EG145" s="39">
        <v>0</v>
      </c>
      <c r="EH145" s="40">
        <v>0</v>
      </c>
      <c r="EI145" s="66">
        <v>0</v>
      </c>
      <c r="EO145" s="83" t="s">
        <v>1201</v>
      </c>
      <c r="EP145" s="82" t="s">
        <v>439</v>
      </c>
      <c r="EQ145" s="81">
        <f t="shared" si="337"/>
        <v>267.50343871101956</v>
      </c>
      <c r="ER145" s="80">
        <f>EQ145/SUM(EQ143:EQ151)</f>
        <v>0.31640766729873299</v>
      </c>
      <c r="ET145" s="73" t="s">
        <v>520</v>
      </c>
      <c r="EU145" s="72">
        <v>0.52253413336250032</v>
      </c>
      <c r="EW145" s="37" t="s">
        <v>1201</v>
      </c>
      <c r="EX145" s="36" t="s">
        <v>1950</v>
      </c>
      <c r="EY145" s="36" t="s">
        <v>1150</v>
      </c>
      <c r="EZ145" s="1" t="s">
        <v>1902</v>
      </c>
      <c r="FA145" s="36" t="str">
        <f t="shared" si="338"/>
        <v>IMSETC</v>
      </c>
      <c r="FB145" s="1" t="s">
        <v>517</v>
      </c>
      <c r="FC145" s="26">
        <f t="shared" si="339"/>
        <v>42.052445104134478</v>
      </c>
      <c r="FD145" s="25">
        <f t="shared" si="340"/>
        <v>0.234209051593194</v>
      </c>
      <c r="FE145" s="24">
        <f t="shared" si="341"/>
        <v>5.5694514555151807E-3</v>
      </c>
      <c r="FF145" s="36">
        <v>0</v>
      </c>
      <c r="FG145" s="86">
        <f t="shared" si="342"/>
        <v>0</v>
      </c>
    </row>
    <row r="146" spans="1:163">
      <c r="A146" s="37" t="s">
        <v>1931</v>
      </c>
      <c r="B146" s="36" t="s">
        <v>1123</v>
      </c>
      <c r="C146" s="1" t="s">
        <v>1126</v>
      </c>
      <c r="D146" s="36" t="s">
        <v>1126</v>
      </c>
      <c r="E146" s="36" t="s">
        <v>1954</v>
      </c>
      <c r="F146" s="1" t="e">
        <f t="shared" ca="1" si="232"/>
        <v>#NAME?</v>
      </c>
      <c r="G146" s="35" t="s">
        <v>1121</v>
      </c>
      <c r="H146" s="43">
        <v>1</v>
      </c>
      <c r="I146" s="42">
        <v>0</v>
      </c>
      <c r="J146" s="26">
        <v>1.9280742434922791</v>
      </c>
      <c r="K146" s="25">
        <v>1.3642655572079676</v>
      </c>
      <c r="L146" s="24"/>
      <c r="M146" s="25"/>
      <c r="N146" s="24"/>
      <c r="O146" s="25"/>
      <c r="P146" s="24"/>
      <c r="Q146" s="25"/>
      <c r="R146" s="32"/>
      <c r="S146" s="47">
        <v>1</v>
      </c>
      <c r="T146" s="45">
        <v>1</v>
      </c>
      <c r="U146" s="46">
        <v>1</v>
      </c>
      <c r="V146" s="45">
        <v>1</v>
      </c>
      <c r="W146" s="46">
        <v>1</v>
      </c>
      <c r="X146" s="45">
        <v>1</v>
      </c>
      <c r="Y146" s="46">
        <v>1</v>
      </c>
      <c r="Z146" s="45">
        <v>1</v>
      </c>
      <c r="AA146" s="44">
        <v>1</v>
      </c>
      <c r="AB146" s="26">
        <f t="shared" si="313"/>
        <v>1.9280742434922791</v>
      </c>
      <c r="AC146" s="25">
        <f t="shared" si="314"/>
        <v>1.3642655572079676</v>
      </c>
      <c r="AD146" s="24">
        <f t="shared" si="315"/>
        <v>0</v>
      </c>
      <c r="AE146" s="25">
        <f t="shared" si="316"/>
        <v>0</v>
      </c>
      <c r="AF146" s="24">
        <f t="shared" si="317"/>
        <v>0</v>
      </c>
      <c r="AG146" s="25">
        <f t="shared" si="318"/>
        <v>0</v>
      </c>
      <c r="AH146" s="24">
        <f t="shared" si="319"/>
        <v>0</v>
      </c>
      <c r="AI146" s="25">
        <f t="shared" si="320"/>
        <v>0</v>
      </c>
      <c r="AJ146" s="24">
        <f t="shared" si="321"/>
        <v>0</v>
      </c>
      <c r="AK146" s="27">
        <f t="shared" si="323"/>
        <v>3.2923398007002467</v>
      </c>
      <c r="AL146" s="41">
        <v>0</v>
      </c>
      <c r="AM146" s="40">
        <v>0</v>
      </c>
      <c r="AN146" s="39">
        <v>0</v>
      </c>
      <c r="AO146" s="40">
        <v>0</v>
      </c>
      <c r="AP146" s="39">
        <v>0</v>
      </c>
      <c r="AQ146" s="40">
        <v>0</v>
      </c>
      <c r="AR146" s="39">
        <v>0</v>
      </c>
      <c r="AS146" s="40">
        <v>0</v>
      </c>
      <c r="AT146" s="39">
        <v>0</v>
      </c>
      <c r="AU146" s="38">
        <v>0</v>
      </c>
      <c r="BJ146" s="37" t="s">
        <v>1152</v>
      </c>
      <c r="BK146" s="36" t="s">
        <v>1922</v>
      </c>
      <c r="BL146" s="1" t="s">
        <v>1139</v>
      </c>
      <c r="BM146" s="36" t="s">
        <v>1943</v>
      </c>
      <c r="BN146" s="82" t="str">
        <f t="shared" si="351"/>
        <v>IMLFEED</v>
      </c>
      <c r="BO146" s="26">
        <f t="shared" si="352"/>
        <v>0</v>
      </c>
      <c r="BP146" s="25">
        <f t="shared" si="352"/>
        <v>0</v>
      </c>
      <c r="BQ146" s="24">
        <f t="shared" si="352"/>
        <v>0</v>
      </c>
      <c r="BR146" s="25">
        <f t="shared" si="352"/>
        <v>0</v>
      </c>
      <c r="BS146" s="24">
        <f t="shared" si="352"/>
        <v>0</v>
      </c>
      <c r="BT146" s="25">
        <f t="shared" si="352"/>
        <v>0</v>
      </c>
      <c r="BU146" s="24">
        <f t="shared" si="352"/>
        <v>0</v>
      </c>
      <c r="BV146" s="25">
        <f t="shared" si="352"/>
        <v>0</v>
      </c>
      <c r="BW146" s="32">
        <f t="shared" si="352"/>
        <v>0</v>
      </c>
      <c r="BX146" s="25">
        <f t="shared" ref="BX146:CF146" si="355">BO146/BO151</f>
        <v>0</v>
      </c>
      <c r="BY146" s="25">
        <f t="shared" si="355"/>
        <v>0</v>
      </c>
      <c r="BZ146" s="24">
        <f t="shared" si="355"/>
        <v>0</v>
      </c>
      <c r="CA146" s="25">
        <f t="shared" si="355"/>
        <v>0</v>
      </c>
      <c r="CB146" s="24">
        <f t="shared" si="355"/>
        <v>0</v>
      </c>
      <c r="CC146" s="25">
        <f t="shared" si="355"/>
        <v>0</v>
      </c>
      <c r="CD146" s="24">
        <f t="shared" si="355"/>
        <v>0</v>
      </c>
      <c r="CE146" s="25">
        <f t="shared" si="355"/>
        <v>0</v>
      </c>
      <c r="CF146" s="32">
        <f t="shared" si="355"/>
        <v>0</v>
      </c>
      <c r="CS146" s="54" t="s">
        <v>1528</v>
      </c>
      <c r="CT146" s="39">
        <v>0.16841657486860231</v>
      </c>
      <c r="CU146" s="40">
        <v>0.46359416835481571</v>
      </c>
      <c r="CV146" s="39">
        <v>0</v>
      </c>
      <c r="CW146" s="40">
        <v>0</v>
      </c>
      <c r="CX146" s="39">
        <v>9.6741377856191191E-2</v>
      </c>
      <c r="CY146" s="40">
        <v>8.4324202182075758E-2</v>
      </c>
      <c r="CZ146" s="39">
        <v>0.29294247737929663</v>
      </c>
      <c r="DA146" s="40">
        <v>0</v>
      </c>
      <c r="DB146" s="39">
        <v>0</v>
      </c>
      <c r="DC146" s="38">
        <v>1.1060188006409815</v>
      </c>
      <c r="DE146" s="37" t="s">
        <v>1280</v>
      </c>
      <c r="DF146" s="35" t="str">
        <f t="shared" si="327"/>
        <v>IPBST</v>
      </c>
      <c r="DG146" s="26">
        <f t="shared" si="345"/>
        <v>6.1819282312309056</v>
      </c>
      <c r="DH146" s="25">
        <f t="shared" si="345"/>
        <v>4.3715248508121469</v>
      </c>
      <c r="DI146" s="24">
        <f t="shared" si="345"/>
        <v>7.0524889862664715</v>
      </c>
      <c r="DJ146" s="25">
        <f t="shared" si="345"/>
        <v>2.2502594879101219</v>
      </c>
      <c r="DK146" s="24">
        <f t="shared" si="345"/>
        <v>43.004297702818235</v>
      </c>
      <c r="DL146" s="25">
        <f t="shared" si="345"/>
        <v>16.050591562476814</v>
      </c>
      <c r="DM146" s="24">
        <f t="shared" si="345"/>
        <v>20.269882203273845</v>
      </c>
      <c r="DN146" s="25">
        <f t="shared" si="345"/>
        <v>0</v>
      </c>
      <c r="DO146" s="32">
        <f t="shared" si="345"/>
        <v>4.6970635709086928</v>
      </c>
      <c r="DP146" s="26">
        <f t="shared" si="328"/>
        <v>0.86580317311953237</v>
      </c>
      <c r="DQ146" s="25">
        <f t="shared" si="329"/>
        <v>0.96367958858446068</v>
      </c>
      <c r="DR146" s="24">
        <f t="shared" si="330"/>
        <v>0.81697879434169107</v>
      </c>
      <c r="DS146" s="25">
        <f t="shared" si="331"/>
        <v>0.97739071928783605</v>
      </c>
      <c r="DT146" s="24">
        <f t="shared" si="332"/>
        <v>0.91343297847944971</v>
      </c>
      <c r="DU146" s="25">
        <f t="shared" si="333"/>
        <v>0.95010894958043479</v>
      </c>
      <c r="DV146" s="24">
        <f t="shared" si="334"/>
        <v>0.87921858785336238</v>
      </c>
      <c r="DW146" s="25">
        <f t="shared" si="335"/>
        <v>0</v>
      </c>
      <c r="DX146" s="32">
        <f t="shared" si="336"/>
        <v>0.53943414831018976</v>
      </c>
      <c r="DZ146" s="54" t="s">
        <v>1491</v>
      </c>
      <c r="EA146" s="39">
        <v>1</v>
      </c>
      <c r="EB146" s="40">
        <v>1</v>
      </c>
      <c r="EC146" s="39">
        <v>1</v>
      </c>
      <c r="ED146" s="40">
        <v>1</v>
      </c>
      <c r="EE146" s="39">
        <v>1</v>
      </c>
      <c r="EF146" s="40">
        <v>1</v>
      </c>
      <c r="EG146" s="39">
        <v>1</v>
      </c>
      <c r="EH146" s="40">
        <v>0</v>
      </c>
      <c r="EI146" s="66">
        <v>0</v>
      </c>
      <c r="EO146" s="83" t="s">
        <v>1201</v>
      </c>
      <c r="EP146" s="82" t="s">
        <v>518</v>
      </c>
      <c r="EQ146" s="81">
        <f t="shared" si="337"/>
        <v>175.42665234580812</v>
      </c>
      <c r="ER146" s="80">
        <f>EQ146/SUM(EQ143:EQ151)</f>
        <v>0.20749766103278292</v>
      </c>
      <c r="ET146" s="73" t="s">
        <v>521</v>
      </c>
      <c r="EU146" s="72">
        <v>6.3186136295045664E-4</v>
      </c>
      <c r="EW146" s="37" t="s">
        <v>1201</v>
      </c>
      <c r="EX146" s="36" t="s">
        <v>1950</v>
      </c>
      <c r="EY146" s="36" t="s">
        <v>1150</v>
      </c>
      <c r="EZ146" s="1" t="s">
        <v>1902</v>
      </c>
      <c r="FA146" s="36" t="str">
        <f t="shared" si="338"/>
        <v>IMSETC</v>
      </c>
      <c r="FB146" s="1" t="s">
        <v>519</v>
      </c>
      <c r="FC146" s="26">
        <f t="shared" si="339"/>
        <v>36.947866466767216</v>
      </c>
      <c r="FD146" s="25">
        <f t="shared" si="340"/>
        <v>0.20414730342971635</v>
      </c>
      <c r="FE146" s="24">
        <f t="shared" si="341"/>
        <v>5.5252798862780554E-3</v>
      </c>
      <c r="FF146" s="36">
        <v>0</v>
      </c>
      <c r="FG146" s="86">
        <f t="shared" si="342"/>
        <v>0</v>
      </c>
    </row>
    <row r="147" spans="1:163">
      <c r="A147" s="37" t="s">
        <v>1931</v>
      </c>
      <c r="B147" s="36" t="s">
        <v>1123</v>
      </c>
      <c r="C147" s="1" t="s">
        <v>665</v>
      </c>
      <c r="D147" s="36" t="s">
        <v>665</v>
      </c>
      <c r="E147" s="36" t="s">
        <v>1953</v>
      </c>
      <c r="F147" s="1" t="e">
        <f t="shared" ca="1" si="232"/>
        <v>#NAME?</v>
      </c>
      <c r="G147" s="35" t="s">
        <v>1121</v>
      </c>
      <c r="H147" s="43">
        <v>1</v>
      </c>
      <c r="I147" s="42">
        <v>0</v>
      </c>
      <c r="J147" s="26">
        <v>32.180597278922896</v>
      </c>
      <c r="K147" s="25">
        <v>45.597472734440252</v>
      </c>
      <c r="L147" s="24"/>
      <c r="M147" s="25"/>
      <c r="N147" s="24"/>
      <c r="O147" s="25"/>
      <c r="P147" s="24"/>
      <c r="Q147" s="25"/>
      <c r="R147" s="32"/>
      <c r="S147" s="47">
        <v>1</v>
      </c>
      <c r="T147" s="45">
        <v>1</v>
      </c>
      <c r="U147" s="46">
        <v>1</v>
      </c>
      <c r="V147" s="45">
        <v>1</v>
      </c>
      <c r="W147" s="46">
        <v>1</v>
      </c>
      <c r="X147" s="45">
        <v>1</v>
      </c>
      <c r="Y147" s="46">
        <v>1</v>
      </c>
      <c r="Z147" s="45">
        <v>1</v>
      </c>
      <c r="AA147" s="44">
        <v>1</v>
      </c>
      <c r="AB147" s="26">
        <f t="shared" si="313"/>
        <v>32.180597278922896</v>
      </c>
      <c r="AC147" s="25">
        <f t="shared" si="314"/>
        <v>45.597472734440252</v>
      </c>
      <c r="AD147" s="24">
        <f t="shared" si="315"/>
        <v>0</v>
      </c>
      <c r="AE147" s="25">
        <f t="shared" si="316"/>
        <v>0</v>
      </c>
      <c r="AF147" s="24">
        <f t="shared" si="317"/>
        <v>0</v>
      </c>
      <c r="AG147" s="25">
        <f t="shared" si="318"/>
        <v>0</v>
      </c>
      <c r="AH147" s="24">
        <f t="shared" si="319"/>
        <v>0</v>
      </c>
      <c r="AI147" s="25">
        <f t="shared" si="320"/>
        <v>0</v>
      </c>
      <c r="AJ147" s="24">
        <f t="shared" si="321"/>
        <v>0</v>
      </c>
      <c r="AK147" s="27">
        <f t="shared" si="323"/>
        <v>77.778070013363148</v>
      </c>
      <c r="AL147" s="41">
        <v>0</v>
      </c>
      <c r="AM147" s="40">
        <v>0</v>
      </c>
      <c r="AN147" s="39">
        <v>0</v>
      </c>
      <c r="AO147" s="40">
        <v>0</v>
      </c>
      <c r="AP147" s="39">
        <v>0</v>
      </c>
      <c r="AQ147" s="40">
        <v>0</v>
      </c>
      <c r="AR147" s="39">
        <v>0</v>
      </c>
      <c r="AS147" s="40">
        <v>0</v>
      </c>
      <c r="AT147" s="39">
        <v>0</v>
      </c>
      <c r="AU147" s="38">
        <v>0</v>
      </c>
      <c r="BJ147" s="37" t="s">
        <v>1152</v>
      </c>
      <c r="BK147" s="36" t="s">
        <v>1922</v>
      </c>
      <c r="BL147" s="1" t="s">
        <v>1136</v>
      </c>
      <c r="BM147" s="36" t="s">
        <v>1941</v>
      </c>
      <c r="BN147" s="82" t="str">
        <f t="shared" si="351"/>
        <v>IMLMDR</v>
      </c>
      <c r="BO147" s="26">
        <f t="shared" si="352"/>
        <v>0.33448560000198496</v>
      </c>
      <c r="BP147" s="25">
        <f t="shared" si="352"/>
        <v>0.9207263221007973</v>
      </c>
      <c r="BQ147" s="24">
        <f t="shared" si="352"/>
        <v>0.10690600780445661</v>
      </c>
      <c r="BR147" s="25">
        <f t="shared" si="352"/>
        <v>7.2409981067369414E-2</v>
      </c>
      <c r="BS147" s="24">
        <f t="shared" si="352"/>
        <v>3.6597006239968442E-2</v>
      </c>
      <c r="BT147" s="25">
        <f t="shared" si="352"/>
        <v>3.1899621669904621E-2</v>
      </c>
      <c r="BU147" s="24">
        <f t="shared" si="352"/>
        <v>0.11081936096195298</v>
      </c>
      <c r="BV147" s="25">
        <f t="shared" si="352"/>
        <v>0</v>
      </c>
      <c r="BW147" s="32">
        <f t="shared" si="352"/>
        <v>0</v>
      </c>
      <c r="BX147" s="25">
        <f t="shared" ref="BX147:CF147" si="356">BO147/BO151</f>
        <v>8.4013099904888242E-2</v>
      </c>
      <c r="BY147" s="25">
        <f t="shared" si="356"/>
        <v>8.1525036870289461E-2</v>
      </c>
      <c r="BZ147" s="24">
        <f t="shared" si="356"/>
        <v>1.8255037348246596E-2</v>
      </c>
      <c r="CA147" s="25">
        <f t="shared" si="356"/>
        <v>1.8283379873806248E-2</v>
      </c>
      <c r="CB147" s="24">
        <f t="shared" si="356"/>
        <v>2.3839007367853233E-2</v>
      </c>
      <c r="CC147" s="25">
        <f t="shared" si="356"/>
        <v>2.3839007367853233E-2</v>
      </c>
      <c r="CD147" s="24">
        <f t="shared" si="356"/>
        <v>2.3839007367853236E-2</v>
      </c>
      <c r="CE147" s="25">
        <f t="shared" si="356"/>
        <v>0</v>
      </c>
      <c r="CF147" s="32">
        <f t="shared" si="356"/>
        <v>0</v>
      </c>
      <c r="CS147" s="54" t="s">
        <v>1525</v>
      </c>
      <c r="CT147" s="39">
        <v>0.43003906833419203</v>
      </c>
      <c r="CU147" s="40">
        <v>1.1837528723049493</v>
      </c>
      <c r="CV147" s="39">
        <v>2.6458385051829101</v>
      </c>
      <c r="CW147" s="40">
        <v>1.7920893315747297</v>
      </c>
      <c r="CX147" s="39">
        <v>1.0704279679841642</v>
      </c>
      <c r="CY147" s="40">
        <v>0.93303389298241823</v>
      </c>
      <c r="CZ147" s="39">
        <v>3.2413619461106284</v>
      </c>
      <c r="DA147" s="40">
        <v>0</v>
      </c>
      <c r="DB147" s="39">
        <v>0</v>
      </c>
      <c r="DC147" s="38">
        <v>11.296543584473991</v>
      </c>
      <c r="DE147" s="37" t="s">
        <v>1300</v>
      </c>
      <c r="DF147" s="35" t="str">
        <f t="shared" si="327"/>
        <v>IPBST</v>
      </c>
      <c r="DG147" s="26">
        <f t="shared" si="345"/>
        <v>9.5592339848768249E-2</v>
      </c>
      <c r="DH147" s="25">
        <f t="shared" si="345"/>
        <v>8.4346182219501395E-2</v>
      </c>
      <c r="DI147" s="24">
        <f t="shared" si="345"/>
        <v>0.27183569583885026</v>
      </c>
      <c r="DJ147" s="25">
        <f t="shared" si="345"/>
        <v>5.2053643884035147E-2</v>
      </c>
      <c r="DK147" s="24">
        <f t="shared" si="345"/>
        <v>0.59379712282528974</v>
      </c>
      <c r="DL147" s="25">
        <f t="shared" si="345"/>
        <v>0.34478542615661989</v>
      </c>
      <c r="DM147" s="24">
        <f t="shared" si="345"/>
        <v>0.24901169666866993</v>
      </c>
      <c r="DN147" s="25">
        <f t="shared" si="345"/>
        <v>4.9354566053011098E-2</v>
      </c>
      <c r="DO147" s="32">
        <f t="shared" si="345"/>
        <v>0.38249788691083608</v>
      </c>
      <c r="DP147" s="26">
        <f t="shared" si="328"/>
        <v>1.3388080235040969E-2</v>
      </c>
      <c r="DQ147" s="25">
        <f t="shared" si="329"/>
        <v>1.8593670848024178E-2</v>
      </c>
      <c r="DR147" s="24">
        <f t="shared" si="330"/>
        <v>3.1490158932247825E-2</v>
      </c>
      <c r="DS147" s="25">
        <f t="shared" si="331"/>
        <v>2.2609280712163834E-2</v>
      </c>
      <c r="DT147" s="24">
        <f t="shared" si="332"/>
        <v>1.2612550453981415E-2</v>
      </c>
      <c r="DU147" s="25">
        <f t="shared" si="333"/>
        <v>2.0409448324766811E-2</v>
      </c>
      <c r="DV147" s="24">
        <f t="shared" si="334"/>
        <v>1.080103525557918E-2</v>
      </c>
      <c r="DW147" s="25">
        <f t="shared" si="335"/>
        <v>3.1173716151014497E-2</v>
      </c>
      <c r="DX147" s="32">
        <f t="shared" si="336"/>
        <v>4.3927960254597352E-2</v>
      </c>
      <c r="DZ147" s="54" t="s">
        <v>1487</v>
      </c>
      <c r="EA147" s="39">
        <v>0.96594038438461871</v>
      </c>
      <c r="EB147" s="40">
        <v>0.96594038438461871</v>
      </c>
      <c r="EC147" s="39">
        <v>0.96594038438461871</v>
      </c>
      <c r="ED147" s="40">
        <v>0.96594038438461871</v>
      </c>
      <c r="EE147" s="39">
        <v>0.96594038438461871</v>
      </c>
      <c r="EF147" s="40">
        <v>0.96594038438461871</v>
      </c>
      <c r="EG147" s="39">
        <v>0.96594038438461871</v>
      </c>
      <c r="EH147" s="40">
        <v>0.9659403843846186</v>
      </c>
      <c r="EI147" s="66">
        <v>0.96594038438461871</v>
      </c>
      <c r="EO147" s="83" t="s">
        <v>1201</v>
      </c>
      <c r="EP147" s="82" t="s">
        <v>517</v>
      </c>
      <c r="EQ147" s="81">
        <f t="shared" si="337"/>
        <v>42.052445104134478</v>
      </c>
      <c r="ER147" s="80">
        <f>EQ147/SUM(EQ143:EQ151)</f>
        <v>4.9740355203363222E-2</v>
      </c>
      <c r="ET147" s="73" t="s">
        <v>522</v>
      </c>
      <c r="EU147" s="72">
        <v>6.1440298871903156E-4</v>
      </c>
      <c r="EW147" s="37" t="s">
        <v>1201</v>
      </c>
      <c r="EX147" s="36" t="s">
        <v>1950</v>
      </c>
      <c r="EY147" s="36" t="s">
        <v>1129</v>
      </c>
      <c r="EZ147" s="1" t="s">
        <v>1910</v>
      </c>
      <c r="FA147" s="36" t="str">
        <f t="shared" si="338"/>
        <v>IMSOHT</v>
      </c>
      <c r="FB147" s="1" t="s">
        <v>520</v>
      </c>
      <c r="FC147" s="26">
        <f t="shared" si="339"/>
        <v>125.70035565865331</v>
      </c>
      <c r="FD147" s="25">
        <f t="shared" si="340"/>
        <v>3.1217923141883954</v>
      </c>
      <c r="FE147" s="24">
        <f t="shared" si="341"/>
        <v>2.4835190782322093E-2</v>
      </c>
      <c r="FF147" s="36">
        <v>0.02</v>
      </c>
      <c r="FG147" s="32">
        <f t="shared" si="342"/>
        <v>0.80530889314674425</v>
      </c>
    </row>
    <row r="148" spans="1:163">
      <c r="A148" s="37" t="s">
        <v>1931</v>
      </c>
      <c r="B148" s="36" t="s">
        <v>1123</v>
      </c>
      <c r="C148" s="1" t="s">
        <v>1106</v>
      </c>
      <c r="D148" s="36" t="s">
        <v>1106</v>
      </c>
      <c r="E148" s="36" t="s">
        <v>1952</v>
      </c>
      <c r="F148" s="1" t="e">
        <f t="shared" ca="1" si="232"/>
        <v>#NAME?</v>
      </c>
      <c r="G148" s="35" t="s">
        <v>1121</v>
      </c>
      <c r="H148" s="43">
        <v>1</v>
      </c>
      <c r="I148" s="42">
        <v>0</v>
      </c>
      <c r="J148" s="26">
        <v>1.0426247801599131</v>
      </c>
      <c r="K148" s="25">
        <v>0.5945155771564925</v>
      </c>
      <c r="L148" s="24"/>
      <c r="M148" s="25"/>
      <c r="N148" s="24"/>
      <c r="O148" s="25"/>
      <c r="P148" s="24"/>
      <c r="Q148" s="25"/>
      <c r="R148" s="32"/>
      <c r="S148" s="47">
        <v>1</v>
      </c>
      <c r="T148" s="45">
        <v>1</v>
      </c>
      <c r="U148" s="46">
        <v>1</v>
      </c>
      <c r="V148" s="45">
        <v>1</v>
      </c>
      <c r="W148" s="46">
        <v>1</v>
      </c>
      <c r="X148" s="45">
        <v>1</v>
      </c>
      <c r="Y148" s="46">
        <v>1</v>
      </c>
      <c r="Z148" s="45">
        <v>1</v>
      </c>
      <c r="AA148" s="44">
        <v>1</v>
      </c>
      <c r="AB148" s="26">
        <f t="shared" si="313"/>
        <v>1.0426247801599131</v>
      </c>
      <c r="AC148" s="25">
        <f t="shared" si="314"/>
        <v>0.5945155771564925</v>
      </c>
      <c r="AD148" s="24">
        <f t="shared" si="315"/>
        <v>0</v>
      </c>
      <c r="AE148" s="25">
        <f t="shared" si="316"/>
        <v>0</v>
      </c>
      <c r="AF148" s="24">
        <f t="shared" si="317"/>
        <v>0</v>
      </c>
      <c r="AG148" s="25">
        <f t="shared" si="318"/>
        <v>0</v>
      </c>
      <c r="AH148" s="24">
        <f t="shared" si="319"/>
        <v>0</v>
      </c>
      <c r="AI148" s="25">
        <f t="shared" si="320"/>
        <v>0</v>
      </c>
      <c r="AJ148" s="24">
        <f t="shared" si="321"/>
        <v>0</v>
      </c>
      <c r="AK148" s="27">
        <f t="shared" si="323"/>
        <v>1.6371403573164056</v>
      </c>
      <c r="AL148" s="41">
        <v>0</v>
      </c>
      <c r="AM148" s="40">
        <v>0</v>
      </c>
      <c r="AN148" s="39">
        <v>0</v>
      </c>
      <c r="AO148" s="40">
        <v>0</v>
      </c>
      <c r="AP148" s="39">
        <v>0</v>
      </c>
      <c r="AQ148" s="40">
        <v>0</v>
      </c>
      <c r="AR148" s="39">
        <v>0</v>
      </c>
      <c r="AS148" s="40">
        <v>0</v>
      </c>
      <c r="AT148" s="39">
        <v>0</v>
      </c>
      <c r="AU148" s="38">
        <v>0</v>
      </c>
      <c r="BJ148" s="37" t="s">
        <v>1152</v>
      </c>
      <c r="BK148" s="36" t="s">
        <v>1922</v>
      </c>
      <c r="BL148" s="1" t="s">
        <v>1129</v>
      </c>
      <c r="BM148" s="36" t="s">
        <v>1910</v>
      </c>
      <c r="BN148" s="82" t="str">
        <f t="shared" si="351"/>
        <v>IMLOHT</v>
      </c>
      <c r="BO148" s="26">
        <f t="shared" si="352"/>
        <v>0.46531186402484209</v>
      </c>
      <c r="BP148" s="25">
        <f t="shared" si="352"/>
        <v>1.2808470116229715</v>
      </c>
      <c r="BQ148" s="24">
        <f t="shared" si="352"/>
        <v>0.92536768596065311</v>
      </c>
      <c r="BR148" s="25">
        <f t="shared" si="352"/>
        <v>0.62677353683740356</v>
      </c>
      <c r="BS148" s="24">
        <f t="shared" si="352"/>
        <v>0.23758501280380395</v>
      </c>
      <c r="BT148" s="25">
        <f t="shared" si="352"/>
        <v>0.20708994536836534</v>
      </c>
      <c r="BU148" s="24">
        <f t="shared" si="352"/>
        <v>0.71943095892637332</v>
      </c>
      <c r="BV148" s="25">
        <f t="shared" si="352"/>
        <v>0.11924537281588643</v>
      </c>
      <c r="BW148" s="32">
        <f t="shared" si="352"/>
        <v>7.4772280033870667E-2</v>
      </c>
      <c r="BX148" s="25">
        <f t="shared" ref="BX148:CF148" si="357">BO148/BO151</f>
        <v>0.11687287021927655</v>
      </c>
      <c r="BY148" s="25">
        <f t="shared" si="357"/>
        <v>0.1134116591882677</v>
      </c>
      <c r="BZ148" s="24">
        <f t="shared" si="357"/>
        <v>0.15801377317326076</v>
      </c>
      <c r="CA148" s="25">
        <f t="shared" si="357"/>
        <v>0.158259103233096</v>
      </c>
      <c r="CB148" s="24">
        <f t="shared" si="357"/>
        <v>0.15476104339200919</v>
      </c>
      <c r="CC148" s="25">
        <f t="shared" si="357"/>
        <v>0.15476104339200913</v>
      </c>
      <c r="CD148" s="24">
        <f t="shared" si="357"/>
        <v>0.15476104339200916</v>
      </c>
      <c r="CE148" s="25">
        <f t="shared" si="357"/>
        <v>0.16977109840635565</v>
      </c>
      <c r="CF148" s="32">
        <f t="shared" si="357"/>
        <v>0.1538547222317391</v>
      </c>
      <c r="CS148" s="54" t="s">
        <v>1629</v>
      </c>
      <c r="CT148" s="39">
        <v>6.0080788177421608E-2</v>
      </c>
      <c r="CU148" s="40">
        <v>6.1111827464060728E-2</v>
      </c>
      <c r="CV148" s="39">
        <v>5.6645470424386779E-2</v>
      </c>
      <c r="CW148" s="40">
        <v>0.1723980685007323</v>
      </c>
      <c r="CX148" s="39">
        <v>0.43718699282092388</v>
      </c>
      <c r="CY148" s="40">
        <v>5.2753386934128602E-3</v>
      </c>
      <c r="CZ148" s="39">
        <v>0</v>
      </c>
      <c r="DA148" s="40">
        <v>0</v>
      </c>
      <c r="DB148" s="39">
        <v>2.2536246898259737E-2</v>
      </c>
      <c r="DC148" s="38">
        <v>0.81523473297919791</v>
      </c>
      <c r="DE148" s="37" t="s">
        <v>1298</v>
      </c>
      <c r="DF148" s="35" t="str">
        <f t="shared" si="327"/>
        <v>IPBST</v>
      </c>
      <c r="DG148" s="26">
        <f t="shared" ref="DG148:DO157" si="358">GETPIVOTDATA("Sum of "&amp;DG$1&amp;" (Out)",$CS$6,"Constraint Identifier",$DE148)</f>
        <v>0.77145216287516383</v>
      </c>
      <c r="DH148" s="25">
        <f t="shared" si="358"/>
        <v>0</v>
      </c>
      <c r="DI148" s="24">
        <f t="shared" si="358"/>
        <v>1.2128667067822319</v>
      </c>
      <c r="DJ148" s="25">
        <f t="shared" si="358"/>
        <v>0</v>
      </c>
      <c r="DK148" s="24">
        <f t="shared" si="358"/>
        <v>1.8029274367780637</v>
      </c>
      <c r="DL148" s="25">
        <f t="shared" si="358"/>
        <v>0</v>
      </c>
      <c r="DM148" s="24">
        <f t="shared" si="358"/>
        <v>2.1758354775311801</v>
      </c>
      <c r="DN148" s="25">
        <f t="shared" si="358"/>
        <v>1.533856297031881</v>
      </c>
      <c r="DO148" s="32">
        <f t="shared" si="358"/>
        <v>3.6278286575866403</v>
      </c>
      <c r="DP148" s="26">
        <f t="shared" si="328"/>
        <v>0.1080448859229558</v>
      </c>
      <c r="DQ148" s="25">
        <f t="shared" si="329"/>
        <v>0</v>
      </c>
      <c r="DR148" s="24">
        <f t="shared" si="330"/>
        <v>0.14050165576064119</v>
      </c>
      <c r="DS148" s="25">
        <f t="shared" si="331"/>
        <v>0</v>
      </c>
      <c r="DT148" s="24">
        <f t="shared" si="332"/>
        <v>3.8295088317430698E-2</v>
      </c>
      <c r="DU148" s="25">
        <f t="shared" si="333"/>
        <v>0</v>
      </c>
      <c r="DV148" s="24">
        <f t="shared" si="334"/>
        <v>9.4378199970359511E-2</v>
      </c>
      <c r="DW148" s="25">
        <f t="shared" si="335"/>
        <v>0.9688262838489855</v>
      </c>
      <c r="DX148" s="32">
        <f t="shared" si="336"/>
        <v>0.41663789143521274</v>
      </c>
      <c r="DZ148" s="54" t="s">
        <v>1489</v>
      </c>
      <c r="EA148" s="39">
        <v>3.405961561538131E-2</v>
      </c>
      <c r="EB148" s="40">
        <v>3.405961561538131E-2</v>
      </c>
      <c r="EC148" s="39">
        <v>3.4059615615381317E-2</v>
      </c>
      <c r="ED148" s="40">
        <v>3.405961561538131E-2</v>
      </c>
      <c r="EE148" s="39">
        <v>3.405961561538131E-2</v>
      </c>
      <c r="EF148" s="40">
        <v>3.405961561538131E-2</v>
      </c>
      <c r="EG148" s="39">
        <v>3.405961561538131E-2</v>
      </c>
      <c r="EH148" s="40">
        <v>3.405961561538131E-2</v>
      </c>
      <c r="EI148" s="66">
        <v>3.405961561538131E-2</v>
      </c>
      <c r="EO148" s="83" t="s">
        <v>1201</v>
      </c>
      <c r="EP148" s="82" t="s">
        <v>519</v>
      </c>
      <c r="EQ148" s="81">
        <f t="shared" si="337"/>
        <v>36.947866466767216</v>
      </c>
      <c r="ER148" s="80">
        <f>EQ148/SUM(EQ143:EQ151)</f>
        <v>4.3702571812708861E-2</v>
      </c>
      <c r="ET148" s="74" t="s">
        <v>1231</v>
      </c>
      <c r="EU148" s="70">
        <v>1</v>
      </c>
      <c r="EW148" s="37" t="s">
        <v>1201</v>
      </c>
      <c r="EX148" s="36" t="s">
        <v>1950</v>
      </c>
      <c r="EY148" s="36" t="s">
        <v>1150</v>
      </c>
      <c r="EZ148" s="1" t="s">
        <v>1902</v>
      </c>
      <c r="FA148" s="36" t="str">
        <f t="shared" si="338"/>
        <v>IMSETC</v>
      </c>
      <c r="FB148" s="1" t="s">
        <v>521</v>
      </c>
      <c r="FC148" s="26">
        <f t="shared" si="339"/>
        <v>11.986899290832991</v>
      </c>
      <c r="FD148" s="25">
        <f t="shared" si="340"/>
        <v>9.2803387271877841E-2</v>
      </c>
      <c r="FE148" s="24">
        <f t="shared" si="341"/>
        <v>7.7420678208958886E-3</v>
      </c>
      <c r="FF148" s="36">
        <v>0</v>
      </c>
      <c r="FG148" s="86">
        <f t="shared" si="342"/>
        <v>0</v>
      </c>
    </row>
    <row r="149" spans="1:163">
      <c r="A149" s="37" t="s">
        <v>1931</v>
      </c>
      <c r="B149" s="36" t="s">
        <v>1107</v>
      </c>
      <c r="C149" s="1" t="s">
        <v>1120</v>
      </c>
      <c r="D149" s="36" t="s">
        <v>1120</v>
      </c>
      <c r="E149" s="36" t="s">
        <v>1951</v>
      </c>
      <c r="F149" s="1" t="e">
        <f t="shared" ca="1" si="232"/>
        <v>#NAME?</v>
      </c>
      <c r="G149" s="35" t="s">
        <v>1104</v>
      </c>
      <c r="H149" s="43">
        <v>1</v>
      </c>
      <c r="I149" s="42">
        <v>0</v>
      </c>
      <c r="J149" s="26">
        <v>9.6946481999999996</v>
      </c>
      <c r="K149" s="25">
        <v>3.69672</v>
      </c>
      <c r="L149" s="24"/>
      <c r="M149" s="25"/>
      <c r="N149" s="24"/>
      <c r="O149" s="25"/>
      <c r="P149" s="24"/>
      <c r="Q149" s="25"/>
      <c r="R149" s="32"/>
      <c r="S149" s="31" t="e">
        <v>#REF!</v>
      </c>
      <c r="T149" s="29" t="e">
        <f t="shared" ref="T149:AA162" si="359">S149</f>
        <v>#REF!</v>
      </c>
      <c r="U149" s="30" t="e">
        <f t="shared" si="359"/>
        <v>#REF!</v>
      </c>
      <c r="V149" s="29" t="e">
        <f t="shared" si="359"/>
        <v>#REF!</v>
      </c>
      <c r="W149" s="30" t="e">
        <f t="shared" si="359"/>
        <v>#REF!</v>
      </c>
      <c r="X149" s="29" t="e">
        <f t="shared" si="359"/>
        <v>#REF!</v>
      </c>
      <c r="Y149" s="30" t="e">
        <f t="shared" si="359"/>
        <v>#REF!</v>
      </c>
      <c r="Z149" s="29" t="e">
        <f t="shared" si="359"/>
        <v>#REF!</v>
      </c>
      <c r="AA149" s="28" t="e">
        <f t="shared" si="359"/>
        <v>#REF!</v>
      </c>
      <c r="AB149" s="26" t="e">
        <f t="shared" si="313"/>
        <v>#REF!</v>
      </c>
      <c r="AC149" s="25" t="e">
        <f t="shared" si="314"/>
        <v>#REF!</v>
      </c>
      <c r="AD149" s="24" t="e">
        <f t="shared" si="315"/>
        <v>#REF!</v>
      </c>
      <c r="AE149" s="25" t="e">
        <f t="shared" si="316"/>
        <v>#REF!</v>
      </c>
      <c r="AF149" s="24" t="e">
        <f t="shared" si="317"/>
        <v>#REF!</v>
      </c>
      <c r="AG149" s="25" t="e">
        <f t="shared" si="318"/>
        <v>#REF!</v>
      </c>
      <c r="AH149" s="24" t="e">
        <f t="shared" si="319"/>
        <v>#REF!</v>
      </c>
      <c r="AI149" s="25" t="e">
        <f t="shared" si="320"/>
        <v>#REF!</v>
      </c>
      <c r="AJ149" s="24" t="e">
        <f t="shared" si="321"/>
        <v>#REF!</v>
      </c>
      <c r="AK149" s="27" t="e">
        <f t="shared" si="323"/>
        <v>#REF!</v>
      </c>
      <c r="AL149" s="41">
        <v>0</v>
      </c>
      <c r="AM149" s="40">
        <v>0</v>
      </c>
      <c r="AN149" s="39">
        <v>0</v>
      </c>
      <c r="AO149" s="40">
        <v>0</v>
      </c>
      <c r="AP149" s="39">
        <v>0</v>
      </c>
      <c r="AQ149" s="40">
        <v>0</v>
      </c>
      <c r="AR149" s="39">
        <v>0</v>
      </c>
      <c r="AS149" s="40">
        <v>0</v>
      </c>
      <c r="AT149" s="39">
        <v>0</v>
      </c>
      <c r="AU149" s="38">
        <v>0</v>
      </c>
      <c r="BJ149" s="37" t="s">
        <v>1152</v>
      </c>
      <c r="BK149" s="36" t="s">
        <v>1922</v>
      </c>
      <c r="BL149" s="1" t="s">
        <v>1123</v>
      </c>
      <c r="BM149" s="36" t="s">
        <v>1935</v>
      </c>
      <c r="BN149" s="82" t="str">
        <f t="shared" si="351"/>
        <v>IMLPRH</v>
      </c>
      <c r="BO149" s="26">
        <f t="shared" si="352"/>
        <v>0.84015386796747893</v>
      </c>
      <c r="BP149" s="25">
        <f t="shared" si="352"/>
        <v>2.3126609362192725</v>
      </c>
      <c r="BQ149" s="24">
        <f t="shared" si="352"/>
        <v>4.0665530214007868</v>
      </c>
      <c r="BR149" s="25">
        <f t="shared" si="352"/>
        <v>2.7543730547649323</v>
      </c>
      <c r="BS149" s="24">
        <f t="shared" si="352"/>
        <v>1.0048121798217442</v>
      </c>
      <c r="BT149" s="25">
        <f t="shared" si="352"/>
        <v>0.87584017598193165</v>
      </c>
      <c r="BU149" s="24">
        <f t="shared" si="352"/>
        <v>3.0426708382780738</v>
      </c>
      <c r="BV149" s="25">
        <f t="shared" si="352"/>
        <v>0.5831437495685764</v>
      </c>
      <c r="BW149" s="32">
        <f t="shared" si="352"/>
        <v>0.36565769147340821</v>
      </c>
      <c r="BX149" s="25">
        <f t="shared" ref="BX149:CF149" si="360">BO149/BO151</f>
        <v>0.21102233054161743</v>
      </c>
      <c r="BY149" s="25">
        <f t="shared" si="360"/>
        <v>0.20477286634270217</v>
      </c>
      <c r="BZ149" s="24">
        <f t="shared" si="360"/>
        <v>0.69439574827338901</v>
      </c>
      <c r="CA149" s="25">
        <f t="shared" si="360"/>
        <v>0.69547385777645399</v>
      </c>
      <c r="CB149" s="24">
        <f t="shared" si="360"/>
        <v>0.65452689766516492</v>
      </c>
      <c r="CC149" s="25">
        <f t="shared" si="360"/>
        <v>0.65452689766516492</v>
      </c>
      <c r="CD149" s="24">
        <f t="shared" si="360"/>
        <v>0.65452689766516503</v>
      </c>
      <c r="CE149" s="25">
        <f t="shared" si="360"/>
        <v>0.83022890159364438</v>
      </c>
      <c r="CF149" s="32">
        <f t="shared" si="360"/>
        <v>0.75239330040565988</v>
      </c>
      <c r="CS149" s="54" t="s">
        <v>1634</v>
      </c>
      <c r="CT149" s="39">
        <v>6.4591369471662796</v>
      </c>
      <c r="CU149" s="40">
        <v>14.027909022272729</v>
      </c>
      <c r="CV149" s="39">
        <v>14.524962643256993</v>
      </c>
      <c r="CW149" s="40">
        <v>0.29848824381787992</v>
      </c>
      <c r="CX149" s="39">
        <v>17.417004725287129</v>
      </c>
      <c r="CY149" s="40">
        <v>0</v>
      </c>
      <c r="CZ149" s="39">
        <v>4.1244039001955803</v>
      </c>
      <c r="DA149" s="40">
        <v>2.3253086101935803</v>
      </c>
      <c r="DB149" s="39">
        <v>5.7712079005684576</v>
      </c>
      <c r="DC149" s="38">
        <v>64.948421992758639</v>
      </c>
      <c r="DE149" s="37" t="s">
        <v>1293</v>
      </c>
      <c r="DF149" s="35" t="str">
        <f t="shared" si="327"/>
        <v>IPBST</v>
      </c>
      <c r="DG149" s="26">
        <f t="shared" si="358"/>
        <v>9.1135345063985324E-2</v>
      </c>
      <c r="DH149" s="25">
        <f t="shared" si="358"/>
        <v>8.0413539762340003E-2</v>
      </c>
      <c r="DI149" s="24">
        <f t="shared" si="358"/>
        <v>0</v>
      </c>
      <c r="DJ149" s="25">
        <f t="shared" si="358"/>
        <v>0</v>
      </c>
      <c r="DK149" s="24">
        <f t="shared" si="358"/>
        <v>0.85774442413162666</v>
      </c>
      <c r="DL149" s="25">
        <f t="shared" si="358"/>
        <v>0.49804514949578327</v>
      </c>
      <c r="DM149" s="24">
        <f t="shared" si="358"/>
        <v>0.35969927463584345</v>
      </c>
      <c r="DN149" s="25">
        <f t="shared" si="358"/>
        <v>0</v>
      </c>
      <c r="DO149" s="32">
        <f t="shared" si="358"/>
        <v>0</v>
      </c>
      <c r="DP149" s="26">
        <f t="shared" si="328"/>
        <v>1.2763860722470875E-2</v>
      </c>
      <c r="DQ149" s="25">
        <f t="shared" si="329"/>
        <v>1.7726740567515078E-2</v>
      </c>
      <c r="DR149" s="24">
        <f t="shared" si="330"/>
        <v>0</v>
      </c>
      <c r="DS149" s="25">
        <f t="shared" si="331"/>
        <v>0</v>
      </c>
      <c r="DT149" s="24">
        <f t="shared" si="332"/>
        <v>1.8218924292707307E-2</v>
      </c>
      <c r="DU149" s="25">
        <f t="shared" si="333"/>
        <v>2.9481602094798356E-2</v>
      </c>
      <c r="DV149" s="24">
        <f t="shared" si="334"/>
        <v>1.5602176920698924E-2</v>
      </c>
      <c r="DW149" s="25">
        <f t="shared" si="335"/>
        <v>0</v>
      </c>
      <c r="DX149" s="32">
        <f t="shared" si="336"/>
        <v>0</v>
      </c>
      <c r="DZ149" s="54" t="s">
        <v>1424</v>
      </c>
      <c r="EA149" s="39">
        <v>0.39812421599769671</v>
      </c>
      <c r="EB149" s="40">
        <v>0.39812421599769676</v>
      </c>
      <c r="EC149" s="39">
        <v>2.628909723833656E-2</v>
      </c>
      <c r="ED149" s="40">
        <v>2.628909723833656E-2</v>
      </c>
      <c r="EE149" s="39">
        <v>3.6421738285916105E-2</v>
      </c>
      <c r="EF149" s="40">
        <v>3.6421738285916105E-2</v>
      </c>
      <c r="EG149" s="39">
        <v>3.6421738285916105E-2</v>
      </c>
      <c r="EH149" s="40">
        <v>0</v>
      </c>
      <c r="EI149" s="66">
        <v>0</v>
      </c>
      <c r="EO149" s="83" t="s">
        <v>1201</v>
      </c>
      <c r="EP149" s="82" t="s">
        <v>520</v>
      </c>
      <c r="EQ149" s="81">
        <f t="shared" si="337"/>
        <v>125.70035565865331</v>
      </c>
      <c r="ER149" s="80">
        <f>EQ149/SUM(EQ143:EQ151)</f>
        <v>0.14868054221740812</v>
      </c>
      <c r="ET149" s="73" t="s">
        <v>438</v>
      </c>
      <c r="EU149" s="72">
        <v>1.016477036558552E-2</v>
      </c>
      <c r="EW149" s="22" t="s">
        <v>1201</v>
      </c>
      <c r="EX149" s="20" t="s">
        <v>1950</v>
      </c>
      <c r="EY149" s="20" t="s">
        <v>1150</v>
      </c>
      <c r="EZ149" s="85" t="s">
        <v>1902</v>
      </c>
      <c r="FA149" s="20" t="str">
        <f t="shared" si="338"/>
        <v>IMSETC</v>
      </c>
      <c r="FB149" s="78" t="s">
        <v>522</v>
      </c>
      <c r="FC149" s="11">
        <f t="shared" si="339"/>
        <v>10.153384572114925</v>
      </c>
      <c r="FD149" s="10">
        <f t="shared" si="340"/>
        <v>5.8191950742596324E-2</v>
      </c>
      <c r="FE149" s="9">
        <f t="shared" si="341"/>
        <v>5.7312859893452342E-3</v>
      </c>
      <c r="FF149" s="20">
        <v>0</v>
      </c>
      <c r="FG149" s="84">
        <f t="shared" si="342"/>
        <v>0</v>
      </c>
    </row>
    <row r="150" spans="1:163">
      <c r="A150" s="37" t="s">
        <v>1931</v>
      </c>
      <c r="B150" s="36" t="s">
        <v>1107</v>
      </c>
      <c r="C150" s="1" t="s">
        <v>1120</v>
      </c>
      <c r="D150" s="36" t="s">
        <v>1120</v>
      </c>
      <c r="E150" s="36" t="s">
        <v>1949</v>
      </c>
      <c r="F150" s="1" t="e">
        <f t="shared" ca="1" si="232"/>
        <v>#NAME?</v>
      </c>
      <c r="G150" s="35" t="s">
        <v>1104</v>
      </c>
      <c r="H150" s="43">
        <v>1</v>
      </c>
      <c r="I150" s="42">
        <v>0</v>
      </c>
      <c r="J150" s="26">
        <v>0</v>
      </c>
      <c r="K150" s="25">
        <v>0</v>
      </c>
      <c r="L150" s="24"/>
      <c r="M150" s="25"/>
      <c r="N150" s="24"/>
      <c r="O150" s="25"/>
      <c r="P150" s="24"/>
      <c r="Q150" s="25"/>
      <c r="R150" s="32"/>
      <c r="S150" s="31" t="e">
        <v>#REF!</v>
      </c>
      <c r="T150" s="29" t="e">
        <f t="shared" si="359"/>
        <v>#REF!</v>
      </c>
      <c r="U150" s="30" t="e">
        <f t="shared" si="359"/>
        <v>#REF!</v>
      </c>
      <c r="V150" s="29" t="e">
        <f t="shared" si="359"/>
        <v>#REF!</v>
      </c>
      <c r="W150" s="30" t="e">
        <f t="shared" si="359"/>
        <v>#REF!</v>
      </c>
      <c r="X150" s="29" t="e">
        <f t="shared" si="359"/>
        <v>#REF!</v>
      </c>
      <c r="Y150" s="30" t="e">
        <f t="shared" si="359"/>
        <v>#REF!</v>
      </c>
      <c r="Z150" s="29" t="e">
        <f t="shared" si="359"/>
        <v>#REF!</v>
      </c>
      <c r="AA150" s="28" t="e">
        <f t="shared" si="359"/>
        <v>#REF!</v>
      </c>
      <c r="AB150" s="26" t="e">
        <f t="shared" si="313"/>
        <v>#REF!</v>
      </c>
      <c r="AC150" s="25" t="e">
        <f t="shared" si="314"/>
        <v>#REF!</v>
      </c>
      <c r="AD150" s="24" t="e">
        <f t="shared" si="315"/>
        <v>#REF!</v>
      </c>
      <c r="AE150" s="25" t="e">
        <f t="shared" si="316"/>
        <v>#REF!</v>
      </c>
      <c r="AF150" s="24" t="e">
        <f t="shared" si="317"/>
        <v>#REF!</v>
      </c>
      <c r="AG150" s="25" t="e">
        <f t="shared" si="318"/>
        <v>#REF!</v>
      </c>
      <c r="AH150" s="24" t="e">
        <f t="shared" si="319"/>
        <v>#REF!</v>
      </c>
      <c r="AI150" s="25" t="e">
        <f t="shared" si="320"/>
        <v>#REF!</v>
      </c>
      <c r="AJ150" s="24" t="e">
        <f t="shared" si="321"/>
        <v>#REF!</v>
      </c>
      <c r="AK150" s="27" t="e">
        <f t="shared" si="323"/>
        <v>#REF!</v>
      </c>
      <c r="AL150" s="41">
        <v>0</v>
      </c>
      <c r="AM150" s="40">
        <v>0</v>
      </c>
      <c r="AN150" s="39">
        <v>0</v>
      </c>
      <c r="AO150" s="40">
        <v>0</v>
      </c>
      <c r="AP150" s="39">
        <v>0</v>
      </c>
      <c r="AQ150" s="40">
        <v>0</v>
      </c>
      <c r="AR150" s="39">
        <v>0</v>
      </c>
      <c r="AS150" s="40">
        <v>0</v>
      </c>
      <c r="AT150" s="39">
        <v>0</v>
      </c>
      <c r="AU150" s="38">
        <v>0</v>
      </c>
      <c r="BJ150" s="37" t="s">
        <v>1152</v>
      </c>
      <c r="BK150" s="36" t="s">
        <v>1922</v>
      </c>
      <c r="BL150" s="1" t="s">
        <v>1107</v>
      </c>
      <c r="BM150" s="36" t="s">
        <v>1937</v>
      </c>
      <c r="BN150" s="82" t="str">
        <f t="shared" si="351"/>
        <v>IMLSTM</v>
      </c>
      <c r="BO150" s="26">
        <f t="shared" si="352"/>
        <v>0</v>
      </c>
      <c r="BP150" s="25">
        <f t="shared" si="352"/>
        <v>0.3344675004435278</v>
      </c>
      <c r="BQ150" s="24">
        <f t="shared" si="352"/>
        <v>9.0782356205638647E-3</v>
      </c>
      <c r="BR150" s="25">
        <f t="shared" si="352"/>
        <v>0</v>
      </c>
      <c r="BS150" s="24">
        <f t="shared" si="352"/>
        <v>0</v>
      </c>
      <c r="BT150" s="25">
        <f t="shared" si="352"/>
        <v>0</v>
      </c>
      <c r="BU150" s="24">
        <f t="shared" si="352"/>
        <v>0</v>
      </c>
      <c r="BV150" s="25">
        <f t="shared" si="352"/>
        <v>0</v>
      </c>
      <c r="BW150" s="32">
        <f t="shared" si="352"/>
        <v>4.556278158642952E-2</v>
      </c>
      <c r="BX150" s="24">
        <f t="shared" ref="BX150:CF150" si="361">BO150/BO151</f>
        <v>0</v>
      </c>
      <c r="BY150" s="25">
        <f t="shared" si="361"/>
        <v>2.9615179506714513E-2</v>
      </c>
      <c r="BZ150" s="24">
        <f t="shared" si="361"/>
        <v>1.5501797673775583E-3</v>
      </c>
      <c r="CA150" s="25">
        <f t="shared" si="361"/>
        <v>0</v>
      </c>
      <c r="CB150" s="24">
        <f t="shared" si="361"/>
        <v>0</v>
      </c>
      <c r="CC150" s="25">
        <f t="shared" si="361"/>
        <v>0</v>
      </c>
      <c r="CD150" s="24">
        <f t="shared" si="361"/>
        <v>0</v>
      </c>
      <c r="CE150" s="25">
        <f t="shared" si="361"/>
        <v>0</v>
      </c>
      <c r="CF150" s="32">
        <f t="shared" si="361"/>
        <v>9.3751977362601074E-2</v>
      </c>
      <c r="CS150" s="54" t="s">
        <v>1626</v>
      </c>
      <c r="CT150" s="39">
        <v>0.36141021472911461</v>
      </c>
      <c r="CU150" s="40">
        <v>0.99484072789747091</v>
      </c>
      <c r="CV150" s="39">
        <v>2.2623913098115964</v>
      </c>
      <c r="CW150" s="40">
        <v>1.5323714286486489</v>
      </c>
      <c r="CX150" s="39">
        <v>0.9701991230999345</v>
      </c>
      <c r="CY150" s="40">
        <v>0.84566985529983107</v>
      </c>
      <c r="CZ150" s="39">
        <v>2.9378590730287724</v>
      </c>
      <c r="DA150" s="40">
        <v>1.0945824991962145</v>
      </c>
      <c r="DB150" s="39">
        <v>0.68635308203061518</v>
      </c>
      <c r="DC150" s="38">
        <v>11.685677313742199</v>
      </c>
      <c r="DE150" s="37" t="s">
        <v>1286</v>
      </c>
      <c r="DF150" s="35" t="str">
        <f t="shared" si="327"/>
        <v>IPBST</v>
      </c>
      <c r="DG150" s="26">
        <f t="shared" si="358"/>
        <v>0</v>
      </c>
      <c r="DH150" s="25">
        <f t="shared" si="358"/>
        <v>0</v>
      </c>
      <c r="DI150" s="24">
        <f t="shared" si="358"/>
        <v>9.5210131337042911E-2</v>
      </c>
      <c r="DJ150" s="25">
        <f t="shared" si="358"/>
        <v>0</v>
      </c>
      <c r="DK150" s="24">
        <f t="shared" si="358"/>
        <v>0.82109436072968167</v>
      </c>
      <c r="DL150" s="25">
        <f t="shared" si="358"/>
        <v>0</v>
      </c>
      <c r="DM150" s="24">
        <f t="shared" si="358"/>
        <v>0</v>
      </c>
      <c r="DN150" s="25">
        <f t="shared" si="358"/>
        <v>0</v>
      </c>
      <c r="DO150" s="32">
        <f t="shared" si="358"/>
        <v>0</v>
      </c>
      <c r="DP150" s="26">
        <f t="shared" si="328"/>
        <v>0</v>
      </c>
      <c r="DQ150" s="25">
        <f t="shared" si="329"/>
        <v>0</v>
      </c>
      <c r="DR150" s="24">
        <f t="shared" si="330"/>
        <v>1.1029390965419987E-2</v>
      </c>
      <c r="DS150" s="25">
        <f t="shared" si="331"/>
        <v>0</v>
      </c>
      <c r="DT150" s="24">
        <f t="shared" si="332"/>
        <v>1.7440458456431007E-2</v>
      </c>
      <c r="DU150" s="25">
        <f t="shared" si="333"/>
        <v>0</v>
      </c>
      <c r="DV150" s="24">
        <f t="shared" si="334"/>
        <v>0</v>
      </c>
      <c r="DW150" s="25">
        <f t="shared" si="335"/>
        <v>0</v>
      </c>
      <c r="DX150" s="32">
        <f t="shared" si="336"/>
        <v>0</v>
      </c>
      <c r="DZ150" s="54" t="s">
        <v>1419</v>
      </c>
      <c r="EA150" s="39">
        <v>0.60187578400230324</v>
      </c>
      <c r="EB150" s="40">
        <v>0.60187578400230324</v>
      </c>
      <c r="EC150" s="39">
        <v>0.97371090276166339</v>
      </c>
      <c r="ED150" s="40">
        <v>0.97371090276166339</v>
      </c>
      <c r="EE150" s="39">
        <v>0.96357826171408389</v>
      </c>
      <c r="EF150" s="40">
        <v>0.96357826171408378</v>
      </c>
      <c r="EG150" s="39">
        <v>0.96357826171408389</v>
      </c>
      <c r="EH150" s="40">
        <v>1</v>
      </c>
      <c r="EI150" s="66">
        <v>1</v>
      </c>
      <c r="EO150" s="83" t="s">
        <v>1201</v>
      </c>
      <c r="EP150" s="82" t="s">
        <v>521</v>
      </c>
      <c r="EQ150" s="81">
        <f t="shared" si="337"/>
        <v>11.986899290832991</v>
      </c>
      <c r="ER150" s="80">
        <f>EQ150/SUM(EQ143:EQ151)</f>
        <v>1.4178310608016362E-2</v>
      </c>
      <c r="ET150" s="73" t="s">
        <v>440</v>
      </c>
      <c r="EU150" s="72">
        <v>5.2865402220024463E-2</v>
      </c>
      <c r="EW150" s="37" t="s">
        <v>1164</v>
      </c>
      <c r="EX150" s="36" t="s">
        <v>1936</v>
      </c>
      <c r="EY150" s="36" t="s">
        <v>1123</v>
      </c>
      <c r="EZ150" s="87" t="s">
        <v>1935</v>
      </c>
      <c r="FA150" s="36" t="str">
        <f t="shared" si="338"/>
        <v>IPLPRH</v>
      </c>
      <c r="FB150" s="35" t="s">
        <v>438</v>
      </c>
      <c r="FC150" s="26">
        <f t="shared" si="339"/>
        <v>7.3643678189191304</v>
      </c>
      <c r="FD150" s="25">
        <f t="shared" si="340"/>
        <v>0.59264090106654188</v>
      </c>
      <c r="FE150" s="24">
        <f t="shared" si="341"/>
        <v>8.0474103906657379E-2</v>
      </c>
      <c r="FF150" s="36">
        <v>0</v>
      </c>
      <c r="FG150" s="86">
        <f t="shared" si="342"/>
        <v>0</v>
      </c>
    </row>
    <row r="151" spans="1:163">
      <c r="A151" s="37" t="s">
        <v>1931</v>
      </c>
      <c r="B151" s="36" t="s">
        <v>1107</v>
      </c>
      <c r="C151" s="1" t="s">
        <v>1126</v>
      </c>
      <c r="D151" s="36" t="s">
        <v>1126</v>
      </c>
      <c r="E151" s="36" t="s">
        <v>1948</v>
      </c>
      <c r="F151" s="1" t="e">
        <f t="shared" ca="1" si="232"/>
        <v>#NAME?</v>
      </c>
      <c r="G151" s="35" t="s">
        <v>1104</v>
      </c>
      <c r="H151" s="43">
        <v>1</v>
      </c>
      <c r="I151" s="42">
        <v>0</v>
      </c>
      <c r="J151" s="26">
        <v>0.28721380151746689</v>
      </c>
      <c r="K151" s="25">
        <v>0.25034866367774705</v>
      </c>
      <c r="L151" s="24"/>
      <c r="M151" s="25"/>
      <c r="N151" s="24"/>
      <c r="O151" s="25"/>
      <c r="P151" s="24"/>
      <c r="Q151" s="25"/>
      <c r="R151" s="32"/>
      <c r="S151" s="31" t="e">
        <v>#REF!</v>
      </c>
      <c r="T151" s="29" t="e">
        <f t="shared" si="359"/>
        <v>#REF!</v>
      </c>
      <c r="U151" s="30" t="e">
        <f t="shared" si="359"/>
        <v>#REF!</v>
      </c>
      <c r="V151" s="29" t="e">
        <f t="shared" si="359"/>
        <v>#REF!</v>
      </c>
      <c r="W151" s="30" t="e">
        <f t="shared" si="359"/>
        <v>#REF!</v>
      </c>
      <c r="X151" s="29" t="e">
        <f t="shared" si="359"/>
        <v>#REF!</v>
      </c>
      <c r="Y151" s="30" t="e">
        <f t="shared" si="359"/>
        <v>#REF!</v>
      </c>
      <c r="Z151" s="29" t="e">
        <f t="shared" si="359"/>
        <v>#REF!</v>
      </c>
      <c r="AA151" s="28" t="e">
        <f t="shared" si="359"/>
        <v>#REF!</v>
      </c>
      <c r="AB151" s="26" t="e">
        <f t="shared" si="313"/>
        <v>#REF!</v>
      </c>
      <c r="AC151" s="25" t="e">
        <f t="shared" si="314"/>
        <v>#REF!</v>
      </c>
      <c r="AD151" s="24" t="e">
        <f t="shared" si="315"/>
        <v>#REF!</v>
      </c>
      <c r="AE151" s="25" t="e">
        <f t="shared" si="316"/>
        <v>#REF!</v>
      </c>
      <c r="AF151" s="24" t="e">
        <f t="shared" si="317"/>
        <v>#REF!</v>
      </c>
      <c r="AG151" s="25" t="e">
        <f t="shared" si="318"/>
        <v>#REF!</v>
      </c>
      <c r="AH151" s="24" t="e">
        <f t="shared" si="319"/>
        <v>#REF!</v>
      </c>
      <c r="AI151" s="25" t="e">
        <f t="shared" si="320"/>
        <v>#REF!</v>
      </c>
      <c r="AJ151" s="24" t="e">
        <f t="shared" si="321"/>
        <v>#REF!</v>
      </c>
      <c r="AK151" s="27" t="e">
        <f t="shared" si="323"/>
        <v>#REF!</v>
      </c>
      <c r="AL151" s="41">
        <v>0</v>
      </c>
      <c r="AM151" s="40">
        <v>0</v>
      </c>
      <c r="AN151" s="39">
        <v>0</v>
      </c>
      <c r="AO151" s="40">
        <v>0</v>
      </c>
      <c r="AP151" s="39">
        <v>0</v>
      </c>
      <c r="AQ151" s="40">
        <v>0</v>
      </c>
      <c r="AR151" s="39">
        <v>0</v>
      </c>
      <c r="AS151" s="40">
        <v>0</v>
      </c>
      <c r="AT151" s="39">
        <v>0</v>
      </c>
      <c r="AU151" s="38">
        <v>0</v>
      </c>
      <c r="BJ151" s="22" t="s">
        <v>1152</v>
      </c>
      <c r="BK151" s="20" t="s">
        <v>1922</v>
      </c>
      <c r="BL151" s="21" t="s">
        <v>1027</v>
      </c>
      <c r="BM151" s="20"/>
      <c r="BN151" s="78"/>
      <c r="BO151" s="11">
        <f t="shared" ref="BO151:BW151" si="362">GETPIVOTDATA("Sum of "&amp;BO$1&amp;" (Out)",$AW$6,"Sub-Sector",$BJ151)</f>
        <v>3.981350532008201</v>
      </c>
      <c r="BP151" s="10">
        <f t="shared" si="362"/>
        <v>11.29378602509215</v>
      </c>
      <c r="BQ151" s="9">
        <f t="shared" si="362"/>
        <v>5.8562470054176563</v>
      </c>
      <c r="BR151" s="10">
        <f t="shared" si="362"/>
        <v>3.9604264401412914</v>
      </c>
      <c r="BS151" s="9">
        <f t="shared" si="362"/>
        <v>1.5351732425452957</v>
      </c>
      <c r="BT151" s="10">
        <f t="shared" si="362"/>
        <v>1.3381270947095341</v>
      </c>
      <c r="BU151" s="9">
        <f t="shared" si="362"/>
        <v>4.6486566849000708</v>
      </c>
      <c r="BV151" s="10">
        <f t="shared" si="362"/>
        <v>0.70238912238446283</v>
      </c>
      <c r="BW151" s="16">
        <f t="shared" si="362"/>
        <v>0.48599275309370837</v>
      </c>
      <c r="BX151" s="11"/>
      <c r="BY151" s="6"/>
      <c r="BZ151" s="5"/>
      <c r="CA151" s="6"/>
      <c r="CB151" s="5"/>
      <c r="CC151" s="6"/>
      <c r="CD151" s="5"/>
      <c r="CE151" s="6"/>
      <c r="CF151" s="59"/>
      <c r="CS151" s="54" t="s">
        <v>1622</v>
      </c>
      <c r="CT151" s="39">
        <v>1.6375619910311745</v>
      </c>
      <c r="CU151" s="40">
        <v>6.1812647290778626</v>
      </c>
      <c r="CV151" s="39">
        <v>27.549123783531954</v>
      </c>
      <c r="CW151" s="40">
        <v>9.4391833323244647</v>
      </c>
      <c r="CX151" s="39">
        <v>16.339702327616411</v>
      </c>
      <c r="CY151" s="40">
        <v>11.201772588974356</v>
      </c>
      <c r="CZ151" s="39">
        <v>11.973354960071228</v>
      </c>
      <c r="DA151" s="40">
        <v>0.32349191691186963</v>
      </c>
      <c r="DB151" s="39">
        <v>10.197941795029575</v>
      </c>
      <c r="DC151" s="38">
        <v>94.843397424568892</v>
      </c>
      <c r="DE151" s="37" t="s">
        <v>1630</v>
      </c>
      <c r="DF151" s="35" t="str">
        <f t="shared" si="327"/>
        <v>ICPST</v>
      </c>
      <c r="DG151" s="26">
        <f t="shared" si="358"/>
        <v>0</v>
      </c>
      <c r="DH151" s="25">
        <f t="shared" si="358"/>
        <v>0</v>
      </c>
      <c r="DI151" s="24">
        <f t="shared" si="358"/>
        <v>0</v>
      </c>
      <c r="DJ151" s="25">
        <f t="shared" si="358"/>
        <v>0</v>
      </c>
      <c r="DK151" s="24">
        <f t="shared" si="358"/>
        <v>0</v>
      </c>
      <c r="DL151" s="25">
        <f t="shared" si="358"/>
        <v>0</v>
      </c>
      <c r="DM151" s="24">
        <f t="shared" si="358"/>
        <v>0</v>
      </c>
      <c r="DN151" s="25">
        <f t="shared" si="358"/>
        <v>0</v>
      </c>
      <c r="DO151" s="32">
        <f t="shared" si="358"/>
        <v>0</v>
      </c>
      <c r="DP151" s="26">
        <f t="shared" si="328"/>
        <v>0</v>
      </c>
      <c r="DQ151" s="25">
        <f t="shared" si="329"/>
        <v>0</v>
      </c>
      <c r="DR151" s="24">
        <f t="shared" si="330"/>
        <v>0</v>
      </c>
      <c r="DS151" s="25">
        <f t="shared" si="331"/>
        <v>0</v>
      </c>
      <c r="DT151" s="24">
        <f t="shared" si="332"/>
        <v>0</v>
      </c>
      <c r="DU151" s="25">
        <f t="shared" si="333"/>
        <v>0</v>
      </c>
      <c r="DV151" s="24">
        <f t="shared" si="334"/>
        <v>0</v>
      </c>
      <c r="DW151" s="25">
        <f t="shared" si="335"/>
        <v>0</v>
      </c>
      <c r="DX151" s="32">
        <f t="shared" si="336"/>
        <v>0</v>
      </c>
      <c r="DZ151" s="54" t="s">
        <v>1482</v>
      </c>
      <c r="EA151" s="39">
        <v>0</v>
      </c>
      <c r="EB151" s="40">
        <v>1</v>
      </c>
      <c r="EC151" s="39">
        <v>1</v>
      </c>
      <c r="ED151" s="40">
        <v>0</v>
      </c>
      <c r="EE151" s="39">
        <v>0</v>
      </c>
      <c r="EF151" s="40">
        <v>0</v>
      </c>
      <c r="EG151" s="39">
        <v>0</v>
      </c>
      <c r="EH151" s="40">
        <v>0</v>
      </c>
      <c r="EI151" s="66">
        <v>1</v>
      </c>
      <c r="EO151" s="79" t="s">
        <v>1201</v>
      </c>
      <c r="EP151" s="78" t="s">
        <v>522</v>
      </c>
      <c r="EQ151" s="77">
        <f t="shared" si="337"/>
        <v>10.153384572114925</v>
      </c>
      <c r="ER151" s="76">
        <f>EQ151/SUM(EQ143:EQ151)</f>
        <v>1.2009597869582405E-2</v>
      </c>
      <c r="ET151" s="73" t="s">
        <v>439</v>
      </c>
      <c r="EU151" s="72">
        <v>0.18238095170636479</v>
      </c>
      <c r="EW151" s="37" t="s">
        <v>1164</v>
      </c>
      <c r="EX151" s="36" t="s">
        <v>1936</v>
      </c>
      <c r="EY151" s="36" t="s">
        <v>1123</v>
      </c>
      <c r="EZ151" s="87" t="s">
        <v>1935</v>
      </c>
      <c r="FA151" s="36" t="str">
        <f t="shared" si="338"/>
        <v>IPLPRH</v>
      </c>
      <c r="FB151" s="1" t="s">
        <v>440</v>
      </c>
      <c r="FC151" s="26">
        <f t="shared" si="339"/>
        <v>6.1030137926704979</v>
      </c>
      <c r="FD151" s="25">
        <f t="shared" si="340"/>
        <v>0.52291844211753691</v>
      </c>
      <c r="FE151" s="24">
        <f t="shared" si="341"/>
        <v>8.5682002348666381E-2</v>
      </c>
      <c r="FF151" s="36">
        <v>0</v>
      </c>
      <c r="FG151" s="86">
        <f t="shared" si="342"/>
        <v>0</v>
      </c>
    </row>
    <row r="152" spans="1:163">
      <c r="A152" s="37" t="s">
        <v>1931</v>
      </c>
      <c r="B152" s="36" t="s">
        <v>1107</v>
      </c>
      <c r="C152" s="1" t="s">
        <v>665</v>
      </c>
      <c r="D152" s="36" t="s">
        <v>665</v>
      </c>
      <c r="E152" s="36" t="s">
        <v>1947</v>
      </c>
      <c r="F152" s="1" t="e">
        <f t="shared" ca="1" si="232"/>
        <v>#NAME?</v>
      </c>
      <c r="G152" s="35" t="s">
        <v>1104</v>
      </c>
      <c r="H152" s="43">
        <v>1</v>
      </c>
      <c r="I152" s="42">
        <v>0</v>
      </c>
      <c r="J152" s="26">
        <v>11.789265202799999</v>
      </c>
      <c r="K152" s="25">
        <v>10.107109733999998</v>
      </c>
      <c r="L152" s="24"/>
      <c r="M152" s="25"/>
      <c r="N152" s="24"/>
      <c r="O152" s="25"/>
      <c r="P152" s="24"/>
      <c r="Q152" s="25"/>
      <c r="R152" s="32"/>
      <c r="S152" s="31" t="e">
        <v>#REF!</v>
      </c>
      <c r="T152" s="29" t="e">
        <f t="shared" si="359"/>
        <v>#REF!</v>
      </c>
      <c r="U152" s="30" t="e">
        <f t="shared" si="359"/>
        <v>#REF!</v>
      </c>
      <c r="V152" s="29" t="e">
        <f t="shared" si="359"/>
        <v>#REF!</v>
      </c>
      <c r="W152" s="30" t="e">
        <f t="shared" si="359"/>
        <v>#REF!</v>
      </c>
      <c r="X152" s="29" t="e">
        <f t="shared" si="359"/>
        <v>#REF!</v>
      </c>
      <c r="Y152" s="30" t="e">
        <f t="shared" si="359"/>
        <v>#REF!</v>
      </c>
      <c r="Z152" s="29" t="e">
        <f t="shared" si="359"/>
        <v>#REF!</v>
      </c>
      <c r="AA152" s="28" t="e">
        <f t="shared" si="359"/>
        <v>#REF!</v>
      </c>
      <c r="AB152" s="26" t="e">
        <f t="shared" si="313"/>
        <v>#REF!</v>
      </c>
      <c r="AC152" s="25" t="e">
        <f t="shared" si="314"/>
        <v>#REF!</v>
      </c>
      <c r="AD152" s="24" t="e">
        <f t="shared" si="315"/>
        <v>#REF!</v>
      </c>
      <c r="AE152" s="25" t="e">
        <f t="shared" si="316"/>
        <v>#REF!</v>
      </c>
      <c r="AF152" s="24" t="e">
        <f t="shared" si="317"/>
        <v>#REF!</v>
      </c>
      <c r="AG152" s="25" t="e">
        <f t="shared" si="318"/>
        <v>#REF!</v>
      </c>
      <c r="AH152" s="24" t="e">
        <f t="shared" si="319"/>
        <v>#REF!</v>
      </c>
      <c r="AI152" s="25" t="e">
        <f t="shared" si="320"/>
        <v>#REF!</v>
      </c>
      <c r="AJ152" s="24" t="e">
        <f t="shared" si="321"/>
        <v>#REF!</v>
      </c>
      <c r="AK152" s="27" t="e">
        <f t="shared" si="323"/>
        <v>#REF!</v>
      </c>
      <c r="AL152" s="41">
        <v>0</v>
      </c>
      <c r="AM152" s="40">
        <v>0</v>
      </c>
      <c r="AN152" s="39">
        <v>0</v>
      </c>
      <c r="AO152" s="40">
        <v>0</v>
      </c>
      <c r="AP152" s="39">
        <v>0</v>
      </c>
      <c r="AQ152" s="40">
        <v>0</v>
      </c>
      <c r="AR152" s="39">
        <v>0</v>
      </c>
      <c r="AS152" s="40">
        <v>0</v>
      </c>
      <c r="AT152" s="39">
        <v>0</v>
      </c>
      <c r="AU152" s="38">
        <v>0</v>
      </c>
      <c r="BJ152" s="37" t="s">
        <v>1108</v>
      </c>
      <c r="BK152" s="36" t="s">
        <v>1903</v>
      </c>
      <c r="BL152" s="1" t="s">
        <v>1150</v>
      </c>
      <c r="BM152" s="36" t="s">
        <v>1902</v>
      </c>
      <c r="BN152" s="82" t="str">
        <f t="shared" ref="BN152:BN158" si="363">BK152&amp;BM152</f>
        <v>IMTETC</v>
      </c>
      <c r="BO152" s="91">
        <f t="shared" ref="BO152:BW158" si="364">IF(ISERROR(GETPIVOTDATA("Sum of "&amp;BO$1&amp;" (Out)",$AW$6,"Sub-Sector",$BJ152,"End-Use",$BL152)),0,GETPIVOTDATA("Sum of "&amp;BO$1&amp;" (Out)",$AW$6,"Sub-Sector",$BJ152,"End-Use",$BL152))</f>
        <v>2.1391739821283791E-2</v>
      </c>
      <c r="BP152" s="89">
        <f t="shared" si="364"/>
        <v>5.888426266742397E-2</v>
      </c>
      <c r="BQ152" s="90">
        <f t="shared" si="364"/>
        <v>0.16032957495081002</v>
      </c>
      <c r="BR152" s="89">
        <f t="shared" si="364"/>
        <v>0.10859503338636103</v>
      </c>
      <c r="BS152" s="90">
        <f t="shared" si="364"/>
        <v>6.2258102322241424E-2</v>
      </c>
      <c r="BT152" s="89">
        <f t="shared" si="364"/>
        <v>5.4267004709165095E-2</v>
      </c>
      <c r="BU152" s="90">
        <f t="shared" si="364"/>
        <v>0.188523702425683</v>
      </c>
      <c r="BV152" s="89">
        <f t="shared" si="364"/>
        <v>2.466925484442322E-2</v>
      </c>
      <c r="BW152" s="88">
        <f t="shared" si="364"/>
        <v>1.5468746399930667E-2</v>
      </c>
      <c r="BX152" s="26">
        <f t="shared" ref="BX152:CF152" si="365">BO152/BO159</f>
        <v>1.795470136615316E-3</v>
      </c>
      <c r="BY152" s="25">
        <f t="shared" si="365"/>
        <v>1.6929370768281543E-3</v>
      </c>
      <c r="BZ152" s="24">
        <f t="shared" si="365"/>
        <v>2.2547171520033724E-3</v>
      </c>
      <c r="CA152" s="25">
        <f t="shared" si="365"/>
        <v>2.3287463321711157E-3</v>
      </c>
      <c r="CB152" s="24">
        <f t="shared" si="365"/>
        <v>5.5694514555151816E-3</v>
      </c>
      <c r="CC152" s="25">
        <f t="shared" si="365"/>
        <v>5.5252798862780554E-3</v>
      </c>
      <c r="CD152" s="24">
        <f t="shared" si="365"/>
        <v>5.6420541546675475E-3</v>
      </c>
      <c r="CE152" s="25">
        <f t="shared" si="365"/>
        <v>7.7420678208958886E-3</v>
      </c>
      <c r="CF152" s="32">
        <f t="shared" si="365"/>
        <v>5.7312859893452342E-3</v>
      </c>
      <c r="CS152" s="54" t="s">
        <v>1618</v>
      </c>
      <c r="CT152" s="39">
        <v>0.24551987470361292</v>
      </c>
      <c r="CU152" s="40">
        <v>4.2571665938975184E-2</v>
      </c>
      <c r="CV152" s="39">
        <v>5.6940438587137918E-2</v>
      </c>
      <c r="CW152" s="40">
        <v>0.11289125159782387</v>
      </c>
      <c r="CX152" s="39">
        <v>0.28721081569736773</v>
      </c>
      <c r="CY152" s="40">
        <v>8.8836854961335893E-2</v>
      </c>
      <c r="CZ152" s="39">
        <v>3.0608827315621086E-2</v>
      </c>
      <c r="DA152" s="40">
        <v>0</v>
      </c>
      <c r="DB152" s="39">
        <v>3.0742490316999344E-2</v>
      </c>
      <c r="DC152" s="38">
        <v>0.89532221911887389</v>
      </c>
      <c r="DE152" s="37" t="s">
        <v>1627</v>
      </c>
      <c r="DF152" s="35" t="str">
        <f t="shared" si="327"/>
        <v>ICPST</v>
      </c>
      <c r="DG152" s="26">
        <f t="shared" si="358"/>
        <v>1.2459782580800294E-2</v>
      </c>
      <c r="DH152" s="25">
        <f t="shared" si="358"/>
        <v>3.4297589461931254E-2</v>
      </c>
      <c r="DI152" s="24">
        <f t="shared" si="358"/>
        <v>0.11150470210638364</v>
      </c>
      <c r="DJ152" s="25">
        <f t="shared" si="358"/>
        <v>7.552478606454259E-2</v>
      </c>
      <c r="DK152" s="24">
        <f t="shared" si="358"/>
        <v>0.20676105547269111</v>
      </c>
      <c r="DL152" s="25">
        <f t="shared" si="358"/>
        <v>0.18022237672670069</v>
      </c>
      <c r="DM152" s="24">
        <f t="shared" si="358"/>
        <v>0.62609296205979215</v>
      </c>
      <c r="DN152" s="25">
        <f t="shared" si="358"/>
        <v>9.5791975270144627E-3</v>
      </c>
      <c r="DO152" s="32">
        <f t="shared" si="358"/>
        <v>6.0065931538960601E-3</v>
      </c>
      <c r="DP152" s="26">
        <f t="shared" si="328"/>
        <v>3.7498324511151186E-3</v>
      </c>
      <c r="DQ152" s="25">
        <f t="shared" si="329"/>
        <v>5.9223117534515342E-3</v>
      </c>
      <c r="DR152" s="24">
        <f t="shared" si="330"/>
        <v>8.1039411677870932E-3</v>
      </c>
      <c r="DS152" s="25">
        <f t="shared" si="331"/>
        <v>1</v>
      </c>
      <c r="DT152" s="24">
        <f t="shared" si="332"/>
        <v>1.158759832755845E-2</v>
      </c>
      <c r="DU152" s="25">
        <f t="shared" si="333"/>
        <v>7.9820050659828688E-3</v>
      </c>
      <c r="DV152" s="24">
        <f t="shared" si="334"/>
        <v>1.2060942794508235E-2</v>
      </c>
      <c r="DW152" s="25">
        <f t="shared" si="335"/>
        <v>1</v>
      </c>
      <c r="DX152" s="32">
        <f t="shared" si="336"/>
        <v>1.8732360900821053E-2</v>
      </c>
      <c r="DZ152" s="54" t="s">
        <v>1853</v>
      </c>
      <c r="EA152" s="39">
        <v>5.7190905697047663E-2</v>
      </c>
      <c r="EB152" s="40">
        <v>5.7190905697047684E-2</v>
      </c>
      <c r="EC152" s="39">
        <v>2.204670840101873E-2</v>
      </c>
      <c r="ED152" s="40">
        <v>2.204670840101873E-2</v>
      </c>
      <c r="EE152" s="39">
        <v>3.1862348644862856E-2</v>
      </c>
      <c r="EF152" s="40">
        <v>3.1862348644862863E-2</v>
      </c>
      <c r="EG152" s="39">
        <v>3.1862348644862863E-2</v>
      </c>
      <c r="EH152" s="40">
        <v>0</v>
      </c>
      <c r="EI152" s="66">
        <v>0</v>
      </c>
      <c r="EO152" s="83" t="s">
        <v>1164</v>
      </c>
      <c r="EP152" s="82" t="s">
        <v>438</v>
      </c>
      <c r="EQ152" s="81">
        <f t="shared" si="337"/>
        <v>7.3643678189191304</v>
      </c>
      <c r="ER152" s="80">
        <f>EQ152/SUM(EQ152:EQ160)</f>
        <v>3.6036439929291578E-2</v>
      </c>
      <c r="ET152" s="73" t="s">
        <v>518</v>
      </c>
      <c r="EU152" s="72">
        <v>0.12338610415505022</v>
      </c>
      <c r="EW152" s="37" t="s">
        <v>1164</v>
      </c>
      <c r="EX152" s="36" t="s">
        <v>1936</v>
      </c>
      <c r="EY152" s="36" t="s">
        <v>1123</v>
      </c>
      <c r="EZ152" s="87" t="s">
        <v>1935</v>
      </c>
      <c r="FA152" s="36" t="str">
        <f t="shared" si="338"/>
        <v>IPLPRH</v>
      </c>
      <c r="FB152" s="1" t="s">
        <v>439</v>
      </c>
      <c r="FC152" s="26">
        <f t="shared" si="339"/>
        <v>1.2341345385391349</v>
      </c>
      <c r="FD152" s="25">
        <f t="shared" si="340"/>
        <v>0.49162036934968295</v>
      </c>
      <c r="FE152" s="24">
        <f t="shared" si="341"/>
        <v>0.39835233031531714</v>
      </c>
      <c r="FF152" s="36">
        <v>0</v>
      </c>
      <c r="FG152" s="86">
        <f t="shared" si="342"/>
        <v>0</v>
      </c>
    </row>
    <row r="153" spans="1:163">
      <c r="A153" s="37" t="s">
        <v>1931</v>
      </c>
      <c r="B153" s="36" t="s">
        <v>1107</v>
      </c>
      <c r="C153" s="1" t="s">
        <v>665</v>
      </c>
      <c r="D153" s="36" t="s">
        <v>665</v>
      </c>
      <c r="E153" s="36" t="s">
        <v>1946</v>
      </c>
      <c r="F153" s="1" t="e">
        <f t="shared" ca="1" si="232"/>
        <v>#NAME?</v>
      </c>
      <c r="G153" s="35" t="s">
        <v>1109</v>
      </c>
      <c r="H153" s="34">
        <f>1-I153</f>
        <v>0.8967480198971931</v>
      </c>
      <c r="I153" s="33">
        <v>0.10325198010280685</v>
      </c>
      <c r="J153" s="26" t="e">
        <v>#REF!</v>
      </c>
      <c r="K153" s="25" t="e">
        <v>#REF!</v>
      </c>
      <c r="L153" s="24"/>
      <c r="M153" s="25"/>
      <c r="N153" s="24"/>
      <c r="O153" s="25"/>
      <c r="P153" s="24"/>
      <c r="Q153" s="25"/>
      <c r="R153" s="32"/>
      <c r="S153" s="31" t="e">
        <v>#REF!</v>
      </c>
      <c r="T153" s="29" t="e">
        <f t="shared" si="359"/>
        <v>#REF!</v>
      </c>
      <c r="U153" s="30" t="e">
        <f t="shared" si="359"/>
        <v>#REF!</v>
      </c>
      <c r="V153" s="29" t="e">
        <f t="shared" si="359"/>
        <v>#REF!</v>
      </c>
      <c r="W153" s="30" t="e">
        <f t="shared" si="359"/>
        <v>#REF!</v>
      </c>
      <c r="X153" s="29" t="e">
        <f t="shared" si="359"/>
        <v>#REF!</v>
      </c>
      <c r="Y153" s="30" t="e">
        <f t="shared" si="359"/>
        <v>#REF!</v>
      </c>
      <c r="Z153" s="29" t="e">
        <f t="shared" si="359"/>
        <v>#REF!</v>
      </c>
      <c r="AA153" s="28" t="e">
        <f t="shared" si="359"/>
        <v>#REF!</v>
      </c>
      <c r="AB153" s="26" t="e">
        <f t="shared" ref="AB153:AJ156" si="366">J153*31.536*$H153*S153</f>
        <v>#REF!</v>
      </c>
      <c r="AC153" s="25" t="e">
        <f t="shared" si="366"/>
        <v>#REF!</v>
      </c>
      <c r="AD153" s="24" t="e">
        <f t="shared" si="366"/>
        <v>#REF!</v>
      </c>
      <c r="AE153" s="25" t="e">
        <f t="shared" si="366"/>
        <v>#REF!</v>
      </c>
      <c r="AF153" s="24" t="e">
        <f t="shared" si="366"/>
        <v>#REF!</v>
      </c>
      <c r="AG153" s="25" t="e">
        <f t="shared" si="366"/>
        <v>#REF!</v>
      </c>
      <c r="AH153" s="24" t="e">
        <f t="shared" si="366"/>
        <v>#REF!</v>
      </c>
      <c r="AI153" s="25" t="e">
        <f t="shared" si="366"/>
        <v>#REF!</v>
      </c>
      <c r="AJ153" s="24" t="e">
        <f t="shared" si="366"/>
        <v>#REF!</v>
      </c>
      <c r="AK153" s="27" t="e">
        <f t="shared" si="323"/>
        <v>#REF!</v>
      </c>
      <c r="AL153" s="26" t="e">
        <f t="shared" ref="AL153:AT156" si="367">J153*31.536*$I153*S153</f>
        <v>#REF!</v>
      </c>
      <c r="AM153" s="25" t="e">
        <f t="shared" si="367"/>
        <v>#REF!</v>
      </c>
      <c r="AN153" s="24" t="e">
        <f t="shared" si="367"/>
        <v>#REF!</v>
      </c>
      <c r="AO153" s="25" t="e">
        <f t="shared" si="367"/>
        <v>#REF!</v>
      </c>
      <c r="AP153" s="24" t="e">
        <f t="shared" si="367"/>
        <v>#REF!</v>
      </c>
      <c r="AQ153" s="25" t="e">
        <f t="shared" si="367"/>
        <v>#REF!</v>
      </c>
      <c r="AR153" s="24" t="e">
        <f t="shared" si="367"/>
        <v>#REF!</v>
      </c>
      <c r="AS153" s="25" t="e">
        <f t="shared" si="367"/>
        <v>#REF!</v>
      </c>
      <c r="AT153" s="24" t="e">
        <f t="shared" si="367"/>
        <v>#REF!</v>
      </c>
      <c r="AU153" s="23" t="e">
        <f>SUM(AL153:AT153)</f>
        <v>#REF!</v>
      </c>
      <c r="BJ153" s="37" t="s">
        <v>1108</v>
      </c>
      <c r="BK153" s="36" t="s">
        <v>1903</v>
      </c>
      <c r="BL153" s="1" t="s">
        <v>1145</v>
      </c>
      <c r="BM153" s="36" t="s">
        <v>1945</v>
      </c>
      <c r="BN153" s="82" t="str">
        <f t="shared" si="363"/>
        <v>IMTFAC</v>
      </c>
      <c r="BO153" s="26">
        <f t="shared" si="364"/>
        <v>0.20023794311295168</v>
      </c>
      <c r="BP153" s="25">
        <f t="shared" si="364"/>
        <v>0.55118768911523397</v>
      </c>
      <c r="BQ153" s="24">
        <f t="shared" si="364"/>
        <v>2.5084770959390199</v>
      </c>
      <c r="BR153" s="25">
        <f t="shared" si="364"/>
        <v>1.6990511829523416</v>
      </c>
      <c r="BS153" s="24">
        <f t="shared" si="364"/>
        <v>0.49776942651569028</v>
      </c>
      <c r="BT153" s="25">
        <f t="shared" si="364"/>
        <v>0.43387856046417422</v>
      </c>
      <c r="BU153" s="24">
        <f t="shared" si="364"/>
        <v>1.5072951429732622</v>
      </c>
      <c r="BV153" s="25">
        <f t="shared" si="364"/>
        <v>0.19171589520778176</v>
      </c>
      <c r="BW153" s="32">
        <f t="shared" si="364"/>
        <v>0.12021459839413307</v>
      </c>
      <c r="BX153" s="26">
        <f t="shared" ref="BX153:CF153" si="368">BO153/BO159</f>
        <v>1.6806545427355761E-2</v>
      </c>
      <c r="BY153" s="25">
        <f t="shared" si="368"/>
        <v>1.5846782025015233E-2</v>
      </c>
      <c r="BZ153" s="24">
        <f t="shared" si="368"/>
        <v>3.5276750002964707E-2</v>
      </c>
      <c r="CA153" s="25">
        <f t="shared" si="368"/>
        <v>3.6434992348077275E-2</v>
      </c>
      <c r="CB153" s="24">
        <f t="shared" si="368"/>
        <v>4.4529186621680497E-2</v>
      </c>
      <c r="CC153" s="25">
        <f t="shared" si="368"/>
        <v>4.4176023645821405E-2</v>
      </c>
      <c r="CD153" s="24">
        <f t="shared" si="368"/>
        <v>4.5109663741485895E-2</v>
      </c>
      <c r="CE153" s="25">
        <f t="shared" si="368"/>
        <v>6.0167097563465895E-2</v>
      </c>
      <c r="CF153" s="32">
        <f t="shared" si="368"/>
        <v>4.4540405904782761E-2</v>
      </c>
      <c r="CS153" s="54" t="s">
        <v>1632</v>
      </c>
      <c r="CT153" s="39">
        <v>0.384869584656019</v>
      </c>
      <c r="CU153" s="40">
        <v>0</v>
      </c>
      <c r="CV153" s="39">
        <v>4.3514962185980464</v>
      </c>
      <c r="CW153" s="40">
        <v>6.7399739513531722</v>
      </c>
      <c r="CX153" s="39">
        <v>4.3408016814903192</v>
      </c>
      <c r="CY153" s="40">
        <v>2.0068821127228293</v>
      </c>
      <c r="CZ153" s="39">
        <v>0</v>
      </c>
      <c r="DA153" s="40">
        <v>0</v>
      </c>
      <c r="DB153" s="39">
        <v>0</v>
      </c>
      <c r="DC153" s="38">
        <v>17.824023548820385</v>
      </c>
      <c r="DE153" s="37" t="s">
        <v>1384</v>
      </c>
      <c r="DF153" s="35" t="str">
        <f t="shared" si="327"/>
        <v>ICPST</v>
      </c>
      <c r="DG153" s="26">
        <f t="shared" si="358"/>
        <v>0</v>
      </c>
      <c r="DH153" s="25">
        <f t="shared" si="358"/>
        <v>1.046432719108054</v>
      </c>
      <c r="DI153" s="24">
        <f t="shared" si="358"/>
        <v>2.8013142162609643</v>
      </c>
      <c r="DJ153" s="25">
        <f t="shared" si="358"/>
        <v>0</v>
      </c>
      <c r="DK153" s="24">
        <f t="shared" si="358"/>
        <v>2.7036106377753084</v>
      </c>
      <c r="DL153" s="25">
        <f t="shared" si="358"/>
        <v>2.0684721549359772</v>
      </c>
      <c r="DM153" s="24">
        <f t="shared" si="358"/>
        <v>3.286727508999046</v>
      </c>
      <c r="DN153" s="25">
        <f t="shared" si="358"/>
        <v>0</v>
      </c>
      <c r="DO153" s="32">
        <f t="shared" si="358"/>
        <v>8.0445656678376554E-2</v>
      </c>
      <c r="DP153" s="26">
        <f t="shared" si="328"/>
        <v>0</v>
      </c>
      <c r="DQ153" s="25">
        <f t="shared" si="329"/>
        <v>0.1806920220573692</v>
      </c>
      <c r="DR153" s="24">
        <f t="shared" si="330"/>
        <v>0.20359397561015319</v>
      </c>
      <c r="DS153" s="25">
        <f t="shared" si="331"/>
        <v>0</v>
      </c>
      <c r="DT153" s="24">
        <f t="shared" si="332"/>
        <v>0.15151960814396323</v>
      </c>
      <c r="DU153" s="25">
        <f t="shared" si="333"/>
        <v>9.1612126748172915E-2</v>
      </c>
      <c r="DV153" s="24">
        <f t="shared" si="334"/>
        <v>6.3314930640265388E-2</v>
      </c>
      <c r="DW153" s="25">
        <f t="shared" si="335"/>
        <v>0</v>
      </c>
      <c r="DX153" s="32">
        <f t="shared" si="336"/>
        <v>0.25088049667979423</v>
      </c>
      <c r="DZ153" s="54" t="s">
        <v>1851</v>
      </c>
      <c r="EA153" s="39">
        <v>0.35543400922385604</v>
      </c>
      <c r="EB153" s="40">
        <v>0.3554340092238561</v>
      </c>
      <c r="EC153" s="39">
        <v>0.45998703002791075</v>
      </c>
      <c r="ED153" s="40">
        <v>0.45998703002791064</v>
      </c>
      <c r="EE153" s="39">
        <v>0.49505083824527224</v>
      </c>
      <c r="EF153" s="40">
        <v>0.4950508382452723</v>
      </c>
      <c r="EG153" s="39">
        <v>0.49505083824527224</v>
      </c>
      <c r="EH153" s="40">
        <v>0.37308319914119692</v>
      </c>
      <c r="EI153" s="66">
        <v>0.37308319914119692</v>
      </c>
      <c r="EO153" s="83" t="s">
        <v>1164</v>
      </c>
      <c r="EP153" s="82" t="s">
        <v>440</v>
      </c>
      <c r="EQ153" s="81">
        <f t="shared" si="337"/>
        <v>6.1030137926704979</v>
      </c>
      <c r="ER153" s="80">
        <f>EQ153/SUM(EQ152:EQ160)</f>
        <v>2.986419137868207E-2</v>
      </c>
      <c r="ET153" s="73" t="s">
        <v>517</v>
      </c>
      <c r="EU153" s="72">
        <v>9.3028483071322304E-2</v>
      </c>
      <c r="EW153" s="37" t="s">
        <v>1164</v>
      </c>
      <c r="EX153" s="36" t="s">
        <v>1936</v>
      </c>
      <c r="EY153" s="36" t="s">
        <v>1123</v>
      </c>
      <c r="EZ153" s="87" t="s">
        <v>1935</v>
      </c>
      <c r="FA153" s="36" t="str">
        <f t="shared" si="338"/>
        <v>IPLPRH</v>
      </c>
      <c r="FB153" s="1" t="s">
        <v>518</v>
      </c>
      <c r="FC153" s="26">
        <f t="shared" si="339"/>
        <v>0.23632363503940876</v>
      </c>
      <c r="FD153" s="25">
        <f t="shared" si="340"/>
        <v>9.4140070726535019E-2</v>
      </c>
      <c r="FE153" s="24">
        <f t="shared" si="341"/>
        <v>0.39835233031531714</v>
      </c>
      <c r="FF153" s="36">
        <v>0</v>
      </c>
      <c r="FG153" s="86">
        <f t="shared" si="342"/>
        <v>0</v>
      </c>
    </row>
    <row r="154" spans="1:163">
      <c r="A154" s="37" t="s">
        <v>1931</v>
      </c>
      <c r="B154" s="36" t="s">
        <v>1107</v>
      </c>
      <c r="C154" s="1" t="s">
        <v>665</v>
      </c>
      <c r="D154" s="36" t="s">
        <v>665</v>
      </c>
      <c r="E154" s="36" t="s">
        <v>1944</v>
      </c>
      <c r="F154" s="1" t="e">
        <f t="shared" ca="1" si="232"/>
        <v>#NAME?</v>
      </c>
      <c r="G154" s="35" t="s">
        <v>1109</v>
      </c>
      <c r="H154" s="34">
        <f>1-I154</f>
        <v>0.49273011568648462</v>
      </c>
      <c r="I154" s="33">
        <v>0.50726988431351538</v>
      </c>
      <c r="J154" s="26">
        <v>0.14495102708769139</v>
      </c>
      <c r="K154" s="25">
        <v>0</v>
      </c>
      <c r="L154" s="24"/>
      <c r="M154" s="25"/>
      <c r="N154" s="24"/>
      <c r="O154" s="25"/>
      <c r="P154" s="24"/>
      <c r="Q154" s="25"/>
      <c r="R154" s="32"/>
      <c r="S154" s="31" t="e">
        <v>#REF!</v>
      </c>
      <c r="T154" s="29" t="e">
        <f t="shared" si="359"/>
        <v>#REF!</v>
      </c>
      <c r="U154" s="30" t="e">
        <f t="shared" si="359"/>
        <v>#REF!</v>
      </c>
      <c r="V154" s="29" t="e">
        <f t="shared" si="359"/>
        <v>#REF!</v>
      </c>
      <c r="W154" s="30" t="e">
        <f t="shared" si="359"/>
        <v>#REF!</v>
      </c>
      <c r="X154" s="29" t="e">
        <f t="shared" si="359"/>
        <v>#REF!</v>
      </c>
      <c r="Y154" s="30" t="e">
        <f t="shared" si="359"/>
        <v>#REF!</v>
      </c>
      <c r="Z154" s="29" t="e">
        <f t="shared" si="359"/>
        <v>#REF!</v>
      </c>
      <c r="AA154" s="28" t="e">
        <f t="shared" si="359"/>
        <v>#REF!</v>
      </c>
      <c r="AB154" s="26" t="e">
        <f t="shared" si="366"/>
        <v>#REF!</v>
      </c>
      <c r="AC154" s="25" t="e">
        <f t="shared" si="366"/>
        <v>#REF!</v>
      </c>
      <c r="AD154" s="24" t="e">
        <f t="shared" si="366"/>
        <v>#REF!</v>
      </c>
      <c r="AE154" s="25" t="e">
        <f t="shared" si="366"/>
        <v>#REF!</v>
      </c>
      <c r="AF154" s="24" t="e">
        <f t="shared" si="366"/>
        <v>#REF!</v>
      </c>
      <c r="AG154" s="25" t="e">
        <f t="shared" si="366"/>
        <v>#REF!</v>
      </c>
      <c r="AH154" s="24" t="e">
        <f t="shared" si="366"/>
        <v>#REF!</v>
      </c>
      <c r="AI154" s="25" t="e">
        <f t="shared" si="366"/>
        <v>#REF!</v>
      </c>
      <c r="AJ154" s="24" t="e">
        <f t="shared" si="366"/>
        <v>#REF!</v>
      </c>
      <c r="AK154" s="27" t="e">
        <f t="shared" si="323"/>
        <v>#REF!</v>
      </c>
      <c r="AL154" s="26" t="e">
        <f t="shared" si="367"/>
        <v>#REF!</v>
      </c>
      <c r="AM154" s="25" t="e">
        <f t="shared" si="367"/>
        <v>#REF!</v>
      </c>
      <c r="AN154" s="24" t="e">
        <f t="shared" si="367"/>
        <v>#REF!</v>
      </c>
      <c r="AO154" s="25" t="e">
        <f t="shared" si="367"/>
        <v>#REF!</v>
      </c>
      <c r="AP154" s="24" t="e">
        <f t="shared" si="367"/>
        <v>#REF!</v>
      </c>
      <c r="AQ154" s="25" t="e">
        <f t="shared" si="367"/>
        <v>#REF!</v>
      </c>
      <c r="AR154" s="24" t="e">
        <f t="shared" si="367"/>
        <v>#REF!</v>
      </c>
      <c r="AS154" s="25" t="e">
        <f t="shared" si="367"/>
        <v>#REF!</v>
      </c>
      <c r="AT154" s="24" t="e">
        <f t="shared" si="367"/>
        <v>#REF!</v>
      </c>
      <c r="AU154" s="23" t="e">
        <f>SUM(AL154:AT154)</f>
        <v>#REF!</v>
      </c>
      <c r="BJ154" s="37" t="s">
        <v>1108</v>
      </c>
      <c r="BK154" s="36" t="s">
        <v>1903</v>
      </c>
      <c r="BL154" s="1" t="s">
        <v>1139</v>
      </c>
      <c r="BM154" s="36" t="s">
        <v>1943</v>
      </c>
      <c r="BN154" s="82" t="str">
        <f t="shared" si="363"/>
        <v>IMTFEED</v>
      </c>
      <c r="BO154" s="26">
        <f t="shared" si="364"/>
        <v>8.7932172212344923</v>
      </c>
      <c r="BP154" s="25">
        <f t="shared" si="364"/>
        <v>25.568566538748183</v>
      </c>
      <c r="BQ154" s="24">
        <f t="shared" si="364"/>
        <v>26.611017247072184</v>
      </c>
      <c r="BR154" s="25">
        <f t="shared" si="364"/>
        <v>18.024274730831454</v>
      </c>
      <c r="BS154" s="24">
        <f t="shared" si="364"/>
        <v>4.4363474069689737</v>
      </c>
      <c r="BT154" s="25">
        <f t="shared" si="364"/>
        <v>3.8669229649724115</v>
      </c>
      <c r="BU154" s="24">
        <f t="shared" si="364"/>
        <v>13.43369950596108</v>
      </c>
      <c r="BV154" s="25">
        <f t="shared" si="364"/>
        <v>0.36635506052560496</v>
      </c>
      <c r="BW154" s="32">
        <f t="shared" si="364"/>
        <v>0.22972130935211196</v>
      </c>
      <c r="BX154" s="26">
        <f t="shared" ref="BX154:CF154" si="369">BO154/BO159</f>
        <v>0.73803996577173003</v>
      </c>
      <c r="BY154" s="25">
        <f t="shared" si="369"/>
        <v>0.7351025950562039</v>
      </c>
      <c r="BZ154" s="24">
        <f t="shared" si="369"/>
        <v>0.37423112384374274</v>
      </c>
      <c r="CA154" s="25">
        <f t="shared" si="369"/>
        <v>0.38651826294976749</v>
      </c>
      <c r="CB154" s="24">
        <f t="shared" si="369"/>
        <v>0.39686435341424664</v>
      </c>
      <c r="CC154" s="25">
        <f t="shared" si="369"/>
        <v>0.39371680443126272</v>
      </c>
      <c r="CD154" s="24">
        <f t="shared" si="369"/>
        <v>0.40203782938138161</v>
      </c>
      <c r="CE154" s="25">
        <f t="shared" si="369"/>
        <v>0.11497492498273987</v>
      </c>
      <c r="CF154" s="32">
        <f t="shared" si="369"/>
        <v>8.5113459598103111E-2</v>
      </c>
      <c r="CS154" s="54" t="s">
        <v>1863</v>
      </c>
      <c r="CT154" s="39">
        <v>6.0879237432483579E-2</v>
      </c>
      <c r="CU154" s="40">
        <v>0.16758005837375106</v>
      </c>
      <c r="CV154" s="39">
        <v>0.13620464864357343</v>
      </c>
      <c r="CW154" s="40">
        <v>9.2254647162661255E-2</v>
      </c>
      <c r="CX154" s="39">
        <v>9.3253550079975378E-2</v>
      </c>
      <c r="CY154" s="40">
        <v>8.1284052236981083E-2</v>
      </c>
      <c r="CZ154" s="39">
        <v>0.28238098929551292</v>
      </c>
      <c r="DA154" s="40">
        <v>0.14041358351430774</v>
      </c>
      <c r="DB154" s="39">
        <v>8.8045712291926953E-2</v>
      </c>
      <c r="DC154" s="38">
        <v>1.1422964790311734</v>
      </c>
      <c r="DE154" s="37" t="s">
        <v>1624</v>
      </c>
      <c r="DF154" s="35" t="str">
        <f t="shared" si="327"/>
        <v>ICPST</v>
      </c>
      <c r="DG154" s="26">
        <f t="shared" si="358"/>
        <v>0</v>
      </c>
      <c r="DH154" s="25">
        <f t="shared" si="358"/>
        <v>2.6291038414464998</v>
      </c>
      <c r="DI154" s="24">
        <f t="shared" si="358"/>
        <v>7.0381457236429297</v>
      </c>
      <c r="DJ154" s="25">
        <f t="shared" si="358"/>
        <v>0</v>
      </c>
      <c r="DK154" s="24">
        <f t="shared" si="358"/>
        <v>6.7926709321640679</v>
      </c>
      <c r="DL154" s="25">
        <f t="shared" si="358"/>
        <v>5.1969209191993446</v>
      </c>
      <c r="DM154" s="24">
        <f t="shared" si="358"/>
        <v>8.2577195474762277</v>
      </c>
      <c r="DN154" s="25">
        <f t="shared" si="358"/>
        <v>0</v>
      </c>
      <c r="DO154" s="32">
        <f t="shared" si="358"/>
        <v>0.2021152255073618</v>
      </c>
      <c r="DP154" s="26">
        <f t="shared" si="328"/>
        <v>0</v>
      </c>
      <c r="DQ154" s="25">
        <f t="shared" si="329"/>
        <v>0.4539786272305108</v>
      </c>
      <c r="DR154" s="24">
        <f t="shared" si="330"/>
        <v>0.51151850816387479</v>
      </c>
      <c r="DS154" s="25">
        <f t="shared" si="331"/>
        <v>0</v>
      </c>
      <c r="DT154" s="24">
        <f t="shared" si="332"/>
        <v>0.38068456437917209</v>
      </c>
      <c r="DU154" s="25">
        <f t="shared" si="333"/>
        <v>0.23017035874222719</v>
      </c>
      <c r="DV154" s="24">
        <f t="shared" si="334"/>
        <v>0.159075231811489</v>
      </c>
      <c r="DW154" s="25">
        <f t="shared" si="335"/>
        <v>0</v>
      </c>
      <c r="DX154" s="32">
        <f t="shared" si="336"/>
        <v>0.63032325492179497</v>
      </c>
      <c r="DZ154" s="54" t="s">
        <v>1848</v>
      </c>
      <c r="EA154" s="39">
        <v>5.6286439211676725E-3</v>
      </c>
      <c r="EB154" s="40">
        <v>5.6286439211676734E-3</v>
      </c>
      <c r="EC154" s="39">
        <v>2.1698042671416599E-3</v>
      </c>
      <c r="ED154" s="40">
        <v>2.1698042671416604E-3</v>
      </c>
      <c r="EE154" s="39">
        <v>3.1358449884330191E-3</v>
      </c>
      <c r="EF154" s="40">
        <v>3.1358449884330191E-3</v>
      </c>
      <c r="EG154" s="39">
        <v>3.1358449884330195E-3</v>
      </c>
      <c r="EH154" s="40">
        <v>0</v>
      </c>
      <c r="EI154" s="66">
        <v>0</v>
      </c>
      <c r="EO154" s="83" t="s">
        <v>1164</v>
      </c>
      <c r="EP154" s="82" t="s">
        <v>439</v>
      </c>
      <c r="EQ154" s="81">
        <f t="shared" si="337"/>
        <v>1.2341345385391349</v>
      </c>
      <c r="ER154" s="80">
        <f>EQ154/SUM(EQ152:EQ160)</f>
        <v>6.0390540310161951E-3</v>
      </c>
      <c r="ET154" s="73" t="s">
        <v>519</v>
      </c>
      <c r="EU154" s="72">
        <v>8.1225507789481358E-2</v>
      </c>
      <c r="EW154" s="37" t="s">
        <v>1164</v>
      </c>
      <c r="EX154" s="36" t="s">
        <v>1936</v>
      </c>
      <c r="EY154" s="36" t="s">
        <v>1123</v>
      </c>
      <c r="EZ154" s="87" t="s">
        <v>1935</v>
      </c>
      <c r="FA154" s="36" t="str">
        <f t="shared" si="338"/>
        <v>IPLPRH</v>
      </c>
      <c r="FB154" s="1" t="s">
        <v>517</v>
      </c>
      <c r="FC154" s="26">
        <f t="shared" si="339"/>
        <v>89.386793276478571</v>
      </c>
      <c r="FD154" s="25">
        <f t="shared" si="340"/>
        <v>4.5630660368905662</v>
      </c>
      <c r="FE154" s="24">
        <f t="shared" si="341"/>
        <v>5.1048548332825149E-2</v>
      </c>
      <c r="FF154" s="36">
        <v>0</v>
      </c>
      <c r="FG154" s="86">
        <f t="shared" si="342"/>
        <v>0</v>
      </c>
    </row>
    <row r="155" spans="1:163">
      <c r="A155" s="37" t="s">
        <v>1931</v>
      </c>
      <c r="B155" s="36" t="s">
        <v>1107</v>
      </c>
      <c r="C155" s="1" t="s">
        <v>665</v>
      </c>
      <c r="D155" s="36" t="s">
        <v>665</v>
      </c>
      <c r="E155" s="36" t="s">
        <v>1942</v>
      </c>
      <c r="F155" s="1" t="e">
        <f t="shared" ca="1" si="232"/>
        <v>#NAME?</v>
      </c>
      <c r="G155" s="35" t="s">
        <v>1109</v>
      </c>
      <c r="H155" s="34">
        <f>1-I155</f>
        <v>0.31911030413073083</v>
      </c>
      <c r="I155" s="33">
        <v>0.68088969586926917</v>
      </c>
      <c r="J155" s="26">
        <v>0</v>
      </c>
      <c r="K155" s="25">
        <v>0</v>
      </c>
      <c r="L155" s="24"/>
      <c r="M155" s="25"/>
      <c r="N155" s="24"/>
      <c r="O155" s="25"/>
      <c r="P155" s="24"/>
      <c r="Q155" s="25"/>
      <c r="R155" s="32"/>
      <c r="S155" s="31" t="e">
        <v>#REF!</v>
      </c>
      <c r="T155" s="29" t="e">
        <f t="shared" si="359"/>
        <v>#REF!</v>
      </c>
      <c r="U155" s="30" t="e">
        <f t="shared" si="359"/>
        <v>#REF!</v>
      </c>
      <c r="V155" s="29" t="e">
        <f t="shared" si="359"/>
        <v>#REF!</v>
      </c>
      <c r="W155" s="30" t="e">
        <f t="shared" si="359"/>
        <v>#REF!</v>
      </c>
      <c r="X155" s="29" t="e">
        <f t="shared" si="359"/>
        <v>#REF!</v>
      </c>
      <c r="Y155" s="30" t="e">
        <f t="shared" si="359"/>
        <v>#REF!</v>
      </c>
      <c r="Z155" s="29" t="e">
        <f t="shared" si="359"/>
        <v>#REF!</v>
      </c>
      <c r="AA155" s="28" t="e">
        <f t="shared" si="359"/>
        <v>#REF!</v>
      </c>
      <c r="AB155" s="26" t="e">
        <f t="shared" si="366"/>
        <v>#REF!</v>
      </c>
      <c r="AC155" s="25" t="e">
        <f t="shared" si="366"/>
        <v>#REF!</v>
      </c>
      <c r="AD155" s="24" t="e">
        <f t="shared" si="366"/>
        <v>#REF!</v>
      </c>
      <c r="AE155" s="25" t="e">
        <f t="shared" si="366"/>
        <v>#REF!</v>
      </c>
      <c r="AF155" s="24" t="e">
        <f t="shared" si="366"/>
        <v>#REF!</v>
      </c>
      <c r="AG155" s="25" t="e">
        <f t="shared" si="366"/>
        <v>#REF!</v>
      </c>
      <c r="AH155" s="24" t="e">
        <f t="shared" si="366"/>
        <v>#REF!</v>
      </c>
      <c r="AI155" s="25" t="e">
        <f t="shared" si="366"/>
        <v>#REF!</v>
      </c>
      <c r="AJ155" s="24" t="e">
        <f t="shared" si="366"/>
        <v>#REF!</v>
      </c>
      <c r="AK155" s="27" t="e">
        <f t="shared" si="323"/>
        <v>#REF!</v>
      </c>
      <c r="AL155" s="26" t="e">
        <f t="shared" si="367"/>
        <v>#REF!</v>
      </c>
      <c r="AM155" s="25" t="e">
        <f t="shared" si="367"/>
        <v>#REF!</v>
      </c>
      <c r="AN155" s="24" t="e">
        <f t="shared" si="367"/>
        <v>#REF!</v>
      </c>
      <c r="AO155" s="25" t="e">
        <f t="shared" si="367"/>
        <v>#REF!</v>
      </c>
      <c r="AP155" s="24" t="e">
        <f t="shared" si="367"/>
        <v>#REF!</v>
      </c>
      <c r="AQ155" s="25" t="e">
        <f t="shared" si="367"/>
        <v>#REF!</v>
      </c>
      <c r="AR155" s="24" t="e">
        <f t="shared" si="367"/>
        <v>#REF!</v>
      </c>
      <c r="AS155" s="25" t="e">
        <f t="shared" si="367"/>
        <v>#REF!</v>
      </c>
      <c r="AT155" s="24" t="e">
        <f t="shared" si="367"/>
        <v>#REF!</v>
      </c>
      <c r="AU155" s="23" t="e">
        <f>SUM(AL155:AT155)</f>
        <v>#REF!</v>
      </c>
      <c r="BJ155" s="37" t="s">
        <v>1108</v>
      </c>
      <c r="BK155" s="36" t="s">
        <v>1903</v>
      </c>
      <c r="BL155" s="1" t="s">
        <v>1136</v>
      </c>
      <c r="BM155" s="36" t="s">
        <v>1941</v>
      </c>
      <c r="BN155" s="82" t="str">
        <f t="shared" si="363"/>
        <v>IMTMDR</v>
      </c>
      <c r="BO155" s="26">
        <f t="shared" si="364"/>
        <v>0.39706390268133412</v>
      </c>
      <c r="BP155" s="25">
        <f t="shared" si="364"/>
        <v>1.0929833354637812</v>
      </c>
      <c r="BQ155" s="24">
        <f t="shared" si="364"/>
        <v>3.2521395398132582</v>
      </c>
      <c r="BR155" s="25">
        <f t="shared" si="364"/>
        <v>2.2027514387877529</v>
      </c>
      <c r="BS155" s="24">
        <f t="shared" si="364"/>
        <v>1.0901330244879455</v>
      </c>
      <c r="BT155" s="25">
        <f t="shared" si="364"/>
        <v>0.95020971997037085</v>
      </c>
      <c r="BU155" s="24">
        <f t="shared" si="364"/>
        <v>3.3010308096004333</v>
      </c>
      <c r="BV155" s="25">
        <f t="shared" si="364"/>
        <v>0.44260193175672724</v>
      </c>
      <c r="BW155" s="32">
        <f t="shared" si="364"/>
        <v>0.27753157043622523</v>
      </c>
      <c r="BX155" s="26">
        <f t="shared" ref="BX155:CF155" si="370">BO155/BO159</f>
        <v>3.3326713280373142E-2</v>
      </c>
      <c r="BY155" s="25">
        <f t="shared" si="370"/>
        <v>3.1423540503727733E-2</v>
      </c>
      <c r="BZ155" s="24">
        <f t="shared" si="370"/>
        <v>4.5734885802416719E-2</v>
      </c>
      <c r="CA155" s="25">
        <f t="shared" si="370"/>
        <v>4.7236500361036625E-2</v>
      </c>
      <c r="CB155" s="24">
        <f t="shared" si="370"/>
        <v>9.7520527183986447E-2</v>
      </c>
      <c r="CC155" s="25">
        <f t="shared" si="370"/>
        <v>9.6747087509908153E-2</v>
      </c>
      <c r="CD155" s="24">
        <f t="shared" si="370"/>
        <v>9.8791793044344725E-2</v>
      </c>
      <c r="CE155" s="25">
        <f t="shared" si="370"/>
        <v>0.13890383779041271</v>
      </c>
      <c r="CF155" s="32">
        <f t="shared" si="370"/>
        <v>0.10282751815294142</v>
      </c>
      <c r="CS155" s="54" t="s">
        <v>1860</v>
      </c>
      <c r="CT155" s="39">
        <v>2.1069324105257521</v>
      </c>
      <c r="CU155" s="40">
        <v>5.7996760675103207</v>
      </c>
      <c r="CV155" s="39">
        <v>7.5944936447893205</v>
      </c>
      <c r="CW155" s="40">
        <v>5.1439311253799112</v>
      </c>
      <c r="CX155" s="39">
        <v>2.3308676866812816</v>
      </c>
      <c r="CY155" s="40">
        <v>2.0316907038842742</v>
      </c>
      <c r="CZ155" s="39">
        <v>7.0580982999309949</v>
      </c>
      <c r="DA155" s="40">
        <v>1.6198293674558293</v>
      </c>
      <c r="DB155" s="39">
        <v>1.0157067918895288</v>
      </c>
      <c r="DC155" s="38">
        <v>34.701226098047208</v>
      </c>
      <c r="DE155" s="37" t="s">
        <v>1620</v>
      </c>
      <c r="DF155" s="35" t="str">
        <f t="shared" si="327"/>
        <v>ICPST</v>
      </c>
      <c r="DG155" s="26">
        <f t="shared" si="358"/>
        <v>3.3102973654339132</v>
      </c>
      <c r="DH155" s="25">
        <f t="shared" si="358"/>
        <v>2.081416106598688</v>
      </c>
      <c r="DI155" s="24">
        <f t="shared" si="358"/>
        <v>1.3701612761968145</v>
      </c>
      <c r="DJ155" s="25">
        <f t="shared" si="358"/>
        <v>0</v>
      </c>
      <c r="DK155" s="24">
        <f t="shared" si="358"/>
        <v>6.3387893040239929</v>
      </c>
      <c r="DL155" s="25">
        <f t="shared" si="358"/>
        <v>11.477558883311074</v>
      </c>
      <c r="DM155" s="24">
        <f t="shared" si="358"/>
        <v>39.740241147334814</v>
      </c>
      <c r="DN155" s="25">
        <f t="shared" si="358"/>
        <v>0</v>
      </c>
      <c r="DO155" s="32">
        <f t="shared" si="358"/>
        <v>3.2085814744734258E-2</v>
      </c>
      <c r="DP155" s="26">
        <f t="shared" si="328"/>
        <v>0.99625016754888485</v>
      </c>
      <c r="DQ155" s="25">
        <f t="shared" si="329"/>
        <v>0.35940703895866843</v>
      </c>
      <c r="DR155" s="24">
        <f t="shared" si="330"/>
        <v>9.9580611067731653E-2</v>
      </c>
      <c r="DS155" s="25">
        <f t="shared" si="331"/>
        <v>0</v>
      </c>
      <c r="DT155" s="24">
        <f t="shared" si="332"/>
        <v>0.35524748202765499</v>
      </c>
      <c r="DU155" s="25">
        <f t="shared" si="333"/>
        <v>0.50833828082643795</v>
      </c>
      <c r="DV155" s="24">
        <f t="shared" si="334"/>
        <v>0.76554889475373744</v>
      </c>
      <c r="DW155" s="25">
        <f t="shared" si="335"/>
        <v>0</v>
      </c>
      <c r="DX155" s="32">
        <f t="shared" si="336"/>
        <v>0.10006388749758967</v>
      </c>
      <c r="DZ155" s="54" t="s">
        <v>1845</v>
      </c>
      <c r="EA155" s="39">
        <v>0.58174644115792862</v>
      </c>
      <c r="EB155" s="40">
        <v>0.58174644115792873</v>
      </c>
      <c r="EC155" s="39">
        <v>0.51579645730392887</v>
      </c>
      <c r="ED155" s="40">
        <v>0.51579645730392887</v>
      </c>
      <c r="EE155" s="39">
        <v>0.46995096812143189</v>
      </c>
      <c r="EF155" s="40">
        <v>0.46995096812143189</v>
      </c>
      <c r="EG155" s="39">
        <v>0.46995096812143183</v>
      </c>
      <c r="EH155" s="40">
        <v>0.62691680085880308</v>
      </c>
      <c r="EI155" s="66">
        <v>0.62691680085880297</v>
      </c>
      <c r="EO155" s="83" t="s">
        <v>1164</v>
      </c>
      <c r="EP155" s="82" t="s">
        <v>518</v>
      </c>
      <c r="EQ155" s="81">
        <f t="shared" si="337"/>
        <v>0.23632363503940876</v>
      </c>
      <c r="ER155" s="80">
        <f>EQ155/SUM(EQ152:EQ160)</f>
        <v>1.1564146016839519E-3</v>
      </c>
      <c r="ET155" s="73" t="s">
        <v>520</v>
      </c>
      <c r="EU155" s="72">
        <v>0.29057236282067894</v>
      </c>
      <c r="EW155" s="37" t="s">
        <v>1164</v>
      </c>
      <c r="EX155" s="36" t="s">
        <v>1936</v>
      </c>
      <c r="EY155" s="36" t="s">
        <v>1123</v>
      </c>
      <c r="EZ155" s="87" t="s">
        <v>1935</v>
      </c>
      <c r="FA155" s="36" t="str">
        <f t="shared" si="338"/>
        <v>IPLPRH</v>
      </c>
      <c r="FB155" s="1" t="s">
        <v>519</v>
      </c>
      <c r="FC155" s="26">
        <f t="shared" si="339"/>
        <v>52.733868481521391</v>
      </c>
      <c r="FD155" s="25">
        <f t="shared" si="340"/>
        <v>2.6495222149687159</v>
      </c>
      <c r="FE155" s="24">
        <f t="shared" si="341"/>
        <v>5.0243274223227941E-2</v>
      </c>
      <c r="FF155" s="36">
        <v>0</v>
      </c>
      <c r="FG155" s="86">
        <f t="shared" si="342"/>
        <v>0</v>
      </c>
    </row>
    <row r="156" spans="1:163">
      <c r="A156" s="37" t="s">
        <v>1931</v>
      </c>
      <c r="B156" s="36" t="s">
        <v>1107</v>
      </c>
      <c r="C156" s="1" t="s">
        <v>665</v>
      </c>
      <c r="D156" s="36" t="s">
        <v>665</v>
      </c>
      <c r="E156" s="36" t="s">
        <v>1940</v>
      </c>
      <c r="F156" s="1" t="e">
        <f t="shared" ca="1" si="232"/>
        <v>#NAME?</v>
      </c>
      <c r="G156" s="35" t="s">
        <v>1109</v>
      </c>
      <c r="H156" s="34">
        <f>1-I156</f>
        <v>0.6141288216087859</v>
      </c>
      <c r="I156" s="33">
        <v>0.38587117839121404</v>
      </c>
      <c r="J156" s="26">
        <v>0</v>
      </c>
      <c r="K156" s="25">
        <v>0</v>
      </c>
      <c r="L156" s="24"/>
      <c r="M156" s="25"/>
      <c r="N156" s="24"/>
      <c r="O156" s="25"/>
      <c r="P156" s="24"/>
      <c r="Q156" s="25"/>
      <c r="R156" s="32"/>
      <c r="S156" s="31" t="e">
        <v>#REF!</v>
      </c>
      <c r="T156" s="29" t="e">
        <f t="shared" si="359"/>
        <v>#REF!</v>
      </c>
      <c r="U156" s="30" t="e">
        <f t="shared" si="359"/>
        <v>#REF!</v>
      </c>
      <c r="V156" s="29" t="e">
        <f t="shared" si="359"/>
        <v>#REF!</v>
      </c>
      <c r="W156" s="30" t="e">
        <f t="shared" si="359"/>
        <v>#REF!</v>
      </c>
      <c r="X156" s="29" t="e">
        <f t="shared" si="359"/>
        <v>#REF!</v>
      </c>
      <c r="Y156" s="30" t="e">
        <f t="shared" si="359"/>
        <v>#REF!</v>
      </c>
      <c r="Z156" s="29" t="e">
        <f t="shared" si="359"/>
        <v>#REF!</v>
      </c>
      <c r="AA156" s="28" t="e">
        <f t="shared" si="359"/>
        <v>#REF!</v>
      </c>
      <c r="AB156" s="26" t="e">
        <f t="shared" si="366"/>
        <v>#REF!</v>
      </c>
      <c r="AC156" s="25" t="e">
        <f t="shared" si="366"/>
        <v>#REF!</v>
      </c>
      <c r="AD156" s="24" t="e">
        <f t="shared" si="366"/>
        <v>#REF!</v>
      </c>
      <c r="AE156" s="25" t="e">
        <f t="shared" si="366"/>
        <v>#REF!</v>
      </c>
      <c r="AF156" s="24" t="e">
        <f t="shared" si="366"/>
        <v>#REF!</v>
      </c>
      <c r="AG156" s="25" t="e">
        <f t="shared" si="366"/>
        <v>#REF!</v>
      </c>
      <c r="AH156" s="24" t="e">
        <f t="shared" si="366"/>
        <v>#REF!</v>
      </c>
      <c r="AI156" s="25" t="e">
        <f t="shared" si="366"/>
        <v>#REF!</v>
      </c>
      <c r="AJ156" s="24" t="e">
        <f t="shared" si="366"/>
        <v>#REF!</v>
      </c>
      <c r="AK156" s="27" t="e">
        <f t="shared" si="323"/>
        <v>#REF!</v>
      </c>
      <c r="AL156" s="26" t="e">
        <f t="shared" si="367"/>
        <v>#REF!</v>
      </c>
      <c r="AM156" s="25" t="e">
        <f t="shared" si="367"/>
        <v>#REF!</v>
      </c>
      <c r="AN156" s="24" t="e">
        <f t="shared" si="367"/>
        <v>#REF!</v>
      </c>
      <c r="AO156" s="25" t="e">
        <f t="shared" si="367"/>
        <v>#REF!</v>
      </c>
      <c r="AP156" s="24" t="e">
        <f t="shared" si="367"/>
        <v>#REF!</v>
      </c>
      <c r="AQ156" s="25" t="e">
        <f t="shared" si="367"/>
        <v>#REF!</v>
      </c>
      <c r="AR156" s="24" t="e">
        <f t="shared" si="367"/>
        <v>#REF!</v>
      </c>
      <c r="AS156" s="25" t="e">
        <f t="shared" si="367"/>
        <v>#REF!</v>
      </c>
      <c r="AT156" s="24" t="e">
        <f t="shared" si="367"/>
        <v>#REF!</v>
      </c>
      <c r="AU156" s="23" t="e">
        <f>SUM(AL156:AT156)</f>
        <v>#REF!</v>
      </c>
      <c r="BJ156" s="37" t="s">
        <v>1108</v>
      </c>
      <c r="BK156" s="36" t="s">
        <v>1903</v>
      </c>
      <c r="BL156" s="1" t="s">
        <v>1129</v>
      </c>
      <c r="BM156" s="36" t="s">
        <v>1910</v>
      </c>
      <c r="BN156" s="82" t="str">
        <f t="shared" si="363"/>
        <v>IMTOHT</v>
      </c>
      <c r="BO156" s="26">
        <f t="shared" si="364"/>
        <v>0.12810231757493065</v>
      </c>
      <c r="BP156" s="25">
        <f t="shared" si="364"/>
        <v>0.35262258139858416</v>
      </c>
      <c r="BQ156" s="24">
        <f t="shared" si="364"/>
        <v>4.5110456645555219</v>
      </c>
      <c r="BR156" s="25">
        <f t="shared" si="364"/>
        <v>3.0554384909964565</v>
      </c>
      <c r="BS156" s="24">
        <f t="shared" si="364"/>
        <v>0.27404767953867748</v>
      </c>
      <c r="BT156" s="25">
        <f t="shared" si="364"/>
        <v>0.23887247059164396</v>
      </c>
      <c r="BU156" s="24">
        <f t="shared" si="364"/>
        <v>0.82984352655640881</v>
      </c>
      <c r="BV156" s="25">
        <f t="shared" si="364"/>
        <v>5.1018845883649994E-2</v>
      </c>
      <c r="BW156" s="32">
        <f t="shared" si="364"/>
        <v>3.1991140128407078E-2</v>
      </c>
      <c r="BX156" s="26">
        <f t="shared" ref="BX156:CF156" si="371">BO156/BO159</f>
        <v>1.0751995282223661E-2</v>
      </c>
      <c r="BY156" s="25">
        <f t="shared" si="371"/>
        <v>1.0137986197571466E-2</v>
      </c>
      <c r="BZ156" s="24">
        <f t="shared" si="371"/>
        <v>6.3438901004161871E-2</v>
      </c>
      <c r="CA156" s="25">
        <f t="shared" si="371"/>
        <v>6.5521791901544696E-2</v>
      </c>
      <c r="CB156" s="24">
        <f t="shared" si="371"/>
        <v>2.4515608262315816E-2</v>
      </c>
      <c r="CC156" s="25">
        <f t="shared" si="371"/>
        <v>2.4321173873866873E-2</v>
      </c>
      <c r="CD156" s="24">
        <f t="shared" si="371"/>
        <v>2.4835190782322093E-2</v>
      </c>
      <c r="CE156" s="25">
        <f t="shared" si="371"/>
        <v>1.6011483422019364E-2</v>
      </c>
      <c r="CF156" s="32">
        <f t="shared" si="371"/>
        <v>1.1852956177621568E-2</v>
      </c>
      <c r="CS156" s="54" t="s">
        <v>1857</v>
      </c>
      <c r="CT156" s="39">
        <v>1.2392504969211955</v>
      </c>
      <c r="CU156" s="40">
        <v>3.4112396832182506</v>
      </c>
      <c r="CV156" s="39">
        <v>2.9706059833685186</v>
      </c>
      <c r="CW156" s="40">
        <v>2.0120620667808882</v>
      </c>
      <c r="CX156" s="39">
        <v>0</v>
      </c>
      <c r="CY156" s="40">
        <v>0</v>
      </c>
      <c r="CZ156" s="39">
        <v>0</v>
      </c>
      <c r="DA156" s="40">
        <v>0.47637369346040709</v>
      </c>
      <c r="DB156" s="39">
        <v>0.29870800322950075</v>
      </c>
      <c r="DC156" s="38">
        <v>10.408239926978762</v>
      </c>
      <c r="DE156" s="37" t="s">
        <v>1616</v>
      </c>
      <c r="DF156" s="35" t="str">
        <f t="shared" si="327"/>
        <v>ICPST</v>
      </c>
      <c r="DG156" s="26">
        <f t="shared" si="358"/>
        <v>0</v>
      </c>
      <c r="DH156" s="25">
        <f t="shared" si="358"/>
        <v>0</v>
      </c>
      <c r="DI156" s="24">
        <f t="shared" si="358"/>
        <v>0</v>
      </c>
      <c r="DJ156" s="25">
        <f t="shared" si="358"/>
        <v>0</v>
      </c>
      <c r="DK156" s="24">
        <f t="shared" si="358"/>
        <v>0</v>
      </c>
      <c r="DL156" s="25">
        <f t="shared" si="358"/>
        <v>0</v>
      </c>
      <c r="DM156" s="24">
        <f t="shared" si="358"/>
        <v>0</v>
      </c>
      <c r="DN156" s="25">
        <f t="shared" si="358"/>
        <v>0</v>
      </c>
      <c r="DO156" s="32">
        <f t="shared" si="358"/>
        <v>0</v>
      </c>
      <c r="DP156" s="26">
        <f t="shared" si="328"/>
        <v>0</v>
      </c>
      <c r="DQ156" s="25">
        <f t="shared" si="329"/>
        <v>0</v>
      </c>
      <c r="DR156" s="24">
        <f t="shared" si="330"/>
        <v>0</v>
      </c>
      <c r="DS156" s="25">
        <f t="shared" si="331"/>
        <v>0</v>
      </c>
      <c r="DT156" s="24">
        <f t="shared" si="332"/>
        <v>0</v>
      </c>
      <c r="DU156" s="25">
        <f t="shared" si="333"/>
        <v>0</v>
      </c>
      <c r="DV156" s="24">
        <f t="shared" si="334"/>
        <v>0</v>
      </c>
      <c r="DW156" s="25">
        <f t="shared" si="335"/>
        <v>0</v>
      </c>
      <c r="DX156" s="32">
        <f t="shared" si="336"/>
        <v>0</v>
      </c>
      <c r="DZ156" s="54" t="s">
        <v>1739</v>
      </c>
      <c r="EA156" s="39">
        <v>0.47794476813161613</v>
      </c>
      <c r="EB156" s="40">
        <v>0.1552838562959255</v>
      </c>
      <c r="EC156" s="39">
        <v>0.11526672841362558</v>
      </c>
      <c r="ED156" s="40">
        <v>0.11526672841362559</v>
      </c>
      <c r="EE156" s="39">
        <v>0</v>
      </c>
      <c r="EF156" s="40">
        <v>0</v>
      </c>
      <c r="EG156" s="39">
        <v>0</v>
      </c>
      <c r="EH156" s="40">
        <v>0</v>
      </c>
      <c r="EI156" s="66">
        <v>0</v>
      </c>
      <c r="EO156" s="83" t="s">
        <v>1164</v>
      </c>
      <c r="EP156" s="82" t="s">
        <v>517</v>
      </c>
      <c r="EQ156" s="81">
        <f t="shared" si="337"/>
        <v>89.386793276478571</v>
      </c>
      <c r="ER156" s="80">
        <f>EQ156/SUM(EQ152:EQ160)</f>
        <v>0.43740099429914109</v>
      </c>
      <c r="ET156" s="73" t="s">
        <v>521</v>
      </c>
      <c r="EU156" s="72">
        <v>0.10225676728612512</v>
      </c>
      <c r="EW156" s="37" t="s">
        <v>1164</v>
      </c>
      <c r="EX156" s="36" t="s">
        <v>1936</v>
      </c>
      <c r="EY156" s="36" t="s">
        <v>1123</v>
      </c>
      <c r="EZ156" s="87" t="s">
        <v>1935</v>
      </c>
      <c r="FA156" s="36" t="str">
        <f t="shared" si="338"/>
        <v>IPLPRH</v>
      </c>
      <c r="FB156" s="1" t="s">
        <v>520</v>
      </c>
      <c r="FC156" s="26">
        <f t="shared" si="339"/>
        <v>38.200371737968986</v>
      </c>
      <c r="FD156" s="25">
        <f t="shared" si="340"/>
        <v>1.9135438219218501</v>
      </c>
      <c r="FE156" s="24">
        <f t="shared" si="341"/>
        <v>5.0092282741319424E-2</v>
      </c>
      <c r="FF156" s="36">
        <v>0</v>
      </c>
      <c r="FG156" s="86">
        <f t="shared" si="342"/>
        <v>0</v>
      </c>
    </row>
    <row r="157" spans="1:163" ht="15.75" thickBot="1">
      <c r="A157" s="37" t="s">
        <v>1931</v>
      </c>
      <c r="B157" s="36" t="s">
        <v>1107</v>
      </c>
      <c r="C157" s="1" t="s">
        <v>1111</v>
      </c>
      <c r="D157" s="36" t="s">
        <v>1111</v>
      </c>
      <c r="E157" s="36" t="s">
        <v>1939</v>
      </c>
      <c r="F157" s="1" t="e">
        <f t="shared" ca="1" si="232"/>
        <v>#NAME?</v>
      </c>
      <c r="G157" s="35" t="s">
        <v>1104</v>
      </c>
      <c r="H157" s="43">
        <v>1</v>
      </c>
      <c r="I157" s="42">
        <v>0</v>
      </c>
      <c r="J157" s="26">
        <v>2.4200577480000001</v>
      </c>
      <c r="K157" s="25">
        <v>0.73010219999999992</v>
      </c>
      <c r="L157" s="24"/>
      <c r="M157" s="25"/>
      <c r="N157" s="24"/>
      <c r="O157" s="25"/>
      <c r="P157" s="24"/>
      <c r="Q157" s="25"/>
      <c r="R157" s="32"/>
      <c r="S157" s="31" t="e">
        <v>#REF!</v>
      </c>
      <c r="T157" s="29" t="e">
        <f t="shared" si="359"/>
        <v>#REF!</v>
      </c>
      <c r="U157" s="30" t="e">
        <f t="shared" si="359"/>
        <v>#REF!</v>
      </c>
      <c r="V157" s="29" t="e">
        <f t="shared" si="359"/>
        <v>#REF!</v>
      </c>
      <c r="W157" s="30" t="e">
        <f t="shared" si="359"/>
        <v>#REF!</v>
      </c>
      <c r="X157" s="29" t="e">
        <f t="shared" si="359"/>
        <v>#REF!</v>
      </c>
      <c r="Y157" s="30" t="e">
        <f t="shared" si="359"/>
        <v>#REF!</v>
      </c>
      <c r="Z157" s="29" t="e">
        <f t="shared" si="359"/>
        <v>#REF!</v>
      </c>
      <c r="AA157" s="28" t="e">
        <f t="shared" si="359"/>
        <v>#REF!</v>
      </c>
      <c r="AB157" s="26" t="e">
        <f t="shared" ref="AB157:AJ157" si="372">J157*$H157*S157</f>
        <v>#REF!</v>
      </c>
      <c r="AC157" s="25" t="e">
        <f t="shared" si="372"/>
        <v>#REF!</v>
      </c>
      <c r="AD157" s="24" t="e">
        <f t="shared" si="372"/>
        <v>#REF!</v>
      </c>
      <c r="AE157" s="25" t="e">
        <f t="shared" si="372"/>
        <v>#REF!</v>
      </c>
      <c r="AF157" s="24" t="e">
        <f t="shared" si="372"/>
        <v>#REF!</v>
      </c>
      <c r="AG157" s="25" t="e">
        <f t="shared" si="372"/>
        <v>#REF!</v>
      </c>
      <c r="AH157" s="24" t="e">
        <f t="shared" si="372"/>
        <v>#REF!</v>
      </c>
      <c r="AI157" s="25" t="e">
        <f t="shared" si="372"/>
        <v>#REF!</v>
      </c>
      <c r="AJ157" s="24" t="e">
        <f t="shared" si="372"/>
        <v>#REF!</v>
      </c>
      <c r="AK157" s="27" t="e">
        <f t="shared" si="323"/>
        <v>#REF!</v>
      </c>
      <c r="AL157" s="41">
        <v>0</v>
      </c>
      <c r="AM157" s="40">
        <v>0</v>
      </c>
      <c r="AN157" s="39">
        <v>0</v>
      </c>
      <c r="AO157" s="40">
        <v>0</v>
      </c>
      <c r="AP157" s="39">
        <v>0</v>
      </c>
      <c r="AQ157" s="40">
        <v>0</v>
      </c>
      <c r="AR157" s="39">
        <v>0</v>
      </c>
      <c r="AS157" s="40">
        <v>0</v>
      </c>
      <c r="AT157" s="39">
        <v>0</v>
      </c>
      <c r="AU157" s="38">
        <v>0</v>
      </c>
      <c r="BJ157" s="37" t="s">
        <v>1108</v>
      </c>
      <c r="BK157" s="36" t="s">
        <v>1903</v>
      </c>
      <c r="BL157" s="1" t="s">
        <v>1123</v>
      </c>
      <c r="BM157" s="36" t="s">
        <v>1935</v>
      </c>
      <c r="BN157" s="82" t="str">
        <f t="shared" si="363"/>
        <v>IMTPRH</v>
      </c>
      <c r="BO157" s="26">
        <f t="shared" si="364"/>
        <v>2.3727279880345469</v>
      </c>
      <c r="BP157" s="25">
        <f t="shared" si="364"/>
        <v>6.5313218678343938</v>
      </c>
      <c r="BQ157" s="24">
        <f t="shared" si="364"/>
        <v>31.805011263527625</v>
      </c>
      <c r="BR157" s="25">
        <f t="shared" si="364"/>
        <v>21.542290379526275</v>
      </c>
      <c r="BS157" s="24">
        <f t="shared" si="364"/>
        <v>4.6740960341027566</v>
      </c>
      <c r="BT157" s="25">
        <f t="shared" si="364"/>
        <v>4.0741555240614709</v>
      </c>
      <c r="BU157" s="24">
        <f t="shared" si="364"/>
        <v>14.153625905289703</v>
      </c>
      <c r="BV157" s="25">
        <f t="shared" si="364"/>
        <v>2.0521737705701684</v>
      </c>
      <c r="BW157" s="32">
        <f t="shared" si="364"/>
        <v>1.2868064246665185</v>
      </c>
      <c r="BX157" s="26">
        <f t="shared" ref="BX157:CF157" si="373">BO157/BO159</f>
        <v>0.19914987188600283</v>
      </c>
      <c r="BY157" s="25">
        <f t="shared" si="373"/>
        <v>0.18777711479900031</v>
      </c>
      <c r="BZ157" s="24">
        <f t="shared" si="373"/>
        <v>0.44727433748600415</v>
      </c>
      <c r="CA157" s="25">
        <f t="shared" si="373"/>
        <v>0.46195970610740267</v>
      </c>
      <c r="CB157" s="24">
        <f t="shared" si="373"/>
        <v>0.41813274078949025</v>
      </c>
      <c r="CC157" s="25">
        <f t="shared" si="373"/>
        <v>0.41481651127252361</v>
      </c>
      <c r="CD157" s="24">
        <f t="shared" si="373"/>
        <v>0.42358346889579812</v>
      </c>
      <c r="CE157" s="25">
        <f t="shared" si="373"/>
        <v>0.64404330865346626</v>
      </c>
      <c r="CF157" s="32">
        <f t="shared" si="373"/>
        <v>0.47677138418428705</v>
      </c>
      <c r="CS157" s="53" t="s">
        <v>1855</v>
      </c>
      <c r="CT157" s="39">
        <v>0.16073509659234689</v>
      </c>
      <c r="CU157" s="40">
        <v>0.44244964302531908</v>
      </c>
      <c r="CV157" s="39">
        <v>0.25384333598227571</v>
      </c>
      <c r="CW157" s="40">
        <v>0.1719341272772533</v>
      </c>
      <c r="CX157" s="39">
        <v>8.6897886673591412E-2</v>
      </c>
      <c r="CY157" s="40">
        <v>7.5744165810328931E-2</v>
      </c>
      <c r="CZ157" s="39">
        <v>0.26313541077560865</v>
      </c>
      <c r="DA157" s="40">
        <v>0</v>
      </c>
      <c r="DB157" s="39">
        <v>0</v>
      </c>
      <c r="DC157" s="38">
        <v>1.454739666136724</v>
      </c>
      <c r="DE157" s="37" t="s">
        <v>1614</v>
      </c>
      <c r="DF157" s="35" t="str">
        <f t="shared" si="327"/>
        <v>ICPST</v>
      </c>
      <c r="DG157" s="26">
        <f t="shared" si="358"/>
        <v>0</v>
      </c>
      <c r="DH157" s="25">
        <f t="shared" si="358"/>
        <v>0</v>
      </c>
      <c r="DI157" s="24">
        <f t="shared" si="358"/>
        <v>2.4381918998455934</v>
      </c>
      <c r="DJ157" s="25">
        <f t="shared" si="358"/>
        <v>0</v>
      </c>
      <c r="DK157" s="24">
        <f t="shared" si="358"/>
        <v>1.8014734413548208</v>
      </c>
      <c r="DL157" s="25">
        <f t="shared" si="358"/>
        <v>3.6554102741929579</v>
      </c>
      <c r="DM157" s="24">
        <f t="shared" si="358"/>
        <v>0</v>
      </c>
      <c r="DN157" s="25">
        <f t="shared" si="358"/>
        <v>0</v>
      </c>
      <c r="DO157" s="32">
        <f t="shared" si="358"/>
        <v>0</v>
      </c>
      <c r="DP157" s="26">
        <f t="shared" si="328"/>
        <v>0</v>
      </c>
      <c r="DQ157" s="25">
        <f t="shared" si="329"/>
        <v>0</v>
      </c>
      <c r="DR157" s="24">
        <f t="shared" si="330"/>
        <v>0.17720296399045338</v>
      </c>
      <c r="DS157" s="25">
        <f t="shared" si="331"/>
        <v>0</v>
      </c>
      <c r="DT157" s="24">
        <f t="shared" si="332"/>
        <v>0.10096074712165132</v>
      </c>
      <c r="DU157" s="25">
        <f t="shared" si="333"/>
        <v>0.16189722861717898</v>
      </c>
      <c r="DV157" s="24">
        <f t="shared" si="334"/>
        <v>0</v>
      </c>
      <c r="DW157" s="25">
        <f t="shared" si="335"/>
        <v>0</v>
      </c>
      <c r="DX157" s="32">
        <f t="shared" si="336"/>
        <v>0</v>
      </c>
      <c r="DZ157" s="53" t="s">
        <v>1748</v>
      </c>
      <c r="EA157" s="39">
        <v>0.50893671755404779</v>
      </c>
      <c r="EB157" s="40">
        <v>0.16535311479886236</v>
      </c>
      <c r="EC157" s="39">
        <v>0.68333146985981752</v>
      </c>
      <c r="ED157" s="40">
        <v>0.68333146985981752</v>
      </c>
      <c r="EE157" s="39">
        <v>0</v>
      </c>
      <c r="EF157" s="40">
        <v>0</v>
      </c>
      <c r="EG157" s="39">
        <v>0</v>
      </c>
      <c r="EH157" s="40">
        <v>0</v>
      </c>
      <c r="EI157" s="66">
        <v>0</v>
      </c>
      <c r="EO157" s="83" t="s">
        <v>1164</v>
      </c>
      <c r="EP157" s="82" t="s">
        <v>519</v>
      </c>
      <c r="EQ157" s="81">
        <f t="shared" si="337"/>
        <v>52.733868481521391</v>
      </c>
      <c r="ER157" s="80">
        <f>EQ157/SUM(EQ152:EQ160)</f>
        <v>0.25804535168538356</v>
      </c>
      <c r="ET157" s="73" t="s">
        <v>522</v>
      </c>
      <c r="EU157" s="72">
        <v>6.4119650585367297E-2</v>
      </c>
      <c r="EW157" s="37" t="s">
        <v>1164</v>
      </c>
      <c r="EX157" s="36" t="s">
        <v>1936</v>
      </c>
      <c r="EY157" s="36" t="s">
        <v>1123</v>
      </c>
      <c r="EZ157" s="87" t="s">
        <v>1935</v>
      </c>
      <c r="FA157" s="36" t="str">
        <f t="shared" si="338"/>
        <v>IPLPRH</v>
      </c>
      <c r="FB157" s="1" t="s">
        <v>521</v>
      </c>
      <c r="FC157" s="26">
        <f t="shared" si="339"/>
        <v>0.74672865094505603</v>
      </c>
      <c r="FD157" s="25">
        <f t="shared" si="340"/>
        <v>5.0495885514788057E-2</v>
      </c>
      <c r="FE157" s="24">
        <f t="shared" si="341"/>
        <v>6.7622804416143295E-2</v>
      </c>
      <c r="FF157" s="36">
        <v>0</v>
      </c>
      <c r="FG157" s="86">
        <f t="shared" si="342"/>
        <v>0</v>
      </c>
    </row>
    <row r="158" spans="1:163">
      <c r="A158" s="37" t="s">
        <v>1931</v>
      </c>
      <c r="B158" s="36" t="s">
        <v>1107</v>
      </c>
      <c r="C158" s="1" t="s">
        <v>1111</v>
      </c>
      <c r="D158" s="36" t="s">
        <v>1111</v>
      </c>
      <c r="E158" s="36" t="s">
        <v>1938</v>
      </c>
      <c r="F158" s="1" t="e">
        <f t="shared" ca="1" si="232"/>
        <v>#NAME?</v>
      </c>
      <c r="G158" s="35" t="s">
        <v>1109</v>
      </c>
      <c r="H158" s="34">
        <f>1-I158</f>
        <v>0.91317837324206397</v>
      </c>
      <c r="I158" s="33">
        <v>8.6821626757936074E-2</v>
      </c>
      <c r="J158" s="26" t="e">
        <v>#REF!</v>
      </c>
      <c r="K158" s="25" t="e">
        <v>#REF!</v>
      </c>
      <c r="L158" s="24"/>
      <c r="M158" s="25"/>
      <c r="N158" s="24"/>
      <c r="O158" s="25"/>
      <c r="P158" s="24"/>
      <c r="Q158" s="25"/>
      <c r="R158" s="32"/>
      <c r="S158" s="31" t="e">
        <v>#REF!</v>
      </c>
      <c r="T158" s="29" t="e">
        <f t="shared" si="359"/>
        <v>#REF!</v>
      </c>
      <c r="U158" s="30" t="e">
        <f t="shared" si="359"/>
        <v>#REF!</v>
      </c>
      <c r="V158" s="29" t="e">
        <f t="shared" si="359"/>
        <v>#REF!</v>
      </c>
      <c r="W158" s="30" t="e">
        <f t="shared" si="359"/>
        <v>#REF!</v>
      </c>
      <c r="X158" s="29" t="e">
        <f t="shared" si="359"/>
        <v>#REF!</v>
      </c>
      <c r="Y158" s="30" t="e">
        <f t="shared" si="359"/>
        <v>#REF!</v>
      </c>
      <c r="Z158" s="29" t="e">
        <f t="shared" si="359"/>
        <v>#REF!</v>
      </c>
      <c r="AA158" s="28" t="e">
        <f t="shared" si="359"/>
        <v>#REF!</v>
      </c>
      <c r="AB158" s="26" t="e">
        <f t="shared" ref="AB158:AJ159" si="374">J158*31.536*$H158*S158</f>
        <v>#REF!</v>
      </c>
      <c r="AC158" s="25" t="e">
        <f t="shared" si="374"/>
        <v>#REF!</v>
      </c>
      <c r="AD158" s="24" t="e">
        <f t="shared" si="374"/>
        <v>#REF!</v>
      </c>
      <c r="AE158" s="25" t="e">
        <f t="shared" si="374"/>
        <v>#REF!</v>
      </c>
      <c r="AF158" s="24" t="e">
        <f t="shared" si="374"/>
        <v>#REF!</v>
      </c>
      <c r="AG158" s="25" t="e">
        <f t="shared" si="374"/>
        <v>#REF!</v>
      </c>
      <c r="AH158" s="24" t="e">
        <f t="shared" si="374"/>
        <v>#REF!</v>
      </c>
      <c r="AI158" s="25" t="e">
        <f t="shared" si="374"/>
        <v>#REF!</v>
      </c>
      <c r="AJ158" s="24" t="e">
        <f t="shared" si="374"/>
        <v>#REF!</v>
      </c>
      <c r="AK158" s="27" t="e">
        <f t="shared" si="323"/>
        <v>#REF!</v>
      </c>
      <c r="AL158" s="26" t="e">
        <f t="shared" ref="AL158:AT159" si="375">J158*31.536*$I158*S158</f>
        <v>#REF!</v>
      </c>
      <c r="AM158" s="25" t="e">
        <f t="shared" si="375"/>
        <v>#REF!</v>
      </c>
      <c r="AN158" s="24" t="e">
        <f t="shared" si="375"/>
        <v>#REF!</v>
      </c>
      <c r="AO158" s="25" t="e">
        <f t="shared" si="375"/>
        <v>#REF!</v>
      </c>
      <c r="AP158" s="24" t="e">
        <f t="shared" si="375"/>
        <v>#REF!</v>
      </c>
      <c r="AQ158" s="25" t="e">
        <f t="shared" si="375"/>
        <v>#REF!</v>
      </c>
      <c r="AR158" s="24" t="e">
        <f t="shared" si="375"/>
        <v>#REF!</v>
      </c>
      <c r="AS158" s="25" t="e">
        <f t="shared" si="375"/>
        <v>#REF!</v>
      </c>
      <c r="AT158" s="24" t="e">
        <f t="shared" si="375"/>
        <v>#REF!</v>
      </c>
      <c r="AU158" s="23" t="e">
        <f>SUM(AL158:AT158)</f>
        <v>#REF!</v>
      </c>
      <c r="BJ158" s="37" t="s">
        <v>1108</v>
      </c>
      <c r="BK158" s="36" t="s">
        <v>1903</v>
      </c>
      <c r="BL158" s="1" t="s">
        <v>1107</v>
      </c>
      <c r="BM158" s="36" t="s">
        <v>1937</v>
      </c>
      <c r="BN158" s="82" t="str">
        <f t="shared" si="363"/>
        <v>IMTSTM</v>
      </c>
      <c r="BO158" s="26">
        <f t="shared" si="364"/>
        <v>1.5421635685844439E-3</v>
      </c>
      <c r="BP158" s="25">
        <f t="shared" si="364"/>
        <v>0.62674399099215106</v>
      </c>
      <c r="BQ158" s="24">
        <f t="shared" si="364"/>
        <v>2.2604886385898113</v>
      </c>
      <c r="BR158" s="25">
        <f t="shared" si="364"/>
        <v>0</v>
      </c>
      <c r="BS158" s="24">
        <f t="shared" si="364"/>
        <v>0.14384639171971142</v>
      </c>
      <c r="BT158" s="25">
        <f t="shared" si="364"/>
        <v>0.20327851221951532</v>
      </c>
      <c r="BU158" s="24">
        <f t="shared" si="364"/>
        <v>0</v>
      </c>
      <c r="BV158" s="25">
        <f t="shared" si="364"/>
        <v>5.7856191939400517E-2</v>
      </c>
      <c r="BW158" s="32">
        <f t="shared" si="364"/>
        <v>0.73726717283043774</v>
      </c>
      <c r="BX158" s="26">
        <f t="shared" ref="BX158:CF158" si="376">BO158/BO159</f>
        <v>1.2943821569924569E-4</v>
      </c>
      <c r="BY158" s="25">
        <f t="shared" si="376"/>
        <v>1.8019044341653141E-2</v>
      </c>
      <c r="BZ158" s="24">
        <f t="shared" si="376"/>
        <v>3.1789284708706518E-2</v>
      </c>
      <c r="CA158" s="25">
        <f t="shared" si="376"/>
        <v>0</v>
      </c>
      <c r="CB158" s="24">
        <f t="shared" si="376"/>
        <v>1.2868132272765212E-2</v>
      </c>
      <c r="CC158" s="25">
        <f t="shared" si="376"/>
        <v>2.0697119380339132E-2</v>
      </c>
      <c r="CD158" s="24">
        <f t="shared" si="376"/>
        <v>0</v>
      </c>
      <c r="CE158" s="25">
        <f t="shared" si="376"/>
        <v>1.8157279766999854E-2</v>
      </c>
      <c r="CF158" s="32">
        <f t="shared" si="376"/>
        <v>0.27316298999291877</v>
      </c>
      <c r="CS158" s="67" t="s">
        <v>1760</v>
      </c>
      <c r="CT158" s="39">
        <v>0</v>
      </c>
      <c r="CU158" s="40">
        <v>0</v>
      </c>
      <c r="CV158" s="39">
        <v>4.0226956024782021</v>
      </c>
      <c r="CW158" s="40">
        <v>2.7246673820991196</v>
      </c>
      <c r="CX158" s="39">
        <v>4.9575045286959503</v>
      </c>
      <c r="CY158" s="40">
        <v>4.3211873084724752</v>
      </c>
      <c r="CZ158" s="39">
        <v>15.011814907309937</v>
      </c>
      <c r="DA158" s="40">
        <v>0</v>
      </c>
      <c r="DB158" s="39">
        <v>0</v>
      </c>
      <c r="DC158" s="38">
        <v>31.037869729055682</v>
      </c>
      <c r="DE158" s="37" t="s">
        <v>1586</v>
      </c>
      <c r="DF158" s="35" t="str">
        <f t="shared" si="327"/>
        <v>IMAST</v>
      </c>
      <c r="DG158" s="26">
        <f t="shared" ref="DG158:DO167" si="377">GETPIVOTDATA("Sum of "&amp;DG$1&amp;" (Out)",$CS$6,"Constraint Identifier",$DE158)</f>
        <v>0</v>
      </c>
      <c r="DH158" s="25">
        <f t="shared" si="377"/>
        <v>2.9466434176386258</v>
      </c>
      <c r="DI158" s="24">
        <f t="shared" si="377"/>
        <v>0</v>
      </c>
      <c r="DJ158" s="25">
        <f t="shared" si="377"/>
        <v>0</v>
      </c>
      <c r="DK158" s="24">
        <f t="shared" si="377"/>
        <v>0</v>
      </c>
      <c r="DL158" s="25">
        <f t="shared" si="377"/>
        <v>4.1200271499421494E-2</v>
      </c>
      <c r="DM158" s="24">
        <f t="shared" si="377"/>
        <v>0</v>
      </c>
      <c r="DN158" s="25">
        <f t="shared" si="377"/>
        <v>0</v>
      </c>
      <c r="DO158" s="32">
        <f t="shared" si="377"/>
        <v>0</v>
      </c>
      <c r="DP158" s="26">
        <f t="shared" si="328"/>
        <v>0</v>
      </c>
      <c r="DQ158" s="25">
        <f t="shared" si="329"/>
        <v>0.5024802737623747</v>
      </c>
      <c r="DR158" s="24">
        <f t="shared" si="330"/>
        <v>0</v>
      </c>
      <c r="DS158" s="25">
        <f t="shared" si="331"/>
        <v>0</v>
      </c>
      <c r="DT158" s="24">
        <f t="shared" si="332"/>
        <v>0</v>
      </c>
      <c r="DU158" s="25">
        <f t="shared" si="333"/>
        <v>1</v>
      </c>
      <c r="DV158" s="24">
        <f t="shared" si="334"/>
        <v>0</v>
      </c>
      <c r="DW158" s="25">
        <f t="shared" si="335"/>
        <v>0</v>
      </c>
      <c r="DX158" s="32">
        <f t="shared" si="336"/>
        <v>0</v>
      </c>
      <c r="DZ158" s="67" t="s">
        <v>1745</v>
      </c>
      <c r="EA158" s="39">
        <v>1.3118514314336117E-2</v>
      </c>
      <c r="EB158" s="40">
        <v>4.2621943526379132E-3</v>
      </c>
      <c r="EC158" s="39">
        <v>3.5227537568422239E-3</v>
      </c>
      <c r="ED158" s="40">
        <v>3.5227537568422243E-3</v>
      </c>
      <c r="EE158" s="39">
        <v>0</v>
      </c>
      <c r="EF158" s="40">
        <v>0</v>
      </c>
      <c r="EG158" s="39">
        <v>0</v>
      </c>
      <c r="EH158" s="40">
        <v>0</v>
      </c>
      <c r="EI158" s="66">
        <v>0</v>
      </c>
      <c r="EO158" s="83" t="s">
        <v>1164</v>
      </c>
      <c r="EP158" s="82" t="s">
        <v>520</v>
      </c>
      <c r="EQ158" s="81">
        <f t="shared" si="337"/>
        <v>38.200371737968986</v>
      </c>
      <c r="ER158" s="80">
        <f>EQ158/SUM(EQ152:EQ160)</f>
        <v>0.18692784435283297</v>
      </c>
      <c r="ET158" s="74" t="s">
        <v>1201</v>
      </c>
      <c r="EU158" s="70">
        <v>1</v>
      </c>
      <c r="EW158" s="22" t="s">
        <v>1164</v>
      </c>
      <c r="EX158" s="20" t="s">
        <v>1936</v>
      </c>
      <c r="EY158" s="20" t="s">
        <v>1123</v>
      </c>
      <c r="EZ158" s="85" t="s">
        <v>1935</v>
      </c>
      <c r="FA158" s="20" t="str">
        <f t="shared" si="338"/>
        <v>IPLPRH</v>
      </c>
      <c r="FB158" s="78" t="s">
        <v>522</v>
      </c>
      <c r="FC158" s="11">
        <f t="shared" si="339"/>
        <v>8.353314580454235</v>
      </c>
      <c r="FD158" s="10">
        <f t="shared" si="340"/>
        <v>0.39134311273960742</v>
      </c>
      <c r="FE158" s="9">
        <f t="shared" si="341"/>
        <v>4.684884173466948E-2</v>
      </c>
      <c r="FF158" s="20">
        <v>0</v>
      </c>
      <c r="FG158" s="84">
        <f t="shared" si="342"/>
        <v>0</v>
      </c>
    </row>
    <row r="159" spans="1:163">
      <c r="A159" s="37" t="s">
        <v>1931</v>
      </c>
      <c r="B159" s="36" t="s">
        <v>1107</v>
      </c>
      <c r="C159" s="1" t="s">
        <v>1111</v>
      </c>
      <c r="D159" s="36" t="s">
        <v>1111</v>
      </c>
      <c r="E159" s="36" t="s">
        <v>1934</v>
      </c>
      <c r="F159" s="1" t="e">
        <f t="shared" ca="1" si="232"/>
        <v>#NAME?</v>
      </c>
      <c r="G159" s="35" t="s">
        <v>1109</v>
      </c>
      <c r="H159" s="34">
        <f>1-I159</f>
        <v>0.91317837324206397</v>
      </c>
      <c r="I159" s="33">
        <v>8.6821626757936074E-2</v>
      </c>
      <c r="J159" s="26" t="e">
        <v>#REF!</v>
      </c>
      <c r="K159" s="25" t="e">
        <v>#REF!</v>
      </c>
      <c r="L159" s="24"/>
      <c r="M159" s="25"/>
      <c r="N159" s="24"/>
      <c r="O159" s="25"/>
      <c r="P159" s="24"/>
      <c r="Q159" s="25"/>
      <c r="R159" s="32"/>
      <c r="S159" s="31" t="e">
        <v>#REF!</v>
      </c>
      <c r="T159" s="29" t="e">
        <f t="shared" si="359"/>
        <v>#REF!</v>
      </c>
      <c r="U159" s="30" t="e">
        <f t="shared" si="359"/>
        <v>#REF!</v>
      </c>
      <c r="V159" s="29" t="e">
        <f t="shared" si="359"/>
        <v>#REF!</v>
      </c>
      <c r="W159" s="30" t="e">
        <f t="shared" si="359"/>
        <v>#REF!</v>
      </c>
      <c r="X159" s="29" t="e">
        <f t="shared" si="359"/>
        <v>#REF!</v>
      </c>
      <c r="Y159" s="30" t="e">
        <f t="shared" si="359"/>
        <v>#REF!</v>
      </c>
      <c r="Z159" s="29" t="e">
        <f t="shared" si="359"/>
        <v>#REF!</v>
      </c>
      <c r="AA159" s="28" t="e">
        <f t="shared" si="359"/>
        <v>#REF!</v>
      </c>
      <c r="AB159" s="26" t="e">
        <f t="shared" si="374"/>
        <v>#REF!</v>
      </c>
      <c r="AC159" s="25" t="e">
        <f t="shared" si="374"/>
        <v>#REF!</v>
      </c>
      <c r="AD159" s="24" t="e">
        <f t="shared" si="374"/>
        <v>#REF!</v>
      </c>
      <c r="AE159" s="25" t="e">
        <f t="shared" si="374"/>
        <v>#REF!</v>
      </c>
      <c r="AF159" s="24" t="e">
        <f t="shared" si="374"/>
        <v>#REF!</v>
      </c>
      <c r="AG159" s="25" t="e">
        <f t="shared" si="374"/>
        <v>#REF!</v>
      </c>
      <c r="AH159" s="24" t="e">
        <f t="shared" si="374"/>
        <v>#REF!</v>
      </c>
      <c r="AI159" s="25" t="e">
        <f t="shared" si="374"/>
        <v>#REF!</v>
      </c>
      <c r="AJ159" s="24" t="e">
        <f t="shared" si="374"/>
        <v>#REF!</v>
      </c>
      <c r="AK159" s="27" t="e">
        <f t="shared" si="323"/>
        <v>#REF!</v>
      </c>
      <c r="AL159" s="26" t="e">
        <f t="shared" si="375"/>
        <v>#REF!</v>
      </c>
      <c r="AM159" s="25" t="e">
        <f t="shared" si="375"/>
        <v>#REF!</v>
      </c>
      <c r="AN159" s="24" t="e">
        <f t="shared" si="375"/>
        <v>#REF!</v>
      </c>
      <c r="AO159" s="25" t="e">
        <f t="shared" si="375"/>
        <v>#REF!</v>
      </c>
      <c r="AP159" s="24" t="e">
        <f t="shared" si="375"/>
        <v>#REF!</v>
      </c>
      <c r="AQ159" s="25" t="e">
        <f t="shared" si="375"/>
        <v>#REF!</v>
      </c>
      <c r="AR159" s="24" t="e">
        <f t="shared" si="375"/>
        <v>#REF!</v>
      </c>
      <c r="AS159" s="25" t="e">
        <f t="shared" si="375"/>
        <v>#REF!</v>
      </c>
      <c r="AT159" s="24" t="e">
        <f t="shared" si="375"/>
        <v>#REF!</v>
      </c>
      <c r="AU159" s="23" t="e">
        <f>SUM(AL159:AT159)</f>
        <v>#REF!</v>
      </c>
      <c r="BJ159" s="22" t="s">
        <v>1108</v>
      </c>
      <c r="BK159" s="20" t="s">
        <v>1903</v>
      </c>
      <c r="BL159" s="21" t="s">
        <v>1027</v>
      </c>
      <c r="BM159" s="20"/>
      <c r="BN159" s="78"/>
      <c r="BO159" s="11">
        <f t="shared" ref="BO159:BW159" si="378">GETPIVOTDATA("Sum of "&amp;BO$1&amp;" (Out)",$AW$6,"Sub-Sector",$BJ159)</f>
        <v>11.914283276028124</v>
      </c>
      <c r="BP159" s="10">
        <f t="shared" si="378"/>
        <v>34.782310266219753</v>
      </c>
      <c r="BQ159" s="9">
        <f t="shared" si="378"/>
        <v>71.108509024448225</v>
      </c>
      <c r="BR159" s="10">
        <f t="shared" si="378"/>
        <v>46.632401256480648</v>
      </c>
      <c r="BS159" s="9">
        <f t="shared" si="378"/>
        <v>11.178498065655996</v>
      </c>
      <c r="BT159" s="10">
        <f t="shared" si="378"/>
        <v>9.8215847569887522</v>
      </c>
      <c r="BU159" s="9">
        <f t="shared" si="378"/>
        <v>33.41401859280657</v>
      </c>
      <c r="BV159" s="10">
        <f t="shared" si="378"/>
        <v>3.1863909507277564</v>
      </c>
      <c r="BW159" s="16">
        <f t="shared" si="378"/>
        <v>2.6990009622077644</v>
      </c>
      <c r="BX159" s="11"/>
      <c r="BY159" s="6"/>
      <c r="BZ159" s="5"/>
      <c r="CA159" s="6"/>
      <c r="CB159" s="5"/>
      <c r="CC159" s="6"/>
      <c r="CD159" s="5"/>
      <c r="CE159" s="6"/>
      <c r="CF159" s="59"/>
      <c r="CS159" s="54" t="s">
        <v>1758</v>
      </c>
      <c r="CT159" s="39">
        <v>0</v>
      </c>
      <c r="CU159" s="40">
        <v>0</v>
      </c>
      <c r="CV159" s="39">
        <v>1.2058201342006084E-2</v>
      </c>
      <c r="CW159" s="40">
        <v>8.1673064855087626E-3</v>
      </c>
      <c r="CX159" s="39">
        <v>8.2557393886294999E-3</v>
      </c>
      <c r="CY159" s="40">
        <v>7.1960794108616071E-3</v>
      </c>
      <c r="CZ159" s="39">
        <v>2.4999196855538593E-2</v>
      </c>
      <c r="DA159" s="40">
        <v>0</v>
      </c>
      <c r="DB159" s="39">
        <v>0</v>
      </c>
      <c r="DC159" s="38">
        <v>6.0676523482544549E-2</v>
      </c>
      <c r="DE159" s="37" t="s">
        <v>1583</v>
      </c>
      <c r="DF159" s="35" t="str">
        <f t="shared" si="327"/>
        <v>IMAST</v>
      </c>
      <c r="DG159" s="26">
        <f t="shared" si="377"/>
        <v>0</v>
      </c>
      <c r="DH159" s="25">
        <f t="shared" si="377"/>
        <v>2.917553788702071</v>
      </c>
      <c r="DI159" s="24">
        <f t="shared" si="377"/>
        <v>6.4017528284246672E-2</v>
      </c>
      <c r="DJ159" s="25">
        <f t="shared" si="377"/>
        <v>0</v>
      </c>
      <c r="DK159" s="24">
        <f t="shared" si="377"/>
        <v>0</v>
      </c>
      <c r="DL159" s="25">
        <f t="shared" si="377"/>
        <v>0</v>
      </c>
      <c r="DM159" s="24">
        <f t="shared" si="377"/>
        <v>2.6560676530619074</v>
      </c>
      <c r="DN159" s="25">
        <f t="shared" si="377"/>
        <v>0</v>
      </c>
      <c r="DO159" s="32">
        <f t="shared" si="377"/>
        <v>0</v>
      </c>
      <c r="DP159" s="26">
        <f t="shared" si="328"/>
        <v>0</v>
      </c>
      <c r="DQ159" s="25">
        <f t="shared" si="329"/>
        <v>0.49751972623762541</v>
      </c>
      <c r="DR159" s="24">
        <f t="shared" si="330"/>
        <v>1</v>
      </c>
      <c r="DS159" s="25">
        <f t="shared" si="331"/>
        <v>0</v>
      </c>
      <c r="DT159" s="24">
        <f t="shared" si="332"/>
        <v>0</v>
      </c>
      <c r="DU159" s="25">
        <f t="shared" si="333"/>
        <v>0</v>
      </c>
      <c r="DV159" s="24">
        <f t="shared" si="334"/>
        <v>1</v>
      </c>
      <c r="DW159" s="25">
        <f t="shared" si="335"/>
        <v>0</v>
      </c>
      <c r="DX159" s="32">
        <f t="shared" si="336"/>
        <v>0</v>
      </c>
      <c r="DZ159" s="54" t="s">
        <v>1742</v>
      </c>
      <c r="EA159" s="39">
        <v>0</v>
      </c>
      <c r="EB159" s="40">
        <v>0.6751008345525743</v>
      </c>
      <c r="EC159" s="39">
        <v>0.19787904796971464</v>
      </c>
      <c r="ED159" s="40">
        <v>0.19787904796971467</v>
      </c>
      <c r="EE159" s="39">
        <v>0</v>
      </c>
      <c r="EF159" s="40">
        <v>0</v>
      </c>
      <c r="EG159" s="39">
        <v>0</v>
      </c>
      <c r="EH159" s="40">
        <v>0</v>
      </c>
      <c r="EI159" s="66">
        <v>0</v>
      </c>
      <c r="EO159" s="83" t="s">
        <v>1164</v>
      </c>
      <c r="EP159" s="82" t="s">
        <v>521</v>
      </c>
      <c r="EQ159" s="81">
        <f t="shared" si="337"/>
        <v>0.74672865094505603</v>
      </c>
      <c r="ER159" s="80">
        <f>EQ159/SUM(EQ152:EQ160)</f>
        <v>3.6540057252615549E-3</v>
      </c>
      <c r="ET159" s="73" t="s">
        <v>438</v>
      </c>
      <c r="EU159" s="72">
        <v>5.3014338658236494E-2</v>
      </c>
      <c r="EW159" s="37" t="s">
        <v>1152</v>
      </c>
      <c r="EX159" s="36" t="s">
        <v>1922</v>
      </c>
      <c r="EY159" s="36" t="s">
        <v>1129</v>
      </c>
      <c r="EZ159" s="1" t="s">
        <v>1910</v>
      </c>
      <c r="FA159" s="36" t="str">
        <f t="shared" si="338"/>
        <v>IMLOHT</v>
      </c>
      <c r="FB159" s="35" t="s">
        <v>438</v>
      </c>
      <c r="FC159" s="26">
        <f t="shared" si="339"/>
        <v>3.981350532008201</v>
      </c>
      <c r="FD159" s="25">
        <f t="shared" si="340"/>
        <v>0.46531186402484209</v>
      </c>
      <c r="FE159" s="24">
        <f t="shared" si="341"/>
        <v>0.11687287021927655</v>
      </c>
      <c r="FF159" s="36">
        <v>0</v>
      </c>
      <c r="FG159" s="86">
        <f t="shared" si="342"/>
        <v>0</v>
      </c>
    </row>
    <row r="160" spans="1:163">
      <c r="A160" s="37" t="s">
        <v>1931</v>
      </c>
      <c r="B160" s="36" t="s">
        <v>1107</v>
      </c>
      <c r="C160" s="1" t="s">
        <v>1106</v>
      </c>
      <c r="D160" s="36" t="s">
        <v>1106</v>
      </c>
      <c r="E160" s="36" t="s">
        <v>1933</v>
      </c>
      <c r="F160" s="1" t="e">
        <f t="shared" ca="1" si="232"/>
        <v>#NAME?</v>
      </c>
      <c r="G160" s="35" t="s">
        <v>1104</v>
      </c>
      <c r="H160" s="43">
        <v>1</v>
      </c>
      <c r="I160" s="42">
        <v>0</v>
      </c>
      <c r="J160" s="26">
        <v>0</v>
      </c>
      <c r="K160" s="25">
        <v>1.2846101999999999</v>
      </c>
      <c r="L160" s="24"/>
      <c r="M160" s="25"/>
      <c r="N160" s="24"/>
      <c r="O160" s="25"/>
      <c r="P160" s="24"/>
      <c r="Q160" s="25"/>
      <c r="R160" s="32"/>
      <c r="S160" s="31" t="e">
        <v>#REF!</v>
      </c>
      <c r="T160" s="29" t="e">
        <f t="shared" si="359"/>
        <v>#REF!</v>
      </c>
      <c r="U160" s="30" t="e">
        <f t="shared" si="359"/>
        <v>#REF!</v>
      </c>
      <c r="V160" s="29" t="e">
        <f t="shared" si="359"/>
        <v>#REF!</v>
      </c>
      <c r="W160" s="30" t="e">
        <f t="shared" si="359"/>
        <v>#REF!</v>
      </c>
      <c r="X160" s="29" t="e">
        <f t="shared" si="359"/>
        <v>#REF!</v>
      </c>
      <c r="Y160" s="30" t="e">
        <f t="shared" si="359"/>
        <v>#REF!</v>
      </c>
      <c r="Z160" s="29" t="e">
        <f t="shared" si="359"/>
        <v>#REF!</v>
      </c>
      <c r="AA160" s="28" t="e">
        <f t="shared" si="359"/>
        <v>#REF!</v>
      </c>
      <c r="AB160" s="26" t="e">
        <f t="shared" ref="AB160:AJ160" si="379">J160*$H160*S160</f>
        <v>#REF!</v>
      </c>
      <c r="AC160" s="25" t="e">
        <f t="shared" si="379"/>
        <v>#REF!</v>
      </c>
      <c r="AD160" s="24" t="e">
        <f t="shared" si="379"/>
        <v>#REF!</v>
      </c>
      <c r="AE160" s="25" t="e">
        <f t="shared" si="379"/>
        <v>#REF!</v>
      </c>
      <c r="AF160" s="24" t="e">
        <f t="shared" si="379"/>
        <v>#REF!</v>
      </c>
      <c r="AG160" s="25" t="e">
        <f t="shared" si="379"/>
        <v>#REF!</v>
      </c>
      <c r="AH160" s="24" t="e">
        <f t="shared" si="379"/>
        <v>#REF!</v>
      </c>
      <c r="AI160" s="25" t="e">
        <f t="shared" si="379"/>
        <v>#REF!</v>
      </c>
      <c r="AJ160" s="24" t="e">
        <f t="shared" si="379"/>
        <v>#REF!</v>
      </c>
      <c r="AK160" s="27" t="e">
        <f t="shared" si="323"/>
        <v>#REF!</v>
      </c>
      <c r="AL160" s="41">
        <v>0</v>
      </c>
      <c r="AM160" s="40">
        <v>0</v>
      </c>
      <c r="AN160" s="39">
        <v>0</v>
      </c>
      <c r="AO160" s="40">
        <v>0</v>
      </c>
      <c r="AP160" s="39">
        <v>0</v>
      </c>
      <c r="AQ160" s="40">
        <v>0</v>
      </c>
      <c r="AR160" s="39">
        <v>0</v>
      </c>
      <c r="AS160" s="40">
        <v>0</v>
      </c>
      <c r="AT160" s="39">
        <v>0</v>
      </c>
      <c r="AU160" s="38">
        <v>0</v>
      </c>
      <c r="CS160" s="54" t="s">
        <v>1756</v>
      </c>
      <c r="CT160" s="39">
        <v>0</v>
      </c>
      <c r="CU160" s="40">
        <v>0</v>
      </c>
      <c r="CV160" s="39">
        <v>0.16536961840465483</v>
      </c>
      <c r="CW160" s="40">
        <v>0.11200877465840588</v>
      </c>
      <c r="CX160" s="39">
        <v>0.11322156875834741</v>
      </c>
      <c r="CY160" s="40">
        <v>9.8689089063244875E-2</v>
      </c>
      <c r="CZ160" s="39">
        <v>0.34284612830452921</v>
      </c>
      <c r="DA160" s="40">
        <v>0</v>
      </c>
      <c r="DB160" s="39">
        <v>0</v>
      </c>
      <c r="DC160" s="38">
        <v>0.83213517918918223</v>
      </c>
      <c r="DE160" s="37" t="s">
        <v>1526</v>
      </c>
      <c r="DF160" s="35" t="str">
        <f t="shared" si="327"/>
        <v>IMSST</v>
      </c>
      <c r="DG160" s="26">
        <f t="shared" si="377"/>
        <v>0</v>
      </c>
      <c r="DH160" s="25">
        <f t="shared" si="377"/>
        <v>0</v>
      </c>
      <c r="DI160" s="24">
        <f t="shared" si="377"/>
        <v>0</v>
      </c>
      <c r="DJ160" s="25">
        <f t="shared" si="377"/>
        <v>0</v>
      </c>
      <c r="DK160" s="24">
        <f t="shared" si="377"/>
        <v>0</v>
      </c>
      <c r="DL160" s="25">
        <f t="shared" si="377"/>
        <v>0</v>
      </c>
      <c r="DM160" s="24">
        <f t="shared" si="377"/>
        <v>0</v>
      </c>
      <c r="DN160" s="25">
        <f t="shared" si="377"/>
        <v>0</v>
      </c>
      <c r="DO160" s="32">
        <f t="shared" si="377"/>
        <v>0</v>
      </c>
      <c r="DP160" s="26">
        <f t="shared" si="328"/>
        <v>0</v>
      </c>
      <c r="DQ160" s="25">
        <f t="shared" si="329"/>
        <v>0</v>
      </c>
      <c r="DR160" s="24">
        <f t="shared" si="330"/>
        <v>0</v>
      </c>
      <c r="DS160" s="25">
        <f t="shared" si="331"/>
        <v>0</v>
      </c>
      <c r="DT160" s="24">
        <f t="shared" si="332"/>
        <v>0</v>
      </c>
      <c r="DU160" s="25">
        <f t="shared" si="333"/>
        <v>0</v>
      </c>
      <c r="DV160" s="24">
        <f t="shared" si="334"/>
        <v>0</v>
      </c>
      <c r="DW160" s="25">
        <f t="shared" si="335"/>
        <v>0</v>
      </c>
      <c r="DX160" s="32">
        <f t="shared" si="336"/>
        <v>0</v>
      </c>
      <c r="DZ160" s="54" t="s">
        <v>1655</v>
      </c>
      <c r="EA160" s="39">
        <v>3.314766416658424E-2</v>
      </c>
      <c r="EB160" s="40">
        <v>3.3147664166584247E-2</v>
      </c>
      <c r="EC160" s="39">
        <v>1.0347242196857632E-2</v>
      </c>
      <c r="ED160" s="40">
        <v>1.0347242196857632E-2</v>
      </c>
      <c r="EE160" s="39">
        <v>1.395511378469186E-2</v>
      </c>
      <c r="EF160" s="40">
        <v>1.3955113784691863E-2</v>
      </c>
      <c r="EG160" s="39">
        <v>1.3955113784691862E-2</v>
      </c>
      <c r="EH160" s="40">
        <v>0</v>
      </c>
      <c r="EI160" s="66">
        <v>0</v>
      </c>
      <c r="EO160" s="79" t="s">
        <v>1164</v>
      </c>
      <c r="EP160" s="78" t="s">
        <v>522</v>
      </c>
      <c r="EQ160" s="77">
        <f t="shared" si="337"/>
        <v>8.353314580454235</v>
      </c>
      <c r="ER160" s="76">
        <f>EQ160/SUM(EQ152:EQ160)</f>
        <v>4.0875703996707195E-2</v>
      </c>
      <c r="ET160" s="73" t="s">
        <v>440</v>
      </c>
      <c r="EU160" s="72">
        <v>0.15476895529916873</v>
      </c>
      <c r="EW160" s="37" t="s">
        <v>1152</v>
      </c>
      <c r="EX160" s="36" t="s">
        <v>1922</v>
      </c>
      <c r="EY160" s="36" t="s">
        <v>1129</v>
      </c>
      <c r="EZ160" s="1" t="s">
        <v>1910</v>
      </c>
      <c r="FA160" s="36" t="str">
        <f t="shared" si="338"/>
        <v>IMLOHT</v>
      </c>
      <c r="FB160" s="1" t="s">
        <v>440</v>
      </c>
      <c r="FC160" s="26">
        <f t="shared" si="339"/>
        <v>11.29378602509215</v>
      </c>
      <c r="FD160" s="25">
        <f t="shared" si="340"/>
        <v>1.2808470116229715</v>
      </c>
      <c r="FE160" s="24">
        <f t="shared" si="341"/>
        <v>0.1134116591882677</v>
      </c>
      <c r="FF160" s="36">
        <v>0</v>
      </c>
      <c r="FG160" s="86">
        <f t="shared" si="342"/>
        <v>0</v>
      </c>
    </row>
    <row r="161" spans="1:163">
      <c r="A161" s="22" t="s">
        <v>1931</v>
      </c>
      <c r="B161" s="20" t="s">
        <v>1107</v>
      </c>
      <c r="C161" s="21" t="s">
        <v>1106</v>
      </c>
      <c r="D161" s="20" t="s">
        <v>1106</v>
      </c>
      <c r="E161" s="20" t="s">
        <v>1932</v>
      </c>
      <c r="F161" s="21" t="e">
        <f t="shared" ca="1" si="232"/>
        <v>#NAME?</v>
      </c>
      <c r="G161" s="19" t="s">
        <v>1109</v>
      </c>
      <c r="H161" s="50">
        <f>1-I161</f>
        <v>0.88452569699892736</v>
      </c>
      <c r="I161" s="49">
        <v>0.11547430300107267</v>
      </c>
      <c r="J161" s="11" t="e">
        <v>#REF!</v>
      </c>
      <c r="K161" s="10" t="e">
        <v>#REF!</v>
      </c>
      <c r="L161" s="9"/>
      <c r="M161" s="10"/>
      <c r="N161" s="9"/>
      <c r="O161" s="10"/>
      <c r="P161" s="9"/>
      <c r="Q161" s="10"/>
      <c r="R161" s="16"/>
      <c r="S161" s="15" t="e">
        <v>#REF!</v>
      </c>
      <c r="T161" s="13" t="e">
        <f t="shared" si="359"/>
        <v>#REF!</v>
      </c>
      <c r="U161" s="14" t="e">
        <f t="shared" si="359"/>
        <v>#REF!</v>
      </c>
      <c r="V161" s="13" t="e">
        <f t="shared" si="359"/>
        <v>#REF!</v>
      </c>
      <c r="W161" s="14" t="e">
        <f t="shared" si="359"/>
        <v>#REF!</v>
      </c>
      <c r="X161" s="13" t="e">
        <f t="shared" si="359"/>
        <v>#REF!</v>
      </c>
      <c r="Y161" s="14" t="e">
        <f t="shared" si="359"/>
        <v>#REF!</v>
      </c>
      <c r="Z161" s="13" t="e">
        <f t="shared" si="359"/>
        <v>#REF!</v>
      </c>
      <c r="AA161" s="12" t="e">
        <f t="shared" si="359"/>
        <v>#REF!</v>
      </c>
      <c r="AB161" s="11" t="e">
        <f t="shared" ref="AB161:AJ162" si="380">J161*31.536*$H161*S161</f>
        <v>#REF!</v>
      </c>
      <c r="AC161" s="10" t="e">
        <f t="shared" si="380"/>
        <v>#REF!</v>
      </c>
      <c r="AD161" s="9" t="e">
        <f t="shared" si="380"/>
        <v>#REF!</v>
      </c>
      <c r="AE161" s="10" t="e">
        <f t="shared" si="380"/>
        <v>#REF!</v>
      </c>
      <c r="AF161" s="9" t="e">
        <f t="shared" si="380"/>
        <v>#REF!</v>
      </c>
      <c r="AG161" s="10" t="e">
        <f t="shared" si="380"/>
        <v>#REF!</v>
      </c>
      <c r="AH161" s="9" t="e">
        <f t="shared" si="380"/>
        <v>#REF!</v>
      </c>
      <c r="AI161" s="10" t="e">
        <f t="shared" si="380"/>
        <v>#REF!</v>
      </c>
      <c r="AJ161" s="9" t="e">
        <f t="shared" si="380"/>
        <v>#REF!</v>
      </c>
      <c r="AK161" s="8" t="e">
        <f t="shared" si="323"/>
        <v>#REF!</v>
      </c>
      <c r="AL161" s="11" t="e">
        <f t="shared" ref="AL161:AT162" si="381">J161*31.536*$I161*S161</f>
        <v>#REF!</v>
      </c>
      <c r="AM161" s="10" t="e">
        <f t="shared" si="381"/>
        <v>#REF!</v>
      </c>
      <c r="AN161" s="9" t="e">
        <f t="shared" si="381"/>
        <v>#REF!</v>
      </c>
      <c r="AO161" s="10" t="e">
        <f t="shared" si="381"/>
        <v>#REF!</v>
      </c>
      <c r="AP161" s="9" t="e">
        <f t="shared" si="381"/>
        <v>#REF!</v>
      </c>
      <c r="AQ161" s="10" t="e">
        <f t="shared" si="381"/>
        <v>#REF!</v>
      </c>
      <c r="AR161" s="9" t="e">
        <f t="shared" si="381"/>
        <v>#REF!</v>
      </c>
      <c r="AS161" s="10" t="e">
        <f t="shared" si="381"/>
        <v>#REF!</v>
      </c>
      <c r="AT161" s="9" t="e">
        <f t="shared" si="381"/>
        <v>#REF!</v>
      </c>
      <c r="AU161" s="48" t="e">
        <f>SUM(AL161:AT161)</f>
        <v>#REF!</v>
      </c>
      <c r="CS161" s="54" t="s">
        <v>1754</v>
      </c>
      <c r="CT161" s="39">
        <v>0</v>
      </c>
      <c r="CU161" s="40">
        <v>0</v>
      </c>
      <c r="CV161" s="39">
        <v>0.33006779775559564</v>
      </c>
      <c r="CW161" s="40">
        <v>0.22356276768043964</v>
      </c>
      <c r="CX161" s="39">
        <v>0.22598343165463555</v>
      </c>
      <c r="CY161" s="40">
        <v>0.1969774775068005</v>
      </c>
      <c r="CZ161" s="39">
        <v>0.68430022171063465</v>
      </c>
      <c r="DA161" s="40">
        <v>0</v>
      </c>
      <c r="DB161" s="39">
        <v>0</v>
      </c>
      <c r="DC161" s="38">
        <v>1.660891696308106</v>
      </c>
      <c r="DE161" s="37" t="s">
        <v>1523</v>
      </c>
      <c r="DF161" s="35" t="str">
        <f t="shared" si="327"/>
        <v>IMSST</v>
      </c>
      <c r="DG161" s="26">
        <f t="shared" si="377"/>
        <v>0</v>
      </c>
      <c r="DH161" s="25">
        <f t="shared" si="377"/>
        <v>2.3312024457930116</v>
      </c>
      <c r="DI161" s="24">
        <f t="shared" si="377"/>
        <v>5.8370650389501568</v>
      </c>
      <c r="DJ161" s="25">
        <f t="shared" si="377"/>
        <v>0</v>
      </c>
      <c r="DK161" s="24">
        <f t="shared" si="377"/>
        <v>0.50000557126521816</v>
      </c>
      <c r="DL161" s="25">
        <f t="shared" si="377"/>
        <v>0.76471440311151018</v>
      </c>
      <c r="DM161" s="24">
        <f t="shared" si="377"/>
        <v>0</v>
      </c>
      <c r="DN161" s="25">
        <f t="shared" si="377"/>
        <v>0.21764948396250672</v>
      </c>
      <c r="DO161" s="32">
        <f t="shared" si="377"/>
        <v>0.22235541875088524</v>
      </c>
      <c r="DP161" s="26">
        <f t="shared" si="328"/>
        <v>0</v>
      </c>
      <c r="DQ161" s="25">
        <f t="shared" si="329"/>
        <v>0.98873979647718213</v>
      </c>
      <c r="DR161" s="24">
        <f t="shared" si="330"/>
        <v>0.6864112728916566</v>
      </c>
      <c r="DS161" s="25">
        <f t="shared" si="331"/>
        <v>0</v>
      </c>
      <c r="DT161" s="24">
        <f t="shared" si="332"/>
        <v>0.92399170938735109</v>
      </c>
      <c r="DU161" s="25">
        <f t="shared" si="333"/>
        <v>1</v>
      </c>
      <c r="DV161" s="24">
        <f t="shared" si="334"/>
        <v>0</v>
      </c>
      <c r="DW161" s="25">
        <f t="shared" si="335"/>
        <v>1</v>
      </c>
      <c r="DX161" s="32">
        <f t="shared" si="336"/>
        <v>8.0170579686959745E-2</v>
      </c>
      <c r="DZ161" s="54" t="s">
        <v>1651</v>
      </c>
      <c r="EA161" s="39">
        <v>0.89544986007295224</v>
      </c>
      <c r="EB161" s="40">
        <v>0.89544986007295224</v>
      </c>
      <c r="EC161" s="39">
        <v>0.93838872228008419</v>
      </c>
      <c r="ED161" s="40">
        <v>0.93838872228008419</v>
      </c>
      <c r="EE161" s="39">
        <v>0.94245740989508608</v>
      </c>
      <c r="EF161" s="40">
        <v>0.94245740989508642</v>
      </c>
      <c r="EG161" s="39">
        <v>0.9424574098950862</v>
      </c>
      <c r="EH161" s="40">
        <v>0.92432923112510834</v>
      </c>
      <c r="EI161" s="66">
        <v>0.92432923112510834</v>
      </c>
      <c r="EO161" s="83" t="s">
        <v>1152</v>
      </c>
      <c r="EP161" s="82" t="s">
        <v>438</v>
      </c>
      <c r="EQ161" s="81">
        <f t="shared" si="337"/>
        <v>3.981350532008201</v>
      </c>
      <c r="ER161" s="80">
        <f>EQ161/SUM(EQ161:EQ169)</f>
        <v>0.11778394751624105</v>
      </c>
      <c r="ET161" s="73" t="s">
        <v>439</v>
      </c>
      <c r="EU161" s="72">
        <v>0.31640766729873299</v>
      </c>
      <c r="EW161" s="37" t="s">
        <v>1152</v>
      </c>
      <c r="EX161" s="36" t="s">
        <v>1922</v>
      </c>
      <c r="EY161" s="36" t="s">
        <v>1129</v>
      </c>
      <c r="EZ161" s="1" t="s">
        <v>1910</v>
      </c>
      <c r="FA161" s="36" t="str">
        <f t="shared" si="338"/>
        <v>IMLOHT</v>
      </c>
      <c r="FB161" s="1" t="s">
        <v>439</v>
      </c>
      <c r="FC161" s="26">
        <f t="shared" si="339"/>
        <v>5.8562470054176563</v>
      </c>
      <c r="FD161" s="25">
        <f t="shared" si="340"/>
        <v>0.92536768596065311</v>
      </c>
      <c r="FE161" s="24">
        <f t="shared" si="341"/>
        <v>0.15801377317326076</v>
      </c>
      <c r="FF161" s="36">
        <v>0</v>
      </c>
      <c r="FG161" s="86">
        <f t="shared" si="342"/>
        <v>0</v>
      </c>
    </row>
    <row r="162" spans="1:163">
      <c r="A162" s="37" t="s">
        <v>1931</v>
      </c>
      <c r="B162" s="36" t="s">
        <v>1107</v>
      </c>
      <c r="C162" s="1" t="s">
        <v>1106</v>
      </c>
      <c r="D162" s="36" t="s">
        <v>1106</v>
      </c>
      <c r="E162" s="36" t="s">
        <v>1930</v>
      </c>
      <c r="F162" s="1" t="e">
        <f t="shared" ca="1" si="232"/>
        <v>#NAME?</v>
      </c>
      <c r="G162" s="35" t="s">
        <v>1109</v>
      </c>
      <c r="H162" s="34">
        <f>1-I162</f>
        <v>0.88332652522877819</v>
      </c>
      <c r="I162" s="33">
        <v>0.11667347477122177</v>
      </c>
      <c r="J162" s="26" t="e">
        <v>#REF!</v>
      </c>
      <c r="K162" s="25" t="e">
        <v>#REF!</v>
      </c>
      <c r="L162" s="24"/>
      <c r="M162" s="25"/>
      <c r="N162" s="24"/>
      <c r="O162" s="25"/>
      <c r="P162" s="24"/>
      <c r="Q162" s="25"/>
      <c r="R162" s="32"/>
      <c r="S162" s="31" t="e">
        <v>#REF!</v>
      </c>
      <c r="T162" s="29" t="e">
        <f t="shared" si="359"/>
        <v>#REF!</v>
      </c>
      <c r="U162" s="30" t="e">
        <f t="shared" si="359"/>
        <v>#REF!</v>
      </c>
      <c r="V162" s="29" t="e">
        <f t="shared" si="359"/>
        <v>#REF!</v>
      </c>
      <c r="W162" s="30" t="e">
        <f t="shared" si="359"/>
        <v>#REF!</v>
      </c>
      <c r="X162" s="29" t="e">
        <f t="shared" si="359"/>
        <v>#REF!</v>
      </c>
      <c r="Y162" s="30" t="e">
        <f t="shared" si="359"/>
        <v>#REF!</v>
      </c>
      <c r="Z162" s="29" t="e">
        <f t="shared" si="359"/>
        <v>#REF!</v>
      </c>
      <c r="AA162" s="28" t="e">
        <f t="shared" si="359"/>
        <v>#REF!</v>
      </c>
      <c r="AB162" s="26" t="e">
        <f t="shared" si="380"/>
        <v>#REF!</v>
      </c>
      <c r="AC162" s="25" t="e">
        <f t="shared" si="380"/>
        <v>#REF!</v>
      </c>
      <c r="AD162" s="24" t="e">
        <f t="shared" si="380"/>
        <v>#REF!</v>
      </c>
      <c r="AE162" s="25" t="e">
        <f t="shared" si="380"/>
        <v>#REF!</v>
      </c>
      <c r="AF162" s="24" t="e">
        <f t="shared" si="380"/>
        <v>#REF!</v>
      </c>
      <c r="AG162" s="25" t="e">
        <f t="shared" si="380"/>
        <v>#REF!</v>
      </c>
      <c r="AH162" s="24" t="e">
        <f t="shared" si="380"/>
        <v>#REF!</v>
      </c>
      <c r="AI162" s="25" t="e">
        <f t="shared" si="380"/>
        <v>#REF!</v>
      </c>
      <c r="AJ162" s="24" t="e">
        <f t="shared" si="380"/>
        <v>#REF!</v>
      </c>
      <c r="AK162" s="27" t="e">
        <f t="shared" si="323"/>
        <v>#REF!</v>
      </c>
      <c r="AL162" s="26" t="e">
        <f t="shared" si="381"/>
        <v>#REF!</v>
      </c>
      <c r="AM162" s="25" t="e">
        <f t="shared" si="381"/>
        <v>#REF!</v>
      </c>
      <c r="AN162" s="24" t="e">
        <f t="shared" si="381"/>
        <v>#REF!</v>
      </c>
      <c r="AO162" s="25" t="e">
        <f t="shared" si="381"/>
        <v>#REF!</v>
      </c>
      <c r="AP162" s="24" t="e">
        <f t="shared" si="381"/>
        <v>#REF!</v>
      </c>
      <c r="AQ162" s="25" t="e">
        <f t="shared" si="381"/>
        <v>#REF!</v>
      </c>
      <c r="AR162" s="24" t="e">
        <f t="shared" si="381"/>
        <v>#REF!</v>
      </c>
      <c r="AS162" s="25" t="e">
        <f t="shared" si="381"/>
        <v>#REF!</v>
      </c>
      <c r="AT162" s="24" t="e">
        <f t="shared" si="381"/>
        <v>#REF!</v>
      </c>
      <c r="AU162" s="23" t="e">
        <f>SUM(AL162:AT162)</f>
        <v>#REF!</v>
      </c>
      <c r="CS162" s="54" t="s">
        <v>1751</v>
      </c>
      <c r="CT162" s="39">
        <v>0</v>
      </c>
      <c r="CU162" s="40">
        <v>0</v>
      </c>
      <c r="CV162" s="39">
        <v>0</v>
      </c>
      <c r="CW162" s="40">
        <v>0</v>
      </c>
      <c r="CX162" s="39">
        <v>1.1280004928513268</v>
      </c>
      <c r="CY162" s="40">
        <v>0.98321673443675361</v>
      </c>
      <c r="CZ162" s="39">
        <v>3.4156972557507155</v>
      </c>
      <c r="DA162" s="40">
        <v>0</v>
      </c>
      <c r="DB162" s="39">
        <v>0</v>
      </c>
      <c r="DC162" s="38">
        <v>5.5269144830387962</v>
      </c>
      <c r="DE162" s="37" t="s">
        <v>1520</v>
      </c>
      <c r="DF162" s="35" t="str">
        <f t="shared" si="327"/>
        <v>IMSST</v>
      </c>
      <c r="DG162" s="26">
        <f t="shared" si="377"/>
        <v>5.8014724722938614E-3</v>
      </c>
      <c r="DH162" s="25">
        <f t="shared" si="377"/>
        <v>2.6548758415557597E-2</v>
      </c>
      <c r="DI162" s="24">
        <f t="shared" si="377"/>
        <v>2.6666779347924692</v>
      </c>
      <c r="DJ162" s="25">
        <f t="shared" si="377"/>
        <v>0</v>
      </c>
      <c r="DK162" s="24">
        <f t="shared" si="377"/>
        <v>4.1130854727981669E-2</v>
      </c>
      <c r="DL162" s="25">
        <f t="shared" si="377"/>
        <v>0</v>
      </c>
      <c r="DM162" s="24">
        <f t="shared" si="377"/>
        <v>0</v>
      </c>
      <c r="DN162" s="25">
        <f t="shared" si="377"/>
        <v>0</v>
      </c>
      <c r="DO162" s="32">
        <f t="shared" si="377"/>
        <v>2.5511734695160007</v>
      </c>
      <c r="DP162" s="26">
        <f t="shared" si="328"/>
        <v>1</v>
      </c>
      <c r="DQ162" s="25">
        <f t="shared" si="329"/>
        <v>1.1260203522817952E-2</v>
      </c>
      <c r="DR162" s="24">
        <f t="shared" si="330"/>
        <v>0.31358872710834346</v>
      </c>
      <c r="DS162" s="25">
        <f t="shared" si="331"/>
        <v>0</v>
      </c>
      <c r="DT162" s="24">
        <f t="shared" si="332"/>
        <v>7.6008290612649618E-2</v>
      </c>
      <c r="DU162" s="25">
        <f t="shared" si="333"/>
        <v>0</v>
      </c>
      <c r="DV162" s="24">
        <f t="shared" si="334"/>
        <v>0</v>
      </c>
      <c r="DW162" s="25">
        <f t="shared" si="335"/>
        <v>0</v>
      </c>
      <c r="DX162" s="32">
        <f t="shared" si="336"/>
        <v>0.91982942031304016</v>
      </c>
      <c r="DZ162" s="54" t="s">
        <v>1648</v>
      </c>
      <c r="EA162" s="39">
        <v>7.1402475760463588E-2</v>
      </c>
      <c r="EB162" s="40">
        <v>7.1402475760463588E-2</v>
      </c>
      <c r="EC162" s="39">
        <v>5.1264035523058187E-2</v>
      </c>
      <c r="ED162" s="40">
        <v>5.1264035523058193E-2</v>
      </c>
      <c r="EE162" s="39">
        <v>4.3587476320221905E-2</v>
      </c>
      <c r="EF162" s="40">
        <v>4.3587476320221911E-2</v>
      </c>
      <c r="EG162" s="39">
        <v>4.3587476320221911E-2</v>
      </c>
      <c r="EH162" s="40">
        <v>7.5670768874891645E-2</v>
      </c>
      <c r="EI162" s="66">
        <v>7.5670768874891631E-2</v>
      </c>
      <c r="EO162" s="83" t="s">
        <v>1152</v>
      </c>
      <c r="EP162" s="82" t="s">
        <v>440</v>
      </c>
      <c r="EQ162" s="81">
        <f t="shared" si="337"/>
        <v>11.29378602509215</v>
      </c>
      <c r="ER162" s="80">
        <f>EQ162/SUM(EQ161:EQ169)</f>
        <v>0.33411443924485124</v>
      </c>
      <c r="ET162" s="73" t="s">
        <v>518</v>
      </c>
      <c r="EU162" s="72">
        <v>0.20749766103278292</v>
      </c>
      <c r="EW162" s="37" t="s">
        <v>1152</v>
      </c>
      <c r="EX162" s="36" t="s">
        <v>1922</v>
      </c>
      <c r="EY162" s="36" t="s">
        <v>1129</v>
      </c>
      <c r="EZ162" s="1" t="s">
        <v>1910</v>
      </c>
      <c r="FA162" s="36" t="str">
        <f t="shared" si="338"/>
        <v>IMLOHT</v>
      </c>
      <c r="FB162" s="1" t="s">
        <v>518</v>
      </c>
      <c r="FC162" s="26">
        <f t="shared" si="339"/>
        <v>3.9604264401412914</v>
      </c>
      <c r="FD162" s="25">
        <f t="shared" si="340"/>
        <v>0.62677353683740356</v>
      </c>
      <c r="FE162" s="24">
        <f t="shared" si="341"/>
        <v>0.158259103233096</v>
      </c>
      <c r="FF162" s="36">
        <v>0</v>
      </c>
      <c r="FG162" s="86">
        <f t="shared" si="342"/>
        <v>0</v>
      </c>
    </row>
    <row r="163" spans="1:163">
      <c r="A163" s="37" t="s">
        <v>1793</v>
      </c>
      <c r="B163" s="36" t="s">
        <v>1150</v>
      </c>
      <c r="C163" s="1" t="s">
        <v>1126</v>
      </c>
      <c r="D163" s="36" t="s">
        <v>1126</v>
      </c>
      <c r="E163" s="36" t="s">
        <v>1929</v>
      </c>
      <c r="F163" s="1" t="e">
        <f t="shared" ca="1" si="232"/>
        <v>#NAME?</v>
      </c>
      <c r="G163" s="35" t="s">
        <v>1121</v>
      </c>
      <c r="H163" s="43">
        <v>1</v>
      </c>
      <c r="I163" s="42">
        <v>0</v>
      </c>
      <c r="J163" s="26">
        <v>2.2134253969369375</v>
      </c>
      <c r="K163" s="25">
        <v>1.4013987333665723</v>
      </c>
      <c r="L163" s="24"/>
      <c r="M163" s="25"/>
      <c r="N163" s="24"/>
      <c r="O163" s="25"/>
      <c r="P163" s="24"/>
      <c r="Q163" s="25"/>
      <c r="R163" s="32"/>
      <c r="S163" s="47">
        <v>1</v>
      </c>
      <c r="T163" s="45">
        <v>1</v>
      </c>
      <c r="U163" s="46">
        <v>1</v>
      </c>
      <c r="V163" s="45">
        <v>1</v>
      </c>
      <c r="W163" s="46">
        <v>1</v>
      </c>
      <c r="X163" s="45">
        <v>1</v>
      </c>
      <c r="Y163" s="46">
        <v>1</v>
      </c>
      <c r="Z163" s="45">
        <v>1</v>
      </c>
      <c r="AA163" s="44">
        <v>1</v>
      </c>
      <c r="AB163" s="26">
        <f t="shared" ref="AB163:AB195" si="382">J163*$H163*S163</f>
        <v>2.2134253969369375</v>
      </c>
      <c r="AC163" s="25">
        <f t="shared" ref="AC163:AC195" si="383">K163*$H163*T163</f>
        <v>1.4013987333665723</v>
      </c>
      <c r="AD163" s="24">
        <f t="shared" ref="AD163:AD195" si="384">L163*$H163*U163</f>
        <v>0</v>
      </c>
      <c r="AE163" s="25">
        <f t="shared" ref="AE163:AE195" si="385">M163*$H163*V163</f>
        <v>0</v>
      </c>
      <c r="AF163" s="24">
        <f t="shared" ref="AF163:AF195" si="386">N163*$H163*W163</f>
        <v>0</v>
      </c>
      <c r="AG163" s="25">
        <f t="shared" ref="AG163:AG195" si="387">O163*$H163*X163</f>
        <v>0</v>
      </c>
      <c r="AH163" s="24">
        <f t="shared" ref="AH163:AH195" si="388">P163*$H163*Y163</f>
        <v>0</v>
      </c>
      <c r="AI163" s="25">
        <f t="shared" ref="AI163:AI195" si="389">Q163*$H163*Z163</f>
        <v>0</v>
      </c>
      <c r="AJ163" s="24">
        <f t="shared" ref="AJ163:AJ195" si="390">R163*$H163*AA163</f>
        <v>0</v>
      </c>
      <c r="AK163" s="27">
        <f t="shared" si="323"/>
        <v>3.6148241303035098</v>
      </c>
      <c r="AL163" s="41">
        <v>0</v>
      </c>
      <c r="AM163" s="40">
        <v>0</v>
      </c>
      <c r="AN163" s="39">
        <v>0</v>
      </c>
      <c r="AO163" s="40">
        <v>0</v>
      </c>
      <c r="AP163" s="39">
        <v>0</v>
      </c>
      <c r="AQ163" s="40">
        <v>0</v>
      </c>
      <c r="AR163" s="39">
        <v>0</v>
      </c>
      <c r="AS163" s="40">
        <v>0</v>
      </c>
      <c r="AT163" s="39">
        <v>0</v>
      </c>
      <c r="AU163" s="38">
        <v>0</v>
      </c>
      <c r="CS163" s="54" t="s">
        <v>1667</v>
      </c>
      <c r="CT163" s="39">
        <v>2.0293079144161192E-2</v>
      </c>
      <c r="CU163" s="40">
        <v>5.5860019457917021E-2</v>
      </c>
      <c r="CV163" s="39">
        <v>4.5401549547857807E-2</v>
      </c>
      <c r="CW163" s="40">
        <v>3.0751549054220416E-2</v>
      </c>
      <c r="CX163" s="39">
        <v>3.1084516693325126E-2</v>
      </c>
      <c r="CY163" s="40">
        <v>2.7094684078993694E-2</v>
      </c>
      <c r="CZ163" s="39">
        <v>9.412699643183764E-2</v>
      </c>
      <c r="DA163" s="40">
        <v>4.6804527838102579E-2</v>
      </c>
      <c r="DB163" s="39">
        <v>2.9348570763975651E-2</v>
      </c>
      <c r="DC163" s="38">
        <v>0.38076549301039109</v>
      </c>
      <c r="DE163" s="37" t="s">
        <v>1517</v>
      </c>
      <c r="DF163" s="35" t="str">
        <f t="shared" si="327"/>
        <v>IMSST</v>
      </c>
      <c r="DG163" s="26">
        <f t="shared" si="377"/>
        <v>0</v>
      </c>
      <c r="DH163" s="25">
        <f t="shared" si="377"/>
        <v>0</v>
      </c>
      <c r="DI163" s="24">
        <f t="shared" si="377"/>
        <v>-7.111500999108398E-16</v>
      </c>
      <c r="DJ163" s="25">
        <f t="shared" si="377"/>
        <v>0</v>
      </c>
      <c r="DK163" s="24">
        <f t="shared" si="377"/>
        <v>-4.4113348367226244E-16</v>
      </c>
      <c r="DL163" s="25">
        <f t="shared" si="377"/>
        <v>0</v>
      </c>
      <c r="DM163" s="24">
        <f t="shared" si="377"/>
        <v>0</v>
      </c>
      <c r="DN163" s="25">
        <f t="shared" si="377"/>
        <v>0</v>
      </c>
      <c r="DO163" s="32">
        <f t="shared" si="377"/>
        <v>0</v>
      </c>
      <c r="DP163" s="26">
        <f t="shared" si="328"/>
        <v>0</v>
      </c>
      <c r="DQ163" s="25">
        <f t="shared" si="329"/>
        <v>0</v>
      </c>
      <c r="DR163" s="24">
        <f t="shared" si="330"/>
        <v>-8.3627892106651002E-17</v>
      </c>
      <c r="DS163" s="25">
        <f t="shared" si="331"/>
        <v>0</v>
      </c>
      <c r="DT163" s="24">
        <f t="shared" si="332"/>
        <v>-8.1519827992101612E-16</v>
      </c>
      <c r="DU163" s="25">
        <f t="shared" si="333"/>
        <v>0</v>
      </c>
      <c r="DV163" s="24">
        <f t="shared" si="334"/>
        <v>0</v>
      </c>
      <c r="DW163" s="25">
        <f t="shared" si="335"/>
        <v>0</v>
      </c>
      <c r="DX163" s="32">
        <f t="shared" si="336"/>
        <v>0</v>
      </c>
      <c r="DZ163" s="54" t="s">
        <v>1864</v>
      </c>
      <c r="EA163" s="39">
        <v>0</v>
      </c>
      <c r="EB163" s="40">
        <v>0</v>
      </c>
      <c r="EC163" s="39">
        <v>2.9400825046270451E-2</v>
      </c>
      <c r="ED163" s="40">
        <v>2.9400825046270448E-2</v>
      </c>
      <c r="EE163" s="39">
        <v>0.14718019793428963</v>
      </c>
      <c r="EF163" s="40">
        <v>0.14718019793428966</v>
      </c>
      <c r="EG163" s="39">
        <v>0.14718019793428966</v>
      </c>
      <c r="EH163" s="40">
        <v>0</v>
      </c>
      <c r="EI163" s="66">
        <v>0</v>
      </c>
      <c r="EO163" s="83" t="s">
        <v>1152</v>
      </c>
      <c r="EP163" s="82" t="s">
        <v>439</v>
      </c>
      <c r="EQ163" s="81">
        <f t="shared" si="337"/>
        <v>5.8562470054176563</v>
      </c>
      <c r="ER163" s="80">
        <f>EQ163/SUM(EQ161:EQ169)</f>
        <v>0.17325073097252122</v>
      </c>
      <c r="ET163" s="73" t="s">
        <v>517</v>
      </c>
      <c r="EU163" s="72">
        <v>4.9740355203363222E-2</v>
      </c>
      <c r="EW163" s="37" t="s">
        <v>1152</v>
      </c>
      <c r="EX163" s="36" t="s">
        <v>1922</v>
      </c>
      <c r="EY163" s="36" t="s">
        <v>1129</v>
      </c>
      <c r="EZ163" s="1" t="s">
        <v>1910</v>
      </c>
      <c r="FA163" s="36" t="str">
        <f t="shared" si="338"/>
        <v>IMLOHT</v>
      </c>
      <c r="FB163" s="1" t="s">
        <v>517</v>
      </c>
      <c r="FC163" s="26">
        <f t="shared" si="339"/>
        <v>1.5351732425452957</v>
      </c>
      <c r="FD163" s="25">
        <f t="shared" si="340"/>
        <v>0.23758501280380395</v>
      </c>
      <c r="FE163" s="24">
        <f t="shared" si="341"/>
        <v>0.15476104339200919</v>
      </c>
      <c r="FF163" s="36">
        <v>0</v>
      </c>
      <c r="FG163" s="86">
        <f t="shared" si="342"/>
        <v>0</v>
      </c>
    </row>
    <row r="164" spans="1:163">
      <c r="A164" s="37" t="s">
        <v>1793</v>
      </c>
      <c r="B164" s="36" t="s">
        <v>1145</v>
      </c>
      <c r="C164" s="1" t="s">
        <v>1120</v>
      </c>
      <c r="D164" s="36" t="s">
        <v>1120</v>
      </c>
      <c r="E164" s="36" t="s">
        <v>1928</v>
      </c>
      <c r="F164" s="1" t="e">
        <f t="shared" ref="F164:F227" ca="1" si="391">EndUse(A164,B164,C164,G164)</f>
        <v>#NAME?</v>
      </c>
      <c r="G164" s="35" t="s">
        <v>1121</v>
      </c>
      <c r="H164" s="43">
        <v>1</v>
      </c>
      <c r="I164" s="42">
        <v>0</v>
      </c>
      <c r="J164" s="26">
        <v>0.63065463195968108</v>
      </c>
      <c r="K164" s="25">
        <v>0.53123596040394905</v>
      </c>
      <c r="L164" s="24"/>
      <c r="M164" s="25"/>
      <c r="N164" s="24"/>
      <c r="O164" s="25"/>
      <c r="P164" s="24"/>
      <c r="Q164" s="25"/>
      <c r="R164" s="32"/>
      <c r="S164" s="47">
        <v>1</v>
      </c>
      <c r="T164" s="45">
        <v>1</v>
      </c>
      <c r="U164" s="46">
        <v>1</v>
      </c>
      <c r="V164" s="45">
        <v>1</v>
      </c>
      <c r="W164" s="46">
        <v>1</v>
      </c>
      <c r="X164" s="45">
        <v>1</v>
      </c>
      <c r="Y164" s="46">
        <v>1</v>
      </c>
      <c r="Z164" s="45">
        <v>1</v>
      </c>
      <c r="AA164" s="44">
        <v>1</v>
      </c>
      <c r="AB164" s="26">
        <f t="shared" si="382"/>
        <v>0.63065463195968108</v>
      </c>
      <c r="AC164" s="25">
        <f t="shared" si="383"/>
        <v>0.53123596040394905</v>
      </c>
      <c r="AD164" s="24">
        <f t="shared" si="384"/>
        <v>0</v>
      </c>
      <c r="AE164" s="25">
        <f t="shared" si="385"/>
        <v>0</v>
      </c>
      <c r="AF164" s="24">
        <f t="shared" si="386"/>
        <v>0</v>
      </c>
      <c r="AG164" s="25">
        <f t="shared" si="387"/>
        <v>0</v>
      </c>
      <c r="AH164" s="24">
        <f t="shared" si="388"/>
        <v>0</v>
      </c>
      <c r="AI164" s="25">
        <f t="shared" si="389"/>
        <v>0</v>
      </c>
      <c r="AJ164" s="24">
        <f t="shared" si="390"/>
        <v>0</v>
      </c>
      <c r="AK164" s="27">
        <f t="shared" si="323"/>
        <v>1.1618905923636302</v>
      </c>
      <c r="AL164" s="41">
        <v>0</v>
      </c>
      <c r="AM164" s="40">
        <v>0</v>
      </c>
      <c r="AN164" s="39">
        <v>0</v>
      </c>
      <c r="AO164" s="40">
        <v>0</v>
      </c>
      <c r="AP164" s="39">
        <v>0</v>
      </c>
      <c r="AQ164" s="40">
        <v>0</v>
      </c>
      <c r="AR164" s="39">
        <v>0</v>
      </c>
      <c r="AS164" s="40">
        <v>0</v>
      </c>
      <c r="AT164" s="39">
        <v>0</v>
      </c>
      <c r="AU164" s="38">
        <v>0</v>
      </c>
      <c r="CS164" s="54" t="s">
        <v>1663</v>
      </c>
      <c r="CT164" s="39">
        <v>2.9653122814806885</v>
      </c>
      <c r="CU164" s="40">
        <v>8.1625070579774892</v>
      </c>
      <c r="CV164" s="39">
        <v>10.68854661118497</v>
      </c>
      <c r="CW164" s="40">
        <v>7.239606769053208</v>
      </c>
      <c r="CX164" s="39">
        <v>3.2804804479218039</v>
      </c>
      <c r="CY164" s="40">
        <v>2.8594165462074974</v>
      </c>
      <c r="CZ164" s="39">
        <v>9.9336198295325122</v>
      </c>
      <c r="DA164" s="40">
        <v>2.2797598504933894</v>
      </c>
      <c r="DB164" s="39">
        <v>1.429513262659337</v>
      </c>
      <c r="DC164" s="38">
        <v>48.838762656510895</v>
      </c>
      <c r="DE164" s="37" t="s">
        <v>1514</v>
      </c>
      <c r="DF164" s="35" t="str">
        <f t="shared" si="327"/>
        <v>IMSST</v>
      </c>
      <c r="DG164" s="26">
        <f t="shared" si="377"/>
        <v>0</v>
      </c>
      <c r="DH164" s="25">
        <f t="shared" si="377"/>
        <v>0</v>
      </c>
      <c r="DI164" s="24">
        <f t="shared" si="377"/>
        <v>3.6928411495384947E-16</v>
      </c>
      <c r="DJ164" s="25">
        <f t="shared" si="377"/>
        <v>0</v>
      </c>
      <c r="DK164" s="24">
        <f t="shared" si="377"/>
        <v>0</v>
      </c>
      <c r="DL164" s="25">
        <f t="shared" si="377"/>
        <v>0</v>
      </c>
      <c r="DM164" s="24">
        <f t="shared" si="377"/>
        <v>0</v>
      </c>
      <c r="DN164" s="25">
        <f t="shared" si="377"/>
        <v>0</v>
      </c>
      <c r="DO164" s="32">
        <f t="shared" si="377"/>
        <v>0</v>
      </c>
      <c r="DP164" s="26">
        <f t="shared" si="328"/>
        <v>0</v>
      </c>
      <c r="DQ164" s="25">
        <f t="shared" si="329"/>
        <v>0</v>
      </c>
      <c r="DR164" s="24">
        <f t="shared" si="330"/>
        <v>4.3426067332244639E-17</v>
      </c>
      <c r="DS164" s="25">
        <f t="shared" si="331"/>
        <v>0</v>
      </c>
      <c r="DT164" s="24">
        <f t="shared" si="332"/>
        <v>0</v>
      </c>
      <c r="DU164" s="25">
        <f t="shared" si="333"/>
        <v>0</v>
      </c>
      <c r="DV164" s="24">
        <f t="shared" si="334"/>
        <v>0</v>
      </c>
      <c r="DW164" s="25">
        <f t="shared" si="335"/>
        <v>0</v>
      </c>
      <c r="DX164" s="32">
        <f t="shared" si="336"/>
        <v>0</v>
      </c>
      <c r="DZ164" s="54" t="s">
        <v>1858</v>
      </c>
      <c r="EA164" s="39">
        <v>0.79646067012791588</v>
      </c>
      <c r="EB164" s="40">
        <v>0.79646067012791588</v>
      </c>
      <c r="EC164" s="39">
        <v>0.38256533375437085</v>
      </c>
      <c r="ED164" s="40">
        <v>0.38256533375437085</v>
      </c>
      <c r="EE164" s="39">
        <v>0.56330125541612652</v>
      </c>
      <c r="EF164" s="40">
        <v>0.56330125541612652</v>
      </c>
      <c r="EG164" s="39">
        <v>0.56330125541612663</v>
      </c>
      <c r="EH164" s="40">
        <v>0</v>
      </c>
      <c r="EI164" s="66">
        <v>0</v>
      </c>
      <c r="EO164" s="83" t="s">
        <v>1152</v>
      </c>
      <c r="EP164" s="82" t="s">
        <v>518</v>
      </c>
      <c r="EQ164" s="81">
        <f t="shared" si="337"/>
        <v>3.9604264401412914</v>
      </c>
      <c r="ER164" s="80">
        <f>EQ164/SUM(EQ161:EQ169)</f>
        <v>0.11716493089902448</v>
      </c>
      <c r="ET164" s="73" t="s">
        <v>519</v>
      </c>
      <c r="EU164" s="72">
        <v>4.3702571812708861E-2</v>
      </c>
      <c r="EW164" s="37" t="s">
        <v>1152</v>
      </c>
      <c r="EX164" s="36" t="s">
        <v>1922</v>
      </c>
      <c r="EY164" s="36" t="s">
        <v>1129</v>
      </c>
      <c r="EZ164" s="1" t="s">
        <v>1910</v>
      </c>
      <c r="FA164" s="36" t="str">
        <f t="shared" si="338"/>
        <v>IMLOHT</v>
      </c>
      <c r="FB164" s="1" t="s">
        <v>519</v>
      </c>
      <c r="FC164" s="26">
        <f t="shared" si="339"/>
        <v>1.3381270947095341</v>
      </c>
      <c r="FD164" s="25">
        <f t="shared" si="340"/>
        <v>0.20708994536836534</v>
      </c>
      <c r="FE164" s="24">
        <f t="shared" si="341"/>
        <v>0.15476104339200913</v>
      </c>
      <c r="FF164" s="36">
        <v>0</v>
      </c>
      <c r="FG164" s="86">
        <f t="shared" si="342"/>
        <v>0</v>
      </c>
    </row>
    <row r="165" spans="1:163">
      <c r="A165" s="37" t="s">
        <v>1793</v>
      </c>
      <c r="B165" s="36" t="s">
        <v>1145</v>
      </c>
      <c r="C165" s="1" t="s">
        <v>1126</v>
      </c>
      <c r="D165" s="36" t="s">
        <v>1126</v>
      </c>
      <c r="E165" s="36" t="s">
        <v>1927</v>
      </c>
      <c r="F165" s="1" t="e">
        <f t="shared" ca="1" si="391"/>
        <v>#NAME?</v>
      </c>
      <c r="G165" s="35" t="s">
        <v>1121</v>
      </c>
      <c r="H165" s="43">
        <v>1</v>
      </c>
      <c r="I165" s="42">
        <v>0</v>
      </c>
      <c r="J165" s="26">
        <v>45.119825399099113</v>
      </c>
      <c r="K165" s="25">
        <v>28.566974180164738</v>
      </c>
      <c r="L165" s="24"/>
      <c r="M165" s="25"/>
      <c r="N165" s="24"/>
      <c r="O165" s="25"/>
      <c r="P165" s="24"/>
      <c r="Q165" s="25"/>
      <c r="R165" s="32"/>
      <c r="S165" s="47">
        <v>1</v>
      </c>
      <c r="T165" s="45">
        <v>1</v>
      </c>
      <c r="U165" s="46">
        <v>1</v>
      </c>
      <c r="V165" s="45">
        <v>1</v>
      </c>
      <c r="W165" s="46">
        <v>1</v>
      </c>
      <c r="X165" s="45">
        <v>1</v>
      </c>
      <c r="Y165" s="46">
        <v>1</v>
      </c>
      <c r="Z165" s="45">
        <v>1</v>
      </c>
      <c r="AA165" s="44">
        <v>1</v>
      </c>
      <c r="AB165" s="26">
        <f t="shared" si="382"/>
        <v>45.119825399099113</v>
      </c>
      <c r="AC165" s="25">
        <f t="shared" si="383"/>
        <v>28.566974180164738</v>
      </c>
      <c r="AD165" s="24">
        <f t="shared" si="384"/>
        <v>0</v>
      </c>
      <c r="AE165" s="25">
        <f t="shared" si="385"/>
        <v>0</v>
      </c>
      <c r="AF165" s="24">
        <f t="shared" si="386"/>
        <v>0</v>
      </c>
      <c r="AG165" s="25">
        <f t="shared" si="387"/>
        <v>0</v>
      </c>
      <c r="AH165" s="24">
        <f t="shared" si="388"/>
        <v>0</v>
      </c>
      <c r="AI165" s="25">
        <f t="shared" si="389"/>
        <v>0</v>
      </c>
      <c r="AJ165" s="24">
        <f t="shared" si="390"/>
        <v>0</v>
      </c>
      <c r="AK165" s="27">
        <f t="shared" si="323"/>
        <v>73.686799579263848</v>
      </c>
      <c r="AL165" s="41">
        <v>0</v>
      </c>
      <c r="AM165" s="40">
        <v>0</v>
      </c>
      <c r="AN165" s="39">
        <v>0</v>
      </c>
      <c r="AO165" s="40">
        <v>0</v>
      </c>
      <c r="AP165" s="39">
        <v>0</v>
      </c>
      <c r="AQ165" s="40">
        <v>0</v>
      </c>
      <c r="AR165" s="39">
        <v>0</v>
      </c>
      <c r="AS165" s="40">
        <v>0</v>
      </c>
      <c r="AT165" s="39">
        <v>0</v>
      </c>
      <c r="AU165" s="38">
        <v>0</v>
      </c>
      <c r="CS165" s="54" t="s">
        <v>1659</v>
      </c>
      <c r="CT165" s="39">
        <v>1.5103365431227072</v>
      </c>
      <c r="CU165" s="40">
        <v>4.157448363922243</v>
      </c>
      <c r="CV165" s="39">
        <v>3.620426042230382</v>
      </c>
      <c r="CW165" s="40">
        <v>2.4522006438892077</v>
      </c>
      <c r="CX165" s="39">
        <v>0</v>
      </c>
      <c r="CY165" s="40">
        <v>0</v>
      </c>
      <c r="CZ165" s="39">
        <v>0</v>
      </c>
      <c r="DA165" s="40">
        <v>0.58058043890487121</v>
      </c>
      <c r="DB165" s="39">
        <v>0.36405037893595404</v>
      </c>
      <c r="DC165" s="38">
        <v>12.685042411005364</v>
      </c>
      <c r="DE165" s="37" t="s">
        <v>1171</v>
      </c>
      <c r="DF165" s="35" t="str">
        <f t="shared" si="327"/>
        <v>IPLST</v>
      </c>
      <c r="DG165" s="26">
        <f t="shared" si="377"/>
        <v>0</v>
      </c>
      <c r="DH165" s="25">
        <f t="shared" si="377"/>
        <v>0</v>
      </c>
      <c r="DI165" s="24">
        <f t="shared" si="377"/>
        <v>0</v>
      </c>
      <c r="DJ165" s="25">
        <f t="shared" si="377"/>
        <v>0</v>
      </c>
      <c r="DK165" s="24">
        <f t="shared" si="377"/>
        <v>0</v>
      </c>
      <c r="DL165" s="25">
        <f t="shared" si="377"/>
        <v>0</v>
      </c>
      <c r="DM165" s="24">
        <f t="shared" si="377"/>
        <v>0</v>
      </c>
      <c r="DN165" s="25">
        <f t="shared" si="377"/>
        <v>0</v>
      </c>
      <c r="DO165" s="32">
        <f t="shared" si="377"/>
        <v>0</v>
      </c>
      <c r="DP165" s="26">
        <f t="shared" si="328"/>
        <v>0</v>
      </c>
      <c r="DQ165" s="25">
        <f t="shared" si="329"/>
        <v>0</v>
      </c>
      <c r="DR165" s="24">
        <f t="shared" si="330"/>
        <v>0</v>
      </c>
      <c r="DS165" s="25">
        <f t="shared" si="331"/>
        <v>0</v>
      </c>
      <c r="DT165" s="24">
        <f t="shared" si="332"/>
        <v>0</v>
      </c>
      <c r="DU165" s="25">
        <f t="shared" si="333"/>
        <v>0</v>
      </c>
      <c r="DV165" s="24">
        <f t="shared" si="334"/>
        <v>0</v>
      </c>
      <c r="DW165" s="25">
        <f t="shared" si="335"/>
        <v>0</v>
      </c>
      <c r="DX165" s="32">
        <f t="shared" si="336"/>
        <v>0</v>
      </c>
      <c r="DZ165" s="54" t="s">
        <v>1870</v>
      </c>
      <c r="EA165" s="39">
        <v>0.15602021365729318</v>
      </c>
      <c r="EB165" s="40">
        <v>0.15602021365729318</v>
      </c>
      <c r="EC165" s="39">
        <v>8.6182678506574351E-2</v>
      </c>
      <c r="ED165" s="40">
        <v>8.6182678506574351E-2</v>
      </c>
      <c r="EE165" s="39">
        <v>2.285742033538166E-2</v>
      </c>
      <c r="EF165" s="40">
        <v>2.285742033538166E-2</v>
      </c>
      <c r="EG165" s="39">
        <v>2.285742033538166E-2</v>
      </c>
      <c r="EH165" s="40">
        <v>0.817855770822846</v>
      </c>
      <c r="EI165" s="66">
        <v>0.81785577082284588</v>
      </c>
      <c r="EO165" s="83" t="s">
        <v>1152</v>
      </c>
      <c r="EP165" s="82" t="s">
        <v>517</v>
      </c>
      <c r="EQ165" s="81">
        <f t="shared" si="337"/>
        <v>1.5351732425452957</v>
      </c>
      <c r="ER165" s="80">
        <f>EQ165/SUM(EQ161:EQ169)</f>
        <v>4.541643926466514E-2</v>
      </c>
      <c r="ET165" s="73" t="s">
        <v>520</v>
      </c>
      <c r="EU165" s="72">
        <v>0.14868054221740812</v>
      </c>
      <c r="EW165" s="37" t="s">
        <v>1152</v>
      </c>
      <c r="EX165" s="36" t="s">
        <v>1922</v>
      </c>
      <c r="EY165" s="36" t="s">
        <v>1129</v>
      </c>
      <c r="EZ165" s="1" t="s">
        <v>1910</v>
      </c>
      <c r="FA165" s="36" t="str">
        <f t="shared" si="338"/>
        <v>IMLOHT</v>
      </c>
      <c r="FB165" s="1" t="s">
        <v>520</v>
      </c>
      <c r="FC165" s="26">
        <f t="shared" si="339"/>
        <v>4.6486566849000708</v>
      </c>
      <c r="FD165" s="25">
        <f t="shared" si="340"/>
        <v>0.71943095892637332</v>
      </c>
      <c r="FE165" s="24">
        <f t="shared" si="341"/>
        <v>0.15476104339200916</v>
      </c>
      <c r="FF165" s="36">
        <v>0</v>
      </c>
      <c r="FG165" s="86">
        <f t="shared" si="342"/>
        <v>0</v>
      </c>
    </row>
    <row r="166" spans="1:163">
      <c r="A166" s="37" t="s">
        <v>1793</v>
      </c>
      <c r="B166" s="36" t="s">
        <v>1145</v>
      </c>
      <c r="C166" s="1" t="s">
        <v>456</v>
      </c>
      <c r="D166" s="36" t="s">
        <v>456</v>
      </c>
      <c r="E166" s="36" t="s">
        <v>1926</v>
      </c>
      <c r="F166" s="1" t="e">
        <f t="shared" ca="1" si="391"/>
        <v>#NAME?</v>
      </c>
      <c r="G166" s="35" t="s">
        <v>1121</v>
      </c>
      <c r="H166" s="43">
        <v>1</v>
      </c>
      <c r="I166" s="42">
        <v>0</v>
      </c>
      <c r="J166" s="26">
        <v>4.9828653993031464</v>
      </c>
      <c r="K166" s="25">
        <v>2.3085416858912491</v>
      </c>
      <c r="L166" s="24"/>
      <c r="M166" s="25"/>
      <c r="N166" s="24"/>
      <c r="O166" s="25"/>
      <c r="P166" s="24"/>
      <c r="Q166" s="25"/>
      <c r="R166" s="32"/>
      <c r="S166" s="47">
        <v>1</v>
      </c>
      <c r="T166" s="45">
        <v>1</v>
      </c>
      <c r="U166" s="46">
        <v>1</v>
      </c>
      <c r="V166" s="45">
        <v>1</v>
      </c>
      <c r="W166" s="46">
        <v>1</v>
      </c>
      <c r="X166" s="45">
        <v>1</v>
      </c>
      <c r="Y166" s="46">
        <v>1</v>
      </c>
      <c r="Z166" s="45">
        <v>1</v>
      </c>
      <c r="AA166" s="44">
        <v>1</v>
      </c>
      <c r="AB166" s="26">
        <f t="shared" si="382"/>
        <v>4.9828653993031464</v>
      </c>
      <c r="AC166" s="25">
        <f t="shared" si="383"/>
        <v>2.3085416858912491</v>
      </c>
      <c r="AD166" s="24">
        <f t="shared" si="384"/>
        <v>0</v>
      </c>
      <c r="AE166" s="25">
        <f t="shared" si="385"/>
        <v>0</v>
      </c>
      <c r="AF166" s="24">
        <f t="shared" si="386"/>
        <v>0</v>
      </c>
      <c r="AG166" s="25">
        <f t="shared" si="387"/>
        <v>0</v>
      </c>
      <c r="AH166" s="24">
        <f t="shared" si="388"/>
        <v>0</v>
      </c>
      <c r="AI166" s="25">
        <f t="shared" si="389"/>
        <v>0</v>
      </c>
      <c r="AJ166" s="24">
        <f t="shared" si="390"/>
        <v>0</v>
      </c>
      <c r="AK166" s="27">
        <f t="shared" si="323"/>
        <v>7.2914070851943951</v>
      </c>
      <c r="AL166" s="41">
        <v>0</v>
      </c>
      <c r="AM166" s="40">
        <v>0</v>
      </c>
      <c r="AN166" s="39">
        <v>0</v>
      </c>
      <c r="AO166" s="40">
        <v>0</v>
      </c>
      <c r="AP166" s="39">
        <v>0</v>
      </c>
      <c r="AQ166" s="40">
        <v>0</v>
      </c>
      <c r="AR166" s="39">
        <v>0</v>
      </c>
      <c r="AS166" s="40">
        <v>0</v>
      </c>
      <c r="AT166" s="39">
        <v>0</v>
      </c>
      <c r="AU166" s="38">
        <v>0</v>
      </c>
      <c r="CS166" s="54" t="s">
        <v>1925</v>
      </c>
      <c r="CT166" s="39">
        <v>7.8034533723176008E-2</v>
      </c>
      <c r="CU166" s="40">
        <v>0.21480281731519707</v>
      </c>
      <c r="CV166" s="39">
        <v>0.28127754239960445</v>
      </c>
      <c r="CW166" s="40">
        <v>0.19051596760666337</v>
      </c>
      <c r="CX166" s="39">
        <v>8.6328432840047473E-2</v>
      </c>
      <c r="CY166" s="40">
        <v>7.5247803847565714E-2</v>
      </c>
      <c r="CZ166" s="39">
        <v>0.26141104814559241</v>
      </c>
      <c r="DA166" s="40">
        <v>5.9993680276141825E-2</v>
      </c>
      <c r="DB166" s="39">
        <v>3.761877006998255E-2</v>
      </c>
      <c r="DC166" s="38">
        <v>1.2852305962239707</v>
      </c>
      <c r="DE166" s="37" t="s">
        <v>1162</v>
      </c>
      <c r="DF166" s="35" t="str">
        <f t="shared" si="327"/>
        <v>IPLST</v>
      </c>
      <c r="DG166" s="26">
        <f t="shared" si="377"/>
        <v>0.68093370485576654</v>
      </c>
      <c r="DH166" s="25">
        <f t="shared" si="377"/>
        <v>0.52510028453236013</v>
      </c>
      <c r="DI166" s="24">
        <f t="shared" si="377"/>
        <v>0</v>
      </c>
      <c r="DJ166" s="25">
        <f t="shared" si="377"/>
        <v>0</v>
      </c>
      <c r="DK166" s="24">
        <f t="shared" si="377"/>
        <v>3.1725078976564047</v>
      </c>
      <c r="DL166" s="25">
        <f t="shared" si="377"/>
        <v>1.0956975032870886</v>
      </c>
      <c r="DM166" s="24">
        <f t="shared" si="377"/>
        <v>0.79133708570734185</v>
      </c>
      <c r="DN166" s="25">
        <f t="shared" si="377"/>
        <v>6.4012225162040096E-2</v>
      </c>
      <c r="DO166" s="32">
        <f t="shared" si="377"/>
        <v>3.0622622806358617</v>
      </c>
      <c r="DP166" s="26">
        <f t="shared" si="328"/>
        <v>1</v>
      </c>
      <c r="DQ166" s="25">
        <f t="shared" si="329"/>
        <v>1</v>
      </c>
      <c r="DR166" s="24">
        <f t="shared" si="330"/>
        <v>0</v>
      </c>
      <c r="DS166" s="25">
        <f t="shared" si="331"/>
        <v>0</v>
      </c>
      <c r="DT166" s="24">
        <f t="shared" si="332"/>
        <v>0.94686436387333184</v>
      </c>
      <c r="DU166" s="25">
        <f t="shared" si="333"/>
        <v>0.86220263486541715</v>
      </c>
      <c r="DV166" s="24">
        <f t="shared" si="334"/>
        <v>0.63270476011734322</v>
      </c>
      <c r="DW166" s="25">
        <f t="shared" si="335"/>
        <v>1</v>
      </c>
      <c r="DX166" s="32">
        <f t="shared" si="336"/>
        <v>1</v>
      </c>
      <c r="DZ166" s="54" t="s">
        <v>1868</v>
      </c>
      <c r="EA166" s="39">
        <v>0</v>
      </c>
      <c r="EB166" s="40">
        <v>0</v>
      </c>
      <c r="EC166" s="39">
        <v>0</v>
      </c>
      <c r="ED166" s="40">
        <v>0</v>
      </c>
      <c r="EE166" s="39">
        <v>4.4980854609257036E-3</v>
      </c>
      <c r="EF166" s="40">
        <v>4.4980854609257036E-3</v>
      </c>
      <c r="EG166" s="39">
        <v>4.4980854609257045E-3</v>
      </c>
      <c r="EH166" s="40">
        <v>0</v>
      </c>
      <c r="EI166" s="66">
        <v>0</v>
      </c>
      <c r="EO166" s="83" t="s">
        <v>1152</v>
      </c>
      <c r="EP166" s="82" t="s">
        <v>519</v>
      </c>
      <c r="EQ166" s="81">
        <f t="shared" si="337"/>
        <v>1.3381270947095341</v>
      </c>
      <c r="ER166" s="80">
        <f>EQ166/SUM(EQ161:EQ169)</f>
        <v>3.9587042192396241E-2</v>
      </c>
      <c r="ET166" s="73" t="s">
        <v>521</v>
      </c>
      <c r="EU166" s="72">
        <v>1.4178310608016362E-2</v>
      </c>
      <c r="EW166" s="37" t="s">
        <v>1152</v>
      </c>
      <c r="EX166" s="36" t="s">
        <v>1922</v>
      </c>
      <c r="EY166" s="36" t="s">
        <v>1129</v>
      </c>
      <c r="EZ166" s="1" t="s">
        <v>1910</v>
      </c>
      <c r="FA166" s="36" t="str">
        <f t="shared" si="338"/>
        <v>IMLOHT</v>
      </c>
      <c r="FB166" s="1" t="s">
        <v>521</v>
      </c>
      <c r="FC166" s="26">
        <f t="shared" si="339"/>
        <v>0.70238912238446283</v>
      </c>
      <c r="FD166" s="25">
        <f t="shared" si="340"/>
        <v>0.11924537281588643</v>
      </c>
      <c r="FE166" s="24">
        <f t="shared" si="341"/>
        <v>0.16977109840635565</v>
      </c>
      <c r="FF166" s="36">
        <v>0</v>
      </c>
      <c r="FG166" s="86">
        <f t="shared" si="342"/>
        <v>0</v>
      </c>
    </row>
    <row r="167" spans="1:163">
      <c r="A167" s="37" t="s">
        <v>1793</v>
      </c>
      <c r="B167" s="36" t="s">
        <v>1145</v>
      </c>
      <c r="C167" s="1" t="s">
        <v>665</v>
      </c>
      <c r="D167" s="36" t="s">
        <v>665</v>
      </c>
      <c r="E167" s="36" t="s">
        <v>1924</v>
      </c>
      <c r="F167" s="1" t="e">
        <f t="shared" ca="1" si="391"/>
        <v>#NAME?</v>
      </c>
      <c r="G167" s="35" t="s">
        <v>1121</v>
      </c>
      <c r="H167" s="43">
        <v>1</v>
      </c>
      <c r="I167" s="42">
        <v>0</v>
      </c>
      <c r="J167" s="26">
        <v>41.69353488737115</v>
      </c>
      <c r="K167" s="25">
        <v>18.36525983427115</v>
      </c>
      <c r="L167" s="24"/>
      <c r="M167" s="25"/>
      <c r="N167" s="24"/>
      <c r="O167" s="25"/>
      <c r="P167" s="24"/>
      <c r="Q167" s="25"/>
      <c r="R167" s="32"/>
      <c r="S167" s="47">
        <v>1</v>
      </c>
      <c r="T167" s="45">
        <v>1</v>
      </c>
      <c r="U167" s="46">
        <v>1</v>
      </c>
      <c r="V167" s="45">
        <v>1</v>
      </c>
      <c r="W167" s="46">
        <v>1</v>
      </c>
      <c r="X167" s="45">
        <v>1</v>
      </c>
      <c r="Y167" s="46">
        <v>1</v>
      </c>
      <c r="Z167" s="45">
        <v>1</v>
      </c>
      <c r="AA167" s="44">
        <v>1</v>
      </c>
      <c r="AB167" s="26">
        <f t="shared" si="382"/>
        <v>41.69353488737115</v>
      </c>
      <c r="AC167" s="25">
        <f t="shared" si="383"/>
        <v>18.36525983427115</v>
      </c>
      <c r="AD167" s="24">
        <f t="shared" si="384"/>
        <v>0</v>
      </c>
      <c r="AE167" s="25">
        <f t="shared" si="385"/>
        <v>0</v>
      </c>
      <c r="AF167" s="24">
        <f t="shared" si="386"/>
        <v>0</v>
      </c>
      <c r="AG167" s="25">
        <f t="shared" si="387"/>
        <v>0</v>
      </c>
      <c r="AH167" s="24">
        <f t="shared" si="388"/>
        <v>0</v>
      </c>
      <c r="AI167" s="25">
        <f t="shared" si="389"/>
        <v>0</v>
      </c>
      <c r="AJ167" s="24">
        <f t="shared" si="390"/>
        <v>0</v>
      </c>
      <c r="AK167" s="27">
        <f t="shared" si="323"/>
        <v>60.0587947216423</v>
      </c>
      <c r="AL167" s="41">
        <v>0</v>
      </c>
      <c r="AM167" s="40">
        <v>0</v>
      </c>
      <c r="AN167" s="39">
        <v>0</v>
      </c>
      <c r="AO167" s="40">
        <v>0</v>
      </c>
      <c r="AP167" s="39">
        <v>0</v>
      </c>
      <c r="AQ167" s="40">
        <v>0</v>
      </c>
      <c r="AR167" s="39">
        <v>0</v>
      </c>
      <c r="AS167" s="40">
        <v>0</v>
      </c>
      <c r="AT167" s="39">
        <v>0</v>
      </c>
      <c r="AU167" s="38">
        <v>0</v>
      </c>
      <c r="CS167" s="54" t="s">
        <v>1923</v>
      </c>
      <c r="CT167" s="39">
        <v>1.0779281174605011E-2</v>
      </c>
      <c r="CU167" s="40">
        <v>2.9671734480424674E-2</v>
      </c>
      <c r="CV167" s="39">
        <v>0.11254321252539011</v>
      </c>
      <c r="CW167" s="40">
        <v>7.6228193864748453E-2</v>
      </c>
      <c r="CX167" s="39">
        <v>3.3022957554517993E-2</v>
      </c>
      <c r="CY167" s="40">
        <v>2.8784317643446428E-2</v>
      </c>
      <c r="CZ167" s="39">
        <v>9.9996787422154371E-2</v>
      </c>
      <c r="DA167" s="40">
        <v>4.1436061544878758E-3</v>
      </c>
      <c r="DB167" s="39">
        <v>2.5982297880170727E-3</v>
      </c>
      <c r="DC167" s="38">
        <v>0.39776832060779194</v>
      </c>
      <c r="DE167" s="37" t="s">
        <v>1168</v>
      </c>
      <c r="DF167" s="35" t="str">
        <f t="shared" si="327"/>
        <v>IPLST</v>
      </c>
      <c r="DG167" s="26">
        <f t="shared" si="377"/>
        <v>0</v>
      </c>
      <c r="DH167" s="25">
        <f t="shared" si="377"/>
        <v>0</v>
      </c>
      <c r="DI167" s="24">
        <f t="shared" si="377"/>
        <v>0</v>
      </c>
      <c r="DJ167" s="25">
        <f t="shared" si="377"/>
        <v>0</v>
      </c>
      <c r="DK167" s="24">
        <f t="shared" si="377"/>
        <v>0.17803312880978034</v>
      </c>
      <c r="DL167" s="25">
        <f t="shared" si="377"/>
        <v>0.17511455292765277</v>
      </c>
      <c r="DM167" s="24">
        <f t="shared" si="377"/>
        <v>0.45938384384687581</v>
      </c>
      <c r="DN167" s="25">
        <f t="shared" si="377"/>
        <v>0</v>
      </c>
      <c r="DO167" s="32">
        <f t="shared" si="377"/>
        <v>0</v>
      </c>
      <c r="DP167" s="26">
        <f t="shared" si="328"/>
        <v>0</v>
      </c>
      <c r="DQ167" s="25">
        <f t="shared" si="329"/>
        <v>0</v>
      </c>
      <c r="DR167" s="24">
        <f t="shared" si="330"/>
        <v>0</v>
      </c>
      <c r="DS167" s="25">
        <f t="shared" si="331"/>
        <v>0</v>
      </c>
      <c r="DT167" s="24">
        <f t="shared" si="332"/>
        <v>5.3135636126668127E-2</v>
      </c>
      <c r="DU167" s="25">
        <f t="shared" si="333"/>
        <v>0.13779736513458288</v>
      </c>
      <c r="DV167" s="24">
        <f t="shared" si="334"/>
        <v>0.36729523988265672</v>
      </c>
      <c r="DW167" s="25">
        <f t="shared" si="335"/>
        <v>0</v>
      </c>
      <c r="DX167" s="32">
        <f t="shared" si="336"/>
        <v>0</v>
      </c>
      <c r="DZ167" s="54" t="s">
        <v>1866</v>
      </c>
      <c r="EA167" s="39">
        <v>0</v>
      </c>
      <c r="EB167" s="40">
        <v>0</v>
      </c>
      <c r="EC167" s="39">
        <v>0.47530476574647251</v>
      </c>
      <c r="ED167" s="40">
        <v>0.47530476574647257</v>
      </c>
      <c r="EE167" s="39">
        <v>0.2526650825268732</v>
      </c>
      <c r="EF167" s="40">
        <v>0.2526650825268732</v>
      </c>
      <c r="EG167" s="39">
        <v>0.2526650825268732</v>
      </c>
      <c r="EH167" s="40">
        <v>0</v>
      </c>
      <c r="EI167" s="66">
        <v>0</v>
      </c>
      <c r="EO167" s="83" t="s">
        <v>1152</v>
      </c>
      <c r="EP167" s="82" t="s">
        <v>520</v>
      </c>
      <c r="EQ167" s="81">
        <f t="shared" si="337"/>
        <v>4.6486566849000708</v>
      </c>
      <c r="ER167" s="80">
        <f>EQ167/SUM(EQ161:EQ169)</f>
        <v>0.13752547799882223</v>
      </c>
      <c r="ET167" s="73" t="s">
        <v>522</v>
      </c>
      <c r="EU167" s="72">
        <v>1.2009597869582405E-2</v>
      </c>
      <c r="EW167" s="22" t="s">
        <v>1152</v>
      </c>
      <c r="EX167" s="20" t="s">
        <v>1922</v>
      </c>
      <c r="EY167" s="20" t="s">
        <v>1129</v>
      </c>
      <c r="EZ167" s="85" t="s">
        <v>1910</v>
      </c>
      <c r="FA167" s="20" t="str">
        <f t="shared" si="338"/>
        <v>IMLOHT</v>
      </c>
      <c r="FB167" s="78" t="s">
        <v>522</v>
      </c>
      <c r="FC167" s="11">
        <f t="shared" si="339"/>
        <v>0.48599275309370837</v>
      </c>
      <c r="FD167" s="10">
        <f t="shared" si="340"/>
        <v>7.4772280033870667E-2</v>
      </c>
      <c r="FE167" s="9">
        <f t="shared" si="341"/>
        <v>0.1538547222317391</v>
      </c>
      <c r="FF167" s="20">
        <v>0</v>
      </c>
      <c r="FG167" s="84">
        <f t="shared" si="342"/>
        <v>0</v>
      </c>
    </row>
    <row r="168" spans="1:163">
      <c r="A168" s="37" t="s">
        <v>1793</v>
      </c>
      <c r="B168" s="36" t="s">
        <v>1145</v>
      </c>
      <c r="C168" s="1" t="s">
        <v>1111</v>
      </c>
      <c r="D168" s="36" t="s">
        <v>1111</v>
      </c>
      <c r="E168" s="36" t="s">
        <v>1921</v>
      </c>
      <c r="F168" s="1" t="e">
        <f t="shared" ca="1" si="391"/>
        <v>#NAME?</v>
      </c>
      <c r="G168" s="35" t="s">
        <v>1121</v>
      </c>
      <c r="H168" s="43">
        <v>1</v>
      </c>
      <c r="I168" s="42">
        <v>0</v>
      </c>
      <c r="J168" s="26">
        <v>0</v>
      </c>
      <c r="K168" s="25">
        <v>9.6741377856191191E-2</v>
      </c>
      <c r="L168" s="24"/>
      <c r="M168" s="25"/>
      <c r="N168" s="24"/>
      <c r="O168" s="25"/>
      <c r="P168" s="24"/>
      <c r="Q168" s="25"/>
      <c r="R168" s="32"/>
      <c r="S168" s="47">
        <v>1</v>
      </c>
      <c r="T168" s="45">
        <v>1</v>
      </c>
      <c r="U168" s="46">
        <v>1</v>
      </c>
      <c r="V168" s="45">
        <v>1</v>
      </c>
      <c r="W168" s="46">
        <v>1</v>
      </c>
      <c r="X168" s="45">
        <v>1</v>
      </c>
      <c r="Y168" s="46">
        <v>1</v>
      </c>
      <c r="Z168" s="45">
        <v>1</v>
      </c>
      <c r="AA168" s="44">
        <v>1</v>
      </c>
      <c r="AB168" s="26">
        <f t="shared" si="382"/>
        <v>0</v>
      </c>
      <c r="AC168" s="25">
        <f t="shared" si="383"/>
        <v>9.6741377856191191E-2</v>
      </c>
      <c r="AD168" s="24">
        <f t="shared" si="384"/>
        <v>0</v>
      </c>
      <c r="AE168" s="25">
        <f t="shared" si="385"/>
        <v>0</v>
      </c>
      <c r="AF168" s="24">
        <f t="shared" si="386"/>
        <v>0</v>
      </c>
      <c r="AG168" s="25">
        <f t="shared" si="387"/>
        <v>0</v>
      </c>
      <c r="AH168" s="24">
        <f t="shared" si="388"/>
        <v>0</v>
      </c>
      <c r="AI168" s="25">
        <f t="shared" si="389"/>
        <v>0</v>
      </c>
      <c r="AJ168" s="24">
        <f t="shared" si="390"/>
        <v>0</v>
      </c>
      <c r="AK168" s="27">
        <f t="shared" si="323"/>
        <v>9.6741377856191191E-2</v>
      </c>
      <c r="AL168" s="41">
        <v>0</v>
      </c>
      <c r="AM168" s="40">
        <v>0</v>
      </c>
      <c r="AN168" s="39">
        <v>0</v>
      </c>
      <c r="AO168" s="40">
        <v>0</v>
      </c>
      <c r="AP168" s="39">
        <v>0</v>
      </c>
      <c r="AQ168" s="40">
        <v>0</v>
      </c>
      <c r="AR168" s="39">
        <v>0</v>
      </c>
      <c r="AS168" s="40">
        <v>0</v>
      </c>
      <c r="AT168" s="39">
        <v>0</v>
      </c>
      <c r="AU168" s="38">
        <v>0</v>
      </c>
      <c r="CS168" s="54" t="s">
        <v>1920</v>
      </c>
      <c r="CT168" s="39">
        <v>0</v>
      </c>
      <c r="CU168" s="40">
        <v>0</v>
      </c>
      <c r="CV168" s="39">
        <v>0.42778656688941252</v>
      </c>
      <c r="CW168" s="40">
        <v>0</v>
      </c>
      <c r="CX168" s="39">
        <v>0</v>
      </c>
      <c r="CY168" s="40">
        <v>0</v>
      </c>
      <c r="CZ168" s="39">
        <v>0</v>
      </c>
      <c r="DA168" s="40">
        <v>0</v>
      </c>
      <c r="DB168" s="39">
        <v>0</v>
      </c>
      <c r="DC168" s="38">
        <v>0.42778656688941252</v>
      </c>
      <c r="DE168" s="37" t="s">
        <v>1482</v>
      </c>
      <c r="DF168" s="35" t="str">
        <f t="shared" si="327"/>
        <v>IMLST</v>
      </c>
      <c r="DG168" s="26">
        <f t="shared" ref="DG168:DO177" si="392">GETPIVOTDATA("Sum of "&amp;DG$1&amp;" (Out)",$CS$6,"Constraint Identifier",$DE168)</f>
        <v>0</v>
      </c>
      <c r="DH168" s="25">
        <f t="shared" si="392"/>
        <v>0.3344675004435278</v>
      </c>
      <c r="DI168" s="24">
        <f t="shared" si="392"/>
        <v>9.0782356205638647E-3</v>
      </c>
      <c r="DJ168" s="25">
        <f t="shared" si="392"/>
        <v>0</v>
      </c>
      <c r="DK168" s="24">
        <f t="shared" si="392"/>
        <v>0</v>
      </c>
      <c r="DL168" s="25">
        <f t="shared" si="392"/>
        <v>0</v>
      </c>
      <c r="DM168" s="24">
        <f t="shared" si="392"/>
        <v>0</v>
      </c>
      <c r="DN168" s="25">
        <f t="shared" si="392"/>
        <v>0</v>
      </c>
      <c r="DO168" s="32">
        <f t="shared" si="392"/>
        <v>4.556278158642952E-2</v>
      </c>
      <c r="DP168" s="26">
        <f t="shared" si="328"/>
        <v>0</v>
      </c>
      <c r="DQ168" s="25">
        <f t="shared" si="329"/>
        <v>1</v>
      </c>
      <c r="DR168" s="24">
        <f t="shared" si="330"/>
        <v>1</v>
      </c>
      <c r="DS168" s="25">
        <f t="shared" si="331"/>
        <v>0</v>
      </c>
      <c r="DT168" s="24">
        <f t="shared" si="332"/>
        <v>0</v>
      </c>
      <c r="DU168" s="25">
        <f t="shared" si="333"/>
        <v>0</v>
      </c>
      <c r="DV168" s="24">
        <f t="shared" si="334"/>
        <v>0</v>
      </c>
      <c r="DW168" s="25">
        <f t="shared" si="335"/>
        <v>0</v>
      </c>
      <c r="DX168" s="32">
        <f t="shared" si="336"/>
        <v>1</v>
      </c>
      <c r="DZ168" s="54" t="s">
        <v>1861</v>
      </c>
      <c r="EA168" s="39">
        <v>4.7519116214790921E-2</v>
      </c>
      <c r="EB168" s="40">
        <v>4.7519116214790928E-2</v>
      </c>
      <c r="EC168" s="39">
        <v>2.6546396946311789E-2</v>
      </c>
      <c r="ED168" s="40">
        <v>2.6546396946311789E-2</v>
      </c>
      <c r="EE168" s="39">
        <v>9.4979583264032646E-3</v>
      </c>
      <c r="EF168" s="40">
        <v>9.4979583264032663E-3</v>
      </c>
      <c r="EG168" s="39">
        <v>9.4979583264032663E-3</v>
      </c>
      <c r="EH168" s="40">
        <v>0.18214422917715403</v>
      </c>
      <c r="EI168" s="66">
        <v>0.18214422917715403</v>
      </c>
      <c r="EO168" s="83" t="s">
        <v>1152</v>
      </c>
      <c r="EP168" s="82" t="s">
        <v>521</v>
      </c>
      <c r="EQ168" s="81">
        <f t="shared" ref="EQ168:EQ178" si="393">GETPIVOTDATA("Sum of "&amp;EP168&amp;" (Out)",$AW$6,"Sub-Sector",EO168)</f>
        <v>0.70238912238446283</v>
      </c>
      <c r="ER168" s="80">
        <f>EQ168/SUM(EQ161:EQ169)</f>
        <v>2.0779422173907637E-2</v>
      </c>
      <c r="ET168" s="74" t="s">
        <v>1164</v>
      </c>
      <c r="EU168" s="70">
        <v>1</v>
      </c>
      <c r="EW168" s="37" t="s">
        <v>1108</v>
      </c>
      <c r="EX168" s="36" t="s">
        <v>1903</v>
      </c>
      <c r="EY168" s="36" t="s">
        <v>1150</v>
      </c>
      <c r="EZ168" s="1" t="s">
        <v>1902</v>
      </c>
      <c r="FA168" s="36" t="str">
        <f t="shared" ref="FA168:FA176" si="394">EX168&amp;EZ168</f>
        <v>IMTETC</v>
      </c>
      <c r="FB168" s="35" t="s">
        <v>438</v>
      </c>
      <c r="FC168" s="26">
        <f t="shared" ref="FC168:FC176" si="395">GETPIVOTDATA("Sum of "&amp;FB168&amp;" (Out)",$AW$6,"Sub-Sector",EW168)</f>
        <v>11.914283276028124</v>
      </c>
      <c r="FD168" s="25">
        <f t="shared" ref="FD168:FD176" si="396">GETPIVOTDATA("Sum of "&amp;FB168&amp;" (Out)",$AW$6,"Sub-Sector",EW168,"End-Use",EY168)</f>
        <v>2.1391739821283791E-2</v>
      </c>
      <c r="FE168" s="24">
        <f t="shared" ref="FE168:FE176" si="397">GETPIVOTDATA("Sum of "&amp;FB168&amp;" (%)",$CH$6,"End-Use Commodity",FA168)</f>
        <v>1.795470136615316E-3</v>
      </c>
      <c r="FF168" s="36">
        <v>0</v>
      </c>
      <c r="FG168" s="86">
        <f t="shared" ref="FG168:FG176" si="398">FC168-((FD168-FF168)/FE168)</f>
        <v>0</v>
      </c>
    </row>
    <row r="169" spans="1:163">
      <c r="A169" s="37" t="s">
        <v>1793</v>
      </c>
      <c r="B169" s="36" t="s">
        <v>1145</v>
      </c>
      <c r="C169" s="1" t="s">
        <v>1106</v>
      </c>
      <c r="D169" s="36" t="s">
        <v>1106</v>
      </c>
      <c r="E169" s="36" t="s">
        <v>1919</v>
      </c>
      <c r="F169" s="1" t="e">
        <f t="shared" ca="1" si="391"/>
        <v>#NAME?</v>
      </c>
      <c r="G169" s="35" t="s">
        <v>1121</v>
      </c>
      <c r="H169" s="43">
        <v>1</v>
      </c>
      <c r="I169" s="42">
        <v>0</v>
      </c>
      <c r="J169" s="26">
        <v>1.0752535989448377</v>
      </c>
      <c r="K169" s="25">
        <v>0.64225678079049853</v>
      </c>
      <c r="L169" s="24"/>
      <c r="M169" s="25"/>
      <c r="N169" s="24"/>
      <c r="O169" s="25"/>
      <c r="P169" s="24"/>
      <c r="Q169" s="25"/>
      <c r="R169" s="32"/>
      <c r="S169" s="47">
        <v>1</v>
      </c>
      <c r="T169" s="45">
        <v>1</v>
      </c>
      <c r="U169" s="46">
        <v>1</v>
      </c>
      <c r="V169" s="45">
        <v>1</v>
      </c>
      <c r="W169" s="46">
        <v>1</v>
      </c>
      <c r="X169" s="45">
        <v>1</v>
      </c>
      <c r="Y169" s="46">
        <v>1</v>
      </c>
      <c r="Z169" s="45">
        <v>1</v>
      </c>
      <c r="AA169" s="44">
        <v>1</v>
      </c>
      <c r="AB169" s="26">
        <f t="shared" si="382"/>
        <v>1.0752535989448377</v>
      </c>
      <c r="AC169" s="25">
        <f t="shared" si="383"/>
        <v>0.64225678079049853</v>
      </c>
      <c r="AD169" s="24">
        <f t="shared" si="384"/>
        <v>0</v>
      </c>
      <c r="AE169" s="25">
        <f t="shared" si="385"/>
        <v>0</v>
      </c>
      <c r="AF169" s="24">
        <f t="shared" si="386"/>
        <v>0</v>
      </c>
      <c r="AG169" s="25">
        <f t="shared" si="387"/>
        <v>0</v>
      </c>
      <c r="AH169" s="24">
        <f t="shared" si="388"/>
        <v>0</v>
      </c>
      <c r="AI169" s="25">
        <f t="shared" si="389"/>
        <v>0</v>
      </c>
      <c r="AJ169" s="24">
        <f t="shared" si="390"/>
        <v>0</v>
      </c>
      <c r="AK169" s="27">
        <f t="shared" si="323"/>
        <v>1.7175103797353364</v>
      </c>
      <c r="AL169" s="41">
        <v>0</v>
      </c>
      <c r="AM169" s="40">
        <v>0</v>
      </c>
      <c r="AN169" s="39">
        <v>0</v>
      </c>
      <c r="AO169" s="40">
        <v>0</v>
      </c>
      <c r="AP169" s="39">
        <v>0</v>
      </c>
      <c r="AQ169" s="40">
        <v>0</v>
      </c>
      <c r="AR169" s="39">
        <v>0</v>
      </c>
      <c r="AS169" s="40">
        <v>0</v>
      </c>
      <c r="AT169" s="39">
        <v>0</v>
      </c>
      <c r="AU169" s="38">
        <v>0</v>
      </c>
      <c r="CS169" s="54" t="s">
        <v>1918</v>
      </c>
      <c r="CT169" s="39">
        <v>0</v>
      </c>
      <c r="CU169" s="40">
        <v>0.55475678612612134</v>
      </c>
      <c r="CV169" s="39">
        <v>1.5434497717767783</v>
      </c>
      <c r="CW169" s="40">
        <v>1.0454152301451214</v>
      </c>
      <c r="CX169" s="39">
        <v>0.45288627503338963</v>
      </c>
      <c r="CY169" s="40">
        <v>0.39475635625297956</v>
      </c>
      <c r="CZ169" s="39">
        <v>1.3713845132181171</v>
      </c>
      <c r="DA169" s="40">
        <v>5.6826598690119433E-2</v>
      </c>
      <c r="DB169" s="39">
        <v>3.5632865664234133E-2</v>
      </c>
      <c r="DC169" s="38">
        <v>5.4551083969068612</v>
      </c>
      <c r="DE169" s="37" t="s">
        <v>1402</v>
      </c>
      <c r="DF169" s="35" t="str">
        <f t="shared" si="327"/>
        <v>IMTST</v>
      </c>
      <c r="DG169" s="26">
        <f t="shared" si="392"/>
        <v>0</v>
      </c>
      <c r="DH169" s="25">
        <f t="shared" si="392"/>
        <v>0</v>
      </c>
      <c r="DI169" s="24">
        <f t="shared" si="392"/>
        <v>0</v>
      </c>
      <c r="DJ169" s="25">
        <f t="shared" si="392"/>
        <v>0</v>
      </c>
      <c r="DK169" s="24">
        <f t="shared" si="392"/>
        <v>0</v>
      </c>
      <c r="DL169" s="25">
        <f t="shared" si="392"/>
        <v>0</v>
      </c>
      <c r="DM169" s="24">
        <f t="shared" si="392"/>
        <v>0</v>
      </c>
      <c r="DN169" s="25">
        <f t="shared" si="392"/>
        <v>0</v>
      </c>
      <c r="DO169" s="32">
        <f t="shared" si="392"/>
        <v>0</v>
      </c>
      <c r="DP169" s="26">
        <f t="shared" si="328"/>
        <v>0</v>
      </c>
      <c r="DQ169" s="25">
        <f t="shared" si="329"/>
        <v>0</v>
      </c>
      <c r="DR169" s="24">
        <f t="shared" si="330"/>
        <v>0</v>
      </c>
      <c r="DS169" s="25">
        <f t="shared" si="331"/>
        <v>0</v>
      </c>
      <c r="DT169" s="24">
        <f t="shared" si="332"/>
        <v>0</v>
      </c>
      <c r="DU169" s="25">
        <f t="shared" si="333"/>
        <v>0</v>
      </c>
      <c r="DV169" s="24">
        <f t="shared" si="334"/>
        <v>0</v>
      </c>
      <c r="DW169" s="25">
        <f t="shared" si="335"/>
        <v>0</v>
      </c>
      <c r="DX169" s="32">
        <f t="shared" si="336"/>
        <v>0</v>
      </c>
      <c r="DZ169" s="54" t="s">
        <v>1511</v>
      </c>
      <c r="EA169" s="39">
        <v>0.30726360058145297</v>
      </c>
      <c r="EB169" s="40">
        <v>0.30726360058145297</v>
      </c>
      <c r="EC169" s="39">
        <v>0.39325590261246485</v>
      </c>
      <c r="ED169" s="40">
        <v>0.39325590261246479</v>
      </c>
      <c r="EE169" s="39">
        <v>0.43349544085826425</v>
      </c>
      <c r="EF169" s="40">
        <v>0.4334954408582643</v>
      </c>
      <c r="EG169" s="39">
        <v>0.43349544085826436</v>
      </c>
      <c r="EH169" s="40">
        <v>0.30210672351963019</v>
      </c>
      <c r="EI169" s="66">
        <v>0.30210672351963019</v>
      </c>
      <c r="EO169" s="79" t="s">
        <v>1152</v>
      </c>
      <c r="EP169" s="78" t="s">
        <v>522</v>
      </c>
      <c r="EQ169" s="77">
        <f t="shared" si="393"/>
        <v>0.48599275309370837</v>
      </c>
      <c r="ER169" s="76">
        <f>EQ169/SUM(EQ161:EQ169)</f>
        <v>1.4377569737570881E-2</v>
      </c>
      <c r="ET169" s="75" t="s">
        <v>438</v>
      </c>
      <c r="EU169" s="72">
        <v>3.6036439929291578E-2</v>
      </c>
      <c r="EW169" s="37" t="s">
        <v>1108</v>
      </c>
      <c r="EX169" s="36" t="s">
        <v>1903</v>
      </c>
      <c r="EY169" s="36" t="s">
        <v>1150</v>
      </c>
      <c r="EZ169" s="1" t="s">
        <v>1902</v>
      </c>
      <c r="FA169" s="36" t="str">
        <f t="shared" si="394"/>
        <v>IMTETC</v>
      </c>
      <c r="FB169" s="1" t="s">
        <v>440</v>
      </c>
      <c r="FC169" s="26">
        <f t="shared" si="395"/>
        <v>34.782310266219753</v>
      </c>
      <c r="FD169" s="25">
        <f t="shared" si="396"/>
        <v>5.888426266742397E-2</v>
      </c>
      <c r="FE169" s="24">
        <f t="shared" si="397"/>
        <v>1.6929370768281543E-3</v>
      </c>
      <c r="FF169" s="36">
        <v>0</v>
      </c>
      <c r="FG169" s="86">
        <f t="shared" si="398"/>
        <v>0</v>
      </c>
    </row>
    <row r="170" spans="1:163">
      <c r="A170" s="37" t="s">
        <v>1793</v>
      </c>
      <c r="B170" s="36" t="s">
        <v>1139</v>
      </c>
      <c r="C170" s="1" t="s">
        <v>1143</v>
      </c>
      <c r="D170" s="36" t="s">
        <v>1143</v>
      </c>
      <c r="E170" s="36" t="s">
        <v>1917</v>
      </c>
      <c r="F170" s="1" t="e">
        <f t="shared" ca="1" si="391"/>
        <v>#NAME?</v>
      </c>
      <c r="G170" s="35" t="s">
        <v>1121</v>
      </c>
      <c r="H170" s="43">
        <v>1</v>
      </c>
      <c r="I170" s="42">
        <v>0</v>
      </c>
      <c r="J170" s="26">
        <v>0.59114812499715508</v>
      </c>
      <c r="K170" s="25">
        <v>0.29877444104201978</v>
      </c>
      <c r="L170" s="24"/>
      <c r="M170" s="25"/>
      <c r="N170" s="24"/>
      <c r="O170" s="25"/>
      <c r="P170" s="24"/>
      <c r="Q170" s="25"/>
      <c r="R170" s="32"/>
      <c r="S170" s="47">
        <v>1</v>
      </c>
      <c r="T170" s="45">
        <v>1</v>
      </c>
      <c r="U170" s="46">
        <v>1</v>
      </c>
      <c r="V170" s="45">
        <v>1</v>
      </c>
      <c r="W170" s="46">
        <v>1</v>
      </c>
      <c r="X170" s="45">
        <v>1</v>
      </c>
      <c r="Y170" s="46">
        <v>1</v>
      </c>
      <c r="Z170" s="45">
        <v>1</v>
      </c>
      <c r="AA170" s="44">
        <v>1</v>
      </c>
      <c r="AB170" s="26">
        <f t="shared" si="382"/>
        <v>0.59114812499715508</v>
      </c>
      <c r="AC170" s="25">
        <f t="shared" si="383"/>
        <v>0.29877444104201978</v>
      </c>
      <c r="AD170" s="24">
        <f t="shared" si="384"/>
        <v>0</v>
      </c>
      <c r="AE170" s="25">
        <f t="shared" si="385"/>
        <v>0</v>
      </c>
      <c r="AF170" s="24">
        <f t="shared" si="386"/>
        <v>0</v>
      </c>
      <c r="AG170" s="25">
        <f t="shared" si="387"/>
        <v>0</v>
      </c>
      <c r="AH170" s="24">
        <f t="shared" si="388"/>
        <v>0</v>
      </c>
      <c r="AI170" s="25">
        <f t="shared" si="389"/>
        <v>0</v>
      </c>
      <c r="AJ170" s="24">
        <f t="shared" si="390"/>
        <v>0</v>
      </c>
      <c r="AK170" s="27">
        <f t="shared" si="323"/>
        <v>0.88992256603917486</v>
      </c>
      <c r="AL170" s="41">
        <v>0</v>
      </c>
      <c r="AM170" s="40">
        <v>0</v>
      </c>
      <c r="AN170" s="39">
        <v>0</v>
      </c>
      <c r="AO170" s="40">
        <v>0</v>
      </c>
      <c r="AP170" s="39">
        <v>0</v>
      </c>
      <c r="AQ170" s="40">
        <v>0</v>
      </c>
      <c r="AR170" s="39">
        <v>0</v>
      </c>
      <c r="AS170" s="40">
        <v>0</v>
      </c>
      <c r="AT170" s="39">
        <v>0</v>
      </c>
      <c r="AU170" s="38">
        <v>0</v>
      </c>
      <c r="CS170" s="54" t="s">
        <v>1916</v>
      </c>
      <c r="CT170" s="39">
        <v>0.29506005894062404</v>
      </c>
      <c r="CU170" s="40">
        <v>0.81220107193144642</v>
      </c>
      <c r="CV170" s="39">
        <v>2.0663802388017976</v>
      </c>
      <c r="CW170" s="40">
        <v>1.6471670011351769</v>
      </c>
      <c r="CX170" s="39">
        <v>0.90393372661854221</v>
      </c>
      <c r="CY170" s="40">
        <v>0.7879099100272019</v>
      </c>
      <c r="CZ170" s="39">
        <v>2.7372008868425386</v>
      </c>
      <c r="DA170" s="40">
        <v>0.11342246819298928</v>
      </c>
      <c r="DB170" s="39">
        <v>7.1121053619022476E-2</v>
      </c>
      <c r="DC170" s="38">
        <v>9.4343964161093403</v>
      </c>
      <c r="DE170" s="37" t="s">
        <v>1400</v>
      </c>
      <c r="DF170" s="35" t="str">
        <f t="shared" si="327"/>
        <v>IMTST</v>
      </c>
      <c r="DG170" s="26">
        <f t="shared" si="392"/>
        <v>0</v>
      </c>
      <c r="DH170" s="25">
        <f t="shared" si="392"/>
        <v>0.61968672609687625</v>
      </c>
      <c r="DI170" s="24">
        <f t="shared" si="392"/>
        <v>1.55162488377156</v>
      </c>
      <c r="DJ170" s="25">
        <f t="shared" si="392"/>
        <v>0</v>
      </c>
      <c r="DK170" s="24">
        <f t="shared" si="392"/>
        <v>0.13291287337429847</v>
      </c>
      <c r="DL170" s="25">
        <f t="shared" si="392"/>
        <v>0.20327851221951532</v>
      </c>
      <c r="DM170" s="24">
        <f t="shared" si="392"/>
        <v>0</v>
      </c>
      <c r="DN170" s="25">
        <f t="shared" si="392"/>
        <v>5.7856191939400517E-2</v>
      </c>
      <c r="DO170" s="32">
        <f t="shared" si="392"/>
        <v>5.9107136629982147E-2</v>
      </c>
      <c r="DP170" s="26">
        <f t="shared" si="328"/>
        <v>0</v>
      </c>
      <c r="DQ170" s="25">
        <f t="shared" si="329"/>
        <v>0.98873979647718202</v>
      </c>
      <c r="DR170" s="24">
        <f t="shared" si="330"/>
        <v>0.68641127289165638</v>
      </c>
      <c r="DS170" s="25">
        <f t="shared" si="331"/>
        <v>0</v>
      </c>
      <c r="DT170" s="24">
        <f t="shared" si="332"/>
        <v>0.92399170938734976</v>
      </c>
      <c r="DU170" s="25">
        <f t="shared" si="333"/>
        <v>1</v>
      </c>
      <c r="DV170" s="24">
        <f t="shared" si="334"/>
        <v>0</v>
      </c>
      <c r="DW170" s="25">
        <f t="shared" si="335"/>
        <v>1</v>
      </c>
      <c r="DX170" s="32">
        <f t="shared" si="336"/>
        <v>8.0170579686959773E-2</v>
      </c>
      <c r="DZ170" s="54" t="s">
        <v>1509</v>
      </c>
      <c r="EA170" s="39">
        <v>1.3668029652428061E-3</v>
      </c>
      <c r="EB170" s="40">
        <v>1.3668029652428061E-3</v>
      </c>
      <c r="EC170" s="39">
        <v>5.2107498486497761E-4</v>
      </c>
      <c r="ED170" s="40">
        <v>5.2107498486497761E-4</v>
      </c>
      <c r="EE170" s="39">
        <v>7.7132840058254191E-4</v>
      </c>
      <c r="EF170" s="40">
        <v>7.7132840058254191E-4</v>
      </c>
      <c r="EG170" s="39">
        <v>7.7132840058254212E-4</v>
      </c>
      <c r="EH170" s="40">
        <v>0</v>
      </c>
      <c r="EI170" s="66">
        <v>0</v>
      </c>
      <c r="EO170" s="83" t="s">
        <v>1108</v>
      </c>
      <c r="EP170" s="82" t="s">
        <v>438</v>
      </c>
      <c r="EQ170" s="81">
        <f t="shared" si="393"/>
        <v>11.914283276028124</v>
      </c>
      <c r="ER170" s="80">
        <f>EQ170/SUM(EQ170:EQ178)</f>
        <v>5.3014338658236501E-2</v>
      </c>
      <c r="ET170" s="75" t="s">
        <v>440</v>
      </c>
      <c r="EU170" s="72">
        <v>2.986419137868207E-2</v>
      </c>
      <c r="EW170" s="37" t="s">
        <v>1108</v>
      </c>
      <c r="EX170" s="36" t="s">
        <v>1903</v>
      </c>
      <c r="EY170" s="36" t="s">
        <v>1150</v>
      </c>
      <c r="EZ170" s="1" t="s">
        <v>1902</v>
      </c>
      <c r="FA170" s="36" t="str">
        <f t="shared" si="394"/>
        <v>IMTETC</v>
      </c>
      <c r="FB170" s="1" t="s">
        <v>439</v>
      </c>
      <c r="FC170" s="26">
        <f t="shared" si="395"/>
        <v>71.108509024448225</v>
      </c>
      <c r="FD170" s="25">
        <f t="shared" si="396"/>
        <v>0.16032957495081002</v>
      </c>
      <c r="FE170" s="24">
        <f t="shared" si="397"/>
        <v>2.2547171520033724E-3</v>
      </c>
      <c r="FF170" s="36">
        <v>0</v>
      </c>
      <c r="FG170" s="86">
        <f t="shared" si="398"/>
        <v>0</v>
      </c>
    </row>
    <row r="171" spans="1:163">
      <c r="A171" s="37" t="s">
        <v>1793</v>
      </c>
      <c r="B171" s="36" t="s">
        <v>1139</v>
      </c>
      <c r="C171" s="1" t="s">
        <v>1120</v>
      </c>
      <c r="D171" s="36" t="s">
        <v>1120</v>
      </c>
      <c r="E171" s="36" t="s">
        <v>1915</v>
      </c>
      <c r="F171" s="1" t="e">
        <f t="shared" ca="1" si="391"/>
        <v>#NAME?</v>
      </c>
      <c r="G171" s="35" t="s">
        <v>1121</v>
      </c>
      <c r="H171" s="43">
        <v>1</v>
      </c>
      <c r="I171" s="42">
        <v>0</v>
      </c>
      <c r="J171" s="26">
        <v>0.32553791478299726</v>
      </c>
      <c r="K171" s="25">
        <v>0.32906273204450326</v>
      </c>
      <c r="L171" s="24"/>
      <c r="M171" s="25"/>
      <c r="N171" s="24"/>
      <c r="O171" s="25"/>
      <c r="P171" s="24"/>
      <c r="Q171" s="25"/>
      <c r="R171" s="32"/>
      <c r="S171" s="47">
        <v>1</v>
      </c>
      <c r="T171" s="45">
        <v>1</v>
      </c>
      <c r="U171" s="46">
        <v>1</v>
      </c>
      <c r="V171" s="45">
        <v>1</v>
      </c>
      <c r="W171" s="46">
        <v>1</v>
      </c>
      <c r="X171" s="45">
        <v>1</v>
      </c>
      <c r="Y171" s="46">
        <v>1</v>
      </c>
      <c r="Z171" s="45">
        <v>1</v>
      </c>
      <c r="AA171" s="44">
        <v>1</v>
      </c>
      <c r="AB171" s="26">
        <f t="shared" si="382"/>
        <v>0.32553791478299726</v>
      </c>
      <c r="AC171" s="25">
        <f t="shared" si="383"/>
        <v>0.32906273204450326</v>
      </c>
      <c r="AD171" s="24">
        <f t="shared" si="384"/>
        <v>0</v>
      </c>
      <c r="AE171" s="25">
        <f t="shared" si="385"/>
        <v>0</v>
      </c>
      <c r="AF171" s="24">
        <f t="shared" si="386"/>
        <v>0</v>
      </c>
      <c r="AG171" s="25">
        <f t="shared" si="387"/>
        <v>0</v>
      </c>
      <c r="AH171" s="24">
        <f t="shared" si="388"/>
        <v>0</v>
      </c>
      <c r="AI171" s="25">
        <f t="shared" si="389"/>
        <v>0</v>
      </c>
      <c r="AJ171" s="24">
        <f t="shared" si="390"/>
        <v>0</v>
      </c>
      <c r="AK171" s="27">
        <f t="shared" si="323"/>
        <v>0.65460064682750052</v>
      </c>
      <c r="AL171" s="41">
        <v>0</v>
      </c>
      <c r="AM171" s="40">
        <v>0</v>
      </c>
      <c r="AN171" s="39">
        <v>0</v>
      </c>
      <c r="AO171" s="40">
        <v>0</v>
      </c>
      <c r="AP171" s="39">
        <v>0</v>
      </c>
      <c r="AQ171" s="40">
        <v>0</v>
      </c>
      <c r="AR171" s="39">
        <v>0</v>
      </c>
      <c r="AS171" s="40">
        <v>0</v>
      </c>
      <c r="AT171" s="39">
        <v>0</v>
      </c>
      <c r="AU171" s="38">
        <v>0</v>
      </c>
      <c r="CS171" s="54" t="s">
        <v>1522</v>
      </c>
      <c r="CT171" s="39">
        <v>2.0293079144161192E-2</v>
      </c>
      <c r="CU171" s="40">
        <v>5.5860019457917021E-2</v>
      </c>
      <c r="CV171" s="39">
        <v>4.5401549547857807E-2</v>
      </c>
      <c r="CW171" s="40">
        <v>3.0751549054220416E-2</v>
      </c>
      <c r="CX171" s="39">
        <v>3.1084516693325126E-2</v>
      </c>
      <c r="CY171" s="40">
        <v>2.7094684078993694E-2</v>
      </c>
      <c r="CZ171" s="39">
        <v>9.412699643183764E-2</v>
      </c>
      <c r="DA171" s="40">
        <v>4.6804527838102579E-2</v>
      </c>
      <c r="DB171" s="39">
        <v>2.9348570763975651E-2</v>
      </c>
      <c r="DC171" s="38">
        <v>0.38076549301039109</v>
      </c>
      <c r="DE171" s="37" t="s">
        <v>1398</v>
      </c>
      <c r="DF171" s="35" t="str">
        <f t="shared" si="327"/>
        <v>IMTST</v>
      </c>
      <c r="DG171" s="26">
        <f t="shared" si="392"/>
        <v>1.5421635685844439E-3</v>
      </c>
      <c r="DH171" s="25">
        <f t="shared" si="392"/>
        <v>7.0572648952748019E-3</v>
      </c>
      <c r="DI171" s="24">
        <f t="shared" si="392"/>
        <v>0.70886375481825148</v>
      </c>
      <c r="DJ171" s="25">
        <f t="shared" si="392"/>
        <v>0</v>
      </c>
      <c r="DK171" s="24">
        <f t="shared" si="392"/>
        <v>1.0933518345412844E-2</v>
      </c>
      <c r="DL171" s="25">
        <f t="shared" si="392"/>
        <v>0</v>
      </c>
      <c r="DM171" s="24">
        <f t="shared" si="392"/>
        <v>0</v>
      </c>
      <c r="DN171" s="25">
        <f t="shared" si="392"/>
        <v>0</v>
      </c>
      <c r="DO171" s="32">
        <f t="shared" si="392"/>
        <v>0.67816003620045562</v>
      </c>
      <c r="DP171" s="26">
        <f t="shared" si="328"/>
        <v>1</v>
      </c>
      <c r="DQ171" s="25">
        <f t="shared" si="329"/>
        <v>1.1260203522817952E-2</v>
      </c>
      <c r="DR171" s="24">
        <f t="shared" si="330"/>
        <v>0.31358872710834351</v>
      </c>
      <c r="DS171" s="25">
        <f t="shared" si="331"/>
        <v>0</v>
      </c>
      <c r="DT171" s="24">
        <f t="shared" si="332"/>
        <v>7.6008290612649493E-2</v>
      </c>
      <c r="DU171" s="25">
        <f t="shared" si="333"/>
        <v>0</v>
      </c>
      <c r="DV171" s="24">
        <f t="shared" si="334"/>
        <v>0</v>
      </c>
      <c r="DW171" s="25">
        <f t="shared" si="335"/>
        <v>0</v>
      </c>
      <c r="DX171" s="32">
        <f t="shared" si="336"/>
        <v>0.91982942031304027</v>
      </c>
      <c r="DZ171" s="54" t="s">
        <v>1507</v>
      </c>
      <c r="EA171" s="39">
        <v>0.69136959645330431</v>
      </c>
      <c r="EB171" s="40">
        <v>0.69136959645330431</v>
      </c>
      <c r="EC171" s="39">
        <v>0.60622302240267023</v>
      </c>
      <c r="ED171" s="40">
        <v>0.60622302240267023</v>
      </c>
      <c r="EE171" s="39">
        <v>0.56573323074115323</v>
      </c>
      <c r="EF171" s="40">
        <v>0.56573323074115311</v>
      </c>
      <c r="EG171" s="39">
        <v>0.56573323074115323</v>
      </c>
      <c r="EH171" s="40">
        <v>0.69789327648036981</v>
      </c>
      <c r="EI171" s="66">
        <v>0.69789327648036981</v>
      </c>
      <c r="EO171" s="83" t="s">
        <v>1108</v>
      </c>
      <c r="EP171" s="82" t="s">
        <v>440</v>
      </c>
      <c r="EQ171" s="81">
        <f t="shared" si="393"/>
        <v>34.782310266219753</v>
      </c>
      <c r="ER171" s="80">
        <f>EQ171/SUM(EQ170:EQ178)</f>
        <v>0.1547689552991687</v>
      </c>
      <c r="ET171" s="75" t="s">
        <v>439</v>
      </c>
      <c r="EU171" s="72">
        <v>6.0390540310161951E-3</v>
      </c>
      <c r="EW171" s="37" t="s">
        <v>1108</v>
      </c>
      <c r="EX171" s="36" t="s">
        <v>1903</v>
      </c>
      <c r="EY171" s="36" t="s">
        <v>1150</v>
      </c>
      <c r="EZ171" s="1" t="s">
        <v>1902</v>
      </c>
      <c r="FA171" s="36" t="str">
        <f t="shared" si="394"/>
        <v>IMTETC</v>
      </c>
      <c r="FB171" s="1" t="s">
        <v>518</v>
      </c>
      <c r="FC171" s="26">
        <f t="shared" si="395"/>
        <v>46.632401256480648</v>
      </c>
      <c r="FD171" s="25">
        <f t="shared" si="396"/>
        <v>0.10859503338636103</v>
      </c>
      <c r="FE171" s="24">
        <f t="shared" si="397"/>
        <v>2.3287463321711157E-3</v>
      </c>
      <c r="FF171" s="36">
        <v>0</v>
      </c>
      <c r="FG171" s="86">
        <f t="shared" si="398"/>
        <v>0</v>
      </c>
    </row>
    <row r="172" spans="1:163">
      <c r="A172" s="37" t="s">
        <v>1793</v>
      </c>
      <c r="B172" s="36" t="s">
        <v>1139</v>
      </c>
      <c r="C172" s="1" t="s">
        <v>456</v>
      </c>
      <c r="D172" s="36" t="s">
        <v>456</v>
      </c>
      <c r="E172" s="36" t="s">
        <v>1914</v>
      </c>
      <c r="F172" s="1" t="e">
        <f t="shared" ca="1" si="391"/>
        <v>#NAME?</v>
      </c>
      <c r="G172" s="35" t="s">
        <v>1121</v>
      </c>
      <c r="H172" s="43">
        <v>1</v>
      </c>
      <c r="I172" s="42">
        <v>0</v>
      </c>
      <c r="J172" s="26">
        <v>0</v>
      </c>
      <c r="K172" s="25">
        <v>1.0793181908062981</v>
      </c>
      <c r="L172" s="24"/>
      <c r="M172" s="25"/>
      <c r="N172" s="24"/>
      <c r="O172" s="25"/>
      <c r="P172" s="24"/>
      <c r="Q172" s="25"/>
      <c r="R172" s="32"/>
      <c r="S172" s="47">
        <v>1</v>
      </c>
      <c r="T172" s="45">
        <v>1</v>
      </c>
      <c r="U172" s="46">
        <v>1</v>
      </c>
      <c r="V172" s="45">
        <v>1</v>
      </c>
      <c r="W172" s="46">
        <v>1</v>
      </c>
      <c r="X172" s="45">
        <v>1</v>
      </c>
      <c r="Y172" s="46">
        <v>1</v>
      </c>
      <c r="Z172" s="45">
        <v>1</v>
      </c>
      <c r="AA172" s="44">
        <v>1</v>
      </c>
      <c r="AB172" s="26">
        <f t="shared" si="382"/>
        <v>0</v>
      </c>
      <c r="AC172" s="25">
        <f t="shared" si="383"/>
        <v>1.0793181908062981</v>
      </c>
      <c r="AD172" s="24">
        <f t="shared" si="384"/>
        <v>0</v>
      </c>
      <c r="AE172" s="25">
        <f t="shared" si="385"/>
        <v>0</v>
      </c>
      <c r="AF172" s="24">
        <f t="shared" si="386"/>
        <v>0</v>
      </c>
      <c r="AG172" s="25">
        <f t="shared" si="387"/>
        <v>0</v>
      </c>
      <c r="AH172" s="24">
        <f t="shared" si="388"/>
        <v>0</v>
      </c>
      <c r="AI172" s="25">
        <f t="shared" si="389"/>
        <v>0</v>
      </c>
      <c r="AJ172" s="24">
        <f t="shared" si="390"/>
        <v>0</v>
      </c>
      <c r="AK172" s="27">
        <f t="shared" si="323"/>
        <v>1.0793181908062981</v>
      </c>
      <c r="AL172" s="41">
        <v>0</v>
      </c>
      <c r="AM172" s="40">
        <v>0</v>
      </c>
      <c r="AN172" s="39">
        <v>0</v>
      </c>
      <c r="AO172" s="40">
        <v>0</v>
      </c>
      <c r="AP172" s="39">
        <v>0</v>
      </c>
      <c r="AQ172" s="40">
        <v>0</v>
      </c>
      <c r="AR172" s="39">
        <v>0</v>
      </c>
      <c r="AS172" s="40">
        <v>0</v>
      </c>
      <c r="AT172" s="39">
        <v>0</v>
      </c>
      <c r="AU172" s="38">
        <v>0</v>
      </c>
      <c r="CS172" s="54" t="s">
        <v>1519</v>
      </c>
      <c r="CT172" s="39">
        <v>1.0924834721244641</v>
      </c>
      <c r="CU172" s="40">
        <v>3.0072394424127591</v>
      </c>
      <c r="CV172" s="39">
        <v>3.9378855935944626</v>
      </c>
      <c r="CW172" s="40">
        <v>2.6672235464932874</v>
      </c>
      <c r="CX172" s="39">
        <v>1.2085980597606647</v>
      </c>
      <c r="CY172" s="40">
        <v>1.0534692538659201</v>
      </c>
      <c r="CZ172" s="39">
        <v>3.6597546740382936</v>
      </c>
      <c r="DA172" s="40">
        <v>0.83991152386598555</v>
      </c>
      <c r="DB172" s="39">
        <v>0.52666278097975572</v>
      </c>
      <c r="DC172" s="38">
        <v>17.993228347135592</v>
      </c>
      <c r="DE172" s="37" t="s">
        <v>1395</v>
      </c>
      <c r="DF172" s="35" t="str">
        <f t="shared" si="327"/>
        <v>IMTST</v>
      </c>
      <c r="DG172" s="26">
        <f t="shared" si="392"/>
        <v>0</v>
      </c>
      <c r="DH172" s="25">
        <f t="shared" si="392"/>
        <v>0</v>
      </c>
      <c r="DI172" s="24">
        <f t="shared" si="392"/>
        <v>1.8903989997629917E-16</v>
      </c>
      <c r="DJ172" s="25">
        <f t="shared" si="392"/>
        <v>0</v>
      </c>
      <c r="DK172" s="24">
        <f t="shared" si="392"/>
        <v>1.1726333110275329E-16</v>
      </c>
      <c r="DL172" s="25">
        <f t="shared" si="392"/>
        <v>0</v>
      </c>
      <c r="DM172" s="24">
        <f t="shared" si="392"/>
        <v>0</v>
      </c>
      <c r="DN172" s="25">
        <f t="shared" si="392"/>
        <v>0</v>
      </c>
      <c r="DO172" s="32">
        <f t="shared" si="392"/>
        <v>0</v>
      </c>
      <c r="DP172" s="26">
        <f t="shared" si="328"/>
        <v>0</v>
      </c>
      <c r="DQ172" s="25">
        <f t="shared" si="329"/>
        <v>0</v>
      </c>
      <c r="DR172" s="24">
        <f t="shared" si="330"/>
        <v>8.3627892106650989E-17</v>
      </c>
      <c r="DS172" s="25">
        <f t="shared" si="331"/>
        <v>0</v>
      </c>
      <c r="DT172" s="24">
        <f t="shared" si="332"/>
        <v>8.1519827992101503E-16</v>
      </c>
      <c r="DU172" s="25">
        <f t="shared" si="333"/>
        <v>0</v>
      </c>
      <c r="DV172" s="24">
        <f t="shared" si="334"/>
        <v>0</v>
      </c>
      <c r="DW172" s="25">
        <f t="shared" si="335"/>
        <v>0</v>
      </c>
      <c r="DX172" s="32">
        <f t="shared" si="336"/>
        <v>0</v>
      </c>
      <c r="DZ172" s="54" t="s">
        <v>1841</v>
      </c>
      <c r="EA172" s="39">
        <v>0.83476301984169721</v>
      </c>
      <c r="EB172" s="40">
        <v>0.14648565900744953</v>
      </c>
      <c r="EC172" s="39">
        <v>0.14163368484098812</v>
      </c>
      <c r="ED172" s="40">
        <v>0</v>
      </c>
      <c r="EE172" s="39">
        <v>0</v>
      </c>
      <c r="EF172" s="40">
        <v>0</v>
      </c>
      <c r="EG172" s="39">
        <v>0.84575241613481711</v>
      </c>
      <c r="EH172" s="40">
        <v>0.97527305162327371</v>
      </c>
      <c r="EI172" s="66">
        <v>4.3564767259325982E-2</v>
      </c>
      <c r="EO172" s="83" t="s">
        <v>1108</v>
      </c>
      <c r="EP172" s="82" t="s">
        <v>439</v>
      </c>
      <c r="EQ172" s="81">
        <f t="shared" si="393"/>
        <v>71.108509024448225</v>
      </c>
      <c r="ER172" s="80">
        <f>EQ172/SUM(EQ170:EQ178)</f>
        <v>0.31640766729873293</v>
      </c>
      <c r="ET172" s="75" t="s">
        <v>518</v>
      </c>
      <c r="EU172" s="72">
        <v>1.1564146016839519E-3</v>
      </c>
      <c r="EW172" s="37" t="s">
        <v>1108</v>
      </c>
      <c r="EX172" s="36" t="s">
        <v>1903</v>
      </c>
      <c r="EY172" s="36" t="s">
        <v>1129</v>
      </c>
      <c r="EZ172" s="1" t="s">
        <v>1910</v>
      </c>
      <c r="FA172" s="36" t="str">
        <f t="shared" si="394"/>
        <v>IMTOHT</v>
      </c>
      <c r="FB172" s="1" t="s">
        <v>517</v>
      </c>
      <c r="FC172" s="26">
        <f t="shared" si="395"/>
        <v>11.178498065655996</v>
      </c>
      <c r="FD172" s="25">
        <f t="shared" si="396"/>
        <v>0.27404767953867748</v>
      </c>
      <c r="FE172" s="24">
        <f t="shared" si="397"/>
        <v>2.4515608262315816E-2</v>
      </c>
      <c r="FF172" s="36">
        <v>0</v>
      </c>
      <c r="FG172" s="86">
        <f t="shared" si="398"/>
        <v>0</v>
      </c>
    </row>
    <row r="173" spans="1:163">
      <c r="A173" s="37" t="s">
        <v>1793</v>
      </c>
      <c r="B173" s="36" t="s">
        <v>1139</v>
      </c>
      <c r="C173" s="1" t="s">
        <v>665</v>
      </c>
      <c r="D173" s="36" t="s">
        <v>665</v>
      </c>
      <c r="E173" s="36" t="s">
        <v>1913</v>
      </c>
      <c r="F173" s="1" t="e">
        <f t="shared" ca="1" si="391"/>
        <v>#NAME?</v>
      </c>
      <c r="G173" s="35" t="s">
        <v>1121</v>
      </c>
      <c r="H173" s="43">
        <v>1</v>
      </c>
      <c r="I173" s="42">
        <v>0</v>
      </c>
      <c r="J173" s="26">
        <v>2.1542847541805217</v>
      </c>
      <c r="K173" s="25">
        <v>0.8166039898359585</v>
      </c>
      <c r="L173" s="24"/>
      <c r="M173" s="25"/>
      <c r="N173" s="24"/>
      <c r="O173" s="25"/>
      <c r="P173" s="24"/>
      <c r="Q173" s="25"/>
      <c r="R173" s="32"/>
      <c r="S173" s="47">
        <v>1</v>
      </c>
      <c r="T173" s="45">
        <v>1</v>
      </c>
      <c r="U173" s="46">
        <v>1</v>
      </c>
      <c r="V173" s="45">
        <v>1</v>
      </c>
      <c r="W173" s="46">
        <v>1</v>
      </c>
      <c r="X173" s="45">
        <v>1</v>
      </c>
      <c r="Y173" s="46">
        <v>1</v>
      </c>
      <c r="Z173" s="45">
        <v>1</v>
      </c>
      <c r="AA173" s="44">
        <v>1</v>
      </c>
      <c r="AB173" s="26">
        <f t="shared" si="382"/>
        <v>2.1542847541805217</v>
      </c>
      <c r="AC173" s="25">
        <f t="shared" si="383"/>
        <v>0.8166039898359585</v>
      </c>
      <c r="AD173" s="24">
        <f t="shared" si="384"/>
        <v>0</v>
      </c>
      <c r="AE173" s="25">
        <f t="shared" si="385"/>
        <v>0</v>
      </c>
      <c r="AF173" s="24">
        <f t="shared" si="386"/>
        <v>0</v>
      </c>
      <c r="AG173" s="25">
        <f t="shared" si="387"/>
        <v>0</v>
      </c>
      <c r="AH173" s="24">
        <f t="shared" si="388"/>
        <v>0</v>
      </c>
      <c r="AI173" s="25">
        <f t="shared" si="389"/>
        <v>0</v>
      </c>
      <c r="AJ173" s="24">
        <f t="shared" si="390"/>
        <v>0</v>
      </c>
      <c r="AK173" s="27">
        <f t="shared" si="323"/>
        <v>2.97088874401648</v>
      </c>
      <c r="AL173" s="41">
        <v>0</v>
      </c>
      <c r="AM173" s="40">
        <v>0</v>
      </c>
      <c r="AN173" s="39">
        <v>0</v>
      </c>
      <c r="AO173" s="40">
        <v>0</v>
      </c>
      <c r="AP173" s="39">
        <v>0</v>
      </c>
      <c r="AQ173" s="40">
        <v>0</v>
      </c>
      <c r="AR173" s="39">
        <v>0</v>
      </c>
      <c r="AS173" s="40">
        <v>0</v>
      </c>
      <c r="AT173" s="39">
        <v>0</v>
      </c>
      <c r="AU173" s="38">
        <v>0</v>
      </c>
      <c r="CS173" s="54" t="s">
        <v>1516</v>
      </c>
      <c r="CT173" s="39">
        <v>4.9182754096559949</v>
      </c>
      <c r="CU173" s="40">
        <v>13.538357492772432</v>
      </c>
      <c r="CV173" s="39">
        <v>11.789592496493809</v>
      </c>
      <c r="CW173" s="40">
        <v>7.98537132753665</v>
      </c>
      <c r="CX173" s="39">
        <v>0</v>
      </c>
      <c r="CY173" s="40">
        <v>0</v>
      </c>
      <c r="CZ173" s="39">
        <v>0</v>
      </c>
      <c r="DA173" s="40">
        <v>1.8906080959209908</v>
      </c>
      <c r="DB173" s="39">
        <v>1.1854973878170811</v>
      </c>
      <c r="DC173" s="38">
        <v>41.30770221019695</v>
      </c>
      <c r="DE173" s="37" t="s">
        <v>1393</v>
      </c>
      <c r="DF173" s="35" t="str">
        <f t="shared" si="327"/>
        <v>IMTST</v>
      </c>
      <c r="DG173" s="26">
        <f t="shared" si="392"/>
        <v>0</v>
      </c>
      <c r="DH173" s="25">
        <f t="shared" si="392"/>
        <v>0</v>
      </c>
      <c r="DI173" s="24">
        <f t="shared" si="392"/>
        <v>0</v>
      </c>
      <c r="DJ173" s="25">
        <f t="shared" si="392"/>
        <v>0</v>
      </c>
      <c r="DK173" s="24">
        <f t="shared" si="392"/>
        <v>0</v>
      </c>
      <c r="DL173" s="25">
        <f t="shared" si="392"/>
        <v>0</v>
      </c>
      <c r="DM173" s="24">
        <f t="shared" si="392"/>
        <v>0</v>
      </c>
      <c r="DN173" s="25">
        <f t="shared" si="392"/>
        <v>0</v>
      </c>
      <c r="DO173" s="32">
        <f t="shared" si="392"/>
        <v>0</v>
      </c>
      <c r="DP173" s="26">
        <f t="shared" si="328"/>
        <v>0</v>
      </c>
      <c r="DQ173" s="25">
        <f t="shared" si="329"/>
        <v>0</v>
      </c>
      <c r="DR173" s="24">
        <f t="shared" si="330"/>
        <v>0</v>
      </c>
      <c r="DS173" s="25">
        <f t="shared" si="331"/>
        <v>0</v>
      </c>
      <c r="DT173" s="24">
        <f t="shared" si="332"/>
        <v>0</v>
      </c>
      <c r="DU173" s="25">
        <f t="shared" si="333"/>
        <v>0</v>
      </c>
      <c r="DV173" s="24">
        <f t="shared" si="334"/>
        <v>0</v>
      </c>
      <c r="DW173" s="25">
        <f t="shared" si="335"/>
        <v>0</v>
      </c>
      <c r="DX173" s="32">
        <f t="shared" si="336"/>
        <v>0</v>
      </c>
      <c r="DZ173" s="54" t="s">
        <v>1849</v>
      </c>
      <c r="EA173" s="39">
        <v>0</v>
      </c>
      <c r="EB173" s="40">
        <v>0</v>
      </c>
      <c r="EC173" s="39">
        <v>0</v>
      </c>
      <c r="ED173" s="40">
        <v>0</v>
      </c>
      <c r="EE173" s="39">
        <v>0</v>
      </c>
      <c r="EF173" s="40">
        <v>0</v>
      </c>
      <c r="EG173" s="39">
        <v>0</v>
      </c>
      <c r="EH173" s="40">
        <v>0</v>
      </c>
      <c r="EI173" s="66">
        <v>0</v>
      </c>
      <c r="EO173" s="83" t="s">
        <v>1108</v>
      </c>
      <c r="EP173" s="82" t="s">
        <v>518</v>
      </c>
      <c r="EQ173" s="81">
        <f t="shared" si="393"/>
        <v>46.632401256480648</v>
      </c>
      <c r="ER173" s="80">
        <f>EQ173/SUM(EQ170:EQ178)</f>
        <v>0.20749766103278294</v>
      </c>
      <c r="ET173" s="75" t="s">
        <v>517</v>
      </c>
      <c r="EU173" s="72">
        <v>0.43740099429914109</v>
      </c>
      <c r="EW173" s="37" t="s">
        <v>1108</v>
      </c>
      <c r="EX173" s="36" t="s">
        <v>1903</v>
      </c>
      <c r="EY173" s="36" t="s">
        <v>1129</v>
      </c>
      <c r="EZ173" s="1" t="s">
        <v>1910</v>
      </c>
      <c r="FA173" s="36" t="str">
        <f t="shared" si="394"/>
        <v>IMTOHT</v>
      </c>
      <c r="FB173" s="1" t="s">
        <v>519</v>
      </c>
      <c r="FC173" s="26">
        <f t="shared" si="395"/>
        <v>9.8215847569887522</v>
      </c>
      <c r="FD173" s="25">
        <f t="shared" si="396"/>
        <v>0.23887247059164396</v>
      </c>
      <c r="FE173" s="24">
        <f t="shared" si="397"/>
        <v>2.4321173873866873E-2</v>
      </c>
      <c r="FF173" s="36">
        <v>0</v>
      </c>
      <c r="FG173" s="86">
        <f t="shared" si="398"/>
        <v>0</v>
      </c>
    </row>
    <row r="174" spans="1:163">
      <c r="A174" s="37" t="s">
        <v>1793</v>
      </c>
      <c r="B174" s="36" t="s">
        <v>1139</v>
      </c>
      <c r="C174" s="1" t="s">
        <v>1197</v>
      </c>
      <c r="D174" s="36" t="s">
        <v>1197</v>
      </c>
      <c r="E174" s="36" t="s">
        <v>1912</v>
      </c>
      <c r="F174" s="1" t="e">
        <f t="shared" ca="1" si="391"/>
        <v>#NAME?</v>
      </c>
      <c r="G174" s="35" t="s">
        <v>1121</v>
      </c>
      <c r="H174" s="43">
        <v>1</v>
      </c>
      <c r="I174" s="42">
        <v>0</v>
      </c>
      <c r="J174" s="26">
        <v>2.7224354951695868E-3</v>
      </c>
      <c r="K174" s="25">
        <v>3.3022957554517986E-2</v>
      </c>
      <c r="L174" s="24"/>
      <c r="M174" s="25"/>
      <c r="N174" s="24"/>
      <c r="O174" s="25"/>
      <c r="P174" s="24"/>
      <c r="Q174" s="25"/>
      <c r="R174" s="32"/>
      <c r="S174" s="47">
        <v>1</v>
      </c>
      <c r="T174" s="45">
        <v>1</v>
      </c>
      <c r="U174" s="46">
        <v>1</v>
      </c>
      <c r="V174" s="45">
        <v>1</v>
      </c>
      <c r="W174" s="46">
        <v>1</v>
      </c>
      <c r="X174" s="45">
        <v>1</v>
      </c>
      <c r="Y174" s="46">
        <v>1</v>
      </c>
      <c r="Z174" s="45">
        <v>1</v>
      </c>
      <c r="AA174" s="44">
        <v>1</v>
      </c>
      <c r="AB174" s="26">
        <f t="shared" si="382"/>
        <v>2.7224354951695868E-3</v>
      </c>
      <c r="AC174" s="25">
        <f t="shared" si="383"/>
        <v>3.3022957554517986E-2</v>
      </c>
      <c r="AD174" s="24">
        <f t="shared" si="384"/>
        <v>0</v>
      </c>
      <c r="AE174" s="25">
        <f t="shared" si="385"/>
        <v>0</v>
      </c>
      <c r="AF174" s="24">
        <f t="shared" si="386"/>
        <v>0</v>
      </c>
      <c r="AG174" s="25">
        <f t="shared" si="387"/>
        <v>0</v>
      </c>
      <c r="AH174" s="24">
        <f t="shared" si="388"/>
        <v>0</v>
      </c>
      <c r="AI174" s="25">
        <f t="shared" si="389"/>
        <v>0</v>
      </c>
      <c r="AJ174" s="24">
        <f t="shared" si="390"/>
        <v>0</v>
      </c>
      <c r="AK174" s="27">
        <f t="shared" si="323"/>
        <v>3.5745393049687574E-2</v>
      </c>
      <c r="AL174" s="41">
        <v>0</v>
      </c>
      <c r="AM174" s="40">
        <v>0</v>
      </c>
      <c r="AN174" s="39">
        <v>0</v>
      </c>
      <c r="AO174" s="40">
        <v>0</v>
      </c>
      <c r="AP174" s="39">
        <v>0</v>
      </c>
      <c r="AQ174" s="40">
        <v>0</v>
      </c>
      <c r="AR174" s="39">
        <v>0</v>
      </c>
      <c r="AS174" s="40">
        <v>0</v>
      </c>
      <c r="AT174" s="39">
        <v>0</v>
      </c>
      <c r="AU174" s="38">
        <v>0</v>
      </c>
      <c r="CS174" s="54" t="s">
        <v>1513</v>
      </c>
      <c r="CT174" s="39">
        <v>2.8323033843405607E-2</v>
      </c>
      <c r="CU174" s="40">
        <v>7.7963783138109657E-2</v>
      </c>
      <c r="CV174" s="39">
        <v>0</v>
      </c>
      <c r="CW174" s="40">
        <v>0</v>
      </c>
      <c r="CX174" s="39">
        <v>0</v>
      </c>
      <c r="CY174" s="40">
        <v>0</v>
      </c>
      <c r="CZ174" s="39">
        <v>0</v>
      </c>
      <c r="DA174" s="40">
        <v>0</v>
      </c>
      <c r="DB174" s="39">
        <v>0</v>
      </c>
      <c r="DC174" s="38">
        <v>0.10628681698151526</v>
      </c>
      <c r="DE174" s="37" t="s">
        <v>1911</v>
      </c>
      <c r="DF174" s="35" t="str">
        <f t="shared" si="327"/>
        <v>ICAFA</v>
      </c>
      <c r="DG174" s="26">
        <f t="shared" si="392"/>
        <v>0</v>
      </c>
      <c r="DH174" s="25">
        <f t="shared" si="392"/>
        <v>0</v>
      </c>
      <c r="DI174" s="24">
        <f t="shared" si="392"/>
        <v>0</v>
      </c>
      <c r="DJ174" s="25">
        <f t="shared" si="392"/>
        <v>0</v>
      </c>
      <c r="DK174" s="24">
        <f t="shared" si="392"/>
        <v>2.696709218706173</v>
      </c>
      <c r="DL174" s="25">
        <f t="shared" si="392"/>
        <v>2.3505748876399122</v>
      </c>
      <c r="DM174" s="24">
        <f t="shared" si="392"/>
        <v>8.1659027068407344</v>
      </c>
      <c r="DN174" s="25">
        <f t="shared" si="392"/>
        <v>0</v>
      </c>
      <c r="DO174" s="32">
        <f t="shared" si="392"/>
        <v>0</v>
      </c>
      <c r="DP174" s="26">
        <f t="shared" si="328"/>
        <v>0</v>
      </c>
      <c r="DQ174" s="25">
        <f t="shared" si="329"/>
        <v>0</v>
      </c>
      <c r="DR174" s="24">
        <f t="shared" si="330"/>
        <v>0</v>
      </c>
      <c r="DS174" s="25">
        <f t="shared" si="331"/>
        <v>0</v>
      </c>
      <c r="DT174" s="24">
        <f t="shared" si="332"/>
        <v>0.90292323818747011</v>
      </c>
      <c r="DU174" s="25">
        <f t="shared" si="333"/>
        <v>0.90292323818747011</v>
      </c>
      <c r="DV174" s="24">
        <f t="shared" si="334"/>
        <v>0.90292323818747011</v>
      </c>
      <c r="DW174" s="25">
        <f t="shared" si="335"/>
        <v>0</v>
      </c>
      <c r="DX174" s="32">
        <f t="shared" si="336"/>
        <v>0</v>
      </c>
      <c r="DZ174" s="54" t="s">
        <v>1846</v>
      </c>
      <c r="EA174" s="39">
        <v>0.16523698015830299</v>
      </c>
      <c r="EB174" s="40">
        <v>7.1300398291281847E-2</v>
      </c>
      <c r="EC174" s="39">
        <v>0.1041377298148624</v>
      </c>
      <c r="ED174" s="40">
        <v>1</v>
      </c>
      <c r="EE174" s="39">
        <v>0.31506141241163554</v>
      </c>
      <c r="EF174" s="40">
        <v>1</v>
      </c>
      <c r="EG174" s="39">
        <v>0.15424758386518284</v>
      </c>
      <c r="EH174" s="40">
        <v>1.0148738443570978E-2</v>
      </c>
      <c r="EI174" s="66">
        <v>0.14734207588732678</v>
      </c>
      <c r="EO174" s="83" t="s">
        <v>1108</v>
      </c>
      <c r="EP174" s="82" t="s">
        <v>517</v>
      </c>
      <c r="EQ174" s="81">
        <f t="shared" si="393"/>
        <v>11.178498065655996</v>
      </c>
      <c r="ER174" s="80">
        <f>EQ174/SUM(EQ170:EQ178)</f>
        <v>4.9740355203363194E-2</v>
      </c>
      <c r="ET174" s="75" t="s">
        <v>519</v>
      </c>
      <c r="EU174" s="72">
        <v>0.25804535168538356</v>
      </c>
      <c r="EW174" s="37" t="s">
        <v>1108</v>
      </c>
      <c r="EX174" s="36" t="s">
        <v>1903</v>
      </c>
      <c r="EY174" s="36" t="s">
        <v>1129</v>
      </c>
      <c r="EZ174" s="1" t="s">
        <v>1910</v>
      </c>
      <c r="FA174" s="36" t="str">
        <f t="shared" si="394"/>
        <v>IMTOHT</v>
      </c>
      <c r="FB174" s="1" t="s">
        <v>520</v>
      </c>
      <c r="FC174" s="26">
        <f t="shared" si="395"/>
        <v>33.41401859280657</v>
      </c>
      <c r="FD174" s="25">
        <f t="shared" si="396"/>
        <v>0.82984352655640881</v>
      </c>
      <c r="FE174" s="24">
        <f t="shared" si="397"/>
        <v>2.4835190782322093E-2</v>
      </c>
      <c r="FF174" s="36">
        <v>0</v>
      </c>
      <c r="FG174" s="86">
        <f t="shared" si="398"/>
        <v>0</v>
      </c>
    </row>
    <row r="175" spans="1:163">
      <c r="A175" s="37" t="s">
        <v>1793</v>
      </c>
      <c r="B175" s="36" t="s">
        <v>1139</v>
      </c>
      <c r="C175" s="1" t="s">
        <v>468</v>
      </c>
      <c r="D175" s="36" t="s">
        <v>468</v>
      </c>
      <c r="E175" s="36" t="s">
        <v>1909</v>
      </c>
      <c r="F175" s="1" t="e">
        <f t="shared" ca="1" si="391"/>
        <v>#NAME?</v>
      </c>
      <c r="G175" s="35" t="s">
        <v>1121</v>
      </c>
      <c r="H175" s="43">
        <v>1</v>
      </c>
      <c r="I175" s="42">
        <v>0</v>
      </c>
      <c r="J175" s="26">
        <v>6.2934432469995194E-2</v>
      </c>
      <c r="K175" s="25">
        <v>0.86116156775197827</v>
      </c>
      <c r="L175" s="24"/>
      <c r="M175" s="25"/>
      <c r="N175" s="24"/>
      <c r="O175" s="25"/>
      <c r="P175" s="24"/>
      <c r="Q175" s="25"/>
      <c r="R175" s="32"/>
      <c r="S175" s="47">
        <v>1</v>
      </c>
      <c r="T175" s="45">
        <v>1</v>
      </c>
      <c r="U175" s="46">
        <v>1</v>
      </c>
      <c r="V175" s="45">
        <v>1</v>
      </c>
      <c r="W175" s="46">
        <v>1</v>
      </c>
      <c r="X175" s="45">
        <v>1</v>
      </c>
      <c r="Y175" s="46">
        <v>1</v>
      </c>
      <c r="Z175" s="45">
        <v>1</v>
      </c>
      <c r="AA175" s="44">
        <v>1</v>
      </c>
      <c r="AB175" s="26">
        <f t="shared" si="382"/>
        <v>6.2934432469995194E-2</v>
      </c>
      <c r="AC175" s="25">
        <f t="shared" si="383"/>
        <v>0.86116156775197827</v>
      </c>
      <c r="AD175" s="24">
        <f t="shared" si="384"/>
        <v>0</v>
      </c>
      <c r="AE175" s="25">
        <f t="shared" si="385"/>
        <v>0</v>
      </c>
      <c r="AF175" s="24">
        <f t="shared" si="386"/>
        <v>0</v>
      </c>
      <c r="AG175" s="25">
        <f t="shared" si="387"/>
        <v>0</v>
      </c>
      <c r="AH175" s="24">
        <f t="shared" si="388"/>
        <v>0</v>
      </c>
      <c r="AI175" s="25">
        <f t="shared" si="389"/>
        <v>0</v>
      </c>
      <c r="AJ175" s="24">
        <f t="shared" si="390"/>
        <v>0</v>
      </c>
      <c r="AK175" s="27">
        <f t="shared" si="323"/>
        <v>0.92409600022197347</v>
      </c>
      <c r="AL175" s="41">
        <v>0</v>
      </c>
      <c r="AM175" s="40">
        <v>0</v>
      </c>
      <c r="AN175" s="39">
        <v>0</v>
      </c>
      <c r="AO175" s="40">
        <v>0</v>
      </c>
      <c r="AP175" s="39">
        <v>0</v>
      </c>
      <c r="AQ175" s="40">
        <v>0</v>
      </c>
      <c r="AR175" s="39">
        <v>0</v>
      </c>
      <c r="AS175" s="40">
        <v>0</v>
      </c>
      <c r="AT175" s="39">
        <v>0</v>
      </c>
      <c r="AU175" s="38">
        <v>0</v>
      </c>
      <c r="CS175" s="54" t="s">
        <v>1908</v>
      </c>
      <c r="CT175" s="39">
        <v>0</v>
      </c>
      <c r="CU175" s="40">
        <v>5.897433226639133E-2</v>
      </c>
      <c r="CV175" s="39">
        <v>0.10209509197542703</v>
      </c>
      <c r="CW175" s="40">
        <v>0</v>
      </c>
      <c r="CX175" s="39">
        <v>1.152582665852989E-2</v>
      </c>
      <c r="CY175" s="40">
        <v>0</v>
      </c>
      <c r="CZ175" s="39">
        <v>0</v>
      </c>
      <c r="DA175" s="40">
        <v>5.9290934342980051E-2</v>
      </c>
      <c r="DB175" s="39">
        <v>0</v>
      </c>
      <c r="DC175" s="38">
        <v>0.23188618524332827</v>
      </c>
      <c r="DE175" s="37" t="s">
        <v>1907</v>
      </c>
      <c r="DF175" s="35" t="str">
        <f t="shared" si="327"/>
        <v>ICAFA</v>
      </c>
      <c r="DG175" s="26">
        <f t="shared" si="392"/>
        <v>0</v>
      </c>
      <c r="DH175" s="25">
        <f t="shared" si="392"/>
        <v>0</v>
      </c>
      <c r="DI175" s="24">
        <f t="shared" si="392"/>
        <v>0.19048719943173875</v>
      </c>
      <c r="DJ175" s="25">
        <f t="shared" si="392"/>
        <v>0.12902150952692693</v>
      </c>
      <c r="DK175" s="24">
        <f t="shared" si="392"/>
        <v>0.16302313989192954</v>
      </c>
      <c r="DL175" s="25">
        <f t="shared" si="392"/>
        <v>0.14209841241912938</v>
      </c>
      <c r="DM175" s="24">
        <f t="shared" si="392"/>
        <v>0.49365022008560533</v>
      </c>
      <c r="DN175" s="25">
        <f t="shared" si="392"/>
        <v>9.8186774651898234E-2</v>
      </c>
      <c r="DO175" s="32">
        <f t="shared" si="392"/>
        <v>6.1567579827434611E-2</v>
      </c>
      <c r="DP175" s="26">
        <f t="shared" si="328"/>
        <v>0</v>
      </c>
      <c r="DQ175" s="25">
        <f t="shared" si="329"/>
        <v>0</v>
      </c>
      <c r="DR175" s="24">
        <f t="shared" si="330"/>
        <v>0.67269814648255322</v>
      </c>
      <c r="DS175" s="25">
        <f t="shared" si="331"/>
        <v>0.67269814648255311</v>
      </c>
      <c r="DT175" s="24">
        <f t="shared" si="332"/>
        <v>5.4584076158323183E-2</v>
      </c>
      <c r="DU175" s="25">
        <f t="shared" si="333"/>
        <v>5.4584076158323176E-2</v>
      </c>
      <c r="DV175" s="24">
        <f t="shared" si="334"/>
        <v>5.4584076158323183E-2</v>
      </c>
      <c r="DW175" s="25">
        <f t="shared" si="335"/>
        <v>0.89991859324804668</v>
      </c>
      <c r="DX175" s="32">
        <f t="shared" si="336"/>
        <v>0.89991859324804679</v>
      </c>
      <c r="DZ175" s="54" t="s">
        <v>1843</v>
      </c>
      <c r="EA175" s="39">
        <v>0</v>
      </c>
      <c r="EB175" s="40">
        <v>0.78221394270126854</v>
      </c>
      <c r="EC175" s="39">
        <v>0.75422858534414949</v>
      </c>
      <c r="ED175" s="40">
        <v>0</v>
      </c>
      <c r="EE175" s="39">
        <v>0.68493858758836446</v>
      </c>
      <c r="EF175" s="40">
        <v>0</v>
      </c>
      <c r="EG175" s="39">
        <v>0</v>
      </c>
      <c r="EH175" s="40">
        <v>1.4578209933155213E-2</v>
      </c>
      <c r="EI175" s="66">
        <v>0.80909315685334726</v>
      </c>
      <c r="EO175" s="83" t="s">
        <v>1108</v>
      </c>
      <c r="EP175" s="82" t="s">
        <v>519</v>
      </c>
      <c r="EQ175" s="81">
        <f t="shared" si="393"/>
        <v>9.8215847569887522</v>
      </c>
      <c r="ER175" s="80">
        <f>EQ175/SUM(EQ170:EQ178)</f>
        <v>4.3702571812708847E-2</v>
      </c>
      <c r="ET175" s="75" t="s">
        <v>520</v>
      </c>
      <c r="EU175" s="72">
        <v>0.18692784435283297</v>
      </c>
      <c r="EW175" s="37" t="s">
        <v>1108</v>
      </c>
      <c r="EX175" s="36" t="s">
        <v>1903</v>
      </c>
      <c r="EY175" s="36" t="s">
        <v>1150</v>
      </c>
      <c r="EZ175" s="1" t="s">
        <v>1902</v>
      </c>
      <c r="FA175" s="36" t="str">
        <f t="shared" si="394"/>
        <v>IMTETC</v>
      </c>
      <c r="FB175" s="1" t="s">
        <v>521</v>
      </c>
      <c r="FC175" s="26">
        <f t="shared" si="395"/>
        <v>3.1863909507277564</v>
      </c>
      <c r="FD175" s="25">
        <f t="shared" si="396"/>
        <v>2.466925484442322E-2</v>
      </c>
      <c r="FE175" s="24">
        <f t="shared" si="397"/>
        <v>7.7420678208958886E-3</v>
      </c>
      <c r="FF175" s="36">
        <v>0</v>
      </c>
      <c r="FG175" s="86">
        <f t="shared" si="398"/>
        <v>0</v>
      </c>
    </row>
    <row r="176" spans="1:163">
      <c r="A176" s="37" t="s">
        <v>1793</v>
      </c>
      <c r="B176" s="36" t="s">
        <v>1139</v>
      </c>
      <c r="C176" s="1" t="s">
        <v>1132</v>
      </c>
      <c r="D176" s="36" t="s">
        <v>1131</v>
      </c>
      <c r="E176" s="36" t="s">
        <v>1906</v>
      </c>
      <c r="F176" s="1" t="e">
        <f t="shared" ca="1" si="391"/>
        <v>#NAME?</v>
      </c>
      <c r="G176" s="35" t="s">
        <v>1121</v>
      </c>
      <c r="H176" s="43">
        <v>1</v>
      </c>
      <c r="I176" s="42">
        <v>0</v>
      </c>
      <c r="J176" s="26">
        <v>7.5040090645506041E-2</v>
      </c>
      <c r="K176" s="25">
        <v>1.1053541701960603</v>
      </c>
      <c r="L176" s="24"/>
      <c r="M176" s="25"/>
      <c r="N176" s="24"/>
      <c r="O176" s="25"/>
      <c r="P176" s="24"/>
      <c r="Q176" s="25"/>
      <c r="R176" s="32"/>
      <c r="S176" s="47">
        <v>1</v>
      </c>
      <c r="T176" s="45">
        <v>1</v>
      </c>
      <c r="U176" s="46">
        <v>1</v>
      </c>
      <c r="V176" s="45">
        <v>1</v>
      </c>
      <c r="W176" s="46">
        <v>1</v>
      </c>
      <c r="X176" s="45">
        <v>1</v>
      </c>
      <c r="Y176" s="46">
        <v>1</v>
      </c>
      <c r="Z176" s="45">
        <v>1</v>
      </c>
      <c r="AA176" s="44">
        <v>1</v>
      </c>
      <c r="AB176" s="26">
        <f t="shared" si="382"/>
        <v>7.5040090645506041E-2</v>
      </c>
      <c r="AC176" s="25">
        <f t="shared" si="383"/>
        <v>1.1053541701960603</v>
      </c>
      <c r="AD176" s="24">
        <f t="shared" si="384"/>
        <v>0</v>
      </c>
      <c r="AE176" s="25">
        <f t="shared" si="385"/>
        <v>0</v>
      </c>
      <c r="AF176" s="24">
        <f t="shared" si="386"/>
        <v>0</v>
      </c>
      <c r="AG176" s="25">
        <f t="shared" si="387"/>
        <v>0</v>
      </c>
      <c r="AH176" s="24">
        <f t="shared" si="388"/>
        <v>0</v>
      </c>
      <c r="AI176" s="25">
        <f t="shared" si="389"/>
        <v>0</v>
      </c>
      <c r="AJ176" s="24">
        <f t="shared" si="390"/>
        <v>0</v>
      </c>
      <c r="AK176" s="27">
        <f t="shared" si="323"/>
        <v>1.1803942608415663</v>
      </c>
      <c r="AL176" s="41">
        <v>0</v>
      </c>
      <c r="AM176" s="40">
        <v>0</v>
      </c>
      <c r="AN176" s="39">
        <v>0</v>
      </c>
      <c r="AO176" s="40">
        <v>0</v>
      </c>
      <c r="AP176" s="39">
        <v>0</v>
      </c>
      <c r="AQ176" s="40">
        <v>0</v>
      </c>
      <c r="AR176" s="39">
        <v>0</v>
      </c>
      <c r="AS176" s="40">
        <v>0</v>
      </c>
      <c r="AT176" s="39">
        <v>0</v>
      </c>
      <c r="AU176" s="38">
        <v>0</v>
      </c>
      <c r="CS176" s="54" t="s">
        <v>1905</v>
      </c>
      <c r="CT176" s="39">
        <v>0.67790500013447119</v>
      </c>
      <c r="CU176" s="40">
        <v>16.687891522038147</v>
      </c>
      <c r="CV176" s="39">
        <v>1.2949963577296182</v>
      </c>
      <c r="CW176" s="40">
        <v>0.66344715397526155</v>
      </c>
      <c r="CX176" s="39">
        <v>16.022489755321025</v>
      </c>
      <c r="CY176" s="40">
        <v>2.7878288365522597</v>
      </c>
      <c r="CZ176" s="39">
        <v>7.6337187582697643</v>
      </c>
      <c r="DA176" s="40">
        <v>0</v>
      </c>
      <c r="DB176" s="39">
        <v>2.389101114603144</v>
      </c>
      <c r="DC176" s="38">
        <v>48.157378498623693</v>
      </c>
      <c r="DE176" s="37" t="s">
        <v>1904</v>
      </c>
      <c r="DF176" s="35" t="str">
        <f t="shared" si="327"/>
        <v>ICAFA</v>
      </c>
      <c r="DG176" s="26">
        <f t="shared" si="392"/>
        <v>0</v>
      </c>
      <c r="DH176" s="25">
        <f t="shared" si="392"/>
        <v>0</v>
      </c>
      <c r="DI176" s="24">
        <f t="shared" si="392"/>
        <v>9.2681708387868489E-2</v>
      </c>
      <c r="DJ176" s="25">
        <f t="shared" si="392"/>
        <v>6.2775524851066827E-2</v>
      </c>
      <c r="DK176" s="24">
        <f t="shared" si="392"/>
        <v>0.12691047509344414</v>
      </c>
      <c r="DL176" s="25">
        <f t="shared" si="392"/>
        <v>0.11062096486480834</v>
      </c>
      <c r="DM176" s="24">
        <f t="shared" si="392"/>
        <v>0.38429749299748883</v>
      </c>
      <c r="DN176" s="25">
        <f t="shared" si="392"/>
        <v>1.0919510503868942E-2</v>
      </c>
      <c r="DO176" s="32">
        <f t="shared" si="392"/>
        <v>6.8470304377236668E-3</v>
      </c>
      <c r="DP176" s="26">
        <f t="shared" si="328"/>
        <v>0</v>
      </c>
      <c r="DQ176" s="25">
        <f t="shared" si="329"/>
        <v>0</v>
      </c>
      <c r="DR176" s="24">
        <f t="shared" si="330"/>
        <v>0.32730185351744684</v>
      </c>
      <c r="DS176" s="25">
        <f t="shared" si="331"/>
        <v>0.32730185351744684</v>
      </c>
      <c r="DT176" s="24">
        <f t="shared" si="332"/>
        <v>4.2492685654206733E-2</v>
      </c>
      <c r="DU176" s="25">
        <f t="shared" si="333"/>
        <v>4.2492685654206733E-2</v>
      </c>
      <c r="DV176" s="24">
        <f t="shared" si="334"/>
        <v>4.249268565420674E-2</v>
      </c>
      <c r="DW176" s="25">
        <f t="shared" si="335"/>
        <v>0.10008140675195333</v>
      </c>
      <c r="DX176" s="32">
        <f t="shared" si="336"/>
        <v>0.10008140675195333</v>
      </c>
      <c r="DZ176" s="54" t="s">
        <v>1839</v>
      </c>
      <c r="EA176" s="39">
        <v>-2.7811445570540912E-16</v>
      </c>
      <c r="EB176" s="40">
        <v>0</v>
      </c>
      <c r="EC176" s="39">
        <v>0</v>
      </c>
      <c r="ED176" s="40">
        <v>0</v>
      </c>
      <c r="EE176" s="39">
        <v>0</v>
      </c>
      <c r="EF176" s="40">
        <v>0</v>
      </c>
      <c r="EG176" s="39">
        <v>0</v>
      </c>
      <c r="EH176" s="40">
        <v>0</v>
      </c>
      <c r="EI176" s="66">
        <v>-2.4110606286013729E-17</v>
      </c>
      <c r="EO176" s="83" t="s">
        <v>1108</v>
      </c>
      <c r="EP176" s="82" t="s">
        <v>520</v>
      </c>
      <c r="EQ176" s="81">
        <f t="shared" si="393"/>
        <v>33.41401859280657</v>
      </c>
      <c r="ER176" s="80">
        <f>EQ176/SUM(EQ170:EQ178)</f>
        <v>0.14868054221740809</v>
      </c>
      <c r="ET176" s="75" t="s">
        <v>521</v>
      </c>
      <c r="EU176" s="72">
        <v>3.6540057252615549E-3</v>
      </c>
      <c r="EW176" s="22" t="s">
        <v>1108</v>
      </c>
      <c r="EX176" s="20" t="s">
        <v>1903</v>
      </c>
      <c r="EY176" s="20" t="s">
        <v>1150</v>
      </c>
      <c r="EZ176" s="85" t="s">
        <v>1902</v>
      </c>
      <c r="FA176" s="20" t="str">
        <f t="shared" si="394"/>
        <v>IMTETC</v>
      </c>
      <c r="FB176" s="78" t="s">
        <v>522</v>
      </c>
      <c r="FC176" s="11">
        <f t="shared" si="395"/>
        <v>2.6990009622077644</v>
      </c>
      <c r="FD176" s="10">
        <f t="shared" si="396"/>
        <v>1.5468746399930667E-2</v>
      </c>
      <c r="FE176" s="9">
        <f t="shared" si="397"/>
        <v>5.7312859893452342E-3</v>
      </c>
      <c r="FF176" s="20">
        <v>0</v>
      </c>
      <c r="FG176" s="84">
        <f t="shared" si="398"/>
        <v>0</v>
      </c>
    </row>
    <row r="177" spans="1:151">
      <c r="A177" s="37" t="s">
        <v>1793</v>
      </c>
      <c r="B177" s="36" t="s">
        <v>1139</v>
      </c>
      <c r="C177" s="1" t="s">
        <v>1111</v>
      </c>
      <c r="D177" s="36" t="s">
        <v>1111</v>
      </c>
      <c r="E177" s="36" t="s">
        <v>1901</v>
      </c>
      <c r="F177" s="1" t="e">
        <f t="shared" ca="1" si="391"/>
        <v>#NAME?</v>
      </c>
      <c r="G177" s="35" t="s">
        <v>1121</v>
      </c>
      <c r="H177" s="43">
        <v>1</v>
      </c>
      <c r="I177" s="42">
        <v>0</v>
      </c>
      <c r="J177" s="26">
        <v>0</v>
      </c>
      <c r="K177" s="25">
        <v>0.14511206678428679</v>
      </c>
      <c r="L177" s="24"/>
      <c r="M177" s="25"/>
      <c r="N177" s="24"/>
      <c r="O177" s="25"/>
      <c r="P177" s="24"/>
      <c r="Q177" s="25"/>
      <c r="R177" s="32"/>
      <c r="S177" s="47">
        <v>1</v>
      </c>
      <c r="T177" s="45">
        <v>1</v>
      </c>
      <c r="U177" s="46">
        <v>1</v>
      </c>
      <c r="V177" s="45">
        <v>1</v>
      </c>
      <c r="W177" s="46">
        <v>1</v>
      </c>
      <c r="X177" s="45">
        <v>1</v>
      </c>
      <c r="Y177" s="46">
        <v>1</v>
      </c>
      <c r="Z177" s="45">
        <v>1</v>
      </c>
      <c r="AA177" s="44">
        <v>1</v>
      </c>
      <c r="AB177" s="26">
        <f t="shared" si="382"/>
        <v>0</v>
      </c>
      <c r="AC177" s="25">
        <f t="shared" si="383"/>
        <v>0.14511206678428679</v>
      </c>
      <c r="AD177" s="24">
        <f t="shared" si="384"/>
        <v>0</v>
      </c>
      <c r="AE177" s="25">
        <f t="shared" si="385"/>
        <v>0</v>
      </c>
      <c r="AF177" s="24">
        <f t="shared" si="386"/>
        <v>0</v>
      </c>
      <c r="AG177" s="25">
        <f t="shared" si="387"/>
        <v>0</v>
      </c>
      <c r="AH177" s="24">
        <f t="shared" si="388"/>
        <v>0</v>
      </c>
      <c r="AI177" s="25">
        <f t="shared" si="389"/>
        <v>0</v>
      </c>
      <c r="AJ177" s="24">
        <f t="shared" si="390"/>
        <v>0</v>
      </c>
      <c r="AK177" s="27">
        <f t="shared" si="323"/>
        <v>0.14511206678428679</v>
      </c>
      <c r="AL177" s="41">
        <v>0</v>
      </c>
      <c r="AM177" s="40">
        <v>0</v>
      </c>
      <c r="AN177" s="39">
        <v>0</v>
      </c>
      <c r="AO177" s="40">
        <v>0</v>
      </c>
      <c r="AP177" s="39">
        <v>0</v>
      </c>
      <c r="AQ177" s="40">
        <v>0</v>
      </c>
      <c r="AR177" s="39">
        <v>0</v>
      </c>
      <c r="AS177" s="40">
        <v>0</v>
      </c>
      <c r="AT177" s="39">
        <v>0</v>
      </c>
      <c r="AU177" s="38">
        <v>0</v>
      </c>
      <c r="CS177" s="54" t="s">
        <v>1900</v>
      </c>
      <c r="CT177" s="39">
        <v>0.15606906744635202</v>
      </c>
      <c r="CU177" s="40">
        <v>0.42960563463039414</v>
      </c>
      <c r="CV177" s="39">
        <v>0.5625550847992089</v>
      </c>
      <c r="CW177" s="40">
        <v>0.38103193521332673</v>
      </c>
      <c r="CX177" s="39">
        <v>0.17265686568009495</v>
      </c>
      <c r="CY177" s="40">
        <v>0.15049560769513143</v>
      </c>
      <c r="CZ177" s="39">
        <v>0.52282209629118481</v>
      </c>
      <c r="DA177" s="40">
        <v>0.11998736055228365</v>
      </c>
      <c r="DB177" s="39">
        <v>7.5237540139965101E-2</v>
      </c>
      <c r="DC177" s="38">
        <v>2.5704611924479415</v>
      </c>
      <c r="DE177" s="37" t="s">
        <v>1820</v>
      </c>
      <c r="DF177" s="35" t="str">
        <f t="shared" si="327"/>
        <v>INCFA</v>
      </c>
      <c r="DG177" s="26">
        <f t="shared" si="392"/>
        <v>0.23054268601481484</v>
      </c>
      <c r="DH177" s="25">
        <f t="shared" si="392"/>
        <v>0.63460645056289322</v>
      </c>
      <c r="DI177" s="24">
        <f t="shared" si="392"/>
        <v>0.51579137437156486</v>
      </c>
      <c r="DJ177" s="25">
        <f t="shared" si="392"/>
        <v>0.3493577622061434</v>
      </c>
      <c r="DK177" s="24">
        <f t="shared" si="392"/>
        <v>0.17657024646290415</v>
      </c>
      <c r="DL177" s="25">
        <f t="shared" si="392"/>
        <v>0.15390668907166088</v>
      </c>
      <c r="DM177" s="24">
        <f t="shared" si="392"/>
        <v>0.53467220104314317</v>
      </c>
      <c r="DN177" s="25">
        <f t="shared" si="392"/>
        <v>0</v>
      </c>
      <c r="DO177" s="32">
        <f t="shared" si="392"/>
        <v>0</v>
      </c>
      <c r="DP177" s="26">
        <f t="shared" si="328"/>
        <v>0.81761852800874757</v>
      </c>
      <c r="DQ177" s="25">
        <f t="shared" si="329"/>
        <v>0.81761852800874768</v>
      </c>
      <c r="DR177" s="24">
        <f t="shared" si="330"/>
        <v>0.59909197536010239</v>
      </c>
      <c r="DS177" s="25">
        <f t="shared" si="331"/>
        <v>0.59909197536010239</v>
      </c>
      <c r="DT177" s="24">
        <f t="shared" si="332"/>
        <v>0.50848876386171049</v>
      </c>
      <c r="DU177" s="25">
        <f t="shared" si="333"/>
        <v>0.50848876386171049</v>
      </c>
      <c r="DV177" s="24">
        <f t="shared" si="334"/>
        <v>0.5084887638617106</v>
      </c>
      <c r="DW177" s="25">
        <f t="shared" si="335"/>
        <v>0</v>
      </c>
      <c r="DX177" s="32">
        <f t="shared" si="336"/>
        <v>0</v>
      </c>
      <c r="DZ177" s="54" t="s">
        <v>1568</v>
      </c>
      <c r="EA177" s="39">
        <v>3.0294618553536518E-2</v>
      </c>
      <c r="EB177" s="40">
        <v>3.0294618553536518E-2</v>
      </c>
      <c r="EC177" s="39">
        <v>9.7386095834539582E-2</v>
      </c>
      <c r="ED177" s="40">
        <v>9.7386095834539596E-2</v>
      </c>
      <c r="EE177" s="39">
        <v>3.7334454617054154E-2</v>
      </c>
      <c r="EF177" s="40">
        <v>3.7334454617054154E-2</v>
      </c>
      <c r="EG177" s="39">
        <v>3.7334454617054161E-2</v>
      </c>
      <c r="EH177" s="40">
        <v>0</v>
      </c>
      <c r="EI177" s="66">
        <v>0</v>
      </c>
      <c r="EO177" s="83" t="s">
        <v>1108</v>
      </c>
      <c r="EP177" s="82" t="s">
        <v>521</v>
      </c>
      <c r="EQ177" s="81">
        <f t="shared" si="393"/>
        <v>3.1863909507277564</v>
      </c>
      <c r="ER177" s="80">
        <f>EQ177/SUM(EQ170:EQ178)</f>
        <v>1.4178310608016359E-2</v>
      </c>
      <c r="ET177" s="75" t="s">
        <v>522</v>
      </c>
      <c r="EU177" s="72">
        <v>4.0875703996707195E-2</v>
      </c>
    </row>
    <row r="178" spans="1:151">
      <c r="A178" s="37" t="s">
        <v>1793</v>
      </c>
      <c r="B178" s="36" t="s">
        <v>1136</v>
      </c>
      <c r="C178" s="1" t="s">
        <v>1120</v>
      </c>
      <c r="D178" s="36" t="s">
        <v>1120</v>
      </c>
      <c r="E178" s="36" t="s">
        <v>1899</v>
      </c>
      <c r="F178" s="1" t="e">
        <f t="shared" ca="1" si="391"/>
        <v>#NAME?</v>
      </c>
      <c r="G178" s="35" t="s">
        <v>1121</v>
      </c>
      <c r="H178" s="43">
        <v>1</v>
      </c>
      <c r="I178" s="42">
        <v>0</v>
      </c>
      <c r="J178" s="26">
        <v>0.67389952100834505</v>
      </c>
      <c r="K178" s="25">
        <v>0.56766356911736271</v>
      </c>
      <c r="L178" s="24"/>
      <c r="M178" s="25"/>
      <c r="N178" s="24"/>
      <c r="O178" s="25"/>
      <c r="P178" s="24"/>
      <c r="Q178" s="25"/>
      <c r="R178" s="32"/>
      <c r="S178" s="47">
        <v>1</v>
      </c>
      <c r="T178" s="45">
        <v>1</v>
      </c>
      <c r="U178" s="46">
        <v>1</v>
      </c>
      <c r="V178" s="45">
        <v>1</v>
      </c>
      <c r="W178" s="46">
        <v>1</v>
      </c>
      <c r="X178" s="45">
        <v>1</v>
      </c>
      <c r="Y178" s="46">
        <v>1</v>
      </c>
      <c r="Z178" s="45">
        <v>1</v>
      </c>
      <c r="AA178" s="44">
        <v>1</v>
      </c>
      <c r="AB178" s="26">
        <f t="shared" si="382"/>
        <v>0.67389952100834505</v>
      </c>
      <c r="AC178" s="25">
        <f t="shared" si="383"/>
        <v>0.56766356911736271</v>
      </c>
      <c r="AD178" s="24">
        <f t="shared" si="384"/>
        <v>0</v>
      </c>
      <c r="AE178" s="25">
        <f t="shared" si="385"/>
        <v>0</v>
      </c>
      <c r="AF178" s="24">
        <f t="shared" si="386"/>
        <v>0</v>
      </c>
      <c r="AG178" s="25">
        <f t="shared" si="387"/>
        <v>0</v>
      </c>
      <c r="AH178" s="24">
        <f t="shared" si="388"/>
        <v>0</v>
      </c>
      <c r="AI178" s="25">
        <f t="shared" si="389"/>
        <v>0</v>
      </c>
      <c r="AJ178" s="24">
        <f t="shared" si="390"/>
        <v>0</v>
      </c>
      <c r="AK178" s="27">
        <f t="shared" si="323"/>
        <v>1.2415630901257078</v>
      </c>
      <c r="AL178" s="41">
        <v>0</v>
      </c>
      <c r="AM178" s="40">
        <v>0</v>
      </c>
      <c r="AN178" s="39">
        <v>0</v>
      </c>
      <c r="AO178" s="40">
        <v>0</v>
      </c>
      <c r="AP178" s="39">
        <v>0</v>
      </c>
      <c r="AQ178" s="40">
        <v>0</v>
      </c>
      <c r="AR178" s="39">
        <v>0</v>
      </c>
      <c r="AS178" s="40">
        <v>0</v>
      </c>
      <c r="AT178" s="39">
        <v>0</v>
      </c>
      <c r="AU178" s="38">
        <v>0</v>
      </c>
      <c r="CS178" s="54" t="s">
        <v>1898</v>
      </c>
      <c r="CT178" s="39">
        <v>0</v>
      </c>
      <c r="CU178" s="40">
        <v>1.7831111450432005</v>
      </c>
      <c r="CV178" s="39">
        <v>6.654463221259789</v>
      </c>
      <c r="CW178" s="40">
        <v>0.98004187975898827</v>
      </c>
      <c r="CX178" s="39">
        <v>1.2692895811870943</v>
      </c>
      <c r="CY178" s="40">
        <v>1.4784044194779689</v>
      </c>
      <c r="CZ178" s="39">
        <v>4.3955810490582827</v>
      </c>
      <c r="DA178" s="40">
        <v>0.72402780173604797</v>
      </c>
      <c r="DB178" s="39">
        <v>0.13261990528215375</v>
      </c>
      <c r="DC178" s="38">
        <v>17.41753900280353</v>
      </c>
      <c r="DE178" s="37" t="s">
        <v>1818</v>
      </c>
      <c r="DF178" s="35" t="str">
        <f t="shared" si="327"/>
        <v>INCFA</v>
      </c>
      <c r="DG178" s="26">
        <f t="shared" ref="DG178:DO187" si="399">GETPIVOTDATA("Sum of "&amp;DG$1&amp;" (Out)",$CS$6,"Constraint Identifier",$DE178)</f>
        <v>5.1425833676495655E-2</v>
      </c>
      <c r="DH178" s="25">
        <f t="shared" si="399"/>
        <v>0.14155801834711618</v>
      </c>
      <c r="DI178" s="24">
        <f t="shared" si="399"/>
        <v>0.34516386386465564</v>
      </c>
      <c r="DJ178" s="25">
        <f t="shared" si="399"/>
        <v>0.23378769220618006</v>
      </c>
      <c r="DK178" s="24">
        <f t="shared" si="399"/>
        <v>0.17067488265645728</v>
      </c>
      <c r="DL178" s="25">
        <f t="shared" si="399"/>
        <v>0.1487680207937426</v>
      </c>
      <c r="DM178" s="24">
        <f t="shared" si="399"/>
        <v>0.51682045531878495</v>
      </c>
      <c r="DN178" s="25">
        <f t="shared" si="399"/>
        <v>0.23721997502796063</v>
      </c>
      <c r="DO178" s="32">
        <f t="shared" si="399"/>
        <v>0.14874772901926309</v>
      </c>
      <c r="DP178" s="26">
        <f t="shared" si="328"/>
        <v>0.18238147199125243</v>
      </c>
      <c r="DQ178" s="25">
        <f t="shared" si="329"/>
        <v>0.18238147199125243</v>
      </c>
      <c r="DR178" s="24">
        <f t="shared" si="330"/>
        <v>0.40090802463989766</v>
      </c>
      <c r="DS178" s="25">
        <f t="shared" si="331"/>
        <v>0.40090802463989761</v>
      </c>
      <c r="DT178" s="24">
        <f t="shared" si="332"/>
        <v>0.49151123613828945</v>
      </c>
      <c r="DU178" s="25">
        <f t="shared" si="333"/>
        <v>0.49151123613828956</v>
      </c>
      <c r="DV178" s="24">
        <f t="shared" si="334"/>
        <v>0.49151123613828956</v>
      </c>
      <c r="DW178" s="25">
        <f t="shared" si="335"/>
        <v>1</v>
      </c>
      <c r="DX178" s="32">
        <f t="shared" si="336"/>
        <v>1</v>
      </c>
      <c r="DZ178" s="54" t="s">
        <v>1577</v>
      </c>
      <c r="EA178" s="39">
        <v>0</v>
      </c>
      <c r="EB178" s="40">
        <v>0</v>
      </c>
      <c r="EC178" s="39">
        <v>9.0678123577887987E-2</v>
      </c>
      <c r="ED178" s="40">
        <v>9.0678123577888015E-2</v>
      </c>
      <c r="EE178" s="39">
        <v>0.10428855147546413</v>
      </c>
      <c r="EF178" s="40">
        <v>0.10428855147546413</v>
      </c>
      <c r="EG178" s="39">
        <v>0.10428855147546415</v>
      </c>
      <c r="EH178" s="40">
        <v>0</v>
      </c>
      <c r="EI178" s="66">
        <v>0</v>
      </c>
      <c r="EO178" s="79" t="s">
        <v>1108</v>
      </c>
      <c r="EP178" s="78" t="s">
        <v>522</v>
      </c>
      <c r="EQ178" s="77">
        <f t="shared" si="393"/>
        <v>2.6990009622077644</v>
      </c>
      <c r="ER178" s="76">
        <f>EQ178/SUM(EQ170:EQ178)</f>
        <v>1.2009597869582401E-2</v>
      </c>
      <c r="ET178" s="74" t="s">
        <v>1152</v>
      </c>
      <c r="EU178" s="70">
        <v>1</v>
      </c>
    </row>
    <row r="179" spans="1:151">
      <c r="A179" s="37" t="s">
        <v>1793</v>
      </c>
      <c r="B179" s="36" t="s">
        <v>1136</v>
      </c>
      <c r="C179" s="1" t="s">
        <v>1126</v>
      </c>
      <c r="D179" s="36" t="s">
        <v>1126</v>
      </c>
      <c r="E179" s="36" t="s">
        <v>1897</v>
      </c>
      <c r="F179" s="1" t="e">
        <f t="shared" ca="1" si="391"/>
        <v>#NAME?</v>
      </c>
      <c r="G179" s="35" t="s">
        <v>1121</v>
      </c>
      <c r="H179" s="43">
        <v>1</v>
      </c>
      <c r="I179" s="42">
        <v>0</v>
      </c>
      <c r="J179" s="26">
        <v>68.057723051048669</v>
      </c>
      <c r="K179" s="25">
        <v>43.089777053945099</v>
      </c>
      <c r="L179" s="24"/>
      <c r="M179" s="25"/>
      <c r="N179" s="24"/>
      <c r="O179" s="25"/>
      <c r="P179" s="24"/>
      <c r="Q179" s="25"/>
      <c r="R179" s="32"/>
      <c r="S179" s="47">
        <v>1</v>
      </c>
      <c r="T179" s="45">
        <v>1</v>
      </c>
      <c r="U179" s="46">
        <v>1</v>
      </c>
      <c r="V179" s="45">
        <v>1</v>
      </c>
      <c r="W179" s="46">
        <v>1</v>
      </c>
      <c r="X179" s="45">
        <v>1</v>
      </c>
      <c r="Y179" s="46">
        <v>1</v>
      </c>
      <c r="Z179" s="45">
        <v>1</v>
      </c>
      <c r="AA179" s="44">
        <v>1</v>
      </c>
      <c r="AB179" s="26">
        <f t="shared" si="382"/>
        <v>68.057723051048669</v>
      </c>
      <c r="AC179" s="25">
        <f t="shared" si="383"/>
        <v>43.089777053945099</v>
      </c>
      <c r="AD179" s="24">
        <f t="shared" si="384"/>
        <v>0</v>
      </c>
      <c r="AE179" s="25">
        <f t="shared" si="385"/>
        <v>0</v>
      </c>
      <c r="AF179" s="24">
        <f t="shared" si="386"/>
        <v>0</v>
      </c>
      <c r="AG179" s="25">
        <f t="shared" si="387"/>
        <v>0</v>
      </c>
      <c r="AH179" s="24">
        <f t="shared" si="388"/>
        <v>0</v>
      </c>
      <c r="AI179" s="25">
        <f t="shared" si="389"/>
        <v>0</v>
      </c>
      <c r="AJ179" s="24">
        <f t="shared" si="390"/>
        <v>0</v>
      </c>
      <c r="AK179" s="27">
        <f t="shared" si="323"/>
        <v>111.14750010499377</v>
      </c>
      <c r="AL179" s="41">
        <v>0</v>
      </c>
      <c r="AM179" s="40">
        <v>0</v>
      </c>
      <c r="AN179" s="39">
        <v>0</v>
      </c>
      <c r="AO179" s="40">
        <v>0</v>
      </c>
      <c r="AP179" s="39">
        <v>0</v>
      </c>
      <c r="AQ179" s="40">
        <v>0</v>
      </c>
      <c r="AR179" s="39">
        <v>0</v>
      </c>
      <c r="AS179" s="40">
        <v>0</v>
      </c>
      <c r="AT179" s="39">
        <v>0</v>
      </c>
      <c r="AU179" s="38">
        <v>0</v>
      </c>
      <c r="CS179" s="54" t="s">
        <v>1896</v>
      </c>
      <c r="CT179" s="39">
        <v>0</v>
      </c>
      <c r="CU179" s="40">
        <v>0</v>
      </c>
      <c r="CV179" s="39">
        <v>0</v>
      </c>
      <c r="CW179" s="40">
        <v>0</v>
      </c>
      <c r="CX179" s="39">
        <v>1.7331848898587448E-2</v>
      </c>
      <c r="CY179" s="40">
        <v>1.3201408278208558E-2</v>
      </c>
      <c r="CZ179" s="39">
        <v>5.5505921169740513E-2</v>
      </c>
      <c r="DA179" s="40">
        <v>0</v>
      </c>
      <c r="DB179" s="39">
        <v>0</v>
      </c>
      <c r="DC179" s="38">
        <v>8.6039178346536516E-2</v>
      </c>
      <c r="DE179" s="37" t="s">
        <v>1895</v>
      </c>
      <c r="DF179" s="35" t="str">
        <f t="shared" si="327"/>
        <v>IFDFA</v>
      </c>
      <c r="DG179" s="26">
        <f t="shared" si="399"/>
        <v>0.34728213132666452</v>
      </c>
      <c r="DH179" s="25">
        <f t="shared" si="399"/>
        <v>0.95595086755850878</v>
      </c>
      <c r="DI179" s="24">
        <f t="shared" si="399"/>
        <v>0.77697163552677562</v>
      </c>
      <c r="DJ179" s="25">
        <f t="shared" si="399"/>
        <v>0.5262613633583979</v>
      </c>
      <c r="DK179" s="24">
        <f t="shared" si="399"/>
        <v>0.53195954797344003</v>
      </c>
      <c r="DL179" s="25">
        <f t="shared" si="399"/>
        <v>0.46368023145875886</v>
      </c>
      <c r="DM179" s="24">
        <f t="shared" si="399"/>
        <v>1.6108262183381481</v>
      </c>
      <c r="DN179" s="25">
        <f t="shared" si="399"/>
        <v>2.9369313013355374</v>
      </c>
      <c r="DO179" s="32">
        <f t="shared" si="399"/>
        <v>1.8415896945767669</v>
      </c>
      <c r="DP179" s="26">
        <f t="shared" si="328"/>
        <v>0.10503464974097179</v>
      </c>
      <c r="DQ179" s="25">
        <f t="shared" si="329"/>
        <v>0.10503464974097179</v>
      </c>
      <c r="DR179" s="24">
        <f t="shared" si="330"/>
        <v>2.5449289281047761E-2</v>
      </c>
      <c r="DS179" s="25">
        <f t="shared" si="331"/>
        <v>2.5449289281047754E-2</v>
      </c>
      <c r="DT179" s="24">
        <f t="shared" si="332"/>
        <v>7.5027987556788342E-2</v>
      </c>
      <c r="DU179" s="25">
        <f t="shared" si="333"/>
        <v>7.5027987556788342E-2</v>
      </c>
      <c r="DV179" s="24">
        <f t="shared" si="334"/>
        <v>7.5027987556788342E-2</v>
      </c>
      <c r="DW179" s="25">
        <f t="shared" si="335"/>
        <v>0.17809519200379684</v>
      </c>
      <c r="DX179" s="32">
        <f t="shared" si="336"/>
        <v>0.17809519200379678</v>
      </c>
      <c r="DZ179" s="54" t="s">
        <v>1574</v>
      </c>
      <c r="EA179" s="39">
        <v>0.42732639955689078</v>
      </c>
      <c r="EB179" s="40">
        <v>0.42732639955689089</v>
      </c>
      <c r="EC179" s="39">
        <v>0.25566041676899176</v>
      </c>
      <c r="ED179" s="40">
        <v>0.25566041676899171</v>
      </c>
      <c r="EE179" s="39">
        <v>0.50029671575483137</v>
      </c>
      <c r="EF179" s="40">
        <v>0.50029671575483126</v>
      </c>
      <c r="EG179" s="39">
        <v>0.50029671575483126</v>
      </c>
      <c r="EH179" s="40">
        <v>0.51470442380766956</v>
      </c>
      <c r="EI179" s="66">
        <v>0.51470442380766956</v>
      </c>
      <c r="ET179" s="75" t="s">
        <v>438</v>
      </c>
      <c r="EU179" s="72">
        <v>0.11778394751624105</v>
      </c>
    </row>
    <row r="180" spans="1:151">
      <c r="A180" s="37" t="s">
        <v>1793</v>
      </c>
      <c r="B180" s="36" t="s">
        <v>1136</v>
      </c>
      <c r="C180" s="1" t="s">
        <v>456</v>
      </c>
      <c r="D180" s="36" t="s">
        <v>456</v>
      </c>
      <c r="E180" s="36" t="s">
        <v>1894</v>
      </c>
      <c r="F180" s="1" t="e">
        <f t="shared" ca="1" si="391"/>
        <v>#NAME?</v>
      </c>
      <c r="G180" s="35" t="s">
        <v>1121</v>
      </c>
      <c r="H180" s="43">
        <v>1</v>
      </c>
      <c r="I180" s="42">
        <v>0</v>
      </c>
      <c r="J180" s="26">
        <v>1.0677568712792456</v>
      </c>
      <c r="K180" s="25">
        <v>0.49468750411955337</v>
      </c>
      <c r="L180" s="24"/>
      <c r="M180" s="25"/>
      <c r="N180" s="24"/>
      <c r="O180" s="25"/>
      <c r="P180" s="24"/>
      <c r="Q180" s="25"/>
      <c r="R180" s="32"/>
      <c r="S180" s="47">
        <v>1</v>
      </c>
      <c r="T180" s="45">
        <v>1</v>
      </c>
      <c r="U180" s="46">
        <v>1</v>
      </c>
      <c r="V180" s="45">
        <v>1</v>
      </c>
      <c r="W180" s="46">
        <v>1</v>
      </c>
      <c r="X180" s="45">
        <v>1</v>
      </c>
      <c r="Y180" s="46">
        <v>1</v>
      </c>
      <c r="Z180" s="45">
        <v>1</v>
      </c>
      <c r="AA180" s="44">
        <v>1</v>
      </c>
      <c r="AB180" s="26">
        <f t="shared" si="382"/>
        <v>1.0677568712792456</v>
      </c>
      <c r="AC180" s="25">
        <f t="shared" si="383"/>
        <v>0.49468750411955337</v>
      </c>
      <c r="AD180" s="24">
        <f t="shared" si="384"/>
        <v>0</v>
      </c>
      <c r="AE180" s="25">
        <f t="shared" si="385"/>
        <v>0</v>
      </c>
      <c r="AF180" s="24">
        <f t="shared" si="386"/>
        <v>0</v>
      </c>
      <c r="AG180" s="25">
        <f t="shared" si="387"/>
        <v>0</v>
      </c>
      <c r="AH180" s="24">
        <f t="shared" si="388"/>
        <v>0</v>
      </c>
      <c r="AI180" s="25">
        <f t="shared" si="389"/>
        <v>0</v>
      </c>
      <c r="AJ180" s="24">
        <f t="shared" si="390"/>
        <v>0</v>
      </c>
      <c r="AK180" s="27">
        <f t="shared" si="323"/>
        <v>1.5624443753987989</v>
      </c>
      <c r="AL180" s="41">
        <v>0</v>
      </c>
      <c r="AM180" s="40">
        <v>0</v>
      </c>
      <c r="AN180" s="39">
        <v>0</v>
      </c>
      <c r="AO180" s="40">
        <v>0</v>
      </c>
      <c r="AP180" s="39">
        <v>0</v>
      </c>
      <c r="AQ180" s="40">
        <v>0</v>
      </c>
      <c r="AR180" s="39">
        <v>0</v>
      </c>
      <c r="AS180" s="40">
        <v>0</v>
      </c>
      <c r="AT180" s="39">
        <v>0</v>
      </c>
      <c r="AU180" s="38">
        <v>0</v>
      </c>
      <c r="CS180" s="54" t="s">
        <v>1893</v>
      </c>
      <c r="CT180" s="39">
        <v>0</v>
      </c>
      <c r="CU180" s="40">
        <v>0</v>
      </c>
      <c r="CV180" s="39">
        <v>7.5493810326326987</v>
      </c>
      <c r="CW180" s="40">
        <v>0.26536347855347564</v>
      </c>
      <c r="CX180" s="39">
        <v>2.8495759231195632</v>
      </c>
      <c r="CY180" s="40">
        <v>0</v>
      </c>
      <c r="CZ180" s="39">
        <v>0</v>
      </c>
      <c r="DA180" s="40">
        <v>0</v>
      </c>
      <c r="DB180" s="39">
        <v>0</v>
      </c>
      <c r="DC180" s="38">
        <v>10.664320434305738</v>
      </c>
      <c r="DE180" s="37" t="s">
        <v>1892</v>
      </c>
      <c r="DF180" s="35" t="str">
        <f t="shared" si="327"/>
        <v>IFDFA</v>
      </c>
      <c r="DG180" s="26">
        <f t="shared" si="399"/>
        <v>1.2581906071278048</v>
      </c>
      <c r="DH180" s="25">
        <f t="shared" si="399"/>
        <v>3.4633754343854508</v>
      </c>
      <c r="DI180" s="24">
        <f t="shared" si="399"/>
        <v>13.253676525693733</v>
      </c>
      <c r="DJ180" s="25">
        <f t="shared" si="399"/>
        <v>8.9770302530978476</v>
      </c>
      <c r="DK180" s="24">
        <f t="shared" si="399"/>
        <v>3.1719655561428444</v>
      </c>
      <c r="DL180" s="25">
        <f t="shared" si="399"/>
        <v>2.7648300117078803</v>
      </c>
      <c r="DM180" s="24">
        <f t="shared" si="399"/>
        <v>9.6050259854637456</v>
      </c>
      <c r="DN180" s="25">
        <f t="shared" si="399"/>
        <v>4.9574571951823696</v>
      </c>
      <c r="DO180" s="32">
        <f t="shared" si="399"/>
        <v>3.108551459069441</v>
      </c>
      <c r="DP180" s="26">
        <f t="shared" si="328"/>
        <v>0.38053673888202955</v>
      </c>
      <c r="DQ180" s="25">
        <f t="shared" si="329"/>
        <v>0.38053673888202955</v>
      </c>
      <c r="DR180" s="24">
        <f t="shared" si="330"/>
        <v>0.43411706749259849</v>
      </c>
      <c r="DS180" s="25">
        <f t="shared" si="331"/>
        <v>0.43411706749259837</v>
      </c>
      <c r="DT180" s="24">
        <f t="shared" si="332"/>
        <v>0.44737648413959641</v>
      </c>
      <c r="DU180" s="25">
        <f t="shared" si="333"/>
        <v>0.44737648413959635</v>
      </c>
      <c r="DV180" s="24">
        <f t="shared" si="334"/>
        <v>0.44737648413959641</v>
      </c>
      <c r="DW180" s="25">
        <f t="shared" si="335"/>
        <v>0.30061966060463158</v>
      </c>
      <c r="DX180" s="32">
        <f t="shared" si="336"/>
        <v>0.30061966060463152</v>
      </c>
      <c r="DZ180" s="54" t="s">
        <v>1571</v>
      </c>
      <c r="EA180" s="39">
        <v>0.54237898188957268</v>
      </c>
      <c r="EB180" s="40">
        <v>0.54237898188957268</v>
      </c>
      <c r="EC180" s="39">
        <v>0.55627536381858056</v>
      </c>
      <c r="ED180" s="40">
        <v>0.55627536381858067</v>
      </c>
      <c r="EE180" s="39">
        <v>0.35808027815265042</v>
      </c>
      <c r="EF180" s="40">
        <v>0.35808027815265037</v>
      </c>
      <c r="EG180" s="39">
        <v>0.35808027815265048</v>
      </c>
      <c r="EH180" s="40">
        <v>0.48529557619233038</v>
      </c>
      <c r="EI180" s="66">
        <v>0.48529557619233049</v>
      </c>
      <c r="ET180" s="75" t="s">
        <v>440</v>
      </c>
      <c r="EU180" s="72">
        <v>0.33411443924485124</v>
      </c>
    </row>
    <row r="181" spans="1:151">
      <c r="A181" s="37" t="s">
        <v>1793</v>
      </c>
      <c r="B181" s="36" t="s">
        <v>1136</v>
      </c>
      <c r="C181" s="1" t="s">
        <v>665</v>
      </c>
      <c r="D181" s="36" t="s">
        <v>665</v>
      </c>
      <c r="E181" s="36" t="s">
        <v>1891</v>
      </c>
      <c r="F181" s="1" t="e">
        <f t="shared" ca="1" si="391"/>
        <v>#NAME?</v>
      </c>
      <c r="G181" s="35" t="s">
        <v>1121</v>
      </c>
      <c r="H181" s="43">
        <v>1</v>
      </c>
      <c r="I181" s="42">
        <v>0</v>
      </c>
      <c r="J181" s="26">
        <v>2.5315459131614073</v>
      </c>
      <c r="K181" s="25">
        <v>1.1151009048090792</v>
      </c>
      <c r="L181" s="24"/>
      <c r="M181" s="25"/>
      <c r="N181" s="24"/>
      <c r="O181" s="25"/>
      <c r="P181" s="24"/>
      <c r="Q181" s="25"/>
      <c r="R181" s="32"/>
      <c r="S181" s="47">
        <v>1</v>
      </c>
      <c r="T181" s="45">
        <v>1</v>
      </c>
      <c r="U181" s="46">
        <v>1</v>
      </c>
      <c r="V181" s="45">
        <v>1</v>
      </c>
      <c r="W181" s="46">
        <v>1</v>
      </c>
      <c r="X181" s="45">
        <v>1</v>
      </c>
      <c r="Y181" s="46">
        <v>1</v>
      </c>
      <c r="Z181" s="45">
        <v>1</v>
      </c>
      <c r="AA181" s="44">
        <v>1</v>
      </c>
      <c r="AB181" s="26">
        <f t="shared" si="382"/>
        <v>2.5315459131614073</v>
      </c>
      <c r="AC181" s="25">
        <f t="shared" si="383"/>
        <v>1.1151009048090792</v>
      </c>
      <c r="AD181" s="24">
        <f t="shared" si="384"/>
        <v>0</v>
      </c>
      <c r="AE181" s="25">
        <f t="shared" si="385"/>
        <v>0</v>
      </c>
      <c r="AF181" s="24">
        <f t="shared" si="386"/>
        <v>0</v>
      </c>
      <c r="AG181" s="25">
        <f t="shared" si="387"/>
        <v>0</v>
      </c>
      <c r="AH181" s="24">
        <f t="shared" si="388"/>
        <v>0</v>
      </c>
      <c r="AI181" s="25">
        <f t="shared" si="389"/>
        <v>0</v>
      </c>
      <c r="AJ181" s="24">
        <f t="shared" si="390"/>
        <v>0</v>
      </c>
      <c r="AK181" s="27">
        <f t="shared" si="323"/>
        <v>3.6466468179704865</v>
      </c>
      <c r="AL181" s="41">
        <v>0</v>
      </c>
      <c r="AM181" s="40">
        <v>0</v>
      </c>
      <c r="AN181" s="39">
        <v>0</v>
      </c>
      <c r="AO181" s="40">
        <v>0</v>
      </c>
      <c r="AP181" s="39">
        <v>0</v>
      </c>
      <c r="AQ181" s="40">
        <v>0</v>
      </c>
      <c r="AR181" s="39">
        <v>0</v>
      </c>
      <c r="AS181" s="40">
        <v>0</v>
      </c>
      <c r="AT181" s="39">
        <v>0</v>
      </c>
      <c r="AU181" s="38">
        <v>0</v>
      </c>
      <c r="CS181" s="54" t="s">
        <v>1890</v>
      </c>
      <c r="CT181" s="39">
        <v>0.47084365592809052</v>
      </c>
      <c r="CU181" s="40">
        <v>1.2960741736104375</v>
      </c>
      <c r="CV181" s="39">
        <v>3.5364642470204193</v>
      </c>
      <c r="CW181" s="40">
        <v>2.3953313235732141</v>
      </c>
      <c r="CX181" s="39">
        <v>0.90153565278769443</v>
      </c>
      <c r="CY181" s="40">
        <v>0.78581963937940791</v>
      </c>
      <c r="CZ181" s="39">
        <v>2.7299392816792203</v>
      </c>
      <c r="DA181" s="40">
        <v>1.163536109566117</v>
      </c>
      <c r="DB181" s="39">
        <v>0.72959013636802139</v>
      </c>
      <c r="DC181" s="38">
        <v>14.009134219912621</v>
      </c>
      <c r="DE181" s="37" t="s">
        <v>1889</v>
      </c>
      <c r="DF181" s="35" t="str">
        <f t="shared" si="327"/>
        <v>IFDFA</v>
      </c>
      <c r="DG181" s="26">
        <f t="shared" si="399"/>
        <v>0.10003826432157566</v>
      </c>
      <c r="DH181" s="25">
        <f t="shared" si="399"/>
        <v>0.27537168469316808</v>
      </c>
      <c r="DI181" s="24">
        <f t="shared" si="399"/>
        <v>0</v>
      </c>
      <c r="DJ181" s="25">
        <f t="shared" si="399"/>
        <v>0</v>
      </c>
      <c r="DK181" s="24">
        <f t="shared" si="399"/>
        <v>0.15323653326262257</v>
      </c>
      <c r="DL181" s="25">
        <f t="shared" si="399"/>
        <v>0.13356795922139969</v>
      </c>
      <c r="DM181" s="24">
        <f t="shared" si="399"/>
        <v>0.46401540554546533</v>
      </c>
      <c r="DN181" s="25">
        <f t="shared" si="399"/>
        <v>0.23073106323846596</v>
      </c>
      <c r="DO181" s="32">
        <f t="shared" si="399"/>
        <v>0.14467888577627783</v>
      </c>
      <c r="DP181" s="26">
        <f t="shared" si="328"/>
        <v>3.0256333700704522E-2</v>
      </c>
      <c r="DQ181" s="25">
        <f t="shared" si="329"/>
        <v>3.0256333700704519E-2</v>
      </c>
      <c r="DR181" s="24">
        <f t="shared" si="330"/>
        <v>0</v>
      </c>
      <c r="DS181" s="25">
        <f t="shared" si="331"/>
        <v>0</v>
      </c>
      <c r="DT181" s="24">
        <f t="shared" si="332"/>
        <v>2.1612599594598235E-2</v>
      </c>
      <c r="DU181" s="25">
        <f t="shared" si="333"/>
        <v>2.1612599594598235E-2</v>
      </c>
      <c r="DV181" s="24">
        <f t="shared" si="334"/>
        <v>2.1612599594598235E-2</v>
      </c>
      <c r="DW181" s="25">
        <f t="shared" si="335"/>
        <v>1.3991506369253037E-2</v>
      </c>
      <c r="DX181" s="32">
        <f t="shared" si="336"/>
        <v>1.3991506369253033E-2</v>
      </c>
      <c r="DZ181" s="54" t="s">
        <v>1556</v>
      </c>
      <c r="EA181" s="39">
        <v>3.83032458213375E-3</v>
      </c>
      <c r="EB181" s="40">
        <v>3.6260194748330551E-3</v>
      </c>
      <c r="EC181" s="39">
        <v>2.2653463784517752E-3</v>
      </c>
      <c r="ED181" s="40">
        <v>2.2653463784517748E-3</v>
      </c>
      <c r="EE181" s="39">
        <v>0</v>
      </c>
      <c r="EF181" s="40">
        <v>0</v>
      </c>
      <c r="EG181" s="39">
        <v>0</v>
      </c>
      <c r="EH181" s="40">
        <v>8.481664610696181E-2</v>
      </c>
      <c r="EI181" s="66">
        <v>8.4816646106961796E-2</v>
      </c>
      <c r="ET181" s="75" t="s">
        <v>439</v>
      </c>
      <c r="EU181" s="72">
        <v>0.17325073097252122</v>
      </c>
    </row>
    <row r="182" spans="1:151">
      <c r="A182" s="37" t="s">
        <v>1793</v>
      </c>
      <c r="B182" s="36" t="s">
        <v>1136</v>
      </c>
      <c r="C182" s="1" t="s">
        <v>1106</v>
      </c>
      <c r="D182" s="36" t="s">
        <v>1106</v>
      </c>
      <c r="E182" s="36" t="s">
        <v>1888</v>
      </c>
      <c r="F182" s="1" t="e">
        <f t="shared" ca="1" si="391"/>
        <v>#NAME?</v>
      </c>
      <c r="G182" s="35" t="s">
        <v>1121</v>
      </c>
      <c r="H182" s="43">
        <v>1</v>
      </c>
      <c r="I182" s="42">
        <v>0</v>
      </c>
      <c r="J182" s="26">
        <v>0.35841786631494593</v>
      </c>
      <c r="K182" s="25">
        <v>0.21408559359683282</v>
      </c>
      <c r="L182" s="24"/>
      <c r="M182" s="25"/>
      <c r="N182" s="24"/>
      <c r="O182" s="25"/>
      <c r="P182" s="24"/>
      <c r="Q182" s="25"/>
      <c r="R182" s="32"/>
      <c r="S182" s="47">
        <v>1</v>
      </c>
      <c r="T182" s="45">
        <v>1</v>
      </c>
      <c r="U182" s="46">
        <v>1</v>
      </c>
      <c r="V182" s="45">
        <v>1</v>
      </c>
      <c r="W182" s="46">
        <v>1</v>
      </c>
      <c r="X182" s="45">
        <v>1</v>
      </c>
      <c r="Y182" s="46">
        <v>1</v>
      </c>
      <c r="Z182" s="45">
        <v>1</v>
      </c>
      <c r="AA182" s="44">
        <v>1</v>
      </c>
      <c r="AB182" s="26">
        <f t="shared" si="382"/>
        <v>0.35841786631494593</v>
      </c>
      <c r="AC182" s="25">
        <f t="shared" si="383"/>
        <v>0.21408559359683282</v>
      </c>
      <c r="AD182" s="24">
        <f t="shared" si="384"/>
        <v>0</v>
      </c>
      <c r="AE182" s="25">
        <f t="shared" si="385"/>
        <v>0</v>
      </c>
      <c r="AF182" s="24">
        <f t="shared" si="386"/>
        <v>0</v>
      </c>
      <c r="AG182" s="25">
        <f t="shared" si="387"/>
        <v>0</v>
      </c>
      <c r="AH182" s="24">
        <f t="shared" si="388"/>
        <v>0</v>
      </c>
      <c r="AI182" s="25">
        <f t="shared" si="389"/>
        <v>0</v>
      </c>
      <c r="AJ182" s="24">
        <f t="shared" si="390"/>
        <v>0</v>
      </c>
      <c r="AK182" s="27">
        <f t="shared" si="323"/>
        <v>0.57250345991177876</v>
      </c>
      <c r="AL182" s="41">
        <v>0</v>
      </c>
      <c r="AM182" s="40">
        <v>0</v>
      </c>
      <c r="AN182" s="39">
        <v>0</v>
      </c>
      <c r="AO182" s="40">
        <v>0</v>
      </c>
      <c r="AP182" s="39">
        <v>0</v>
      </c>
      <c r="AQ182" s="40">
        <v>0</v>
      </c>
      <c r="AR182" s="39">
        <v>0</v>
      </c>
      <c r="AS182" s="40">
        <v>0</v>
      </c>
      <c r="AT182" s="39">
        <v>0</v>
      </c>
      <c r="AU182" s="38">
        <v>0</v>
      </c>
      <c r="CS182" s="54" t="s">
        <v>1853</v>
      </c>
      <c r="CT182" s="39">
        <v>9.4701036006085551E-2</v>
      </c>
      <c r="CU182" s="40">
        <v>0.26068009080361271</v>
      </c>
      <c r="CV182" s="39">
        <v>0.21187389789000305</v>
      </c>
      <c r="CW182" s="40">
        <v>0.14350722891969525</v>
      </c>
      <c r="CX182" s="39">
        <v>7.2530538951091933E-2</v>
      </c>
      <c r="CY182" s="40">
        <v>6.3220929517651944E-2</v>
      </c>
      <c r="CZ182" s="39">
        <v>0.21962965834095444</v>
      </c>
      <c r="DA182" s="40">
        <v>0</v>
      </c>
      <c r="DB182" s="39">
        <v>0</v>
      </c>
      <c r="DC182" s="38">
        <v>1.0661433804290947</v>
      </c>
      <c r="DE182" s="37" t="s">
        <v>1887</v>
      </c>
      <c r="DF182" s="35" t="str">
        <f t="shared" si="327"/>
        <v>IFDFA</v>
      </c>
      <c r="DG182" s="26">
        <f t="shared" si="399"/>
        <v>1.5994266192244877</v>
      </c>
      <c r="DH182" s="25">
        <f t="shared" si="399"/>
        <v>4.4026833698668515</v>
      </c>
      <c r="DI182" s="24">
        <f t="shared" si="399"/>
        <v>16.038832080420637</v>
      </c>
      <c r="DJ182" s="25">
        <f t="shared" si="399"/>
        <v>10.863482334970902</v>
      </c>
      <c r="DK182" s="24">
        <f t="shared" si="399"/>
        <v>3.2155835769447472</v>
      </c>
      <c r="DL182" s="25">
        <f t="shared" si="399"/>
        <v>2.8028494702517648</v>
      </c>
      <c r="DM182" s="24">
        <f t="shared" si="399"/>
        <v>9.7371056741682569</v>
      </c>
      <c r="DN182" s="25">
        <f t="shared" si="399"/>
        <v>8.3001655975198005</v>
      </c>
      <c r="DO182" s="32">
        <f t="shared" si="399"/>
        <v>5.20458187793571</v>
      </c>
      <c r="DP182" s="26">
        <f t="shared" si="328"/>
        <v>0.48374275432734293</v>
      </c>
      <c r="DQ182" s="25">
        <f t="shared" si="329"/>
        <v>0.48374275432734298</v>
      </c>
      <c r="DR182" s="24">
        <f t="shared" si="330"/>
        <v>0.52534334418532003</v>
      </c>
      <c r="DS182" s="25">
        <f t="shared" si="331"/>
        <v>0.52534334418532003</v>
      </c>
      <c r="DT182" s="24">
        <f t="shared" si="332"/>
        <v>0.45352840365010078</v>
      </c>
      <c r="DU182" s="25">
        <f t="shared" si="333"/>
        <v>0.45352840365010089</v>
      </c>
      <c r="DV182" s="24">
        <f t="shared" si="334"/>
        <v>0.45352840365010083</v>
      </c>
      <c r="DW182" s="25">
        <f t="shared" si="335"/>
        <v>0.50332113150940705</v>
      </c>
      <c r="DX182" s="32">
        <f t="shared" si="336"/>
        <v>0.50332113150940694</v>
      </c>
      <c r="DZ182" s="54" t="s">
        <v>1565</v>
      </c>
      <c r="EA182" s="39">
        <v>0.98231893334568399</v>
      </c>
      <c r="EB182" s="40">
        <v>0.92992317137375868</v>
      </c>
      <c r="EC182" s="39">
        <v>0.927213147853719</v>
      </c>
      <c r="ED182" s="40">
        <v>0.927213147853719</v>
      </c>
      <c r="EE182" s="39">
        <v>0.90538195206144401</v>
      </c>
      <c r="EF182" s="40">
        <v>0.90538195206144401</v>
      </c>
      <c r="EG182" s="39">
        <v>0.90538195206144401</v>
      </c>
      <c r="EH182" s="40">
        <v>0</v>
      </c>
      <c r="EI182" s="66">
        <v>0</v>
      </c>
      <c r="ET182" s="75" t="s">
        <v>518</v>
      </c>
      <c r="EU182" s="72">
        <v>0.11716493089902448</v>
      </c>
    </row>
    <row r="183" spans="1:151">
      <c r="A183" s="37" t="s">
        <v>1793</v>
      </c>
      <c r="B183" s="36" t="s">
        <v>1129</v>
      </c>
      <c r="C183" s="1" t="s">
        <v>1120</v>
      </c>
      <c r="D183" s="36" t="s">
        <v>1120</v>
      </c>
      <c r="E183" s="36" t="s">
        <v>1886</v>
      </c>
      <c r="F183" s="1" t="e">
        <f t="shared" ca="1" si="391"/>
        <v>#NAME?</v>
      </c>
      <c r="G183" s="35" t="s">
        <v>1121</v>
      </c>
      <c r="H183" s="43">
        <v>1</v>
      </c>
      <c r="I183" s="42">
        <v>0</v>
      </c>
      <c r="J183" s="26">
        <v>9.0093518851383017E-2</v>
      </c>
      <c r="K183" s="25">
        <v>7.5890851486278429E-2</v>
      </c>
      <c r="L183" s="24"/>
      <c r="M183" s="25"/>
      <c r="N183" s="24"/>
      <c r="O183" s="25"/>
      <c r="P183" s="24"/>
      <c r="Q183" s="25"/>
      <c r="R183" s="32"/>
      <c r="S183" s="47">
        <v>1</v>
      </c>
      <c r="T183" s="45">
        <v>1</v>
      </c>
      <c r="U183" s="46">
        <v>1</v>
      </c>
      <c r="V183" s="45">
        <v>1</v>
      </c>
      <c r="W183" s="46">
        <v>1</v>
      </c>
      <c r="X183" s="45">
        <v>1</v>
      </c>
      <c r="Y183" s="46">
        <v>1</v>
      </c>
      <c r="Z183" s="45">
        <v>1</v>
      </c>
      <c r="AA183" s="44">
        <v>1</v>
      </c>
      <c r="AB183" s="26">
        <f t="shared" si="382"/>
        <v>9.0093518851383017E-2</v>
      </c>
      <c r="AC183" s="25">
        <f t="shared" si="383"/>
        <v>7.5890851486278429E-2</v>
      </c>
      <c r="AD183" s="24">
        <f t="shared" si="384"/>
        <v>0</v>
      </c>
      <c r="AE183" s="25">
        <f t="shared" si="385"/>
        <v>0</v>
      </c>
      <c r="AF183" s="24">
        <f t="shared" si="386"/>
        <v>0</v>
      </c>
      <c r="AG183" s="25">
        <f t="shared" si="387"/>
        <v>0</v>
      </c>
      <c r="AH183" s="24">
        <f t="shared" si="388"/>
        <v>0</v>
      </c>
      <c r="AI183" s="25">
        <f t="shared" si="389"/>
        <v>0</v>
      </c>
      <c r="AJ183" s="24">
        <f t="shared" si="390"/>
        <v>0</v>
      </c>
      <c r="AK183" s="27">
        <f t="shared" si="323"/>
        <v>0.16598437033766145</v>
      </c>
      <c r="AL183" s="41">
        <v>0</v>
      </c>
      <c r="AM183" s="40">
        <v>0</v>
      </c>
      <c r="AN183" s="39">
        <v>0</v>
      </c>
      <c r="AO183" s="40">
        <v>0</v>
      </c>
      <c r="AP183" s="39">
        <v>0</v>
      </c>
      <c r="AQ183" s="40">
        <v>0</v>
      </c>
      <c r="AR183" s="39">
        <v>0</v>
      </c>
      <c r="AS183" s="40">
        <v>0</v>
      </c>
      <c r="AT183" s="39">
        <v>0</v>
      </c>
      <c r="AU183" s="38">
        <v>0</v>
      </c>
      <c r="CS183" s="54" t="s">
        <v>1851</v>
      </c>
      <c r="CT183" s="39">
        <v>0.58855456991011323</v>
      </c>
      <c r="CU183" s="40">
        <v>1.6200927170130468</v>
      </c>
      <c r="CV183" s="39">
        <v>4.4205803087755244</v>
      </c>
      <c r="CW183" s="40">
        <v>2.9941641544665174</v>
      </c>
      <c r="CX183" s="39">
        <v>1.1269195659846181</v>
      </c>
      <c r="CY183" s="40">
        <v>0.98227454922425983</v>
      </c>
      <c r="CZ183" s="39">
        <v>3.4124241020990254</v>
      </c>
      <c r="DA183" s="40">
        <v>1.4544201369576464</v>
      </c>
      <c r="DB183" s="39">
        <v>0.91198767046002671</v>
      </c>
      <c r="DC183" s="38">
        <v>17.511417774890777</v>
      </c>
      <c r="DE183" s="37" t="s">
        <v>1885</v>
      </c>
      <c r="DF183" s="35" t="str">
        <f t="shared" si="327"/>
        <v>IFDFA</v>
      </c>
      <c r="DG183" s="26">
        <f t="shared" si="399"/>
        <v>1.4201578664393994E-3</v>
      </c>
      <c r="DH183" s="25">
        <f t="shared" si="399"/>
        <v>3.9092168068266724E-3</v>
      </c>
      <c r="DI183" s="24">
        <f t="shared" si="399"/>
        <v>0.46070969593762284</v>
      </c>
      <c r="DJ183" s="25">
        <f t="shared" si="399"/>
        <v>0.31204963168595751</v>
      </c>
      <c r="DK183" s="24">
        <f t="shared" si="399"/>
        <v>1.7402946331757266E-2</v>
      </c>
      <c r="DL183" s="25">
        <f t="shared" si="399"/>
        <v>1.5169202646920933E-2</v>
      </c>
      <c r="DM183" s="24">
        <f t="shared" si="399"/>
        <v>5.2697845793578953E-2</v>
      </c>
      <c r="DN183" s="25">
        <f t="shared" si="399"/>
        <v>6.5509840002164643E-2</v>
      </c>
      <c r="DO183" s="32">
        <f t="shared" si="399"/>
        <v>4.1077653463156769E-2</v>
      </c>
      <c r="DP183" s="26">
        <f t="shared" si="328"/>
        <v>4.2952334895122513E-4</v>
      </c>
      <c r="DQ183" s="25">
        <f t="shared" si="329"/>
        <v>4.2952334895122508E-4</v>
      </c>
      <c r="DR183" s="24">
        <f t="shared" si="330"/>
        <v>1.509029904103374E-2</v>
      </c>
      <c r="DS183" s="25">
        <f t="shared" si="331"/>
        <v>1.5090299041033735E-2</v>
      </c>
      <c r="DT183" s="24">
        <f t="shared" si="332"/>
        <v>2.4545250589161935E-3</v>
      </c>
      <c r="DU183" s="25">
        <f t="shared" si="333"/>
        <v>2.4545250589161939E-3</v>
      </c>
      <c r="DV183" s="24">
        <f t="shared" si="334"/>
        <v>2.4545250589161935E-3</v>
      </c>
      <c r="DW183" s="25">
        <f t="shared" si="335"/>
        <v>3.972509512911687E-3</v>
      </c>
      <c r="DX183" s="32">
        <f t="shared" si="336"/>
        <v>3.9725095129116853E-3</v>
      </c>
      <c r="DZ183" s="54" t="s">
        <v>1562</v>
      </c>
      <c r="EA183" s="39">
        <v>1.385074207218224E-2</v>
      </c>
      <c r="EB183" s="40">
        <v>1.3111959422155473E-2</v>
      </c>
      <c r="EC183" s="39">
        <v>4.6078104719567685E-2</v>
      </c>
      <c r="ED183" s="40">
        <v>4.6078104719567671E-2</v>
      </c>
      <c r="EE183" s="39">
        <v>9.461804793855598E-2</v>
      </c>
      <c r="EF183" s="40">
        <v>9.4618047938555994E-2</v>
      </c>
      <c r="EG183" s="39">
        <v>9.4618047938555994E-2</v>
      </c>
      <c r="EH183" s="40">
        <v>0</v>
      </c>
      <c r="EI183" s="66">
        <v>0</v>
      </c>
      <c r="ET183" s="75" t="s">
        <v>517</v>
      </c>
      <c r="EU183" s="72">
        <v>4.541643926466514E-2</v>
      </c>
    </row>
    <row r="184" spans="1:151">
      <c r="A184" s="37" t="s">
        <v>1793</v>
      </c>
      <c r="B184" s="36" t="s">
        <v>1129</v>
      </c>
      <c r="C184" s="1" t="s">
        <v>1126</v>
      </c>
      <c r="D184" s="36" t="s">
        <v>1126</v>
      </c>
      <c r="E184" s="36" t="s">
        <v>1884</v>
      </c>
      <c r="F184" s="1" t="e">
        <f t="shared" ca="1" si="391"/>
        <v>#NAME?</v>
      </c>
      <c r="G184" s="35" t="s">
        <v>1121</v>
      </c>
      <c r="H184" s="43">
        <v>1</v>
      </c>
      <c r="I184" s="42">
        <v>0</v>
      </c>
      <c r="J184" s="26">
        <v>4.5971142859459473</v>
      </c>
      <c r="K184" s="25">
        <v>2.9105973692998037</v>
      </c>
      <c r="L184" s="24"/>
      <c r="M184" s="25"/>
      <c r="N184" s="24"/>
      <c r="O184" s="25"/>
      <c r="P184" s="24"/>
      <c r="Q184" s="25"/>
      <c r="R184" s="32"/>
      <c r="S184" s="47">
        <v>1</v>
      </c>
      <c r="T184" s="45">
        <v>1</v>
      </c>
      <c r="U184" s="46">
        <v>1</v>
      </c>
      <c r="V184" s="45">
        <v>1</v>
      </c>
      <c r="W184" s="46">
        <v>1</v>
      </c>
      <c r="X184" s="45">
        <v>1</v>
      </c>
      <c r="Y184" s="46">
        <v>1</v>
      </c>
      <c r="Z184" s="45">
        <v>1</v>
      </c>
      <c r="AA184" s="44">
        <v>1</v>
      </c>
      <c r="AB184" s="26">
        <f t="shared" si="382"/>
        <v>4.5971142859459473</v>
      </c>
      <c r="AC184" s="25">
        <f t="shared" si="383"/>
        <v>2.9105973692998037</v>
      </c>
      <c r="AD184" s="24">
        <f t="shared" si="384"/>
        <v>0</v>
      </c>
      <c r="AE184" s="25">
        <f t="shared" si="385"/>
        <v>0</v>
      </c>
      <c r="AF184" s="24">
        <f t="shared" si="386"/>
        <v>0</v>
      </c>
      <c r="AG184" s="25">
        <f t="shared" si="387"/>
        <v>0</v>
      </c>
      <c r="AH184" s="24">
        <f t="shared" si="388"/>
        <v>0</v>
      </c>
      <c r="AI184" s="25">
        <f t="shared" si="389"/>
        <v>0</v>
      </c>
      <c r="AJ184" s="24">
        <f t="shared" si="390"/>
        <v>0</v>
      </c>
      <c r="AK184" s="27">
        <f t="shared" si="323"/>
        <v>7.5077116552457515</v>
      </c>
      <c r="AL184" s="41">
        <v>0</v>
      </c>
      <c r="AM184" s="40">
        <v>0</v>
      </c>
      <c r="AN184" s="39">
        <v>0</v>
      </c>
      <c r="AO184" s="40">
        <v>0</v>
      </c>
      <c r="AP184" s="39">
        <v>0</v>
      </c>
      <c r="AQ184" s="40">
        <v>0</v>
      </c>
      <c r="AR184" s="39">
        <v>0</v>
      </c>
      <c r="AS184" s="40">
        <v>0</v>
      </c>
      <c r="AT184" s="39">
        <v>0</v>
      </c>
      <c r="AU184" s="38">
        <v>0</v>
      </c>
      <c r="CS184" s="54" t="s">
        <v>1848</v>
      </c>
      <c r="CT184" s="39">
        <v>9.3203351852399682E-3</v>
      </c>
      <c r="CU184" s="40">
        <v>2.5655747021102616E-2</v>
      </c>
      <c r="CV184" s="39">
        <v>2.085231406772823E-2</v>
      </c>
      <c r="CW184" s="40">
        <v>1.4123768138614358E-2</v>
      </c>
      <c r="CX184" s="39">
        <v>7.1383478227929767E-3</v>
      </c>
      <c r="CY184" s="40">
        <v>6.2221099016179972E-3</v>
      </c>
      <c r="CZ184" s="39">
        <v>2.1615624481931616E-2</v>
      </c>
      <c r="DA184" s="40">
        <v>0</v>
      </c>
      <c r="DB184" s="39">
        <v>0</v>
      </c>
      <c r="DC184" s="38">
        <v>0.10492824661902776</v>
      </c>
      <c r="DE184" s="37" t="s">
        <v>1797</v>
      </c>
      <c r="DF184" s="35" t="str">
        <f t="shared" si="327"/>
        <v>INGFA</v>
      </c>
      <c r="DG184" s="26">
        <f t="shared" si="399"/>
        <v>0.37294259199249696</v>
      </c>
      <c r="DH184" s="25">
        <f t="shared" si="399"/>
        <v>1.02658548253782</v>
      </c>
      <c r="DI184" s="24">
        <f t="shared" si="399"/>
        <v>1.7879605422443103</v>
      </c>
      <c r="DJ184" s="25">
        <f t="shared" si="399"/>
        <v>1.211028188892084</v>
      </c>
      <c r="DK184" s="24">
        <f t="shared" si="399"/>
        <v>0.73448448181904291</v>
      </c>
      <c r="DL184" s="25">
        <f t="shared" si="399"/>
        <v>0.64021021115260501</v>
      </c>
      <c r="DM184" s="24">
        <f t="shared" si="399"/>
        <v>2.2240917843920252</v>
      </c>
      <c r="DN184" s="25">
        <f t="shared" si="399"/>
        <v>0.86016527136786403</v>
      </c>
      <c r="DO184" s="32">
        <f t="shared" si="399"/>
        <v>0.539362803162453</v>
      </c>
      <c r="DP184" s="26">
        <f t="shared" si="328"/>
        <v>0.4282288135952661</v>
      </c>
      <c r="DQ184" s="25">
        <f t="shared" si="329"/>
        <v>0.42822881359526621</v>
      </c>
      <c r="DR184" s="24">
        <f t="shared" si="330"/>
        <v>0.48674453987562055</v>
      </c>
      <c r="DS184" s="25">
        <f t="shared" si="331"/>
        <v>0.48674453987562061</v>
      </c>
      <c r="DT184" s="24">
        <f t="shared" si="332"/>
        <v>0.47655314391096465</v>
      </c>
      <c r="DU184" s="25">
        <f t="shared" si="333"/>
        <v>0.47655314391096465</v>
      </c>
      <c r="DV184" s="24">
        <f t="shared" si="334"/>
        <v>0.47655314391096459</v>
      </c>
      <c r="DW184" s="25">
        <f t="shared" si="335"/>
        <v>0.49332115747744332</v>
      </c>
      <c r="DX184" s="32">
        <f t="shared" si="336"/>
        <v>0.49332115747744326</v>
      </c>
      <c r="DZ184" s="54" t="s">
        <v>1559</v>
      </c>
      <c r="EA184" s="39">
        <v>0</v>
      </c>
      <c r="EB184" s="40">
        <v>5.3338849729252791E-2</v>
      </c>
      <c r="EC184" s="39">
        <v>2.4443401048261603E-2</v>
      </c>
      <c r="ED184" s="40">
        <v>2.4443401048261596E-2</v>
      </c>
      <c r="EE184" s="39">
        <v>0</v>
      </c>
      <c r="EF184" s="40">
        <v>0</v>
      </c>
      <c r="EG184" s="39">
        <v>0</v>
      </c>
      <c r="EH184" s="40">
        <v>0.91518335389303818</v>
      </c>
      <c r="EI184" s="66">
        <v>0.91518335389303818</v>
      </c>
      <c r="ET184" s="75" t="s">
        <v>519</v>
      </c>
      <c r="EU184" s="72">
        <v>3.9587042192396241E-2</v>
      </c>
    </row>
    <row r="185" spans="1:151">
      <c r="A185" s="37" t="s">
        <v>1793</v>
      </c>
      <c r="B185" s="36" t="s">
        <v>1129</v>
      </c>
      <c r="C185" s="1" t="s">
        <v>456</v>
      </c>
      <c r="D185" s="36" t="s">
        <v>456</v>
      </c>
      <c r="E185" s="36" t="s">
        <v>1883</v>
      </c>
      <c r="F185" s="1" t="e">
        <f t="shared" ca="1" si="391"/>
        <v>#NAME?</v>
      </c>
      <c r="G185" s="35" t="s">
        <v>1121</v>
      </c>
      <c r="H185" s="43">
        <v>1</v>
      </c>
      <c r="I185" s="42">
        <v>0</v>
      </c>
      <c r="J185" s="26">
        <v>0.71183791418616371</v>
      </c>
      <c r="K185" s="25">
        <v>0.32979166941303556</v>
      </c>
      <c r="L185" s="24"/>
      <c r="M185" s="25"/>
      <c r="N185" s="24"/>
      <c r="O185" s="25"/>
      <c r="P185" s="24"/>
      <c r="Q185" s="25"/>
      <c r="R185" s="32"/>
      <c r="S185" s="47">
        <v>1</v>
      </c>
      <c r="T185" s="45">
        <v>1</v>
      </c>
      <c r="U185" s="46">
        <v>1</v>
      </c>
      <c r="V185" s="45">
        <v>1</v>
      </c>
      <c r="W185" s="46">
        <v>1</v>
      </c>
      <c r="X185" s="45">
        <v>1</v>
      </c>
      <c r="Y185" s="46">
        <v>1</v>
      </c>
      <c r="Z185" s="45">
        <v>1</v>
      </c>
      <c r="AA185" s="44">
        <v>1</v>
      </c>
      <c r="AB185" s="26">
        <f t="shared" si="382"/>
        <v>0.71183791418616371</v>
      </c>
      <c r="AC185" s="25">
        <f t="shared" si="383"/>
        <v>0.32979166941303556</v>
      </c>
      <c r="AD185" s="24">
        <f t="shared" si="384"/>
        <v>0</v>
      </c>
      <c r="AE185" s="25">
        <f t="shared" si="385"/>
        <v>0</v>
      </c>
      <c r="AF185" s="24">
        <f t="shared" si="386"/>
        <v>0</v>
      </c>
      <c r="AG185" s="25">
        <f t="shared" si="387"/>
        <v>0</v>
      </c>
      <c r="AH185" s="24">
        <f t="shared" si="388"/>
        <v>0</v>
      </c>
      <c r="AI185" s="25">
        <f t="shared" si="389"/>
        <v>0</v>
      </c>
      <c r="AJ185" s="24">
        <f t="shared" si="390"/>
        <v>0</v>
      </c>
      <c r="AK185" s="27">
        <f t="shared" si="323"/>
        <v>1.0416295835991993</v>
      </c>
      <c r="AL185" s="41">
        <v>0</v>
      </c>
      <c r="AM185" s="40">
        <v>0</v>
      </c>
      <c r="AN185" s="39">
        <v>0</v>
      </c>
      <c r="AO185" s="40">
        <v>0</v>
      </c>
      <c r="AP185" s="39">
        <v>0</v>
      </c>
      <c r="AQ185" s="40">
        <v>0</v>
      </c>
      <c r="AR185" s="39">
        <v>0</v>
      </c>
      <c r="AS185" s="40">
        <v>0</v>
      </c>
      <c r="AT185" s="39">
        <v>0</v>
      </c>
      <c r="AU185" s="38">
        <v>0</v>
      </c>
      <c r="CS185" s="54" t="s">
        <v>1845</v>
      </c>
      <c r="CT185" s="39">
        <v>0.96329984634870203</v>
      </c>
      <c r="CU185" s="40">
        <v>2.6516403833338114</v>
      </c>
      <c r="CV185" s="39">
        <v>4.9569216383243946</v>
      </c>
      <c r="CW185" s="40">
        <v>3.3574408899453863</v>
      </c>
      <c r="CX185" s="39">
        <v>1.0697829396807668</v>
      </c>
      <c r="CY185" s="40">
        <v>0.93247165686097588</v>
      </c>
      <c r="CZ185" s="39">
        <v>3.2394087364979023</v>
      </c>
      <c r="DA185" s="40">
        <v>2.4439600107026802</v>
      </c>
      <c r="DB185" s="39">
        <v>1.5324742419480852</v>
      </c>
      <c r="DC185" s="38">
        <v>21.147400343642708</v>
      </c>
      <c r="DE185" s="37" t="s">
        <v>1794</v>
      </c>
      <c r="DF185" s="35" t="str">
        <f t="shared" si="327"/>
        <v>INGFA</v>
      </c>
      <c r="DG185" s="26">
        <f t="shared" si="399"/>
        <v>0.49795301370342876</v>
      </c>
      <c r="DH185" s="25">
        <f t="shared" si="399"/>
        <v>1.3706971148636744</v>
      </c>
      <c r="DI185" s="24">
        <f t="shared" si="399"/>
        <v>1.8853432049352552</v>
      </c>
      <c r="DJ185" s="25">
        <f t="shared" si="399"/>
        <v>1.2769877818706121</v>
      </c>
      <c r="DK185" s="24">
        <f t="shared" si="399"/>
        <v>0.80675911546644286</v>
      </c>
      <c r="DL185" s="25">
        <f t="shared" si="399"/>
        <v>0.70320808192284001</v>
      </c>
      <c r="DM185" s="24">
        <f t="shared" si="399"/>
        <v>2.4429465361180513</v>
      </c>
      <c r="DN185" s="25">
        <f t="shared" si="399"/>
        <v>0.88345601535384799</v>
      </c>
      <c r="DO185" s="32">
        <f t="shared" si="399"/>
        <v>0.55396716046700056</v>
      </c>
      <c r="DP185" s="26">
        <f t="shared" si="328"/>
        <v>0.5717711864047339</v>
      </c>
      <c r="DQ185" s="25">
        <f t="shared" si="329"/>
        <v>0.5717711864047339</v>
      </c>
      <c r="DR185" s="24">
        <f t="shared" si="330"/>
        <v>0.5132554601243795</v>
      </c>
      <c r="DS185" s="25">
        <f t="shared" si="331"/>
        <v>0.5132554601243795</v>
      </c>
      <c r="DT185" s="24">
        <f t="shared" si="332"/>
        <v>0.52344685608903541</v>
      </c>
      <c r="DU185" s="25">
        <f t="shared" si="333"/>
        <v>0.52344685608903541</v>
      </c>
      <c r="DV185" s="24">
        <f t="shared" si="334"/>
        <v>0.5234468560890353</v>
      </c>
      <c r="DW185" s="25">
        <f t="shared" si="335"/>
        <v>0.50667884252255668</v>
      </c>
      <c r="DX185" s="32">
        <f t="shared" si="336"/>
        <v>0.50667884252255668</v>
      </c>
      <c r="DZ185" s="54" t="s">
        <v>1553</v>
      </c>
      <c r="EA185" s="39">
        <v>0.87007808007920939</v>
      </c>
      <c r="EB185" s="40">
        <v>0.87007808007920961</v>
      </c>
      <c r="EC185" s="39">
        <v>0.79619050897313715</v>
      </c>
      <c r="ED185" s="40">
        <v>0.79619050897313715</v>
      </c>
      <c r="EE185" s="39">
        <v>0.92233546724858217</v>
      </c>
      <c r="EF185" s="40">
        <v>0.92233546724858217</v>
      </c>
      <c r="EG185" s="39">
        <v>0.92233546724858217</v>
      </c>
      <c r="EH185" s="40">
        <v>0.90015076110516656</v>
      </c>
      <c r="EI185" s="66">
        <v>0.90015076110516656</v>
      </c>
      <c r="ET185" s="75" t="s">
        <v>520</v>
      </c>
      <c r="EU185" s="72">
        <v>0.13752547799882223</v>
      </c>
    </row>
    <row r="186" spans="1:151">
      <c r="A186" s="37" t="s">
        <v>1793</v>
      </c>
      <c r="B186" s="36" t="s">
        <v>1129</v>
      </c>
      <c r="C186" s="1" t="s">
        <v>665</v>
      </c>
      <c r="D186" s="36" t="s">
        <v>665</v>
      </c>
      <c r="E186" s="36" t="s">
        <v>1882</v>
      </c>
      <c r="F186" s="1" t="e">
        <f t="shared" ca="1" si="391"/>
        <v>#NAME?</v>
      </c>
      <c r="G186" s="35" t="s">
        <v>1121</v>
      </c>
      <c r="H186" s="43">
        <v>1</v>
      </c>
      <c r="I186" s="42">
        <v>0</v>
      </c>
      <c r="J186" s="26">
        <v>5.3453249855604046</v>
      </c>
      <c r="K186" s="25">
        <v>2.3545204915732247</v>
      </c>
      <c r="L186" s="24"/>
      <c r="M186" s="25"/>
      <c r="N186" s="24"/>
      <c r="O186" s="25"/>
      <c r="P186" s="24"/>
      <c r="Q186" s="25"/>
      <c r="R186" s="32"/>
      <c r="S186" s="47">
        <v>1</v>
      </c>
      <c r="T186" s="45">
        <v>1</v>
      </c>
      <c r="U186" s="46">
        <v>1</v>
      </c>
      <c r="V186" s="45">
        <v>1</v>
      </c>
      <c r="W186" s="46">
        <v>1</v>
      </c>
      <c r="X186" s="45">
        <v>1</v>
      </c>
      <c r="Y186" s="46">
        <v>1</v>
      </c>
      <c r="Z186" s="45">
        <v>1</v>
      </c>
      <c r="AA186" s="44">
        <v>1</v>
      </c>
      <c r="AB186" s="26">
        <f t="shared" si="382"/>
        <v>5.3453249855604046</v>
      </c>
      <c r="AC186" s="25">
        <f t="shared" si="383"/>
        <v>2.3545204915732247</v>
      </c>
      <c r="AD186" s="24">
        <f t="shared" si="384"/>
        <v>0</v>
      </c>
      <c r="AE186" s="25">
        <f t="shared" si="385"/>
        <v>0</v>
      </c>
      <c r="AF186" s="24">
        <f t="shared" si="386"/>
        <v>0</v>
      </c>
      <c r="AG186" s="25">
        <f t="shared" si="387"/>
        <v>0</v>
      </c>
      <c r="AH186" s="24">
        <f t="shared" si="388"/>
        <v>0</v>
      </c>
      <c r="AI186" s="25">
        <f t="shared" si="389"/>
        <v>0</v>
      </c>
      <c r="AJ186" s="24">
        <f t="shared" si="390"/>
        <v>0</v>
      </c>
      <c r="AK186" s="27">
        <f t="shared" si="323"/>
        <v>7.6998454771336293</v>
      </c>
      <c r="AL186" s="41">
        <v>0</v>
      </c>
      <c r="AM186" s="40">
        <v>0</v>
      </c>
      <c r="AN186" s="39">
        <v>0</v>
      </c>
      <c r="AO186" s="40">
        <v>0</v>
      </c>
      <c r="AP186" s="39">
        <v>0</v>
      </c>
      <c r="AQ186" s="40">
        <v>0</v>
      </c>
      <c r="AR186" s="39">
        <v>0</v>
      </c>
      <c r="AS186" s="40">
        <v>0</v>
      </c>
      <c r="AT186" s="39">
        <v>0</v>
      </c>
      <c r="AU186" s="38">
        <v>0</v>
      </c>
      <c r="CS186" s="54" t="s">
        <v>1748</v>
      </c>
      <c r="CT186" s="39">
        <v>0.34848788559085392</v>
      </c>
      <c r="CU186" s="40">
        <v>0.95926990338252582</v>
      </c>
      <c r="CV186" s="39">
        <v>0.77966926024795458</v>
      </c>
      <c r="CW186" s="40">
        <v>0.52808852872542511</v>
      </c>
      <c r="CX186" s="39">
        <v>0</v>
      </c>
      <c r="CY186" s="40">
        <v>0</v>
      </c>
      <c r="CZ186" s="39">
        <v>0</v>
      </c>
      <c r="DA186" s="40">
        <v>0</v>
      </c>
      <c r="DB186" s="39">
        <v>0</v>
      </c>
      <c r="DC186" s="38">
        <v>2.6155155779467596</v>
      </c>
      <c r="DE186" s="37" t="s">
        <v>1881</v>
      </c>
      <c r="DF186" s="35" t="str">
        <f t="shared" si="327"/>
        <v>ICIFA</v>
      </c>
      <c r="DG186" s="26">
        <f t="shared" si="399"/>
        <v>0.18982444718727448</v>
      </c>
      <c r="DH186" s="25">
        <f t="shared" si="399"/>
        <v>0.52252283835991453</v>
      </c>
      <c r="DI186" s="24">
        <f t="shared" si="399"/>
        <v>0.92433132839007659</v>
      </c>
      <c r="DJ186" s="25">
        <f t="shared" si="399"/>
        <v>0.62607158721262912</v>
      </c>
      <c r="DK186" s="24">
        <f t="shared" si="399"/>
        <v>0.9492757260592356</v>
      </c>
      <c r="DL186" s="25">
        <f t="shared" si="399"/>
        <v>0.82743206707007799</v>
      </c>
      <c r="DM186" s="24">
        <f t="shared" si="399"/>
        <v>2.8745009536788033</v>
      </c>
      <c r="DN186" s="25">
        <f t="shared" si="399"/>
        <v>0.51507816210831858</v>
      </c>
      <c r="DO186" s="32">
        <f t="shared" si="399"/>
        <v>0.32297746794719795</v>
      </c>
      <c r="DP186" s="26">
        <f t="shared" si="328"/>
        <v>0.95861942709059278</v>
      </c>
      <c r="DQ186" s="25">
        <f t="shared" si="329"/>
        <v>0.95861942709059289</v>
      </c>
      <c r="DR186" s="24">
        <f t="shared" si="330"/>
        <v>0.93508897720003326</v>
      </c>
      <c r="DS186" s="25">
        <f t="shared" si="331"/>
        <v>0.93508897720003326</v>
      </c>
      <c r="DT186" s="24">
        <f t="shared" si="332"/>
        <v>0.7971120255594536</v>
      </c>
      <c r="DU186" s="25">
        <f t="shared" si="333"/>
        <v>0.7971120255594536</v>
      </c>
      <c r="DV186" s="24">
        <f t="shared" si="334"/>
        <v>0.7971120255594536</v>
      </c>
      <c r="DW186" s="25">
        <f t="shared" si="335"/>
        <v>0.81957076511032101</v>
      </c>
      <c r="DX186" s="32">
        <f t="shared" si="336"/>
        <v>0.81957076511032101</v>
      </c>
      <c r="DZ186" s="54" t="s">
        <v>1550</v>
      </c>
      <c r="EA186" s="39">
        <v>0.1299219199207905</v>
      </c>
      <c r="EB186" s="40">
        <v>0.1299219199207905</v>
      </c>
      <c r="EC186" s="39">
        <v>0.20380949102686291</v>
      </c>
      <c r="ED186" s="40">
        <v>0.20380949102686291</v>
      </c>
      <c r="EE186" s="39">
        <v>7.7664532751417881E-2</v>
      </c>
      <c r="EF186" s="40">
        <v>7.7664532751417867E-2</v>
      </c>
      <c r="EG186" s="39">
        <v>7.7664532751417881E-2</v>
      </c>
      <c r="EH186" s="40">
        <v>9.9849238894833436E-2</v>
      </c>
      <c r="EI186" s="66">
        <v>9.9849238894833464E-2</v>
      </c>
      <c r="ET186" s="75" t="s">
        <v>521</v>
      </c>
      <c r="EU186" s="72">
        <v>2.0779422173907637E-2</v>
      </c>
    </row>
    <row r="187" spans="1:151">
      <c r="A187" s="37" t="s">
        <v>1793</v>
      </c>
      <c r="B187" s="36" t="s">
        <v>1129</v>
      </c>
      <c r="C187" s="1" t="s">
        <v>1197</v>
      </c>
      <c r="D187" s="36" t="s">
        <v>1197</v>
      </c>
      <c r="E187" s="36" t="s">
        <v>1880</v>
      </c>
      <c r="F187" s="1" t="e">
        <f t="shared" ca="1" si="391"/>
        <v>#NAME?</v>
      </c>
      <c r="G187" s="35" t="s">
        <v>1121</v>
      </c>
      <c r="H187" s="43">
        <v>1</v>
      </c>
      <c r="I187" s="42">
        <v>0</v>
      </c>
      <c r="J187" s="26">
        <v>2.7224354951695868E-3</v>
      </c>
      <c r="K187" s="25">
        <v>0</v>
      </c>
      <c r="L187" s="24"/>
      <c r="M187" s="25"/>
      <c r="N187" s="24"/>
      <c r="O187" s="25"/>
      <c r="P187" s="24"/>
      <c r="Q187" s="25"/>
      <c r="R187" s="32"/>
      <c r="S187" s="47">
        <v>1</v>
      </c>
      <c r="T187" s="45">
        <v>1</v>
      </c>
      <c r="U187" s="46">
        <v>1</v>
      </c>
      <c r="V187" s="45">
        <v>1</v>
      </c>
      <c r="W187" s="46">
        <v>1</v>
      </c>
      <c r="X187" s="45">
        <v>1</v>
      </c>
      <c r="Y187" s="46">
        <v>1</v>
      </c>
      <c r="Z187" s="45">
        <v>1</v>
      </c>
      <c r="AA187" s="44">
        <v>1</v>
      </c>
      <c r="AB187" s="26">
        <f t="shared" si="382"/>
        <v>2.7224354951695868E-3</v>
      </c>
      <c r="AC187" s="25">
        <f t="shared" si="383"/>
        <v>0</v>
      </c>
      <c r="AD187" s="24">
        <f t="shared" si="384"/>
        <v>0</v>
      </c>
      <c r="AE187" s="25">
        <f t="shared" si="385"/>
        <v>0</v>
      </c>
      <c r="AF187" s="24">
        <f t="shared" si="386"/>
        <v>0</v>
      </c>
      <c r="AG187" s="25">
        <f t="shared" si="387"/>
        <v>0</v>
      </c>
      <c r="AH187" s="24">
        <f t="shared" si="388"/>
        <v>0</v>
      </c>
      <c r="AI187" s="25">
        <f t="shared" si="389"/>
        <v>0</v>
      </c>
      <c r="AJ187" s="24">
        <f t="shared" si="390"/>
        <v>0</v>
      </c>
      <c r="AK187" s="27">
        <f t="shared" si="323"/>
        <v>2.7224354951695868E-3</v>
      </c>
      <c r="AL187" s="41">
        <v>0</v>
      </c>
      <c r="AM187" s="40">
        <v>0</v>
      </c>
      <c r="AN187" s="39">
        <v>0</v>
      </c>
      <c r="AO187" s="40">
        <v>0</v>
      </c>
      <c r="AP187" s="39">
        <v>0</v>
      </c>
      <c r="AQ187" s="40">
        <v>0</v>
      </c>
      <c r="AR187" s="39">
        <v>0</v>
      </c>
      <c r="AS187" s="40">
        <v>0</v>
      </c>
      <c r="AT187" s="39">
        <v>0</v>
      </c>
      <c r="AU187" s="38">
        <v>0</v>
      </c>
      <c r="CS187" s="54" t="s">
        <v>1745</v>
      </c>
      <c r="CT187" s="39">
        <v>8.9827343121708404E-3</v>
      </c>
      <c r="CU187" s="40">
        <v>2.4726445400353889E-2</v>
      </c>
      <c r="CV187" s="39">
        <v>4.01940044733536E-3</v>
      </c>
      <c r="CW187" s="40">
        <v>2.7224354951695872E-3</v>
      </c>
      <c r="CX187" s="39">
        <v>0</v>
      </c>
      <c r="CY187" s="40">
        <v>0</v>
      </c>
      <c r="CZ187" s="39">
        <v>0</v>
      </c>
      <c r="DA187" s="40">
        <v>0</v>
      </c>
      <c r="DB187" s="39">
        <v>0</v>
      </c>
      <c r="DC187" s="38">
        <v>4.0451015655029676E-2</v>
      </c>
      <c r="DE187" s="37" t="s">
        <v>1879</v>
      </c>
      <c r="DF187" s="35" t="str">
        <f t="shared" si="327"/>
        <v>ICIFA</v>
      </c>
      <c r="DG187" s="26">
        <f t="shared" si="399"/>
        <v>8.1941218327495884E-3</v>
      </c>
      <c r="DH187" s="25">
        <f t="shared" si="399"/>
        <v>2.2555660566160696E-2</v>
      </c>
      <c r="DI187" s="24">
        <f t="shared" si="399"/>
        <v>6.4164259653139738E-2</v>
      </c>
      <c r="DJ187" s="25">
        <f t="shared" si="399"/>
        <v>4.3459978743046267E-2</v>
      </c>
      <c r="DK187" s="24">
        <f t="shared" si="399"/>
        <v>0.24161801988944176</v>
      </c>
      <c r="DL187" s="25">
        <f t="shared" si="399"/>
        <v>0.21060529849261592</v>
      </c>
      <c r="DM187" s="24">
        <f t="shared" si="399"/>
        <v>0.73164330397598842</v>
      </c>
      <c r="DN187" s="25">
        <f t="shared" si="399"/>
        <v>0.11339491677094671</v>
      </c>
      <c r="DO187" s="32">
        <f t="shared" si="399"/>
        <v>7.1103777622515005E-2</v>
      </c>
      <c r="DP187" s="26">
        <f t="shared" si="328"/>
        <v>4.13805729094072E-2</v>
      </c>
      <c r="DQ187" s="25">
        <f t="shared" si="329"/>
        <v>4.1380572909407214E-2</v>
      </c>
      <c r="DR187" s="24">
        <f t="shared" si="330"/>
        <v>6.4911022799966731E-2</v>
      </c>
      <c r="DS187" s="25">
        <f t="shared" si="331"/>
        <v>6.4911022799966717E-2</v>
      </c>
      <c r="DT187" s="24">
        <f t="shared" si="332"/>
        <v>0.20288797444054635</v>
      </c>
      <c r="DU187" s="25">
        <f t="shared" si="333"/>
        <v>0.20288797444054635</v>
      </c>
      <c r="DV187" s="24">
        <f t="shared" si="334"/>
        <v>0.20288797444054638</v>
      </c>
      <c r="DW187" s="25">
        <f t="shared" si="335"/>
        <v>0.18042923488967899</v>
      </c>
      <c r="DX187" s="32">
        <f t="shared" si="336"/>
        <v>0.18042923488967899</v>
      </c>
      <c r="DZ187" s="54" t="s">
        <v>1541</v>
      </c>
      <c r="EA187" s="39">
        <v>0</v>
      </c>
      <c r="EB187" s="40">
        <v>0</v>
      </c>
      <c r="EC187" s="39">
        <v>7.015815714557623E-2</v>
      </c>
      <c r="ED187" s="40">
        <v>7.015815714557623E-2</v>
      </c>
      <c r="EE187" s="39">
        <v>3.7651598262913019E-2</v>
      </c>
      <c r="EF187" s="40">
        <v>3.7651598262913019E-2</v>
      </c>
      <c r="EG187" s="39">
        <v>3.7651598262913026E-2</v>
      </c>
      <c r="EH187" s="40">
        <v>0</v>
      </c>
      <c r="EI187" s="66">
        <v>0</v>
      </c>
      <c r="ET187" s="75" t="s">
        <v>522</v>
      </c>
      <c r="EU187" s="72">
        <v>1.4377569737570881E-2</v>
      </c>
    </row>
    <row r="188" spans="1:151">
      <c r="A188" s="37" t="s">
        <v>1793</v>
      </c>
      <c r="B188" s="36" t="s">
        <v>1129</v>
      </c>
      <c r="C188" s="1" t="s">
        <v>468</v>
      </c>
      <c r="D188" s="36" t="s">
        <v>468</v>
      </c>
      <c r="E188" s="36" t="s">
        <v>1878</v>
      </c>
      <c r="F188" s="1" t="e">
        <f t="shared" ca="1" si="391"/>
        <v>#NAME?</v>
      </c>
      <c r="G188" s="35" t="s">
        <v>1121</v>
      </c>
      <c r="H188" s="43">
        <v>1</v>
      </c>
      <c r="I188" s="42">
        <v>0</v>
      </c>
      <c r="J188" s="26">
        <v>0.23013539018142376</v>
      </c>
      <c r="K188" s="25">
        <v>0.40691550524634501</v>
      </c>
      <c r="L188" s="24"/>
      <c r="M188" s="25"/>
      <c r="N188" s="24"/>
      <c r="O188" s="25"/>
      <c r="P188" s="24"/>
      <c r="Q188" s="25"/>
      <c r="R188" s="32"/>
      <c r="S188" s="47">
        <v>1</v>
      </c>
      <c r="T188" s="45">
        <v>1</v>
      </c>
      <c r="U188" s="46">
        <v>1</v>
      </c>
      <c r="V188" s="45">
        <v>1</v>
      </c>
      <c r="W188" s="46">
        <v>1</v>
      </c>
      <c r="X188" s="45">
        <v>1</v>
      </c>
      <c r="Y188" s="46">
        <v>1</v>
      </c>
      <c r="Z188" s="45">
        <v>1</v>
      </c>
      <c r="AA188" s="44">
        <v>1</v>
      </c>
      <c r="AB188" s="26">
        <f t="shared" si="382"/>
        <v>0.23013539018142376</v>
      </c>
      <c r="AC188" s="25">
        <f t="shared" si="383"/>
        <v>0.40691550524634501</v>
      </c>
      <c r="AD188" s="24">
        <f t="shared" si="384"/>
        <v>0</v>
      </c>
      <c r="AE188" s="25">
        <f t="shared" si="385"/>
        <v>0</v>
      </c>
      <c r="AF188" s="24">
        <f t="shared" si="386"/>
        <v>0</v>
      </c>
      <c r="AG188" s="25">
        <f t="shared" si="387"/>
        <v>0</v>
      </c>
      <c r="AH188" s="24">
        <f t="shared" si="388"/>
        <v>0</v>
      </c>
      <c r="AI188" s="25">
        <f t="shared" si="389"/>
        <v>0</v>
      </c>
      <c r="AJ188" s="24">
        <f t="shared" si="390"/>
        <v>0</v>
      </c>
      <c r="AK188" s="27">
        <f t="shared" si="323"/>
        <v>0.63705089542776872</v>
      </c>
      <c r="AL188" s="41">
        <v>0</v>
      </c>
      <c r="AM188" s="40">
        <v>0</v>
      </c>
      <c r="AN188" s="39">
        <v>0</v>
      </c>
      <c r="AO188" s="40">
        <v>0</v>
      </c>
      <c r="AP188" s="39">
        <v>0</v>
      </c>
      <c r="AQ188" s="40">
        <v>0</v>
      </c>
      <c r="AR188" s="39">
        <v>0</v>
      </c>
      <c r="AS188" s="40">
        <v>0</v>
      </c>
      <c r="AT188" s="39">
        <v>0</v>
      </c>
      <c r="AU188" s="38">
        <v>0</v>
      </c>
      <c r="CS188" s="54" t="s">
        <v>1742</v>
      </c>
      <c r="CT188" s="39">
        <v>0</v>
      </c>
      <c r="CU188" s="40">
        <v>3.9164905549101037</v>
      </c>
      <c r="CV188" s="39">
        <v>0.22577653416250074</v>
      </c>
      <c r="CW188" s="40">
        <v>0.15292381504008834</v>
      </c>
      <c r="CX188" s="39">
        <v>0</v>
      </c>
      <c r="CY188" s="40">
        <v>0</v>
      </c>
      <c r="CZ188" s="39">
        <v>0</v>
      </c>
      <c r="DA188" s="40">
        <v>0</v>
      </c>
      <c r="DB188" s="39">
        <v>0</v>
      </c>
      <c r="DC188" s="38">
        <v>4.295190904112693</v>
      </c>
      <c r="DE188" s="37" t="s">
        <v>1877</v>
      </c>
      <c r="DF188" s="35" t="str">
        <f t="shared" si="327"/>
        <v>ICOFA</v>
      </c>
      <c r="DG188" s="26">
        <f t="shared" ref="DG188:DO197" si="400">GETPIVOTDATA("Sum of "&amp;DG$1&amp;" (Out)",$CS$6,"Constraint Identifier",$DE188)</f>
        <v>0.10331819713068111</v>
      </c>
      <c r="DH188" s="25">
        <f t="shared" si="400"/>
        <v>0.28440023621241878</v>
      </c>
      <c r="DI188" s="24">
        <f t="shared" si="400"/>
        <v>2.696785070606639</v>
      </c>
      <c r="DJ188" s="25">
        <f t="shared" si="400"/>
        <v>1.8265966517295276</v>
      </c>
      <c r="DK188" s="24">
        <f t="shared" si="400"/>
        <v>1.2924621068286009</v>
      </c>
      <c r="DL188" s="25">
        <f t="shared" si="400"/>
        <v>1.1265689865498618</v>
      </c>
      <c r="DM188" s="24">
        <f t="shared" si="400"/>
        <v>3.9137033178921699</v>
      </c>
      <c r="DN188" s="25">
        <f t="shared" si="400"/>
        <v>0.15886399494239714</v>
      </c>
      <c r="DO188" s="32">
        <f t="shared" si="400"/>
        <v>9.9614960619669485E-2</v>
      </c>
      <c r="DP188" s="26">
        <f t="shared" si="328"/>
        <v>0.71408279677845998</v>
      </c>
      <c r="DQ188" s="25">
        <f t="shared" si="329"/>
        <v>0.71408279677845987</v>
      </c>
      <c r="DR188" s="24">
        <f t="shared" si="330"/>
        <v>0.71789473953525973</v>
      </c>
      <c r="DS188" s="25">
        <f t="shared" si="331"/>
        <v>0.71789473953525984</v>
      </c>
      <c r="DT188" s="24">
        <f t="shared" si="332"/>
        <v>0.55962705712756289</v>
      </c>
      <c r="DU188" s="25">
        <f t="shared" si="333"/>
        <v>0.55962705712756289</v>
      </c>
      <c r="DV188" s="24">
        <f t="shared" si="334"/>
        <v>0.55962705712756289</v>
      </c>
      <c r="DW188" s="25">
        <f t="shared" si="335"/>
        <v>0.80629640162674399</v>
      </c>
      <c r="DX188" s="32">
        <f t="shared" si="336"/>
        <v>0.80629640162674399</v>
      </c>
      <c r="DZ188" s="54" t="s">
        <v>1547</v>
      </c>
      <c r="EA188" s="39">
        <v>8.3494741649662821E-2</v>
      </c>
      <c r="EB188" s="40">
        <v>8.3494741649662849E-2</v>
      </c>
      <c r="EC188" s="39">
        <v>1.77707772069968E-2</v>
      </c>
      <c r="ED188" s="40">
        <v>1.7770777206996796E-2</v>
      </c>
      <c r="EE188" s="39">
        <v>0.11358990965923264</v>
      </c>
      <c r="EF188" s="40">
        <v>0.11358990965923266</v>
      </c>
      <c r="EG188" s="39">
        <v>0.11358990965923264</v>
      </c>
      <c r="EH188" s="40">
        <v>0.24176610051785763</v>
      </c>
      <c r="EI188" s="66">
        <v>0.24176610051785757</v>
      </c>
      <c r="ET188" s="74" t="s">
        <v>1108</v>
      </c>
      <c r="EU188" s="70">
        <v>1</v>
      </c>
    </row>
    <row r="189" spans="1:151">
      <c r="A189" s="37" t="s">
        <v>1793</v>
      </c>
      <c r="B189" s="36" t="s">
        <v>1129</v>
      </c>
      <c r="C189" s="1" t="s">
        <v>1132</v>
      </c>
      <c r="D189" s="36" t="s">
        <v>1131</v>
      </c>
      <c r="E189" s="36" t="s">
        <v>1876</v>
      </c>
      <c r="F189" s="1" t="e">
        <f t="shared" ca="1" si="391"/>
        <v>#NAME?</v>
      </c>
      <c r="G189" s="35" t="s">
        <v>1104</v>
      </c>
      <c r="H189" s="43">
        <v>1</v>
      </c>
      <c r="I189" s="42">
        <v>0</v>
      </c>
      <c r="J189" s="26">
        <v>1.8206345999999998</v>
      </c>
      <c r="K189" s="25">
        <v>0.52678259999999988</v>
      </c>
      <c r="L189" s="24"/>
      <c r="M189" s="25"/>
      <c r="N189" s="24"/>
      <c r="O189" s="25"/>
      <c r="P189" s="24"/>
      <c r="Q189" s="25"/>
      <c r="R189" s="32"/>
      <c r="S189" s="31" t="e">
        <v>#REF!</v>
      </c>
      <c r="T189" s="29" t="e">
        <v>#REF!</v>
      </c>
      <c r="U189" s="30" t="e">
        <v>#REF!</v>
      </c>
      <c r="V189" s="29" t="e">
        <v>#REF!</v>
      </c>
      <c r="W189" s="30" t="e">
        <v>#REF!</v>
      </c>
      <c r="X189" s="29" t="e">
        <v>#REF!</v>
      </c>
      <c r="Y189" s="30" t="e">
        <v>#REF!</v>
      </c>
      <c r="Z189" s="29" t="e">
        <v>#REF!</v>
      </c>
      <c r="AA189" s="28" t="e">
        <v>#REF!</v>
      </c>
      <c r="AB189" s="26" t="e">
        <f t="shared" si="382"/>
        <v>#REF!</v>
      </c>
      <c r="AC189" s="25" t="e">
        <f t="shared" si="383"/>
        <v>#REF!</v>
      </c>
      <c r="AD189" s="24" t="e">
        <f t="shared" si="384"/>
        <v>#REF!</v>
      </c>
      <c r="AE189" s="25" t="e">
        <f t="shared" si="385"/>
        <v>#REF!</v>
      </c>
      <c r="AF189" s="24" t="e">
        <f t="shared" si="386"/>
        <v>#REF!</v>
      </c>
      <c r="AG189" s="25" t="e">
        <f t="shared" si="387"/>
        <v>#REF!</v>
      </c>
      <c r="AH189" s="24" t="e">
        <f t="shared" si="388"/>
        <v>#REF!</v>
      </c>
      <c r="AI189" s="25" t="e">
        <f t="shared" si="389"/>
        <v>#REF!</v>
      </c>
      <c r="AJ189" s="24" t="e">
        <f t="shared" si="390"/>
        <v>#REF!</v>
      </c>
      <c r="AK189" s="27" t="e">
        <f t="shared" si="323"/>
        <v>#REF!</v>
      </c>
      <c r="AL189" s="41">
        <v>0</v>
      </c>
      <c r="AM189" s="40">
        <v>0</v>
      </c>
      <c r="AN189" s="39">
        <v>0</v>
      </c>
      <c r="AO189" s="40">
        <v>0</v>
      </c>
      <c r="AP189" s="39">
        <v>0</v>
      </c>
      <c r="AQ189" s="40">
        <v>0</v>
      </c>
      <c r="AR189" s="39">
        <v>0</v>
      </c>
      <c r="AS189" s="40">
        <v>0</v>
      </c>
      <c r="AT189" s="39">
        <v>0</v>
      </c>
      <c r="AU189" s="38">
        <v>0</v>
      </c>
      <c r="CS189" s="54" t="s">
        <v>1739</v>
      </c>
      <c r="CT189" s="39">
        <v>0.3272665459782037</v>
      </c>
      <c r="CU189" s="40">
        <v>0.90085469515983574</v>
      </c>
      <c r="CV189" s="39">
        <v>0.13151732188170664</v>
      </c>
      <c r="CW189" s="40">
        <v>8.9079809292892831E-2</v>
      </c>
      <c r="CX189" s="39">
        <v>0</v>
      </c>
      <c r="CY189" s="40">
        <v>0</v>
      </c>
      <c r="CZ189" s="39">
        <v>0</v>
      </c>
      <c r="DA189" s="40">
        <v>0</v>
      </c>
      <c r="DB189" s="39">
        <v>0</v>
      </c>
      <c r="DC189" s="38">
        <v>1.4487183723126391</v>
      </c>
      <c r="DE189" s="37" t="s">
        <v>1875</v>
      </c>
      <c r="DF189" s="35" t="str">
        <f t="shared" si="327"/>
        <v>ICOFA</v>
      </c>
      <c r="DG189" s="26">
        <f t="shared" si="400"/>
        <v>4.1368382068250338E-2</v>
      </c>
      <c r="DH189" s="25">
        <f t="shared" si="400"/>
        <v>0.11387323780974329</v>
      </c>
      <c r="DI189" s="24">
        <f t="shared" si="400"/>
        <v>1.0597337086679444</v>
      </c>
      <c r="DJ189" s="25">
        <f t="shared" si="400"/>
        <v>0.7177828389350831</v>
      </c>
      <c r="DK189" s="24">
        <f t="shared" si="400"/>
        <v>1.0170440015116784</v>
      </c>
      <c r="DL189" s="25">
        <f t="shared" si="400"/>
        <v>0.88650199027581478</v>
      </c>
      <c r="DM189" s="24">
        <f t="shared" si="400"/>
        <v>3.0797100062961027</v>
      </c>
      <c r="DN189" s="25">
        <f t="shared" si="400"/>
        <v>3.816527943099824E-2</v>
      </c>
      <c r="DO189" s="32">
        <f t="shared" si="400"/>
        <v>2.3931368520199222E-2</v>
      </c>
      <c r="DP189" s="26">
        <f t="shared" si="328"/>
        <v>0.28591720322154013</v>
      </c>
      <c r="DQ189" s="25">
        <f t="shared" si="329"/>
        <v>0.28591720322154013</v>
      </c>
      <c r="DR189" s="24">
        <f t="shared" si="330"/>
        <v>0.28210526046474022</v>
      </c>
      <c r="DS189" s="25">
        <f t="shared" si="331"/>
        <v>0.28210526046474027</v>
      </c>
      <c r="DT189" s="24">
        <f t="shared" si="332"/>
        <v>0.44037294287243711</v>
      </c>
      <c r="DU189" s="25">
        <f t="shared" si="333"/>
        <v>0.44037294287243706</v>
      </c>
      <c r="DV189" s="24">
        <f t="shared" si="334"/>
        <v>0.44037294287243711</v>
      </c>
      <c r="DW189" s="25">
        <f t="shared" si="335"/>
        <v>0.19370359837325601</v>
      </c>
      <c r="DX189" s="32">
        <f t="shared" si="336"/>
        <v>0.19370359837325599</v>
      </c>
      <c r="DZ189" s="54" t="s">
        <v>1544</v>
      </c>
      <c r="EA189" s="39">
        <v>0</v>
      </c>
      <c r="EB189" s="40">
        <v>0</v>
      </c>
      <c r="EC189" s="39">
        <v>0.75701622861238149</v>
      </c>
      <c r="ED189" s="40">
        <v>0.7570162286123816</v>
      </c>
      <c r="EE189" s="39">
        <v>0.40626595791386377</v>
      </c>
      <c r="EF189" s="40">
        <v>0.40626595791386383</v>
      </c>
      <c r="EG189" s="39">
        <v>0.40626595791386383</v>
      </c>
      <c r="EH189" s="40">
        <v>0</v>
      </c>
      <c r="EI189" s="66">
        <v>0</v>
      </c>
      <c r="ET189" s="73" t="s">
        <v>438</v>
      </c>
      <c r="EU189" s="72">
        <v>5.3014338658236501E-2</v>
      </c>
    </row>
    <row r="190" spans="1:151">
      <c r="A190" s="37" t="s">
        <v>1793</v>
      </c>
      <c r="B190" s="36" t="s">
        <v>1129</v>
      </c>
      <c r="C190" s="1" t="s">
        <v>1132</v>
      </c>
      <c r="D190" s="36" t="s">
        <v>1131</v>
      </c>
      <c r="E190" s="36" t="s">
        <v>1874</v>
      </c>
      <c r="F190" s="1" t="e">
        <f t="shared" ca="1" si="391"/>
        <v>#NAME?</v>
      </c>
      <c r="G190" s="35" t="s">
        <v>1104</v>
      </c>
      <c r="H190" s="43">
        <v>1</v>
      </c>
      <c r="I190" s="42">
        <v>0</v>
      </c>
      <c r="J190" s="26">
        <v>2.8355690759999996</v>
      </c>
      <c r="K190" s="25">
        <v>0</v>
      </c>
      <c r="L190" s="24"/>
      <c r="M190" s="25"/>
      <c r="N190" s="24"/>
      <c r="O190" s="25"/>
      <c r="P190" s="24"/>
      <c r="Q190" s="25"/>
      <c r="R190" s="32"/>
      <c r="S190" s="31" t="e">
        <v>#REF!</v>
      </c>
      <c r="T190" s="29" t="e">
        <v>#REF!</v>
      </c>
      <c r="U190" s="30" t="e">
        <v>#REF!</v>
      </c>
      <c r="V190" s="29" t="e">
        <v>#REF!</v>
      </c>
      <c r="W190" s="30" t="e">
        <v>#REF!</v>
      </c>
      <c r="X190" s="29" t="e">
        <v>#REF!</v>
      </c>
      <c r="Y190" s="30" t="e">
        <v>#REF!</v>
      </c>
      <c r="Z190" s="29" t="e">
        <v>#REF!</v>
      </c>
      <c r="AA190" s="28" t="e">
        <v>#REF!</v>
      </c>
      <c r="AB190" s="26" t="e">
        <f t="shared" si="382"/>
        <v>#REF!</v>
      </c>
      <c r="AC190" s="25" t="e">
        <f t="shared" si="383"/>
        <v>#REF!</v>
      </c>
      <c r="AD190" s="24" t="e">
        <f t="shared" si="384"/>
        <v>#REF!</v>
      </c>
      <c r="AE190" s="25" t="e">
        <f t="shared" si="385"/>
        <v>#REF!</v>
      </c>
      <c r="AF190" s="24" t="e">
        <f t="shared" si="386"/>
        <v>#REF!</v>
      </c>
      <c r="AG190" s="25" t="e">
        <f t="shared" si="387"/>
        <v>#REF!</v>
      </c>
      <c r="AH190" s="24" t="e">
        <f t="shared" si="388"/>
        <v>#REF!</v>
      </c>
      <c r="AI190" s="25" t="e">
        <f t="shared" si="389"/>
        <v>#REF!</v>
      </c>
      <c r="AJ190" s="24" t="e">
        <f t="shared" si="390"/>
        <v>#REF!</v>
      </c>
      <c r="AK190" s="27" t="e">
        <f t="shared" si="323"/>
        <v>#REF!</v>
      </c>
      <c r="AL190" s="41">
        <v>0</v>
      </c>
      <c r="AM190" s="40">
        <v>0</v>
      </c>
      <c r="AN190" s="39">
        <v>0</v>
      </c>
      <c r="AO190" s="40">
        <v>0</v>
      </c>
      <c r="AP190" s="39">
        <v>0</v>
      </c>
      <c r="AQ190" s="40">
        <v>0</v>
      </c>
      <c r="AR190" s="39">
        <v>0</v>
      </c>
      <c r="AS190" s="40">
        <v>0</v>
      </c>
      <c r="AT190" s="39">
        <v>0</v>
      </c>
      <c r="AU190" s="38">
        <v>0</v>
      </c>
      <c r="CS190" s="54" t="s">
        <v>1655</v>
      </c>
      <c r="CT190" s="39">
        <v>4.7350518003042776E-2</v>
      </c>
      <c r="CU190" s="40">
        <v>0.13034004540180635</v>
      </c>
      <c r="CV190" s="39">
        <v>0.10593694894500152</v>
      </c>
      <c r="CW190" s="40">
        <v>7.1753614459847626E-2</v>
      </c>
      <c r="CX190" s="39">
        <v>3.6265269475545966E-2</v>
      </c>
      <c r="CY190" s="40">
        <v>3.1610464758825972E-2</v>
      </c>
      <c r="CZ190" s="39">
        <v>0.10981482917047722</v>
      </c>
      <c r="DA190" s="40">
        <v>0</v>
      </c>
      <c r="DB190" s="39">
        <v>0</v>
      </c>
      <c r="DC190" s="38">
        <v>0.53307169021454737</v>
      </c>
      <c r="DE190" s="37" t="s">
        <v>1725</v>
      </c>
      <c r="DF190" s="35" t="str">
        <f t="shared" si="327"/>
        <v>IOTFA</v>
      </c>
      <c r="DG190" s="26">
        <f t="shared" si="400"/>
        <v>0.48553364664097953</v>
      </c>
      <c r="DH190" s="25">
        <f t="shared" si="400"/>
        <v>1.3365107757263217</v>
      </c>
      <c r="DI190" s="24">
        <f t="shared" si="400"/>
        <v>0.93109773006943419</v>
      </c>
      <c r="DJ190" s="25">
        <f t="shared" si="400"/>
        <v>0.63065463195968108</v>
      </c>
      <c r="DK190" s="24">
        <f t="shared" si="400"/>
        <v>0.53123596040394905</v>
      </c>
      <c r="DL190" s="25">
        <f t="shared" si="400"/>
        <v>0.46304951949394796</v>
      </c>
      <c r="DM190" s="24">
        <f t="shared" si="400"/>
        <v>1.6086351234839626</v>
      </c>
      <c r="DN190" s="25">
        <f t="shared" si="400"/>
        <v>2.0797185367509385</v>
      </c>
      <c r="DO190" s="32">
        <f t="shared" si="400"/>
        <v>1.3040782476454782</v>
      </c>
      <c r="DP190" s="26">
        <f t="shared" si="328"/>
        <v>2.3017295773850262E-2</v>
      </c>
      <c r="DQ190" s="25">
        <f t="shared" si="329"/>
        <v>2.3017295773850262E-2</v>
      </c>
      <c r="DR190" s="24">
        <f t="shared" si="330"/>
        <v>6.7448153912901395E-3</v>
      </c>
      <c r="DS190" s="25">
        <f t="shared" si="331"/>
        <v>6.7448153912901395E-3</v>
      </c>
      <c r="DT190" s="24">
        <f t="shared" si="332"/>
        <v>1.0517231041382755E-2</v>
      </c>
      <c r="DU190" s="25">
        <f t="shared" si="333"/>
        <v>1.0517231041382753E-2</v>
      </c>
      <c r="DV190" s="24">
        <f t="shared" si="334"/>
        <v>1.0517231041382757E-2</v>
      </c>
      <c r="DW190" s="25">
        <f t="shared" si="335"/>
        <v>3.7858383190949176E-2</v>
      </c>
      <c r="DX190" s="32">
        <f t="shared" si="336"/>
        <v>3.7858383190949169E-2</v>
      </c>
      <c r="DZ190" s="54" t="s">
        <v>1537</v>
      </c>
      <c r="EA190" s="39">
        <v>0.91650525835033714</v>
      </c>
      <c r="EB190" s="40">
        <v>0.91650525835033725</v>
      </c>
      <c r="EC190" s="39">
        <v>0.15505483703504547</v>
      </c>
      <c r="ED190" s="40">
        <v>0.15505483703504547</v>
      </c>
      <c r="EE190" s="39">
        <v>0.44249253416399048</v>
      </c>
      <c r="EF190" s="40">
        <v>0.44249253416399048</v>
      </c>
      <c r="EG190" s="39">
        <v>0.44249253416399054</v>
      </c>
      <c r="EH190" s="40">
        <v>0.75823389948214248</v>
      </c>
      <c r="EI190" s="66">
        <v>0.75823389948214237</v>
      </c>
      <c r="ET190" s="73" t="s">
        <v>440</v>
      </c>
      <c r="EU190" s="72">
        <v>0.1547689552991687</v>
      </c>
    </row>
    <row r="191" spans="1:151">
      <c r="A191" s="37" t="s">
        <v>1793</v>
      </c>
      <c r="B191" s="36" t="s">
        <v>1129</v>
      </c>
      <c r="C191" s="1" t="s">
        <v>1132</v>
      </c>
      <c r="D191" s="36" t="s">
        <v>1131</v>
      </c>
      <c r="E191" s="36" t="s">
        <v>1873</v>
      </c>
      <c r="F191" s="1" t="e">
        <f t="shared" ca="1" si="391"/>
        <v>#NAME?</v>
      </c>
      <c r="G191" s="35" t="s">
        <v>1104</v>
      </c>
      <c r="H191" s="43">
        <v>1</v>
      </c>
      <c r="I191" s="42">
        <v>0</v>
      </c>
      <c r="J191" s="26">
        <v>0</v>
      </c>
      <c r="K191" s="25">
        <v>1.0628069999999998</v>
      </c>
      <c r="L191" s="24"/>
      <c r="M191" s="25"/>
      <c r="N191" s="24"/>
      <c r="O191" s="25"/>
      <c r="P191" s="24"/>
      <c r="Q191" s="25"/>
      <c r="R191" s="32"/>
      <c r="S191" s="31" t="e">
        <v>#REF!</v>
      </c>
      <c r="T191" s="29" t="e">
        <v>#REF!</v>
      </c>
      <c r="U191" s="30" t="e">
        <v>#REF!</v>
      </c>
      <c r="V191" s="29" t="e">
        <v>#REF!</v>
      </c>
      <c r="W191" s="30" t="e">
        <v>#REF!</v>
      </c>
      <c r="X191" s="29" t="e">
        <v>#REF!</v>
      </c>
      <c r="Y191" s="30" t="e">
        <v>#REF!</v>
      </c>
      <c r="Z191" s="29" t="e">
        <v>#REF!</v>
      </c>
      <c r="AA191" s="28" t="e">
        <v>#REF!</v>
      </c>
      <c r="AB191" s="26" t="e">
        <f t="shared" si="382"/>
        <v>#REF!</v>
      </c>
      <c r="AC191" s="25" t="e">
        <f t="shared" si="383"/>
        <v>#REF!</v>
      </c>
      <c r="AD191" s="24" t="e">
        <f t="shared" si="384"/>
        <v>#REF!</v>
      </c>
      <c r="AE191" s="25" t="e">
        <f t="shared" si="385"/>
        <v>#REF!</v>
      </c>
      <c r="AF191" s="24" t="e">
        <f t="shared" si="386"/>
        <v>#REF!</v>
      </c>
      <c r="AG191" s="25" t="e">
        <f t="shared" si="387"/>
        <v>#REF!</v>
      </c>
      <c r="AH191" s="24" t="e">
        <f t="shared" si="388"/>
        <v>#REF!</v>
      </c>
      <c r="AI191" s="25" t="e">
        <f t="shared" si="389"/>
        <v>#REF!</v>
      </c>
      <c r="AJ191" s="24" t="e">
        <f t="shared" si="390"/>
        <v>#REF!</v>
      </c>
      <c r="AK191" s="27" t="e">
        <f t="shared" si="323"/>
        <v>#REF!</v>
      </c>
      <c r="AL191" s="41">
        <v>0</v>
      </c>
      <c r="AM191" s="40">
        <v>0</v>
      </c>
      <c r="AN191" s="39">
        <v>0</v>
      </c>
      <c r="AO191" s="40">
        <v>0</v>
      </c>
      <c r="AP191" s="39">
        <v>0</v>
      </c>
      <c r="AQ191" s="40">
        <v>0</v>
      </c>
      <c r="AR191" s="39">
        <v>0</v>
      </c>
      <c r="AS191" s="40">
        <v>0</v>
      </c>
      <c r="AT191" s="39">
        <v>0</v>
      </c>
      <c r="AU191" s="38">
        <v>0</v>
      </c>
      <c r="CS191" s="54" t="s">
        <v>1651</v>
      </c>
      <c r="CT191" s="39">
        <v>1.2791252652713128</v>
      </c>
      <c r="CU191" s="40">
        <v>3.5210015049750218</v>
      </c>
      <c r="CV191" s="39">
        <v>9.6073945377388057</v>
      </c>
      <c r="CW191" s="40">
        <v>6.5073167623738986</v>
      </c>
      <c r="CX191" s="39">
        <v>2.4491718567399032</v>
      </c>
      <c r="CY191" s="40">
        <v>2.1348100203140583</v>
      </c>
      <c r="CZ191" s="39">
        <v>7.4163350485618826</v>
      </c>
      <c r="DA191" s="40">
        <v>3.1609397643212849</v>
      </c>
      <c r="DB191" s="39">
        <v>1.9820532037997916</v>
      </c>
      <c r="DC191" s="38">
        <v>38.058147964095959</v>
      </c>
      <c r="DE191" s="37" t="s">
        <v>1723</v>
      </c>
      <c r="DF191" s="35" t="str">
        <f t="shared" si="327"/>
        <v>IOTFA</v>
      </c>
      <c r="DG191" s="26">
        <f t="shared" si="400"/>
        <v>10.641522989246154</v>
      </c>
      <c r="DH191" s="25">
        <f t="shared" si="400"/>
        <v>29.292532543647756</v>
      </c>
      <c r="DI191" s="24">
        <f t="shared" si="400"/>
        <v>66.614855233341444</v>
      </c>
      <c r="DJ191" s="25">
        <f t="shared" si="400"/>
        <v>45.119825399099113</v>
      </c>
      <c r="DK191" s="24">
        <f t="shared" si="400"/>
        <v>28.566974180164738</v>
      </c>
      <c r="DL191" s="25">
        <f t="shared" si="400"/>
        <v>24.90027907271725</v>
      </c>
      <c r="DM191" s="24">
        <f t="shared" si="400"/>
        <v>86.503628261402753</v>
      </c>
      <c r="DN191" s="25">
        <f t="shared" si="400"/>
        <v>32.229373587444094</v>
      </c>
      <c r="DO191" s="32">
        <f t="shared" si="400"/>
        <v>20.209285193123669</v>
      </c>
      <c r="DP191" s="26">
        <f t="shared" si="328"/>
        <v>0.50447396142830525</v>
      </c>
      <c r="DQ191" s="25">
        <f t="shared" si="329"/>
        <v>0.50447396142830525</v>
      </c>
      <c r="DR191" s="24">
        <f t="shared" si="330"/>
        <v>0.4825539643758987</v>
      </c>
      <c r="DS191" s="25">
        <f t="shared" si="331"/>
        <v>0.4825539643758987</v>
      </c>
      <c r="DT191" s="24">
        <f t="shared" si="332"/>
        <v>0.56555935591700357</v>
      </c>
      <c r="DU191" s="25">
        <f t="shared" si="333"/>
        <v>0.56555935591700357</v>
      </c>
      <c r="DV191" s="24">
        <f t="shared" si="334"/>
        <v>0.56555935591700379</v>
      </c>
      <c r="DW191" s="25">
        <f t="shared" si="335"/>
        <v>0.58669091692759046</v>
      </c>
      <c r="DX191" s="32">
        <f t="shared" si="336"/>
        <v>0.58669091692759046</v>
      </c>
      <c r="DZ191" s="54" t="s">
        <v>1440</v>
      </c>
      <c r="EA191" s="39">
        <v>5.624534587071784E-2</v>
      </c>
      <c r="EB191" s="40">
        <v>5.6245345870717826E-2</v>
      </c>
      <c r="EC191" s="39">
        <v>0.16897957854736295</v>
      </c>
      <c r="ED191" s="40">
        <v>0.16897957854736295</v>
      </c>
      <c r="EE191" s="39">
        <v>8.7470796155055666E-2</v>
      </c>
      <c r="EF191" s="40">
        <v>8.7470796155055666E-2</v>
      </c>
      <c r="EG191" s="39">
        <v>8.7470796155055666E-2</v>
      </c>
      <c r="EH191" s="40">
        <v>0</v>
      </c>
      <c r="EI191" s="66">
        <v>0</v>
      </c>
      <c r="ET191" s="73" t="s">
        <v>439</v>
      </c>
      <c r="EU191" s="72">
        <v>0.31640766729873293</v>
      </c>
    </row>
    <row r="192" spans="1:151">
      <c r="A192" s="37" t="s">
        <v>1793</v>
      </c>
      <c r="B192" s="36" t="s">
        <v>1129</v>
      </c>
      <c r="C192" s="1" t="s">
        <v>1132</v>
      </c>
      <c r="D192" s="36" t="s">
        <v>1131</v>
      </c>
      <c r="E192" s="36" t="s">
        <v>1872</v>
      </c>
      <c r="F192" s="1" t="e">
        <f t="shared" ca="1" si="391"/>
        <v>#NAME?</v>
      </c>
      <c r="G192" s="35" t="s">
        <v>1104</v>
      </c>
      <c r="H192" s="43">
        <v>1</v>
      </c>
      <c r="I192" s="42">
        <v>0</v>
      </c>
      <c r="J192" s="26">
        <v>4.0233252119999993E-2</v>
      </c>
      <c r="K192" s="25">
        <v>8.3176199999999992E-2</v>
      </c>
      <c r="L192" s="24"/>
      <c r="M192" s="25"/>
      <c r="N192" s="24"/>
      <c r="O192" s="25"/>
      <c r="P192" s="24"/>
      <c r="Q192" s="25"/>
      <c r="R192" s="32"/>
      <c r="S192" s="31" t="e">
        <v>#REF!</v>
      </c>
      <c r="T192" s="29" t="e">
        <v>#REF!</v>
      </c>
      <c r="U192" s="30" t="e">
        <v>#REF!</v>
      </c>
      <c r="V192" s="29" t="e">
        <v>#REF!</v>
      </c>
      <c r="W192" s="30" t="e">
        <v>#REF!</v>
      </c>
      <c r="X192" s="29" t="e">
        <v>#REF!</v>
      </c>
      <c r="Y192" s="30" t="e">
        <v>#REF!</v>
      </c>
      <c r="Z192" s="29" t="e">
        <v>#REF!</v>
      </c>
      <c r="AA192" s="28" t="e">
        <v>#REF!</v>
      </c>
      <c r="AB192" s="26" t="e">
        <f t="shared" si="382"/>
        <v>#REF!</v>
      </c>
      <c r="AC192" s="25" t="e">
        <f t="shared" si="383"/>
        <v>#REF!</v>
      </c>
      <c r="AD192" s="24" t="e">
        <f t="shared" si="384"/>
        <v>#REF!</v>
      </c>
      <c r="AE192" s="25" t="e">
        <f t="shared" si="385"/>
        <v>#REF!</v>
      </c>
      <c r="AF192" s="24" t="e">
        <f t="shared" si="386"/>
        <v>#REF!</v>
      </c>
      <c r="AG192" s="25" t="e">
        <f t="shared" si="387"/>
        <v>#REF!</v>
      </c>
      <c r="AH192" s="24" t="e">
        <f t="shared" si="388"/>
        <v>#REF!</v>
      </c>
      <c r="AI192" s="25" t="e">
        <f t="shared" si="389"/>
        <v>#REF!</v>
      </c>
      <c r="AJ192" s="24" t="e">
        <f t="shared" si="390"/>
        <v>#REF!</v>
      </c>
      <c r="AK192" s="27" t="e">
        <f t="shared" si="323"/>
        <v>#REF!</v>
      </c>
      <c r="AL192" s="41">
        <v>0</v>
      </c>
      <c r="AM192" s="40">
        <v>0</v>
      </c>
      <c r="AN192" s="39">
        <v>0</v>
      </c>
      <c r="AO192" s="40">
        <v>0</v>
      </c>
      <c r="AP192" s="39">
        <v>0</v>
      </c>
      <c r="AQ192" s="40">
        <v>0</v>
      </c>
      <c r="AR192" s="39">
        <v>0</v>
      </c>
      <c r="AS192" s="40">
        <v>0</v>
      </c>
      <c r="AT192" s="39">
        <v>0</v>
      </c>
      <c r="AU192" s="38">
        <v>0</v>
      </c>
      <c r="CS192" s="54" t="s">
        <v>1648</v>
      </c>
      <c r="CT192" s="39">
        <v>0.10199645431927434</v>
      </c>
      <c r="CU192" s="40">
        <v>0.28076192294122709</v>
      </c>
      <c r="CV192" s="39">
        <v>0.52485052641081831</v>
      </c>
      <c r="CW192" s="40">
        <v>0.35549374128833505</v>
      </c>
      <c r="CX192" s="39">
        <v>0.11327113478972824</v>
      </c>
      <c r="CY192" s="40">
        <v>9.8732293079397446E-2</v>
      </c>
      <c r="CZ192" s="39">
        <v>0.34299621915860146</v>
      </c>
      <c r="DA192" s="40">
        <v>0.25877223642734265</v>
      </c>
      <c r="DB192" s="39">
        <v>0.16226197855920904</v>
      </c>
      <c r="DC192" s="38">
        <v>2.2391365069739337</v>
      </c>
      <c r="DE192" s="37" t="s">
        <v>1721</v>
      </c>
      <c r="DF192" s="35" t="str">
        <f t="shared" si="327"/>
        <v>IOTFA</v>
      </c>
      <c r="DG192" s="26">
        <f t="shared" si="400"/>
        <v>0.27401785444605503</v>
      </c>
      <c r="DH192" s="25">
        <f t="shared" si="400"/>
        <v>0.75427896242041692</v>
      </c>
      <c r="DI192" s="24">
        <f t="shared" si="400"/>
        <v>7.3566964030945217</v>
      </c>
      <c r="DJ192" s="25">
        <f t="shared" si="400"/>
        <v>4.9828653993031464</v>
      </c>
      <c r="DK192" s="24">
        <f t="shared" si="400"/>
        <v>2.3085416858912491</v>
      </c>
      <c r="DL192" s="25">
        <f t="shared" si="400"/>
        <v>2.0122303421832606</v>
      </c>
      <c r="DM192" s="24">
        <f t="shared" si="400"/>
        <v>6.9904929574566861</v>
      </c>
      <c r="DN192" s="25">
        <f t="shared" si="400"/>
        <v>1.8960074326986989</v>
      </c>
      <c r="DO192" s="32">
        <f t="shared" si="400"/>
        <v>1.1888830179007182</v>
      </c>
      <c r="DP192" s="26">
        <f t="shared" si="328"/>
        <v>1.2990139914576145E-2</v>
      </c>
      <c r="DQ192" s="25">
        <f t="shared" si="329"/>
        <v>1.2990139914576149E-2</v>
      </c>
      <c r="DR192" s="24">
        <f t="shared" si="330"/>
        <v>5.3291461815657623E-2</v>
      </c>
      <c r="DS192" s="25">
        <f t="shared" si="331"/>
        <v>5.3291461815657609E-2</v>
      </c>
      <c r="DT192" s="24">
        <f t="shared" si="332"/>
        <v>4.5703732595059152E-2</v>
      </c>
      <c r="DU192" s="25">
        <f t="shared" si="333"/>
        <v>4.5703732595059152E-2</v>
      </c>
      <c r="DV192" s="24">
        <f t="shared" si="334"/>
        <v>4.5703732595059166E-2</v>
      </c>
      <c r="DW192" s="25">
        <f t="shared" si="335"/>
        <v>3.4514178073410742E-2</v>
      </c>
      <c r="DX192" s="32">
        <f t="shared" si="336"/>
        <v>3.4514178073410742E-2</v>
      </c>
      <c r="DZ192" s="54" t="s">
        <v>1455</v>
      </c>
      <c r="EA192" s="39">
        <v>0</v>
      </c>
      <c r="EB192" s="40">
        <v>0</v>
      </c>
      <c r="EC192" s="39">
        <v>2.3839429391923563E-3</v>
      </c>
      <c r="ED192" s="40">
        <v>2.3839429391923567E-3</v>
      </c>
      <c r="EE192" s="39">
        <v>3.7020814350226063E-3</v>
      </c>
      <c r="EF192" s="40">
        <v>3.7020814350226063E-3</v>
      </c>
      <c r="EG192" s="39">
        <v>3.7020814350226063E-3</v>
      </c>
      <c r="EH192" s="40">
        <v>0</v>
      </c>
      <c r="EI192" s="66">
        <v>0</v>
      </c>
      <c r="ET192" s="73" t="s">
        <v>518</v>
      </c>
      <c r="EU192" s="72">
        <v>0.20749766103278294</v>
      </c>
    </row>
    <row r="193" spans="1:151">
      <c r="A193" s="37" t="s">
        <v>1793</v>
      </c>
      <c r="B193" s="36" t="s">
        <v>1129</v>
      </c>
      <c r="C193" s="1" t="s">
        <v>1132</v>
      </c>
      <c r="D193" s="36" t="s">
        <v>1131</v>
      </c>
      <c r="E193" s="36" t="s">
        <v>1871</v>
      </c>
      <c r="F193" s="1" t="e">
        <f t="shared" ca="1" si="391"/>
        <v>#NAME?</v>
      </c>
      <c r="G193" s="35" t="s">
        <v>1104</v>
      </c>
      <c r="H193" s="43">
        <v>1</v>
      </c>
      <c r="I193" s="42">
        <v>0</v>
      </c>
      <c r="J193" s="26">
        <v>23.024945520169776</v>
      </c>
      <c r="K193" s="25">
        <v>14.776121479369774</v>
      </c>
      <c r="L193" s="24"/>
      <c r="M193" s="25"/>
      <c r="N193" s="24"/>
      <c r="O193" s="25"/>
      <c r="P193" s="24"/>
      <c r="Q193" s="25"/>
      <c r="R193" s="32"/>
      <c r="S193" s="31" t="e">
        <v>#REF!</v>
      </c>
      <c r="T193" s="29" t="e">
        <v>#REF!</v>
      </c>
      <c r="U193" s="30" t="e">
        <v>#REF!</v>
      </c>
      <c r="V193" s="29" t="e">
        <v>#REF!</v>
      </c>
      <c r="W193" s="30" t="e">
        <v>#REF!</v>
      </c>
      <c r="X193" s="29" t="e">
        <v>#REF!</v>
      </c>
      <c r="Y193" s="30" t="e">
        <v>#REF!</v>
      </c>
      <c r="Z193" s="29" t="e">
        <v>#REF!</v>
      </c>
      <c r="AA193" s="28" t="e">
        <v>#REF!</v>
      </c>
      <c r="AB193" s="26" t="e">
        <f t="shared" si="382"/>
        <v>#REF!</v>
      </c>
      <c r="AC193" s="25" t="e">
        <f t="shared" si="383"/>
        <v>#REF!</v>
      </c>
      <c r="AD193" s="24" t="e">
        <f t="shared" si="384"/>
        <v>#REF!</v>
      </c>
      <c r="AE193" s="25" t="e">
        <f t="shared" si="385"/>
        <v>#REF!</v>
      </c>
      <c r="AF193" s="24" t="e">
        <f t="shared" si="386"/>
        <v>#REF!</v>
      </c>
      <c r="AG193" s="25" t="e">
        <f t="shared" si="387"/>
        <v>#REF!</v>
      </c>
      <c r="AH193" s="24" t="e">
        <f t="shared" si="388"/>
        <v>#REF!</v>
      </c>
      <c r="AI193" s="25" t="e">
        <f t="shared" si="389"/>
        <v>#REF!</v>
      </c>
      <c r="AJ193" s="24" t="e">
        <f t="shared" si="390"/>
        <v>#REF!</v>
      </c>
      <c r="AK193" s="27" t="e">
        <f t="shared" si="323"/>
        <v>#REF!</v>
      </c>
      <c r="AL193" s="41">
        <v>0</v>
      </c>
      <c r="AM193" s="40">
        <v>0</v>
      </c>
      <c r="AN193" s="39">
        <v>0</v>
      </c>
      <c r="AO193" s="40">
        <v>0</v>
      </c>
      <c r="AP193" s="39">
        <v>0</v>
      </c>
      <c r="AQ193" s="40">
        <v>0</v>
      </c>
      <c r="AR193" s="39">
        <v>0</v>
      </c>
      <c r="AS193" s="40">
        <v>0</v>
      </c>
      <c r="AT193" s="39">
        <v>0</v>
      </c>
      <c r="AU193" s="38">
        <v>0</v>
      </c>
      <c r="CS193" s="54" t="s">
        <v>1870</v>
      </c>
      <c r="CT193" s="39">
        <v>0.11332939368808261</v>
      </c>
      <c r="CU193" s="40">
        <v>0.31195769215691904</v>
      </c>
      <c r="CV193" s="39">
        <v>0.58316725156757587</v>
      </c>
      <c r="CW193" s="40">
        <v>0.39499304587592782</v>
      </c>
      <c r="CX193" s="39">
        <v>0.1258568164330314</v>
      </c>
      <c r="CY193" s="40">
        <v>0.10970254786599717</v>
      </c>
      <c r="CZ193" s="39">
        <v>0.38110691017622383</v>
      </c>
      <c r="DA193" s="40">
        <v>0.28752470714149186</v>
      </c>
      <c r="DB193" s="39">
        <v>0.18029108728801005</v>
      </c>
      <c r="DC193" s="38">
        <v>2.4879294521932596</v>
      </c>
      <c r="DE193" s="37" t="s">
        <v>1719</v>
      </c>
      <c r="DF193" s="35" t="str">
        <f t="shared" si="327"/>
        <v>IOTFA</v>
      </c>
      <c r="DG193" s="26">
        <f t="shared" si="400"/>
        <v>9.2667813403406178</v>
      </c>
      <c r="DH193" s="25">
        <f t="shared" si="400"/>
        <v>25.508331303809427</v>
      </c>
      <c r="DI193" s="24">
        <f t="shared" si="400"/>
        <v>61.556284097321786</v>
      </c>
      <c r="DJ193" s="25">
        <f t="shared" si="400"/>
        <v>41.69353488737115</v>
      </c>
      <c r="DK193" s="24">
        <f t="shared" si="400"/>
        <v>18.36525983427115</v>
      </c>
      <c r="DL193" s="25">
        <f t="shared" si="400"/>
        <v>16.007999035257971</v>
      </c>
      <c r="DM193" s="24">
        <f t="shared" si="400"/>
        <v>55.611826426158125</v>
      </c>
      <c r="DN193" s="25">
        <f t="shared" si="400"/>
        <v>18.729061953948026</v>
      </c>
      <c r="DO193" s="32">
        <f t="shared" si="400"/>
        <v>11.743974899173153</v>
      </c>
      <c r="DP193" s="26">
        <f t="shared" si="328"/>
        <v>0.43930271044621388</v>
      </c>
      <c r="DQ193" s="25">
        <f t="shared" si="329"/>
        <v>0.43930271044621394</v>
      </c>
      <c r="DR193" s="24">
        <f t="shared" si="330"/>
        <v>0.4459099823809935</v>
      </c>
      <c r="DS193" s="25">
        <f t="shared" si="331"/>
        <v>0.4459099823809935</v>
      </c>
      <c r="DT193" s="24">
        <f t="shared" si="332"/>
        <v>0.36358924321535935</v>
      </c>
      <c r="DU193" s="25">
        <f t="shared" si="333"/>
        <v>0.36358924321535929</v>
      </c>
      <c r="DV193" s="24">
        <f t="shared" si="334"/>
        <v>0.36358924321535935</v>
      </c>
      <c r="DW193" s="25">
        <f t="shared" si="335"/>
        <v>0.34093652180804973</v>
      </c>
      <c r="DX193" s="32">
        <f t="shared" si="336"/>
        <v>0.34093652180804973</v>
      </c>
      <c r="DZ193" s="54" t="s">
        <v>1450</v>
      </c>
      <c r="EA193" s="39">
        <v>0.19023070175143741</v>
      </c>
      <c r="EB193" s="40">
        <v>0.19023070175143739</v>
      </c>
      <c r="EC193" s="39">
        <v>0.10636544044684845</v>
      </c>
      <c r="ED193" s="40">
        <v>0.10636544044684844</v>
      </c>
      <c r="EE193" s="39">
        <v>0.28104813196279621</v>
      </c>
      <c r="EF193" s="40">
        <v>0.28104813196279621</v>
      </c>
      <c r="EG193" s="39">
        <v>0.28104813196279615</v>
      </c>
      <c r="EH193" s="40">
        <v>0.2536438603211999</v>
      </c>
      <c r="EI193" s="66">
        <v>0.2536438603211999</v>
      </c>
      <c r="ET193" s="73" t="s">
        <v>517</v>
      </c>
      <c r="EU193" s="72">
        <v>4.9740355203363194E-2</v>
      </c>
    </row>
    <row r="194" spans="1:151">
      <c r="A194" s="37" t="s">
        <v>1793</v>
      </c>
      <c r="B194" s="36" t="s">
        <v>1129</v>
      </c>
      <c r="C194" s="1" t="s">
        <v>1132</v>
      </c>
      <c r="D194" s="36" t="s">
        <v>1131</v>
      </c>
      <c r="E194" s="36" t="s">
        <v>1869</v>
      </c>
      <c r="F194" s="1" t="e">
        <f t="shared" ca="1" si="391"/>
        <v>#NAME?</v>
      </c>
      <c r="G194" s="35" t="s">
        <v>1104</v>
      </c>
      <c r="H194" s="43">
        <v>1</v>
      </c>
      <c r="I194" s="42">
        <v>0</v>
      </c>
      <c r="J194" s="26">
        <v>19.780501793999992</v>
      </c>
      <c r="K194" s="25">
        <v>15.527887523999997</v>
      </c>
      <c r="L194" s="24"/>
      <c r="M194" s="25"/>
      <c r="N194" s="24"/>
      <c r="O194" s="25"/>
      <c r="P194" s="24"/>
      <c r="Q194" s="25"/>
      <c r="R194" s="32"/>
      <c r="S194" s="31" t="e">
        <v>#REF!</v>
      </c>
      <c r="T194" s="29" t="e">
        <v>#REF!</v>
      </c>
      <c r="U194" s="30" t="e">
        <v>#REF!</v>
      </c>
      <c r="V194" s="29" t="e">
        <v>#REF!</v>
      </c>
      <c r="W194" s="30" t="e">
        <v>#REF!</v>
      </c>
      <c r="X194" s="29" t="e">
        <v>#REF!</v>
      </c>
      <c r="Y194" s="30" t="e">
        <v>#REF!</v>
      </c>
      <c r="Z194" s="29" t="e">
        <v>#REF!</v>
      </c>
      <c r="AA194" s="28" t="e">
        <v>#REF!</v>
      </c>
      <c r="AB194" s="26" t="e">
        <f t="shared" si="382"/>
        <v>#REF!</v>
      </c>
      <c r="AC194" s="25" t="e">
        <f t="shared" si="383"/>
        <v>#REF!</v>
      </c>
      <c r="AD194" s="24" t="e">
        <f t="shared" si="384"/>
        <v>#REF!</v>
      </c>
      <c r="AE194" s="25" t="e">
        <f t="shared" si="385"/>
        <v>#REF!</v>
      </c>
      <c r="AF194" s="24" t="e">
        <f t="shared" si="386"/>
        <v>#REF!</v>
      </c>
      <c r="AG194" s="25" t="e">
        <f t="shared" si="387"/>
        <v>#REF!</v>
      </c>
      <c r="AH194" s="24" t="e">
        <f t="shared" si="388"/>
        <v>#REF!</v>
      </c>
      <c r="AI194" s="25" t="e">
        <f t="shared" si="389"/>
        <v>#REF!</v>
      </c>
      <c r="AJ194" s="24" t="e">
        <f t="shared" si="390"/>
        <v>#REF!</v>
      </c>
      <c r="AK194" s="27" t="e">
        <f t="shared" si="323"/>
        <v>#REF!</v>
      </c>
      <c r="AL194" s="41">
        <v>0</v>
      </c>
      <c r="AM194" s="40">
        <v>0</v>
      </c>
      <c r="AN194" s="39">
        <v>0</v>
      </c>
      <c r="AO194" s="40">
        <v>0</v>
      </c>
      <c r="AP194" s="39">
        <v>0</v>
      </c>
      <c r="AQ194" s="40">
        <v>0</v>
      </c>
      <c r="AR194" s="39">
        <v>0</v>
      </c>
      <c r="AS194" s="40">
        <v>0</v>
      </c>
      <c r="AT194" s="39">
        <v>0</v>
      </c>
      <c r="AU194" s="38">
        <v>0</v>
      </c>
      <c r="CS194" s="54" t="s">
        <v>1868</v>
      </c>
      <c r="CT194" s="39">
        <v>0</v>
      </c>
      <c r="CU194" s="40">
        <v>0</v>
      </c>
      <c r="CV194" s="39">
        <v>0</v>
      </c>
      <c r="CW194" s="40">
        <v>0</v>
      </c>
      <c r="CX194" s="39">
        <v>2.4767218165888491E-2</v>
      </c>
      <c r="CY194" s="40">
        <v>2.1588238232584815E-2</v>
      </c>
      <c r="CZ194" s="39">
        <v>7.4997590566615757E-2</v>
      </c>
      <c r="DA194" s="40">
        <v>0</v>
      </c>
      <c r="DB194" s="39">
        <v>0</v>
      </c>
      <c r="DC194" s="38">
        <v>0.12135304696508906</v>
      </c>
      <c r="DE194" s="37" t="s">
        <v>1717</v>
      </c>
      <c r="DF194" s="35" t="str">
        <f t="shared" si="327"/>
        <v>IOTFA</v>
      </c>
      <c r="DG194" s="26">
        <f t="shared" si="400"/>
        <v>0.16841657486860231</v>
      </c>
      <c r="DH194" s="25">
        <f t="shared" si="400"/>
        <v>0.46359416835481571</v>
      </c>
      <c r="DI194" s="24">
        <f t="shared" si="400"/>
        <v>0</v>
      </c>
      <c r="DJ194" s="25">
        <f t="shared" si="400"/>
        <v>0</v>
      </c>
      <c r="DK194" s="24">
        <f t="shared" si="400"/>
        <v>9.6741377856191191E-2</v>
      </c>
      <c r="DL194" s="25">
        <f t="shared" si="400"/>
        <v>8.4324202182075758E-2</v>
      </c>
      <c r="DM194" s="24">
        <f t="shared" si="400"/>
        <v>0.29294247737929663</v>
      </c>
      <c r="DN194" s="25">
        <f t="shared" si="400"/>
        <v>0</v>
      </c>
      <c r="DO194" s="32">
        <f t="shared" si="400"/>
        <v>0</v>
      </c>
      <c r="DP194" s="26">
        <f t="shared" si="328"/>
        <v>7.9839865759825102E-3</v>
      </c>
      <c r="DQ194" s="25">
        <f t="shared" si="329"/>
        <v>7.9839865759825119E-3</v>
      </c>
      <c r="DR194" s="24">
        <f t="shared" si="330"/>
        <v>0</v>
      </c>
      <c r="DS194" s="25">
        <f t="shared" si="331"/>
        <v>0</v>
      </c>
      <c r="DT194" s="24">
        <f t="shared" si="332"/>
        <v>1.9152532923441543E-3</v>
      </c>
      <c r="DU194" s="25">
        <f t="shared" si="333"/>
        <v>1.9152532923441543E-3</v>
      </c>
      <c r="DV194" s="24">
        <f t="shared" si="334"/>
        <v>1.9152532923441541E-3</v>
      </c>
      <c r="DW194" s="25">
        <f t="shared" si="335"/>
        <v>0</v>
      </c>
      <c r="DX194" s="32">
        <f t="shared" si="336"/>
        <v>0</v>
      </c>
      <c r="DZ194" s="54" t="s">
        <v>1445</v>
      </c>
      <c r="EA194" s="39">
        <v>0.75352395237784486</v>
      </c>
      <c r="EB194" s="40">
        <v>0.75352395237784475</v>
      </c>
      <c r="EC194" s="39">
        <v>0.72227103806659632</v>
      </c>
      <c r="ED194" s="40">
        <v>0.72227103806659632</v>
      </c>
      <c r="EE194" s="39">
        <v>0.62777899044712548</v>
      </c>
      <c r="EF194" s="40">
        <v>0.62777899044712548</v>
      </c>
      <c r="EG194" s="39">
        <v>0.62777899044712548</v>
      </c>
      <c r="EH194" s="40">
        <v>0.7463561396788001</v>
      </c>
      <c r="EI194" s="66">
        <v>0.7463561396788001</v>
      </c>
      <c r="ET194" s="73" t="s">
        <v>519</v>
      </c>
      <c r="EU194" s="72">
        <v>4.3702571812708847E-2</v>
      </c>
    </row>
    <row r="195" spans="1:151">
      <c r="A195" s="37" t="s">
        <v>1793</v>
      </c>
      <c r="B195" s="36" t="s">
        <v>1129</v>
      </c>
      <c r="C195" s="1" t="s">
        <v>1132</v>
      </c>
      <c r="D195" s="36" t="s">
        <v>1131</v>
      </c>
      <c r="E195" s="36" t="s">
        <v>1867</v>
      </c>
      <c r="F195" s="1" t="e">
        <f t="shared" ca="1" si="391"/>
        <v>#NAME?</v>
      </c>
      <c r="G195" s="35" t="s">
        <v>1121</v>
      </c>
      <c r="H195" s="43">
        <v>1</v>
      </c>
      <c r="I195" s="42">
        <v>0</v>
      </c>
      <c r="J195" s="26">
        <v>1.1052331783455216E-2</v>
      </c>
      <c r="K195" s="25">
        <v>6.9051176875777998E-2</v>
      </c>
      <c r="L195" s="24"/>
      <c r="M195" s="25"/>
      <c r="N195" s="24"/>
      <c r="O195" s="25"/>
      <c r="P195" s="24"/>
      <c r="Q195" s="25"/>
      <c r="R195" s="32"/>
      <c r="S195" s="47">
        <v>1</v>
      </c>
      <c r="T195" s="45">
        <v>1</v>
      </c>
      <c r="U195" s="46">
        <v>1</v>
      </c>
      <c r="V195" s="45">
        <v>1</v>
      </c>
      <c r="W195" s="46">
        <v>1</v>
      </c>
      <c r="X195" s="45">
        <v>1</v>
      </c>
      <c r="Y195" s="46">
        <v>1</v>
      </c>
      <c r="Z195" s="45">
        <v>1</v>
      </c>
      <c r="AA195" s="44">
        <v>1</v>
      </c>
      <c r="AB195" s="26">
        <f t="shared" si="382"/>
        <v>1.1052331783455216E-2</v>
      </c>
      <c r="AC195" s="25">
        <f t="shared" si="383"/>
        <v>6.9051176875777998E-2</v>
      </c>
      <c r="AD195" s="24">
        <f t="shared" si="384"/>
        <v>0</v>
      </c>
      <c r="AE195" s="25">
        <f t="shared" si="385"/>
        <v>0</v>
      </c>
      <c r="AF195" s="24">
        <f t="shared" si="386"/>
        <v>0</v>
      </c>
      <c r="AG195" s="25">
        <f t="shared" si="387"/>
        <v>0</v>
      </c>
      <c r="AH195" s="24">
        <f t="shared" si="388"/>
        <v>0</v>
      </c>
      <c r="AI195" s="25">
        <f t="shared" si="389"/>
        <v>0</v>
      </c>
      <c r="AJ195" s="24">
        <f t="shared" si="390"/>
        <v>0</v>
      </c>
      <c r="AK195" s="27">
        <f t="shared" si="323"/>
        <v>8.0103508659233214E-2</v>
      </c>
      <c r="AL195" s="41">
        <v>0</v>
      </c>
      <c r="AM195" s="40">
        <v>0</v>
      </c>
      <c r="AN195" s="39">
        <v>0</v>
      </c>
      <c r="AO195" s="40">
        <v>0</v>
      </c>
      <c r="AP195" s="39">
        <v>0</v>
      </c>
      <c r="AQ195" s="40">
        <v>0</v>
      </c>
      <c r="AR195" s="39">
        <v>0</v>
      </c>
      <c r="AS195" s="40">
        <v>0</v>
      </c>
      <c r="AT195" s="39">
        <v>0</v>
      </c>
      <c r="AU195" s="38">
        <v>0</v>
      </c>
      <c r="CS195" s="54" t="s">
        <v>1866</v>
      </c>
      <c r="CT195" s="39">
        <v>0</v>
      </c>
      <c r="CU195" s="40">
        <v>0</v>
      </c>
      <c r="CV195" s="39">
        <v>3.2162167468048271</v>
      </c>
      <c r="CW195" s="40">
        <v>2.178420076920931</v>
      </c>
      <c r="CX195" s="39">
        <v>1.3912166134250004</v>
      </c>
      <c r="CY195" s="40">
        <v>1.2126479236620127</v>
      </c>
      <c r="CZ195" s="39">
        <v>4.2127417485595897</v>
      </c>
      <c r="DA195" s="40">
        <v>0</v>
      </c>
      <c r="DB195" s="39">
        <v>0</v>
      </c>
      <c r="DC195" s="38">
        <v>12.211243109372361</v>
      </c>
      <c r="DE195" s="37" t="s">
        <v>1727</v>
      </c>
      <c r="DF195" s="35" t="str">
        <f t="shared" si="327"/>
        <v>IOTFA</v>
      </c>
      <c r="DG195" s="26">
        <f t="shared" si="400"/>
        <v>0.25802344100051522</v>
      </c>
      <c r="DH195" s="25">
        <f t="shared" si="400"/>
        <v>0.71025172338296949</v>
      </c>
      <c r="DI195" s="24">
        <f t="shared" si="400"/>
        <v>1.5875031031097457</v>
      </c>
      <c r="DJ195" s="25">
        <f t="shared" si="400"/>
        <v>1.0752535989448377</v>
      </c>
      <c r="DK195" s="24">
        <f t="shared" si="400"/>
        <v>0.64225678079049853</v>
      </c>
      <c r="DL195" s="25">
        <f t="shared" si="400"/>
        <v>0.5598203357894509</v>
      </c>
      <c r="DM195" s="24">
        <f t="shared" si="400"/>
        <v>1.9448171676663768</v>
      </c>
      <c r="DN195" s="25">
        <f t="shared" si="400"/>
        <v>0</v>
      </c>
      <c r="DO195" s="32">
        <f t="shared" si="400"/>
        <v>0</v>
      </c>
      <c r="DP195" s="26">
        <f t="shared" si="328"/>
        <v>1.2231905861072005E-2</v>
      </c>
      <c r="DQ195" s="25">
        <f t="shared" si="329"/>
        <v>1.2231905861072007E-2</v>
      </c>
      <c r="DR195" s="24">
        <f t="shared" si="330"/>
        <v>1.1499776036160021E-2</v>
      </c>
      <c r="DS195" s="25">
        <f t="shared" si="331"/>
        <v>1.1499776036160017E-2</v>
      </c>
      <c r="DT195" s="24">
        <f t="shared" si="332"/>
        <v>1.2715183938851021E-2</v>
      </c>
      <c r="DU195" s="25">
        <f t="shared" si="333"/>
        <v>1.2715183938851019E-2</v>
      </c>
      <c r="DV195" s="24">
        <f t="shared" si="334"/>
        <v>1.2715183938851021E-2</v>
      </c>
      <c r="DW195" s="25">
        <f t="shared" si="335"/>
        <v>0</v>
      </c>
      <c r="DX195" s="32">
        <f t="shared" si="336"/>
        <v>0</v>
      </c>
      <c r="DZ195" s="54" t="s">
        <v>1520</v>
      </c>
      <c r="EA195" s="39">
        <v>1</v>
      </c>
      <c r="EB195" s="40">
        <v>1.1260203522817952E-2</v>
      </c>
      <c r="EC195" s="39">
        <v>0.31358872710834346</v>
      </c>
      <c r="ED195" s="40">
        <v>0</v>
      </c>
      <c r="EE195" s="39">
        <v>7.6008290612649618E-2</v>
      </c>
      <c r="EF195" s="40">
        <v>0</v>
      </c>
      <c r="EG195" s="39">
        <v>0</v>
      </c>
      <c r="EH195" s="40">
        <v>0</v>
      </c>
      <c r="EI195" s="66">
        <v>0.91982942031304016</v>
      </c>
      <c r="ET195" s="73" t="s">
        <v>520</v>
      </c>
      <c r="EU195" s="72">
        <v>0.14868054221740809</v>
      </c>
    </row>
    <row r="196" spans="1:151">
      <c r="A196" s="37" t="s">
        <v>1793</v>
      </c>
      <c r="B196" s="36" t="s">
        <v>1129</v>
      </c>
      <c r="C196" s="1" t="s">
        <v>1132</v>
      </c>
      <c r="D196" s="36" t="s">
        <v>1182</v>
      </c>
      <c r="E196" s="36" t="s">
        <v>1865</v>
      </c>
      <c r="F196" s="1" t="e">
        <f t="shared" ca="1" si="391"/>
        <v>#NAME?</v>
      </c>
      <c r="G196" s="35" t="s">
        <v>1109</v>
      </c>
      <c r="H196" s="34">
        <f t="shared" ref="H196:H201" si="401">1-I196</f>
        <v>0.89580616523093071</v>
      </c>
      <c r="I196" s="33">
        <v>0.10419383476906929</v>
      </c>
      <c r="J196" s="26" t="e">
        <v>#REF!</v>
      </c>
      <c r="K196" s="25" t="e">
        <v>#REF!</v>
      </c>
      <c r="L196" s="24"/>
      <c r="M196" s="25"/>
      <c r="N196" s="24"/>
      <c r="O196" s="25"/>
      <c r="P196" s="24"/>
      <c r="Q196" s="25"/>
      <c r="R196" s="32"/>
      <c r="S196" s="31" t="e">
        <v>#REF!</v>
      </c>
      <c r="T196" s="29" t="e">
        <v>#REF!</v>
      </c>
      <c r="U196" s="30" t="e">
        <v>#REF!</v>
      </c>
      <c r="V196" s="29" t="e">
        <v>#REF!</v>
      </c>
      <c r="W196" s="30" t="e">
        <v>#REF!</v>
      </c>
      <c r="X196" s="29" t="e">
        <v>#REF!</v>
      </c>
      <c r="Y196" s="30" t="e">
        <v>#REF!</v>
      </c>
      <c r="Z196" s="29" t="e">
        <v>#REF!</v>
      </c>
      <c r="AA196" s="28" t="e">
        <v>#REF!</v>
      </c>
      <c r="AB196" s="26" t="e">
        <f t="shared" ref="AB196:AJ201" si="402">J196*31.536*$H196*S196</f>
        <v>#REF!</v>
      </c>
      <c r="AC196" s="25" t="e">
        <f t="shared" si="402"/>
        <v>#REF!</v>
      </c>
      <c r="AD196" s="24" t="e">
        <f t="shared" si="402"/>
        <v>#REF!</v>
      </c>
      <c r="AE196" s="25" t="e">
        <f t="shared" si="402"/>
        <v>#REF!</v>
      </c>
      <c r="AF196" s="24" t="e">
        <f t="shared" si="402"/>
        <v>#REF!</v>
      </c>
      <c r="AG196" s="25" t="e">
        <f t="shared" si="402"/>
        <v>#REF!</v>
      </c>
      <c r="AH196" s="24" t="e">
        <f t="shared" si="402"/>
        <v>#REF!</v>
      </c>
      <c r="AI196" s="25" t="e">
        <f t="shared" si="402"/>
        <v>#REF!</v>
      </c>
      <c r="AJ196" s="24" t="e">
        <f t="shared" si="402"/>
        <v>#REF!</v>
      </c>
      <c r="AK196" s="27" t="e">
        <f t="shared" si="323"/>
        <v>#REF!</v>
      </c>
      <c r="AL196" s="26" t="e">
        <f t="shared" ref="AL196:AT201" si="403">J196*31.536*$I196*S196</f>
        <v>#REF!</v>
      </c>
      <c r="AM196" s="25" t="e">
        <f t="shared" si="403"/>
        <v>#REF!</v>
      </c>
      <c r="AN196" s="24" t="e">
        <f t="shared" si="403"/>
        <v>#REF!</v>
      </c>
      <c r="AO196" s="25" t="e">
        <f t="shared" si="403"/>
        <v>#REF!</v>
      </c>
      <c r="AP196" s="24" t="e">
        <f t="shared" si="403"/>
        <v>#REF!</v>
      </c>
      <c r="AQ196" s="25" t="e">
        <f t="shared" si="403"/>
        <v>#REF!</v>
      </c>
      <c r="AR196" s="24" t="e">
        <f t="shared" si="403"/>
        <v>#REF!</v>
      </c>
      <c r="AS196" s="25" t="e">
        <f t="shared" si="403"/>
        <v>#REF!</v>
      </c>
      <c r="AT196" s="24" t="e">
        <f t="shared" si="403"/>
        <v>#REF!</v>
      </c>
      <c r="AU196" s="23" t="e">
        <f t="shared" ref="AU196:AU201" si="404">SUM(AL196:AT196)</f>
        <v>#REF!</v>
      </c>
      <c r="CS196" s="54" t="s">
        <v>1864</v>
      </c>
      <c r="CT196" s="39">
        <v>0</v>
      </c>
      <c r="CU196" s="40">
        <v>0</v>
      </c>
      <c r="CV196" s="39">
        <v>0.19894483013480199</v>
      </c>
      <c r="CW196" s="40">
        <v>0.13475006390530941</v>
      </c>
      <c r="CX196" s="39">
        <v>0.81039902500807814</v>
      </c>
      <c r="CY196" s="40">
        <v>0.70638079327877712</v>
      </c>
      <c r="CZ196" s="39">
        <v>2.4539685428559364</v>
      </c>
      <c r="DA196" s="40">
        <v>0</v>
      </c>
      <c r="DB196" s="39">
        <v>0</v>
      </c>
      <c r="DC196" s="38">
        <v>4.3044432551829033</v>
      </c>
      <c r="DE196" s="37" t="s">
        <v>1863</v>
      </c>
      <c r="DF196" s="35" t="str">
        <f t="shared" si="327"/>
        <v>ICTFA</v>
      </c>
      <c r="DG196" s="26">
        <f t="shared" si="400"/>
        <v>6.0879237432483579E-2</v>
      </c>
      <c r="DH196" s="25">
        <f t="shared" si="400"/>
        <v>0.16758005837375106</v>
      </c>
      <c r="DI196" s="24">
        <f t="shared" si="400"/>
        <v>0.13620464864357343</v>
      </c>
      <c r="DJ196" s="25">
        <f t="shared" si="400"/>
        <v>9.2254647162661255E-2</v>
      </c>
      <c r="DK196" s="24">
        <f t="shared" si="400"/>
        <v>9.3253550079975378E-2</v>
      </c>
      <c r="DL196" s="25">
        <f t="shared" si="400"/>
        <v>8.1284052236981083E-2</v>
      </c>
      <c r="DM196" s="24">
        <f t="shared" si="400"/>
        <v>0.28238098929551292</v>
      </c>
      <c r="DN196" s="25">
        <f t="shared" si="400"/>
        <v>0.14041358351430774</v>
      </c>
      <c r="DO196" s="32">
        <f t="shared" si="400"/>
        <v>8.8045712291926953E-2</v>
      </c>
      <c r="DP196" s="26">
        <f t="shared" si="328"/>
        <v>1.7063536213557315E-2</v>
      </c>
      <c r="DQ196" s="25">
        <f t="shared" si="329"/>
        <v>1.7063536213557318E-2</v>
      </c>
      <c r="DR196" s="24">
        <f t="shared" si="330"/>
        <v>1.2432935954658853E-2</v>
      </c>
      <c r="DS196" s="25">
        <f t="shared" si="331"/>
        <v>1.2432935954658855E-2</v>
      </c>
      <c r="DT196" s="24">
        <f t="shared" si="332"/>
        <v>3.7137729939871147E-2</v>
      </c>
      <c r="DU196" s="25">
        <f t="shared" si="333"/>
        <v>3.7137729939871141E-2</v>
      </c>
      <c r="DV196" s="24">
        <f t="shared" si="334"/>
        <v>3.7137729939871141E-2</v>
      </c>
      <c r="DW196" s="25">
        <f t="shared" si="335"/>
        <v>6.2779459262254519E-2</v>
      </c>
      <c r="DX196" s="32">
        <f t="shared" si="336"/>
        <v>6.2779459262254533E-2</v>
      </c>
      <c r="DZ196" s="54" t="s">
        <v>1514</v>
      </c>
      <c r="EA196" s="39">
        <v>0</v>
      </c>
      <c r="EB196" s="40">
        <v>0</v>
      </c>
      <c r="EC196" s="39">
        <v>4.3426067332244639E-17</v>
      </c>
      <c r="ED196" s="40">
        <v>0</v>
      </c>
      <c r="EE196" s="39">
        <v>0</v>
      </c>
      <c r="EF196" s="40">
        <v>0</v>
      </c>
      <c r="EG196" s="39">
        <v>0</v>
      </c>
      <c r="EH196" s="40">
        <v>0</v>
      </c>
      <c r="EI196" s="66">
        <v>0</v>
      </c>
      <c r="ET196" s="73" t="s">
        <v>521</v>
      </c>
      <c r="EU196" s="72">
        <v>1.4178310608016359E-2</v>
      </c>
    </row>
    <row r="197" spans="1:151">
      <c r="A197" s="37" t="s">
        <v>1793</v>
      </c>
      <c r="B197" s="36" t="s">
        <v>1129</v>
      </c>
      <c r="C197" s="1" t="s">
        <v>1132</v>
      </c>
      <c r="D197" s="36" t="s">
        <v>1182</v>
      </c>
      <c r="E197" s="36" t="s">
        <v>1862</v>
      </c>
      <c r="F197" s="1" t="e">
        <f t="shared" ca="1" si="391"/>
        <v>#NAME?</v>
      </c>
      <c r="G197" s="35" t="s">
        <v>1109</v>
      </c>
      <c r="H197" s="34">
        <f t="shared" si="401"/>
        <v>0.58825038798913276</v>
      </c>
      <c r="I197" s="33">
        <v>0.41174961201086724</v>
      </c>
      <c r="J197" s="26">
        <v>0</v>
      </c>
      <c r="K197" s="25">
        <v>5.2707973957970833E-2</v>
      </c>
      <c r="L197" s="24"/>
      <c r="M197" s="25"/>
      <c r="N197" s="24"/>
      <c r="O197" s="25"/>
      <c r="P197" s="24"/>
      <c r="Q197" s="25"/>
      <c r="R197" s="32"/>
      <c r="S197" s="31" t="e">
        <v>#REF!</v>
      </c>
      <c r="T197" s="29" t="e">
        <v>#REF!</v>
      </c>
      <c r="U197" s="30" t="e">
        <v>#REF!</v>
      </c>
      <c r="V197" s="29" t="e">
        <v>#REF!</v>
      </c>
      <c r="W197" s="30" t="e">
        <v>#REF!</v>
      </c>
      <c r="X197" s="29" t="e">
        <v>#REF!</v>
      </c>
      <c r="Y197" s="30" t="e">
        <v>#REF!</v>
      </c>
      <c r="Z197" s="29" t="e">
        <v>#REF!</v>
      </c>
      <c r="AA197" s="28" t="e">
        <v>#REF!</v>
      </c>
      <c r="AB197" s="26" t="e">
        <f t="shared" si="402"/>
        <v>#REF!</v>
      </c>
      <c r="AC197" s="25" t="e">
        <f t="shared" si="402"/>
        <v>#REF!</v>
      </c>
      <c r="AD197" s="24" t="e">
        <f t="shared" si="402"/>
        <v>#REF!</v>
      </c>
      <c r="AE197" s="25" t="e">
        <f t="shared" si="402"/>
        <v>#REF!</v>
      </c>
      <c r="AF197" s="24" t="e">
        <f t="shared" si="402"/>
        <v>#REF!</v>
      </c>
      <c r="AG197" s="25" t="e">
        <f t="shared" si="402"/>
        <v>#REF!</v>
      </c>
      <c r="AH197" s="24" t="e">
        <f t="shared" si="402"/>
        <v>#REF!</v>
      </c>
      <c r="AI197" s="25" t="e">
        <f t="shared" si="402"/>
        <v>#REF!</v>
      </c>
      <c r="AJ197" s="24" t="e">
        <f t="shared" si="402"/>
        <v>#REF!</v>
      </c>
      <c r="AK197" s="27" t="e">
        <f t="shared" si="323"/>
        <v>#REF!</v>
      </c>
      <c r="AL197" s="26" t="e">
        <f t="shared" si="403"/>
        <v>#REF!</v>
      </c>
      <c r="AM197" s="25" t="e">
        <f t="shared" si="403"/>
        <v>#REF!</v>
      </c>
      <c r="AN197" s="24" t="e">
        <f t="shared" si="403"/>
        <v>#REF!</v>
      </c>
      <c r="AO197" s="25" t="e">
        <f t="shared" si="403"/>
        <v>#REF!</v>
      </c>
      <c r="AP197" s="24" t="e">
        <f t="shared" si="403"/>
        <v>#REF!</v>
      </c>
      <c r="AQ197" s="25" t="e">
        <f t="shared" si="403"/>
        <v>#REF!</v>
      </c>
      <c r="AR197" s="24" t="e">
        <f t="shared" si="403"/>
        <v>#REF!</v>
      </c>
      <c r="AS197" s="25" t="e">
        <f t="shared" si="403"/>
        <v>#REF!</v>
      </c>
      <c r="AT197" s="24" t="e">
        <f t="shared" si="403"/>
        <v>#REF!</v>
      </c>
      <c r="AU197" s="23" t="e">
        <f t="shared" si="404"/>
        <v>#REF!</v>
      </c>
      <c r="CS197" s="54" t="s">
        <v>1861</v>
      </c>
      <c r="CT197" s="39">
        <v>3.4516762302639323E-2</v>
      </c>
      <c r="CU197" s="40">
        <v>9.5013033761536969E-2</v>
      </c>
      <c r="CV197" s="39">
        <v>0.17962993973344174</v>
      </c>
      <c r="CW197" s="40">
        <v>0.12166762937235974</v>
      </c>
      <c r="CX197" s="39">
        <v>5.2297362521016875E-2</v>
      </c>
      <c r="CY197" s="40">
        <v>4.5584769087815037E-2</v>
      </c>
      <c r="CZ197" s="39">
        <v>0.15836159538769085</v>
      </c>
      <c r="DA197" s="40">
        <v>6.4034476517764838E-2</v>
      </c>
      <c r="DB197" s="39">
        <v>4.0152533359942226E-2</v>
      </c>
      <c r="DC197" s="38">
        <v>0.79125810204420743</v>
      </c>
      <c r="DE197" s="37" t="s">
        <v>1860</v>
      </c>
      <c r="DF197" s="35" t="str">
        <f t="shared" si="327"/>
        <v>ICTFA</v>
      </c>
      <c r="DG197" s="26">
        <f t="shared" si="400"/>
        <v>2.1069324105257521</v>
      </c>
      <c r="DH197" s="25">
        <f t="shared" si="400"/>
        <v>5.7996760675103207</v>
      </c>
      <c r="DI197" s="24">
        <f t="shared" si="400"/>
        <v>7.5944936447893205</v>
      </c>
      <c r="DJ197" s="25">
        <f t="shared" si="400"/>
        <v>5.1439311253799112</v>
      </c>
      <c r="DK197" s="24">
        <f t="shared" si="400"/>
        <v>2.3308676866812816</v>
      </c>
      <c r="DL197" s="25">
        <f t="shared" si="400"/>
        <v>2.0316907038842742</v>
      </c>
      <c r="DM197" s="24">
        <f t="shared" si="400"/>
        <v>7.0580982999309949</v>
      </c>
      <c r="DN197" s="25">
        <f t="shared" si="400"/>
        <v>1.6198293674558293</v>
      </c>
      <c r="DO197" s="32">
        <f t="shared" si="400"/>
        <v>1.0157067918895288</v>
      </c>
      <c r="DP197" s="26">
        <f t="shared" si="328"/>
        <v>0.59054152125993742</v>
      </c>
      <c r="DQ197" s="25">
        <f t="shared" si="329"/>
        <v>0.59054152125993731</v>
      </c>
      <c r="DR197" s="24">
        <f t="shared" si="330"/>
        <v>0.69323517247063082</v>
      </c>
      <c r="DS197" s="25">
        <f t="shared" si="331"/>
        <v>0.69323517247063104</v>
      </c>
      <c r="DT197" s="24">
        <f t="shared" si="332"/>
        <v>0.92825564924127857</v>
      </c>
      <c r="DU197" s="25">
        <f t="shared" si="333"/>
        <v>0.92825564924127868</v>
      </c>
      <c r="DV197" s="24">
        <f t="shared" si="334"/>
        <v>0.92825564924127868</v>
      </c>
      <c r="DW197" s="25">
        <f t="shared" si="335"/>
        <v>0.72423200975876101</v>
      </c>
      <c r="DX197" s="32">
        <f t="shared" si="336"/>
        <v>0.72423200975876112</v>
      </c>
      <c r="DZ197" s="54" t="s">
        <v>1526</v>
      </c>
      <c r="EA197" s="39">
        <v>0</v>
      </c>
      <c r="EB197" s="40">
        <v>0</v>
      </c>
      <c r="EC197" s="39">
        <v>0</v>
      </c>
      <c r="ED197" s="40">
        <v>0</v>
      </c>
      <c r="EE197" s="39">
        <v>0</v>
      </c>
      <c r="EF197" s="40">
        <v>0</v>
      </c>
      <c r="EG197" s="39">
        <v>0</v>
      </c>
      <c r="EH197" s="40">
        <v>0</v>
      </c>
      <c r="EI197" s="66">
        <v>0</v>
      </c>
      <c r="ET197" s="71" t="s">
        <v>522</v>
      </c>
      <c r="EU197" s="70">
        <v>1.2009597869582401E-2</v>
      </c>
    </row>
    <row r="198" spans="1:151">
      <c r="A198" s="37" t="s">
        <v>1793</v>
      </c>
      <c r="B198" s="36" t="s">
        <v>1129</v>
      </c>
      <c r="C198" s="1" t="s">
        <v>1132</v>
      </c>
      <c r="D198" s="36" t="s">
        <v>1182</v>
      </c>
      <c r="E198" s="36" t="s">
        <v>1859</v>
      </c>
      <c r="F198" s="1" t="e">
        <f t="shared" ca="1" si="391"/>
        <v>#NAME?</v>
      </c>
      <c r="G198" s="35" t="s">
        <v>1109</v>
      </c>
      <c r="H198" s="34">
        <f t="shared" si="401"/>
        <v>0.9197508368680285</v>
      </c>
      <c r="I198" s="33">
        <v>8.0249163131971557E-2</v>
      </c>
      <c r="J198" s="26" t="e">
        <v>#REF!</v>
      </c>
      <c r="K198" s="25" t="e">
        <v>#REF!</v>
      </c>
      <c r="L198" s="24"/>
      <c r="M198" s="25"/>
      <c r="N198" s="24"/>
      <c r="O198" s="25"/>
      <c r="P198" s="24"/>
      <c r="Q198" s="25"/>
      <c r="R198" s="32"/>
      <c r="S198" s="31" t="e">
        <v>#REF!</v>
      </c>
      <c r="T198" s="29" t="e">
        <v>#REF!</v>
      </c>
      <c r="U198" s="30" t="e">
        <v>#REF!</v>
      </c>
      <c r="V198" s="29" t="e">
        <v>#REF!</v>
      </c>
      <c r="W198" s="30" t="e">
        <v>#REF!</v>
      </c>
      <c r="X198" s="29" t="e">
        <v>#REF!</v>
      </c>
      <c r="Y198" s="30" t="e">
        <v>#REF!</v>
      </c>
      <c r="Z198" s="29" t="e">
        <v>#REF!</v>
      </c>
      <c r="AA198" s="28" t="e">
        <v>#REF!</v>
      </c>
      <c r="AB198" s="26" t="e">
        <f t="shared" si="402"/>
        <v>#REF!</v>
      </c>
      <c r="AC198" s="25" t="e">
        <f t="shared" si="402"/>
        <v>#REF!</v>
      </c>
      <c r="AD198" s="24" t="e">
        <f t="shared" si="402"/>
        <v>#REF!</v>
      </c>
      <c r="AE198" s="25" t="e">
        <f t="shared" si="402"/>
        <v>#REF!</v>
      </c>
      <c r="AF198" s="24" t="e">
        <f t="shared" si="402"/>
        <v>#REF!</v>
      </c>
      <c r="AG198" s="25" t="e">
        <f t="shared" si="402"/>
        <v>#REF!</v>
      </c>
      <c r="AH198" s="24" t="e">
        <f t="shared" si="402"/>
        <v>#REF!</v>
      </c>
      <c r="AI198" s="25" t="e">
        <f t="shared" si="402"/>
        <v>#REF!</v>
      </c>
      <c r="AJ198" s="24" t="e">
        <f t="shared" si="402"/>
        <v>#REF!</v>
      </c>
      <c r="AK198" s="27" t="e">
        <f t="shared" si="323"/>
        <v>#REF!</v>
      </c>
      <c r="AL198" s="26" t="e">
        <f t="shared" si="403"/>
        <v>#REF!</v>
      </c>
      <c r="AM198" s="25" t="e">
        <f t="shared" si="403"/>
        <v>#REF!</v>
      </c>
      <c r="AN198" s="24" t="e">
        <f t="shared" si="403"/>
        <v>#REF!</v>
      </c>
      <c r="AO198" s="25" t="e">
        <f t="shared" si="403"/>
        <v>#REF!</v>
      </c>
      <c r="AP198" s="24" t="e">
        <f t="shared" si="403"/>
        <v>#REF!</v>
      </c>
      <c r="AQ198" s="25" t="e">
        <f t="shared" si="403"/>
        <v>#REF!</v>
      </c>
      <c r="AR198" s="24" t="e">
        <f t="shared" si="403"/>
        <v>#REF!</v>
      </c>
      <c r="AS198" s="25" t="e">
        <f t="shared" si="403"/>
        <v>#REF!</v>
      </c>
      <c r="AT198" s="24" t="e">
        <f t="shared" si="403"/>
        <v>#REF!</v>
      </c>
      <c r="AU198" s="23" t="e">
        <f t="shared" si="404"/>
        <v>#REF!</v>
      </c>
      <c r="CS198" s="54" t="s">
        <v>1858</v>
      </c>
      <c r="CT198" s="39">
        <v>0.57853019635178116</v>
      </c>
      <c r="CU198" s="40">
        <v>1.5924989892182695</v>
      </c>
      <c r="CV198" s="39">
        <v>2.5886822978419022</v>
      </c>
      <c r="CW198" s="40">
        <v>1.7533760732982153</v>
      </c>
      <c r="CX198" s="39">
        <v>3.101631840302761</v>
      </c>
      <c r="CY198" s="40">
        <v>2.7035239335214376</v>
      </c>
      <c r="CZ198" s="39">
        <v>9.3920485251663166</v>
      </c>
      <c r="DA198" s="40">
        <v>0</v>
      </c>
      <c r="DB198" s="39">
        <v>0</v>
      </c>
      <c r="DC198" s="38">
        <v>21.710291855700685</v>
      </c>
      <c r="DE198" s="37" t="s">
        <v>1857</v>
      </c>
      <c r="DF198" s="35" t="str">
        <f t="shared" si="327"/>
        <v>ICTFA</v>
      </c>
      <c r="DG198" s="26">
        <f t="shared" ref="DG198:DO207" si="405">GETPIVOTDATA("Sum of "&amp;DG$1&amp;" (Out)",$CS$6,"Constraint Identifier",$DE198)</f>
        <v>1.2392504969211955</v>
      </c>
      <c r="DH198" s="25">
        <f t="shared" si="405"/>
        <v>3.4112396832182506</v>
      </c>
      <c r="DI198" s="24">
        <f t="shared" si="405"/>
        <v>2.9706059833685186</v>
      </c>
      <c r="DJ198" s="25">
        <f t="shared" si="405"/>
        <v>2.0120620667808882</v>
      </c>
      <c r="DK198" s="24">
        <f t="shared" si="405"/>
        <v>0</v>
      </c>
      <c r="DL198" s="25">
        <f t="shared" si="405"/>
        <v>0</v>
      </c>
      <c r="DM198" s="24">
        <f t="shared" si="405"/>
        <v>0</v>
      </c>
      <c r="DN198" s="25">
        <f t="shared" si="405"/>
        <v>0.47637369346040709</v>
      </c>
      <c r="DO198" s="32">
        <f t="shared" si="405"/>
        <v>0.29870800322950075</v>
      </c>
      <c r="DP198" s="26">
        <f t="shared" si="328"/>
        <v>0.3473433082228583</v>
      </c>
      <c r="DQ198" s="25">
        <f t="shared" si="329"/>
        <v>0.34734330822285836</v>
      </c>
      <c r="DR198" s="24">
        <f t="shared" si="330"/>
        <v>0.27116074455282407</v>
      </c>
      <c r="DS198" s="25">
        <f t="shared" si="331"/>
        <v>0.27116074455282413</v>
      </c>
      <c r="DT198" s="24">
        <f t="shared" si="332"/>
        <v>0</v>
      </c>
      <c r="DU198" s="25">
        <f t="shared" si="333"/>
        <v>0</v>
      </c>
      <c r="DV198" s="24">
        <f t="shared" si="334"/>
        <v>0</v>
      </c>
      <c r="DW198" s="25">
        <f t="shared" si="335"/>
        <v>0.2129885309789844</v>
      </c>
      <c r="DX198" s="32">
        <f t="shared" si="336"/>
        <v>0.21298853097898446</v>
      </c>
      <c r="DZ198" s="54" t="s">
        <v>1523</v>
      </c>
      <c r="EA198" s="39">
        <v>0</v>
      </c>
      <c r="EB198" s="40">
        <v>0.98873979647718213</v>
      </c>
      <c r="EC198" s="39">
        <v>0.6864112728916566</v>
      </c>
      <c r="ED198" s="40">
        <v>0</v>
      </c>
      <c r="EE198" s="39">
        <v>0.92399170938735109</v>
      </c>
      <c r="EF198" s="40">
        <v>1</v>
      </c>
      <c r="EG198" s="39">
        <v>0</v>
      </c>
      <c r="EH198" s="40">
        <v>1</v>
      </c>
      <c r="EI198" s="66">
        <v>8.0170579686959745E-2</v>
      </c>
      <c r="ET198" s="69" t="s">
        <v>1378</v>
      </c>
      <c r="EU198" s="68">
        <v>19.000000000000011</v>
      </c>
    </row>
    <row r="199" spans="1:151">
      <c r="A199" s="37" t="s">
        <v>1793</v>
      </c>
      <c r="B199" s="36" t="s">
        <v>1129</v>
      </c>
      <c r="C199" s="1" t="s">
        <v>1132</v>
      </c>
      <c r="D199" s="36" t="s">
        <v>1182</v>
      </c>
      <c r="E199" s="36" t="s">
        <v>1856</v>
      </c>
      <c r="F199" s="1" t="e">
        <f t="shared" ca="1" si="391"/>
        <v>#NAME?</v>
      </c>
      <c r="G199" s="35" t="s">
        <v>1109</v>
      </c>
      <c r="H199" s="34">
        <f t="shared" si="401"/>
        <v>0.90331937371837012</v>
      </c>
      <c r="I199" s="33">
        <v>9.6680626281629864E-2</v>
      </c>
      <c r="J199" s="26" t="e">
        <v>#REF!</v>
      </c>
      <c r="K199" s="25" t="e">
        <v>#REF!</v>
      </c>
      <c r="L199" s="24"/>
      <c r="M199" s="25"/>
      <c r="N199" s="24"/>
      <c r="O199" s="25"/>
      <c r="P199" s="24"/>
      <c r="Q199" s="25"/>
      <c r="R199" s="32"/>
      <c r="S199" s="31" t="e">
        <v>#REF!</v>
      </c>
      <c r="T199" s="29" t="e">
        <v>#REF!</v>
      </c>
      <c r="U199" s="30" t="e">
        <v>#REF!</v>
      </c>
      <c r="V199" s="29" t="e">
        <v>#REF!</v>
      </c>
      <c r="W199" s="30" t="e">
        <v>#REF!</v>
      </c>
      <c r="X199" s="29" t="e">
        <v>#REF!</v>
      </c>
      <c r="Y199" s="30" t="e">
        <v>#REF!</v>
      </c>
      <c r="Z199" s="29" t="e">
        <v>#REF!</v>
      </c>
      <c r="AA199" s="28" t="e">
        <v>#REF!</v>
      </c>
      <c r="AB199" s="26" t="e">
        <f t="shared" si="402"/>
        <v>#REF!</v>
      </c>
      <c r="AC199" s="25" t="e">
        <f t="shared" si="402"/>
        <v>#REF!</v>
      </c>
      <c r="AD199" s="24" t="e">
        <f t="shared" si="402"/>
        <v>#REF!</v>
      </c>
      <c r="AE199" s="25" t="e">
        <f t="shared" si="402"/>
        <v>#REF!</v>
      </c>
      <c r="AF199" s="24" t="e">
        <f t="shared" si="402"/>
        <v>#REF!</v>
      </c>
      <c r="AG199" s="25" t="e">
        <f t="shared" si="402"/>
        <v>#REF!</v>
      </c>
      <c r="AH199" s="24" t="e">
        <f t="shared" si="402"/>
        <v>#REF!</v>
      </c>
      <c r="AI199" s="25" t="e">
        <f t="shared" si="402"/>
        <v>#REF!</v>
      </c>
      <c r="AJ199" s="24" t="e">
        <f t="shared" si="402"/>
        <v>#REF!</v>
      </c>
      <c r="AK199" s="27" t="e">
        <f t="shared" si="323"/>
        <v>#REF!</v>
      </c>
      <c r="AL199" s="26" t="e">
        <f t="shared" si="403"/>
        <v>#REF!</v>
      </c>
      <c r="AM199" s="25" t="e">
        <f t="shared" si="403"/>
        <v>#REF!</v>
      </c>
      <c r="AN199" s="24" t="e">
        <f t="shared" si="403"/>
        <v>#REF!</v>
      </c>
      <c r="AO199" s="25" t="e">
        <f t="shared" si="403"/>
        <v>#REF!</v>
      </c>
      <c r="AP199" s="24" t="e">
        <f t="shared" si="403"/>
        <v>#REF!</v>
      </c>
      <c r="AQ199" s="25" t="e">
        <f t="shared" si="403"/>
        <v>#REF!</v>
      </c>
      <c r="AR199" s="24" t="e">
        <f t="shared" si="403"/>
        <v>#REF!</v>
      </c>
      <c r="AS199" s="25" t="e">
        <f t="shared" si="403"/>
        <v>#REF!</v>
      </c>
      <c r="AT199" s="24" t="e">
        <f t="shared" si="403"/>
        <v>#REF!</v>
      </c>
      <c r="AU199" s="23" t="e">
        <f t="shared" si="404"/>
        <v>#REF!</v>
      </c>
      <c r="CS199" s="54" t="s">
        <v>1511</v>
      </c>
      <c r="CT199" s="39">
        <v>2.0952542688800033</v>
      </c>
      <c r="CU199" s="40">
        <v>5.7675300725664469</v>
      </c>
      <c r="CV199" s="39">
        <v>15.737265899240867</v>
      </c>
      <c r="CW199" s="40">
        <v>10.659224389900803</v>
      </c>
      <c r="CX199" s="39">
        <v>4.0118336549052405</v>
      </c>
      <c r="CY199" s="40">
        <v>3.4968973952383653</v>
      </c>
      <c r="CZ199" s="39">
        <v>12.148229803472532</v>
      </c>
      <c r="DA199" s="40">
        <v>5.1777356875692213</v>
      </c>
      <c r="DB199" s="39">
        <v>3.2466761068376955</v>
      </c>
      <c r="DC199" s="38">
        <v>62.340647278611172</v>
      </c>
      <c r="DE199" s="37" t="s">
        <v>1855</v>
      </c>
      <c r="DF199" s="35" t="str">
        <f t="shared" si="327"/>
        <v>ICTFA</v>
      </c>
      <c r="DG199" s="26">
        <f t="shared" si="405"/>
        <v>0.16073509659234689</v>
      </c>
      <c r="DH199" s="25">
        <f t="shared" si="405"/>
        <v>0.44244964302531908</v>
      </c>
      <c r="DI199" s="24">
        <f t="shared" si="405"/>
        <v>0.25384333598227571</v>
      </c>
      <c r="DJ199" s="25">
        <f t="shared" si="405"/>
        <v>0.1719341272772533</v>
      </c>
      <c r="DK199" s="24">
        <f t="shared" si="405"/>
        <v>8.6897886673591412E-2</v>
      </c>
      <c r="DL199" s="25">
        <f t="shared" si="405"/>
        <v>7.5744165810328931E-2</v>
      </c>
      <c r="DM199" s="24">
        <f t="shared" si="405"/>
        <v>0.26313541077560865</v>
      </c>
      <c r="DN199" s="25">
        <f t="shared" si="405"/>
        <v>0</v>
      </c>
      <c r="DO199" s="32">
        <f t="shared" si="405"/>
        <v>0</v>
      </c>
      <c r="DP199" s="26">
        <f t="shared" si="328"/>
        <v>4.5051634303646941E-2</v>
      </c>
      <c r="DQ199" s="25">
        <f t="shared" si="329"/>
        <v>4.5051634303646941E-2</v>
      </c>
      <c r="DR199" s="24">
        <f t="shared" si="330"/>
        <v>2.3171147021886128E-2</v>
      </c>
      <c r="DS199" s="25">
        <f t="shared" si="331"/>
        <v>2.3171147021886135E-2</v>
      </c>
      <c r="DT199" s="24">
        <f t="shared" si="332"/>
        <v>3.4606620818850201E-2</v>
      </c>
      <c r="DU199" s="25">
        <f t="shared" si="333"/>
        <v>3.4606620818850201E-2</v>
      </c>
      <c r="DV199" s="24">
        <f t="shared" si="334"/>
        <v>3.4606620818850201E-2</v>
      </c>
      <c r="DW199" s="25">
        <f t="shared" si="335"/>
        <v>0</v>
      </c>
      <c r="DX199" s="32">
        <f t="shared" si="336"/>
        <v>0</v>
      </c>
      <c r="DZ199" s="54" t="s">
        <v>1517</v>
      </c>
      <c r="EA199" s="39">
        <v>0</v>
      </c>
      <c r="EB199" s="40">
        <v>0</v>
      </c>
      <c r="EC199" s="39">
        <v>-8.3627892106651002E-17</v>
      </c>
      <c r="ED199" s="40">
        <v>0</v>
      </c>
      <c r="EE199" s="39">
        <v>-8.1519827992101612E-16</v>
      </c>
      <c r="EF199" s="40">
        <v>0</v>
      </c>
      <c r="EG199" s="39">
        <v>0</v>
      </c>
      <c r="EH199" s="40">
        <v>0</v>
      </c>
      <c r="EI199" s="66">
        <v>0</v>
      </c>
    </row>
    <row r="200" spans="1:151">
      <c r="A200" s="37" t="s">
        <v>1793</v>
      </c>
      <c r="B200" s="36" t="s">
        <v>1129</v>
      </c>
      <c r="C200" s="1" t="s">
        <v>1132</v>
      </c>
      <c r="D200" s="36" t="s">
        <v>1182</v>
      </c>
      <c r="E200" s="36" t="s">
        <v>1854</v>
      </c>
      <c r="F200" s="1" t="e">
        <f t="shared" ca="1" si="391"/>
        <v>#NAME?</v>
      </c>
      <c r="G200" s="35" t="s">
        <v>1109</v>
      </c>
      <c r="H200" s="34">
        <f t="shared" si="401"/>
        <v>0.91420244812187557</v>
      </c>
      <c r="I200" s="33">
        <v>8.5797551878124392E-2</v>
      </c>
      <c r="J200" s="26" t="e">
        <v>#REF!</v>
      </c>
      <c r="K200" s="25" t="e">
        <v>#REF!</v>
      </c>
      <c r="L200" s="24"/>
      <c r="M200" s="25"/>
      <c r="N200" s="24"/>
      <c r="O200" s="25"/>
      <c r="P200" s="24"/>
      <c r="Q200" s="25"/>
      <c r="R200" s="32"/>
      <c r="S200" s="31" t="e">
        <v>#REF!</v>
      </c>
      <c r="T200" s="29" t="e">
        <v>#REF!</v>
      </c>
      <c r="U200" s="30" t="e">
        <v>#REF!</v>
      </c>
      <c r="V200" s="29" t="e">
        <v>#REF!</v>
      </c>
      <c r="W200" s="30" t="e">
        <v>#REF!</v>
      </c>
      <c r="X200" s="29" t="e">
        <v>#REF!</v>
      </c>
      <c r="Y200" s="30" t="e">
        <v>#REF!</v>
      </c>
      <c r="Z200" s="29" t="e">
        <v>#REF!</v>
      </c>
      <c r="AA200" s="28" t="e">
        <v>#REF!</v>
      </c>
      <c r="AB200" s="26" t="e">
        <f t="shared" si="402"/>
        <v>#REF!</v>
      </c>
      <c r="AC200" s="25" t="e">
        <f t="shared" si="402"/>
        <v>#REF!</v>
      </c>
      <c r="AD200" s="24" t="e">
        <f t="shared" si="402"/>
        <v>#REF!</v>
      </c>
      <c r="AE200" s="25" t="e">
        <f t="shared" si="402"/>
        <v>#REF!</v>
      </c>
      <c r="AF200" s="24" t="e">
        <f t="shared" si="402"/>
        <v>#REF!</v>
      </c>
      <c r="AG200" s="25" t="e">
        <f t="shared" si="402"/>
        <v>#REF!</v>
      </c>
      <c r="AH200" s="24" t="e">
        <f t="shared" si="402"/>
        <v>#REF!</v>
      </c>
      <c r="AI200" s="25" t="e">
        <f t="shared" si="402"/>
        <v>#REF!</v>
      </c>
      <c r="AJ200" s="24" t="e">
        <f t="shared" si="402"/>
        <v>#REF!</v>
      </c>
      <c r="AK200" s="27" t="e">
        <f t="shared" ref="AK200:AK263" si="406">SUM(AB200:AJ200)</f>
        <v>#REF!</v>
      </c>
      <c r="AL200" s="26" t="e">
        <f t="shared" si="403"/>
        <v>#REF!</v>
      </c>
      <c r="AM200" s="25" t="e">
        <f t="shared" si="403"/>
        <v>#REF!</v>
      </c>
      <c r="AN200" s="24" t="e">
        <f t="shared" si="403"/>
        <v>#REF!</v>
      </c>
      <c r="AO200" s="25" t="e">
        <f t="shared" si="403"/>
        <v>#REF!</v>
      </c>
      <c r="AP200" s="24" t="e">
        <f t="shared" si="403"/>
        <v>#REF!</v>
      </c>
      <c r="AQ200" s="25" t="e">
        <f t="shared" si="403"/>
        <v>#REF!</v>
      </c>
      <c r="AR200" s="24" t="e">
        <f t="shared" si="403"/>
        <v>#REF!</v>
      </c>
      <c r="AS200" s="25" t="e">
        <f t="shared" si="403"/>
        <v>#REF!</v>
      </c>
      <c r="AT200" s="24" t="e">
        <f t="shared" si="403"/>
        <v>#REF!</v>
      </c>
      <c r="AU200" s="23" t="e">
        <f t="shared" si="404"/>
        <v>#REF!</v>
      </c>
      <c r="CS200" s="54" t="s">
        <v>1509</v>
      </c>
      <c r="CT200" s="39">
        <v>9.3203351852399682E-3</v>
      </c>
      <c r="CU200" s="40">
        <v>2.5655747021102616E-2</v>
      </c>
      <c r="CV200" s="39">
        <v>2.085231406772823E-2</v>
      </c>
      <c r="CW200" s="40">
        <v>1.4123768138614358E-2</v>
      </c>
      <c r="CX200" s="39">
        <v>7.1383478227929767E-3</v>
      </c>
      <c r="CY200" s="40">
        <v>6.2221099016179972E-3</v>
      </c>
      <c r="CZ200" s="39">
        <v>2.1615624481931616E-2</v>
      </c>
      <c r="DA200" s="40">
        <v>0</v>
      </c>
      <c r="DB200" s="39">
        <v>0</v>
      </c>
      <c r="DC200" s="38">
        <v>0.10492824661902776</v>
      </c>
      <c r="DE200" s="37" t="s">
        <v>1853</v>
      </c>
      <c r="DF200" s="35" t="str">
        <f t="shared" ref="DF200:DF263" si="407">LEFT(DE200,5)</f>
        <v>IMOFA</v>
      </c>
      <c r="DG200" s="26">
        <f t="shared" si="405"/>
        <v>9.4701036006085551E-2</v>
      </c>
      <c r="DH200" s="25">
        <f t="shared" si="405"/>
        <v>0.26068009080361271</v>
      </c>
      <c r="DI200" s="24">
        <f t="shared" si="405"/>
        <v>0.21187389789000305</v>
      </c>
      <c r="DJ200" s="25">
        <f t="shared" si="405"/>
        <v>0.14350722891969525</v>
      </c>
      <c r="DK200" s="24">
        <f t="shared" si="405"/>
        <v>7.2530538951091933E-2</v>
      </c>
      <c r="DL200" s="25">
        <f t="shared" si="405"/>
        <v>6.3220929517651944E-2</v>
      </c>
      <c r="DM200" s="24">
        <f t="shared" si="405"/>
        <v>0.21962965834095444</v>
      </c>
      <c r="DN200" s="25">
        <f t="shared" si="405"/>
        <v>0</v>
      </c>
      <c r="DO200" s="32">
        <f t="shared" si="405"/>
        <v>0</v>
      </c>
      <c r="DP200" s="26">
        <f t="shared" ref="DP200:DP263" si="408">IF(SUMIF($DF$8:$DF$380,"="&amp;$DF200,DG$8:DG$380)=0,0,DG200/SUMIF($DF$8:$DF$380,"="&amp;$DF200,DG$8:DG$380))</f>
        <v>5.7190905697047663E-2</v>
      </c>
      <c r="DQ200" s="25">
        <f t="shared" ref="DQ200:DQ263" si="409">IF(SUMIF($DF$8:$DF$380,"="&amp;$DF200,DH$8:DH$380)=0,0,DH200/SUMIF($DF$8:$DF$380,"="&amp;$DF200,DH$8:DH$380))</f>
        <v>5.7190905697047684E-2</v>
      </c>
      <c r="DR200" s="24">
        <f t="shared" ref="DR200:DR263" si="410">IF(SUMIF($DF$8:$DF$380,"="&amp;$DF200,DI$8:DI$380)=0,0,DI200/SUMIF($DF$8:$DF$380,"="&amp;$DF200,DI$8:DI$380))</f>
        <v>2.204670840101873E-2</v>
      </c>
      <c r="DS200" s="25">
        <f t="shared" ref="DS200:DS263" si="411">IF(SUMIF($DF$8:$DF$380,"="&amp;$DF200,DJ$8:DJ$380)=0,0,DJ200/SUMIF($DF$8:$DF$380,"="&amp;$DF200,DJ$8:DJ$380))</f>
        <v>2.204670840101873E-2</v>
      </c>
      <c r="DT200" s="24">
        <f t="shared" ref="DT200:DT263" si="412">IF(SUMIF($DF$8:$DF$380,"="&amp;$DF200,DK$8:DK$380)=0,0,DK200/SUMIF($DF$8:$DF$380,"="&amp;$DF200,DK$8:DK$380))</f>
        <v>3.1862348644862856E-2</v>
      </c>
      <c r="DU200" s="25">
        <f t="shared" ref="DU200:DU263" si="413">IF(SUMIF($DF$8:$DF$380,"="&amp;$DF200,DL$8:DL$380)=0,0,DL200/SUMIF($DF$8:$DF$380,"="&amp;$DF200,DL$8:DL$380))</f>
        <v>3.1862348644862863E-2</v>
      </c>
      <c r="DV200" s="24">
        <f t="shared" ref="DV200:DV263" si="414">IF(SUMIF($DF$8:$DF$380,"="&amp;$DF200,DM$8:DM$380)=0,0,DM200/SUMIF($DF$8:$DF$380,"="&amp;$DF200,DM$8:DM$380))</f>
        <v>3.1862348644862863E-2</v>
      </c>
      <c r="DW200" s="25">
        <f t="shared" ref="DW200:DW263" si="415">IF(SUMIF($DF$8:$DF$380,"="&amp;$DF200,DN$8:DN$380)=0,0,DN200/SUMIF($DF$8:$DF$380,"="&amp;$DF200,DN$8:DN$380))</f>
        <v>0</v>
      </c>
      <c r="DX200" s="32">
        <f t="shared" ref="DX200:DX263" si="416">IF(SUMIF($DF$8:$DF$380,"="&amp;$DF200,DO$8:DO$380)=0,0,DO200/SUMIF($DF$8:$DF$380,"="&amp;$DF200,DO$8:DO$380))</f>
        <v>0</v>
      </c>
      <c r="DZ200" s="54" t="s">
        <v>1460</v>
      </c>
      <c r="EA200" s="39">
        <v>3.029461855353641E-2</v>
      </c>
      <c r="EB200" s="40">
        <v>3.0294618553536417E-2</v>
      </c>
      <c r="EC200" s="39">
        <v>9.7386095834539624E-2</v>
      </c>
      <c r="ED200" s="40">
        <v>9.7386095834539624E-2</v>
      </c>
      <c r="EE200" s="39">
        <v>3.7334454617054119E-2</v>
      </c>
      <c r="EF200" s="40">
        <v>3.7334454617054119E-2</v>
      </c>
      <c r="EG200" s="39">
        <v>3.7334454617054119E-2</v>
      </c>
      <c r="EH200" s="40">
        <v>0</v>
      </c>
      <c r="EI200" s="66">
        <v>0</v>
      </c>
    </row>
    <row r="201" spans="1:151">
      <c r="A201" s="37" t="s">
        <v>1793</v>
      </c>
      <c r="B201" s="36" t="s">
        <v>1129</v>
      </c>
      <c r="C201" s="1" t="s">
        <v>1132</v>
      </c>
      <c r="D201" s="36" t="s">
        <v>1182</v>
      </c>
      <c r="E201" s="36" t="s">
        <v>1852</v>
      </c>
      <c r="F201" s="1" t="e">
        <f t="shared" ca="1" si="391"/>
        <v>#NAME?</v>
      </c>
      <c r="G201" s="35" t="s">
        <v>1109</v>
      </c>
      <c r="H201" s="34">
        <f t="shared" si="401"/>
        <v>0.50865199144007467</v>
      </c>
      <c r="I201" s="33">
        <v>0.49134800855992528</v>
      </c>
      <c r="J201" s="26">
        <v>0</v>
      </c>
      <c r="K201" s="25">
        <v>7.9489199999999999E-3</v>
      </c>
      <c r="L201" s="24"/>
      <c r="M201" s="25"/>
      <c r="N201" s="24"/>
      <c r="O201" s="25"/>
      <c r="P201" s="24"/>
      <c r="Q201" s="25"/>
      <c r="R201" s="32"/>
      <c r="S201" s="31" t="e">
        <v>#REF!</v>
      </c>
      <c r="T201" s="29" t="e">
        <v>#REF!</v>
      </c>
      <c r="U201" s="30" t="e">
        <v>#REF!</v>
      </c>
      <c r="V201" s="29" t="e">
        <v>#REF!</v>
      </c>
      <c r="W201" s="30" t="e">
        <v>#REF!</v>
      </c>
      <c r="X201" s="29" t="e">
        <v>#REF!</v>
      </c>
      <c r="Y201" s="30" t="e">
        <v>#REF!</v>
      </c>
      <c r="Z201" s="29" t="e">
        <v>#REF!</v>
      </c>
      <c r="AA201" s="28" t="e">
        <v>#REF!</v>
      </c>
      <c r="AB201" s="26" t="e">
        <f t="shared" si="402"/>
        <v>#REF!</v>
      </c>
      <c r="AC201" s="25" t="e">
        <f t="shared" si="402"/>
        <v>#REF!</v>
      </c>
      <c r="AD201" s="24" t="e">
        <f t="shared" si="402"/>
        <v>#REF!</v>
      </c>
      <c r="AE201" s="25" t="e">
        <f t="shared" si="402"/>
        <v>#REF!</v>
      </c>
      <c r="AF201" s="24" t="e">
        <f t="shared" si="402"/>
        <v>#REF!</v>
      </c>
      <c r="AG201" s="25" t="e">
        <f t="shared" si="402"/>
        <v>#REF!</v>
      </c>
      <c r="AH201" s="24" t="e">
        <f t="shared" si="402"/>
        <v>#REF!</v>
      </c>
      <c r="AI201" s="25" t="e">
        <f t="shared" si="402"/>
        <v>#REF!</v>
      </c>
      <c r="AJ201" s="24" t="e">
        <f t="shared" si="402"/>
        <v>#REF!</v>
      </c>
      <c r="AK201" s="27" t="e">
        <f t="shared" si="406"/>
        <v>#REF!</v>
      </c>
      <c r="AL201" s="26" t="e">
        <f t="shared" si="403"/>
        <v>#REF!</v>
      </c>
      <c r="AM201" s="25" t="e">
        <f t="shared" si="403"/>
        <v>#REF!</v>
      </c>
      <c r="AN201" s="24" t="e">
        <f t="shared" si="403"/>
        <v>#REF!</v>
      </c>
      <c r="AO201" s="25" t="e">
        <f t="shared" si="403"/>
        <v>#REF!</v>
      </c>
      <c r="AP201" s="24" t="e">
        <f t="shared" si="403"/>
        <v>#REF!</v>
      </c>
      <c r="AQ201" s="25" t="e">
        <f t="shared" si="403"/>
        <v>#REF!</v>
      </c>
      <c r="AR201" s="24" t="e">
        <f t="shared" si="403"/>
        <v>#REF!</v>
      </c>
      <c r="AS201" s="25" t="e">
        <f t="shared" si="403"/>
        <v>#REF!</v>
      </c>
      <c r="AT201" s="24" t="e">
        <f t="shared" si="403"/>
        <v>#REF!</v>
      </c>
      <c r="AU201" s="23" t="e">
        <f t="shared" si="404"/>
        <v>#REF!</v>
      </c>
      <c r="CS201" s="54" t="s">
        <v>1507</v>
      </c>
      <c r="CT201" s="39">
        <v>4.7145027774242356</v>
      </c>
      <c r="CU201" s="40">
        <v>12.977439993727829</v>
      </c>
      <c r="CV201" s="39">
        <v>24.259757665211154</v>
      </c>
      <c r="CW201" s="40">
        <v>16.431710708438597</v>
      </c>
      <c r="CX201" s="39">
        <v>5.2356435636141052</v>
      </c>
      <c r="CY201" s="40">
        <v>4.5636259912254813</v>
      </c>
      <c r="CZ201" s="39">
        <v>15.854047463330909</v>
      </c>
      <c r="DA201" s="40">
        <v>11.961027817086059</v>
      </c>
      <c r="DB201" s="39">
        <v>7.5001092311812174</v>
      </c>
      <c r="DC201" s="38">
        <v>103.49786521123958</v>
      </c>
      <c r="DE201" s="37" t="s">
        <v>1851</v>
      </c>
      <c r="DF201" s="35" t="str">
        <f t="shared" si="407"/>
        <v>IMOFA</v>
      </c>
      <c r="DG201" s="26">
        <f t="shared" si="405"/>
        <v>0.58855456991011323</v>
      </c>
      <c r="DH201" s="25">
        <f t="shared" si="405"/>
        <v>1.6200927170130468</v>
      </c>
      <c r="DI201" s="24">
        <f t="shared" si="405"/>
        <v>4.4205803087755244</v>
      </c>
      <c r="DJ201" s="25">
        <f t="shared" si="405"/>
        <v>2.9941641544665174</v>
      </c>
      <c r="DK201" s="24">
        <f t="shared" si="405"/>
        <v>1.1269195659846181</v>
      </c>
      <c r="DL201" s="25">
        <f t="shared" si="405"/>
        <v>0.98227454922425983</v>
      </c>
      <c r="DM201" s="24">
        <f t="shared" si="405"/>
        <v>3.4124241020990254</v>
      </c>
      <c r="DN201" s="25">
        <f t="shared" si="405"/>
        <v>1.4544201369576464</v>
      </c>
      <c r="DO201" s="32">
        <f t="shared" si="405"/>
        <v>0.91198767046002671</v>
      </c>
      <c r="DP201" s="26">
        <f t="shared" si="408"/>
        <v>0.35543400922385604</v>
      </c>
      <c r="DQ201" s="25">
        <f t="shared" si="409"/>
        <v>0.3554340092238561</v>
      </c>
      <c r="DR201" s="24">
        <f t="shared" si="410"/>
        <v>0.45998703002791075</v>
      </c>
      <c r="DS201" s="25">
        <f t="shared" si="411"/>
        <v>0.45998703002791064</v>
      </c>
      <c r="DT201" s="24">
        <f t="shared" si="412"/>
        <v>0.49505083824527224</v>
      </c>
      <c r="DU201" s="25">
        <f t="shared" si="413"/>
        <v>0.4950508382452723</v>
      </c>
      <c r="DV201" s="24">
        <f t="shared" si="414"/>
        <v>0.49505083824527224</v>
      </c>
      <c r="DW201" s="25">
        <f t="shared" si="415"/>
        <v>0.37308319914119692</v>
      </c>
      <c r="DX201" s="32">
        <f t="shared" si="416"/>
        <v>0.37308319914119692</v>
      </c>
      <c r="DZ201" s="54" t="s">
        <v>1475</v>
      </c>
      <c r="EA201" s="39">
        <v>0</v>
      </c>
      <c r="EB201" s="40">
        <v>0</v>
      </c>
      <c r="EC201" s="39">
        <v>9.0678123577888056E-2</v>
      </c>
      <c r="ED201" s="40">
        <v>9.0678123577888042E-2</v>
      </c>
      <c r="EE201" s="39">
        <v>0.10428855147546415</v>
      </c>
      <c r="EF201" s="40">
        <v>0.10428855147546415</v>
      </c>
      <c r="EG201" s="39">
        <v>0.10428855147546416</v>
      </c>
      <c r="EH201" s="40">
        <v>0</v>
      </c>
      <c r="EI201" s="66">
        <v>0</v>
      </c>
    </row>
    <row r="202" spans="1:151">
      <c r="A202" s="37" t="s">
        <v>1793</v>
      </c>
      <c r="B202" s="36" t="s">
        <v>1129</v>
      </c>
      <c r="C202" s="1" t="s">
        <v>1111</v>
      </c>
      <c r="D202" s="36" t="s">
        <v>1111</v>
      </c>
      <c r="E202" s="36" t="s">
        <v>1850</v>
      </c>
      <c r="F202" s="1" t="e">
        <f t="shared" ca="1" si="391"/>
        <v>#NAME?</v>
      </c>
      <c r="G202" s="35" t="s">
        <v>1121</v>
      </c>
      <c r="H202" s="43">
        <v>1</v>
      </c>
      <c r="I202" s="42">
        <v>0</v>
      </c>
      <c r="J202" s="26">
        <v>0</v>
      </c>
      <c r="K202" s="25">
        <v>9.6741377856191191E-2</v>
      </c>
      <c r="L202" s="24"/>
      <c r="M202" s="25"/>
      <c r="N202" s="24"/>
      <c r="O202" s="25"/>
      <c r="P202" s="24"/>
      <c r="Q202" s="25"/>
      <c r="R202" s="32"/>
      <c r="S202" s="47">
        <v>1</v>
      </c>
      <c r="T202" s="45">
        <v>1</v>
      </c>
      <c r="U202" s="46">
        <v>1</v>
      </c>
      <c r="V202" s="45">
        <v>1</v>
      </c>
      <c r="W202" s="46">
        <v>1</v>
      </c>
      <c r="X202" s="45">
        <v>1</v>
      </c>
      <c r="Y202" s="46">
        <v>1</v>
      </c>
      <c r="Z202" s="45">
        <v>1</v>
      </c>
      <c r="AA202" s="44">
        <v>1</v>
      </c>
      <c r="AB202" s="26">
        <f t="shared" ref="AB202:AB210" si="417">J202*$H202*S202</f>
        <v>0</v>
      </c>
      <c r="AC202" s="25">
        <f t="shared" ref="AC202:AC210" si="418">K202*$H202*T202</f>
        <v>9.6741377856191191E-2</v>
      </c>
      <c r="AD202" s="24">
        <f t="shared" ref="AD202:AD210" si="419">L202*$H202*U202</f>
        <v>0</v>
      </c>
      <c r="AE202" s="25">
        <f t="shared" ref="AE202:AE210" si="420">M202*$H202*V202</f>
        <v>0</v>
      </c>
      <c r="AF202" s="24">
        <f t="shared" ref="AF202:AF210" si="421">N202*$H202*W202</f>
        <v>0</v>
      </c>
      <c r="AG202" s="25">
        <f t="shared" ref="AG202:AG210" si="422">O202*$H202*X202</f>
        <v>0</v>
      </c>
      <c r="AH202" s="24">
        <f t="shared" ref="AH202:AH210" si="423">P202*$H202*Y202</f>
        <v>0</v>
      </c>
      <c r="AI202" s="25">
        <f t="shared" ref="AI202:AI210" si="424">Q202*$H202*Z202</f>
        <v>0</v>
      </c>
      <c r="AJ202" s="24">
        <f t="shared" ref="AJ202:AJ210" si="425">R202*$H202*AA202</f>
        <v>0</v>
      </c>
      <c r="AK202" s="27">
        <f t="shared" si="406"/>
        <v>9.6741377856191191E-2</v>
      </c>
      <c r="AL202" s="41">
        <v>0</v>
      </c>
      <c r="AM202" s="40">
        <v>0</v>
      </c>
      <c r="AN202" s="39">
        <v>0</v>
      </c>
      <c r="AO202" s="40">
        <v>0</v>
      </c>
      <c r="AP202" s="39">
        <v>0</v>
      </c>
      <c r="AQ202" s="40">
        <v>0</v>
      </c>
      <c r="AR202" s="39">
        <v>0</v>
      </c>
      <c r="AS202" s="40">
        <v>0</v>
      </c>
      <c r="AT202" s="39">
        <v>0</v>
      </c>
      <c r="AU202" s="38">
        <v>0</v>
      </c>
      <c r="CS202" s="54" t="s">
        <v>1849</v>
      </c>
      <c r="CT202" s="39">
        <v>0</v>
      </c>
      <c r="CU202" s="40">
        <v>0</v>
      </c>
      <c r="CV202" s="39">
        <v>0</v>
      </c>
      <c r="CW202" s="40">
        <v>0</v>
      </c>
      <c r="CX202" s="39">
        <v>0</v>
      </c>
      <c r="CY202" s="40">
        <v>0</v>
      </c>
      <c r="CZ202" s="39">
        <v>0</v>
      </c>
      <c r="DA202" s="40">
        <v>0</v>
      </c>
      <c r="DB202" s="39">
        <v>0</v>
      </c>
      <c r="DC202" s="38">
        <v>0</v>
      </c>
      <c r="DE202" s="37" t="s">
        <v>1848</v>
      </c>
      <c r="DF202" s="35" t="str">
        <f t="shared" si="407"/>
        <v>IMOFA</v>
      </c>
      <c r="DG202" s="26">
        <f t="shared" si="405"/>
        <v>9.3203351852399682E-3</v>
      </c>
      <c r="DH202" s="25">
        <f t="shared" si="405"/>
        <v>2.5655747021102616E-2</v>
      </c>
      <c r="DI202" s="24">
        <f t="shared" si="405"/>
        <v>2.085231406772823E-2</v>
      </c>
      <c r="DJ202" s="25">
        <f t="shared" si="405"/>
        <v>1.4123768138614358E-2</v>
      </c>
      <c r="DK202" s="24">
        <f t="shared" si="405"/>
        <v>7.1383478227929767E-3</v>
      </c>
      <c r="DL202" s="25">
        <f t="shared" si="405"/>
        <v>6.2221099016179972E-3</v>
      </c>
      <c r="DM202" s="24">
        <f t="shared" si="405"/>
        <v>2.1615624481931616E-2</v>
      </c>
      <c r="DN202" s="25">
        <f t="shared" si="405"/>
        <v>0</v>
      </c>
      <c r="DO202" s="32">
        <f t="shared" si="405"/>
        <v>0</v>
      </c>
      <c r="DP202" s="26">
        <f t="shared" si="408"/>
        <v>5.6286439211676725E-3</v>
      </c>
      <c r="DQ202" s="25">
        <f t="shared" si="409"/>
        <v>5.6286439211676734E-3</v>
      </c>
      <c r="DR202" s="24">
        <f t="shared" si="410"/>
        <v>2.1698042671416599E-3</v>
      </c>
      <c r="DS202" s="25">
        <f t="shared" si="411"/>
        <v>2.1698042671416604E-3</v>
      </c>
      <c r="DT202" s="24">
        <f t="shared" si="412"/>
        <v>3.1358449884330191E-3</v>
      </c>
      <c r="DU202" s="25">
        <f t="shared" si="413"/>
        <v>3.1358449884330191E-3</v>
      </c>
      <c r="DV202" s="24">
        <f t="shared" si="414"/>
        <v>3.1358449884330195E-3</v>
      </c>
      <c r="DW202" s="25">
        <f t="shared" si="415"/>
        <v>0</v>
      </c>
      <c r="DX202" s="32">
        <f t="shared" si="416"/>
        <v>0</v>
      </c>
      <c r="DZ202" s="54" t="s">
        <v>1470</v>
      </c>
      <c r="EA202" s="39">
        <v>0.42732639955689083</v>
      </c>
      <c r="EB202" s="40">
        <v>0.427326399556891</v>
      </c>
      <c r="EC202" s="39">
        <v>0.25566041676899182</v>
      </c>
      <c r="ED202" s="40">
        <v>0.25566041676899176</v>
      </c>
      <c r="EE202" s="39">
        <v>0.50029671575483137</v>
      </c>
      <c r="EF202" s="40">
        <v>0.50029671575483137</v>
      </c>
      <c r="EG202" s="39">
        <v>0.50029671575483137</v>
      </c>
      <c r="EH202" s="40">
        <v>0.51470442380766968</v>
      </c>
      <c r="EI202" s="66">
        <v>0.51470442380766968</v>
      </c>
    </row>
    <row r="203" spans="1:151">
      <c r="A203" s="37" t="s">
        <v>1793</v>
      </c>
      <c r="B203" s="36" t="s">
        <v>1123</v>
      </c>
      <c r="C203" s="1" t="s">
        <v>1120</v>
      </c>
      <c r="D203" s="36" t="s">
        <v>1120</v>
      </c>
      <c r="E203" s="36" t="s">
        <v>1847</v>
      </c>
      <c r="F203" s="1" t="e">
        <f t="shared" ca="1" si="391"/>
        <v>#NAME?</v>
      </c>
      <c r="G203" s="35" t="s">
        <v>1121</v>
      </c>
      <c r="H203" s="43">
        <v>1</v>
      </c>
      <c r="I203" s="42">
        <v>0</v>
      </c>
      <c r="J203" s="26">
        <v>0.37839277917580866</v>
      </c>
      <c r="K203" s="25">
        <v>0.31874157624236943</v>
      </c>
      <c r="L203" s="24"/>
      <c r="M203" s="25"/>
      <c r="N203" s="24"/>
      <c r="O203" s="25"/>
      <c r="P203" s="24"/>
      <c r="Q203" s="25"/>
      <c r="R203" s="32"/>
      <c r="S203" s="47">
        <v>1</v>
      </c>
      <c r="T203" s="45">
        <v>1</v>
      </c>
      <c r="U203" s="46">
        <v>1</v>
      </c>
      <c r="V203" s="45">
        <v>1</v>
      </c>
      <c r="W203" s="46">
        <v>1</v>
      </c>
      <c r="X203" s="45">
        <v>1</v>
      </c>
      <c r="Y203" s="46">
        <v>1</v>
      </c>
      <c r="Z203" s="45">
        <v>1</v>
      </c>
      <c r="AA203" s="44">
        <v>1</v>
      </c>
      <c r="AB203" s="26">
        <f t="shared" si="417"/>
        <v>0.37839277917580866</v>
      </c>
      <c r="AC203" s="25">
        <f t="shared" si="418"/>
        <v>0.31874157624236943</v>
      </c>
      <c r="AD203" s="24">
        <f t="shared" si="419"/>
        <v>0</v>
      </c>
      <c r="AE203" s="25">
        <f t="shared" si="420"/>
        <v>0</v>
      </c>
      <c r="AF203" s="24">
        <f t="shared" si="421"/>
        <v>0</v>
      </c>
      <c r="AG203" s="25">
        <f t="shared" si="422"/>
        <v>0</v>
      </c>
      <c r="AH203" s="24">
        <f t="shared" si="423"/>
        <v>0</v>
      </c>
      <c r="AI203" s="25">
        <f t="shared" si="424"/>
        <v>0</v>
      </c>
      <c r="AJ203" s="24">
        <f t="shared" si="425"/>
        <v>0</v>
      </c>
      <c r="AK203" s="27">
        <f t="shared" si="406"/>
        <v>0.69713435541817814</v>
      </c>
      <c r="AL203" s="41">
        <v>0</v>
      </c>
      <c r="AM203" s="40">
        <v>0</v>
      </c>
      <c r="AN203" s="39">
        <v>0</v>
      </c>
      <c r="AO203" s="40">
        <v>0</v>
      </c>
      <c r="AP203" s="39">
        <v>0</v>
      </c>
      <c r="AQ203" s="40">
        <v>0</v>
      </c>
      <c r="AR203" s="39">
        <v>0</v>
      </c>
      <c r="AS203" s="40">
        <v>0</v>
      </c>
      <c r="AT203" s="39">
        <v>0</v>
      </c>
      <c r="AU203" s="38">
        <v>0</v>
      </c>
      <c r="CS203" s="54" t="s">
        <v>1846</v>
      </c>
      <c r="CT203" s="39">
        <v>3.9236971327340879E-2</v>
      </c>
      <c r="CU203" s="40">
        <v>0.10800618113420313</v>
      </c>
      <c r="CV203" s="39">
        <v>0.29470535391836827</v>
      </c>
      <c r="CW203" s="40">
        <v>0.19961094363110116</v>
      </c>
      <c r="CX203" s="39">
        <v>7.5127971065641203E-2</v>
      </c>
      <c r="CY203" s="40">
        <v>6.5484969948283997E-2</v>
      </c>
      <c r="CZ203" s="39">
        <v>0.22749494013993504</v>
      </c>
      <c r="DA203" s="40">
        <v>9.6961342463843095E-2</v>
      </c>
      <c r="DB203" s="39">
        <v>6.0799178030668449E-2</v>
      </c>
      <c r="DC203" s="38">
        <v>1.1674278516593852</v>
      </c>
      <c r="DE203" s="37" t="s">
        <v>1845</v>
      </c>
      <c r="DF203" s="35" t="str">
        <f t="shared" si="407"/>
        <v>IMOFA</v>
      </c>
      <c r="DG203" s="26">
        <f t="shared" si="405"/>
        <v>0.96329984634870203</v>
      </c>
      <c r="DH203" s="25">
        <f t="shared" si="405"/>
        <v>2.6516403833338114</v>
      </c>
      <c r="DI203" s="24">
        <f t="shared" si="405"/>
        <v>4.9569216383243946</v>
      </c>
      <c r="DJ203" s="25">
        <f t="shared" si="405"/>
        <v>3.3574408899453863</v>
      </c>
      <c r="DK203" s="24">
        <f t="shared" si="405"/>
        <v>1.0697829396807668</v>
      </c>
      <c r="DL203" s="25">
        <f t="shared" si="405"/>
        <v>0.93247165686097588</v>
      </c>
      <c r="DM203" s="24">
        <f t="shared" si="405"/>
        <v>3.2394087364979023</v>
      </c>
      <c r="DN203" s="25">
        <f t="shared" si="405"/>
        <v>2.4439600107026802</v>
      </c>
      <c r="DO203" s="32">
        <f t="shared" si="405"/>
        <v>1.5324742419480852</v>
      </c>
      <c r="DP203" s="26">
        <f t="shared" si="408"/>
        <v>0.58174644115792862</v>
      </c>
      <c r="DQ203" s="25">
        <f t="shared" si="409"/>
        <v>0.58174644115792873</v>
      </c>
      <c r="DR203" s="24">
        <f t="shared" si="410"/>
        <v>0.51579645730392887</v>
      </c>
      <c r="DS203" s="25">
        <f t="shared" si="411"/>
        <v>0.51579645730392887</v>
      </c>
      <c r="DT203" s="24">
        <f t="shared" si="412"/>
        <v>0.46995096812143189</v>
      </c>
      <c r="DU203" s="25">
        <f t="shared" si="413"/>
        <v>0.46995096812143189</v>
      </c>
      <c r="DV203" s="24">
        <f t="shared" si="414"/>
        <v>0.46995096812143183</v>
      </c>
      <c r="DW203" s="25">
        <f t="shared" si="415"/>
        <v>0.62691680085880308</v>
      </c>
      <c r="DX203" s="32">
        <f t="shared" si="416"/>
        <v>0.62691680085880297</v>
      </c>
      <c r="DZ203" s="54" t="s">
        <v>1465</v>
      </c>
      <c r="EA203" s="39">
        <v>0.54237898188957268</v>
      </c>
      <c r="EB203" s="40">
        <v>0.54237898188957279</v>
      </c>
      <c r="EC203" s="39">
        <v>0.55627536381858067</v>
      </c>
      <c r="ED203" s="40">
        <v>0.55627536381858056</v>
      </c>
      <c r="EE203" s="39">
        <v>0.35808027815265037</v>
      </c>
      <c r="EF203" s="40">
        <v>0.35808027815265037</v>
      </c>
      <c r="EG203" s="39">
        <v>0.35808027815265042</v>
      </c>
      <c r="EH203" s="40">
        <v>0.48529557619233038</v>
      </c>
      <c r="EI203" s="66">
        <v>0.48529557619233038</v>
      </c>
    </row>
    <row r="204" spans="1:151">
      <c r="A204" s="37" t="s">
        <v>1793</v>
      </c>
      <c r="B204" s="36" t="s">
        <v>1123</v>
      </c>
      <c r="C204" s="1" t="s">
        <v>1126</v>
      </c>
      <c r="D204" s="36" t="s">
        <v>1126</v>
      </c>
      <c r="E204" s="36" t="s">
        <v>1844</v>
      </c>
      <c r="F204" s="1" t="e">
        <f t="shared" ca="1" si="391"/>
        <v>#NAME?</v>
      </c>
      <c r="G204" s="35" t="s">
        <v>1121</v>
      </c>
      <c r="H204" s="43">
        <v>1</v>
      </c>
      <c r="I204" s="42">
        <v>0</v>
      </c>
      <c r="J204" s="26">
        <v>26.697315556900911</v>
      </c>
      <c r="K204" s="25">
        <v>16.903024722452194</v>
      </c>
      <c r="L204" s="24"/>
      <c r="M204" s="25"/>
      <c r="N204" s="24"/>
      <c r="O204" s="25"/>
      <c r="P204" s="24"/>
      <c r="Q204" s="25"/>
      <c r="R204" s="32"/>
      <c r="S204" s="47">
        <v>1</v>
      </c>
      <c r="T204" s="45">
        <v>1</v>
      </c>
      <c r="U204" s="46">
        <v>1</v>
      </c>
      <c r="V204" s="45">
        <v>1</v>
      </c>
      <c r="W204" s="46">
        <v>1</v>
      </c>
      <c r="X204" s="45">
        <v>1</v>
      </c>
      <c r="Y204" s="46">
        <v>1</v>
      </c>
      <c r="Z204" s="45">
        <v>1</v>
      </c>
      <c r="AA204" s="44">
        <v>1</v>
      </c>
      <c r="AB204" s="26">
        <f t="shared" si="417"/>
        <v>26.697315556900911</v>
      </c>
      <c r="AC204" s="25">
        <f t="shared" si="418"/>
        <v>16.903024722452194</v>
      </c>
      <c r="AD204" s="24">
        <f t="shared" si="419"/>
        <v>0</v>
      </c>
      <c r="AE204" s="25">
        <f t="shared" si="420"/>
        <v>0</v>
      </c>
      <c r="AF204" s="24">
        <f t="shared" si="421"/>
        <v>0</v>
      </c>
      <c r="AG204" s="25">
        <f t="shared" si="422"/>
        <v>0</v>
      </c>
      <c r="AH204" s="24">
        <f t="shared" si="423"/>
        <v>0</v>
      </c>
      <c r="AI204" s="25">
        <f t="shared" si="424"/>
        <v>0</v>
      </c>
      <c r="AJ204" s="24">
        <f t="shared" si="425"/>
        <v>0</v>
      </c>
      <c r="AK204" s="27">
        <f t="shared" si="406"/>
        <v>43.600340279353105</v>
      </c>
      <c r="AL204" s="41">
        <v>0</v>
      </c>
      <c r="AM204" s="40">
        <v>0</v>
      </c>
      <c r="AN204" s="39">
        <v>0</v>
      </c>
      <c r="AO204" s="40">
        <v>0</v>
      </c>
      <c r="AP204" s="39">
        <v>0</v>
      </c>
      <c r="AQ204" s="40">
        <v>0</v>
      </c>
      <c r="AR204" s="39">
        <v>0</v>
      </c>
      <c r="AS204" s="40">
        <v>0</v>
      </c>
      <c r="AT204" s="39">
        <v>0</v>
      </c>
      <c r="AU204" s="38">
        <v>0</v>
      </c>
      <c r="CS204" s="54" t="s">
        <v>1843</v>
      </c>
      <c r="CT204" s="39">
        <v>0</v>
      </c>
      <c r="CU204" s="40">
        <v>1.1849013863281961</v>
      </c>
      <c r="CV204" s="39">
        <v>2.1344348736462946</v>
      </c>
      <c r="CW204" s="40">
        <v>0</v>
      </c>
      <c r="CX204" s="39">
        <v>0.16332703518401226</v>
      </c>
      <c r="CY204" s="40">
        <v>0</v>
      </c>
      <c r="CZ204" s="39">
        <v>0</v>
      </c>
      <c r="DA204" s="40">
        <v>0.13928064199288731</v>
      </c>
      <c r="DB204" s="39">
        <v>0.33386389183589166</v>
      </c>
      <c r="DC204" s="38">
        <v>3.955807828987282</v>
      </c>
      <c r="DE204" s="37" t="s">
        <v>1768</v>
      </c>
      <c r="DF204" s="35" t="str">
        <f t="shared" si="407"/>
        <v>INOFA</v>
      </c>
      <c r="DG204" s="26">
        <f t="shared" si="405"/>
        <v>0.12712560617959778</v>
      </c>
      <c r="DH204" s="25">
        <f t="shared" si="405"/>
        <v>0.34993402353309327</v>
      </c>
      <c r="DI204" s="24">
        <f t="shared" si="405"/>
        <v>0.42662570821036222</v>
      </c>
      <c r="DJ204" s="25">
        <f t="shared" si="405"/>
        <v>0.28896373635867451</v>
      </c>
      <c r="DK204" s="24">
        <f t="shared" si="405"/>
        <v>0.48682090078180223</v>
      </c>
      <c r="DL204" s="25">
        <f t="shared" si="405"/>
        <v>0.42433532552128927</v>
      </c>
      <c r="DM204" s="24">
        <f t="shared" si="405"/>
        <v>1.4741419222603644</v>
      </c>
      <c r="DN204" s="25">
        <f t="shared" si="405"/>
        <v>0.87961820841968508</v>
      </c>
      <c r="DO204" s="32">
        <f t="shared" si="405"/>
        <v>0.55156068071838826</v>
      </c>
      <c r="DP204" s="26">
        <f t="shared" si="408"/>
        <v>0.18710458223393969</v>
      </c>
      <c r="DQ204" s="25">
        <f t="shared" si="409"/>
        <v>0.18710458223393972</v>
      </c>
      <c r="DR204" s="24">
        <f t="shared" si="410"/>
        <v>0.15489136652960711</v>
      </c>
      <c r="DS204" s="25">
        <f t="shared" si="411"/>
        <v>0.15489136652960711</v>
      </c>
      <c r="DT204" s="24">
        <f t="shared" si="412"/>
        <v>0.19290315354167084</v>
      </c>
      <c r="DU204" s="25">
        <f t="shared" si="413"/>
        <v>0.19290315354167087</v>
      </c>
      <c r="DV204" s="24">
        <f t="shared" si="414"/>
        <v>0.19290315354167087</v>
      </c>
      <c r="DW204" s="25">
        <f t="shared" si="415"/>
        <v>0.32286029581756304</v>
      </c>
      <c r="DX204" s="32">
        <f t="shared" si="416"/>
        <v>0.32286029581756309</v>
      </c>
      <c r="DZ204" s="54" t="s">
        <v>1441</v>
      </c>
      <c r="EA204" s="39">
        <v>3.8303245821337483E-3</v>
      </c>
      <c r="EB204" s="40">
        <v>3.6260194748330547E-3</v>
      </c>
      <c r="EC204" s="39">
        <v>2.2653463784517752E-3</v>
      </c>
      <c r="ED204" s="40">
        <v>2.2653463784517752E-3</v>
      </c>
      <c r="EE204" s="39">
        <v>0</v>
      </c>
      <c r="EF204" s="40">
        <v>0</v>
      </c>
      <c r="EG204" s="39">
        <v>0</v>
      </c>
      <c r="EH204" s="40">
        <v>8.4816646106961824E-2</v>
      </c>
      <c r="EI204" s="66">
        <v>8.4816646106961824E-2</v>
      </c>
    </row>
    <row r="205" spans="1:151">
      <c r="A205" s="37" t="s">
        <v>1793</v>
      </c>
      <c r="B205" s="36" t="s">
        <v>1123</v>
      </c>
      <c r="C205" s="1" t="s">
        <v>456</v>
      </c>
      <c r="D205" s="36" t="s">
        <v>456</v>
      </c>
      <c r="E205" s="36" t="s">
        <v>1842</v>
      </c>
      <c r="F205" s="1" t="e">
        <f t="shared" ca="1" si="391"/>
        <v>#NAME?</v>
      </c>
      <c r="G205" s="35" t="s">
        <v>1121</v>
      </c>
      <c r="H205" s="43">
        <v>1</v>
      </c>
      <c r="I205" s="42">
        <v>0</v>
      </c>
      <c r="J205" s="26">
        <v>1.4236758283723274</v>
      </c>
      <c r="K205" s="25">
        <v>0.65958333882607112</v>
      </c>
      <c r="L205" s="24"/>
      <c r="M205" s="25"/>
      <c r="N205" s="24"/>
      <c r="O205" s="25"/>
      <c r="P205" s="24"/>
      <c r="Q205" s="25"/>
      <c r="R205" s="32"/>
      <c r="S205" s="47">
        <v>1</v>
      </c>
      <c r="T205" s="45">
        <v>1</v>
      </c>
      <c r="U205" s="46">
        <v>1</v>
      </c>
      <c r="V205" s="45">
        <v>1</v>
      </c>
      <c r="W205" s="46">
        <v>1</v>
      </c>
      <c r="X205" s="45">
        <v>1</v>
      </c>
      <c r="Y205" s="46">
        <v>1</v>
      </c>
      <c r="Z205" s="45">
        <v>1</v>
      </c>
      <c r="AA205" s="44">
        <v>1</v>
      </c>
      <c r="AB205" s="26">
        <f t="shared" si="417"/>
        <v>1.4236758283723274</v>
      </c>
      <c r="AC205" s="25">
        <f t="shared" si="418"/>
        <v>0.65958333882607112</v>
      </c>
      <c r="AD205" s="24">
        <f t="shared" si="419"/>
        <v>0</v>
      </c>
      <c r="AE205" s="25">
        <f t="shared" si="420"/>
        <v>0</v>
      </c>
      <c r="AF205" s="24">
        <f t="shared" si="421"/>
        <v>0</v>
      </c>
      <c r="AG205" s="25">
        <f t="shared" si="422"/>
        <v>0</v>
      </c>
      <c r="AH205" s="24">
        <f t="shared" si="423"/>
        <v>0</v>
      </c>
      <c r="AI205" s="25">
        <f t="shared" si="424"/>
        <v>0</v>
      </c>
      <c r="AJ205" s="24">
        <f t="shared" si="425"/>
        <v>0</v>
      </c>
      <c r="AK205" s="27">
        <f t="shared" si="406"/>
        <v>2.0832591671983987</v>
      </c>
      <c r="AL205" s="41">
        <v>0</v>
      </c>
      <c r="AM205" s="40">
        <v>0</v>
      </c>
      <c r="AN205" s="39">
        <v>0</v>
      </c>
      <c r="AO205" s="40">
        <v>0</v>
      </c>
      <c r="AP205" s="39">
        <v>0</v>
      </c>
      <c r="AQ205" s="40">
        <v>0</v>
      </c>
      <c r="AR205" s="39">
        <v>0</v>
      </c>
      <c r="AS205" s="40">
        <v>0</v>
      </c>
      <c r="AT205" s="39">
        <v>0</v>
      </c>
      <c r="AU205" s="38">
        <v>0</v>
      </c>
      <c r="CS205" s="54" t="s">
        <v>1841</v>
      </c>
      <c r="CT205" s="39">
        <v>0.19822180630070857</v>
      </c>
      <c r="CU205" s="40">
        <v>0.22189717027508163</v>
      </c>
      <c r="CV205" s="39">
        <v>0.40081731464698139</v>
      </c>
      <c r="CW205" s="40">
        <v>0</v>
      </c>
      <c r="CX205" s="39">
        <v>0</v>
      </c>
      <c r="CY205" s="40">
        <v>0</v>
      </c>
      <c r="CZ205" s="39">
        <v>1.247373802950217</v>
      </c>
      <c r="DA205" s="40">
        <v>9.3177871200440521</v>
      </c>
      <c r="DB205" s="39">
        <v>1.7976548955980991E-2</v>
      </c>
      <c r="DC205" s="38">
        <v>11.40407376317302</v>
      </c>
      <c r="DE205" s="37" t="s">
        <v>1766</v>
      </c>
      <c r="DF205" s="35" t="str">
        <f t="shared" si="407"/>
        <v>INOFA</v>
      </c>
      <c r="DG205" s="26">
        <f t="shared" si="405"/>
        <v>0.18895648419901112</v>
      </c>
      <c r="DH205" s="25">
        <f t="shared" si="405"/>
        <v>0.52013362827165188</v>
      </c>
      <c r="DI205" s="24">
        <f t="shared" si="405"/>
        <v>0.63412632840039751</v>
      </c>
      <c r="DJ205" s="25">
        <f t="shared" si="405"/>
        <v>0.42950884030559705</v>
      </c>
      <c r="DK205" s="24">
        <f t="shared" si="405"/>
        <v>0.6150591790210459</v>
      </c>
      <c r="DL205" s="25">
        <f t="shared" si="405"/>
        <v>0.53611366423589779</v>
      </c>
      <c r="DM205" s="24">
        <f t="shared" si="405"/>
        <v>1.8624601347433742</v>
      </c>
      <c r="DN205" s="25">
        <f t="shared" si="405"/>
        <v>0.54476817946497058</v>
      </c>
      <c r="DO205" s="32">
        <f t="shared" si="405"/>
        <v>0.34159446112335834</v>
      </c>
      <c r="DP205" s="26">
        <f t="shared" si="408"/>
        <v>0.27810781084105479</v>
      </c>
      <c r="DQ205" s="25">
        <f t="shared" si="409"/>
        <v>0.27810781084105479</v>
      </c>
      <c r="DR205" s="24">
        <f t="shared" si="410"/>
        <v>0.23022685147213148</v>
      </c>
      <c r="DS205" s="25">
        <f t="shared" si="411"/>
        <v>0.23022685147213151</v>
      </c>
      <c r="DT205" s="24">
        <f t="shared" si="412"/>
        <v>0.24371766918259224</v>
      </c>
      <c r="DU205" s="25">
        <f t="shared" si="413"/>
        <v>0.24371766918259227</v>
      </c>
      <c r="DV205" s="24">
        <f t="shared" si="414"/>
        <v>0.24371766918259227</v>
      </c>
      <c r="DW205" s="25">
        <f t="shared" si="415"/>
        <v>0.19995495078489506</v>
      </c>
      <c r="DX205" s="32">
        <f t="shared" si="416"/>
        <v>0.19995495078489503</v>
      </c>
      <c r="DZ205" s="54" t="s">
        <v>1456</v>
      </c>
      <c r="EA205" s="39">
        <v>0.98231893334568399</v>
      </c>
      <c r="EB205" s="40">
        <v>0.92992317137375879</v>
      </c>
      <c r="EC205" s="39">
        <v>0.92721314785371889</v>
      </c>
      <c r="ED205" s="40">
        <v>0.927213147853719</v>
      </c>
      <c r="EE205" s="39">
        <v>0.9053819520614439</v>
      </c>
      <c r="EF205" s="40">
        <v>0.90538195206144401</v>
      </c>
      <c r="EG205" s="39">
        <v>0.90538195206144401</v>
      </c>
      <c r="EH205" s="40">
        <v>0</v>
      </c>
      <c r="EI205" s="66">
        <v>0</v>
      </c>
    </row>
    <row r="206" spans="1:151">
      <c r="A206" s="37" t="s">
        <v>1793</v>
      </c>
      <c r="B206" s="36" t="s">
        <v>1123</v>
      </c>
      <c r="C206" s="1" t="s">
        <v>665</v>
      </c>
      <c r="D206" s="36" t="s">
        <v>665</v>
      </c>
      <c r="E206" s="36" t="s">
        <v>1840</v>
      </c>
      <c r="F206" s="1" t="e">
        <f t="shared" ca="1" si="391"/>
        <v>#NAME?</v>
      </c>
      <c r="G206" s="35" t="s">
        <v>1121</v>
      </c>
      <c r="H206" s="43">
        <v>1</v>
      </c>
      <c r="I206" s="42">
        <v>0</v>
      </c>
      <c r="J206" s="26">
        <v>65.127439624067961</v>
      </c>
      <c r="K206" s="25">
        <v>28.687477669328167</v>
      </c>
      <c r="L206" s="24"/>
      <c r="M206" s="25"/>
      <c r="N206" s="24"/>
      <c r="O206" s="25"/>
      <c r="P206" s="24"/>
      <c r="Q206" s="25"/>
      <c r="R206" s="32"/>
      <c r="S206" s="47">
        <v>1</v>
      </c>
      <c r="T206" s="45">
        <v>1</v>
      </c>
      <c r="U206" s="46">
        <v>1</v>
      </c>
      <c r="V206" s="45">
        <v>1</v>
      </c>
      <c r="W206" s="46">
        <v>1</v>
      </c>
      <c r="X206" s="45">
        <v>1</v>
      </c>
      <c r="Y206" s="46">
        <v>1</v>
      </c>
      <c r="Z206" s="45">
        <v>1</v>
      </c>
      <c r="AA206" s="44">
        <v>1</v>
      </c>
      <c r="AB206" s="26">
        <f t="shared" si="417"/>
        <v>65.127439624067961</v>
      </c>
      <c r="AC206" s="25">
        <f t="shared" si="418"/>
        <v>28.687477669328167</v>
      </c>
      <c r="AD206" s="24">
        <f t="shared" si="419"/>
        <v>0</v>
      </c>
      <c r="AE206" s="25">
        <f t="shared" si="420"/>
        <v>0</v>
      </c>
      <c r="AF206" s="24">
        <f t="shared" si="421"/>
        <v>0</v>
      </c>
      <c r="AG206" s="25">
        <f t="shared" si="422"/>
        <v>0</v>
      </c>
      <c r="AH206" s="24">
        <f t="shared" si="423"/>
        <v>0</v>
      </c>
      <c r="AI206" s="25">
        <f t="shared" si="424"/>
        <v>0</v>
      </c>
      <c r="AJ206" s="24">
        <f t="shared" si="425"/>
        <v>0</v>
      </c>
      <c r="AK206" s="27">
        <f t="shared" si="406"/>
        <v>93.814917293396121</v>
      </c>
      <c r="AL206" s="41">
        <v>0</v>
      </c>
      <c r="AM206" s="40">
        <v>0</v>
      </c>
      <c r="AN206" s="39">
        <v>0</v>
      </c>
      <c r="AO206" s="40">
        <v>0</v>
      </c>
      <c r="AP206" s="39">
        <v>0</v>
      </c>
      <c r="AQ206" s="40">
        <v>0</v>
      </c>
      <c r="AR206" s="39">
        <v>0</v>
      </c>
      <c r="AS206" s="40">
        <v>0</v>
      </c>
      <c r="AT206" s="39">
        <v>0</v>
      </c>
      <c r="AU206" s="38">
        <v>0</v>
      </c>
      <c r="CS206" s="54" t="s">
        <v>1839</v>
      </c>
      <c r="CT206" s="39">
        <v>-6.6040718692496739E-17</v>
      </c>
      <c r="CU206" s="40">
        <v>0</v>
      </c>
      <c r="CV206" s="39">
        <v>0</v>
      </c>
      <c r="CW206" s="40">
        <v>0</v>
      </c>
      <c r="CX206" s="39">
        <v>0</v>
      </c>
      <c r="CY206" s="40">
        <v>0</v>
      </c>
      <c r="CZ206" s="39">
        <v>0</v>
      </c>
      <c r="DA206" s="40">
        <v>0</v>
      </c>
      <c r="DB206" s="39">
        <v>-9.9489913874410677E-18</v>
      </c>
      <c r="DC206" s="38">
        <v>-7.5989710079937808E-17</v>
      </c>
      <c r="DE206" s="37" t="s">
        <v>1764</v>
      </c>
      <c r="DF206" s="35" t="str">
        <f t="shared" si="407"/>
        <v>INOFA</v>
      </c>
      <c r="DG206" s="26">
        <f t="shared" si="405"/>
        <v>0</v>
      </c>
      <c r="DH206" s="25">
        <f t="shared" si="405"/>
        <v>0</v>
      </c>
      <c r="DI206" s="24">
        <f t="shared" si="405"/>
        <v>0</v>
      </c>
      <c r="DJ206" s="25">
        <f t="shared" si="405"/>
        <v>0</v>
      </c>
      <c r="DK206" s="24">
        <f t="shared" si="405"/>
        <v>7.1383478227929767E-3</v>
      </c>
      <c r="DL206" s="25">
        <f t="shared" si="405"/>
        <v>6.2221099016179972E-3</v>
      </c>
      <c r="DM206" s="24">
        <f t="shared" si="405"/>
        <v>2.1615624481931616E-2</v>
      </c>
      <c r="DN206" s="25">
        <f t="shared" si="405"/>
        <v>4.2993365820832165E-2</v>
      </c>
      <c r="DO206" s="32">
        <f t="shared" si="405"/>
        <v>2.695879859185301E-2</v>
      </c>
      <c r="DP206" s="26">
        <f t="shared" si="408"/>
        <v>0</v>
      </c>
      <c r="DQ206" s="25">
        <f t="shared" si="409"/>
        <v>0</v>
      </c>
      <c r="DR206" s="24">
        <f t="shared" si="410"/>
        <v>0</v>
      </c>
      <c r="DS206" s="25">
        <f t="shared" si="411"/>
        <v>0</v>
      </c>
      <c r="DT206" s="24">
        <f t="shared" si="412"/>
        <v>2.8285757737243791E-3</v>
      </c>
      <c r="DU206" s="25">
        <f t="shared" si="413"/>
        <v>2.8285757737243795E-3</v>
      </c>
      <c r="DV206" s="24">
        <f t="shared" si="414"/>
        <v>2.8285757737243795E-3</v>
      </c>
      <c r="DW206" s="25">
        <f t="shared" si="415"/>
        <v>1.5780540550706428E-2</v>
      </c>
      <c r="DX206" s="32">
        <f t="shared" si="416"/>
        <v>1.5780540550706424E-2</v>
      </c>
      <c r="DZ206" s="54" t="s">
        <v>1451</v>
      </c>
      <c r="EA206" s="39">
        <v>1.3850742072182237E-2</v>
      </c>
      <c r="EB206" s="40">
        <v>1.311195942215547E-2</v>
      </c>
      <c r="EC206" s="39">
        <v>4.6078104719567657E-2</v>
      </c>
      <c r="ED206" s="40">
        <v>4.6078104719567664E-2</v>
      </c>
      <c r="EE206" s="39">
        <v>9.4618047938555966E-2</v>
      </c>
      <c r="EF206" s="40">
        <v>9.461804793855598E-2</v>
      </c>
      <c r="EG206" s="39">
        <v>9.461804793855598E-2</v>
      </c>
      <c r="EH206" s="40">
        <v>0</v>
      </c>
      <c r="EI206" s="66">
        <v>0</v>
      </c>
    </row>
    <row r="207" spans="1:151" ht="15.75" thickBot="1">
      <c r="A207" s="37" t="s">
        <v>1793</v>
      </c>
      <c r="B207" s="36" t="s">
        <v>1123</v>
      </c>
      <c r="C207" s="1" t="s">
        <v>1111</v>
      </c>
      <c r="D207" s="36" t="s">
        <v>1111</v>
      </c>
      <c r="E207" s="36" t="s">
        <v>1838</v>
      </c>
      <c r="F207" s="1" t="e">
        <f t="shared" ca="1" si="391"/>
        <v>#NAME?</v>
      </c>
      <c r="G207" s="35" t="s">
        <v>1121</v>
      </c>
      <c r="H207" s="43">
        <v>1</v>
      </c>
      <c r="I207" s="42">
        <v>0</v>
      </c>
      <c r="J207" s="26">
        <v>0</v>
      </c>
      <c r="K207" s="25">
        <v>9.6741377856191191E-2</v>
      </c>
      <c r="L207" s="24"/>
      <c r="M207" s="25"/>
      <c r="N207" s="24"/>
      <c r="O207" s="25"/>
      <c r="P207" s="24"/>
      <c r="Q207" s="25"/>
      <c r="R207" s="32"/>
      <c r="S207" s="47">
        <v>1</v>
      </c>
      <c r="T207" s="45">
        <v>1</v>
      </c>
      <c r="U207" s="46">
        <v>1</v>
      </c>
      <c r="V207" s="45">
        <v>1</v>
      </c>
      <c r="W207" s="46">
        <v>1</v>
      </c>
      <c r="X207" s="45">
        <v>1</v>
      </c>
      <c r="Y207" s="46">
        <v>1</v>
      </c>
      <c r="Z207" s="45">
        <v>1</v>
      </c>
      <c r="AA207" s="44">
        <v>1</v>
      </c>
      <c r="AB207" s="26">
        <f t="shared" si="417"/>
        <v>0</v>
      </c>
      <c r="AC207" s="25">
        <f t="shared" si="418"/>
        <v>9.6741377856191191E-2</v>
      </c>
      <c r="AD207" s="24">
        <f t="shared" si="419"/>
        <v>0</v>
      </c>
      <c r="AE207" s="25">
        <f t="shared" si="420"/>
        <v>0</v>
      </c>
      <c r="AF207" s="24">
        <f t="shared" si="421"/>
        <v>0</v>
      </c>
      <c r="AG207" s="25">
        <f t="shared" si="422"/>
        <v>0</v>
      </c>
      <c r="AH207" s="24">
        <f t="shared" si="423"/>
        <v>0</v>
      </c>
      <c r="AI207" s="25">
        <f t="shared" si="424"/>
        <v>0</v>
      </c>
      <c r="AJ207" s="24">
        <f t="shared" si="425"/>
        <v>0</v>
      </c>
      <c r="AK207" s="27">
        <f t="shared" si="406"/>
        <v>9.6741377856191191E-2</v>
      </c>
      <c r="AL207" s="41">
        <v>0</v>
      </c>
      <c r="AM207" s="40">
        <v>0</v>
      </c>
      <c r="AN207" s="39">
        <v>0</v>
      </c>
      <c r="AO207" s="40">
        <v>0</v>
      </c>
      <c r="AP207" s="39">
        <v>0</v>
      </c>
      <c r="AQ207" s="40">
        <v>0</v>
      </c>
      <c r="AR207" s="39">
        <v>0</v>
      </c>
      <c r="AS207" s="40">
        <v>0</v>
      </c>
      <c r="AT207" s="39">
        <v>0</v>
      </c>
      <c r="AU207" s="38">
        <v>0</v>
      </c>
      <c r="CS207" s="53" t="s">
        <v>1837</v>
      </c>
      <c r="CT207" s="39">
        <v>3.7791296839802216E-2</v>
      </c>
      <c r="CU207" s="40">
        <v>0.10402672565433035</v>
      </c>
      <c r="CV207" s="39">
        <v>0.12682526568007951</v>
      </c>
      <c r="CW207" s="40">
        <v>8.5901768061119391E-2</v>
      </c>
      <c r="CX207" s="39">
        <v>0.12301183580420917</v>
      </c>
      <c r="CY207" s="40">
        <v>0.10722273284717955</v>
      </c>
      <c r="CZ207" s="39">
        <v>0.37249202694867478</v>
      </c>
      <c r="DA207" s="40">
        <v>0.1089536358929941</v>
      </c>
      <c r="DB207" s="39">
        <v>6.8318892224671662E-2</v>
      </c>
      <c r="DC207" s="38">
        <v>1.1345441799530607</v>
      </c>
      <c r="DE207" s="37" t="s">
        <v>1762</v>
      </c>
      <c r="DF207" s="35" t="str">
        <f t="shared" si="407"/>
        <v>INOFA</v>
      </c>
      <c r="DG207" s="26">
        <f t="shared" si="405"/>
        <v>0.36335400178855509</v>
      </c>
      <c r="DH207" s="25">
        <f t="shared" si="405"/>
        <v>1.0001913197022456</v>
      </c>
      <c r="DI207" s="24">
        <f t="shared" si="405"/>
        <v>1.6936023071403088</v>
      </c>
      <c r="DJ207" s="25">
        <f t="shared" si="405"/>
        <v>1.1471171126321928</v>
      </c>
      <c r="DK207" s="24">
        <f t="shared" si="405"/>
        <v>1.4146360168136998</v>
      </c>
      <c r="DL207" s="25">
        <f t="shared" si="405"/>
        <v>1.2330613449931407</v>
      </c>
      <c r="DM207" s="24">
        <f t="shared" si="405"/>
        <v>4.2836580224380647</v>
      </c>
      <c r="DN207" s="25">
        <f t="shared" si="405"/>
        <v>1.2570748163192087</v>
      </c>
      <c r="DO207" s="32">
        <f t="shared" si="405"/>
        <v>0.78824316591699262</v>
      </c>
      <c r="DP207" s="26">
        <f t="shared" si="408"/>
        <v>0.53478760692500549</v>
      </c>
      <c r="DQ207" s="25">
        <f t="shared" si="409"/>
        <v>0.53478760692500549</v>
      </c>
      <c r="DR207" s="24">
        <f t="shared" si="410"/>
        <v>0.61488178199826138</v>
      </c>
      <c r="DS207" s="25">
        <f t="shared" si="411"/>
        <v>0.61488178199826149</v>
      </c>
      <c r="DT207" s="24">
        <f t="shared" si="412"/>
        <v>0.56055060150201252</v>
      </c>
      <c r="DU207" s="25">
        <f t="shared" si="413"/>
        <v>0.56055060150201264</v>
      </c>
      <c r="DV207" s="24">
        <f t="shared" si="414"/>
        <v>0.56055060150201252</v>
      </c>
      <c r="DW207" s="25">
        <f t="shared" si="415"/>
        <v>0.46140421284683547</v>
      </c>
      <c r="DX207" s="32">
        <f t="shared" si="416"/>
        <v>0.46140421284683547</v>
      </c>
      <c r="DZ207" s="53" t="s">
        <v>1446</v>
      </c>
      <c r="EA207" s="39">
        <v>0</v>
      </c>
      <c r="EB207" s="40">
        <v>5.3338849729252784E-2</v>
      </c>
      <c r="EC207" s="39">
        <v>2.4443401048261596E-2</v>
      </c>
      <c r="ED207" s="40">
        <v>2.44434010482616E-2</v>
      </c>
      <c r="EE207" s="39">
        <v>0</v>
      </c>
      <c r="EF207" s="40">
        <v>0</v>
      </c>
      <c r="EG207" s="39">
        <v>0</v>
      </c>
      <c r="EH207" s="40">
        <v>0.91518335389303818</v>
      </c>
      <c r="EI207" s="66">
        <v>0.91518335389303818</v>
      </c>
    </row>
    <row r="208" spans="1:151">
      <c r="A208" s="37" t="s">
        <v>1793</v>
      </c>
      <c r="B208" s="36" t="s">
        <v>1123</v>
      </c>
      <c r="C208" s="1" t="s">
        <v>1106</v>
      </c>
      <c r="D208" s="36" t="s">
        <v>1106</v>
      </c>
      <c r="E208" s="36" t="s">
        <v>1836</v>
      </c>
      <c r="F208" s="1" t="e">
        <f t="shared" ca="1" si="391"/>
        <v>#NAME?</v>
      </c>
      <c r="G208" s="35" t="s">
        <v>1121</v>
      </c>
      <c r="H208" s="43">
        <v>1</v>
      </c>
      <c r="I208" s="42">
        <v>0</v>
      </c>
      <c r="J208" s="26">
        <v>1.7920893315747297</v>
      </c>
      <c r="K208" s="25">
        <v>1.0704279679841642</v>
      </c>
      <c r="L208" s="24"/>
      <c r="M208" s="25"/>
      <c r="N208" s="24"/>
      <c r="O208" s="25"/>
      <c r="P208" s="24"/>
      <c r="Q208" s="25"/>
      <c r="R208" s="32"/>
      <c r="S208" s="47">
        <v>1</v>
      </c>
      <c r="T208" s="45">
        <v>1</v>
      </c>
      <c r="U208" s="46">
        <v>1</v>
      </c>
      <c r="V208" s="45">
        <v>1</v>
      </c>
      <c r="W208" s="46">
        <v>1</v>
      </c>
      <c r="X208" s="45">
        <v>1</v>
      </c>
      <c r="Y208" s="46">
        <v>1</v>
      </c>
      <c r="Z208" s="45">
        <v>1</v>
      </c>
      <c r="AA208" s="44">
        <v>1</v>
      </c>
      <c r="AB208" s="26">
        <f t="shared" si="417"/>
        <v>1.7920893315747297</v>
      </c>
      <c r="AC208" s="25">
        <f t="shared" si="418"/>
        <v>1.0704279679841642</v>
      </c>
      <c r="AD208" s="24">
        <f t="shared" si="419"/>
        <v>0</v>
      </c>
      <c r="AE208" s="25">
        <f t="shared" si="420"/>
        <v>0</v>
      </c>
      <c r="AF208" s="24">
        <f t="shared" si="421"/>
        <v>0</v>
      </c>
      <c r="AG208" s="25">
        <f t="shared" si="422"/>
        <v>0</v>
      </c>
      <c r="AH208" s="24">
        <f t="shared" si="423"/>
        <v>0</v>
      </c>
      <c r="AI208" s="25">
        <f t="shared" si="424"/>
        <v>0</v>
      </c>
      <c r="AJ208" s="24">
        <f t="shared" si="425"/>
        <v>0</v>
      </c>
      <c r="AK208" s="27">
        <f t="shared" si="406"/>
        <v>2.8625172995588937</v>
      </c>
      <c r="AL208" s="41">
        <v>0</v>
      </c>
      <c r="AM208" s="40">
        <v>0</v>
      </c>
      <c r="AN208" s="39">
        <v>0</v>
      </c>
      <c r="AO208" s="40">
        <v>0</v>
      </c>
      <c r="AP208" s="39">
        <v>0</v>
      </c>
      <c r="AQ208" s="40">
        <v>0</v>
      </c>
      <c r="AR208" s="39">
        <v>0</v>
      </c>
      <c r="AS208" s="40">
        <v>0</v>
      </c>
      <c r="AT208" s="39">
        <v>0</v>
      </c>
      <c r="AU208" s="38">
        <v>0</v>
      </c>
      <c r="CS208" s="67" t="s">
        <v>1768</v>
      </c>
      <c r="CT208" s="39">
        <v>0.12712560617959778</v>
      </c>
      <c r="CU208" s="40">
        <v>0.34993402353309327</v>
      </c>
      <c r="CV208" s="39">
        <v>0.42662570821036222</v>
      </c>
      <c r="CW208" s="40">
        <v>0.28896373635867451</v>
      </c>
      <c r="CX208" s="39">
        <v>0.48682090078180223</v>
      </c>
      <c r="CY208" s="40">
        <v>0.42433532552128927</v>
      </c>
      <c r="CZ208" s="39">
        <v>1.4741419222603644</v>
      </c>
      <c r="DA208" s="40">
        <v>0.87961820841968508</v>
      </c>
      <c r="DB208" s="39">
        <v>0.55156068071838826</v>
      </c>
      <c r="DC208" s="38">
        <v>5.0091261119832575</v>
      </c>
      <c r="DE208" s="37" t="s">
        <v>1484</v>
      </c>
      <c r="DF208" s="35" t="str">
        <f t="shared" si="407"/>
        <v>IPOFA</v>
      </c>
      <c r="DG208" s="26">
        <f t="shared" ref="DG208:DO217" si="426">GETPIVOTDATA("Sum of "&amp;DG$1&amp;" (Out)",$CS$6,"Constraint Identifier",$DE208)</f>
        <v>0.86566644504907808</v>
      </c>
      <c r="DH208" s="25">
        <f t="shared" si="426"/>
        <v>0.76382333386683365</v>
      </c>
      <c r="DI208" s="24">
        <f t="shared" si="426"/>
        <v>2.9631495682072089</v>
      </c>
      <c r="DJ208" s="25">
        <f t="shared" si="426"/>
        <v>0.56741161944393348</v>
      </c>
      <c r="DK208" s="24">
        <f t="shared" si="426"/>
        <v>2.4442346683738676</v>
      </c>
      <c r="DL208" s="25">
        <f t="shared" si="426"/>
        <v>1.4192330332493426</v>
      </c>
      <c r="DM208" s="24">
        <f t="shared" si="426"/>
        <v>1.0250016351245252</v>
      </c>
      <c r="DN208" s="25">
        <f t="shared" si="426"/>
        <v>9.3113701652337802E-2</v>
      </c>
      <c r="DO208" s="32">
        <f t="shared" si="426"/>
        <v>0.72163118780561808</v>
      </c>
      <c r="DP208" s="26">
        <f t="shared" si="408"/>
        <v>0.32842803974946944</v>
      </c>
      <c r="DQ208" s="25">
        <f t="shared" si="409"/>
        <v>0.32842803974946949</v>
      </c>
      <c r="DR208" s="24">
        <f t="shared" si="410"/>
        <v>0.35731526948525572</v>
      </c>
      <c r="DS208" s="25">
        <f t="shared" si="411"/>
        <v>0.35731526948525577</v>
      </c>
      <c r="DT208" s="24">
        <f t="shared" si="412"/>
        <v>0.47773357024944541</v>
      </c>
      <c r="DU208" s="25">
        <f t="shared" si="413"/>
        <v>0.47773357024944541</v>
      </c>
      <c r="DV208" s="24">
        <f t="shared" si="414"/>
        <v>0.47773357024944541</v>
      </c>
      <c r="DW208" s="25">
        <f t="shared" si="415"/>
        <v>0.21111291981610286</v>
      </c>
      <c r="DX208" s="32">
        <f t="shared" si="416"/>
        <v>0.21111291981610289</v>
      </c>
      <c r="DZ208" s="67" t="s">
        <v>1436</v>
      </c>
      <c r="EA208" s="39">
        <v>0.8700780800792095</v>
      </c>
      <c r="EB208" s="40">
        <v>0.8700780800792095</v>
      </c>
      <c r="EC208" s="39">
        <v>0.79619050897313715</v>
      </c>
      <c r="ED208" s="40">
        <v>0.79619050897313715</v>
      </c>
      <c r="EE208" s="39">
        <v>0.92233546724858206</v>
      </c>
      <c r="EF208" s="40">
        <v>0.92233546724858217</v>
      </c>
      <c r="EG208" s="39">
        <v>0.92233546724858217</v>
      </c>
      <c r="EH208" s="40">
        <v>0.90015076110516667</v>
      </c>
      <c r="EI208" s="66">
        <v>0.90015076110516667</v>
      </c>
    </row>
    <row r="209" spans="1:139">
      <c r="A209" s="37" t="s">
        <v>1793</v>
      </c>
      <c r="B209" s="36" t="s">
        <v>1107</v>
      </c>
      <c r="C209" s="1" t="s">
        <v>1120</v>
      </c>
      <c r="D209" s="36" t="s">
        <v>1120</v>
      </c>
      <c r="E209" s="36" t="s">
        <v>1835</v>
      </c>
      <c r="F209" s="1" t="e">
        <f t="shared" ca="1" si="391"/>
        <v>#NAME?</v>
      </c>
      <c r="G209" s="35" t="s">
        <v>1104</v>
      </c>
      <c r="H209" s="43">
        <v>1</v>
      </c>
      <c r="I209" s="42">
        <v>0</v>
      </c>
      <c r="J209" s="26">
        <v>9.1986369406782753</v>
      </c>
      <c r="K209" s="25">
        <v>0.1155225</v>
      </c>
      <c r="L209" s="24"/>
      <c r="M209" s="25"/>
      <c r="N209" s="24"/>
      <c r="O209" s="25"/>
      <c r="P209" s="24"/>
      <c r="Q209" s="25"/>
      <c r="R209" s="32"/>
      <c r="S209" s="31" t="e">
        <v>#REF!</v>
      </c>
      <c r="T209" s="29" t="e">
        <f t="shared" ref="T209:AA218" si="427">S209</f>
        <v>#REF!</v>
      </c>
      <c r="U209" s="30" t="e">
        <f t="shared" si="427"/>
        <v>#REF!</v>
      </c>
      <c r="V209" s="29" t="e">
        <f t="shared" si="427"/>
        <v>#REF!</v>
      </c>
      <c r="W209" s="30" t="e">
        <f t="shared" si="427"/>
        <v>#REF!</v>
      </c>
      <c r="X209" s="29" t="e">
        <f t="shared" si="427"/>
        <v>#REF!</v>
      </c>
      <c r="Y209" s="30" t="e">
        <f t="shared" si="427"/>
        <v>#REF!</v>
      </c>
      <c r="Z209" s="29" t="e">
        <f t="shared" si="427"/>
        <v>#REF!</v>
      </c>
      <c r="AA209" s="28" t="e">
        <f t="shared" si="427"/>
        <v>#REF!</v>
      </c>
      <c r="AB209" s="26" t="e">
        <f t="shared" si="417"/>
        <v>#REF!</v>
      </c>
      <c r="AC209" s="25" t="e">
        <f t="shared" si="418"/>
        <v>#REF!</v>
      </c>
      <c r="AD209" s="24" t="e">
        <f t="shared" si="419"/>
        <v>#REF!</v>
      </c>
      <c r="AE209" s="25" t="e">
        <f t="shared" si="420"/>
        <v>#REF!</v>
      </c>
      <c r="AF209" s="24" t="e">
        <f t="shared" si="421"/>
        <v>#REF!</v>
      </c>
      <c r="AG209" s="25" t="e">
        <f t="shared" si="422"/>
        <v>#REF!</v>
      </c>
      <c r="AH209" s="24" t="e">
        <f t="shared" si="423"/>
        <v>#REF!</v>
      </c>
      <c r="AI209" s="25" t="e">
        <f t="shared" si="424"/>
        <v>#REF!</v>
      </c>
      <c r="AJ209" s="24" t="e">
        <f t="shared" si="425"/>
        <v>#REF!</v>
      </c>
      <c r="AK209" s="27" t="e">
        <f t="shared" si="406"/>
        <v>#REF!</v>
      </c>
      <c r="AL209" s="41">
        <v>0</v>
      </c>
      <c r="AM209" s="40">
        <v>0</v>
      </c>
      <c r="AN209" s="39">
        <v>0</v>
      </c>
      <c r="AO209" s="40">
        <v>0</v>
      </c>
      <c r="AP209" s="39">
        <v>0</v>
      </c>
      <c r="AQ209" s="40">
        <v>0</v>
      </c>
      <c r="AR209" s="39">
        <v>0</v>
      </c>
      <c r="AS209" s="40">
        <v>0</v>
      </c>
      <c r="AT209" s="39">
        <v>0</v>
      </c>
      <c r="AU209" s="38">
        <v>0</v>
      </c>
      <c r="CS209" s="54" t="s">
        <v>1766</v>
      </c>
      <c r="CT209" s="39">
        <v>0.18895648419901112</v>
      </c>
      <c r="CU209" s="40">
        <v>0.52013362827165188</v>
      </c>
      <c r="CV209" s="39">
        <v>0.63412632840039751</v>
      </c>
      <c r="CW209" s="40">
        <v>0.42950884030559705</v>
      </c>
      <c r="CX209" s="39">
        <v>0.6150591790210459</v>
      </c>
      <c r="CY209" s="40">
        <v>0.53611366423589779</v>
      </c>
      <c r="CZ209" s="39">
        <v>1.8624601347433742</v>
      </c>
      <c r="DA209" s="40">
        <v>0.54476817946497058</v>
      </c>
      <c r="DB209" s="39">
        <v>0.34159446112335834</v>
      </c>
      <c r="DC209" s="38">
        <v>5.672720899765304</v>
      </c>
      <c r="DE209" s="37" t="s">
        <v>1481</v>
      </c>
      <c r="DF209" s="35" t="str">
        <f t="shared" si="407"/>
        <v>IPOFA</v>
      </c>
      <c r="DG209" s="26">
        <f t="shared" si="426"/>
        <v>1.2356394041959469</v>
      </c>
      <c r="DH209" s="25">
        <f t="shared" si="426"/>
        <v>1.0902700625258355</v>
      </c>
      <c r="DI209" s="24">
        <f t="shared" si="426"/>
        <v>1.952102588141496</v>
      </c>
      <c r="DJ209" s="25">
        <f t="shared" si="426"/>
        <v>0.37380687858028638</v>
      </c>
      <c r="DK209" s="24">
        <f t="shared" si="426"/>
        <v>1.1629547333608912</v>
      </c>
      <c r="DL209" s="25">
        <f t="shared" si="426"/>
        <v>0.67526403872567875</v>
      </c>
      <c r="DM209" s="24">
        <f t="shared" si="426"/>
        <v>0.48769069463521242</v>
      </c>
      <c r="DN209" s="25">
        <f t="shared" si="426"/>
        <v>0.26581822476820371</v>
      </c>
      <c r="DO209" s="32">
        <f t="shared" si="426"/>
        <v>2.0600912419535784</v>
      </c>
      <c r="DP209" s="26">
        <f t="shared" si="408"/>
        <v>0.46879329755500648</v>
      </c>
      <c r="DQ209" s="25">
        <f t="shared" si="409"/>
        <v>0.46879329755500659</v>
      </c>
      <c r="DR209" s="24">
        <f t="shared" si="410"/>
        <v>0.23539684591981672</v>
      </c>
      <c r="DS209" s="25">
        <f t="shared" si="411"/>
        <v>0.23539684591981674</v>
      </c>
      <c r="DT209" s="24">
        <f t="shared" si="412"/>
        <v>0.22730326346963059</v>
      </c>
      <c r="DU209" s="25">
        <f t="shared" si="413"/>
        <v>0.22730326346963056</v>
      </c>
      <c r="DV209" s="24">
        <f t="shared" si="414"/>
        <v>0.22730326346963053</v>
      </c>
      <c r="DW209" s="25">
        <f t="shared" si="415"/>
        <v>0.60267888157510119</v>
      </c>
      <c r="DX209" s="32">
        <f t="shared" si="416"/>
        <v>0.60267888157510108</v>
      </c>
      <c r="DZ209" s="54" t="s">
        <v>1432</v>
      </c>
      <c r="EA209" s="39">
        <v>0.12992191992079047</v>
      </c>
      <c r="EB209" s="40">
        <v>0.12992191992079044</v>
      </c>
      <c r="EC209" s="39">
        <v>0.20380949102686285</v>
      </c>
      <c r="ED209" s="40">
        <v>0.20380949102686283</v>
      </c>
      <c r="EE209" s="39">
        <v>7.7664532751417853E-2</v>
      </c>
      <c r="EF209" s="40">
        <v>7.7664532751417853E-2</v>
      </c>
      <c r="EG209" s="39">
        <v>7.7664532751417867E-2</v>
      </c>
      <c r="EH209" s="40">
        <v>9.9849238894833436E-2</v>
      </c>
      <c r="EI209" s="66">
        <v>9.9849238894833423E-2</v>
      </c>
    </row>
    <row r="210" spans="1:139">
      <c r="A210" s="37" t="s">
        <v>1793</v>
      </c>
      <c r="B210" s="36" t="s">
        <v>1107</v>
      </c>
      <c r="C210" s="1" t="s">
        <v>1120</v>
      </c>
      <c r="D210" s="36" t="s">
        <v>1120</v>
      </c>
      <c r="E210" s="36" t="s">
        <v>1834</v>
      </c>
      <c r="F210" s="1" t="e">
        <f t="shared" ca="1" si="391"/>
        <v>#NAME?</v>
      </c>
      <c r="G210" s="35" t="s">
        <v>1104</v>
      </c>
      <c r="H210" s="43">
        <v>1</v>
      </c>
      <c r="I210" s="42">
        <v>0</v>
      </c>
      <c r="J210" s="26">
        <v>2.2714496039999998</v>
      </c>
      <c r="K210" s="25">
        <v>0</v>
      </c>
      <c r="L210" s="24"/>
      <c r="M210" s="25"/>
      <c r="N210" s="24"/>
      <c r="O210" s="25"/>
      <c r="P210" s="24"/>
      <c r="Q210" s="25"/>
      <c r="R210" s="32"/>
      <c r="S210" s="31" t="e">
        <v>#REF!</v>
      </c>
      <c r="T210" s="29" t="e">
        <f t="shared" si="427"/>
        <v>#REF!</v>
      </c>
      <c r="U210" s="30" t="e">
        <f t="shared" si="427"/>
        <v>#REF!</v>
      </c>
      <c r="V210" s="29" t="e">
        <f t="shared" si="427"/>
        <v>#REF!</v>
      </c>
      <c r="W210" s="30" t="e">
        <f t="shared" si="427"/>
        <v>#REF!</v>
      </c>
      <c r="X210" s="29" t="e">
        <f t="shared" si="427"/>
        <v>#REF!</v>
      </c>
      <c r="Y210" s="30" t="e">
        <f t="shared" si="427"/>
        <v>#REF!</v>
      </c>
      <c r="Z210" s="29" t="e">
        <f t="shared" si="427"/>
        <v>#REF!</v>
      </c>
      <c r="AA210" s="28" t="e">
        <f t="shared" si="427"/>
        <v>#REF!</v>
      </c>
      <c r="AB210" s="26" t="e">
        <f t="shared" si="417"/>
        <v>#REF!</v>
      </c>
      <c r="AC210" s="25" t="e">
        <f t="shared" si="418"/>
        <v>#REF!</v>
      </c>
      <c r="AD210" s="24" t="e">
        <f t="shared" si="419"/>
        <v>#REF!</v>
      </c>
      <c r="AE210" s="25" t="e">
        <f t="shared" si="420"/>
        <v>#REF!</v>
      </c>
      <c r="AF210" s="24" t="e">
        <f t="shared" si="421"/>
        <v>#REF!</v>
      </c>
      <c r="AG210" s="25" t="e">
        <f t="shared" si="422"/>
        <v>#REF!</v>
      </c>
      <c r="AH210" s="24" t="e">
        <f t="shared" si="423"/>
        <v>#REF!</v>
      </c>
      <c r="AI210" s="25" t="e">
        <f t="shared" si="424"/>
        <v>#REF!</v>
      </c>
      <c r="AJ210" s="24" t="e">
        <f t="shared" si="425"/>
        <v>#REF!</v>
      </c>
      <c r="AK210" s="27" t="e">
        <f t="shared" si="406"/>
        <v>#REF!</v>
      </c>
      <c r="AL210" s="41">
        <v>0</v>
      </c>
      <c r="AM210" s="40">
        <v>0</v>
      </c>
      <c r="AN210" s="39">
        <v>0</v>
      </c>
      <c r="AO210" s="40">
        <v>0</v>
      </c>
      <c r="AP210" s="39">
        <v>0</v>
      </c>
      <c r="AQ210" s="40">
        <v>0</v>
      </c>
      <c r="AR210" s="39">
        <v>0</v>
      </c>
      <c r="AS210" s="40">
        <v>0</v>
      </c>
      <c r="AT210" s="39">
        <v>0</v>
      </c>
      <c r="AU210" s="38">
        <v>0</v>
      </c>
      <c r="CS210" s="54" t="s">
        <v>1764</v>
      </c>
      <c r="CT210" s="39">
        <v>0</v>
      </c>
      <c r="CU210" s="40">
        <v>0</v>
      </c>
      <c r="CV210" s="39">
        <v>0</v>
      </c>
      <c r="CW210" s="40">
        <v>0</v>
      </c>
      <c r="CX210" s="39">
        <v>7.1383478227929767E-3</v>
      </c>
      <c r="CY210" s="40">
        <v>6.2221099016179972E-3</v>
      </c>
      <c r="CZ210" s="39">
        <v>2.1615624481931616E-2</v>
      </c>
      <c r="DA210" s="40">
        <v>4.2993365820832165E-2</v>
      </c>
      <c r="DB210" s="39">
        <v>2.695879859185301E-2</v>
      </c>
      <c r="DC210" s="38">
        <v>0.10492824661902778</v>
      </c>
      <c r="DE210" s="37" t="s">
        <v>1478</v>
      </c>
      <c r="DF210" s="35" t="str">
        <f t="shared" si="407"/>
        <v>IPOFA</v>
      </c>
      <c r="DG210" s="26">
        <f t="shared" si="426"/>
        <v>0.53448141699881746</v>
      </c>
      <c r="DH210" s="25">
        <f t="shared" si="426"/>
        <v>0.47160125029307415</v>
      </c>
      <c r="DI210" s="24">
        <f t="shared" si="426"/>
        <v>3.3775632401942075</v>
      </c>
      <c r="DJ210" s="25">
        <f t="shared" si="426"/>
        <v>0.64676742897335882</v>
      </c>
      <c r="DK210" s="24">
        <f t="shared" si="426"/>
        <v>1.5091240009378373</v>
      </c>
      <c r="DL210" s="25">
        <f t="shared" si="426"/>
        <v>0.87626554893164754</v>
      </c>
      <c r="DM210" s="24">
        <f t="shared" si="426"/>
        <v>0.63285845200618984</v>
      </c>
      <c r="DN210" s="25">
        <f t="shared" si="426"/>
        <v>8.2129197329950318E-2</v>
      </c>
      <c r="DO210" s="32">
        <f t="shared" si="426"/>
        <v>0.63650127930711498</v>
      </c>
      <c r="DP210" s="26">
        <f t="shared" si="408"/>
        <v>0.202778662695524</v>
      </c>
      <c r="DQ210" s="25">
        <f t="shared" si="409"/>
        <v>0.202778662695524</v>
      </c>
      <c r="DR210" s="24">
        <f t="shared" si="410"/>
        <v>0.40728788459492743</v>
      </c>
      <c r="DS210" s="25">
        <f t="shared" si="411"/>
        <v>0.40728788459492754</v>
      </c>
      <c r="DT210" s="24">
        <f t="shared" si="412"/>
        <v>0.29496316628092406</v>
      </c>
      <c r="DU210" s="25">
        <f t="shared" si="413"/>
        <v>0.29496316628092406</v>
      </c>
      <c r="DV210" s="24">
        <f t="shared" si="414"/>
        <v>0.29496316628092401</v>
      </c>
      <c r="DW210" s="25">
        <f t="shared" si="415"/>
        <v>0.18620819860879598</v>
      </c>
      <c r="DX210" s="32">
        <f t="shared" si="416"/>
        <v>0.18620819860879598</v>
      </c>
      <c r="DZ210" s="54" t="s">
        <v>1420</v>
      </c>
      <c r="EA210" s="39">
        <v>0</v>
      </c>
      <c r="EB210" s="40">
        <v>0</v>
      </c>
      <c r="EC210" s="39">
        <v>7.015815714557623E-2</v>
      </c>
      <c r="ED210" s="40">
        <v>7.0158157145576203E-2</v>
      </c>
      <c r="EE210" s="39">
        <v>3.7651598262913026E-2</v>
      </c>
      <c r="EF210" s="40">
        <v>3.7651598262913026E-2</v>
      </c>
      <c r="EG210" s="39">
        <v>3.7651598262913026E-2</v>
      </c>
      <c r="EH210" s="40">
        <v>0</v>
      </c>
      <c r="EI210" s="66">
        <v>0</v>
      </c>
    </row>
    <row r="211" spans="1:139">
      <c r="A211" s="37" t="s">
        <v>1793</v>
      </c>
      <c r="B211" s="36" t="s">
        <v>1107</v>
      </c>
      <c r="C211" s="1" t="s">
        <v>1120</v>
      </c>
      <c r="D211" s="36" t="s">
        <v>1120</v>
      </c>
      <c r="E211" s="36" t="s">
        <v>1833</v>
      </c>
      <c r="F211" s="1" t="e">
        <f t="shared" ca="1" si="391"/>
        <v>#NAME?</v>
      </c>
      <c r="G211" s="35" t="s">
        <v>1109</v>
      </c>
      <c r="H211" s="34">
        <f>1-I211</f>
        <v>0.91339282653754761</v>
      </c>
      <c r="I211" s="33">
        <v>8.6607173462452419E-2</v>
      </c>
      <c r="J211" s="26" t="e">
        <v>#REF!</v>
      </c>
      <c r="K211" s="25" t="e">
        <v>#REF!</v>
      </c>
      <c r="L211" s="24"/>
      <c r="M211" s="25"/>
      <c r="N211" s="24"/>
      <c r="O211" s="25"/>
      <c r="P211" s="24"/>
      <c r="Q211" s="25"/>
      <c r="R211" s="32"/>
      <c r="S211" s="31" t="e">
        <v>#REF!</v>
      </c>
      <c r="T211" s="29" t="e">
        <f t="shared" si="427"/>
        <v>#REF!</v>
      </c>
      <c r="U211" s="30" t="e">
        <f t="shared" si="427"/>
        <v>#REF!</v>
      </c>
      <c r="V211" s="29" t="e">
        <f t="shared" si="427"/>
        <v>#REF!</v>
      </c>
      <c r="W211" s="30" t="e">
        <f t="shared" si="427"/>
        <v>#REF!</v>
      </c>
      <c r="X211" s="29" t="e">
        <f t="shared" si="427"/>
        <v>#REF!</v>
      </c>
      <c r="Y211" s="30" t="e">
        <f t="shared" si="427"/>
        <v>#REF!</v>
      </c>
      <c r="Z211" s="29" t="e">
        <f t="shared" si="427"/>
        <v>#REF!</v>
      </c>
      <c r="AA211" s="28" t="e">
        <f t="shared" si="427"/>
        <v>#REF!</v>
      </c>
      <c r="AB211" s="26" t="e">
        <f t="shared" ref="AB211:AJ213" si="428">J211*31.536*$H211*S211</f>
        <v>#REF!</v>
      </c>
      <c r="AC211" s="25" t="e">
        <f t="shared" si="428"/>
        <v>#REF!</v>
      </c>
      <c r="AD211" s="24" t="e">
        <f t="shared" si="428"/>
        <v>#REF!</v>
      </c>
      <c r="AE211" s="25" t="e">
        <f t="shared" si="428"/>
        <v>#REF!</v>
      </c>
      <c r="AF211" s="24" t="e">
        <f t="shared" si="428"/>
        <v>#REF!</v>
      </c>
      <c r="AG211" s="25" t="e">
        <f t="shared" si="428"/>
        <v>#REF!</v>
      </c>
      <c r="AH211" s="24" t="e">
        <f t="shared" si="428"/>
        <v>#REF!</v>
      </c>
      <c r="AI211" s="25" t="e">
        <f t="shared" si="428"/>
        <v>#REF!</v>
      </c>
      <c r="AJ211" s="24" t="e">
        <f t="shared" si="428"/>
        <v>#REF!</v>
      </c>
      <c r="AK211" s="27" t="e">
        <f t="shared" si="406"/>
        <v>#REF!</v>
      </c>
      <c r="AL211" s="26" t="e">
        <f t="shared" ref="AL211:AT213" si="429">J211*31.536*$I211*S211</f>
        <v>#REF!</v>
      </c>
      <c r="AM211" s="25" t="e">
        <f t="shared" si="429"/>
        <v>#REF!</v>
      </c>
      <c r="AN211" s="24" t="e">
        <f t="shared" si="429"/>
        <v>#REF!</v>
      </c>
      <c r="AO211" s="25" t="e">
        <f t="shared" si="429"/>
        <v>#REF!</v>
      </c>
      <c r="AP211" s="24" t="e">
        <f t="shared" si="429"/>
        <v>#REF!</v>
      </c>
      <c r="AQ211" s="25" t="e">
        <f t="shared" si="429"/>
        <v>#REF!</v>
      </c>
      <c r="AR211" s="24" t="e">
        <f t="shared" si="429"/>
        <v>#REF!</v>
      </c>
      <c r="AS211" s="25" t="e">
        <f t="shared" si="429"/>
        <v>#REF!</v>
      </c>
      <c r="AT211" s="24" t="e">
        <f t="shared" si="429"/>
        <v>#REF!</v>
      </c>
      <c r="AU211" s="23" t="e">
        <f>SUM(AL211:AT211)</f>
        <v>#REF!</v>
      </c>
      <c r="CS211" s="54" t="s">
        <v>1762</v>
      </c>
      <c r="CT211" s="39">
        <v>0.36335400178855509</v>
      </c>
      <c r="CU211" s="40">
        <v>1.0001913197022456</v>
      </c>
      <c r="CV211" s="39">
        <v>1.6936023071403088</v>
      </c>
      <c r="CW211" s="40">
        <v>1.1471171126321928</v>
      </c>
      <c r="CX211" s="39">
        <v>1.4146360168136998</v>
      </c>
      <c r="CY211" s="40">
        <v>1.2330613449931407</v>
      </c>
      <c r="CZ211" s="39">
        <v>4.2836580224380647</v>
      </c>
      <c r="DA211" s="40">
        <v>1.2570748163192087</v>
      </c>
      <c r="DB211" s="39">
        <v>0.78824316591699262</v>
      </c>
      <c r="DC211" s="38">
        <v>13.18093810774441</v>
      </c>
      <c r="DE211" s="37" t="s">
        <v>1471</v>
      </c>
      <c r="DF211" s="35" t="str">
        <f t="shared" si="407"/>
        <v>IPAFA</v>
      </c>
      <c r="DG211" s="26">
        <f t="shared" si="426"/>
        <v>0.57799499607535354</v>
      </c>
      <c r="DH211" s="25">
        <f t="shared" si="426"/>
        <v>0.50999558477237084</v>
      </c>
      <c r="DI211" s="24">
        <f t="shared" si="426"/>
        <v>0</v>
      </c>
      <c r="DJ211" s="25">
        <f t="shared" si="426"/>
        <v>0</v>
      </c>
      <c r="DK211" s="24">
        <f t="shared" si="426"/>
        <v>0.54399529042386219</v>
      </c>
      <c r="DL211" s="25">
        <f t="shared" si="426"/>
        <v>0.31586823314933937</v>
      </c>
      <c r="DM211" s="24">
        <f t="shared" si="426"/>
        <v>0.22812705727452287</v>
      </c>
      <c r="DN211" s="25">
        <f t="shared" si="426"/>
        <v>0</v>
      </c>
      <c r="DO211" s="32">
        <f t="shared" si="426"/>
        <v>0</v>
      </c>
      <c r="DP211" s="26">
        <f t="shared" si="408"/>
        <v>0.39654038858981616</v>
      </c>
      <c r="DQ211" s="25">
        <f t="shared" si="409"/>
        <v>0.39654038858981616</v>
      </c>
      <c r="DR211" s="24">
        <f t="shared" si="410"/>
        <v>0</v>
      </c>
      <c r="DS211" s="25">
        <f t="shared" si="411"/>
        <v>0</v>
      </c>
      <c r="DT211" s="24">
        <f t="shared" si="412"/>
        <v>0.21944904476003813</v>
      </c>
      <c r="DU211" s="25">
        <f t="shared" si="413"/>
        <v>0.2194490447600381</v>
      </c>
      <c r="DV211" s="24">
        <f t="shared" si="414"/>
        <v>0.2194490447600381</v>
      </c>
      <c r="DW211" s="25">
        <f t="shared" si="415"/>
        <v>0</v>
      </c>
      <c r="DX211" s="32">
        <f t="shared" si="416"/>
        <v>0</v>
      </c>
      <c r="DZ211" s="54" t="s">
        <v>1428</v>
      </c>
      <c r="EA211" s="39">
        <v>8.3494741649662821E-2</v>
      </c>
      <c r="EB211" s="40">
        <v>8.3494741649662821E-2</v>
      </c>
      <c r="EC211" s="39">
        <v>1.7770777206996803E-2</v>
      </c>
      <c r="ED211" s="40">
        <v>1.7770777206996796E-2</v>
      </c>
      <c r="EE211" s="39">
        <v>0.11358990965923264</v>
      </c>
      <c r="EF211" s="40">
        <v>0.11358990965923266</v>
      </c>
      <c r="EG211" s="39">
        <v>0.11358990965923264</v>
      </c>
      <c r="EH211" s="40">
        <v>0.2417661005178576</v>
      </c>
      <c r="EI211" s="66">
        <v>0.2417661005178576</v>
      </c>
    </row>
    <row r="212" spans="1:139">
      <c r="A212" s="37" t="s">
        <v>1793</v>
      </c>
      <c r="B212" s="36" t="s">
        <v>1107</v>
      </c>
      <c r="C212" s="1" t="s">
        <v>1120</v>
      </c>
      <c r="D212" s="36" t="s">
        <v>1120</v>
      </c>
      <c r="E212" s="36" t="s">
        <v>1832</v>
      </c>
      <c r="F212" s="1" t="e">
        <f t="shared" ca="1" si="391"/>
        <v>#NAME?</v>
      </c>
      <c r="G212" s="35" t="s">
        <v>1109</v>
      </c>
      <c r="H212" s="34">
        <f>1-I212</f>
        <v>0.49060269678639434</v>
      </c>
      <c r="I212" s="33">
        <v>0.50939730321360566</v>
      </c>
      <c r="J212" s="26">
        <v>0</v>
      </c>
      <c r="K212" s="25">
        <v>0</v>
      </c>
      <c r="L212" s="24"/>
      <c r="M212" s="25"/>
      <c r="N212" s="24"/>
      <c r="O212" s="25"/>
      <c r="P212" s="24"/>
      <c r="Q212" s="25"/>
      <c r="R212" s="32"/>
      <c r="S212" s="31" t="e">
        <v>#REF!</v>
      </c>
      <c r="T212" s="29" t="e">
        <f t="shared" si="427"/>
        <v>#REF!</v>
      </c>
      <c r="U212" s="30" t="e">
        <f t="shared" si="427"/>
        <v>#REF!</v>
      </c>
      <c r="V212" s="29" t="e">
        <f t="shared" si="427"/>
        <v>#REF!</v>
      </c>
      <c r="W212" s="30" t="e">
        <f t="shared" si="427"/>
        <v>#REF!</v>
      </c>
      <c r="X212" s="29" t="e">
        <f t="shared" si="427"/>
        <v>#REF!</v>
      </c>
      <c r="Y212" s="30" t="e">
        <f t="shared" si="427"/>
        <v>#REF!</v>
      </c>
      <c r="Z212" s="29" t="e">
        <f t="shared" si="427"/>
        <v>#REF!</v>
      </c>
      <c r="AA212" s="28" t="e">
        <f t="shared" si="427"/>
        <v>#REF!</v>
      </c>
      <c r="AB212" s="26" t="e">
        <f t="shared" si="428"/>
        <v>#REF!</v>
      </c>
      <c r="AC212" s="25" t="e">
        <f t="shared" si="428"/>
        <v>#REF!</v>
      </c>
      <c r="AD212" s="24" t="e">
        <f t="shared" si="428"/>
        <v>#REF!</v>
      </c>
      <c r="AE212" s="25" t="e">
        <f t="shared" si="428"/>
        <v>#REF!</v>
      </c>
      <c r="AF212" s="24" t="e">
        <f t="shared" si="428"/>
        <v>#REF!</v>
      </c>
      <c r="AG212" s="25" t="e">
        <f t="shared" si="428"/>
        <v>#REF!</v>
      </c>
      <c r="AH212" s="24" t="e">
        <f t="shared" si="428"/>
        <v>#REF!</v>
      </c>
      <c r="AI212" s="25" t="e">
        <f t="shared" si="428"/>
        <v>#REF!</v>
      </c>
      <c r="AJ212" s="24" t="e">
        <f t="shared" si="428"/>
        <v>#REF!</v>
      </c>
      <c r="AK212" s="27" t="e">
        <f t="shared" si="406"/>
        <v>#REF!</v>
      </c>
      <c r="AL212" s="26" t="e">
        <f t="shared" si="429"/>
        <v>#REF!</v>
      </c>
      <c r="AM212" s="25" t="e">
        <f t="shared" si="429"/>
        <v>#REF!</v>
      </c>
      <c r="AN212" s="24" t="e">
        <f t="shared" si="429"/>
        <v>#REF!</v>
      </c>
      <c r="AO212" s="25" t="e">
        <f t="shared" si="429"/>
        <v>#REF!</v>
      </c>
      <c r="AP212" s="24" t="e">
        <f t="shared" si="429"/>
        <v>#REF!</v>
      </c>
      <c r="AQ212" s="25" t="e">
        <f t="shared" si="429"/>
        <v>#REF!</v>
      </c>
      <c r="AR212" s="24" t="e">
        <f t="shared" si="429"/>
        <v>#REF!</v>
      </c>
      <c r="AS212" s="25" t="e">
        <f t="shared" si="429"/>
        <v>#REF!</v>
      </c>
      <c r="AT212" s="24" t="e">
        <f t="shared" si="429"/>
        <v>#REF!</v>
      </c>
      <c r="AU212" s="23" t="e">
        <f>SUM(AL212:AT212)</f>
        <v>#REF!</v>
      </c>
      <c r="CS212" s="54" t="s">
        <v>1646</v>
      </c>
      <c r="CT212" s="39">
        <v>0.15890700772449723</v>
      </c>
      <c r="CU212" s="40">
        <v>0.43741752941636658</v>
      </c>
      <c r="CV212" s="39">
        <v>0.53328213526295276</v>
      </c>
      <c r="CW212" s="40">
        <v>0.36120467044834309</v>
      </c>
      <c r="CX212" s="39">
        <v>0.60852612597725275</v>
      </c>
      <c r="CY212" s="40">
        <v>0.53041915690161157</v>
      </c>
      <c r="CZ212" s="39">
        <v>1.8426774028254553</v>
      </c>
      <c r="DA212" s="40">
        <v>1.0995227605246063</v>
      </c>
      <c r="DB212" s="39">
        <v>0.6894508508979853</v>
      </c>
      <c r="DC212" s="38">
        <v>6.2614076399790708</v>
      </c>
      <c r="DE212" s="37" t="s">
        <v>1466</v>
      </c>
      <c r="DF212" s="35" t="str">
        <f t="shared" si="407"/>
        <v>IPAFA</v>
      </c>
      <c r="DG212" s="26">
        <f t="shared" si="426"/>
        <v>0.17090751669931295</v>
      </c>
      <c r="DH212" s="25">
        <f t="shared" si="426"/>
        <v>0.15080075002880552</v>
      </c>
      <c r="DI212" s="24">
        <f t="shared" si="426"/>
        <v>1.5120288536221571</v>
      </c>
      <c r="DJ212" s="25">
        <f t="shared" si="426"/>
        <v>0.28953744005530663</v>
      </c>
      <c r="DK212" s="24">
        <f t="shared" si="426"/>
        <v>1.2868330669124739</v>
      </c>
      <c r="DL212" s="25">
        <f t="shared" si="426"/>
        <v>0.74719339369111393</v>
      </c>
      <c r="DM212" s="24">
        <f t="shared" si="426"/>
        <v>0.53963967322136008</v>
      </c>
      <c r="DN212" s="25">
        <f t="shared" si="426"/>
        <v>0.20589329070599582</v>
      </c>
      <c r="DO212" s="32">
        <f t="shared" si="426"/>
        <v>1.5956730029714676</v>
      </c>
      <c r="DP212" s="26">
        <f t="shared" si="408"/>
        <v>0.11725314846156663</v>
      </c>
      <c r="DQ212" s="25">
        <f t="shared" si="409"/>
        <v>0.11725314846156661</v>
      </c>
      <c r="DR212" s="24">
        <f t="shared" si="410"/>
        <v>0.72562620211717044</v>
      </c>
      <c r="DS212" s="25">
        <f t="shared" si="411"/>
        <v>0.72562620211717033</v>
      </c>
      <c r="DT212" s="24">
        <f t="shared" si="412"/>
        <v>0.51911163988118503</v>
      </c>
      <c r="DU212" s="25">
        <f t="shared" si="413"/>
        <v>0.51911163988118492</v>
      </c>
      <c r="DV212" s="24">
        <f t="shared" si="414"/>
        <v>0.51911163988118503</v>
      </c>
      <c r="DW212" s="25">
        <f t="shared" si="415"/>
        <v>0.803161708991179</v>
      </c>
      <c r="DX212" s="32">
        <f t="shared" si="416"/>
        <v>0.80316170899117889</v>
      </c>
      <c r="DZ212" s="54" t="s">
        <v>1425</v>
      </c>
      <c r="EA212" s="39">
        <v>0</v>
      </c>
      <c r="EB212" s="40">
        <v>0</v>
      </c>
      <c r="EC212" s="39">
        <v>0.7570162286123816</v>
      </c>
      <c r="ED212" s="40">
        <v>0.75701622861238149</v>
      </c>
      <c r="EE212" s="39">
        <v>0.40626595791386377</v>
      </c>
      <c r="EF212" s="40">
        <v>0.40626595791386372</v>
      </c>
      <c r="EG212" s="39">
        <v>0.40626595791386377</v>
      </c>
      <c r="EH212" s="40">
        <v>0</v>
      </c>
      <c r="EI212" s="66">
        <v>0</v>
      </c>
    </row>
    <row r="213" spans="1:139">
      <c r="A213" s="37" t="s">
        <v>1793</v>
      </c>
      <c r="B213" s="36" t="s">
        <v>1107</v>
      </c>
      <c r="C213" s="1" t="s">
        <v>1120</v>
      </c>
      <c r="D213" s="36" t="s">
        <v>1120</v>
      </c>
      <c r="E213" s="36" t="s">
        <v>1831</v>
      </c>
      <c r="F213" s="1" t="e">
        <f t="shared" ca="1" si="391"/>
        <v>#NAME?</v>
      </c>
      <c r="G213" s="35" t="s">
        <v>1109</v>
      </c>
      <c r="H213" s="34">
        <f>1-I213</f>
        <v>0.55237317003689779</v>
      </c>
      <c r="I213" s="33">
        <v>0.44762682996310221</v>
      </c>
      <c r="J213" s="26">
        <v>2.733330241553384E-3</v>
      </c>
      <c r="K213" s="25">
        <v>6.5953754954763849E-4</v>
      </c>
      <c r="L213" s="24"/>
      <c r="M213" s="25"/>
      <c r="N213" s="24"/>
      <c r="O213" s="25"/>
      <c r="P213" s="24"/>
      <c r="Q213" s="25"/>
      <c r="R213" s="32"/>
      <c r="S213" s="31" t="e">
        <v>#REF!</v>
      </c>
      <c r="T213" s="29" t="e">
        <f t="shared" si="427"/>
        <v>#REF!</v>
      </c>
      <c r="U213" s="30" t="e">
        <f t="shared" si="427"/>
        <v>#REF!</v>
      </c>
      <c r="V213" s="29" t="e">
        <f t="shared" si="427"/>
        <v>#REF!</v>
      </c>
      <c r="W213" s="30" t="e">
        <f t="shared" si="427"/>
        <v>#REF!</v>
      </c>
      <c r="X213" s="29" t="e">
        <f t="shared" si="427"/>
        <v>#REF!</v>
      </c>
      <c r="Y213" s="30" t="e">
        <f t="shared" si="427"/>
        <v>#REF!</v>
      </c>
      <c r="Z213" s="29" t="e">
        <f t="shared" si="427"/>
        <v>#REF!</v>
      </c>
      <c r="AA213" s="28" t="e">
        <f t="shared" si="427"/>
        <v>#REF!</v>
      </c>
      <c r="AB213" s="26" t="e">
        <f t="shared" si="428"/>
        <v>#REF!</v>
      </c>
      <c r="AC213" s="25" t="e">
        <f t="shared" si="428"/>
        <v>#REF!</v>
      </c>
      <c r="AD213" s="24" t="e">
        <f t="shared" si="428"/>
        <v>#REF!</v>
      </c>
      <c r="AE213" s="25" t="e">
        <f t="shared" si="428"/>
        <v>#REF!</v>
      </c>
      <c r="AF213" s="24" t="e">
        <f t="shared" si="428"/>
        <v>#REF!</v>
      </c>
      <c r="AG213" s="25" t="e">
        <f t="shared" si="428"/>
        <v>#REF!</v>
      </c>
      <c r="AH213" s="24" t="e">
        <f t="shared" si="428"/>
        <v>#REF!</v>
      </c>
      <c r="AI213" s="25" t="e">
        <f t="shared" si="428"/>
        <v>#REF!</v>
      </c>
      <c r="AJ213" s="24" t="e">
        <f t="shared" si="428"/>
        <v>#REF!</v>
      </c>
      <c r="AK213" s="27" t="e">
        <f t="shared" si="406"/>
        <v>#REF!</v>
      </c>
      <c r="AL213" s="26" t="e">
        <f t="shared" si="429"/>
        <v>#REF!</v>
      </c>
      <c r="AM213" s="25" t="e">
        <f t="shared" si="429"/>
        <v>#REF!</v>
      </c>
      <c r="AN213" s="24" t="e">
        <f t="shared" si="429"/>
        <v>#REF!</v>
      </c>
      <c r="AO213" s="25" t="e">
        <f t="shared" si="429"/>
        <v>#REF!</v>
      </c>
      <c r="AP213" s="24" t="e">
        <f t="shared" si="429"/>
        <v>#REF!</v>
      </c>
      <c r="AQ213" s="25" t="e">
        <f t="shared" si="429"/>
        <v>#REF!</v>
      </c>
      <c r="AR213" s="24" t="e">
        <f t="shared" si="429"/>
        <v>#REF!</v>
      </c>
      <c r="AS213" s="25" t="e">
        <f t="shared" si="429"/>
        <v>#REF!</v>
      </c>
      <c r="AT213" s="24" t="e">
        <f t="shared" si="429"/>
        <v>#REF!</v>
      </c>
      <c r="AU213" s="23" t="e">
        <f>SUM(AL213:AT213)</f>
        <v>#REF!</v>
      </c>
      <c r="CS213" s="54" t="s">
        <v>1643</v>
      </c>
      <c r="CT213" s="39">
        <v>0.86919982731545098</v>
      </c>
      <c r="CU213" s="40">
        <v>2.3926146900495984</v>
      </c>
      <c r="CV213" s="39">
        <v>2.9169811106418284</v>
      </c>
      <c r="CW213" s="40">
        <v>1.9757406654057461</v>
      </c>
      <c r="CX213" s="39">
        <v>2.8292722234968108</v>
      </c>
      <c r="CY213" s="40">
        <v>2.4661228554851298</v>
      </c>
      <c r="CZ213" s="39">
        <v>8.5673166198195201</v>
      </c>
      <c r="DA213" s="40">
        <v>2.505933625538864</v>
      </c>
      <c r="DB213" s="39">
        <v>1.5713345211674481</v>
      </c>
      <c r="DC213" s="38">
        <v>26.094516138920394</v>
      </c>
      <c r="DE213" s="37" t="s">
        <v>1461</v>
      </c>
      <c r="DF213" s="35" t="str">
        <f t="shared" si="407"/>
        <v>IPAFA</v>
      </c>
      <c r="DG213" s="26">
        <f t="shared" si="426"/>
        <v>0.42723608451040174</v>
      </c>
      <c r="DH213" s="25">
        <f t="shared" si="426"/>
        <v>0.37697301574447206</v>
      </c>
      <c r="DI213" s="24">
        <f t="shared" si="426"/>
        <v>0.51614680699131088</v>
      </c>
      <c r="DJ213" s="25">
        <f t="shared" si="426"/>
        <v>9.8836622615357403E-2</v>
      </c>
      <c r="DK213" s="24">
        <f t="shared" si="426"/>
        <v>0.44941096778948836</v>
      </c>
      <c r="DL213" s="25">
        <f t="shared" si="426"/>
        <v>0.26094830387776746</v>
      </c>
      <c r="DM213" s="24">
        <f t="shared" si="426"/>
        <v>0.18846266391172092</v>
      </c>
      <c r="DN213" s="25">
        <f t="shared" si="426"/>
        <v>5.0460178839521502E-2</v>
      </c>
      <c r="DO213" s="32">
        <f t="shared" si="426"/>
        <v>0.39106638600629157</v>
      </c>
      <c r="DP213" s="26">
        <f t="shared" si="408"/>
        <v>0.293110431961697</v>
      </c>
      <c r="DQ213" s="25">
        <f t="shared" si="409"/>
        <v>0.29311043196169695</v>
      </c>
      <c r="DR213" s="24">
        <f t="shared" si="410"/>
        <v>0.24770006630151306</v>
      </c>
      <c r="DS213" s="25">
        <f t="shared" si="411"/>
        <v>0.24770006630151309</v>
      </c>
      <c r="DT213" s="24">
        <f t="shared" si="412"/>
        <v>0.18129349522354141</v>
      </c>
      <c r="DU213" s="25">
        <f t="shared" si="413"/>
        <v>0.18129349522354138</v>
      </c>
      <c r="DV213" s="24">
        <f t="shared" si="414"/>
        <v>0.18129349522354138</v>
      </c>
      <c r="DW213" s="25">
        <f t="shared" si="415"/>
        <v>0.19683829100882114</v>
      </c>
      <c r="DX213" s="32">
        <f t="shared" si="416"/>
        <v>0.19683829100882111</v>
      </c>
      <c r="DZ213" s="54" t="s">
        <v>1416</v>
      </c>
      <c r="EA213" s="39">
        <v>0.91650525835033725</v>
      </c>
      <c r="EB213" s="40">
        <v>0.91650525835033714</v>
      </c>
      <c r="EC213" s="39">
        <v>0.1550548370350455</v>
      </c>
      <c r="ED213" s="40">
        <v>0.15505483703504547</v>
      </c>
      <c r="EE213" s="39">
        <v>0.44249253416399059</v>
      </c>
      <c r="EF213" s="40">
        <v>0.44249253416399054</v>
      </c>
      <c r="EG213" s="39">
        <v>0.44249253416399059</v>
      </c>
      <c r="EH213" s="40">
        <v>0.75823389948214248</v>
      </c>
      <c r="EI213" s="66">
        <v>0.75823389948214248</v>
      </c>
    </row>
    <row r="214" spans="1:139">
      <c r="A214" s="37" t="s">
        <v>1793</v>
      </c>
      <c r="B214" s="36" t="s">
        <v>1107</v>
      </c>
      <c r="C214" s="1" t="s">
        <v>1126</v>
      </c>
      <c r="D214" s="36" t="s">
        <v>1126</v>
      </c>
      <c r="E214" s="36" t="s">
        <v>1830</v>
      </c>
      <c r="F214" s="1" t="e">
        <f t="shared" ca="1" si="391"/>
        <v>#NAME?</v>
      </c>
      <c r="G214" s="35" t="s">
        <v>1104</v>
      </c>
      <c r="H214" s="43">
        <v>1</v>
      </c>
      <c r="I214" s="42">
        <v>0</v>
      </c>
      <c r="J214" s="26">
        <v>0.9701991230999345</v>
      </c>
      <c r="K214" s="25">
        <v>0.84566985529983107</v>
      </c>
      <c r="L214" s="24"/>
      <c r="M214" s="25"/>
      <c r="N214" s="24"/>
      <c r="O214" s="25"/>
      <c r="P214" s="24"/>
      <c r="Q214" s="25"/>
      <c r="R214" s="32"/>
      <c r="S214" s="31" t="e">
        <v>#REF!</v>
      </c>
      <c r="T214" s="29" t="e">
        <f t="shared" si="427"/>
        <v>#REF!</v>
      </c>
      <c r="U214" s="30" t="e">
        <f t="shared" si="427"/>
        <v>#REF!</v>
      </c>
      <c r="V214" s="29" t="e">
        <f t="shared" si="427"/>
        <v>#REF!</v>
      </c>
      <c r="W214" s="30" t="e">
        <f t="shared" si="427"/>
        <v>#REF!</v>
      </c>
      <c r="X214" s="29" t="e">
        <f t="shared" si="427"/>
        <v>#REF!</v>
      </c>
      <c r="Y214" s="30" t="e">
        <f t="shared" si="427"/>
        <v>#REF!</v>
      </c>
      <c r="Z214" s="29" t="e">
        <f t="shared" si="427"/>
        <v>#REF!</v>
      </c>
      <c r="AA214" s="28" t="e">
        <f t="shared" si="427"/>
        <v>#REF!</v>
      </c>
      <c r="AB214" s="26" t="e">
        <f t="shared" ref="AB214:AJ214" si="430">J214*$H214*S214</f>
        <v>#REF!</v>
      </c>
      <c r="AC214" s="25" t="e">
        <f t="shared" si="430"/>
        <v>#REF!</v>
      </c>
      <c r="AD214" s="24" t="e">
        <f t="shared" si="430"/>
        <v>#REF!</v>
      </c>
      <c r="AE214" s="25" t="e">
        <f t="shared" si="430"/>
        <v>#REF!</v>
      </c>
      <c r="AF214" s="24" t="e">
        <f t="shared" si="430"/>
        <v>#REF!</v>
      </c>
      <c r="AG214" s="25" t="e">
        <f t="shared" si="430"/>
        <v>#REF!</v>
      </c>
      <c r="AH214" s="24" t="e">
        <f t="shared" si="430"/>
        <v>#REF!</v>
      </c>
      <c r="AI214" s="25" t="e">
        <f t="shared" si="430"/>
        <v>#REF!</v>
      </c>
      <c r="AJ214" s="24" t="e">
        <f t="shared" si="430"/>
        <v>#REF!</v>
      </c>
      <c r="AK214" s="27" t="e">
        <f t="shared" si="406"/>
        <v>#REF!</v>
      </c>
      <c r="AL214" s="41">
        <v>0</v>
      </c>
      <c r="AM214" s="40">
        <v>0</v>
      </c>
      <c r="AN214" s="39">
        <v>0</v>
      </c>
      <c r="AO214" s="40">
        <v>0</v>
      </c>
      <c r="AP214" s="39">
        <v>0</v>
      </c>
      <c r="AQ214" s="40">
        <v>0</v>
      </c>
      <c r="AR214" s="39">
        <v>0</v>
      </c>
      <c r="AS214" s="40">
        <v>0</v>
      </c>
      <c r="AT214" s="39">
        <v>0</v>
      </c>
      <c r="AU214" s="38">
        <v>0</v>
      </c>
      <c r="CS214" s="54" t="s">
        <v>1640</v>
      </c>
      <c r="CT214" s="39">
        <v>0.10900620053656652</v>
      </c>
      <c r="CU214" s="40">
        <v>0.30005739591067365</v>
      </c>
      <c r="CV214" s="39">
        <v>0.50808069214209262</v>
      </c>
      <c r="CW214" s="40">
        <v>0.34413513378965782</v>
      </c>
      <c r="CX214" s="39">
        <v>0.42439080504410986</v>
      </c>
      <c r="CY214" s="40">
        <v>0.36991840349794214</v>
      </c>
      <c r="CZ214" s="39">
        <v>1.2850974067314194</v>
      </c>
      <c r="DA214" s="40">
        <v>0.37712244489576263</v>
      </c>
      <c r="DB214" s="39">
        <v>0.23647294977509775</v>
      </c>
      <c r="DC214" s="38">
        <v>3.9542814323233229</v>
      </c>
      <c r="DE214" s="37" t="s">
        <v>1457</v>
      </c>
      <c r="DF214" s="35" t="str">
        <f t="shared" si="407"/>
        <v>IPAFA</v>
      </c>
      <c r="DG214" s="26">
        <f t="shared" si="426"/>
        <v>0.28145566727605104</v>
      </c>
      <c r="DH214" s="25">
        <f t="shared" si="426"/>
        <v>0.24834323583180976</v>
      </c>
      <c r="DI214" s="24">
        <f t="shared" si="426"/>
        <v>5.5581581352833614E-2</v>
      </c>
      <c r="DJ214" s="25">
        <f t="shared" si="426"/>
        <v>1.0643281535648988E-2</v>
      </c>
      <c r="DK214" s="24">
        <f t="shared" si="426"/>
        <v>0.19867458866544785</v>
      </c>
      <c r="DL214" s="25">
        <f t="shared" si="426"/>
        <v>0.11535943857993747</v>
      </c>
      <c r="DM214" s="24">
        <f t="shared" si="426"/>
        <v>8.3315150085510395E-2</v>
      </c>
      <c r="DN214" s="25">
        <f t="shared" si="426"/>
        <v>0</v>
      </c>
      <c r="DO214" s="32">
        <f t="shared" si="426"/>
        <v>0</v>
      </c>
      <c r="DP214" s="26">
        <f t="shared" si="408"/>
        <v>0.19309603098692019</v>
      </c>
      <c r="DQ214" s="25">
        <f t="shared" si="409"/>
        <v>0.19309603098692019</v>
      </c>
      <c r="DR214" s="24">
        <f t="shared" si="410"/>
        <v>2.6673731581316553E-2</v>
      </c>
      <c r="DS214" s="25">
        <f t="shared" si="411"/>
        <v>2.667373158131655E-2</v>
      </c>
      <c r="DT214" s="24">
        <f t="shared" si="412"/>
        <v>8.014582013523544E-2</v>
      </c>
      <c r="DU214" s="25">
        <f t="shared" si="413"/>
        <v>8.0145820135235427E-2</v>
      </c>
      <c r="DV214" s="24">
        <f t="shared" si="414"/>
        <v>8.014582013523544E-2</v>
      </c>
      <c r="DW214" s="25">
        <f t="shared" si="415"/>
        <v>0</v>
      </c>
      <c r="DX214" s="32">
        <f t="shared" si="416"/>
        <v>0</v>
      </c>
      <c r="DZ214" s="54" t="s">
        <v>1404</v>
      </c>
      <c r="EA214" s="39">
        <v>5.6245345870717639E-2</v>
      </c>
      <c r="EB214" s="40">
        <v>5.6245345870717646E-2</v>
      </c>
      <c r="EC214" s="39">
        <v>0.16897957854736301</v>
      </c>
      <c r="ED214" s="40">
        <v>0.16897957854736298</v>
      </c>
      <c r="EE214" s="39">
        <v>8.7470796155055597E-2</v>
      </c>
      <c r="EF214" s="40">
        <v>8.7470796155055597E-2</v>
      </c>
      <c r="EG214" s="39">
        <v>8.7470796155055597E-2</v>
      </c>
      <c r="EH214" s="40">
        <v>0</v>
      </c>
      <c r="EI214" s="66">
        <v>0</v>
      </c>
    </row>
    <row r="215" spans="1:139">
      <c r="A215" s="37" t="s">
        <v>1793</v>
      </c>
      <c r="B215" s="36" t="s">
        <v>1107</v>
      </c>
      <c r="C215" s="1" t="s">
        <v>456</v>
      </c>
      <c r="D215" s="36" t="s">
        <v>456</v>
      </c>
      <c r="E215" s="36" t="s">
        <v>1829</v>
      </c>
      <c r="F215" s="1" t="e">
        <f t="shared" ca="1" si="391"/>
        <v>#NAME?</v>
      </c>
      <c r="G215" s="35" t="s">
        <v>1109</v>
      </c>
      <c r="H215" s="34">
        <f>1-I215</f>
        <v>0.89746611460637016</v>
      </c>
      <c r="I215" s="33">
        <v>0.10253388539362981</v>
      </c>
      <c r="J215" s="26" t="e">
        <v>#REF!</v>
      </c>
      <c r="K215" s="25" t="e">
        <v>#REF!</v>
      </c>
      <c r="L215" s="24"/>
      <c r="M215" s="25"/>
      <c r="N215" s="24"/>
      <c r="O215" s="25"/>
      <c r="P215" s="24"/>
      <c r="Q215" s="25"/>
      <c r="R215" s="32"/>
      <c r="S215" s="31" t="e">
        <v>#REF!</v>
      </c>
      <c r="T215" s="29" t="e">
        <f t="shared" si="427"/>
        <v>#REF!</v>
      </c>
      <c r="U215" s="30" t="e">
        <f t="shared" si="427"/>
        <v>#REF!</v>
      </c>
      <c r="V215" s="29" t="e">
        <f t="shared" si="427"/>
        <v>#REF!</v>
      </c>
      <c r="W215" s="30" t="e">
        <f t="shared" si="427"/>
        <v>#REF!</v>
      </c>
      <c r="X215" s="29" t="e">
        <f t="shared" si="427"/>
        <v>#REF!</v>
      </c>
      <c r="Y215" s="30" t="e">
        <f t="shared" si="427"/>
        <v>#REF!</v>
      </c>
      <c r="Z215" s="29" t="e">
        <f t="shared" si="427"/>
        <v>#REF!</v>
      </c>
      <c r="AA215" s="28" t="e">
        <f t="shared" si="427"/>
        <v>#REF!</v>
      </c>
      <c r="AB215" s="26" t="e">
        <f t="shared" ref="AB215:AJ219" si="431">J215*31.536*$H215*S215</f>
        <v>#REF!</v>
      </c>
      <c r="AC215" s="25" t="e">
        <f t="shared" si="431"/>
        <v>#REF!</v>
      </c>
      <c r="AD215" s="24" t="e">
        <f t="shared" si="431"/>
        <v>#REF!</v>
      </c>
      <c r="AE215" s="25" t="e">
        <f t="shared" si="431"/>
        <v>#REF!</v>
      </c>
      <c r="AF215" s="24" t="e">
        <f t="shared" si="431"/>
        <v>#REF!</v>
      </c>
      <c r="AG215" s="25" t="e">
        <f t="shared" si="431"/>
        <v>#REF!</v>
      </c>
      <c r="AH215" s="24" t="e">
        <f t="shared" si="431"/>
        <v>#REF!</v>
      </c>
      <c r="AI215" s="25" t="e">
        <f t="shared" si="431"/>
        <v>#REF!</v>
      </c>
      <c r="AJ215" s="24" t="e">
        <f t="shared" si="431"/>
        <v>#REF!</v>
      </c>
      <c r="AK215" s="27" t="e">
        <f t="shared" si="406"/>
        <v>#REF!</v>
      </c>
      <c r="AL215" s="26" t="e">
        <f t="shared" ref="AL215:AT219" si="432">J215*31.536*$I215*S215</f>
        <v>#REF!</v>
      </c>
      <c r="AM215" s="25" t="e">
        <f t="shared" si="432"/>
        <v>#REF!</v>
      </c>
      <c r="AN215" s="24" t="e">
        <f t="shared" si="432"/>
        <v>#REF!</v>
      </c>
      <c r="AO215" s="25" t="e">
        <f t="shared" si="432"/>
        <v>#REF!</v>
      </c>
      <c r="AP215" s="24" t="e">
        <f t="shared" si="432"/>
        <v>#REF!</v>
      </c>
      <c r="AQ215" s="25" t="e">
        <f t="shared" si="432"/>
        <v>#REF!</v>
      </c>
      <c r="AR215" s="24" t="e">
        <f t="shared" si="432"/>
        <v>#REF!</v>
      </c>
      <c r="AS215" s="25" t="e">
        <f t="shared" si="432"/>
        <v>#REF!</v>
      </c>
      <c r="AT215" s="24" t="e">
        <f t="shared" si="432"/>
        <v>#REF!</v>
      </c>
      <c r="AU215" s="23" t="e">
        <f>SUM(AL215:AT215)</f>
        <v>#REF!</v>
      </c>
      <c r="CS215" s="54" t="s">
        <v>1750</v>
      </c>
      <c r="CT215" s="39">
        <v>3.7791296839802216E-2</v>
      </c>
      <c r="CU215" s="40">
        <v>0.10402672565433035</v>
      </c>
      <c r="CV215" s="39">
        <v>0.12682526568007951</v>
      </c>
      <c r="CW215" s="40">
        <v>8.5901768061119391E-2</v>
      </c>
      <c r="CX215" s="39">
        <v>0.12301183580420917</v>
      </c>
      <c r="CY215" s="40">
        <v>0.10722273284717955</v>
      </c>
      <c r="CZ215" s="39">
        <v>0.37249202694867478</v>
      </c>
      <c r="DA215" s="40">
        <v>0.1089536358929941</v>
      </c>
      <c r="DB215" s="39">
        <v>6.8318892224671662E-2</v>
      </c>
      <c r="DC215" s="38">
        <v>1.1345441799530607</v>
      </c>
      <c r="DE215" s="37" t="s">
        <v>1347</v>
      </c>
      <c r="DF215" s="35" t="str">
        <f t="shared" si="407"/>
        <v>IPBFA</v>
      </c>
      <c r="DG215" s="26">
        <f t="shared" si="426"/>
        <v>0</v>
      </c>
      <c r="DH215" s="25">
        <f t="shared" si="426"/>
        <v>0</v>
      </c>
      <c r="DI215" s="24">
        <f t="shared" si="426"/>
        <v>0</v>
      </c>
      <c r="DJ215" s="25">
        <f t="shared" si="426"/>
        <v>0</v>
      </c>
      <c r="DK215" s="24">
        <f t="shared" si="426"/>
        <v>0.54399529042386219</v>
      </c>
      <c r="DL215" s="25">
        <f t="shared" si="426"/>
        <v>0.31586823314933937</v>
      </c>
      <c r="DM215" s="24">
        <f t="shared" si="426"/>
        <v>0.22812705727452287</v>
      </c>
      <c r="DN215" s="25">
        <f t="shared" si="426"/>
        <v>0.12434178066831135</v>
      </c>
      <c r="DO215" s="32">
        <f t="shared" si="426"/>
        <v>0.96364880017941301</v>
      </c>
      <c r="DP215" s="26">
        <f t="shared" si="408"/>
        <v>0</v>
      </c>
      <c r="DQ215" s="25">
        <f t="shared" si="409"/>
        <v>0</v>
      </c>
      <c r="DR215" s="24">
        <f t="shared" si="410"/>
        <v>0</v>
      </c>
      <c r="DS215" s="25">
        <f t="shared" si="411"/>
        <v>0</v>
      </c>
      <c r="DT215" s="24">
        <f t="shared" si="412"/>
        <v>0.21168603614300222</v>
      </c>
      <c r="DU215" s="25">
        <f t="shared" si="413"/>
        <v>0.21168603614300222</v>
      </c>
      <c r="DV215" s="24">
        <f t="shared" si="414"/>
        <v>0.21168603614300216</v>
      </c>
      <c r="DW215" s="25">
        <f t="shared" si="415"/>
        <v>0.4606132246210104</v>
      </c>
      <c r="DX215" s="32">
        <f t="shared" si="416"/>
        <v>0.46061322462101045</v>
      </c>
      <c r="DZ215" s="54" t="s">
        <v>1413</v>
      </c>
      <c r="EA215" s="39">
        <v>0</v>
      </c>
      <c r="EB215" s="40">
        <v>0</v>
      </c>
      <c r="EC215" s="39">
        <v>2.3839429391923571E-3</v>
      </c>
      <c r="ED215" s="40">
        <v>2.3839429391923567E-3</v>
      </c>
      <c r="EE215" s="39">
        <v>3.7020814350226072E-3</v>
      </c>
      <c r="EF215" s="40">
        <v>3.7020814350226068E-3</v>
      </c>
      <c r="EG215" s="39">
        <v>3.7020814350226072E-3</v>
      </c>
      <c r="EH215" s="40">
        <v>0</v>
      </c>
      <c r="EI215" s="66">
        <v>0</v>
      </c>
    </row>
    <row r="216" spans="1:139">
      <c r="A216" s="37" t="s">
        <v>1793</v>
      </c>
      <c r="B216" s="36" t="s">
        <v>1107</v>
      </c>
      <c r="C216" s="1" t="s">
        <v>456</v>
      </c>
      <c r="D216" s="36" t="s">
        <v>456</v>
      </c>
      <c r="E216" s="36" t="s">
        <v>1828</v>
      </c>
      <c r="F216" s="1" t="e">
        <f t="shared" ca="1" si="391"/>
        <v>#NAME?</v>
      </c>
      <c r="G216" s="35" t="s">
        <v>1109</v>
      </c>
      <c r="H216" s="34">
        <f>1-I216</f>
        <v>0.49706941581455599</v>
      </c>
      <c r="I216" s="33">
        <v>0.50293058418544401</v>
      </c>
      <c r="J216" s="26">
        <v>7.6619578893278534E-5</v>
      </c>
      <c r="K216" s="25">
        <v>1.7623004784328961E-2</v>
      </c>
      <c r="L216" s="24"/>
      <c r="M216" s="25"/>
      <c r="N216" s="24"/>
      <c r="O216" s="25"/>
      <c r="P216" s="24"/>
      <c r="Q216" s="25"/>
      <c r="R216" s="32"/>
      <c r="S216" s="31" t="e">
        <v>#REF!</v>
      </c>
      <c r="T216" s="29" t="e">
        <f t="shared" si="427"/>
        <v>#REF!</v>
      </c>
      <c r="U216" s="30" t="e">
        <f t="shared" si="427"/>
        <v>#REF!</v>
      </c>
      <c r="V216" s="29" t="e">
        <f t="shared" si="427"/>
        <v>#REF!</v>
      </c>
      <c r="W216" s="30" t="e">
        <f t="shared" si="427"/>
        <v>#REF!</v>
      </c>
      <c r="X216" s="29" t="e">
        <f t="shared" si="427"/>
        <v>#REF!</v>
      </c>
      <c r="Y216" s="30" t="e">
        <f t="shared" si="427"/>
        <v>#REF!</v>
      </c>
      <c r="Z216" s="29" t="e">
        <f t="shared" si="427"/>
        <v>#REF!</v>
      </c>
      <c r="AA216" s="28" t="e">
        <f t="shared" si="427"/>
        <v>#REF!</v>
      </c>
      <c r="AB216" s="26" t="e">
        <f t="shared" si="431"/>
        <v>#REF!</v>
      </c>
      <c r="AC216" s="25" t="e">
        <f t="shared" si="431"/>
        <v>#REF!</v>
      </c>
      <c r="AD216" s="24" t="e">
        <f t="shared" si="431"/>
        <v>#REF!</v>
      </c>
      <c r="AE216" s="25" t="e">
        <f t="shared" si="431"/>
        <v>#REF!</v>
      </c>
      <c r="AF216" s="24" t="e">
        <f t="shared" si="431"/>
        <v>#REF!</v>
      </c>
      <c r="AG216" s="25" t="e">
        <f t="shared" si="431"/>
        <v>#REF!</v>
      </c>
      <c r="AH216" s="24" t="e">
        <f t="shared" si="431"/>
        <v>#REF!</v>
      </c>
      <c r="AI216" s="25" t="e">
        <f t="shared" si="431"/>
        <v>#REF!</v>
      </c>
      <c r="AJ216" s="24" t="e">
        <f t="shared" si="431"/>
        <v>#REF!</v>
      </c>
      <c r="AK216" s="27" t="e">
        <f t="shared" si="406"/>
        <v>#REF!</v>
      </c>
      <c r="AL216" s="26" t="e">
        <f t="shared" si="432"/>
        <v>#REF!</v>
      </c>
      <c r="AM216" s="25" t="e">
        <f t="shared" si="432"/>
        <v>#REF!</v>
      </c>
      <c r="AN216" s="24" t="e">
        <f t="shared" si="432"/>
        <v>#REF!</v>
      </c>
      <c r="AO216" s="25" t="e">
        <f t="shared" si="432"/>
        <v>#REF!</v>
      </c>
      <c r="AP216" s="24" t="e">
        <f t="shared" si="432"/>
        <v>#REF!</v>
      </c>
      <c r="AQ216" s="25" t="e">
        <f t="shared" si="432"/>
        <v>#REF!</v>
      </c>
      <c r="AR216" s="24" t="e">
        <f t="shared" si="432"/>
        <v>#REF!</v>
      </c>
      <c r="AS216" s="25" t="e">
        <f t="shared" si="432"/>
        <v>#REF!</v>
      </c>
      <c r="AT216" s="24" t="e">
        <f t="shared" si="432"/>
        <v>#REF!</v>
      </c>
      <c r="AU216" s="23" t="e">
        <f>SUM(AL216:AT216)</f>
        <v>#REF!</v>
      </c>
      <c r="CS216" s="54" t="s">
        <v>1747</v>
      </c>
      <c r="CT216" s="39">
        <v>0.18167700089427755</v>
      </c>
      <c r="CU216" s="40">
        <v>0.50009565985112281</v>
      </c>
      <c r="CV216" s="39">
        <v>0.8468011535701544</v>
      </c>
      <c r="CW216" s="40">
        <v>0.57355855631609642</v>
      </c>
      <c r="CX216" s="39">
        <v>0.70731800840684989</v>
      </c>
      <c r="CY216" s="40">
        <v>0.61653067249657034</v>
      </c>
      <c r="CZ216" s="39">
        <v>2.1418290112190324</v>
      </c>
      <c r="DA216" s="40">
        <v>0.62853740815960435</v>
      </c>
      <c r="DB216" s="39">
        <v>0.39412158295849631</v>
      </c>
      <c r="DC216" s="38">
        <v>6.5904690538722051</v>
      </c>
      <c r="DE216" s="37" t="s">
        <v>1345</v>
      </c>
      <c r="DF216" s="35" t="str">
        <f t="shared" si="407"/>
        <v>IPBFA</v>
      </c>
      <c r="DG216" s="26">
        <f t="shared" si="426"/>
        <v>0.14338850977315237</v>
      </c>
      <c r="DH216" s="25">
        <f t="shared" si="426"/>
        <v>0.12651927332925211</v>
      </c>
      <c r="DI216" s="24">
        <f t="shared" si="426"/>
        <v>0.40775354375827538</v>
      </c>
      <c r="DJ216" s="25">
        <f t="shared" si="426"/>
        <v>7.8080465826052728E-2</v>
      </c>
      <c r="DK216" s="24">
        <f t="shared" si="426"/>
        <v>0.89069568423793477</v>
      </c>
      <c r="DL216" s="25">
        <f t="shared" si="426"/>
        <v>0.51717813923492983</v>
      </c>
      <c r="DM216" s="24">
        <f t="shared" si="426"/>
        <v>0.37351754500300494</v>
      </c>
      <c r="DN216" s="25">
        <f t="shared" si="426"/>
        <v>7.4031849079516654E-2</v>
      </c>
      <c r="DO216" s="32">
        <f t="shared" si="426"/>
        <v>0.57374683036625418</v>
      </c>
      <c r="DP216" s="26">
        <f t="shared" si="408"/>
        <v>0.46292613593528054</v>
      </c>
      <c r="DQ216" s="25">
        <f t="shared" si="409"/>
        <v>0.46292613593528054</v>
      </c>
      <c r="DR216" s="24">
        <f t="shared" si="410"/>
        <v>0.4821058740589193</v>
      </c>
      <c r="DS216" s="25">
        <f t="shared" si="411"/>
        <v>0.48210587405891936</v>
      </c>
      <c r="DT216" s="24">
        <f t="shared" si="412"/>
        <v>0.34659829253135194</v>
      </c>
      <c r="DU216" s="25">
        <f t="shared" si="413"/>
        <v>0.34659829253135188</v>
      </c>
      <c r="DV216" s="24">
        <f t="shared" si="414"/>
        <v>0.34659829253135188</v>
      </c>
      <c r="DW216" s="25">
        <f t="shared" si="415"/>
        <v>0.27424449405414203</v>
      </c>
      <c r="DX216" s="32">
        <f t="shared" si="416"/>
        <v>0.27424449405414214</v>
      </c>
      <c r="DZ216" s="54" t="s">
        <v>1410</v>
      </c>
      <c r="EA216" s="39">
        <v>0.19023070175143741</v>
      </c>
      <c r="EB216" s="40">
        <v>0.19023070175143744</v>
      </c>
      <c r="EC216" s="39">
        <v>0.10636544044684844</v>
      </c>
      <c r="ED216" s="40">
        <v>0.10636544044684844</v>
      </c>
      <c r="EE216" s="39">
        <v>0.28104813196279627</v>
      </c>
      <c r="EF216" s="40">
        <v>0.28104813196279627</v>
      </c>
      <c r="EG216" s="39">
        <v>0.28104813196279627</v>
      </c>
      <c r="EH216" s="40">
        <v>0.25364386032119995</v>
      </c>
      <c r="EI216" s="66">
        <v>0.2536438603211999</v>
      </c>
    </row>
    <row r="217" spans="1:139">
      <c r="A217" s="37" t="s">
        <v>1793</v>
      </c>
      <c r="B217" s="36" t="s">
        <v>1107</v>
      </c>
      <c r="C217" s="1" t="s">
        <v>456</v>
      </c>
      <c r="D217" s="36" t="s">
        <v>456</v>
      </c>
      <c r="E217" s="36" t="s">
        <v>1827</v>
      </c>
      <c r="F217" s="1" t="e">
        <f t="shared" ca="1" si="391"/>
        <v>#NAME?</v>
      </c>
      <c r="G217" s="35" t="s">
        <v>1109</v>
      </c>
      <c r="H217" s="34">
        <f>1-I217</f>
        <v>0.31721749874010363</v>
      </c>
      <c r="I217" s="33">
        <v>0.68278250125989637</v>
      </c>
      <c r="J217" s="26">
        <v>0</v>
      </c>
      <c r="K217" s="25">
        <v>0</v>
      </c>
      <c r="L217" s="24"/>
      <c r="M217" s="25"/>
      <c r="N217" s="24"/>
      <c r="O217" s="25"/>
      <c r="P217" s="24"/>
      <c r="Q217" s="25"/>
      <c r="R217" s="32"/>
      <c r="S217" s="31" t="e">
        <v>#REF!</v>
      </c>
      <c r="T217" s="29" t="e">
        <f t="shared" si="427"/>
        <v>#REF!</v>
      </c>
      <c r="U217" s="30" t="e">
        <f t="shared" si="427"/>
        <v>#REF!</v>
      </c>
      <c r="V217" s="29" t="e">
        <f t="shared" si="427"/>
        <v>#REF!</v>
      </c>
      <c r="W217" s="30" t="e">
        <f t="shared" si="427"/>
        <v>#REF!</v>
      </c>
      <c r="X217" s="29" t="e">
        <f t="shared" si="427"/>
        <v>#REF!</v>
      </c>
      <c r="Y217" s="30" t="e">
        <f t="shared" si="427"/>
        <v>#REF!</v>
      </c>
      <c r="Z217" s="29" t="e">
        <f t="shared" si="427"/>
        <v>#REF!</v>
      </c>
      <c r="AA217" s="28" t="e">
        <f t="shared" si="427"/>
        <v>#REF!</v>
      </c>
      <c r="AB217" s="26" t="e">
        <f t="shared" si="431"/>
        <v>#REF!</v>
      </c>
      <c r="AC217" s="25" t="e">
        <f t="shared" si="431"/>
        <v>#REF!</v>
      </c>
      <c r="AD217" s="24" t="e">
        <f t="shared" si="431"/>
        <v>#REF!</v>
      </c>
      <c r="AE217" s="25" t="e">
        <f t="shared" si="431"/>
        <v>#REF!</v>
      </c>
      <c r="AF217" s="24" t="e">
        <f t="shared" si="431"/>
        <v>#REF!</v>
      </c>
      <c r="AG217" s="25" t="e">
        <f t="shared" si="431"/>
        <v>#REF!</v>
      </c>
      <c r="AH217" s="24" t="e">
        <f t="shared" si="431"/>
        <v>#REF!</v>
      </c>
      <c r="AI217" s="25" t="e">
        <f t="shared" si="431"/>
        <v>#REF!</v>
      </c>
      <c r="AJ217" s="24" t="e">
        <f t="shared" si="431"/>
        <v>#REF!</v>
      </c>
      <c r="AK217" s="27" t="e">
        <f t="shared" si="406"/>
        <v>#REF!</v>
      </c>
      <c r="AL217" s="26" t="e">
        <f t="shared" si="432"/>
        <v>#REF!</v>
      </c>
      <c r="AM217" s="25" t="e">
        <f t="shared" si="432"/>
        <v>#REF!</v>
      </c>
      <c r="AN217" s="24" t="e">
        <f t="shared" si="432"/>
        <v>#REF!</v>
      </c>
      <c r="AO217" s="25" t="e">
        <f t="shared" si="432"/>
        <v>#REF!</v>
      </c>
      <c r="AP217" s="24" t="e">
        <f t="shared" si="432"/>
        <v>#REF!</v>
      </c>
      <c r="AQ217" s="25" t="e">
        <f t="shared" si="432"/>
        <v>#REF!</v>
      </c>
      <c r="AR217" s="24" t="e">
        <f t="shared" si="432"/>
        <v>#REF!</v>
      </c>
      <c r="AS217" s="25" t="e">
        <f t="shared" si="432"/>
        <v>#REF!</v>
      </c>
      <c r="AT217" s="24" t="e">
        <f t="shared" si="432"/>
        <v>#REF!</v>
      </c>
      <c r="AU217" s="23" t="e">
        <f>SUM(AL217:AT217)</f>
        <v>#REF!</v>
      </c>
      <c r="CS217" s="54" t="s">
        <v>1744</v>
      </c>
      <c r="CT217" s="39">
        <v>2.684824006388933E-2</v>
      </c>
      <c r="CU217" s="40">
        <v>7.3904172044349278E-2</v>
      </c>
      <c r="CV217" s="39">
        <v>0.50242263746936966</v>
      </c>
      <c r="CW217" s="40">
        <v>0.34030279882416736</v>
      </c>
      <c r="CX217" s="39">
        <v>3.7457195594483725E-2</v>
      </c>
      <c r="CY217" s="40">
        <v>3.2649401987824428E-2</v>
      </c>
      <c r="CZ217" s="39">
        <v>0.11342409955583146</v>
      </c>
      <c r="DA217" s="40">
        <v>0</v>
      </c>
      <c r="DB217" s="39">
        <v>0</v>
      </c>
      <c r="DC217" s="38">
        <v>1.1270085455399153</v>
      </c>
      <c r="DE217" s="37" t="s">
        <v>1343</v>
      </c>
      <c r="DF217" s="35" t="str">
        <f t="shared" si="407"/>
        <v>IPBFA</v>
      </c>
      <c r="DG217" s="26">
        <f t="shared" si="426"/>
        <v>0.16635531033641004</v>
      </c>
      <c r="DH217" s="25">
        <f t="shared" si="426"/>
        <v>0.14678409735565595</v>
      </c>
      <c r="DI217" s="24">
        <f t="shared" si="426"/>
        <v>0.43802238575973512</v>
      </c>
      <c r="DJ217" s="25">
        <f t="shared" si="426"/>
        <v>8.3876627060374798E-2</v>
      </c>
      <c r="DK217" s="24">
        <f t="shared" si="426"/>
        <v>1.1351303528837391</v>
      </c>
      <c r="DL217" s="25">
        <f t="shared" si="426"/>
        <v>0.65910794683571949</v>
      </c>
      <c r="DM217" s="24">
        <f t="shared" si="426"/>
        <v>0.47602240604801965</v>
      </c>
      <c r="DN217" s="25">
        <f t="shared" si="426"/>
        <v>7.1574721758186508E-2</v>
      </c>
      <c r="DO217" s="32">
        <f t="shared" si="426"/>
        <v>0.55470409362594542</v>
      </c>
      <c r="DP217" s="26">
        <f t="shared" si="408"/>
        <v>0.53707386406471946</v>
      </c>
      <c r="DQ217" s="25">
        <f t="shared" si="409"/>
        <v>0.53707386406471946</v>
      </c>
      <c r="DR217" s="24">
        <f t="shared" si="410"/>
        <v>0.51789412594108064</v>
      </c>
      <c r="DS217" s="25">
        <f t="shared" si="411"/>
        <v>0.51789412594108075</v>
      </c>
      <c r="DT217" s="24">
        <f t="shared" si="412"/>
        <v>0.44171567132564599</v>
      </c>
      <c r="DU217" s="25">
        <f t="shared" si="413"/>
        <v>0.44171567132564593</v>
      </c>
      <c r="DV217" s="24">
        <f t="shared" si="414"/>
        <v>0.44171567132564588</v>
      </c>
      <c r="DW217" s="25">
        <f t="shared" si="415"/>
        <v>0.26514228132484741</v>
      </c>
      <c r="DX217" s="32">
        <f t="shared" si="416"/>
        <v>0.26514228132484741</v>
      </c>
      <c r="DZ217" s="54" t="s">
        <v>1407</v>
      </c>
      <c r="EA217" s="39">
        <v>0.75352395237784486</v>
      </c>
      <c r="EB217" s="40">
        <v>0.75352395237784486</v>
      </c>
      <c r="EC217" s="39">
        <v>0.7222710380665962</v>
      </c>
      <c r="ED217" s="40">
        <v>0.72227103806659609</v>
      </c>
      <c r="EE217" s="39">
        <v>0.6277789904471256</v>
      </c>
      <c r="EF217" s="40">
        <v>0.6277789904471256</v>
      </c>
      <c r="EG217" s="39">
        <v>0.6277789904471256</v>
      </c>
      <c r="EH217" s="40">
        <v>0.7463561396788001</v>
      </c>
      <c r="EI217" s="66">
        <v>0.74635613967879999</v>
      </c>
    </row>
    <row r="218" spans="1:139">
      <c r="A218" s="37" t="s">
        <v>1793</v>
      </c>
      <c r="B218" s="36" t="s">
        <v>1107</v>
      </c>
      <c r="C218" s="1" t="s">
        <v>456</v>
      </c>
      <c r="D218" s="36" t="s">
        <v>456</v>
      </c>
      <c r="E218" s="36" t="s">
        <v>1826</v>
      </c>
      <c r="F218" s="1" t="e">
        <f t="shared" ca="1" si="391"/>
        <v>#NAME?</v>
      </c>
      <c r="G218" s="35" t="s">
        <v>1109</v>
      </c>
      <c r="H218" s="34">
        <f>1-I218</f>
        <v>0.60795647034078149</v>
      </c>
      <c r="I218" s="33">
        <v>0.39204352965921851</v>
      </c>
      <c r="J218" s="26">
        <v>3.8030595692342104E-6</v>
      </c>
      <c r="K218" s="25">
        <v>0</v>
      </c>
      <c r="L218" s="24"/>
      <c r="M218" s="25"/>
      <c r="N218" s="24"/>
      <c r="O218" s="25"/>
      <c r="P218" s="24"/>
      <c r="Q218" s="25"/>
      <c r="R218" s="32"/>
      <c r="S218" s="31" t="e">
        <v>#REF!</v>
      </c>
      <c r="T218" s="29" t="e">
        <f t="shared" si="427"/>
        <v>#REF!</v>
      </c>
      <c r="U218" s="30" t="e">
        <f t="shared" si="427"/>
        <v>#REF!</v>
      </c>
      <c r="V218" s="29" t="e">
        <f t="shared" si="427"/>
        <v>#REF!</v>
      </c>
      <c r="W218" s="30" t="e">
        <f t="shared" si="427"/>
        <v>#REF!</v>
      </c>
      <c r="X218" s="29" t="e">
        <f t="shared" si="427"/>
        <v>#REF!</v>
      </c>
      <c r="Y218" s="30" t="e">
        <f t="shared" si="427"/>
        <v>#REF!</v>
      </c>
      <c r="Z218" s="29" t="e">
        <f t="shared" si="427"/>
        <v>#REF!</v>
      </c>
      <c r="AA218" s="28" t="e">
        <f t="shared" si="427"/>
        <v>#REF!</v>
      </c>
      <c r="AB218" s="26" t="e">
        <f t="shared" si="431"/>
        <v>#REF!</v>
      </c>
      <c r="AC218" s="25" t="e">
        <f t="shared" si="431"/>
        <v>#REF!</v>
      </c>
      <c r="AD218" s="24" t="e">
        <f t="shared" si="431"/>
        <v>#REF!</v>
      </c>
      <c r="AE218" s="25" t="e">
        <f t="shared" si="431"/>
        <v>#REF!</v>
      </c>
      <c r="AF218" s="24" t="e">
        <f t="shared" si="431"/>
        <v>#REF!</v>
      </c>
      <c r="AG218" s="25" t="e">
        <f t="shared" si="431"/>
        <v>#REF!</v>
      </c>
      <c r="AH218" s="24" t="e">
        <f t="shared" si="431"/>
        <v>#REF!</v>
      </c>
      <c r="AI218" s="25" t="e">
        <f t="shared" si="431"/>
        <v>#REF!</v>
      </c>
      <c r="AJ218" s="24" t="e">
        <f t="shared" si="431"/>
        <v>#REF!</v>
      </c>
      <c r="AK218" s="27" t="e">
        <f t="shared" si="406"/>
        <v>#REF!</v>
      </c>
      <c r="AL218" s="26" t="e">
        <f t="shared" si="432"/>
        <v>#REF!</v>
      </c>
      <c r="AM218" s="25" t="e">
        <f t="shared" si="432"/>
        <v>#REF!</v>
      </c>
      <c r="AN218" s="24" t="e">
        <f t="shared" si="432"/>
        <v>#REF!</v>
      </c>
      <c r="AO218" s="25" t="e">
        <f t="shared" si="432"/>
        <v>#REF!</v>
      </c>
      <c r="AP218" s="24" t="e">
        <f t="shared" si="432"/>
        <v>#REF!</v>
      </c>
      <c r="AQ218" s="25" t="e">
        <f t="shared" si="432"/>
        <v>#REF!</v>
      </c>
      <c r="AR218" s="24" t="e">
        <f t="shared" si="432"/>
        <v>#REF!</v>
      </c>
      <c r="AS218" s="25" t="e">
        <f t="shared" si="432"/>
        <v>#REF!</v>
      </c>
      <c r="AT218" s="24" t="e">
        <f t="shared" si="432"/>
        <v>#REF!</v>
      </c>
      <c r="AU218" s="23" t="e">
        <f>SUM(AL218:AT218)</f>
        <v>#REF!</v>
      </c>
      <c r="CS218" s="54" t="s">
        <v>1741</v>
      </c>
      <c r="CT218" s="39">
        <v>0</v>
      </c>
      <c r="CU218" s="40">
        <v>0.8065182475861965</v>
      </c>
      <c r="CV218" s="39">
        <v>4.122159323783988</v>
      </c>
      <c r="CW218" s="40">
        <v>2.7920365255603143</v>
      </c>
      <c r="CX218" s="39">
        <v>0.47150402015797421</v>
      </c>
      <c r="CY218" s="40">
        <v>0.41098443299583476</v>
      </c>
      <c r="CZ218" s="39">
        <v>1.4277608901198346</v>
      </c>
      <c r="DA218" s="40">
        <v>0</v>
      </c>
      <c r="DB218" s="39">
        <v>0</v>
      </c>
      <c r="DC218" s="38">
        <v>10.030963440204143</v>
      </c>
      <c r="DE218" s="37" t="s">
        <v>1668</v>
      </c>
      <c r="DF218" s="35" t="str">
        <f t="shared" si="407"/>
        <v>ICPFA</v>
      </c>
      <c r="DG218" s="26">
        <f t="shared" ref="DG218:DO227" si="433">GETPIVOTDATA("Sum of "&amp;DG$1&amp;" (Out)",$CS$6,"Constraint Identifier",$DE218)</f>
        <v>0.12459782580800292</v>
      </c>
      <c r="DH218" s="25">
        <f t="shared" si="433"/>
        <v>0.34297589461931255</v>
      </c>
      <c r="DI218" s="24">
        <f t="shared" si="433"/>
        <v>1.1150470210638364</v>
      </c>
      <c r="DJ218" s="25">
        <f t="shared" si="433"/>
        <v>0.75524786064542593</v>
      </c>
      <c r="DK218" s="24">
        <f t="shared" si="433"/>
        <v>2.0676105547269108</v>
      </c>
      <c r="DL218" s="25">
        <f t="shared" si="433"/>
        <v>1.8022237672670067</v>
      </c>
      <c r="DM218" s="24">
        <f t="shared" si="433"/>
        <v>6.2609296205979206</v>
      </c>
      <c r="DN218" s="25">
        <f t="shared" si="433"/>
        <v>9.5791975270144616E-2</v>
      </c>
      <c r="DO218" s="32">
        <f t="shared" si="433"/>
        <v>6.0065931538960594E-2</v>
      </c>
      <c r="DP218" s="26">
        <f t="shared" si="408"/>
        <v>0.91052383318281016</v>
      </c>
      <c r="DQ218" s="25">
        <f t="shared" si="409"/>
        <v>0.91052383318281016</v>
      </c>
      <c r="DR218" s="24">
        <f t="shared" si="410"/>
        <v>0.92291060872029185</v>
      </c>
      <c r="DS218" s="25">
        <f t="shared" si="411"/>
        <v>0.92291060872029185</v>
      </c>
      <c r="DT218" s="24">
        <f t="shared" si="412"/>
        <v>0.77886381564532114</v>
      </c>
      <c r="DU218" s="25">
        <f t="shared" si="413"/>
        <v>0.77886381564532114</v>
      </c>
      <c r="DV218" s="24">
        <f t="shared" si="414"/>
        <v>0.77886381564532103</v>
      </c>
      <c r="DW218" s="25">
        <f t="shared" si="415"/>
        <v>0.94432154190793849</v>
      </c>
      <c r="DX218" s="32">
        <f t="shared" si="416"/>
        <v>0.94432154190793849</v>
      </c>
      <c r="DZ218" s="54" t="s">
        <v>1398</v>
      </c>
      <c r="EA218" s="39">
        <v>1</v>
      </c>
      <c r="EB218" s="40">
        <v>1.1260203522817952E-2</v>
      </c>
      <c r="EC218" s="39">
        <v>0.31358872710834351</v>
      </c>
      <c r="ED218" s="40">
        <v>0</v>
      </c>
      <c r="EE218" s="39">
        <v>7.6008290612649493E-2</v>
      </c>
      <c r="EF218" s="40">
        <v>0</v>
      </c>
      <c r="EG218" s="39">
        <v>0</v>
      </c>
      <c r="EH218" s="40">
        <v>0</v>
      </c>
      <c r="EI218" s="66">
        <v>0.91982942031304027</v>
      </c>
    </row>
    <row r="219" spans="1:139">
      <c r="A219" s="37" t="s">
        <v>1793</v>
      </c>
      <c r="B219" s="36" t="s">
        <v>1107</v>
      </c>
      <c r="C219" s="1" t="s">
        <v>456</v>
      </c>
      <c r="D219" s="36" t="s">
        <v>456</v>
      </c>
      <c r="E219" s="36" t="s">
        <v>1825</v>
      </c>
      <c r="F219" s="1" t="e">
        <f t="shared" ca="1" si="391"/>
        <v>#NAME?</v>
      </c>
      <c r="G219" s="35" t="s">
        <v>1109</v>
      </c>
      <c r="H219" s="34">
        <f>1-I219</f>
        <v>0.54469400474371632</v>
      </c>
      <c r="I219" s="33">
        <v>0.45530599525628362</v>
      </c>
      <c r="J219" s="26">
        <v>1.2460430946352735E-6</v>
      </c>
      <c r="K219" s="25">
        <v>2.9596953465676204E-4</v>
      </c>
      <c r="L219" s="24"/>
      <c r="M219" s="25"/>
      <c r="N219" s="24"/>
      <c r="O219" s="25"/>
      <c r="P219" s="24"/>
      <c r="Q219" s="25"/>
      <c r="R219" s="32"/>
      <c r="S219" s="31" t="e">
        <v>#REF!</v>
      </c>
      <c r="T219" s="29" t="e">
        <f t="shared" ref="T219:AA228" si="434">S219</f>
        <v>#REF!</v>
      </c>
      <c r="U219" s="30" t="e">
        <f t="shared" si="434"/>
        <v>#REF!</v>
      </c>
      <c r="V219" s="29" t="e">
        <f t="shared" si="434"/>
        <v>#REF!</v>
      </c>
      <c r="W219" s="30" t="e">
        <f t="shared" si="434"/>
        <v>#REF!</v>
      </c>
      <c r="X219" s="29" t="e">
        <f t="shared" si="434"/>
        <v>#REF!</v>
      </c>
      <c r="Y219" s="30" t="e">
        <f t="shared" si="434"/>
        <v>#REF!</v>
      </c>
      <c r="Z219" s="29" t="e">
        <f t="shared" si="434"/>
        <v>#REF!</v>
      </c>
      <c r="AA219" s="28" t="e">
        <f t="shared" si="434"/>
        <v>#REF!</v>
      </c>
      <c r="AB219" s="26" t="e">
        <f t="shared" si="431"/>
        <v>#REF!</v>
      </c>
      <c r="AC219" s="25" t="e">
        <f t="shared" si="431"/>
        <v>#REF!</v>
      </c>
      <c r="AD219" s="24" t="e">
        <f t="shared" si="431"/>
        <v>#REF!</v>
      </c>
      <c r="AE219" s="25" t="e">
        <f t="shared" si="431"/>
        <v>#REF!</v>
      </c>
      <c r="AF219" s="24" t="e">
        <f t="shared" si="431"/>
        <v>#REF!</v>
      </c>
      <c r="AG219" s="25" t="e">
        <f t="shared" si="431"/>
        <v>#REF!</v>
      </c>
      <c r="AH219" s="24" t="e">
        <f t="shared" si="431"/>
        <v>#REF!</v>
      </c>
      <c r="AI219" s="25" t="e">
        <f t="shared" si="431"/>
        <v>#REF!</v>
      </c>
      <c r="AJ219" s="24" t="e">
        <f t="shared" si="431"/>
        <v>#REF!</v>
      </c>
      <c r="AK219" s="27" t="e">
        <f t="shared" si="406"/>
        <v>#REF!</v>
      </c>
      <c r="AL219" s="26" t="e">
        <f t="shared" si="432"/>
        <v>#REF!</v>
      </c>
      <c r="AM219" s="25" t="e">
        <f t="shared" si="432"/>
        <v>#REF!</v>
      </c>
      <c r="AN219" s="24" t="e">
        <f t="shared" si="432"/>
        <v>#REF!</v>
      </c>
      <c r="AO219" s="25" t="e">
        <f t="shared" si="432"/>
        <v>#REF!</v>
      </c>
      <c r="AP219" s="24" t="e">
        <f t="shared" si="432"/>
        <v>#REF!</v>
      </c>
      <c r="AQ219" s="25" t="e">
        <f t="shared" si="432"/>
        <v>#REF!</v>
      </c>
      <c r="AR219" s="24" t="e">
        <f t="shared" si="432"/>
        <v>#REF!</v>
      </c>
      <c r="AS219" s="25" t="e">
        <f t="shared" si="432"/>
        <v>#REF!</v>
      </c>
      <c r="AT219" s="24" t="e">
        <f t="shared" si="432"/>
        <v>#REF!</v>
      </c>
      <c r="AU219" s="23" t="e">
        <f>SUM(AL219:AT219)</f>
        <v>#REF!</v>
      </c>
      <c r="CS219" s="54" t="s">
        <v>1753</v>
      </c>
      <c r="CT219" s="39">
        <v>0</v>
      </c>
      <c r="CU219" s="40">
        <v>0</v>
      </c>
      <c r="CV219" s="39">
        <v>0.11002259925186521</v>
      </c>
      <c r="CW219" s="40">
        <v>7.4520922560146544E-2</v>
      </c>
      <c r="CX219" s="39">
        <v>0.18831952637886293</v>
      </c>
      <c r="CY219" s="40">
        <v>0.16414789792233372</v>
      </c>
      <c r="CZ219" s="39">
        <v>0.57025018475886213</v>
      </c>
      <c r="DA219" s="40">
        <v>0</v>
      </c>
      <c r="DB219" s="39">
        <v>0</v>
      </c>
      <c r="DC219" s="38">
        <v>1.1072611308720706</v>
      </c>
      <c r="DE219" s="37" t="s">
        <v>1664</v>
      </c>
      <c r="DF219" s="35" t="str">
        <f t="shared" si="407"/>
        <v>ICPFA</v>
      </c>
      <c r="DG219" s="26">
        <f t="shared" si="433"/>
        <v>1.2244090094913175E-2</v>
      </c>
      <c r="DH219" s="25">
        <f t="shared" si="433"/>
        <v>3.3703860616102178E-2</v>
      </c>
      <c r="DI219" s="24">
        <f t="shared" si="433"/>
        <v>9.3138268527710191E-2</v>
      </c>
      <c r="DJ219" s="25">
        <f t="shared" si="433"/>
        <v>6.3084763889742032E-2</v>
      </c>
      <c r="DK219" s="24">
        <f t="shared" si="433"/>
        <v>0.5870390941514485</v>
      </c>
      <c r="DL219" s="25">
        <f t="shared" si="433"/>
        <v>0.51169007885741391</v>
      </c>
      <c r="DM219" s="24">
        <f t="shared" si="433"/>
        <v>1.7776125415006994</v>
      </c>
      <c r="DN219" s="25">
        <f t="shared" si="433"/>
        <v>5.6480226744149691E-3</v>
      </c>
      <c r="DO219" s="32">
        <f t="shared" si="433"/>
        <v>3.5415674677881028E-3</v>
      </c>
      <c r="DP219" s="26">
        <f t="shared" si="408"/>
        <v>8.947616681718977E-2</v>
      </c>
      <c r="DQ219" s="25">
        <f t="shared" si="409"/>
        <v>8.9476166817189756E-2</v>
      </c>
      <c r="DR219" s="24">
        <f t="shared" si="410"/>
        <v>7.7089391279708111E-2</v>
      </c>
      <c r="DS219" s="25">
        <f t="shared" si="411"/>
        <v>7.7089391279708111E-2</v>
      </c>
      <c r="DT219" s="24">
        <f t="shared" si="412"/>
        <v>0.22113618435467894</v>
      </c>
      <c r="DU219" s="25">
        <f t="shared" si="413"/>
        <v>0.22113618435467886</v>
      </c>
      <c r="DV219" s="24">
        <f t="shared" si="414"/>
        <v>0.22113618435467886</v>
      </c>
      <c r="DW219" s="25">
        <f t="shared" si="415"/>
        <v>5.5678458092061532E-2</v>
      </c>
      <c r="DX219" s="32">
        <f t="shared" si="416"/>
        <v>5.5678458092061532E-2</v>
      </c>
      <c r="DZ219" s="54" t="s">
        <v>1393</v>
      </c>
      <c r="EA219" s="39">
        <v>0</v>
      </c>
      <c r="EB219" s="40">
        <v>0</v>
      </c>
      <c r="EC219" s="39">
        <v>0</v>
      </c>
      <c r="ED219" s="40">
        <v>0</v>
      </c>
      <c r="EE219" s="39">
        <v>0</v>
      </c>
      <c r="EF219" s="40">
        <v>0</v>
      </c>
      <c r="EG219" s="39">
        <v>0</v>
      </c>
      <c r="EH219" s="40">
        <v>0</v>
      </c>
      <c r="EI219" s="66">
        <v>0</v>
      </c>
    </row>
    <row r="220" spans="1:139">
      <c r="A220" s="37" t="s">
        <v>1793</v>
      </c>
      <c r="B220" s="36" t="s">
        <v>1107</v>
      </c>
      <c r="C220" s="1" t="s">
        <v>665</v>
      </c>
      <c r="D220" s="36" t="s">
        <v>665</v>
      </c>
      <c r="E220" s="36" t="s">
        <v>1824</v>
      </c>
      <c r="F220" s="1" t="e">
        <f t="shared" ca="1" si="391"/>
        <v>#NAME?</v>
      </c>
      <c r="G220" s="35" t="s">
        <v>1104</v>
      </c>
      <c r="H220" s="43">
        <v>1</v>
      </c>
      <c r="I220" s="42">
        <v>0</v>
      </c>
      <c r="J220" s="26">
        <v>52.959243528389976</v>
      </c>
      <c r="K220" s="25">
        <v>36.306499995809659</v>
      </c>
      <c r="L220" s="24"/>
      <c r="M220" s="25"/>
      <c r="N220" s="24"/>
      <c r="O220" s="25"/>
      <c r="P220" s="24"/>
      <c r="Q220" s="25"/>
      <c r="R220" s="32"/>
      <c r="S220" s="31" t="e">
        <v>#REF!</v>
      </c>
      <c r="T220" s="29" t="e">
        <f t="shared" si="434"/>
        <v>#REF!</v>
      </c>
      <c r="U220" s="30" t="e">
        <f t="shared" si="434"/>
        <v>#REF!</v>
      </c>
      <c r="V220" s="29" t="e">
        <f t="shared" si="434"/>
        <v>#REF!</v>
      </c>
      <c r="W220" s="30" t="e">
        <f t="shared" si="434"/>
        <v>#REF!</v>
      </c>
      <c r="X220" s="29" t="e">
        <f t="shared" si="434"/>
        <v>#REF!</v>
      </c>
      <c r="Y220" s="30" t="e">
        <f t="shared" si="434"/>
        <v>#REF!</v>
      </c>
      <c r="Z220" s="29" t="e">
        <f t="shared" si="434"/>
        <v>#REF!</v>
      </c>
      <c r="AA220" s="28" t="e">
        <f t="shared" si="434"/>
        <v>#REF!</v>
      </c>
      <c r="AB220" s="26" t="e">
        <f t="shared" ref="AB220:AJ220" si="435">J220*$H220*S220</f>
        <v>#REF!</v>
      </c>
      <c r="AC220" s="25" t="e">
        <f t="shared" si="435"/>
        <v>#REF!</v>
      </c>
      <c r="AD220" s="24" t="e">
        <f t="shared" si="435"/>
        <v>#REF!</v>
      </c>
      <c r="AE220" s="25" t="e">
        <f t="shared" si="435"/>
        <v>#REF!</v>
      </c>
      <c r="AF220" s="24" t="e">
        <f t="shared" si="435"/>
        <v>#REF!</v>
      </c>
      <c r="AG220" s="25" t="e">
        <f t="shared" si="435"/>
        <v>#REF!</v>
      </c>
      <c r="AH220" s="24" t="e">
        <f t="shared" si="435"/>
        <v>#REF!</v>
      </c>
      <c r="AI220" s="25" t="e">
        <f t="shared" si="435"/>
        <v>#REF!</v>
      </c>
      <c r="AJ220" s="24" t="e">
        <f t="shared" si="435"/>
        <v>#REF!</v>
      </c>
      <c r="AK220" s="27" t="e">
        <f t="shared" si="406"/>
        <v>#REF!</v>
      </c>
      <c r="AL220" s="41">
        <v>0</v>
      </c>
      <c r="AM220" s="40">
        <v>0</v>
      </c>
      <c r="AN220" s="39">
        <v>0</v>
      </c>
      <c r="AO220" s="40">
        <v>0</v>
      </c>
      <c r="AP220" s="39">
        <v>0</v>
      </c>
      <c r="AQ220" s="40">
        <v>0</v>
      </c>
      <c r="AR220" s="39">
        <v>0</v>
      </c>
      <c r="AS220" s="40">
        <v>0</v>
      </c>
      <c r="AT220" s="39">
        <v>0</v>
      </c>
      <c r="AU220" s="38">
        <v>0</v>
      </c>
      <c r="CS220" s="54" t="s">
        <v>1738</v>
      </c>
      <c r="CT220" s="39">
        <v>3.2529822634751559E-3</v>
      </c>
      <c r="CU220" s="40">
        <v>8.9543657344018177E-3</v>
      </c>
      <c r="CV220" s="39">
        <v>2.048586233045362E-2</v>
      </c>
      <c r="CW220" s="40">
        <v>1.3875561663570462E-2</v>
      </c>
      <c r="CX220" s="39">
        <v>1.1349826353506377E-2</v>
      </c>
      <c r="CY220" s="40">
        <v>9.8930268864603921E-3</v>
      </c>
      <c r="CZ220" s="39">
        <v>3.436839875036167E-2</v>
      </c>
      <c r="DA220" s="40">
        <v>1.2226735774093991E-2</v>
      </c>
      <c r="DB220" s="39">
        <v>7.6667202224462629E-3</v>
      </c>
      <c r="DC220" s="38">
        <v>0.12207347997876974</v>
      </c>
      <c r="DE220" s="37" t="s">
        <v>1609</v>
      </c>
      <c r="DF220" s="35" t="str">
        <f t="shared" si="407"/>
        <v>IMAFA</v>
      </c>
      <c r="DG220" s="26">
        <f t="shared" si="433"/>
        <v>0</v>
      </c>
      <c r="DH220" s="25">
        <f t="shared" si="433"/>
        <v>0</v>
      </c>
      <c r="DI220" s="24">
        <f t="shared" si="433"/>
        <v>0</v>
      </c>
      <c r="DJ220" s="25">
        <f t="shared" si="433"/>
        <v>0</v>
      </c>
      <c r="DK220" s="24">
        <f t="shared" si="433"/>
        <v>0.14981717881700962</v>
      </c>
      <c r="DL220" s="25">
        <f t="shared" si="433"/>
        <v>0.1305874937577729</v>
      </c>
      <c r="DM220" s="24">
        <f t="shared" si="433"/>
        <v>0.45366126149115193</v>
      </c>
      <c r="DN220" s="25">
        <f t="shared" si="433"/>
        <v>0</v>
      </c>
      <c r="DO220" s="32">
        <f t="shared" si="433"/>
        <v>0</v>
      </c>
      <c r="DP220" s="26">
        <f t="shared" si="408"/>
        <v>0</v>
      </c>
      <c r="DQ220" s="25">
        <f t="shared" si="409"/>
        <v>0</v>
      </c>
      <c r="DR220" s="24">
        <f t="shared" si="410"/>
        <v>0</v>
      </c>
      <c r="DS220" s="25">
        <f t="shared" si="411"/>
        <v>0</v>
      </c>
      <c r="DT220" s="24">
        <f t="shared" si="412"/>
        <v>0.11502317166408933</v>
      </c>
      <c r="DU220" s="25">
        <f t="shared" si="413"/>
        <v>0.11502317166408933</v>
      </c>
      <c r="DV220" s="24">
        <f t="shared" si="414"/>
        <v>0.11502317166408933</v>
      </c>
      <c r="DW220" s="25">
        <f t="shared" si="415"/>
        <v>0</v>
      </c>
      <c r="DX220" s="32">
        <f t="shared" si="416"/>
        <v>0</v>
      </c>
      <c r="DZ220" s="54" t="s">
        <v>1402</v>
      </c>
      <c r="EA220" s="39">
        <v>0</v>
      </c>
      <c r="EB220" s="40">
        <v>0</v>
      </c>
      <c r="EC220" s="39">
        <v>0</v>
      </c>
      <c r="ED220" s="40">
        <v>0</v>
      </c>
      <c r="EE220" s="39">
        <v>0</v>
      </c>
      <c r="EF220" s="40">
        <v>0</v>
      </c>
      <c r="EG220" s="39">
        <v>0</v>
      </c>
      <c r="EH220" s="40">
        <v>0</v>
      </c>
      <c r="EI220" s="66">
        <v>0</v>
      </c>
    </row>
    <row r="221" spans="1:139">
      <c r="A221" s="37" t="s">
        <v>1793</v>
      </c>
      <c r="B221" s="36" t="s">
        <v>1107</v>
      </c>
      <c r="C221" s="1" t="s">
        <v>665</v>
      </c>
      <c r="D221" s="36" t="s">
        <v>665</v>
      </c>
      <c r="E221" s="36" t="s">
        <v>1823</v>
      </c>
      <c r="F221" s="1" t="e">
        <f t="shared" ca="1" si="391"/>
        <v>#NAME?</v>
      </c>
      <c r="G221" s="35" t="s">
        <v>1109</v>
      </c>
      <c r="H221" s="34">
        <f>1-I221</f>
        <v>0.89746611460637016</v>
      </c>
      <c r="I221" s="33">
        <v>0.10253388539362981</v>
      </c>
      <c r="J221" s="26" t="e">
        <v>#REF!</v>
      </c>
      <c r="K221" s="25" t="e">
        <v>#REF!</v>
      </c>
      <c r="L221" s="24"/>
      <c r="M221" s="25"/>
      <c r="N221" s="24"/>
      <c r="O221" s="25"/>
      <c r="P221" s="24"/>
      <c r="Q221" s="25"/>
      <c r="R221" s="32"/>
      <c r="S221" s="31" t="e">
        <v>#REF!</v>
      </c>
      <c r="T221" s="29" t="e">
        <f t="shared" si="434"/>
        <v>#REF!</v>
      </c>
      <c r="U221" s="30" t="e">
        <f t="shared" si="434"/>
        <v>#REF!</v>
      </c>
      <c r="V221" s="29" t="e">
        <f t="shared" si="434"/>
        <v>#REF!</v>
      </c>
      <c r="W221" s="30" t="e">
        <f t="shared" si="434"/>
        <v>#REF!</v>
      </c>
      <c r="X221" s="29" t="e">
        <f t="shared" si="434"/>
        <v>#REF!</v>
      </c>
      <c r="Y221" s="30" t="e">
        <f t="shared" si="434"/>
        <v>#REF!</v>
      </c>
      <c r="Z221" s="29" t="e">
        <f t="shared" si="434"/>
        <v>#REF!</v>
      </c>
      <c r="AA221" s="28" t="e">
        <f t="shared" si="434"/>
        <v>#REF!</v>
      </c>
      <c r="AB221" s="26" t="e">
        <f t="shared" ref="AB221:AJ225" si="436">J221*31.536*$H221*S221</f>
        <v>#REF!</v>
      </c>
      <c r="AC221" s="25" t="e">
        <f t="shared" si="436"/>
        <v>#REF!</v>
      </c>
      <c r="AD221" s="24" t="e">
        <f t="shared" si="436"/>
        <v>#REF!</v>
      </c>
      <c r="AE221" s="25" t="e">
        <f t="shared" si="436"/>
        <v>#REF!</v>
      </c>
      <c r="AF221" s="24" t="e">
        <f t="shared" si="436"/>
        <v>#REF!</v>
      </c>
      <c r="AG221" s="25" t="e">
        <f t="shared" si="436"/>
        <v>#REF!</v>
      </c>
      <c r="AH221" s="24" t="e">
        <f t="shared" si="436"/>
        <v>#REF!</v>
      </c>
      <c r="AI221" s="25" t="e">
        <f t="shared" si="436"/>
        <v>#REF!</v>
      </c>
      <c r="AJ221" s="24" t="e">
        <f t="shared" si="436"/>
        <v>#REF!</v>
      </c>
      <c r="AK221" s="27" t="e">
        <f t="shared" si="406"/>
        <v>#REF!</v>
      </c>
      <c r="AL221" s="26" t="e">
        <f t="shared" ref="AL221:AT225" si="437">J221*31.536*$I221*S221</f>
        <v>#REF!</v>
      </c>
      <c r="AM221" s="25" t="e">
        <f t="shared" si="437"/>
        <v>#REF!</v>
      </c>
      <c r="AN221" s="24" t="e">
        <f t="shared" si="437"/>
        <v>#REF!</v>
      </c>
      <c r="AO221" s="25" t="e">
        <f t="shared" si="437"/>
        <v>#REF!</v>
      </c>
      <c r="AP221" s="24" t="e">
        <f t="shared" si="437"/>
        <v>#REF!</v>
      </c>
      <c r="AQ221" s="25" t="e">
        <f t="shared" si="437"/>
        <v>#REF!</v>
      </c>
      <c r="AR221" s="24" t="e">
        <f t="shared" si="437"/>
        <v>#REF!</v>
      </c>
      <c r="AS221" s="25" t="e">
        <f t="shared" si="437"/>
        <v>#REF!</v>
      </c>
      <c r="AT221" s="24" t="e">
        <f t="shared" si="437"/>
        <v>#REF!</v>
      </c>
      <c r="AU221" s="23" t="e">
        <f>SUM(AL221:AT221)</f>
        <v>#REF!</v>
      </c>
      <c r="CS221" s="54" t="s">
        <v>1505</v>
      </c>
      <c r="CT221" s="39">
        <v>3.1781401544899446E-2</v>
      </c>
      <c r="CU221" s="40">
        <v>8.7483505883273319E-2</v>
      </c>
      <c r="CV221" s="39">
        <v>0.10665642705259056</v>
      </c>
      <c r="CW221" s="40">
        <v>7.2240934089668626E-2</v>
      </c>
      <c r="CX221" s="39">
        <v>0.12170522519545056</v>
      </c>
      <c r="CY221" s="40">
        <v>0.10608383138032232</v>
      </c>
      <c r="CZ221" s="39">
        <v>0.36853548056509111</v>
      </c>
      <c r="DA221" s="40">
        <v>0.21990455210492127</v>
      </c>
      <c r="DB221" s="39">
        <v>0.13789017017959707</v>
      </c>
      <c r="DC221" s="38">
        <v>1.2522815279958144</v>
      </c>
      <c r="DE221" s="37" t="s">
        <v>1607</v>
      </c>
      <c r="DF221" s="35" t="str">
        <f t="shared" si="407"/>
        <v>IMAFA</v>
      </c>
      <c r="DG221" s="26">
        <f t="shared" si="433"/>
        <v>4.8230233378123336E-2</v>
      </c>
      <c r="DH221" s="25">
        <f t="shared" si="433"/>
        <v>0.13276160585699079</v>
      </c>
      <c r="DI221" s="24">
        <f t="shared" si="433"/>
        <v>1.5826085641332643</v>
      </c>
      <c r="DJ221" s="25">
        <f t="shared" si="433"/>
        <v>1.0719384113150761</v>
      </c>
      <c r="DK221" s="24">
        <f t="shared" si="433"/>
        <v>0.5294594921445902</v>
      </c>
      <c r="DL221" s="25">
        <f t="shared" si="433"/>
        <v>0.46150106864497525</v>
      </c>
      <c r="DM221" s="24">
        <f t="shared" si="433"/>
        <v>1.6032558015804039</v>
      </c>
      <c r="DN221" s="25">
        <f t="shared" si="433"/>
        <v>0.63035753619445312</v>
      </c>
      <c r="DO221" s="32">
        <f t="shared" si="433"/>
        <v>0.39526288613786026</v>
      </c>
      <c r="DP221" s="26">
        <f t="shared" si="408"/>
        <v>0.27811585079141826</v>
      </c>
      <c r="DQ221" s="25">
        <f t="shared" si="409"/>
        <v>0.27811585079141821</v>
      </c>
      <c r="DR221" s="24">
        <f t="shared" si="410"/>
        <v>0.76353064622711486</v>
      </c>
      <c r="DS221" s="25">
        <f t="shared" si="411"/>
        <v>0.76353064622711486</v>
      </c>
      <c r="DT221" s="24">
        <f t="shared" si="412"/>
        <v>0.40649617443746988</v>
      </c>
      <c r="DU221" s="25">
        <f t="shared" si="413"/>
        <v>0.40649617443746988</v>
      </c>
      <c r="DV221" s="24">
        <f t="shared" si="414"/>
        <v>0.40649617443746988</v>
      </c>
      <c r="DW221" s="25">
        <f t="shared" si="415"/>
        <v>0.74430322001841887</v>
      </c>
      <c r="DX221" s="32">
        <f t="shared" si="416"/>
        <v>0.74430322001841887</v>
      </c>
      <c r="DZ221" s="54" t="s">
        <v>1400</v>
      </c>
      <c r="EA221" s="39">
        <v>0</v>
      </c>
      <c r="EB221" s="40">
        <v>0.98873979647718202</v>
      </c>
      <c r="EC221" s="39">
        <v>0.68641127289165638</v>
      </c>
      <c r="ED221" s="40">
        <v>0</v>
      </c>
      <c r="EE221" s="39">
        <v>0.92399170938734976</v>
      </c>
      <c r="EF221" s="40">
        <v>1</v>
      </c>
      <c r="EG221" s="39">
        <v>0</v>
      </c>
      <c r="EH221" s="40">
        <v>1</v>
      </c>
      <c r="EI221" s="66">
        <v>8.0170579686959773E-2</v>
      </c>
    </row>
    <row r="222" spans="1:139">
      <c r="A222" s="37" t="s">
        <v>1793</v>
      </c>
      <c r="B222" s="36" t="s">
        <v>1107</v>
      </c>
      <c r="C222" s="1" t="s">
        <v>665</v>
      </c>
      <c r="D222" s="36" t="s">
        <v>665</v>
      </c>
      <c r="E222" s="36" t="s">
        <v>1822</v>
      </c>
      <c r="F222" s="1" t="e">
        <f t="shared" ca="1" si="391"/>
        <v>#NAME?</v>
      </c>
      <c r="G222" s="35" t="s">
        <v>1109</v>
      </c>
      <c r="H222" s="34">
        <f>1-I222</f>
        <v>0.49706941581455599</v>
      </c>
      <c r="I222" s="33">
        <v>0.50293058418544401</v>
      </c>
      <c r="J222" s="26">
        <v>5.0701195515415048E-3</v>
      </c>
      <c r="K222" s="25">
        <v>1.1661606916215255</v>
      </c>
      <c r="L222" s="24"/>
      <c r="M222" s="25"/>
      <c r="N222" s="24"/>
      <c r="O222" s="25"/>
      <c r="P222" s="24"/>
      <c r="Q222" s="25"/>
      <c r="R222" s="32"/>
      <c r="S222" s="31" t="e">
        <v>#REF!</v>
      </c>
      <c r="T222" s="29" t="e">
        <f t="shared" si="434"/>
        <v>#REF!</v>
      </c>
      <c r="U222" s="30" t="e">
        <f t="shared" si="434"/>
        <v>#REF!</v>
      </c>
      <c r="V222" s="29" t="e">
        <f t="shared" si="434"/>
        <v>#REF!</v>
      </c>
      <c r="W222" s="30" t="e">
        <f t="shared" si="434"/>
        <v>#REF!</v>
      </c>
      <c r="X222" s="29" t="e">
        <f t="shared" si="434"/>
        <v>#REF!</v>
      </c>
      <c r="Y222" s="30" t="e">
        <f t="shared" si="434"/>
        <v>#REF!</v>
      </c>
      <c r="Z222" s="29" t="e">
        <f t="shared" si="434"/>
        <v>#REF!</v>
      </c>
      <c r="AA222" s="28" t="e">
        <f t="shared" si="434"/>
        <v>#REF!</v>
      </c>
      <c r="AB222" s="26" t="e">
        <f t="shared" si="436"/>
        <v>#REF!</v>
      </c>
      <c r="AC222" s="25" t="e">
        <f t="shared" si="436"/>
        <v>#REF!</v>
      </c>
      <c r="AD222" s="24" t="e">
        <f t="shared" si="436"/>
        <v>#REF!</v>
      </c>
      <c r="AE222" s="25" t="e">
        <f t="shared" si="436"/>
        <v>#REF!</v>
      </c>
      <c r="AF222" s="24" t="e">
        <f t="shared" si="436"/>
        <v>#REF!</v>
      </c>
      <c r="AG222" s="25" t="e">
        <f t="shared" si="436"/>
        <v>#REF!</v>
      </c>
      <c r="AH222" s="24" t="e">
        <f t="shared" si="436"/>
        <v>#REF!</v>
      </c>
      <c r="AI222" s="25" t="e">
        <f t="shared" si="436"/>
        <v>#REF!</v>
      </c>
      <c r="AJ222" s="24" t="e">
        <f t="shared" si="436"/>
        <v>#REF!</v>
      </c>
      <c r="AK222" s="27" t="e">
        <f t="shared" si="406"/>
        <v>#REF!</v>
      </c>
      <c r="AL222" s="26" t="e">
        <f t="shared" si="437"/>
        <v>#REF!</v>
      </c>
      <c r="AM222" s="25" t="e">
        <f t="shared" si="437"/>
        <v>#REF!</v>
      </c>
      <c r="AN222" s="24" t="e">
        <f t="shared" si="437"/>
        <v>#REF!</v>
      </c>
      <c r="AO222" s="25" t="e">
        <f t="shared" si="437"/>
        <v>#REF!</v>
      </c>
      <c r="AP222" s="24" t="e">
        <f t="shared" si="437"/>
        <v>#REF!</v>
      </c>
      <c r="AQ222" s="25" t="e">
        <f t="shared" si="437"/>
        <v>#REF!</v>
      </c>
      <c r="AR222" s="24" t="e">
        <f t="shared" si="437"/>
        <v>#REF!</v>
      </c>
      <c r="AS222" s="25" t="e">
        <f t="shared" si="437"/>
        <v>#REF!</v>
      </c>
      <c r="AT222" s="24" t="e">
        <f t="shared" si="437"/>
        <v>#REF!</v>
      </c>
      <c r="AU222" s="23" t="e">
        <f>SUM(AL222:AT222)</f>
        <v>#REF!</v>
      </c>
      <c r="CS222" s="54" t="s">
        <v>1503</v>
      </c>
      <c r="CT222" s="39">
        <v>0.22674778103881332</v>
      </c>
      <c r="CU222" s="40">
        <v>0.62416035392598213</v>
      </c>
      <c r="CV222" s="39">
        <v>0.76095159408047697</v>
      </c>
      <c r="CW222" s="40">
        <v>0.51541060836671637</v>
      </c>
      <c r="CX222" s="39">
        <v>0.73807101482525506</v>
      </c>
      <c r="CY222" s="40">
        <v>0.64333639708307733</v>
      </c>
      <c r="CZ222" s="39">
        <v>2.2349521616920489</v>
      </c>
      <c r="DA222" s="40">
        <v>0.65372181535796459</v>
      </c>
      <c r="DB222" s="39">
        <v>0.40991335334802997</v>
      </c>
      <c r="DC222" s="38">
        <v>6.8072650797183645</v>
      </c>
      <c r="DE222" s="37" t="s">
        <v>1605</v>
      </c>
      <c r="DF222" s="35" t="str">
        <f t="shared" si="407"/>
        <v>IMAFA</v>
      </c>
      <c r="DG222" s="26">
        <f t="shared" si="433"/>
        <v>0.12518754644592245</v>
      </c>
      <c r="DH222" s="25">
        <f t="shared" si="433"/>
        <v>0.34459919712924225</v>
      </c>
      <c r="DI222" s="24">
        <f t="shared" si="433"/>
        <v>0.49014198223119904</v>
      </c>
      <c r="DJ222" s="25">
        <f t="shared" si="433"/>
        <v>0.33198481902533933</v>
      </c>
      <c r="DK222" s="24">
        <f t="shared" si="433"/>
        <v>0.62321896230551088</v>
      </c>
      <c r="DL222" s="25">
        <f t="shared" si="433"/>
        <v>0.54322610392498283</v>
      </c>
      <c r="DM222" s="24">
        <f t="shared" si="433"/>
        <v>1.8871687670080775</v>
      </c>
      <c r="DN222" s="25">
        <f t="shared" si="433"/>
        <v>0.2165520555427074</v>
      </c>
      <c r="DO222" s="32">
        <f t="shared" si="433"/>
        <v>0.13578800213866618</v>
      </c>
      <c r="DP222" s="26">
        <f t="shared" si="408"/>
        <v>0.72188414920858179</v>
      </c>
      <c r="DQ222" s="25">
        <f t="shared" si="409"/>
        <v>0.72188414920858168</v>
      </c>
      <c r="DR222" s="24">
        <f t="shared" si="410"/>
        <v>0.23646935377288503</v>
      </c>
      <c r="DS222" s="25">
        <f t="shared" si="411"/>
        <v>0.23646935377288508</v>
      </c>
      <c r="DT222" s="24">
        <f t="shared" si="412"/>
        <v>0.4784806538984408</v>
      </c>
      <c r="DU222" s="25">
        <f t="shared" si="413"/>
        <v>0.4784806538984408</v>
      </c>
      <c r="DV222" s="24">
        <f t="shared" si="414"/>
        <v>0.47848065389844074</v>
      </c>
      <c r="DW222" s="25">
        <f t="shared" si="415"/>
        <v>0.25569677998158108</v>
      </c>
      <c r="DX222" s="32">
        <f t="shared" si="416"/>
        <v>0.25569677998158108</v>
      </c>
      <c r="DZ222" s="54" t="s">
        <v>1395</v>
      </c>
      <c r="EA222" s="39">
        <v>0</v>
      </c>
      <c r="EB222" s="40">
        <v>0</v>
      </c>
      <c r="EC222" s="39">
        <v>8.3627892106650989E-17</v>
      </c>
      <c r="ED222" s="40">
        <v>0</v>
      </c>
      <c r="EE222" s="39">
        <v>8.1519827992101503E-16</v>
      </c>
      <c r="EF222" s="40">
        <v>0</v>
      </c>
      <c r="EG222" s="39">
        <v>0</v>
      </c>
      <c r="EH222" s="40">
        <v>0</v>
      </c>
      <c r="EI222" s="66">
        <v>0</v>
      </c>
    </row>
    <row r="223" spans="1:139">
      <c r="A223" s="37" t="s">
        <v>1793</v>
      </c>
      <c r="B223" s="36" t="s">
        <v>1107</v>
      </c>
      <c r="C223" s="1" t="s">
        <v>665</v>
      </c>
      <c r="D223" s="36" t="s">
        <v>665</v>
      </c>
      <c r="E223" s="36" t="s">
        <v>1821</v>
      </c>
      <c r="F223" s="1" t="e">
        <f t="shared" ca="1" si="391"/>
        <v>#NAME?</v>
      </c>
      <c r="G223" s="35" t="s">
        <v>1109</v>
      </c>
      <c r="H223" s="34">
        <f>1-I223</f>
        <v>0.31721749874010363</v>
      </c>
      <c r="I223" s="33">
        <v>0.68278250125989637</v>
      </c>
      <c r="J223" s="26">
        <v>0</v>
      </c>
      <c r="K223" s="25">
        <v>0</v>
      </c>
      <c r="L223" s="24"/>
      <c r="M223" s="25"/>
      <c r="N223" s="24"/>
      <c r="O223" s="25"/>
      <c r="P223" s="24"/>
      <c r="Q223" s="25"/>
      <c r="R223" s="32"/>
      <c r="S223" s="31" t="e">
        <v>#REF!</v>
      </c>
      <c r="T223" s="29" t="e">
        <f t="shared" si="434"/>
        <v>#REF!</v>
      </c>
      <c r="U223" s="30" t="e">
        <f t="shared" si="434"/>
        <v>#REF!</v>
      </c>
      <c r="V223" s="29" t="e">
        <f t="shared" si="434"/>
        <v>#REF!</v>
      </c>
      <c r="W223" s="30" t="e">
        <f t="shared" si="434"/>
        <v>#REF!</v>
      </c>
      <c r="X223" s="29" t="e">
        <f t="shared" si="434"/>
        <v>#REF!</v>
      </c>
      <c r="Y223" s="30" t="e">
        <f t="shared" si="434"/>
        <v>#REF!</v>
      </c>
      <c r="Z223" s="29" t="e">
        <f t="shared" si="434"/>
        <v>#REF!</v>
      </c>
      <c r="AA223" s="28" t="e">
        <f t="shared" si="434"/>
        <v>#REF!</v>
      </c>
      <c r="AB223" s="26" t="e">
        <f t="shared" si="436"/>
        <v>#REF!</v>
      </c>
      <c r="AC223" s="25" t="e">
        <f t="shared" si="436"/>
        <v>#REF!</v>
      </c>
      <c r="AD223" s="24" t="e">
        <f t="shared" si="436"/>
        <v>#REF!</v>
      </c>
      <c r="AE223" s="25" t="e">
        <f t="shared" si="436"/>
        <v>#REF!</v>
      </c>
      <c r="AF223" s="24" t="e">
        <f t="shared" si="436"/>
        <v>#REF!</v>
      </c>
      <c r="AG223" s="25" t="e">
        <f t="shared" si="436"/>
        <v>#REF!</v>
      </c>
      <c r="AH223" s="24" t="e">
        <f t="shared" si="436"/>
        <v>#REF!</v>
      </c>
      <c r="AI223" s="25" t="e">
        <f t="shared" si="436"/>
        <v>#REF!</v>
      </c>
      <c r="AJ223" s="24" t="e">
        <f t="shared" si="436"/>
        <v>#REF!</v>
      </c>
      <c r="AK223" s="27" t="e">
        <f t="shared" si="406"/>
        <v>#REF!</v>
      </c>
      <c r="AL223" s="26" t="e">
        <f t="shared" si="437"/>
        <v>#REF!</v>
      </c>
      <c r="AM223" s="25" t="e">
        <f t="shared" si="437"/>
        <v>#REF!</v>
      </c>
      <c r="AN223" s="24" t="e">
        <f t="shared" si="437"/>
        <v>#REF!</v>
      </c>
      <c r="AO223" s="25" t="e">
        <f t="shared" si="437"/>
        <v>#REF!</v>
      </c>
      <c r="AP223" s="24" t="e">
        <f t="shared" si="437"/>
        <v>#REF!</v>
      </c>
      <c r="AQ223" s="25" t="e">
        <f t="shared" si="437"/>
        <v>#REF!</v>
      </c>
      <c r="AR223" s="24" t="e">
        <f t="shared" si="437"/>
        <v>#REF!</v>
      </c>
      <c r="AS223" s="25" t="e">
        <f t="shared" si="437"/>
        <v>#REF!</v>
      </c>
      <c r="AT223" s="24" t="e">
        <f t="shared" si="437"/>
        <v>#REF!</v>
      </c>
      <c r="AU223" s="23" t="e">
        <f>SUM(AL223:AT223)</f>
        <v>#REF!</v>
      </c>
      <c r="CS223" s="54" t="s">
        <v>1501</v>
      </c>
      <c r="CT223" s="39">
        <v>0</v>
      </c>
      <c r="CU223" s="40">
        <v>0</v>
      </c>
      <c r="CV223" s="39">
        <v>0</v>
      </c>
      <c r="CW223" s="40">
        <v>0</v>
      </c>
      <c r="CX223" s="39">
        <v>7.1383478227929767E-3</v>
      </c>
      <c r="CY223" s="40">
        <v>6.2221099016179972E-3</v>
      </c>
      <c r="CZ223" s="39">
        <v>2.1615624481931616E-2</v>
      </c>
      <c r="DA223" s="40">
        <v>4.2993365820832165E-2</v>
      </c>
      <c r="DB223" s="39">
        <v>2.695879859185301E-2</v>
      </c>
      <c r="DC223" s="38">
        <v>0.10492824661902778</v>
      </c>
      <c r="DE223" s="37" t="s">
        <v>1577</v>
      </c>
      <c r="DF223" s="35" t="str">
        <f t="shared" si="407"/>
        <v>IMSFA</v>
      </c>
      <c r="DG223" s="26">
        <f t="shared" si="433"/>
        <v>0</v>
      </c>
      <c r="DH223" s="25">
        <f t="shared" si="433"/>
        <v>0</v>
      </c>
      <c r="DI223" s="24">
        <f t="shared" si="433"/>
        <v>0.85569789008242614</v>
      </c>
      <c r="DJ223" s="25">
        <f t="shared" si="433"/>
        <v>0.57958452749999201</v>
      </c>
      <c r="DK223" s="24">
        <f t="shared" si="433"/>
        <v>0.19528669258797207</v>
      </c>
      <c r="DL223" s="25">
        <f t="shared" si="433"/>
        <v>0.17022079811325702</v>
      </c>
      <c r="DM223" s="24">
        <f t="shared" si="433"/>
        <v>0.59134745435371672</v>
      </c>
      <c r="DN223" s="25">
        <f t="shared" si="433"/>
        <v>0</v>
      </c>
      <c r="DO223" s="32">
        <f t="shared" si="433"/>
        <v>0</v>
      </c>
      <c r="DP223" s="26">
        <f t="shared" si="408"/>
        <v>0</v>
      </c>
      <c r="DQ223" s="25">
        <f t="shared" si="409"/>
        <v>0</v>
      </c>
      <c r="DR223" s="24">
        <f t="shared" si="410"/>
        <v>9.0678123577887987E-2</v>
      </c>
      <c r="DS223" s="25">
        <f t="shared" si="411"/>
        <v>9.0678123577888015E-2</v>
      </c>
      <c r="DT223" s="24">
        <f t="shared" si="412"/>
        <v>0.10428855147546413</v>
      </c>
      <c r="DU223" s="25">
        <f t="shared" si="413"/>
        <v>0.10428855147546413</v>
      </c>
      <c r="DV223" s="24">
        <f t="shared" si="414"/>
        <v>0.10428855147546415</v>
      </c>
      <c r="DW223" s="25">
        <f t="shared" si="415"/>
        <v>0</v>
      </c>
      <c r="DX223" s="32">
        <f t="shared" si="416"/>
        <v>0</v>
      </c>
      <c r="DZ223" s="54" t="s">
        <v>1820</v>
      </c>
      <c r="EA223" s="39">
        <v>0.81761852800874757</v>
      </c>
      <c r="EB223" s="40">
        <v>0.81761852800874768</v>
      </c>
      <c r="EC223" s="39">
        <v>0.59909197536010239</v>
      </c>
      <c r="ED223" s="40">
        <v>0.59909197536010239</v>
      </c>
      <c r="EE223" s="39">
        <v>0.50848876386171049</v>
      </c>
      <c r="EF223" s="40">
        <v>0.50848876386171049</v>
      </c>
      <c r="EG223" s="39">
        <v>0.5084887638617106</v>
      </c>
      <c r="EH223" s="40">
        <v>0</v>
      </c>
      <c r="EI223" s="66">
        <v>0</v>
      </c>
    </row>
    <row r="224" spans="1:139">
      <c r="A224" s="37" t="s">
        <v>1793</v>
      </c>
      <c r="B224" s="36" t="s">
        <v>1107</v>
      </c>
      <c r="C224" s="1" t="s">
        <v>665</v>
      </c>
      <c r="D224" s="36" t="s">
        <v>665</v>
      </c>
      <c r="E224" s="36" t="s">
        <v>1819</v>
      </c>
      <c r="F224" s="1" t="e">
        <f t="shared" ca="1" si="391"/>
        <v>#NAME?</v>
      </c>
      <c r="G224" s="35" t="s">
        <v>1109</v>
      </c>
      <c r="H224" s="34">
        <f>1-I224</f>
        <v>0.60795647034078149</v>
      </c>
      <c r="I224" s="33">
        <v>0.39204352965921851</v>
      </c>
      <c r="J224" s="26">
        <v>2.554615384615385E-4</v>
      </c>
      <c r="K224" s="25">
        <v>0</v>
      </c>
      <c r="L224" s="24"/>
      <c r="M224" s="25"/>
      <c r="N224" s="24"/>
      <c r="O224" s="25"/>
      <c r="P224" s="24"/>
      <c r="Q224" s="25"/>
      <c r="R224" s="32"/>
      <c r="S224" s="31" t="e">
        <v>#REF!</v>
      </c>
      <c r="T224" s="29" t="e">
        <f t="shared" si="434"/>
        <v>#REF!</v>
      </c>
      <c r="U224" s="30" t="e">
        <f t="shared" si="434"/>
        <v>#REF!</v>
      </c>
      <c r="V224" s="29" t="e">
        <f t="shared" si="434"/>
        <v>#REF!</v>
      </c>
      <c r="W224" s="30" t="e">
        <f t="shared" si="434"/>
        <v>#REF!</v>
      </c>
      <c r="X224" s="29" t="e">
        <f t="shared" si="434"/>
        <v>#REF!</v>
      </c>
      <c r="Y224" s="30" t="e">
        <f t="shared" si="434"/>
        <v>#REF!</v>
      </c>
      <c r="Z224" s="29" t="e">
        <f t="shared" si="434"/>
        <v>#REF!</v>
      </c>
      <c r="AA224" s="28" t="e">
        <f t="shared" si="434"/>
        <v>#REF!</v>
      </c>
      <c r="AB224" s="26" t="e">
        <f t="shared" si="436"/>
        <v>#REF!</v>
      </c>
      <c r="AC224" s="25" t="e">
        <f t="shared" si="436"/>
        <v>#REF!</v>
      </c>
      <c r="AD224" s="24" t="e">
        <f t="shared" si="436"/>
        <v>#REF!</v>
      </c>
      <c r="AE224" s="25" t="e">
        <f t="shared" si="436"/>
        <v>#REF!</v>
      </c>
      <c r="AF224" s="24" t="e">
        <f t="shared" si="436"/>
        <v>#REF!</v>
      </c>
      <c r="AG224" s="25" t="e">
        <f t="shared" si="436"/>
        <v>#REF!</v>
      </c>
      <c r="AH224" s="24" t="e">
        <f t="shared" si="436"/>
        <v>#REF!</v>
      </c>
      <c r="AI224" s="25" t="e">
        <f t="shared" si="436"/>
        <v>#REF!</v>
      </c>
      <c r="AJ224" s="24" t="e">
        <f t="shared" si="436"/>
        <v>#REF!</v>
      </c>
      <c r="AK224" s="27" t="e">
        <f t="shared" si="406"/>
        <v>#REF!</v>
      </c>
      <c r="AL224" s="26" t="e">
        <f t="shared" si="437"/>
        <v>#REF!</v>
      </c>
      <c r="AM224" s="25" t="e">
        <f t="shared" si="437"/>
        <v>#REF!</v>
      </c>
      <c r="AN224" s="24" t="e">
        <f t="shared" si="437"/>
        <v>#REF!</v>
      </c>
      <c r="AO224" s="25" t="e">
        <f t="shared" si="437"/>
        <v>#REF!</v>
      </c>
      <c r="AP224" s="24" t="e">
        <f t="shared" si="437"/>
        <v>#REF!</v>
      </c>
      <c r="AQ224" s="25" t="e">
        <f t="shared" si="437"/>
        <v>#REF!</v>
      </c>
      <c r="AR224" s="24" t="e">
        <f t="shared" si="437"/>
        <v>#REF!</v>
      </c>
      <c r="AS224" s="25" t="e">
        <f t="shared" si="437"/>
        <v>#REF!</v>
      </c>
      <c r="AT224" s="24" t="e">
        <f t="shared" si="437"/>
        <v>#REF!</v>
      </c>
      <c r="AU224" s="23" t="e">
        <f>SUM(AL224:AT224)</f>
        <v>#REF!</v>
      </c>
      <c r="CS224" s="54" t="s">
        <v>1499</v>
      </c>
      <c r="CT224" s="39">
        <v>3.3065214162758512</v>
      </c>
      <c r="CU224" s="40">
        <v>9.1017410092904356</v>
      </c>
      <c r="CV224" s="39">
        <v>15.411780994976811</v>
      </c>
      <c r="CW224" s="40">
        <v>10.438765724952955</v>
      </c>
      <c r="CX224" s="39">
        <v>12.873187753004666</v>
      </c>
      <c r="CY224" s="40">
        <v>11.220858239437579</v>
      </c>
      <c r="CZ224" s="39">
        <v>38.981288004186389</v>
      </c>
      <c r="DA224" s="40">
        <v>11.439380828504801</v>
      </c>
      <c r="DB224" s="39">
        <v>7.1730128098446322</v>
      </c>
      <c r="DC224" s="38">
        <v>119.9465367804741</v>
      </c>
      <c r="DE224" s="37" t="s">
        <v>1574</v>
      </c>
      <c r="DF224" s="35" t="str">
        <f t="shared" si="407"/>
        <v>IMSFA</v>
      </c>
      <c r="DG224" s="26">
        <f t="shared" si="433"/>
        <v>0.32189475159646092</v>
      </c>
      <c r="DH224" s="25">
        <f t="shared" si="433"/>
        <v>0.88606795251933235</v>
      </c>
      <c r="DI224" s="24">
        <f t="shared" si="433"/>
        <v>2.4125783659264748</v>
      </c>
      <c r="DJ224" s="25">
        <f t="shared" si="433"/>
        <v>1.6340966928614327</v>
      </c>
      <c r="DK224" s="24">
        <f t="shared" si="433"/>
        <v>0.93683620637277598</v>
      </c>
      <c r="DL224" s="25">
        <f t="shared" si="433"/>
        <v>0.81658921371886539</v>
      </c>
      <c r="DM224" s="24">
        <f t="shared" si="433"/>
        <v>2.8368328555483733</v>
      </c>
      <c r="DN224" s="25">
        <f t="shared" si="433"/>
        <v>0.37121354908751136</v>
      </c>
      <c r="DO224" s="32">
        <f t="shared" si="433"/>
        <v>0.2327678029703853</v>
      </c>
      <c r="DP224" s="26">
        <f t="shared" si="408"/>
        <v>0.42732639955689078</v>
      </c>
      <c r="DQ224" s="25">
        <f t="shared" si="409"/>
        <v>0.42732639955689089</v>
      </c>
      <c r="DR224" s="24">
        <f t="shared" si="410"/>
        <v>0.25566041676899176</v>
      </c>
      <c r="DS224" s="25">
        <f t="shared" si="411"/>
        <v>0.25566041676899171</v>
      </c>
      <c r="DT224" s="24">
        <f t="shared" si="412"/>
        <v>0.50029671575483137</v>
      </c>
      <c r="DU224" s="25">
        <f t="shared" si="413"/>
        <v>0.50029671575483126</v>
      </c>
      <c r="DV224" s="24">
        <f t="shared" si="414"/>
        <v>0.50029671575483126</v>
      </c>
      <c r="DW224" s="25">
        <f t="shared" si="415"/>
        <v>0.51470442380766956</v>
      </c>
      <c r="DX224" s="32">
        <f t="shared" si="416"/>
        <v>0.51470442380766956</v>
      </c>
      <c r="DZ224" s="54" t="s">
        <v>1818</v>
      </c>
      <c r="EA224" s="39">
        <v>0.18238147199125243</v>
      </c>
      <c r="EB224" s="40">
        <v>0.18238147199125243</v>
      </c>
      <c r="EC224" s="39">
        <v>0.40090802463989766</v>
      </c>
      <c r="ED224" s="40">
        <v>0.40090802463989761</v>
      </c>
      <c r="EE224" s="39">
        <v>0.49151123613828945</v>
      </c>
      <c r="EF224" s="40">
        <v>0.49151123613828956</v>
      </c>
      <c r="EG224" s="39">
        <v>0.49151123613828956</v>
      </c>
      <c r="EH224" s="40">
        <v>1</v>
      </c>
      <c r="EI224" s="66">
        <v>1</v>
      </c>
    </row>
    <row r="225" spans="1:139">
      <c r="A225" s="37" t="s">
        <v>1793</v>
      </c>
      <c r="B225" s="36" t="s">
        <v>1107</v>
      </c>
      <c r="C225" s="1" t="s">
        <v>665</v>
      </c>
      <c r="D225" s="36" t="s">
        <v>665</v>
      </c>
      <c r="E225" s="36" t="s">
        <v>1817</v>
      </c>
      <c r="F225" s="1" t="e">
        <f t="shared" ca="1" si="391"/>
        <v>#NAME?</v>
      </c>
      <c r="G225" s="35" t="s">
        <v>1109</v>
      </c>
      <c r="H225" s="34">
        <f>1-I225</f>
        <v>0.54469400474371632</v>
      </c>
      <c r="I225" s="33">
        <v>0.45530599525628362</v>
      </c>
      <c r="J225" s="26">
        <v>8.3700000000000002E-5</v>
      </c>
      <c r="K225" s="25">
        <v>1.9881053999999999E-2</v>
      </c>
      <c r="L225" s="24"/>
      <c r="M225" s="25"/>
      <c r="N225" s="24"/>
      <c r="O225" s="25"/>
      <c r="P225" s="24"/>
      <c r="Q225" s="25"/>
      <c r="R225" s="32"/>
      <c r="S225" s="31" t="e">
        <v>#REF!</v>
      </c>
      <c r="T225" s="29" t="e">
        <f t="shared" si="434"/>
        <v>#REF!</v>
      </c>
      <c r="U225" s="30" t="e">
        <f t="shared" si="434"/>
        <v>#REF!</v>
      </c>
      <c r="V225" s="29" t="e">
        <f t="shared" si="434"/>
        <v>#REF!</v>
      </c>
      <c r="W225" s="30" t="e">
        <f t="shared" si="434"/>
        <v>#REF!</v>
      </c>
      <c r="X225" s="29" t="e">
        <f t="shared" si="434"/>
        <v>#REF!</v>
      </c>
      <c r="Y225" s="30" t="e">
        <f t="shared" si="434"/>
        <v>#REF!</v>
      </c>
      <c r="Z225" s="29" t="e">
        <f t="shared" si="434"/>
        <v>#REF!</v>
      </c>
      <c r="AA225" s="28" t="e">
        <f t="shared" si="434"/>
        <v>#REF!</v>
      </c>
      <c r="AB225" s="26" t="e">
        <f t="shared" si="436"/>
        <v>#REF!</v>
      </c>
      <c r="AC225" s="25" t="e">
        <f t="shared" si="436"/>
        <v>#REF!</v>
      </c>
      <c r="AD225" s="24" t="e">
        <f t="shared" si="436"/>
        <v>#REF!</v>
      </c>
      <c r="AE225" s="25" t="e">
        <f t="shared" si="436"/>
        <v>#REF!</v>
      </c>
      <c r="AF225" s="24" t="e">
        <f t="shared" si="436"/>
        <v>#REF!</v>
      </c>
      <c r="AG225" s="25" t="e">
        <f t="shared" si="436"/>
        <v>#REF!</v>
      </c>
      <c r="AH225" s="24" t="e">
        <f t="shared" si="436"/>
        <v>#REF!</v>
      </c>
      <c r="AI225" s="25" t="e">
        <f t="shared" si="436"/>
        <v>#REF!</v>
      </c>
      <c r="AJ225" s="24" t="e">
        <f t="shared" si="436"/>
        <v>#REF!</v>
      </c>
      <c r="AK225" s="27" t="e">
        <f t="shared" si="406"/>
        <v>#REF!</v>
      </c>
      <c r="AL225" s="26" t="e">
        <f t="shared" si="437"/>
        <v>#REF!</v>
      </c>
      <c r="AM225" s="25" t="e">
        <f t="shared" si="437"/>
        <v>#REF!</v>
      </c>
      <c r="AN225" s="24" t="e">
        <f t="shared" si="437"/>
        <v>#REF!</v>
      </c>
      <c r="AO225" s="25" t="e">
        <f t="shared" si="437"/>
        <v>#REF!</v>
      </c>
      <c r="AP225" s="24" t="e">
        <f t="shared" si="437"/>
        <v>#REF!</v>
      </c>
      <c r="AQ225" s="25" t="e">
        <f t="shared" si="437"/>
        <v>#REF!</v>
      </c>
      <c r="AR225" s="24" t="e">
        <f t="shared" si="437"/>
        <v>#REF!</v>
      </c>
      <c r="AS225" s="25" t="e">
        <f t="shared" si="437"/>
        <v>#REF!</v>
      </c>
      <c r="AT225" s="24" t="e">
        <f t="shared" si="437"/>
        <v>#REF!</v>
      </c>
      <c r="AU225" s="23" t="e">
        <f>SUM(AL225:AT225)</f>
        <v>#REF!</v>
      </c>
      <c r="CS225" s="54" t="s">
        <v>1497</v>
      </c>
      <c r="CT225" s="39">
        <v>1.9311939377959821</v>
      </c>
      <c r="CU225" s="40">
        <v>5.3159271777311146</v>
      </c>
      <c r="CV225" s="39">
        <v>17.822661908565095</v>
      </c>
      <c r="CW225" s="40">
        <v>12.07171269298418</v>
      </c>
      <c r="CX225" s="39">
        <v>5.3616699299285768</v>
      </c>
      <c r="CY225" s="40">
        <v>4.6734763265098449</v>
      </c>
      <c r="CZ225" s="39">
        <v>16.235667787347307</v>
      </c>
      <c r="DA225" s="40">
        <v>7.2380099216522877</v>
      </c>
      <c r="DB225" s="39">
        <v>4.5385618910792447</v>
      </c>
      <c r="DC225" s="38">
        <v>75.188881573593633</v>
      </c>
      <c r="DE225" s="37" t="s">
        <v>1571</v>
      </c>
      <c r="DF225" s="35" t="str">
        <f t="shared" si="407"/>
        <v>IMSFA</v>
      </c>
      <c r="DG225" s="26">
        <f t="shared" si="433"/>
        <v>0.40856110885618713</v>
      </c>
      <c r="DH225" s="25">
        <f t="shared" si="433"/>
        <v>1.1246312759304085</v>
      </c>
      <c r="DI225" s="24">
        <f t="shared" si="433"/>
        <v>5.2493769868928748</v>
      </c>
      <c r="DJ225" s="25">
        <f t="shared" si="433"/>
        <v>3.5555278514530047</v>
      </c>
      <c r="DK225" s="24">
        <f t="shared" si="433"/>
        <v>0.67052722673844156</v>
      </c>
      <c r="DL225" s="25">
        <f t="shared" si="433"/>
        <v>0.5844621473153887</v>
      </c>
      <c r="DM225" s="24">
        <f t="shared" si="433"/>
        <v>2.0304228790603043</v>
      </c>
      <c r="DN225" s="25">
        <f t="shared" si="433"/>
        <v>0.35000339002747732</v>
      </c>
      <c r="DO225" s="32">
        <f t="shared" si="433"/>
        <v>0.21946806717897258</v>
      </c>
      <c r="DP225" s="26">
        <f t="shared" si="408"/>
        <v>0.54237898188957268</v>
      </c>
      <c r="DQ225" s="25">
        <f t="shared" si="409"/>
        <v>0.54237898188957268</v>
      </c>
      <c r="DR225" s="24">
        <f t="shared" si="410"/>
        <v>0.55627536381858056</v>
      </c>
      <c r="DS225" s="25">
        <f t="shared" si="411"/>
        <v>0.55627536381858067</v>
      </c>
      <c r="DT225" s="24">
        <f t="shared" si="412"/>
        <v>0.35808027815265042</v>
      </c>
      <c r="DU225" s="25">
        <f t="shared" si="413"/>
        <v>0.35808027815265037</v>
      </c>
      <c r="DV225" s="24">
        <f t="shared" si="414"/>
        <v>0.35808027815265048</v>
      </c>
      <c r="DW225" s="25">
        <f t="shared" si="415"/>
        <v>0.48529557619233038</v>
      </c>
      <c r="DX225" s="32">
        <f t="shared" si="416"/>
        <v>0.48529557619233049</v>
      </c>
      <c r="DZ225" s="54" t="s">
        <v>1804</v>
      </c>
      <c r="EA225" s="39">
        <v>0</v>
      </c>
      <c r="EB225" s="40">
        <v>0</v>
      </c>
      <c r="EC225" s="39">
        <v>0</v>
      </c>
      <c r="ED225" s="40">
        <v>0</v>
      </c>
      <c r="EE225" s="39">
        <v>0.10286677908937605</v>
      </c>
      <c r="EF225" s="40">
        <v>0.10286677908937605</v>
      </c>
      <c r="EG225" s="39">
        <v>0.10286677908937605</v>
      </c>
      <c r="EH225" s="40">
        <v>0</v>
      </c>
      <c r="EI225" s="66">
        <v>0</v>
      </c>
    </row>
    <row r="226" spans="1:139">
      <c r="A226" s="37" t="s">
        <v>1793</v>
      </c>
      <c r="B226" s="36" t="s">
        <v>1107</v>
      </c>
      <c r="C226" s="1" t="s">
        <v>1111</v>
      </c>
      <c r="D226" s="36" t="s">
        <v>1111</v>
      </c>
      <c r="E226" s="36" t="s">
        <v>1816</v>
      </c>
      <c r="F226" s="1" t="e">
        <f t="shared" ca="1" si="391"/>
        <v>#NAME?</v>
      </c>
      <c r="G226" s="35" t="s">
        <v>1104</v>
      </c>
      <c r="H226" s="43">
        <v>1</v>
      </c>
      <c r="I226" s="42">
        <v>0</v>
      </c>
      <c r="J226" s="26">
        <v>19.792290757514994</v>
      </c>
      <c r="K226" s="25">
        <v>6.1424061835799986</v>
      </c>
      <c r="L226" s="24"/>
      <c r="M226" s="25"/>
      <c r="N226" s="24"/>
      <c r="O226" s="25"/>
      <c r="P226" s="24"/>
      <c r="Q226" s="25"/>
      <c r="R226" s="32"/>
      <c r="S226" s="31" t="e">
        <v>#REF!</v>
      </c>
      <c r="T226" s="29" t="e">
        <f t="shared" si="434"/>
        <v>#REF!</v>
      </c>
      <c r="U226" s="30" t="e">
        <f t="shared" si="434"/>
        <v>#REF!</v>
      </c>
      <c r="V226" s="29" t="e">
        <f t="shared" si="434"/>
        <v>#REF!</v>
      </c>
      <c r="W226" s="30" t="e">
        <f t="shared" si="434"/>
        <v>#REF!</v>
      </c>
      <c r="X226" s="29" t="e">
        <f t="shared" si="434"/>
        <v>#REF!</v>
      </c>
      <c r="Y226" s="30" t="e">
        <f t="shared" si="434"/>
        <v>#REF!</v>
      </c>
      <c r="Z226" s="29" t="e">
        <f t="shared" si="434"/>
        <v>#REF!</v>
      </c>
      <c r="AA226" s="28" t="e">
        <f t="shared" si="434"/>
        <v>#REF!</v>
      </c>
      <c r="AB226" s="26" t="e">
        <f t="shared" ref="AB226:AJ227" si="438">J226*$H226*S226</f>
        <v>#REF!</v>
      </c>
      <c r="AC226" s="25" t="e">
        <f t="shared" si="438"/>
        <v>#REF!</v>
      </c>
      <c r="AD226" s="24" t="e">
        <f t="shared" si="438"/>
        <v>#REF!</v>
      </c>
      <c r="AE226" s="25" t="e">
        <f t="shared" si="438"/>
        <v>#REF!</v>
      </c>
      <c r="AF226" s="24" t="e">
        <f t="shared" si="438"/>
        <v>#REF!</v>
      </c>
      <c r="AG226" s="25" t="e">
        <f t="shared" si="438"/>
        <v>#REF!</v>
      </c>
      <c r="AH226" s="24" t="e">
        <f t="shared" si="438"/>
        <v>#REF!</v>
      </c>
      <c r="AI226" s="25" t="e">
        <f t="shared" si="438"/>
        <v>#REF!</v>
      </c>
      <c r="AJ226" s="24" t="e">
        <f t="shared" si="438"/>
        <v>#REF!</v>
      </c>
      <c r="AK226" s="27" t="e">
        <f t="shared" si="406"/>
        <v>#REF!</v>
      </c>
      <c r="AL226" s="41">
        <v>0</v>
      </c>
      <c r="AM226" s="40">
        <v>0</v>
      </c>
      <c r="AN226" s="39">
        <v>0</v>
      </c>
      <c r="AO226" s="40">
        <v>0</v>
      </c>
      <c r="AP226" s="39">
        <v>0</v>
      </c>
      <c r="AQ226" s="40">
        <v>0</v>
      </c>
      <c r="AR226" s="39">
        <v>0</v>
      </c>
      <c r="AS226" s="40">
        <v>0</v>
      </c>
      <c r="AT226" s="39">
        <v>0</v>
      </c>
      <c r="AU226" s="38">
        <v>0</v>
      </c>
      <c r="CS226" s="54" t="s">
        <v>1729</v>
      </c>
      <c r="CT226" s="39">
        <v>0</v>
      </c>
      <c r="CU226" s="40">
        <v>9.0314115683091285E-3</v>
      </c>
      <c r="CV226" s="39">
        <v>0.93625633258137952</v>
      </c>
      <c r="CW226" s="40">
        <v>1.385538953399531</v>
      </c>
      <c r="CX226" s="39">
        <v>0.81282704114782156</v>
      </c>
      <c r="CY226" s="40">
        <v>0</v>
      </c>
      <c r="CZ226" s="39">
        <v>0</v>
      </c>
      <c r="DA226" s="40">
        <v>0</v>
      </c>
      <c r="DB226" s="39">
        <v>0</v>
      </c>
      <c r="DC226" s="38">
        <v>3.1436537386970409</v>
      </c>
      <c r="DE226" s="37" t="s">
        <v>1568</v>
      </c>
      <c r="DF226" s="35" t="str">
        <f t="shared" si="407"/>
        <v>IMSFA</v>
      </c>
      <c r="DG226" s="26">
        <f t="shared" si="433"/>
        <v>2.2820211257979894E-2</v>
      </c>
      <c r="DH226" s="25">
        <f t="shared" si="433"/>
        <v>6.2816363936140582E-2</v>
      </c>
      <c r="DI226" s="24">
        <f t="shared" si="433"/>
        <v>0.91899868944025409</v>
      </c>
      <c r="DJ226" s="25">
        <f t="shared" si="433"/>
        <v>0.62245966405390407</v>
      </c>
      <c r="DK226" s="24">
        <f t="shared" si="433"/>
        <v>6.9911050240788683E-2</v>
      </c>
      <c r="DL226" s="25">
        <f t="shared" si="433"/>
        <v>6.0937663551049417E-2</v>
      </c>
      <c r="DM226" s="24">
        <f t="shared" si="433"/>
        <v>0.21169758698464158</v>
      </c>
      <c r="DN226" s="25">
        <f t="shared" si="433"/>
        <v>0</v>
      </c>
      <c r="DO226" s="32">
        <f t="shared" si="433"/>
        <v>0</v>
      </c>
      <c r="DP226" s="26">
        <f t="shared" si="408"/>
        <v>3.0294618553536518E-2</v>
      </c>
      <c r="DQ226" s="25">
        <f t="shared" si="409"/>
        <v>3.0294618553536518E-2</v>
      </c>
      <c r="DR226" s="24">
        <f t="shared" si="410"/>
        <v>9.7386095834539582E-2</v>
      </c>
      <c r="DS226" s="25">
        <f t="shared" si="411"/>
        <v>9.7386095834539596E-2</v>
      </c>
      <c r="DT226" s="24">
        <f t="shared" si="412"/>
        <v>3.7334454617054154E-2</v>
      </c>
      <c r="DU226" s="25">
        <f t="shared" si="413"/>
        <v>3.7334454617054154E-2</v>
      </c>
      <c r="DV226" s="24">
        <f t="shared" si="414"/>
        <v>3.7334454617054161E-2</v>
      </c>
      <c r="DW226" s="25">
        <f t="shared" si="415"/>
        <v>0</v>
      </c>
      <c r="DX226" s="32">
        <f t="shared" si="416"/>
        <v>0</v>
      </c>
      <c r="DZ226" s="54" t="s">
        <v>1801</v>
      </c>
      <c r="EA226" s="39">
        <v>0</v>
      </c>
      <c r="EB226" s="40">
        <v>0</v>
      </c>
      <c r="EC226" s="39">
        <v>0</v>
      </c>
      <c r="ED226" s="40">
        <v>0</v>
      </c>
      <c r="EE226" s="39">
        <v>0.89713322091062397</v>
      </c>
      <c r="EF226" s="40">
        <v>0.89713322091062397</v>
      </c>
      <c r="EG226" s="39">
        <v>0.89713322091062397</v>
      </c>
      <c r="EH226" s="40">
        <v>0</v>
      </c>
      <c r="EI226" s="66">
        <v>0</v>
      </c>
    </row>
    <row r="227" spans="1:139">
      <c r="A227" s="37" t="s">
        <v>1793</v>
      </c>
      <c r="B227" s="36" t="s">
        <v>1107</v>
      </c>
      <c r="C227" s="1" t="s">
        <v>1111</v>
      </c>
      <c r="D227" s="36" t="s">
        <v>1111</v>
      </c>
      <c r="E227" s="36" t="s">
        <v>1815</v>
      </c>
      <c r="F227" s="1" t="e">
        <f t="shared" ca="1" si="391"/>
        <v>#NAME?</v>
      </c>
      <c r="G227" s="35" t="s">
        <v>1104</v>
      </c>
      <c r="H227" s="43">
        <v>1</v>
      </c>
      <c r="I227" s="42">
        <v>0</v>
      </c>
      <c r="J227" s="26">
        <v>0.57299159999999993</v>
      </c>
      <c r="K227" s="25">
        <v>0</v>
      </c>
      <c r="L227" s="24"/>
      <c r="M227" s="25"/>
      <c r="N227" s="24"/>
      <c r="O227" s="25"/>
      <c r="P227" s="24"/>
      <c r="Q227" s="25"/>
      <c r="R227" s="32"/>
      <c r="S227" s="31" t="e">
        <v>#REF!</v>
      </c>
      <c r="T227" s="29" t="e">
        <f t="shared" si="434"/>
        <v>#REF!</v>
      </c>
      <c r="U227" s="30" t="e">
        <f t="shared" si="434"/>
        <v>#REF!</v>
      </c>
      <c r="V227" s="29" t="e">
        <f t="shared" si="434"/>
        <v>#REF!</v>
      </c>
      <c r="W227" s="30" t="e">
        <f t="shared" si="434"/>
        <v>#REF!</v>
      </c>
      <c r="X227" s="29" t="e">
        <f t="shared" si="434"/>
        <v>#REF!</v>
      </c>
      <c r="Y227" s="30" t="e">
        <f t="shared" si="434"/>
        <v>#REF!</v>
      </c>
      <c r="Z227" s="29" t="e">
        <f t="shared" si="434"/>
        <v>#REF!</v>
      </c>
      <c r="AA227" s="28" t="e">
        <f t="shared" si="434"/>
        <v>#REF!</v>
      </c>
      <c r="AB227" s="26" t="e">
        <f t="shared" si="438"/>
        <v>#REF!</v>
      </c>
      <c r="AC227" s="25" t="e">
        <f t="shared" si="438"/>
        <v>#REF!</v>
      </c>
      <c r="AD227" s="24" t="e">
        <f t="shared" si="438"/>
        <v>#REF!</v>
      </c>
      <c r="AE227" s="25" t="e">
        <f t="shared" si="438"/>
        <v>#REF!</v>
      </c>
      <c r="AF227" s="24" t="e">
        <f t="shared" si="438"/>
        <v>#REF!</v>
      </c>
      <c r="AG227" s="25" t="e">
        <f t="shared" si="438"/>
        <v>#REF!</v>
      </c>
      <c r="AH227" s="24" t="e">
        <f t="shared" si="438"/>
        <v>#REF!</v>
      </c>
      <c r="AI227" s="25" t="e">
        <f t="shared" si="438"/>
        <v>#REF!</v>
      </c>
      <c r="AJ227" s="24" t="e">
        <f t="shared" si="438"/>
        <v>#REF!</v>
      </c>
      <c r="AK227" s="27" t="e">
        <f t="shared" si="406"/>
        <v>#REF!</v>
      </c>
      <c r="AL227" s="41">
        <v>0</v>
      </c>
      <c r="AM227" s="40">
        <v>0</v>
      </c>
      <c r="AN227" s="39">
        <v>0</v>
      </c>
      <c r="AO227" s="40">
        <v>0</v>
      </c>
      <c r="AP227" s="39">
        <v>0</v>
      </c>
      <c r="AQ227" s="40">
        <v>0</v>
      </c>
      <c r="AR227" s="39">
        <v>0</v>
      </c>
      <c r="AS227" s="40">
        <v>0</v>
      </c>
      <c r="AT227" s="39">
        <v>0</v>
      </c>
      <c r="AU227" s="38">
        <v>0</v>
      </c>
      <c r="CS227" s="54" t="s">
        <v>1731</v>
      </c>
      <c r="CT227" s="39">
        <v>0</v>
      </c>
      <c r="CU227" s="40">
        <v>0.51968349560418503</v>
      </c>
      <c r="CV227" s="39">
        <v>-6.1931724624495442E-16</v>
      </c>
      <c r="CW227" s="40">
        <v>0</v>
      </c>
      <c r="CX227" s="39">
        <v>0.21633245978131346</v>
      </c>
      <c r="CY227" s="40">
        <v>9.4280639717008938E-2</v>
      </c>
      <c r="CZ227" s="39">
        <v>0</v>
      </c>
      <c r="DA227" s="40">
        <v>1.687486853645511</v>
      </c>
      <c r="DB227" s="39">
        <v>5.5286984479474832E-2</v>
      </c>
      <c r="DC227" s="38">
        <v>2.573070433227493</v>
      </c>
      <c r="DE227" s="37" t="s">
        <v>1475</v>
      </c>
      <c r="DF227" s="35" t="str">
        <f t="shared" si="407"/>
        <v>IMTFA</v>
      </c>
      <c r="DG227" s="26">
        <f t="shared" si="433"/>
        <v>0</v>
      </c>
      <c r="DH227" s="25">
        <f t="shared" si="433"/>
        <v>0</v>
      </c>
      <c r="DI227" s="24">
        <f t="shared" si="433"/>
        <v>0.22746399609786019</v>
      </c>
      <c r="DJ227" s="25">
        <f t="shared" si="433"/>
        <v>0.15406677313290928</v>
      </c>
      <c r="DK227" s="24">
        <f t="shared" si="433"/>
        <v>5.1911652460093834E-2</v>
      </c>
      <c r="DL227" s="25">
        <f t="shared" si="433"/>
        <v>4.5248566587068315E-2</v>
      </c>
      <c r="DM227" s="24">
        <f t="shared" si="433"/>
        <v>0.15719362710668416</v>
      </c>
      <c r="DN227" s="25">
        <f t="shared" si="433"/>
        <v>0</v>
      </c>
      <c r="DO227" s="32">
        <f t="shared" si="433"/>
        <v>0</v>
      </c>
      <c r="DP227" s="26">
        <f t="shared" si="408"/>
        <v>0</v>
      </c>
      <c r="DQ227" s="25">
        <f t="shared" si="409"/>
        <v>0</v>
      </c>
      <c r="DR227" s="24">
        <f t="shared" si="410"/>
        <v>9.0678123577888056E-2</v>
      </c>
      <c r="DS227" s="25">
        <f t="shared" si="411"/>
        <v>9.0678123577888042E-2</v>
      </c>
      <c r="DT227" s="24">
        <f t="shared" si="412"/>
        <v>0.10428855147546415</v>
      </c>
      <c r="DU227" s="25">
        <f t="shared" si="413"/>
        <v>0.10428855147546415</v>
      </c>
      <c r="DV227" s="24">
        <f t="shared" si="414"/>
        <v>0.10428855147546416</v>
      </c>
      <c r="DW227" s="25">
        <f t="shared" si="415"/>
        <v>0</v>
      </c>
      <c r="DX227" s="32">
        <f t="shared" si="416"/>
        <v>0</v>
      </c>
      <c r="DZ227" s="54" t="s">
        <v>1707</v>
      </c>
      <c r="EA227" s="39">
        <v>1</v>
      </c>
      <c r="EB227" s="40">
        <v>1</v>
      </c>
      <c r="EC227" s="39">
        <v>1</v>
      </c>
      <c r="ED227" s="40">
        <v>1</v>
      </c>
      <c r="EE227" s="39">
        <v>1</v>
      </c>
      <c r="EF227" s="40">
        <v>1</v>
      </c>
      <c r="EG227" s="39">
        <v>1</v>
      </c>
      <c r="EH227" s="40">
        <v>1</v>
      </c>
      <c r="EI227" s="66">
        <v>1</v>
      </c>
    </row>
    <row r="228" spans="1:139">
      <c r="A228" s="37" t="s">
        <v>1793</v>
      </c>
      <c r="B228" s="36" t="s">
        <v>1107</v>
      </c>
      <c r="C228" s="1" t="s">
        <v>1111</v>
      </c>
      <c r="D228" s="36" t="s">
        <v>1111</v>
      </c>
      <c r="E228" s="36" t="s">
        <v>1814</v>
      </c>
      <c r="F228" s="1" t="e">
        <f t="shared" ref="F228:F291" ca="1" si="439">EndUse(A228,B228,C228,G228)</f>
        <v>#NAME?</v>
      </c>
      <c r="G228" s="35" t="s">
        <v>1109</v>
      </c>
      <c r="H228" s="34">
        <f>1-I228</f>
        <v>0.91317837324206397</v>
      </c>
      <c r="I228" s="33">
        <v>8.6821626757936074E-2</v>
      </c>
      <c r="J228" s="26" t="e">
        <v>#REF!</v>
      </c>
      <c r="K228" s="25" t="e">
        <v>#REF!</v>
      </c>
      <c r="L228" s="24"/>
      <c r="M228" s="25"/>
      <c r="N228" s="24"/>
      <c r="O228" s="25"/>
      <c r="P228" s="24"/>
      <c r="Q228" s="25"/>
      <c r="R228" s="32"/>
      <c r="S228" s="31" t="e">
        <v>#REF!</v>
      </c>
      <c r="T228" s="29" t="e">
        <f t="shared" si="434"/>
        <v>#REF!</v>
      </c>
      <c r="U228" s="30" t="e">
        <f t="shared" si="434"/>
        <v>#REF!</v>
      </c>
      <c r="V228" s="29" t="e">
        <f t="shared" si="434"/>
        <v>#REF!</v>
      </c>
      <c r="W228" s="30" t="e">
        <f t="shared" si="434"/>
        <v>#REF!</v>
      </c>
      <c r="X228" s="29" t="e">
        <f t="shared" si="434"/>
        <v>#REF!</v>
      </c>
      <c r="Y228" s="30" t="e">
        <f t="shared" si="434"/>
        <v>#REF!</v>
      </c>
      <c r="Z228" s="29" t="e">
        <f t="shared" si="434"/>
        <v>#REF!</v>
      </c>
      <c r="AA228" s="28" t="e">
        <f t="shared" si="434"/>
        <v>#REF!</v>
      </c>
      <c r="AB228" s="26" t="e">
        <f t="shared" ref="AB228:AJ230" si="440">J228*31.536*$H228*S228</f>
        <v>#REF!</v>
      </c>
      <c r="AC228" s="25" t="e">
        <f t="shared" si="440"/>
        <v>#REF!</v>
      </c>
      <c r="AD228" s="24" t="e">
        <f t="shared" si="440"/>
        <v>#REF!</v>
      </c>
      <c r="AE228" s="25" t="e">
        <f t="shared" si="440"/>
        <v>#REF!</v>
      </c>
      <c r="AF228" s="24" t="e">
        <f t="shared" si="440"/>
        <v>#REF!</v>
      </c>
      <c r="AG228" s="25" t="e">
        <f t="shared" si="440"/>
        <v>#REF!</v>
      </c>
      <c r="AH228" s="24" t="e">
        <f t="shared" si="440"/>
        <v>#REF!</v>
      </c>
      <c r="AI228" s="25" t="e">
        <f t="shared" si="440"/>
        <v>#REF!</v>
      </c>
      <c r="AJ228" s="24" t="e">
        <f t="shared" si="440"/>
        <v>#REF!</v>
      </c>
      <c r="AK228" s="27" t="e">
        <f t="shared" si="406"/>
        <v>#REF!</v>
      </c>
      <c r="AL228" s="26" t="e">
        <f t="shared" ref="AL228:AT230" si="441">J228*31.536*$I228*S228</f>
        <v>#REF!</v>
      </c>
      <c r="AM228" s="25" t="e">
        <f t="shared" si="441"/>
        <v>#REF!</v>
      </c>
      <c r="AN228" s="24" t="e">
        <f t="shared" si="441"/>
        <v>#REF!</v>
      </c>
      <c r="AO228" s="25" t="e">
        <f t="shared" si="441"/>
        <v>#REF!</v>
      </c>
      <c r="AP228" s="24" t="e">
        <f t="shared" si="441"/>
        <v>#REF!</v>
      </c>
      <c r="AQ228" s="25" t="e">
        <f t="shared" si="441"/>
        <v>#REF!</v>
      </c>
      <c r="AR228" s="24" t="e">
        <f t="shared" si="441"/>
        <v>#REF!</v>
      </c>
      <c r="AS228" s="25" t="e">
        <f t="shared" si="441"/>
        <v>#REF!</v>
      </c>
      <c r="AT228" s="24" t="e">
        <f t="shared" si="441"/>
        <v>#REF!</v>
      </c>
      <c r="AU228" s="23" t="e">
        <f>SUM(AL228:AT228)</f>
        <v>#REF!</v>
      </c>
      <c r="CS228" s="54" t="s">
        <v>1484</v>
      </c>
      <c r="CT228" s="39">
        <v>0.86566644504907808</v>
      </c>
      <c r="CU228" s="40">
        <v>0.76382333386683365</v>
      </c>
      <c r="CV228" s="39">
        <v>2.9631495682072089</v>
      </c>
      <c r="CW228" s="40">
        <v>0.56741161944393348</v>
      </c>
      <c r="CX228" s="39">
        <v>2.4442346683738676</v>
      </c>
      <c r="CY228" s="40">
        <v>1.4192330332493426</v>
      </c>
      <c r="CZ228" s="39">
        <v>1.0250016351245252</v>
      </c>
      <c r="DA228" s="40">
        <v>9.3113701652337802E-2</v>
      </c>
      <c r="DB228" s="39">
        <v>0.72163118780561808</v>
      </c>
      <c r="DC228" s="38">
        <v>10.863265192772747</v>
      </c>
      <c r="DE228" s="37" t="s">
        <v>1470</v>
      </c>
      <c r="DF228" s="35" t="str">
        <f t="shared" si="407"/>
        <v>IMTFA</v>
      </c>
      <c r="DG228" s="26">
        <f t="shared" ref="DG228:DO237" si="442">GETPIVOTDATA("Sum of "&amp;DG$1&amp;" (Out)",$CS$6,"Constraint Identifier",$DE228)</f>
        <v>8.5566959285135163E-2</v>
      </c>
      <c r="DH228" s="25">
        <f t="shared" si="442"/>
        <v>0.23553705066969588</v>
      </c>
      <c r="DI228" s="24">
        <f t="shared" si="442"/>
        <v>0.64131829980324007</v>
      </c>
      <c r="DJ228" s="25">
        <f t="shared" si="442"/>
        <v>0.43438013354544414</v>
      </c>
      <c r="DK228" s="24">
        <f t="shared" si="442"/>
        <v>0.24903240928896569</v>
      </c>
      <c r="DL228" s="25">
        <f t="shared" si="442"/>
        <v>0.21706801883666038</v>
      </c>
      <c r="DM228" s="24">
        <f t="shared" si="442"/>
        <v>0.75409480970273202</v>
      </c>
      <c r="DN228" s="25">
        <f t="shared" si="442"/>
        <v>9.8677019377692882E-2</v>
      </c>
      <c r="DO228" s="32">
        <f t="shared" si="442"/>
        <v>6.1874985599722668E-2</v>
      </c>
      <c r="DP228" s="26">
        <f t="shared" si="408"/>
        <v>0.42732639955689083</v>
      </c>
      <c r="DQ228" s="25">
        <f t="shared" si="409"/>
        <v>0.427326399556891</v>
      </c>
      <c r="DR228" s="24">
        <f t="shared" si="410"/>
        <v>0.25566041676899182</v>
      </c>
      <c r="DS228" s="25">
        <f t="shared" si="411"/>
        <v>0.25566041676899176</v>
      </c>
      <c r="DT228" s="24">
        <f t="shared" si="412"/>
        <v>0.50029671575483137</v>
      </c>
      <c r="DU228" s="25">
        <f t="shared" si="413"/>
        <v>0.50029671575483137</v>
      </c>
      <c r="DV228" s="24">
        <f t="shared" si="414"/>
        <v>0.50029671575483137</v>
      </c>
      <c r="DW228" s="25">
        <f t="shared" si="415"/>
        <v>0.51470442380766968</v>
      </c>
      <c r="DX228" s="32">
        <f t="shared" si="416"/>
        <v>0.51470442380766968</v>
      </c>
      <c r="DZ228" s="54" t="s">
        <v>1813</v>
      </c>
      <c r="EA228" s="39">
        <v>1</v>
      </c>
      <c r="EB228" s="40">
        <v>7.7581753534048281E-2</v>
      </c>
      <c r="EC228" s="39">
        <v>0.10286677908937605</v>
      </c>
      <c r="ED228" s="40">
        <v>0.10286677908937605</v>
      </c>
      <c r="EE228" s="39">
        <v>0.10286677908937605</v>
      </c>
      <c r="EF228" s="40">
        <v>0.10286677908937607</v>
      </c>
      <c r="EG228" s="39">
        <v>0.10286677908937605</v>
      </c>
      <c r="EH228" s="40">
        <v>0.10286677908937605</v>
      </c>
      <c r="EI228" s="66">
        <v>0.10286677908937607</v>
      </c>
    </row>
    <row r="229" spans="1:139">
      <c r="A229" s="37" t="s">
        <v>1793</v>
      </c>
      <c r="B229" s="36" t="s">
        <v>1107</v>
      </c>
      <c r="C229" s="1" t="s">
        <v>1111</v>
      </c>
      <c r="D229" s="36" t="s">
        <v>1111</v>
      </c>
      <c r="E229" s="36" t="s">
        <v>1812</v>
      </c>
      <c r="F229" s="1" t="e">
        <f t="shared" ca="1" si="439"/>
        <v>#NAME?</v>
      </c>
      <c r="G229" s="35" t="s">
        <v>1109</v>
      </c>
      <c r="H229" s="34">
        <f>1-I229</f>
        <v>0.49060269678639434</v>
      </c>
      <c r="I229" s="33">
        <v>0.50939730321360566</v>
      </c>
      <c r="J229" s="26">
        <v>0</v>
      </c>
      <c r="K229" s="25">
        <v>0</v>
      </c>
      <c r="L229" s="24"/>
      <c r="M229" s="25"/>
      <c r="N229" s="24"/>
      <c r="O229" s="25"/>
      <c r="P229" s="24"/>
      <c r="Q229" s="25"/>
      <c r="R229" s="32"/>
      <c r="S229" s="31" t="e">
        <v>#REF!</v>
      </c>
      <c r="T229" s="29" t="e">
        <f t="shared" ref="T229:AA237" si="443">S229</f>
        <v>#REF!</v>
      </c>
      <c r="U229" s="30" t="e">
        <f t="shared" si="443"/>
        <v>#REF!</v>
      </c>
      <c r="V229" s="29" t="e">
        <f t="shared" si="443"/>
        <v>#REF!</v>
      </c>
      <c r="W229" s="30" t="e">
        <f t="shared" si="443"/>
        <v>#REF!</v>
      </c>
      <c r="X229" s="29" t="e">
        <f t="shared" si="443"/>
        <v>#REF!</v>
      </c>
      <c r="Y229" s="30" t="e">
        <f t="shared" si="443"/>
        <v>#REF!</v>
      </c>
      <c r="Z229" s="29" t="e">
        <f t="shared" si="443"/>
        <v>#REF!</v>
      </c>
      <c r="AA229" s="28" t="e">
        <f t="shared" si="443"/>
        <v>#REF!</v>
      </c>
      <c r="AB229" s="26" t="e">
        <f t="shared" si="440"/>
        <v>#REF!</v>
      </c>
      <c r="AC229" s="25" t="e">
        <f t="shared" si="440"/>
        <v>#REF!</v>
      </c>
      <c r="AD229" s="24" t="e">
        <f t="shared" si="440"/>
        <v>#REF!</v>
      </c>
      <c r="AE229" s="25" t="e">
        <f t="shared" si="440"/>
        <v>#REF!</v>
      </c>
      <c r="AF229" s="24" t="e">
        <f t="shared" si="440"/>
        <v>#REF!</v>
      </c>
      <c r="AG229" s="25" t="e">
        <f t="shared" si="440"/>
        <v>#REF!</v>
      </c>
      <c r="AH229" s="24" t="e">
        <f t="shared" si="440"/>
        <v>#REF!</v>
      </c>
      <c r="AI229" s="25" t="e">
        <f t="shared" si="440"/>
        <v>#REF!</v>
      </c>
      <c r="AJ229" s="24" t="e">
        <f t="shared" si="440"/>
        <v>#REF!</v>
      </c>
      <c r="AK229" s="27" t="e">
        <f t="shared" si="406"/>
        <v>#REF!</v>
      </c>
      <c r="AL229" s="26" t="e">
        <f t="shared" si="441"/>
        <v>#REF!</v>
      </c>
      <c r="AM229" s="25" t="e">
        <f t="shared" si="441"/>
        <v>#REF!</v>
      </c>
      <c r="AN229" s="24" t="e">
        <f t="shared" si="441"/>
        <v>#REF!</v>
      </c>
      <c r="AO229" s="25" t="e">
        <f t="shared" si="441"/>
        <v>#REF!</v>
      </c>
      <c r="AP229" s="24" t="e">
        <f t="shared" si="441"/>
        <v>#REF!</v>
      </c>
      <c r="AQ229" s="25" t="e">
        <f t="shared" si="441"/>
        <v>#REF!</v>
      </c>
      <c r="AR229" s="24" t="e">
        <f t="shared" si="441"/>
        <v>#REF!</v>
      </c>
      <c r="AS229" s="25" t="e">
        <f t="shared" si="441"/>
        <v>#REF!</v>
      </c>
      <c r="AT229" s="24" t="e">
        <f t="shared" si="441"/>
        <v>#REF!</v>
      </c>
      <c r="AU229" s="23" t="e">
        <f>SUM(AL229:AT229)</f>
        <v>#REF!</v>
      </c>
      <c r="CS229" s="54" t="s">
        <v>1481</v>
      </c>
      <c r="CT229" s="39">
        <v>1.2356394041959469</v>
      </c>
      <c r="CU229" s="40">
        <v>1.0902700625258355</v>
      </c>
      <c r="CV229" s="39">
        <v>1.952102588141496</v>
      </c>
      <c r="CW229" s="40">
        <v>0.37380687858028638</v>
      </c>
      <c r="CX229" s="39">
        <v>1.1629547333608912</v>
      </c>
      <c r="CY229" s="40">
        <v>0.67526403872567875</v>
      </c>
      <c r="CZ229" s="39">
        <v>0.48769069463521242</v>
      </c>
      <c r="DA229" s="40">
        <v>0.26581822476820371</v>
      </c>
      <c r="DB229" s="39">
        <v>2.0600912419535784</v>
      </c>
      <c r="DC229" s="38">
        <v>9.3036378668871293</v>
      </c>
      <c r="DE229" s="37" t="s">
        <v>1465</v>
      </c>
      <c r="DF229" s="35" t="str">
        <f t="shared" si="407"/>
        <v>IMTFA</v>
      </c>
      <c r="DG229" s="26">
        <f t="shared" si="442"/>
        <v>0.1086048517212649</v>
      </c>
      <c r="DH229" s="25">
        <f t="shared" si="442"/>
        <v>0.29895261765238695</v>
      </c>
      <c r="DI229" s="24">
        <f t="shared" si="442"/>
        <v>1.3954040091740549</v>
      </c>
      <c r="DJ229" s="25">
        <f t="shared" si="442"/>
        <v>0.9451403149432035</v>
      </c>
      <c r="DK229" s="24">
        <f t="shared" si="442"/>
        <v>0.17824141470262364</v>
      </c>
      <c r="DL229" s="25">
        <f t="shared" si="442"/>
        <v>0.15536335561548303</v>
      </c>
      <c r="DM229" s="24">
        <f t="shared" si="442"/>
        <v>0.53973266405400466</v>
      </c>
      <c r="DN229" s="25">
        <f t="shared" si="442"/>
        <v>9.303887583008888E-2</v>
      </c>
      <c r="DO229" s="32">
        <f t="shared" si="442"/>
        <v>5.8339612794410398E-2</v>
      </c>
      <c r="DP229" s="26">
        <f t="shared" si="408"/>
        <v>0.54237898188957268</v>
      </c>
      <c r="DQ229" s="25">
        <f t="shared" si="409"/>
        <v>0.54237898188957279</v>
      </c>
      <c r="DR229" s="24">
        <f t="shared" si="410"/>
        <v>0.55627536381858067</v>
      </c>
      <c r="DS229" s="25">
        <f t="shared" si="411"/>
        <v>0.55627536381858056</v>
      </c>
      <c r="DT229" s="24">
        <f t="shared" si="412"/>
        <v>0.35808027815265037</v>
      </c>
      <c r="DU229" s="25">
        <f t="shared" si="413"/>
        <v>0.35808027815265037</v>
      </c>
      <c r="DV229" s="24">
        <f t="shared" si="414"/>
        <v>0.35808027815265042</v>
      </c>
      <c r="DW229" s="25">
        <f t="shared" si="415"/>
        <v>0.48529557619233038</v>
      </c>
      <c r="DX229" s="32">
        <f t="shared" si="416"/>
        <v>0.48529557619233038</v>
      </c>
      <c r="DZ229" s="54" t="s">
        <v>1811</v>
      </c>
      <c r="EA229" s="39">
        <v>0</v>
      </c>
      <c r="EB229" s="40">
        <v>0.92241824646595172</v>
      </c>
      <c r="EC229" s="39">
        <v>0.89713322091062397</v>
      </c>
      <c r="ED229" s="40">
        <v>0.89713322091062397</v>
      </c>
      <c r="EE229" s="39">
        <v>0.89713322091062386</v>
      </c>
      <c r="EF229" s="40">
        <v>0.89713322091062397</v>
      </c>
      <c r="EG229" s="39">
        <v>0.89713322091062397</v>
      </c>
      <c r="EH229" s="40">
        <v>0.89713322091062386</v>
      </c>
      <c r="EI229" s="66">
        <v>0.89713322091062397</v>
      </c>
    </row>
    <row r="230" spans="1:139">
      <c r="A230" s="37" t="s">
        <v>1793</v>
      </c>
      <c r="B230" s="36" t="s">
        <v>1107</v>
      </c>
      <c r="C230" s="1" t="s">
        <v>1111</v>
      </c>
      <c r="D230" s="36" t="s">
        <v>1111</v>
      </c>
      <c r="E230" s="36" t="s">
        <v>1810</v>
      </c>
      <c r="F230" s="1" t="e">
        <f t="shared" ca="1" si="439"/>
        <v>#NAME?</v>
      </c>
      <c r="G230" s="35" t="s">
        <v>1109</v>
      </c>
      <c r="H230" s="34">
        <f>1-I230</f>
        <v>0.55237317003689779</v>
      </c>
      <c r="I230" s="33">
        <v>0.44762682996310221</v>
      </c>
      <c r="J230" s="26">
        <v>1.1291697584466165E-3</v>
      </c>
      <c r="K230" s="25">
        <v>2.7246245045236156E-4</v>
      </c>
      <c r="L230" s="24"/>
      <c r="M230" s="25"/>
      <c r="N230" s="24"/>
      <c r="O230" s="25"/>
      <c r="P230" s="24"/>
      <c r="Q230" s="25"/>
      <c r="R230" s="32"/>
      <c r="S230" s="31" t="e">
        <v>#REF!</v>
      </c>
      <c r="T230" s="29" t="e">
        <f t="shared" si="443"/>
        <v>#REF!</v>
      </c>
      <c r="U230" s="30" t="e">
        <f t="shared" si="443"/>
        <v>#REF!</v>
      </c>
      <c r="V230" s="29" t="e">
        <f t="shared" si="443"/>
        <v>#REF!</v>
      </c>
      <c r="W230" s="30" t="e">
        <f t="shared" si="443"/>
        <v>#REF!</v>
      </c>
      <c r="X230" s="29" t="e">
        <f t="shared" si="443"/>
        <v>#REF!</v>
      </c>
      <c r="Y230" s="30" t="e">
        <f t="shared" si="443"/>
        <v>#REF!</v>
      </c>
      <c r="Z230" s="29" t="e">
        <f t="shared" si="443"/>
        <v>#REF!</v>
      </c>
      <c r="AA230" s="28" t="e">
        <f t="shared" si="443"/>
        <v>#REF!</v>
      </c>
      <c r="AB230" s="26" t="e">
        <f t="shared" si="440"/>
        <v>#REF!</v>
      </c>
      <c r="AC230" s="25" t="e">
        <f t="shared" si="440"/>
        <v>#REF!</v>
      </c>
      <c r="AD230" s="24" t="e">
        <f t="shared" si="440"/>
        <v>#REF!</v>
      </c>
      <c r="AE230" s="25" t="e">
        <f t="shared" si="440"/>
        <v>#REF!</v>
      </c>
      <c r="AF230" s="24" t="e">
        <f t="shared" si="440"/>
        <v>#REF!</v>
      </c>
      <c r="AG230" s="25" t="e">
        <f t="shared" si="440"/>
        <v>#REF!</v>
      </c>
      <c r="AH230" s="24" t="e">
        <f t="shared" si="440"/>
        <v>#REF!</v>
      </c>
      <c r="AI230" s="25" t="e">
        <f t="shared" si="440"/>
        <v>#REF!</v>
      </c>
      <c r="AJ230" s="24" t="e">
        <f t="shared" si="440"/>
        <v>#REF!</v>
      </c>
      <c r="AK230" s="27" t="e">
        <f t="shared" si="406"/>
        <v>#REF!</v>
      </c>
      <c r="AL230" s="26" t="e">
        <f t="shared" si="441"/>
        <v>#REF!</v>
      </c>
      <c r="AM230" s="25" t="e">
        <f t="shared" si="441"/>
        <v>#REF!</v>
      </c>
      <c r="AN230" s="24" t="e">
        <f t="shared" si="441"/>
        <v>#REF!</v>
      </c>
      <c r="AO230" s="25" t="e">
        <f t="shared" si="441"/>
        <v>#REF!</v>
      </c>
      <c r="AP230" s="24" t="e">
        <f t="shared" si="441"/>
        <v>#REF!</v>
      </c>
      <c r="AQ230" s="25" t="e">
        <f t="shared" si="441"/>
        <v>#REF!</v>
      </c>
      <c r="AR230" s="24" t="e">
        <f t="shared" si="441"/>
        <v>#REF!</v>
      </c>
      <c r="AS230" s="25" t="e">
        <f t="shared" si="441"/>
        <v>#REF!</v>
      </c>
      <c r="AT230" s="24" t="e">
        <f t="shared" si="441"/>
        <v>#REF!</v>
      </c>
      <c r="AU230" s="23" t="e">
        <f>SUM(AL230:AT230)</f>
        <v>#REF!</v>
      </c>
      <c r="CS230" s="54" t="s">
        <v>1478</v>
      </c>
      <c r="CT230" s="39">
        <v>0.53448141699881746</v>
      </c>
      <c r="CU230" s="40">
        <v>0.47160125029307415</v>
      </c>
      <c r="CV230" s="39">
        <v>3.3775632401942075</v>
      </c>
      <c r="CW230" s="40">
        <v>0.64676742897335882</v>
      </c>
      <c r="CX230" s="39">
        <v>1.5091240009378373</v>
      </c>
      <c r="CY230" s="40">
        <v>0.87626554893164754</v>
      </c>
      <c r="CZ230" s="39">
        <v>0.63285845200618984</v>
      </c>
      <c r="DA230" s="40">
        <v>8.2129197329950318E-2</v>
      </c>
      <c r="DB230" s="39">
        <v>0.63650127930711498</v>
      </c>
      <c r="DC230" s="38">
        <v>8.7672918149721983</v>
      </c>
      <c r="DE230" s="37" t="s">
        <v>1460</v>
      </c>
      <c r="DF230" s="35" t="str">
        <f t="shared" si="407"/>
        <v>IMTFA</v>
      </c>
      <c r="DG230" s="26">
        <f t="shared" si="442"/>
        <v>6.0661321065515941E-3</v>
      </c>
      <c r="DH230" s="25">
        <f t="shared" si="442"/>
        <v>1.669802079315123E-2</v>
      </c>
      <c r="DI230" s="24">
        <f t="shared" si="442"/>
        <v>0.24429079086386504</v>
      </c>
      <c r="DJ230" s="25">
        <f t="shared" si="442"/>
        <v>0.16546396133078464</v>
      </c>
      <c r="DK230" s="24">
        <f t="shared" si="442"/>
        <v>1.8583950064007093E-2</v>
      </c>
      <c r="DL230" s="25">
        <f t="shared" si="442"/>
        <v>1.6198619424962483E-2</v>
      </c>
      <c r="DM230" s="24">
        <f t="shared" si="442"/>
        <v>5.6274042109841355E-2</v>
      </c>
      <c r="DN230" s="25">
        <f t="shared" si="442"/>
        <v>0</v>
      </c>
      <c r="DO230" s="32">
        <f t="shared" si="442"/>
        <v>0</v>
      </c>
      <c r="DP230" s="26">
        <f t="shared" si="408"/>
        <v>3.029461855353641E-2</v>
      </c>
      <c r="DQ230" s="25">
        <f t="shared" si="409"/>
        <v>3.0294618553536417E-2</v>
      </c>
      <c r="DR230" s="24">
        <f t="shared" si="410"/>
        <v>9.7386095834539624E-2</v>
      </c>
      <c r="DS230" s="25">
        <f t="shared" si="411"/>
        <v>9.7386095834539624E-2</v>
      </c>
      <c r="DT230" s="24">
        <f t="shared" si="412"/>
        <v>3.7334454617054119E-2</v>
      </c>
      <c r="DU230" s="25">
        <f t="shared" si="413"/>
        <v>3.7334454617054119E-2</v>
      </c>
      <c r="DV230" s="24">
        <f t="shared" si="414"/>
        <v>3.7334454617054119E-2</v>
      </c>
      <c r="DW230" s="25">
        <f t="shared" si="415"/>
        <v>0</v>
      </c>
      <c r="DX230" s="32">
        <f t="shared" si="416"/>
        <v>0</v>
      </c>
      <c r="DZ230" s="54" t="s">
        <v>1585</v>
      </c>
      <c r="EA230" s="39">
        <v>0.96245363754858027</v>
      </c>
      <c r="EB230" s="40">
        <v>0.96245363754858027</v>
      </c>
      <c r="EC230" s="39">
        <v>0.90357696524998565</v>
      </c>
      <c r="ED230" s="40">
        <v>0.90357696524998565</v>
      </c>
      <c r="EE230" s="39">
        <v>0.86197198601838798</v>
      </c>
      <c r="EF230" s="40">
        <v>0.86197198601838798</v>
      </c>
      <c r="EG230" s="39">
        <v>0.86197198601838809</v>
      </c>
      <c r="EH230" s="40">
        <v>0.92365682785017977</v>
      </c>
      <c r="EI230" s="66">
        <v>0.92365682785017977</v>
      </c>
    </row>
    <row r="231" spans="1:139">
      <c r="A231" s="37" t="s">
        <v>1793</v>
      </c>
      <c r="B231" s="36" t="s">
        <v>1107</v>
      </c>
      <c r="C231" s="1" t="s">
        <v>1106</v>
      </c>
      <c r="D231" s="36" t="s">
        <v>1106</v>
      </c>
      <c r="E231" s="36" t="s">
        <v>1809</v>
      </c>
      <c r="F231" s="1" t="e">
        <f t="shared" ca="1" si="439"/>
        <v>#NAME?</v>
      </c>
      <c r="G231" s="35" t="s">
        <v>1104</v>
      </c>
      <c r="H231" s="43">
        <v>1</v>
      </c>
      <c r="I231" s="42">
        <v>0</v>
      </c>
      <c r="J231" s="26">
        <v>1.3955117999999997</v>
      </c>
      <c r="K231" s="25">
        <v>0</v>
      </c>
      <c r="L231" s="24"/>
      <c r="M231" s="25"/>
      <c r="N231" s="24"/>
      <c r="O231" s="25"/>
      <c r="P231" s="24"/>
      <c r="Q231" s="25"/>
      <c r="R231" s="32"/>
      <c r="S231" s="31" t="e">
        <v>#REF!</v>
      </c>
      <c r="T231" s="29" t="e">
        <f t="shared" si="443"/>
        <v>#REF!</v>
      </c>
      <c r="U231" s="30" t="e">
        <f t="shared" si="443"/>
        <v>#REF!</v>
      </c>
      <c r="V231" s="29" t="e">
        <f t="shared" si="443"/>
        <v>#REF!</v>
      </c>
      <c r="W231" s="30" t="e">
        <f t="shared" si="443"/>
        <v>#REF!</v>
      </c>
      <c r="X231" s="29" t="e">
        <f t="shared" si="443"/>
        <v>#REF!</v>
      </c>
      <c r="Y231" s="30" t="e">
        <f t="shared" si="443"/>
        <v>#REF!</v>
      </c>
      <c r="Z231" s="29" t="e">
        <f t="shared" si="443"/>
        <v>#REF!</v>
      </c>
      <c r="AA231" s="28" t="e">
        <f t="shared" si="443"/>
        <v>#REF!</v>
      </c>
      <c r="AB231" s="26" t="e">
        <f t="shared" ref="AB231:AJ233" si="444">J231*$H231*S231</f>
        <v>#REF!</v>
      </c>
      <c r="AC231" s="25" t="e">
        <f t="shared" si="444"/>
        <v>#REF!</v>
      </c>
      <c r="AD231" s="24" t="e">
        <f t="shared" si="444"/>
        <v>#REF!</v>
      </c>
      <c r="AE231" s="25" t="e">
        <f t="shared" si="444"/>
        <v>#REF!</v>
      </c>
      <c r="AF231" s="24" t="e">
        <f t="shared" si="444"/>
        <v>#REF!</v>
      </c>
      <c r="AG231" s="25" t="e">
        <f t="shared" si="444"/>
        <v>#REF!</v>
      </c>
      <c r="AH231" s="24" t="e">
        <f t="shared" si="444"/>
        <v>#REF!</v>
      </c>
      <c r="AI231" s="25" t="e">
        <f t="shared" si="444"/>
        <v>#REF!</v>
      </c>
      <c r="AJ231" s="24" t="e">
        <f t="shared" si="444"/>
        <v>#REF!</v>
      </c>
      <c r="AK231" s="27" t="e">
        <f t="shared" si="406"/>
        <v>#REF!</v>
      </c>
      <c r="AL231" s="41">
        <v>0</v>
      </c>
      <c r="AM231" s="40">
        <v>0</v>
      </c>
      <c r="AN231" s="39">
        <v>0</v>
      </c>
      <c r="AO231" s="40">
        <v>0</v>
      </c>
      <c r="AP231" s="39">
        <v>0</v>
      </c>
      <c r="AQ231" s="40">
        <v>0</v>
      </c>
      <c r="AR231" s="39">
        <v>0</v>
      </c>
      <c r="AS231" s="40">
        <v>0</v>
      </c>
      <c r="AT231" s="39">
        <v>0</v>
      </c>
      <c r="AU231" s="38">
        <v>0</v>
      </c>
      <c r="CS231" s="54" t="s">
        <v>1473</v>
      </c>
      <c r="CT231" s="39">
        <v>2.0122809999913569</v>
      </c>
      <c r="CU231" s="40">
        <v>1.775542058815903</v>
      </c>
      <c r="CV231" s="39">
        <v>6.887975859914393</v>
      </c>
      <c r="CW231" s="40">
        <v>1.3189741008346707</v>
      </c>
      <c r="CX231" s="39">
        <v>5.6817345882108903</v>
      </c>
      <c r="CY231" s="40">
        <v>3.2990716963805173</v>
      </c>
      <c r="CZ231" s="39">
        <v>2.3826628918303734</v>
      </c>
      <c r="DA231" s="40">
        <v>0.21644703193184339</v>
      </c>
      <c r="DB231" s="39">
        <v>1.6774644974717865</v>
      </c>
      <c r="DC231" s="38">
        <v>25.252153725381731</v>
      </c>
      <c r="DE231" s="37" t="s">
        <v>1808</v>
      </c>
      <c r="DF231" s="35" t="str">
        <f t="shared" si="407"/>
        <v>ICAFS</v>
      </c>
      <c r="DG231" s="26">
        <f t="shared" si="442"/>
        <v>0</v>
      </c>
      <c r="DH231" s="25">
        <f t="shared" si="442"/>
        <v>0</v>
      </c>
      <c r="DI231" s="24">
        <f t="shared" si="442"/>
        <v>27.641561400806346</v>
      </c>
      <c r="DJ231" s="25">
        <f t="shared" si="442"/>
        <v>18.722286790148743</v>
      </c>
      <c r="DK231" s="24">
        <f t="shared" si="442"/>
        <v>39.00397483585008</v>
      </c>
      <c r="DL231" s="25">
        <f t="shared" si="442"/>
        <v>33.99764540104006</v>
      </c>
      <c r="DM231" s="24">
        <f t="shared" si="442"/>
        <v>118.10790035509548</v>
      </c>
      <c r="DN231" s="25">
        <f t="shared" si="442"/>
        <v>0</v>
      </c>
      <c r="DO231" s="32">
        <f t="shared" si="442"/>
        <v>0</v>
      </c>
      <c r="DP231" s="26">
        <f t="shared" si="408"/>
        <v>0</v>
      </c>
      <c r="DQ231" s="25">
        <f t="shared" si="409"/>
        <v>0</v>
      </c>
      <c r="DR231" s="24">
        <f t="shared" si="410"/>
        <v>0.94551044791230698</v>
      </c>
      <c r="DS231" s="25">
        <f t="shared" si="411"/>
        <v>0.94551044791230698</v>
      </c>
      <c r="DT231" s="24">
        <f t="shared" si="412"/>
        <v>1</v>
      </c>
      <c r="DU231" s="25">
        <f t="shared" si="413"/>
        <v>1</v>
      </c>
      <c r="DV231" s="24">
        <f t="shared" si="414"/>
        <v>1</v>
      </c>
      <c r="DW231" s="25">
        <f t="shared" si="415"/>
        <v>0</v>
      </c>
      <c r="DX231" s="32">
        <f t="shared" si="416"/>
        <v>0</v>
      </c>
      <c r="DZ231" s="54" t="s">
        <v>1590</v>
      </c>
      <c r="EA231" s="39">
        <v>3.7546362451419756E-2</v>
      </c>
      <c r="EB231" s="40">
        <v>3.7546362451419749E-2</v>
      </c>
      <c r="EC231" s="39">
        <v>5.7991144941847275E-2</v>
      </c>
      <c r="ED231" s="40">
        <v>5.7991144941847268E-2</v>
      </c>
      <c r="EE231" s="39">
        <v>4.5039082106168665E-2</v>
      </c>
      <c r="EF231" s="40">
        <v>4.5039082106168665E-2</v>
      </c>
      <c r="EG231" s="39">
        <v>4.5039082106168672E-2</v>
      </c>
      <c r="EH231" s="40">
        <v>3.8284910284606871E-2</v>
      </c>
      <c r="EI231" s="66">
        <v>3.8284910284606864E-2</v>
      </c>
    </row>
    <row r="232" spans="1:139">
      <c r="A232" s="37" t="s">
        <v>1793</v>
      </c>
      <c r="B232" s="36" t="s">
        <v>1107</v>
      </c>
      <c r="C232" s="1" t="s">
        <v>1106</v>
      </c>
      <c r="D232" s="36" t="s">
        <v>1106</v>
      </c>
      <c r="E232" s="36" t="s">
        <v>1807</v>
      </c>
      <c r="F232" s="1" t="e">
        <f t="shared" ca="1" si="439"/>
        <v>#NAME?</v>
      </c>
      <c r="G232" s="35" t="s">
        <v>1104</v>
      </c>
      <c r="H232" s="43">
        <v>1</v>
      </c>
      <c r="I232" s="42">
        <v>0</v>
      </c>
      <c r="J232" s="26">
        <v>6.5801616000000003</v>
      </c>
      <c r="K232" s="25">
        <v>8.2288987200000001</v>
      </c>
      <c r="L232" s="24"/>
      <c r="M232" s="25"/>
      <c r="N232" s="24"/>
      <c r="O232" s="25"/>
      <c r="P232" s="24"/>
      <c r="Q232" s="25"/>
      <c r="R232" s="32"/>
      <c r="S232" s="31" t="e">
        <v>#REF!</v>
      </c>
      <c r="T232" s="29" t="e">
        <f t="shared" si="443"/>
        <v>#REF!</v>
      </c>
      <c r="U232" s="30" t="e">
        <f t="shared" si="443"/>
        <v>#REF!</v>
      </c>
      <c r="V232" s="29" t="e">
        <f t="shared" si="443"/>
        <v>#REF!</v>
      </c>
      <c r="W232" s="30" t="e">
        <f t="shared" si="443"/>
        <v>#REF!</v>
      </c>
      <c r="X232" s="29" t="e">
        <f t="shared" si="443"/>
        <v>#REF!</v>
      </c>
      <c r="Y232" s="30" t="e">
        <f t="shared" si="443"/>
        <v>#REF!</v>
      </c>
      <c r="Z232" s="29" t="e">
        <f t="shared" si="443"/>
        <v>#REF!</v>
      </c>
      <c r="AA232" s="28" t="e">
        <f t="shared" si="443"/>
        <v>#REF!</v>
      </c>
      <c r="AB232" s="26" t="e">
        <f t="shared" si="444"/>
        <v>#REF!</v>
      </c>
      <c r="AC232" s="25" t="e">
        <f t="shared" si="444"/>
        <v>#REF!</v>
      </c>
      <c r="AD232" s="24" t="e">
        <f t="shared" si="444"/>
        <v>#REF!</v>
      </c>
      <c r="AE232" s="25" t="e">
        <f t="shared" si="444"/>
        <v>#REF!</v>
      </c>
      <c r="AF232" s="24" t="e">
        <f t="shared" si="444"/>
        <v>#REF!</v>
      </c>
      <c r="AG232" s="25" t="e">
        <f t="shared" si="444"/>
        <v>#REF!</v>
      </c>
      <c r="AH232" s="24" t="e">
        <f t="shared" si="444"/>
        <v>#REF!</v>
      </c>
      <c r="AI232" s="25" t="e">
        <f t="shared" si="444"/>
        <v>#REF!</v>
      </c>
      <c r="AJ232" s="24" t="e">
        <f t="shared" si="444"/>
        <v>#REF!</v>
      </c>
      <c r="AK232" s="27" t="e">
        <f t="shared" si="406"/>
        <v>#REF!</v>
      </c>
      <c r="AL232" s="41">
        <v>0</v>
      </c>
      <c r="AM232" s="40">
        <v>0</v>
      </c>
      <c r="AN232" s="39">
        <v>0</v>
      </c>
      <c r="AO232" s="40">
        <v>0</v>
      </c>
      <c r="AP232" s="39">
        <v>0</v>
      </c>
      <c r="AQ232" s="40">
        <v>0</v>
      </c>
      <c r="AR232" s="39">
        <v>0</v>
      </c>
      <c r="AS232" s="40">
        <v>0</v>
      </c>
      <c r="AT232" s="39">
        <v>0</v>
      </c>
      <c r="AU232" s="38">
        <v>0</v>
      </c>
      <c r="CS232" s="54" t="s">
        <v>1468</v>
      </c>
      <c r="CT232" s="39">
        <v>5.344814169988174E-2</v>
      </c>
      <c r="CU232" s="40">
        <v>4.7160125029307415E-2</v>
      </c>
      <c r="CV232" s="39">
        <v>0.33775632401942074</v>
      </c>
      <c r="CW232" s="40">
        <v>6.4676742897335882E-2</v>
      </c>
      <c r="CX232" s="39">
        <v>0.15091240009378373</v>
      </c>
      <c r="CY232" s="40">
        <v>8.762655489316476E-2</v>
      </c>
      <c r="CZ232" s="39">
        <v>6.3285845200618987E-2</v>
      </c>
      <c r="DA232" s="40">
        <v>8.2129197329950318E-3</v>
      </c>
      <c r="DB232" s="39">
        <v>6.3650127930711495E-2</v>
      </c>
      <c r="DC232" s="38">
        <v>0.87672918149721968</v>
      </c>
      <c r="DE232" s="37" t="s">
        <v>1806</v>
      </c>
      <c r="DF232" s="35" t="str">
        <f t="shared" si="407"/>
        <v>ICAFS</v>
      </c>
      <c r="DG232" s="26">
        <f t="shared" si="442"/>
        <v>0</v>
      </c>
      <c r="DH232" s="25">
        <f t="shared" si="442"/>
        <v>0</v>
      </c>
      <c r="DI232" s="24">
        <f t="shared" si="442"/>
        <v>1.592976897357451</v>
      </c>
      <c r="DJ232" s="25">
        <f t="shared" si="442"/>
        <v>1.0789611299431703</v>
      </c>
      <c r="DK232" s="24">
        <f t="shared" si="442"/>
        <v>0</v>
      </c>
      <c r="DL232" s="25">
        <f t="shared" si="442"/>
        <v>0</v>
      </c>
      <c r="DM232" s="24">
        <f t="shared" si="442"/>
        <v>0</v>
      </c>
      <c r="DN232" s="25">
        <f t="shared" si="442"/>
        <v>0</v>
      </c>
      <c r="DO232" s="32">
        <f t="shared" si="442"/>
        <v>0</v>
      </c>
      <c r="DP232" s="26">
        <f t="shared" si="408"/>
        <v>0</v>
      </c>
      <c r="DQ232" s="25">
        <f t="shared" si="409"/>
        <v>0</v>
      </c>
      <c r="DR232" s="24">
        <f t="shared" si="410"/>
        <v>5.4489552087692961E-2</v>
      </c>
      <c r="DS232" s="25">
        <f t="shared" si="411"/>
        <v>5.4489552087692961E-2</v>
      </c>
      <c r="DT232" s="24">
        <f t="shared" si="412"/>
        <v>0</v>
      </c>
      <c r="DU232" s="25">
        <f t="shared" si="413"/>
        <v>0</v>
      </c>
      <c r="DV232" s="24">
        <f t="shared" si="414"/>
        <v>0</v>
      </c>
      <c r="DW232" s="25">
        <f t="shared" si="415"/>
        <v>0</v>
      </c>
      <c r="DX232" s="32">
        <f t="shared" si="416"/>
        <v>0</v>
      </c>
      <c r="DZ232" s="54" t="s">
        <v>1588</v>
      </c>
      <c r="EA232" s="39">
        <v>0</v>
      </c>
      <c r="EB232" s="40">
        <v>0</v>
      </c>
      <c r="EC232" s="39">
        <v>3.8431889808167065E-2</v>
      </c>
      <c r="ED232" s="40">
        <v>3.8431889808167058E-2</v>
      </c>
      <c r="EE232" s="39">
        <v>9.298893187544334E-2</v>
      </c>
      <c r="EF232" s="40">
        <v>9.2988931875443326E-2</v>
      </c>
      <c r="EG232" s="39">
        <v>9.298893187544334E-2</v>
      </c>
      <c r="EH232" s="40">
        <v>3.8058261865213237E-2</v>
      </c>
      <c r="EI232" s="66">
        <v>3.8058261865213237E-2</v>
      </c>
    </row>
    <row r="233" spans="1:139">
      <c r="A233" s="37" t="s">
        <v>1793</v>
      </c>
      <c r="B233" s="36" t="s">
        <v>1107</v>
      </c>
      <c r="C233" s="1" t="s">
        <v>1106</v>
      </c>
      <c r="D233" s="36" t="s">
        <v>1106</v>
      </c>
      <c r="E233" s="36" t="s">
        <v>1805</v>
      </c>
      <c r="F233" s="1" t="e">
        <f t="shared" ca="1" si="439"/>
        <v>#NAME?</v>
      </c>
      <c r="G233" s="35" t="s">
        <v>1104</v>
      </c>
      <c r="H233" s="43">
        <v>1</v>
      </c>
      <c r="I233" s="42">
        <v>0</v>
      </c>
      <c r="J233" s="26">
        <v>19.606983287349891</v>
      </c>
      <c r="K233" s="25">
        <v>4.1731347899999998</v>
      </c>
      <c r="L233" s="24"/>
      <c r="M233" s="25"/>
      <c r="N233" s="24"/>
      <c r="O233" s="25"/>
      <c r="P233" s="24"/>
      <c r="Q233" s="25"/>
      <c r="R233" s="32"/>
      <c r="S233" s="31" t="e">
        <v>#REF!</v>
      </c>
      <c r="T233" s="29" t="e">
        <f t="shared" si="443"/>
        <v>#REF!</v>
      </c>
      <c r="U233" s="30" t="e">
        <f t="shared" si="443"/>
        <v>#REF!</v>
      </c>
      <c r="V233" s="29" t="e">
        <f t="shared" si="443"/>
        <v>#REF!</v>
      </c>
      <c r="W233" s="30" t="e">
        <f t="shared" si="443"/>
        <v>#REF!</v>
      </c>
      <c r="X233" s="29" t="e">
        <f t="shared" si="443"/>
        <v>#REF!</v>
      </c>
      <c r="Y233" s="30" t="e">
        <f t="shared" si="443"/>
        <v>#REF!</v>
      </c>
      <c r="Z233" s="29" t="e">
        <f t="shared" si="443"/>
        <v>#REF!</v>
      </c>
      <c r="AA233" s="28" t="e">
        <f t="shared" si="443"/>
        <v>#REF!</v>
      </c>
      <c r="AB233" s="26" t="e">
        <f t="shared" si="444"/>
        <v>#REF!</v>
      </c>
      <c r="AC233" s="25" t="e">
        <f t="shared" si="444"/>
        <v>#REF!</v>
      </c>
      <c r="AD233" s="24" t="e">
        <f t="shared" si="444"/>
        <v>#REF!</v>
      </c>
      <c r="AE233" s="25" t="e">
        <f t="shared" si="444"/>
        <v>#REF!</v>
      </c>
      <c r="AF233" s="24" t="e">
        <f t="shared" si="444"/>
        <v>#REF!</v>
      </c>
      <c r="AG233" s="25" t="e">
        <f t="shared" si="444"/>
        <v>#REF!</v>
      </c>
      <c r="AH233" s="24" t="e">
        <f t="shared" si="444"/>
        <v>#REF!</v>
      </c>
      <c r="AI233" s="25" t="e">
        <f t="shared" si="444"/>
        <v>#REF!</v>
      </c>
      <c r="AJ233" s="24" t="e">
        <f t="shared" si="444"/>
        <v>#REF!</v>
      </c>
      <c r="AK233" s="27" t="e">
        <f t="shared" si="406"/>
        <v>#REF!</v>
      </c>
      <c r="AL233" s="41">
        <v>0</v>
      </c>
      <c r="AM233" s="40">
        <v>0</v>
      </c>
      <c r="AN233" s="39">
        <v>0</v>
      </c>
      <c r="AO233" s="40">
        <v>0</v>
      </c>
      <c r="AP233" s="39">
        <v>0</v>
      </c>
      <c r="AQ233" s="40">
        <v>0</v>
      </c>
      <c r="AR233" s="39">
        <v>0</v>
      </c>
      <c r="AS233" s="40">
        <v>0</v>
      </c>
      <c r="AT233" s="39">
        <v>0</v>
      </c>
      <c r="AU233" s="38">
        <v>0</v>
      </c>
      <c r="CS233" s="54" t="s">
        <v>1454</v>
      </c>
      <c r="CT233" s="39">
        <v>0.23609084864974855</v>
      </c>
      <c r="CU233" s="40">
        <v>0.20831545469095461</v>
      </c>
      <c r="CV233" s="39">
        <v>0.80813170042014781</v>
      </c>
      <c r="CW233" s="40">
        <v>0.15474862348470914</v>
      </c>
      <c r="CX233" s="39">
        <v>0.66660945501105484</v>
      </c>
      <c r="CY233" s="40">
        <v>0.38706355452254798</v>
      </c>
      <c r="CZ233" s="39">
        <v>0.27954590048850692</v>
      </c>
      <c r="DA233" s="40">
        <v>2.5394645905183037E-2</v>
      </c>
      <c r="DB233" s="39">
        <v>0.19680850576516856</v>
      </c>
      <c r="DC233" s="38">
        <v>2.9627086889380219</v>
      </c>
      <c r="DE233" s="37" t="s">
        <v>1804</v>
      </c>
      <c r="DF233" s="35" t="str">
        <f t="shared" si="407"/>
        <v>INCFS</v>
      </c>
      <c r="DG233" s="26">
        <f t="shared" si="442"/>
        <v>0</v>
      </c>
      <c r="DH233" s="25">
        <f t="shared" si="442"/>
        <v>0</v>
      </c>
      <c r="DI233" s="24">
        <f t="shared" si="442"/>
        <v>0</v>
      </c>
      <c r="DJ233" s="25">
        <f t="shared" si="442"/>
        <v>0</v>
      </c>
      <c r="DK233" s="24">
        <f t="shared" si="442"/>
        <v>2.4639776316077222E-2</v>
      </c>
      <c r="DL233" s="25">
        <f t="shared" si="442"/>
        <v>2.1477154097253207E-2</v>
      </c>
      <c r="DM233" s="24">
        <f t="shared" si="442"/>
        <v>7.4611684018323562E-2</v>
      </c>
      <c r="DN233" s="25">
        <f t="shared" si="442"/>
        <v>0</v>
      </c>
      <c r="DO233" s="32">
        <f t="shared" si="442"/>
        <v>0</v>
      </c>
      <c r="DP233" s="26">
        <f t="shared" si="408"/>
        <v>0</v>
      </c>
      <c r="DQ233" s="25">
        <f t="shared" si="409"/>
        <v>0</v>
      </c>
      <c r="DR233" s="24">
        <f t="shared" si="410"/>
        <v>0</v>
      </c>
      <c r="DS233" s="25">
        <f t="shared" si="411"/>
        <v>0</v>
      </c>
      <c r="DT233" s="24">
        <f t="shared" si="412"/>
        <v>0.10286677908937605</v>
      </c>
      <c r="DU233" s="25">
        <f t="shared" si="413"/>
        <v>0.10286677908937605</v>
      </c>
      <c r="DV233" s="24">
        <f t="shared" si="414"/>
        <v>0.10286677908937605</v>
      </c>
      <c r="DW233" s="25">
        <f t="shared" si="415"/>
        <v>0</v>
      </c>
      <c r="DX233" s="32">
        <f t="shared" si="416"/>
        <v>0</v>
      </c>
      <c r="DZ233" s="54" t="s">
        <v>1803</v>
      </c>
      <c r="EA233" s="39">
        <v>0</v>
      </c>
      <c r="EB233" s="40">
        <v>1</v>
      </c>
      <c r="EC233" s="39">
        <v>1</v>
      </c>
      <c r="ED233" s="40">
        <v>0</v>
      </c>
      <c r="EE233" s="39">
        <v>0</v>
      </c>
      <c r="EF233" s="40">
        <v>0</v>
      </c>
      <c r="EG233" s="39">
        <v>0</v>
      </c>
      <c r="EH233" s="40">
        <v>0</v>
      </c>
      <c r="EI233" s="66">
        <v>0</v>
      </c>
    </row>
    <row r="234" spans="1:139">
      <c r="A234" s="37" t="s">
        <v>1793</v>
      </c>
      <c r="B234" s="36" t="s">
        <v>1107</v>
      </c>
      <c r="C234" s="1" t="s">
        <v>1106</v>
      </c>
      <c r="D234" s="36" t="s">
        <v>1106</v>
      </c>
      <c r="E234" s="36" t="s">
        <v>1802</v>
      </c>
      <c r="F234" s="1" t="e">
        <f t="shared" ca="1" si="439"/>
        <v>#NAME?</v>
      </c>
      <c r="G234" s="35" t="s">
        <v>1109</v>
      </c>
      <c r="H234" s="34">
        <f>1-I234</f>
        <v>0.88533466388263427</v>
      </c>
      <c r="I234" s="33">
        <v>0.11466533611736573</v>
      </c>
      <c r="J234" s="26" t="e">
        <v>#REF!</v>
      </c>
      <c r="K234" s="25" t="e">
        <v>#REF!</v>
      </c>
      <c r="L234" s="24"/>
      <c r="M234" s="25"/>
      <c r="N234" s="24"/>
      <c r="O234" s="25"/>
      <c r="P234" s="24"/>
      <c r="Q234" s="25"/>
      <c r="R234" s="32"/>
      <c r="S234" s="31" t="e">
        <v>#REF!</v>
      </c>
      <c r="T234" s="29" t="e">
        <f t="shared" si="443"/>
        <v>#REF!</v>
      </c>
      <c r="U234" s="30" t="e">
        <f t="shared" si="443"/>
        <v>#REF!</v>
      </c>
      <c r="V234" s="29" t="e">
        <f t="shared" si="443"/>
        <v>#REF!</v>
      </c>
      <c r="W234" s="30" t="e">
        <f t="shared" si="443"/>
        <v>#REF!</v>
      </c>
      <c r="X234" s="29" t="e">
        <f t="shared" si="443"/>
        <v>#REF!</v>
      </c>
      <c r="Y234" s="30" t="e">
        <f t="shared" si="443"/>
        <v>#REF!</v>
      </c>
      <c r="Z234" s="29" t="e">
        <f t="shared" si="443"/>
        <v>#REF!</v>
      </c>
      <c r="AA234" s="28" t="e">
        <f t="shared" si="443"/>
        <v>#REF!</v>
      </c>
      <c r="AB234" s="26" t="e">
        <f t="shared" ref="AB234:AJ237" si="445">J234*31.536*$H234*S234</f>
        <v>#REF!</v>
      </c>
      <c r="AC234" s="25" t="e">
        <f t="shared" si="445"/>
        <v>#REF!</v>
      </c>
      <c r="AD234" s="24" t="e">
        <f t="shared" si="445"/>
        <v>#REF!</v>
      </c>
      <c r="AE234" s="25" t="e">
        <f t="shared" si="445"/>
        <v>#REF!</v>
      </c>
      <c r="AF234" s="24" t="e">
        <f t="shared" si="445"/>
        <v>#REF!</v>
      </c>
      <c r="AG234" s="25" t="e">
        <f t="shared" si="445"/>
        <v>#REF!</v>
      </c>
      <c r="AH234" s="24" t="e">
        <f t="shared" si="445"/>
        <v>#REF!</v>
      </c>
      <c r="AI234" s="25" t="e">
        <f t="shared" si="445"/>
        <v>#REF!</v>
      </c>
      <c r="AJ234" s="24" t="e">
        <f t="shared" si="445"/>
        <v>#REF!</v>
      </c>
      <c r="AK234" s="27" t="e">
        <f t="shared" si="406"/>
        <v>#REF!</v>
      </c>
      <c r="AL234" s="26" t="e">
        <f t="shared" ref="AL234:AT237" si="446">J234*31.536*$I234*S234</f>
        <v>#REF!</v>
      </c>
      <c r="AM234" s="25" t="e">
        <f t="shared" si="446"/>
        <v>#REF!</v>
      </c>
      <c r="AN234" s="24" t="e">
        <f t="shared" si="446"/>
        <v>#REF!</v>
      </c>
      <c r="AO234" s="25" t="e">
        <f t="shared" si="446"/>
        <v>#REF!</v>
      </c>
      <c r="AP234" s="24" t="e">
        <f t="shared" si="446"/>
        <v>#REF!</v>
      </c>
      <c r="AQ234" s="25" t="e">
        <f t="shared" si="446"/>
        <v>#REF!</v>
      </c>
      <c r="AR234" s="24" t="e">
        <f t="shared" si="446"/>
        <v>#REF!</v>
      </c>
      <c r="AS234" s="25" t="e">
        <f t="shared" si="446"/>
        <v>#REF!</v>
      </c>
      <c r="AT234" s="24" t="e">
        <f t="shared" si="446"/>
        <v>#REF!</v>
      </c>
      <c r="AU234" s="23" t="e">
        <f>SUM(AL234:AT234)</f>
        <v>#REF!</v>
      </c>
      <c r="CS234" s="54" t="s">
        <v>1449</v>
      </c>
      <c r="CT234" s="39">
        <v>0.10689628339976348</v>
      </c>
      <c r="CU234" s="40">
        <v>9.432025005861483E-2</v>
      </c>
      <c r="CV234" s="39">
        <v>0.67551264803884148</v>
      </c>
      <c r="CW234" s="40">
        <v>0.12935348579467176</v>
      </c>
      <c r="CX234" s="39">
        <v>0.30182480018756747</v>
      </c>
      <c r="CY234" s="40">
        <v>0.17525310978632952</v>
      </c>
      <c r="CZ234" s="39">
        <v>0.12657169040123797</v>
      </c>
      <c r="DA234" s="40">
        <v>1.6425839465990064E-2</v>
      </c>
      <c r="DB234" s="39">
        <v>0.12730025586142299</v>
      </c>
      <c r="DC234" s="38">
        <v>1.7534583629944394</v>
      </c>
      <c r="DE234" s="37" t="s">
        <v>1801</v>
      </c>
      <c r="DF234" s="35" t="str">
        <f t="shared" si="407"/>
        <v>INCFS</v>
      </c>
      <c r="DG234" s="26">
        <f t="shared" si="442"/>
        <v>0</v>
      </c>
      <c r="DH234" s="25">
        <f t="shared" si="442"/>
        <v>0</v>
      </c>
      <c r="DI234" s="24">
        <f t="shared" si="442"/>
        <v>0</v>
      </c>
      <c r="DJ234" s="25">
        <f t="shared" si="442"/>
        <v>0</v>
      </c>
      <c r="DK234" s="24">
        <f t="shared" si="442"/>
        <v>0.21489116393693578</v>
      </c>
      <c r="DL234" s="25">
        <f t="shared" si="442"/>
        <v>0.18730895048751978</v>
      </c>
      <c r="DM234" s="24">
        <f t="shared" si="442"/>
        <v>0.65071173602865795</v>
      </c>
      <c r="DN234" s="25">
        <f t="shared" si="442"/>
        <v>0</v>
      </c>
      <c r="DO234" s="32">
        <f t="shared" si="442"/>
        <v>0</v>
      </c>
      <c r="DP234" s="26">
        <f t="shared" si="408"/>
        <v>0</v>
      </c>
      <c r="DQ234" s="25">
        <f t="shared" si="409"/>
        <v>0</v>
      </c>
      <c r="DR234" s="24">
        <f t="shared" si="410"/>
        <v>0</v>
      </c>
      <c r="DS234" s="25">
        <f t="shared" si="411"/>
        <v>0</v>
      </c>
      <c r="DT234" s="24">
        <f t="shared" si="412"/>
        <v>0.89713322091062397</v>
      </c>
      <c r="DU234" s="25">
        <f t="shared" si="413"/>
        <v>0.89713322091062397</v>
      </c>
      <c r="DV234" s="24">
        <f t="shared" si="414"/>
        <v>0.89713322091062397</v>
      </c>
      <c r="DW234" s="25">
        <f t="shared" si="415"/>
        <v>0</v>
      </c>
      <c r="DX234" s="32">
        <f t="shared" si="416"/>
        <v>0</v>
      </c>
      <c r="DZ234" s="54" t="s">
        <v>1800</v>
      </c>
      <c r="EA234" s="39">
        <v>0</v>
      </c>
      <c r="EB234" s="40">
        <v>0</v>
      </c>
      <c r="EC234" s="39">
        <v>0</v>
      </c>
      <c r="ED234" s="40">
        <v>0</v>
      </c>
      <c r="EE234" s="39">
        <v>0</v>
      </c>
      <c r="EF234" s="40">
        <v>0</v>
      </c>
      <c r="EG234" s="39">
        <v>0</v>
      </c>
      <c r="EH234" s="40">
        <v>0</v>
      </c>
      <c r="EI234" s="66">
        <v>0</v>
      </c>
    </row>
    <row r="235" spans="1:139">
      <c r="A235" s="37" t="s">
        <v>1793</v>
      </c>
      <c r="B235" s="36" t="s">
        <v>1107</v>
      </c>
      <c r="C235" s="1" t="s">
        <v>1106</v>
      </c>
      <c r="D235" s="36" t="s">
        <v>1106</v>
      </c>
      <c r="E235" s="36" t="s">
        <v>1799</v>
      </c>
      <c r="F235" s="1" t="e">
        <f t="shared" ca="1" si="439"/>
        <v>#NAME?</v>
      </c>
      <c r="G235" s="35" t="s">
        <v>1109</v>
      </c>
      <c r="H235" s="34">
        <f>1-I235</f>
        <v>0.91317837324206397</v>
      </c>
      <c r="I235" s="33">
        <v>8.6821626757936088E-2</v>
      </c>
      <c r="J235" s="26" t="e">
        <v>#REF!</v>
      </c>
      <c r="K235" s="25" t="e">
        <v>#REF!</v>
      </c>
      <c r="L235" s="24"/>
      <c r="M235" s="25"/>
      <c r="N235" s="24"/>
      <c r="O235" s="25"/>
      <c r="P235" s="24"/>
      <c r="Q235" s="25"/>
      <c r="R235" s="32"/>
      <c r="S235" s="31" t="e">
        <v>#REF!</v>
      </c>
      <c r="T235" s="29" t="e">
        <f t="shared" si="443"/>
        <v>#REF!</v>
      </c>
      <c r="U235" s="30" t="e">
        <f t="shared" si="443"/>
        <v>#REF!</v>
      </c>
      <c r="V235" s="29" t="e">
        <f t="shared" si="443"/>
        <v>#REF!</v>
      </c>
      <c r="W235" s="30" t="e">
        <f t="shared" si="443"/>
        <v>#REF!</v>
      </c>
      <c r="X235" s="29" t="e">
        <f t="shared" si="443"/>
        <v>#REF!</v>
      </c>
      <c r="Y235" s="30" t="e">
        <f t="shared" si="443"/>
        <v>#REF!</v>
      </c>
      <c r="Z235" s="29" t="e">
        <f t="shared" si="443"/>
        <v>#REF!</v>
      </c>
      <c r="AA235" s="28" t="e">
        <f t="shared" si="443"/>
        <v>#REF!</v>
      </c>
      <c r="AB235" s="26" t="e">
        <f t="shared" si="445"/>
        <v>#REF!</v>
      </c>
      <c r="AC235" s="25" t="e">
        <f t="shared" si="445"/>
        <v>#REF!</v>
      </c>
      <c r="AD235" s="24" t="e">
        <f t="shared" si="445"/>
        <v>#REF!</v>
      </c>
      <c r="AE235" s="25" t="e">
        <f t="shared" si="445"/>
        <v>#REF!</v>
      </c>
      <c r="AF235" s="24" t="e">
        <f t="shared" si="445"/>
        <v>#REF!</v>
      </c>
      <c r="AG235" s="25" t="e">
        <f t="shared" si="445"/>
        <v>#REF!</v>
      </c>
      <c r="AH235" s="24" t="e">
        <f t="shared" si="445"/>
        <v>#REF!</v>
      </c>
      <c r="AI235" s="25" t="e">
        <f t="shared" si="445"/>
        <v>#REF!</v>
      </c>
      <c r="AJ235" s="24" t="e">
        <f t="shared" si="445"/>
        <v>#REF!</v>
      </c>
      <c r="AK235" s="27" t="e">
        <f t="shared" si="406"/>
        <v>#REF!</v>
      </c>
      <c r="AL235" s="26" t="e">
        <f t="shared" si="446"/>
        <v>#REF!</v>
      </c>
      <c r="AM235" s="25" t="e">
        <f t="shared" si="446"/>
        <v>#REF!</v>
      </c>
      <c r="AN235" s="24" t="e">
        <f t="shared" si="446"/>
        <v>#REF!</v>
      </c>
      <c r="AO235" s="25" t="e">
        <f t="shared" si="446"/>
        <v>#REF!</v>
      </c>
      <c r="AP235" s="24" t="e">
        <f t="shared" si="446"/>
        <v>#REF!</v>
      </c>
      <c r="AQ235" s="25" t="e">
        <f t="shared" si="446"/>
        <v>#REF!</v>
      </c>
      <c r="AR235" s="24" t="e">
        <f t="shared" si="446"/>
        <v>#REF!</v>
      </c>
      <c r="AS235" s="25" t="e">
        <f t="shared" si="446"/>
        <v>#REF!</v>
      </c>
      <c r="AT235" s="24" t="e">
        <f t="shared" si="446"/>
        <v>#REF!</v>
      </c>
      <c r="AU235" s="23" t="e">
        <f>SUM(AL235:AT235)</f>
        <v>#REF!</v>
      </c>
      <c r="CS235" s="54" t="s">
        <v>1444</v>
      </c>
      <c r="CT235" s="39">
        <v>0.11152370924542657</v>
      </c>
      <c r="CU235" s="40">
        <v>9.8403272863611668E-2</v>
      </c>
      <c r="CV235" s="39">
        <v>5.5058974102258915E-3</v>
      </c>
      <c r="CW235" s="40">
        <v>1.0543207806815536E-3</v>
      </c>
      <c r="CX235" s="39">
        <v>4.5921527336352116E-2</v>
      </c>
      <c r="CY235" s="40">
        <v>2.6664112646914134E-2</v>
      </c>
      <c r="CZ235" s="39">
        <v>1.9257414689437986E-2</v>
      </c>
      <c r="DA235" s="40">
        <v>0</v>
      </c>
      <c r="DB235" s="39">
        <v>0</v>
      </c>
      <c r="DC235" s="38">
        <v>0.30833025497264993</v>
      </c>
      <c r="DE235" s="37" t="s">
        <v>1798</v>
      </c>
      <c r="DF235" s="35" t="str">
        <f t="shared" si="407"/>
        <v>IFDFS</v>
      </c>
      <c r="DG235" s="26">
        <f t="shared" si="442"/>
        <v>0</v>
      </c>
      <c r="DH235" s="25">
        <f t="shared" si="442"/>
        <v>0</v>
      </c>
      <c r="DI235" s="24">
        <f t="shared" si="442"/>
        <v>0.44762967532056602</v>
      </c>
      <c r="DJ235" s="25">
        <f t="shared" si="442"/>
        <v>0.30319022270892154</v>
      </c>
      <c r="DK235" s="24">
        <f t="shared" si="442"/>
        <v>0</v>
      </c>
      <c r="DL235" s="25">
        <f t="shared" si="442"/>
        <v>0</v>
      </c>
      <c r="DM235" s="24">
        <f t="shared" si="442"/>
        <v>0</v>
      </c>
      <c r="DN235" s="25">
        <f t="shared" si="442"/>
        <v>0</v>
      </c>
      <c r="DO235" s="32">
        <f t="shared" si="442"/>
        <v>0</v>
      </c>
      <c r="DP235" s="26">
        <f t="shared" si="408"/>
        <v>0</v>
      </c>
      <c r="DQ235" s="25">
        <f t="shared" si="409"/>
        <v>0</v>
      </c>
      <c r="DR235" s="24">
        <f t="shared" si="410"/>
        <v>0.1768504963325806</v>
      </c>
      <c r="DS235" s="25">
        <f t="shared" si="411"/>
        <v>0.17685049633258057</v>
      </c>
      <c r="DT235" s="24">
        <f t="shared" si="412"/>
        <v>0</v>
      </c>
      <c r="DU235" s="25">
        <f t="shared" si="413"/>
        <v>0</v>
      </c>
      <c r="DV235" s="24">
        <f t="shared" si="414"/>
        <v>0</v>
      </c>
      <c r="DW235" s="25">
        <f t="shared" si="415"/>
        <v>0</v>
      </c>
      <c r="DX235" s="32">
        <f t="shared" si="416"/>
        <v>0</v>
      </c>
      <c r="DZ235" s="54" t="s">
        <v>1797</v>
      </c>
      <c r="EA235" s="39">
        <v>0.4282288135952661</v>
      </c>
      <c r="EB235" s="40">
        <v>0.42822881359526621</v>
      </c>
      <c r="EC235" s="39">
        <v>0.48674453987562055</v>
      </c>
      <c r="ED235" s="40">
        <v>0.48674453987562061</v>
      </c>
      <c r="EE235" s="39">
        <v>0.47655314391096465</v>
      </c>
      <c r="EF235" s="40">
        <v>0.47655314391096465</v>
      </c>
      <c r="EG235" s="39">
        <v>0.47655314391096459</v>
      </c>
      <c r="EH235" s="40">
        <v>0.49332115747744332</v>
      </c>
      <c r="EI235" s="66">
        <v>0.49332115747744326</v>
      </c>
    </row>
    <row r="236" spans="1:139">
      <c r="A236" s="37" t="s">
        <v>1793</v>
      </c>
      <c r="B236" s="36" t="s">
        <v>1107</v>
      </c>
      <c r="C236" s="1" t="s">
        <v>1106</v>
      </c>
      <c r="D236" s="36" t="s">
        <v>1106</v>
      </c>
      <c r="E236" s="36" t="s">
        <v>1796</v>
      </c>
      <c r="F236" s="1" t="e">
        <f t="shared" ca="1" si="439"/>
        <v>#NAME?</v>
      </c>
      <c r="G236" s="35" t="s">
        <v>1109</v>
      </c>
      <c r="H236" s="34">
        <f>1-I236</f>
        <v>0.91317837324206397</v>
      </c>
      <c r="I236" s="33">
        <v>8.682162675793606E-2</v>
      </c>
      <c r="J236" s="26" t="e">
        <v>#REF!</v>
      </c>
      <c r="K236" s="25" t="e">
        <v>#REF!</v>
      </c>
      <c r="L236" s="24"/>
      <c r="M236" s="25"/>
      <c r="N236" s="24"/>
      <c r="O236" s="25"/>
      <c r="P236" s="24"/>
      <c r="Q236" s="25"/>
      <c r="R236" s="32"/>
      <c r="S236" s="31" t="e">
        <v>#REF!</v>
      </c>
      <c r="T236" s="29" t="e">
        <f t="shared" si="443"/>
        <v>#REF!</v>
      </c>
      <c r="U236" s="30" t="e">
        <f t="shared" si="443"/>
        <v>#REF!</v>
      </c>
      <c r="V236" s="29" t="e">
        <f t="shared" si="443"/>
        <v>#REF!</v>
      </c>
      <c r="W236" s="30" t="e">
        <f t="shared" si="443"/>
        <v>#REF!</v>
      </c>
      <c r="X236" s="29" t="e">
        <f t="shared" si="443"/>
        <v>#REF!</v>
      </c>
      <c r="Y236" s="30" t="e">
        <f t="shared" si="443"/>
        <v>#REF!</v>
      </c>
      <c r="Z236" s="29" t="e">
        <f t="shared" si="443"/>
        <v>#REF!</v>
      </c>
      <c r="AA236" s="28" t="e">
        <f t="shared" si="443"/>
        <v>#REF!</v>
      </c>
      <c r="AB236" s="26" t="e">
        <f t="shared" si="445"/>
        <v>#REF!</v>
      </c>
      <c r="AC236" s="25" t="e">
        <f t="shared" si="445"/>
        <v>#REF!</v>
      </c>
      <c r="AD236" s="24" t="e">
        <f t="shared" si="445"/>
        <v>#REF!</v>
      </c>
      <c r="AE236" s="25" t="e">
        <f t="shared" si="445"/>
        <v>#REF!</v>
      </c>
      <c r="AF236" s="24" t="e">
        <f t="shared" si="445"/>
        <v>#REF!</v>
      </c>
      <c r="AG236" s="25" t="e">
        <f t="shared" si="445"/>
        <v>#REF!</v>
      </c>
      <c r="AH236" s="24" t="e">
        <f t="shared" si="445"/>
        <v>#REF!</v>
      </c>
      <c r="AI236" s="25" t="e">
        <f t="shared" si="445"/>
        <v>#REF!</v>
      </c>
      <c r="AJ236" s="24" t="e">
        <f t="shared" si="445"/>
        <v>#REF!</v>
      </c>
      <c r="AK236" s="27" t="e">
        <f t="shared" si="406"/>
        <v>#REF!</v>
      </c>
      <c r="AL236" s="26" t="e">
        <f t="shared" si="446"/>
        <v>#REF!</v>
      </c>
      <c r="AM236" s="25" t="e">
        <f t="shared" si="446"/>
        <v>#REF!</v>
      </c>
      <c r="AN236" s="24" t="e">
        <f t="shared" si="446"/>
        <v>#REF!</v>
      </c>
      <c r="AO236" s="25" t="e">
        <f t="shared" si="446"/>
        <v>#REF!</v>
      </c>
      <c r="AP236" s="24" t="e">
        <f t="shared" si="446"/>
        <v>#REF!</v>
      </c>
      <c r="AQ236" s="25" t="e">
        <f t="shared" si="446"/>
        <v>#REF!</v>
      </c>
      <c r="AR236" s="24" t="e">
        <f t="shared" si="446"/>
        <v>#REF!</v>
      </c>
      <c r="AS236" s="25" t="e">
        <f t="shared" si="446"/>
        <v>#REF!</v>
      </c>
      <c r="AT236" s="24" t="e">
        <f t="shared" si="446"/>
        <v>#REF!</v>
      </c>
      <c r="AU236" s="23" t="e">
        <f>SUM(AL236:AT236)</f>
        <v>#REF!</v>
      </c>
      <c r="CS236" s="54" t="s">
        <v>1439</v>
      </c>
      <c r="CT236" s="39">
        <v>0</v>
      </c>
      <c r="CU236" s="40">
        <v>0.20992698210903829</v>
      </c>
      <c r="CV236" s="39">
        <v>5.5058974102258924E-3</v>
      </c>
      <c r="CW236" s="40">
        <v>1.0543207806815538E-3</v>
      </c>
      <c r="CX236" s="39">
        <v>4.5921527336352123E-2</v>
      </c>
      <c r="CY236" s="40">
        <v>2.6664112646914137E-2</v>
      </c>
      <c r="CZ236" s="39">
        <v>1.9257414689437986E-2</v>
      </c>
      <c r="DA236" s="40">
        <v>0</v>
      </c>
      <c r="DB236" s="39">
        <v>0</v>
      </c>
      <c r="DC236" s="38">
        <v>0.30833025497264999</v>
      </c>
      <c r="DE236" s="37" t="s">
        <v>1795</v>
      </c>
      <c r="DF236" s="35" t="str">
        <f t="shared" si="407"/>
        <v>IFDFS</v>
      </c>
      <c r="DG236" s="26">
        <f t="shared" si="442"/>
        <v>0</v>
      </c>
      <c r="DH236" s="25">
        <f t="shared" si="442"/>
        <v>0</v>
      </c>
      <c r="DI236" s="24">
        <f t="shared" si="442"/>
        <v>1.4799177329981752</v>
      </c>
      <c r="DJ236" s="25">
        <f t="shared" si="442"/>
        <v>1.0023834696331717</v>
      </c>
      <c r="DK236" s="24">
        <f t="shared" si="442"/>
        <v>0</v>
      </c>
      <c r="DL236" s="25">
        <f t="shared" si="442"/>
        <v>0</v>
      </c>
      <c r="DM236" s="24">
        <f t="shared" si="442"/>
        <v>0</v>
      </c>
      <c r="DN236" s="25">
        <f t="shared" si="442"/>
        <v>0.76282474301015324</v>
      </c>
      <c r="DO236" s="32">
        <f t="shared" si="442"/>
        <v>0.47832585830551999</v>
      </c>
      <c r="DP236" s="26">
        <f t="shared" si="408"/>
        <v>0</v>
      </c>
      <c r="DQ236" s="25">
        <f t="shared" si="409"/>
        <v>0</v>
      </c>
      <c r="DR236" s="24">
        <f t="shared" si="410"/>
        <v>0.58468908573740852</v>
      </c>
      <c r="DS236" s="25">
        <f t="shared" si="411"/>
        <v>0.58468908573740852</v>
      </c>
      <c r="DT236" s="24">
        <f t="shared" si="412"/>
        <v>0</v>
      </c>
      <c r="DU236" s="25">
        <f t="shared" si="413"/>
        <v>0</v>
      </c>
      <c r="DV236" s="24">
        <f t="shared" si="414"/>
        <v>0</v>
      </c>
      <c r="DW236" s="25">
        <f t="shared" si="415"/>
        <v>1</v>
      </c>
      <c r="DX236" s="32">
        <f t="shared" si="416"/>
        <v>1</v>
      </c>
      <c r="DZ236" s="54" t="s">
        <v>1794</v>
      </c>
      <c r="EA236" s="39">
        <v>0.5717711864047339</v>
      </c>
      <c r="EB236" s="40">
        <v>0.5717711864047339</v>
      </c>
      <c r="EC236" s="39">
        <v>0.5132554601243795</v>
      </c>
      <c r="ED236" s="40">
        <v>0.5132554601243795</v>
      </c>
      <c r="EE236" s="39">
        <v>0.52344685608903541</v>
      </c>
      <c r="EF236" s="40">
        <v>0.52344685608903541</v>
      </c>
      <c r="EG236" s="39">
        <v>0.5234468560890353</v>
      </c>
      <c r="EH236" s="40">
        <v>0.50667884252255668</v>
      </c>
      <c r="EI236" s="66">
        <v>0.50667884252255668</v>
      </c>
    </row>
    <row r="237" spans="1:139">
      <c r="A237" s="22" t="s">
        <v>1793</v>
      </c>
      <c r="B237" s="20" t="s">
        <v>1107</v>
      </c>
      <c r="C237" s="21" t="s">
        <v>1106</v>
      </c>
      <c r="D237" s="20" t="s">
        <v>1106</v>
      </c>
      <c r="E237" s="20" t="s">
        <v>1792</v>
      </c>
      <c r="F237" s="21" t="e">
        <f t="shared" ca="1" si="439"/>
        <v>#NAME?</v>
      </c>
      <c r="G237" s="19" t="s">
        <v>1109</v>
      </c>
      <c r="H237" s="50">
        <f>1-I237</f>
        <v>0.48924710379891823</v>
      </c>
      <c r="I237" s="49">
        <v>0.51075289620108177</v>
      </c>
      <c r="J237" s="11">
        <v>1.7033399999999997E-2</v>
      </c>
      <c r="K237" s="10">
        <v>0</v>
      </c>
      <c r="L237" s="9"/>
      <c r="M237" s="10"/>
      <c r="N237" s="9"/>
      <c r="O237" s="10"/>
      <c r="P237" s="9"/>
      <c r="Q237" s="10"/>
      <c r="R237" s="16"/>
      <c r="S237" s="15" t="e">
        <v>#REF!</v>
      </c>
      <c r="T237" s="13" t="e">
        <f t="shared" si="443"/>
        <v>#REF!</v>
      </c>
      <c r="U237" s="14" t="e">
        <f t="shared" si="443"/>
        <v>#REF!</v>
      </c>
      <c r="V237" s="13" t="e">
        <f t="shared" si="443"/>
        <v>#REF!</v>
      </c>
      <c r="W237" s="14" t="e">
        <f t="shared" si="443"/>
        <v>#REF!</v>
      </c>
      <c r="X237" s="13" t="e">
        <f t="shared" si="443"/>
        <v>#REF!</v>
      </c>
      <c r="Y237" s="14" t="e">
        <f t="shared" si="443"/>
        <v>#REF!</v>
      </c>
      <c r="Z237" s="13" t="e">
        <f t="shared" si="443"/>
        <v>#REF!</v>
      </c>
      <c r="AA237" s="12" t="e">
        <f t="shared" si="443"/>
        <v>#REF!</v>
      </c>
      <c r="AB237" s="11" t="e">
        <f t="shared" si="445"/>
        <v>#REF!</v>
      </c>
      <c r="AC237" s="10" t="e">
        <f t="shared" si="445"/>
        <v>#REF!</v>
      </c>
      <c r="AD237" s="9" t="e">
        <f t="shared" si="445"/>
        <v>#REF!</v>
      </c>
      <c r="AE237" s="10" t="e">
        <f t="shared" si="445"/>
        <v>#REF!</v>
      </c>
      <c r="AF237" s="9" t="e">
        <f t="shared" si="445"/>
        <v>#REF!</v>
      </c>
      <c r="AG237" s="10" t="e">
        <f t="shared" si="445"/>
        <v>#REF!</v>
      </c>
      <c r="AH237" s="9" t="e">
        <f t="shared" si="445"/>
        <v>#REF!</v>
      </c>
      <c r="AI237" s="10" t="e">
        <f t="shared" si="445"/>
        <v>#REF!</v>
      </c>
      <c r="AJ237" s="9" t="e">
        <f t="shared" si="445"/>
        <v>#REF!</v>
      </c>
      <c r="AK237" s="8" t="e">
        <f t="shared" si="406"/>
        <v>#REF!</v>
      </c>
      <c r="AL237" s="11" t="e">
        <f t="shared" si="446"/>
        <v>#REF!</v>
      </c>
      <c r="AM237" s="10" t="e">
        <f t="shared" si="446"/>
        <v>#REF!</v>
      </c>
      <c r="AN237" s="9" t="e">
        <f t="shared" si="446"/>
        <v>#REF!</v>
      </c>
      <c r="AO237" s="10" t="e">
        <f t="shared" si="446"/>
        <v>#REF!</v>
      </c>
      <c r="AP237" s="9" t="e">
        <f t="shared" si="446"/>
        <v>#REF!</v>
      </c>
      <c r="AQ237" s="10" t="e">
        <f t="shared" si="446"/>
        <v>#REF!</v>
      </c>
      <c r="AR237" s="9" t="e">
        <f t="shared" si="446"/>
        <v>#REF!</v>
      </c>
      <c r="AS237" s="10" t="e">
        <f t="shared" si="446"/>
        <v>#REF!</v>
      </c>
      <c r="AT237" s="9" t="e">
        <f t="shared" si="446"/>
        <v>#REF!</v>
      </c>
      <c r="AU237" s="48" t="e">
        <f>SUM(AL237:AT237)</f>
        <v>#REF!</v>
      </c>
      <c r="CS237" s="54" t="s">
        <v>1463</v>
      </c>
      <c r="CT237" s="39">
        <v>17.594339176016465</v>
      </c>
      <c r="CU237" s="40">
        <v>15.250760024073726</v>
      </c>
      <c r="CV237" s="39">
        <v>0</v>
      </c>
      <c r="CW237" s="40">
        <v>0</v>
      </c>
      <c r="CX237" s="39">
        <v>6.1470843963766022</v>
      </c>
      <c r="CY237" s="40">
        <v>4.1836123227993722</v>
      </c>
      <c r="CZ237" s="39">
        <v>2.5483833044667428</v>
      </c>
      <c r="DA237" s="40">
        <v>0</v>
      </c>
      <c r="DB237" s="39">
        <v>0</v>
      </c>
      <c r="DC237" s="38">
        <v>45.724179223732904</v>
      </c>
      <c r="DE237" s="37" t="s">
        <v>1791</v>
      </c>
      <c r="DF237" s="35" t="str">
        <f t="shared" si="407"/>
        <v>IFDFS</v>
      </c>
      <c r="DG237" s="26">
        <f t="shared" si="442"/>
        <v>0</v>
      </c>
      <c r="DH237" s="25">
        <f t="shared" si="442"/>
        <v>0</v>
      </c>
      <c r="DI237" s="24">
        <f t="shared" si="442"/>
        <v>0.60357172678826432</v>
      </c>
      <c r="DJ237" s="25">
        <f t="shared" si="442"/>
        <v>0.40881348211485419</v>
      </c>
      <c r="DK237" s="24">
        <f t="shared" si="442"/>
        <v>0</v>
      </c>
      <c r="DL237" s="25">
        <f t="shared" si="442"/>
        <v>0</v>
      </c>
      <c r="DM237" s="24">
        <f t="shared" si="442"/>
        <v>0</v>
      </c>
      <c r="DN237" s="25">
        <f t="shared" si="442"/>
        <v>0</v>
      </c>
      <c r="DO237" s="32">
        <f t="shared" si="442"/>
        <v>0</v>
      </c>
      <c r="DP237" s="26">
        <f t="shared" si="408"/>
        <v>0</v>
      </c>
      <c r="DQ237" s="25">
        <f t="shared" si="409"/>
        <v>0</v>
      </c>
      <c r="DR237" s="24">
        <f t="shared" si="410"/>
        <v>0.23846041793001094</v>
      </c>
      <c r="DS237" s="25">
        <f t="shared" si="411"/>
        <v>0.23846041793001091</v>
      </c>
      <c r="DT237" s="24">
        <f t="shared" si="412"/>
        <v>0</v>
      </c>
      <c r="DU237" s="25">
        <f t="shared" si="413"/>
        <v>0</v>
      </c>
      <c r="DV237" s="24">
        <f t="shared" si="414"/>
        <v>0</v>
      </c>
      <c r="DW237" s="25">
        <f t="shared" si="415"/>
        <v>0</v>
      </c>
      <c r="DX237" s="32">
        <f t="shared" si="416"/>
        <v>0</v>
      </c>
      <c r="DZ237" s="54" t="s">
        <v>1694</v>
      </c>
      <c r="EA237" s="39">
        <v>1</v>
      </c>
      <c r="EB237" s="40">
        <v>1</v>
      </c>
      <c r="EC237" s="39">
        <v>1</v>
      </c>
      <c r="ED237" s="40">
        <v>1</v>
      </c>
      <c r="EE237" s="39">
        <v>1</v>
      </c>
      <c r="EF237" s="40">
        <v>1</v>
      </c>
      <c r="EG237" s="39">
        <v>1</v>
      </c>
      <c r="EH237" s="40">
        <v>1</v>
      </c>
      <c r="EI237" s="66">
        <v>1</v>
      </c>
    </row>
    <row r="238" spans="1:139">
      <c r="A238" s="37" t="s">
        <v>1696</v>
      </c>
      <c r="B238" s="36" t="s">
        <v>1145</v>
      </c>
      <c r="C238" s="1" t="s">
        <v>1120</v>
      </c>
      <c r="D238" s="36" t="s">
        <v>1120</v>
      </c>
      <c r="E238" s="36" t="s">
        <v>1790</v>
      </c>
      <c r="F238" s="1" t="e">
        <f t="shared" ca="1" si="439"/>
        <v>#NAME?</v>
      </c>
      <c r="G238" s="35" t="s">
        <v>1121</v>
      </c>
      <c r="H238" s="43">
        <v>1</v>
      </c>
      <c r="I238" s="42">
        <v>0</v>
      </c>
      <c r="J238" s="26">
        <v>9.2254647162661255E-2</v>
      </c>
      <c r="K238" s="25">
        <v>9.3253550079975378E-2</v>
      </c>
      <c r="L238" s="24"/>
      <c r="M238" s="25"/>
      <c r="N238" s="24"/>
      <c r="O238" s="25"/>
      <c r="P238" s="24"/>
      <c r="Q238" s="25"/>
      <c r="R238" s="32"/>
      <c r="S238" s="47">
        <v>1</v>
      </c>
      <c r="T238" s="45">
        <v>1</v>
      </c>
      <c r="U238" s="46">
        <v>1</v>
      </c>
      <c r="V238" s="45">
        <v>1</v>
      </c>
      <c r="W238" s="46">
        <v>1</v>
      </c>
      <c r="X238" s="45">
        <v>1</v>
      </c>
      <c r="Y238" s="46">
        <v>1</v>
      </c>
      <c r="Z238" s="45">
        <v>1</v>
      </c>
      <c r="AA238" s="44">
        <v>1</v>
      </c>
      <c r="AB238" s="26">
        <f t="shared" ref="AB238:AB253" si="447">J238*$H238*S238</f>
        <v>9.2254647162661255E-2</v>
      </c>
      <c r="AC238" s="25">
        <f t="shared" ref="AC238:AC253" si="448">K238*$H238*T238</f>
        <v>9.3253550079975378E-2</v>
      </c>
      <c r="AD238" s="24">
        <f t="shared" ref="AD238:AD253" si="449">L238*$H238*U238</f>
        <v>0</v>
      </c>
      <c r="AE238" s="25">
        <f t="shared" ref="AE238:AE253" si="450">M238*$H238*V238</f>
        <v>0</v>
      </c>
      <c r="AF238" s="24">
        <f t="shared" ref="AF238:AF253" si="451">N238*$H238*W238</f>
        <v>0</v>
      </c>
      <c r="AG238" s="25">
        <f t="shared" ref="AG238:AG253" si="452">O238*$H238*X238</f>
        <v>0</v>
      </c>
      <c r="AH238" s="24">
        <f t="shared" ref="AH238:AH253" si="453">P238*$H238*Y238</f>
        <v>0</v>
      </c>
      <c r="AI238" s="25">
        <f t="shared" ref="AI238:AI253" si="454">Q238*$H238*Z238</f>
        <v>0</v>
      </c>
      <c r="AJ238" s="24">
        <f t="shared" ref="AJ238:AJ253" si="455">R238*$H238*AA238</f>
        <v>0</v>
      </c>
      <c r="AK238" s="27">
        <f t="shared" si="406"/>
        <v>0.18550819724263662</v>
      </c>
      <c r="AL238" s="41">
        <v>0</v>
      </c>
      <c r="AM238" s="40">
        <v>0</v>
      </c>
      <c r="AN238" s="39">
        <v>0</v>
      </c>
      <c r="AO238" s="40">
        <v>0</v>
      </c>
      <c r="AP238" s="39">
        <v>0</v>
      </c>
      <c r="AQ238" s="40">
        <v>0</v>
      </c>
      <c r="AR238" s="39">
        <v>0</v>
      </c>
      <c r="AS238" s="40">
        <v>0</v>
      </c>
      <c r="AT238" s="39">
        <v>0</v>
      </c>
      <c r="AU238" s="38">
        <v>0</v>
      </c>
      <c r="CS238" s="54" t="s">
        <v>1435</v>
      </c>
      <c r="CT238" s="39">
        <v>0</v>
      </c>
      <c r="CU238" s="40">
        <v>0</v>
      </c>
      <c r="CV238" s="39">
        <v>1.8262699035658232</v>
      </c>
      <c r="CW238" s="40">
        <v>0.34971125812962567</v>
      </c>
      <c r="CX238" s="39">
        <v>1.0879905808477244</v>
      </c>
      <c r="CY238" s="40">
        <v>0.63173646629867874</v>
      </c>
      <c r="CZ238" s="39">
        <v>0.45625411454904574</v>
      </c>
      <c r="DA238" s="40">
        <v>0</v>
      </c>
      <c r="DB238" s="39">
        <v>0</v>
      </c>
      <c r="DC238" s="38">
        <v>4.3519623233908984</v>
      </c>
      <c r="DE238" s="37" t="s">
        <v>1789</v>
      </c>
      <c r="DF238" s="35" t="str">
        <f t="shared" si="407"/>
        <v>ICIFS</v>
      </c>
      <c r="DG238" s="26">
        <f t="shared" ref="DG238:DO247" si="456">GETPIVOTDATA("Sum of "&amp;DG$1&amp;" (Out)",$CS$6,"Constraint Identifier",$DE238)</f>
        <v>0</v>
      </c>
      <c r="DH238" s="25">
        <f t="shared" si="456"/>
        <v>0</v>
      </c>
      <c r="DI238" s="24">
        <f t="shared" si="456"/>
        <v>3.3709221220495542</v>
      </c>
      <c r="DJ238" s="25">
        <f t="shared" si="456"/>
        <v>2.2832057061157003</v>
      </c>
      <c r="DK238" s="24">
        <f t="shared" si="456"/>
        <v>24.464031553846791</v>
      </c>
      <c r="DL238" s="25">
        <f t="shared" si="456"/>
        <v>21.32396693793045</v>
      </c>
      <c r="DM238" s="24">
        <f t="shared" si="456"/>
        <v>74.079511465326149</v>
      </c>
      <c r="DN238" s="25">
        <f t="shared" si="456"/>
        <v>6.9501776865670202</v>
      </c>
      <c r="DO238" s="32">
        <f t="shared" si="456"/>
        <v>4.3580779697634888</v>
      </c>
      <c r="DP238" s="26">
        <f t="shared" si="408"/>
        <v>0</v>
      </c>
      <c r="DQ238" s="25">
        <f t="shared" si="409"/>
        <v>0</v>
      </c>
      <c r="DR238" s="24">
        <f t="shared" si="410"/>
        <v>0.80887689485810976</v>
      </c>
      <c r="DS238" s="25">
        <f t="shared" si="411"/>
        <v>0.80887689485810976</v>
      </c>
      <c r="DT238" s="24">
        <f t="shared" si="412"/>
        <v>0.95732116523251576</v>
      </c>
      <c r="DU238" s="25">
        <f t="shared" si="413"/>
        <v>0.95732116523251576</v>
      </c>
      <c r="DV238" s="24">
        <f t="shared" si="414"/>
        <v>0.95732116523251554</v>
      </c>
      <c r="DW238" s="25">
        <f t="shared" si="415"/>
        <v>0.80887689485810976</v>
      </c>
      <c r="DX238" s="32">
        <f t="shared" si="416"/>
        <v>0.80887689485810987</v>
      </c>
      <c r="DZ238" s="54" t="s">
        <v>1788</v>
      </c>
      <c r="EA238" s="39">
        <v>3.7854630137192833E-3</v>
      </c>
      <c r="EB238" s="40">
        <v>3.7854630137192829E-3</v>
      </c>
      <c r="EC238" s="39">
        <v>3.7900176186915664E-3</v>
      </c>
      <c r="ED238" s="40">
        <v>3.7900176186915673E-3</v>
      </c>
      <c r="EE238" s="39">
        <v>3.7891882091003566E-3</v>
      </c>
      <c r="EF238" s="40">
        <v>3.789188209100357E-3</v>
      </c>
      <c r="EG238" s="39">
        <v>3.789188209100357E-3</v>
      </c>
      <c r="EH238" s="40">
        <v>3.7905614466864183E-3</v>
      </c>
      <c r="EI238" s="66">
        <v>3.7905614466864188E-3</v>
      </c>
    </row>
    <row r="239" spans="1:139">
      <c r="A239" s="37" t="s">
        <v>1696</v>
      </c>
      <c r="B239" s="36" t="s">
        <v>1145</v>
      </c>
      <c r="C239" s="1" t="s">
        <v>1126</v>
      </c>
      <c r="D239" s="36" t="s">
        <v>1126</v>
      </c>
      <c r="E239" s="36" t="s">
        <v>1787</v>
      </c>
      <c r="F239" s="1" t="e">
        <f t="shared" ca="1" si="439"/>
        <v>#NAME?</v>
      </c>
      <c r="G239" s="35" t="s">
        <v>1121</v>
      </c>
      <c r="H239" s="43">
        <v>1</v>
      </c>
      <c r="I239" s="42">
        <v>0</v>
      </c>
      <c r="J239" s="26">
        <v>5.1439311253799112</v>
      </c>
      <c r="K239" s="25">
        <v>2.3308676866812816</v>
      </c>
      <c r="L239" s="24"/>
      <c r="M239" s="25"/>
      <c r="N239" s="24"/>
      <c r="O239" s="25"/>
      <c r="P239" s="24"/>
      <c r="Q239" s="25"/>
      <c r="R239" s="32"/>
      <c r="S239" s="47">
        <v>1</v>
      </c>
      <c r="T239" s="45">
        <v>1</v>
      </c>
      <c r="U239" s="46">
        <v>1</v>
      </c>
      <c r="V239" s="45">
        <v>1</v>
      </c>
      <c r="W239" s="46">
        <v>1</v>
      </c>
      <c r="X239" s="45">
        <v>1</v>
      </c>
      <c r="Y239" s="46">
        <v>1</v>
      </c>
      <c r="Z239" s="45">
        <v>1</v>
      </c>
      <c r="AA239" s="44">
        <v>1</v>
      </c>
      <c r="AB239" s="26">
        <f t="shared" si="447"/>
        <v>5.1439311253799112</v>
      </c>
      <c r="AC239" s="25">
        <f t="shared" si="448"/>
        <v>2.3308676866812816</v>
      </c>
      <c r="AD239" s="24">
        <f t="shared" si="449"/>
        <v>0</v>
      </c>
      <c r="AE239" s="25">
        <f t="shared" si="450"/>
        <v>0</v>
      </c>
      <c r="AF239" s="24">
        <f t="shared" si="451"/>
        <v>0</v>
      </c>
      <c r="AG239" s="25">
        <f t="shared" si="452"/>
        <v>0</v>
      </c>
      <c r="AH239" s="24">
        <f t="shared" si="453"/>
        <v>0</v>
      </c>
      <c r="AI239" s="25">
        <f t="shared" si="454"/>
        <v>0</v>
      </c>
      <c r="AJ239" s="24">
        <f t="shared" si="455"/>
        <v>0</v>
      </c>
      <c r="AK239" s="27">
        <f t="shared" si="406"/>
        <v>7.4747988120611932</v>
      </c>
      <c r="AL239" s="41">
        <v>0</v>
      </c>
      <c r="AM239" s="40">
        <v>0</v>
      </c>
      <c r="AN239" s="39">
        <v>0</v>
      </c>
      <c r="AO239" s="40">
        <v>0</v>
      </c>
      <c r="AP239" s="39">
        <v>0</v>
      </c>
      <c r="AQ239" s="40">
        <v>0</v>
      </c>
      <c r="AR239" s="39">
        <v>0</v>
      </c>
      <c r="AS239" s="40">
        <v>0</v>
      </c>
      <c r="AT239" s="39">
        <v>0</v>
      </c>
      <c r="AU239" s="38">
        <v>0</v>
      </c>
      <c r="CS239" s="54" t="s">
        <v>1431</v>
      </c>
      <c r="CT239" s="39">
        <v>0.19123358740629634</v>
      </c>
      <c r="CU239" s="40">
        <v>0.16873551829967323</v>
      </c>
      <c r="CV239" s="39">
        <v>0.65458667734031972</v>
      </c>
      <c r="CW239" s="40">
        <v>0.12534638502261441</v>
      </c>
      <c r="CX239" s="39">
        <v>0.53995365855895439</v>
      </c>
      <c r="CY239" s="40">
        <v>0.31352147916326389</v>
      </c>
      <c r="CZ239" s="39">
        <v>0.22643217939569057</v>
      </c>
      <c r="DA239" s="40">
        <v>2.0569663183198261E-2</v>
      </c>
      <c r="DB239" s="39">
        <v>0.15941488966978654</v>
      </c>
      <c r="DC239" s="38">
        <v>2.3997940380397975</v>
      </c>
      <c r="DE239" s="37" t="s">
        <v>1786</v>
      </c>
      <c r="DF239" s="35" t="str">
        <f t="shared" si="407"/>
        <v>ICIFS</v>
      </c>
      <c r="DG239" s="26">
        <f t="shared" si="456"/>
        <v>0</v>
      </c>
      <c r="DH239" s="25">
        <f t="shared" si="456"/>
        <v>0</v>
      </c>
      <c r="DI239" s="24">
        <f t="shared" si="456"/>
        <v>0.79648844867872548</v>
      </c>
      <c r="DJ239" s="25">
        <f t="shared" si="456"/>
        <v>0.53948056497158514</v>
      </c>
      <c r="DK239" s="24">
        <f t="shared" si="456"/>
        <v>1.0906437654907157</v>
      </c>
      <c r="DL239" s="25">
        <f t="shared" si="456"/>
        <v>0.95065490514898487</v>
      </c>
      <c r="DM239" s="24">
        <f t="shared" si="456"/>
        <v>3.302577383961542</v>
      </c>
      <c r="DN239" s="25">
        <f t="shared" si="456"/>
        <v>1.6422023538916635</v>
      </c>
      <c r="DO239" s="32">
        <f t="shared" si="456"/>
        <v>1.0297356734089578</v>
      </c>
      <c r="DP239" s="26">
        <f t="shared" si="408"/>
        <v>0</v>
      </c>
      <c r="DQ239" s="25">
        <f t="shared" si="409"/>
        <v>0</v>
      </c>
      <c r="DR239" s="24">
        <f t="shared" si="410"/>
        <v>0.19112310514189015</v>
      </c>
      <c r="DS239" s="25">
        <f t="shared" si="411"/>
        <v>0.19112310514189015</v>
      </c>
      <c r="DT239" s="24">
        <f t="shared" si="412"/>
        <v>4.2678834767484346E-2</v>
      </c>
      <c r="DU239" s="25">
        <f t="shared" si="413"/>
        <v>4.2678834767484353E-2</v>
      </c>
      <c r="DV239" s="24">
        <f t="shared" si="414"/>
        <v>4.2678834767484339E-2</v>
      </c>
      <c r="DW239" s="25">
        <f t="shared" si="415"/>
        <v>0.19112310514189015</v>
      </c>
      <c r="DX239" s="32">
        <f t="shared" si="416"/>
        <v>0.19112310514189015</v>
      </c>
      <c r="DZ239" s="54" t="s">
        <v>1785</v>
      </c>
      <c r="EA239" s="39">
        <v>0.43829122263782361</v>
      </c>
      <c r="EB239" s="40">
        <v>0.43829122263782355</v>
      </c>
      <c r="EC239" s="39">
        <v>0.43881856721223877</v>
      </c>
      <c r="ED239" s="40">
        <v>0.43881856721223889</v>
      </c>
      <c r="EE239" s="39">
        <v>0.43872253590973198</v>
      </c>
      <c r="EF239" s="40">
        <v>0.43872253590973204</v>
      </c>
      <c r="EG239" s="39">
        <v>0.43872253590973204</v>
      </c>
      <c r="EH239" s="40">
        <v>0.43888153309934547</v>
      </c>
      <c r="EI239" s="66">
        <v>0.43888153309934547</v>
      </c>
    </row>
    <row r="240" spans="1:139">
      <c r="A240" s="37" t="s">
        <v>1696</v>
      </c>
      <c r="B240" s="36" t="s">
        <v>1145</v>
      </c>
      <c r="C240" s="1" t="s">
        <v>665</v>
      </c>
      <c r="D240" s="36" t="s">
        <v>665</v>
      </c>
      <c r="E240" s="36" t="s">
        <v>1784</v>
      </c>
      <c r="F240" s="1" t="e">
        <f t="shared" ca="1" si="439"/>
        <v>#NAME?</v>
      </c>
      <c r="G240" s="35" t="s">
        <v>1121</v>
      </c>
      <c r="H240" s="43">
        <v>1</v>
      </c>
      <c r="I240" s="42">
        <v>0</v>
      </c>
      <c r="J240" s="26">
        <v>2.0120620667808882</v>
      </c>
      <c r="K240" s="25">
        <v>0</v>
      </c>
      <c r="L240" s="24"/>
      <c r="M240" s="25"/>
      <c r="N240" s="24"/>
      <c r="O240" s="25"/>
      <c r="P240" s="24"/>
      <c r="Q240" s="25"/>
      <c r="R240" s="32"/>
      <c r="S240" s="47">
        <v>1</v>
      </c>
      <c r="T240" s="45">
        <v>1</v>
      </c>
      <c r="U240" s="46">
        <v>1</v>
      </c>
      <c r="V240" s="45">
        <v>1</v>
      </c>
      <c r="W240" s="46">
        <v>1</v>
      </c>
      <c r="X240" s="45">
        <v>1</v>
      </c>
      <c r="Y240" s="46">
        <v>1</v>
      </c>
      <c r="Z240" s="45">
        <v>1</v>
      </c>
      <c r="AA240" s="44">
        <v>1</v>
      </c>
      <c r="AB240" s="26">
        <f t="shared" si="447"/>
        <v>2.0120620667808882</v>
      </c>
      <c r="AC240" s="25">
        <f t="shared" si="448"/>
        <v>0</v>
      </c>
      <c r="AD240" s="24">
        <f t="shared" si="449"/>
        <v>0</v>
      </c>
      <c r="AE240" s="25">
        <f t="shared" si="450"/>
        <v>0</v>
      </c>
      <c r="AF240" s="24">
        <f t="shared" si="451"/>
        <v>0</v>
      </c>
      <c r="AG240" s="25">
        <f t="shared" si="452"/>
        <v>0</v>
      </c>
      <c r="AH240" s="24">
        <f t="shared" si="453"/>
        <v>0</v>
      </c>
      <c r="AI240" s="25">
        <f t="shared" si="454"/>
        <v>0</v>
      </c>
      <c r="AJ240" s="24">
        <f t="shared" si="455"/>
        <v>0</v>
      </c>
      <c r="AK240" s="27">
        <f t="shared" si="406"/>
        <v>2.0120620667808882</v>
      </c>
      <c r="AL240" s="41">
        <v>0</v>
      </c>
      <c r="AM240" s="40">
        <v>0</v>
      </c>
      <c r="AN240" s="39">
        <v>0</v>
      </c>
      <c r="AO240" s="40">
        <v>0</v>
      </c>
      <c r="AP240" s="39">
        <v>0</v>
      </c>
      <c r="AQ240" s="40">
        <v>0</v>
      </c>
      <c r="AR240" s="39">
        <v>0</v>
      </c>
      <c r="AS240" s="40">
        <v>0</v>
      </c>
      <c r="AT240" s="39">
        <v>0</v>
      </c>
      <c r="AU240" s="38">
        <v>0</v>
      </c>
      <c r="CS240" s="54" t="s">
        <v>1427</v>
      </c>
      <c r="CT240" s="39">
        <v>1.1758591173973982</v>
      </c>
      <c r="CU240" s="40">
        <v>1.0375227506447631</v>
      </c>
      <c r="CV240" s="39">
        <v>7.4306391284272566</v>
      </c>
      <c r="CW240" s="40">
        <v>1.4228883437413895</v>
      </c>
      <c r="CX240" s="39">
        <v>3.3200728020632422</v>
      </c>
      <c r="CY240" s="40">
        <v>1.9277842076496248</v>
      </c>
      <c r="CZ240" s="39">
        <v>1.3922885944136176</v>
      </c>
      <c r="DA240" s="40">
        <v>0.18068423412589069</v>
      </c>
      <c r="DB240" s="39">
        <v>1.4003028144756529</v>
      </c>
      <c r="DC240" s="38">
        <v>19.288041992938837</v>
      </c>
      <c r="DE240" s="37" t="s">
        <v>1783</v>
      </c>
      <c r="DF240" s="35" t="str">
        <f t="shared" si="407"/>
        <v>ICOFS</v>
      </c>
      <c r="DG240" s="26">
        <f t="shared" si="456"/>
        <v>0</v>
      </c>
      <c r="DH240" s="25">
        <f t="shared" si="456"/>
        <v>0</v>
      </c>
      <c r="DI240" s="24">
        <f t="shared" si="456"/>
        <v>0</v>
      </c>
      <c r="DJ240" s="25">
        <f t="shared" si="456"/>
        <v>0</v>
      </c>
      <c r="DK240" s="24">
        <f t="shared" si="456"/>
        <v>270.89648076900465</v>
      </c>
      <c r="DL240" s="25">
        <f t="shared" si="456"/>
        <v>236.12574185924154</v>
      </c>
      <c r="DM240" s="24">
        <f t="shared" si="456"/>
        <v>820.3013844579699</v>
      </c>
      <c r="DN240" s="25">
        <f t="shared" si="456"/>
        <v>0</v>
      </c>
      <c r="DO240" s="32">
        <f t="shared" si="456"/>
        <v>0</v>
      </c>
      <c r="DP240" s="26">
        <f t="shared" si="408"/>
        <v>0</v>
      </c>
      <c r="DQ240" s="25">
        <f t="shared" si="409"/>
        <v>0</v>
      </c>
      <c r="DR240" s="24">
        <f t="shared" si="410"/>
        <v>0</v>
      </c>
      <c r="DS240" s="25">
        <f t="shared" si="411"/>
        <v>0</v>
      </c>
      <c r="DT240" s="24">
        <f t="shared" si="412"/>
        <v>0.6509019799395046</v>
      </c>
      <c r="DU240" s="25">
        <f t="shared" si="413"/>
        <v>0.6509019799395046</v>
      </c>
      <c r="DV240" s="24">
        <f t="shared" si="414"/>
        <v>0.6509019799395046</v>
      </c>
      <c r="DW240" s="25">
        <f t="shared" si="415"/>
        <v>0</v>
      </c>
      <c r="DX240" s="32">
        <f t="shared" si="416"/>
        <v>0</v>
      </c>
      <c r="DZ240" s="54" t="s">
        <v>1782</v>
      </c>
      <c r="EA240" s="39">
        <v>0.52448692587337642</v>
      </c>
      <c r="EB240" s="40">
        <v>0.52448692587337631</v>
      </c>
      <c r="EC240" s="39">
        <v>0.52511797965776752</v>
      </c>
      <c r="ED240" s="40">
        <v>0.52511797965776763</v>
      </c>
      <c r="EE240" s="39">
        <v>0.5250030625432146</v>
      </c>
      <c r="EF240" s="40">
        <v>0.5250030625432146</v>
      </c>
      <c r="EG240" s="39">
        <v>0.5250030625432146</v>
      </c>
      <c r="EH240" s="40">
        <v>0.52519332861037649</v>
      </c>
      <c r="EI240" s="66">
        <v>0.52519332861037649</v>
      </c>
    </row>
    <row r="241" spans="1:139">
      <c r="A241" s="37" t="s">
        <v>1696</v>
      </c>
      <c r="B241" s="36" t="s">
        <v>1145</v>
      </c>
      <c r="C241" s="1" t="s">
        <v>1106</v>
      </c>
      <c r="D241" s="36" t="s">
        <v>1106</v>
      </c>
      <c r="E241" s="36" t="s">
        <v>1781</v>
      </c>
      <c r="F241" s="1" t="e">
        <f t="shared" ca="1" si="439"/>
        <v>#NAME?</v>
      </c>
      <c r="G241" s="35" t="s">
        <v>1121</v>
      </c>
      <c r="H241" s="43">
        <v>1</v>
      </c>
      <c r="I241" s="42">
        <v>0</v>
      </c>
      <c r="J241" s="26">
        <v>0.1719341272772533</v>
      </c>
      <c r="K241" s="25">
        <v>8.6897886673591412E-2</v>
      </c>
      <c r="L241" s="24"/>
      <c r="M241" s="25"/>
      <c r="N241" s="24"/>
      <c r="O241" s="25"/>
      <c r="P241" s="24"/>
      <c r="Q241" s="25"/>
      <c r="R241" s="32"/>
      <c r="S241" s="47">
        <v>1</v>
      </c>
      <c r="T241" s="45">
        <v>1</v>
      </c>
      <c r="U241" s="46">
        <v>1</v>
      </c>
      <c r="V241" s="45">
        <v>1</v>
      </c>
      <c r="W241" s="46">
        <v>1</v>
      </c>
      <c r="X241" s="45">
        <v>1</v>
      </c>
      <c r="Y241" s="46">
        <v>1</v>
      </c>
      <c r="Z241" s="45">
        <v>1</v>
      </c>
      <c r="AA241" s="44">
        <v>1</v>
      </c>
      <c r="AB241" s="26">
        <f t="shared" si="447"/>
        <v>0.1719341272772533</v>
      </c>
      <c r="AC241" s="25">
        <f t="shared" si="448"/>
        <v>8.6897886673591412E-2</v>
      </c>
      <c r="AD241" s="24">
        <f t="shared" si="449"/>
        <v>0</v>
      </c>
      <c r="AE241" s="25">
        <f t="shared" si="450"/>
        <v>0</v>
      </c>
      <c r="AF241" s="24">
        <f t="shared" si="451"/>
        <v>0</v>
      </c>
      <c r="AG241" s="25">
        <f t="shared" si="452"/>
        <v>0</v>
      </c>
      <c r="AH241" s="24">
        <f t="shared" si="453"/>
        <v>0</v>
      </c>
      <c r="AI241" s="25">
        <f t="shared" si="454"/>
        <v>0</v>
      </c>
      <c r="AJ241" s="24">
        <f t="shared" si="455"/>
        <v>0</v>
      </c>
      <c r="AK241" s="27">
        <f t="shared" si="406"/>
        <v>0.25883201395084471</v>
      </c>
      <c r="AL241" s="41">
        <v>0</v>
      </c>
      <c r="AM241" s="40">
        <v>0</v>
      </c>
      <c r="AN241" s="39">
        <v>0</v>
      </c>
      <c r="AO241" s="40">
        <v>0</v>
      </c>
      <c r="AP241" s="39">
        <v>0</v>
      </c>
      <c r="AQ241" s="40">
        <v>0</v>
      </c>
      <c r="AR241" s="39">
        <v>0</v>
      </c>
      <c r="AS241" s="40">
        <v>0</v>
      </c>
      <c r="AT241" s="39">
        <v>0</v>
      </c>
      <c r="AU241" s="38">
        <v>0</v>
      </c>
      <c r="CS241" s="54" t="s">
        <v>1415</v>
      </c>
      <c r="CT241" s="39">
        <v>0</v>
      </c>
      <c r="CU241" s="40">
        <v>0</v>
      </c>
      <c r="CV241" s="39">
        <v>0</v>
      </c>
      <c r="CW241" s="40">
        <v>0</v>
      </c>
      <c r="CX241" s="39">
        <v>0</v>
      </c>
      <c r="CY241" s="40">
        <v>0</v>
      </c>
      <c r="CZ241" s="39">
        <v>0</v>
      </c>
      <c r="DA241" s="40">
        <v>0</v>
      </c>
      <c r="DB241" s="39">
        <v>0</v>
      </c>
      <c r="DC241" s="38">
        <v>0</v>
      </c>
      <c r="DE241" s="37" t="s">
        <v>1780</v>
      </c>
      <c r="DF241" s="35" t="str">
        <f t="shared" si="407"/>
        <v>ICOFS</v>
      </c>
      <c r="DG241" s="26">
        <f t="shared" si="456"/>
        <v>0</v>
      </c>
      <c r="DH241" s="25">
        <f t="shared" si="456"/>
        <v>0</v>
      </c>
      <c r="DI241" s="24">
        <f t="shared" si="456"/>
        <v>0</v>
      </c>
      <c r="DJ241" s="25">
        <f t="shared" si="456"/>
        <v>0</v>
      </c>
      <c r="DK241" s="24">
        <f t="shared" si="456"/>
        <v>21.925311298258926</v>
      </c>
      <c r="DL241" s="25">
        <f t="shared" si="456"/>
        <v>19.111102444371635</v>
      </c>
      <c r="DM241" s="24">
        <f t="shared" si="456"/>
        <v>66.392014992509303</v>
      </c>
      <c r="DN241" s="25">
        <f t="shared" si="456"/>
        <v>0.69501776865670206</v>
      </c>
      <c r="DO241" s="32">
        <f t="shared" si="456"/>
        <v>0.43580779697634892</v>
      </c>
      <c r="DP241" s="26">
        <f t="shared" si="408"/>
        <v>0</v>
      </c>
      <c r="DQ241" s="25">
        <f t="shared" si="409"/>
        <v>0</v>
      </c>
      <c r="DR241" s="24">
        <f t="shared" si="410"/>
        <v>0</v>
      </c>
      <c r="DS241" s="25">
        <f t="shared" si="411"/>
        <v>0</v>
      </c>
      <c r="DT241" s="24">
        <f t="shared" si="412"/>
        <v>5.2681483695596262E-2</v>
      </c>
      <c r="DU241" s="25">
        <f t="shared" si="413"/>
        <v>5.2681483695596255E-2</v>
      </c>
      <c r="DV241" s="24">
        <f t="shared" si="414"/>
        <v>5.2681483695596255E-2</v>
      </c>
      <c r="DW241" s="25">
        <f t="shared" si="415"/>
        <v>0.45841902488758174</v>
      </c>
      <c r="DX241" s="32">
        <f t="shared" si="416"/>
        <v>0.45841902488758174</v>
      </c>
      <c r="DZ241" s="54" t="s">
        <v>1779</v>
      </c>
      <c r="EA241" s="39">
        <v>2.2481277907346477E-2</v>
      </c>
      <c r="EB241" s="40">
        <v>2.2481277907346477E-2</v>
      </c>
      <c r="EC241" s="39">
        <v>2.1305143940112462E-2</v>
      </c>
      <c r="ED241" s="40">
        <v>2.1305143940112466E-2</v>
      </c>
      <c r="EE241" s="39">
        <v>2.1519322073871045E-2</v>
      </c>
      <c r="EF241" s="40">
        <v>2.1519322073871045E-2</v>
      </c>
      <c r="EG241" s="39">
        <v>2.1519322073871045E-2</v>
      </c>
      <c r="EH241" s="40">
        <v>2.1164711436971073E-2</v>
      </c>
      <c r="EI241" s="66">
        <v>2.1164711436971073E-2</v>
      </c>
    </row>
    <row r="242" spans="1:139">
      <c r="A242" s="37" t="s">
        <v>1696</v>
      </c>
      <c r="B242" s="36" t="s">
        <v>1139</v>
      </c>
      <c r="C242" s="1" t="s">
        <v>665</v>
      </c>
      <c r="D242" s="36" t="s">
        <v>665</v>
      </c>
      <c r="E242" s="36" t="s">
        <v>1778</v>
      </c>
      <c r="F242" s="1" t="e">
        <f t="shared" ca="1" si="439"/>
        <v>#NAME?</v>
      </c>
      <c r="G242" s="35" t="s">
        <v>1121</v>
      </c>
      <c r="H242" s="43">
        <v>1</v>
      </c>
      <c r="I242" s="42">
        <v>0</v>
      </c>
      <c r="J242" s="26">
        <v>2.7246673820991196</v>
      </c>
      <c r="K242" s="25">
        <v>4.9575045286959503</v>
      </c>
      <c r="L242" s="24"/>
      <c r="M242" s="25"/>
      <c r="N242" s="24"/>
      <c r="O242" s="25"/>
      <c r="P242" s="24"/>
      <c r="Q242" s="25"/>
      <c r="R242" s="32"/>
      <c r="S242" s="47">
        <v>1</v>
      </c>
      <c r="T242" s="45">
        <v>1</v>
      </c>
      <c r="U242" s="46">
        <v>1</v>
      </c>
      <c r="V242" s="45">
        <v>1</v>
      </c>
      <c r="W242" s="46">
        <v>1</v>
      </c>
      <c r="X242" s="45">
        <v>1</v>
      </c>
      <c r="Y242" s="46">
        <v>1</v>
      </c>
      <c r="Z242" s="45">
        <v>1</v>
      </c>
      <c r="AA242" s="44">
        <v>1</v>
      </c>
      <c r="AB242" s="26">
        <f t="shared" si="447"/>
        <v>2.7246673820991196</v>
      </c>
      <c r="AC242" s="25">
        <f t="shared" si="448"/>
        <v>4.9575045286959503</v>
      </c>
      <c r="AD242" s="24">
        <f t="shared" si="449"/>
        <v>0</v>
      </c>
      <c r="AE242" s="25">
        <f t="shared" si="450"/>
        <v>0</v>
      </c>
      <c r="AF242" s="24">
        <f t="shared" si="451"/>
        <v>0</v>
      </c>
      <c r="AG242" s="25">
        <f t="shared" si="452"/>
        <v>0</v>
      </c>
      <c r="AH242" s="24">
        <f t="shared" si="453"/>
        <v>0</v>
      </c>
      <c r="AI242" s="25">
        <f t="shared" si="454"/>
        <v>0</v>
      </c>
      <c r="AJ242" s="24">
        <f t="shared" si="455"/>
        <v>0</v>
      </c>
      <c r="AK242" s="27">
        <f t="shared" si="406"/>
        <v>7.6821719107950699</v>
      </c>
      <c r="AL242" s="41">
        <v>0</v>
      </c>
      <c r="AM242" s="40">
        <v>0</v>
      </c>
      <c r="AN242" s="39">
        <v>0</v>
      </c>
      <c r="AO242" s="40">
        <v>0</v>
      </c>
      <c r="AP242" s="39">
        <v>0</v>
      </c>
      <c r="AQ242" s="40">
        <v>0</v>
      </c>
      <c r="AR242" s="39">
        <v>0</v>
      </c>
      <c r="AS242" s="40">
        <v>0</v>
      </c>
      <c r="AT242" s="39">
        <v>0</v>
      </c>
      <c r="AU242" s="38">
        <v>0</v>
      </c>
      <c r="CS242" s="54" t="s">
        <v>1412</v>
      </c>
      <c r="CT242" s="39">
        <v>7.8696949549916184E-2</v>
      </c>
      <c r="CU242" s="40">
        <v>6.943848489698487E-2</v>
      </c>
      <c r="CV242" s="39">
        <v>0.2693772334733826</v>
      </c>
      <c r="CW242" s="40">
        <v>5.1582874494903043E-2</v>
      </c>
      <c r="CX242" s="39">
        <v>0.2222031516703516</v>
      </c>
      <c r="CY242" s="40">
        <v>0.12902118484084932</v>
      </c>
      <c r="CZ242" s="39">
        <v>9.3181966829502291E-2</v>
      </c>
      <c r="DA242" s="40">
        <v>8.4648819683943461E-3</v>
      </c>
      <c r="DB242" s="39">
        <v>6.5602835255056183E-2</v>
      </c>
      <c r="DC242" s="38">
        <v>0.98756956297934051</v>
      </c>
      <c r="DE242" s="37" t="s">
        <v>1777</v>
      </c>
      <c r="DF242" s="35" t="str">
        <f t="shared" si="407"/>
        <v>ICOFS</v>
      </c>
      <c r="DG242" s="26">
        <f t="shared" si="456"/>
        <v>0</v>
      </c>
      <c r="DH242" s="25">
        <f t="shared" si="456"/>
        <v>0</v>
      </c>
      <c r="DI242" s="24">
        <f t="shared" si="456"/>
        <v>0.79648844867872548</v>
      </c>
      <c r="DJ242" s="25">
        <f t="shared" si="456"/>
        <v>0.53948056497158514</v>
      </c>
      <c r="DK242" s="24">
        <f t="shared" si="456"/>
        <v>123.36449883045654</v>
      </c>
      <c r="DL242" s="25">
        <f t="shared" si="456"/>
        <v>107.53013004356467</v>
      </c>
      <c r="DM242" s="24">
        <f t="shared" si="456"/>
        <v>373.55992553435095</v>
      </c>
      <c r="DN242" s="25">
        <f t="shared" si="456"/>
        <v>0.82110117694583173</v>
      </c>
      <c r="DO242" s="32">
        <f t="shared" si="456"/>
        <v>0.51486783670447889</v>
      </c>
      <c r="DP242" s="26">
        <f t="shared" si="408"/>
        <v>0</v>
      </c>
      <c r="DQ242" s="25">
        <f t="shared" si="409"/>
        <v>0</v>
      </c>
      <c r="DR242" s="24">
        <f t="shared" si="410"/>
        <v>1</v>
      </c>
      <c r="DS242" s="25">
        <f t="shared" si="411"/>
        <v>1</v>
      </c>
      <c r="DT242" s="24">
        <f t="shared" si="412"/>
        <v>0.29641653636489912</v>
      </c>
      <c r="DU242" s="25">
        <f t="shared" si="413"/>
        <v>0.29641653636489912</v>
      </c>
      <c r="DV242" s="24">
        <f t="shared" si="414"/>
        <v>0.29641653636489912</v>
      </c>
      <c r="DW242" s="25">
        <f t="shared" si="415"/>
        <v>0.54158097511241832</v>
      </c>
      <c r="DX242" s="32">
        <f t="shared" si="416"/>
        <v>0.54158097511241832</v>
      </c>
      <c r="DZ242" s="54" t="s">
        <v>1776</v>
      </c>
      <c r="EA242" s="39">
        <v>1.0955110567734303E-2</v>
      </c>
      <c r="EB242" s="40">
        <v>1.0955110567734301E-2</v>
      </c>
      <c r="EC242" s="39">
        <v>1.0968291571189592E-2</v>
      </c>
      <c r="ED242" s="40">
        <v>1.0968291571189597E-2</v>
      </c>
      <c r="EE242" s="39">
        <v>1.0965891264081928E-2</v>
      </c>
      <c r="EF242" s="40">
        <v>1.0965891264081928E-2</v>
      </c>
      <c r="EG242" s="39">
        <v>1.0965891264081927E-2</v>
      </c>
      <c r="EH242" s="40">
        <v>1.0969865406620516E-2</v>
      </c>
      <c r="EI242" s="66">
        <v>1.0969865406620516E-2</v>
      </c>
    </row>
    <row r="243" spans="1:139">
      <c r="A243" s="37" t="s">
        <v>1696</v>
      </c>
      <c r="B243" s="36" t="s">
        <v>1139</v>
      </c>
      <c r="C243" s="1" t="s">
        <v>1197</v>
      </c>
      <c r="D243" s="36" t="s">
        <v>1197</v>
      </c>
      <c r="E243" s="36" t="s">
        <v>1775</v>
      </c>
      <c r="F243" s="1" t="e">
        <f t="shared" ca="1" si="439"/>
        <v>#NAME?</v>
      </c>
      <c r="G243" s="35" t="s">
        <v>1121</v>
      </c>
      <c r="H243" s="43">
        <v>1</v>
      </c>
      <c r="I243" s="42">
        <v>0</v>
      </c>
      <c r="J243" s="26">
        <v>8.1673064855087626E-3</v>
      </c>
      <c r="K243" s="25">
        <v>8.2557393886294999E-3</v>
      </c>
      <c r="L243" s="24"/>
      <c r="M243" s="25"/>
      <c r="N243" s="24"/>
      <c r="O243" s="25"/>
      <c r="P243" s="24"/>
      <c r="Q243" s="25"/>
      <c r="R243" s="32"/>
      <c r="S243" s="47">
        <v>1</v>
      </c>
      <c r="T243" s="45">
        <v>1</v>
      </c>
      <c r="U243" s="46">
        <v>1</v>
      </c>
      <c r="V243" s="45">
        <v>1</v>
      </c>
      <c r="W243" s="46">
        <v>1</v>
      </c>
      <c r="X243" s="45">
        <v>1</v>
      </c>
      <c r="Y243" s="46">
        <v>1</v>
      </c>
      <c r="Z243" s="45">
        <v>1</v>
      </c>
      <c r="AA243" s="44">
        <v>1</v>
      </c>
      <c r="AB243" s="26">
        <f t="shared" si="447"/>
        <v>8.1673064855087626E-3</v>
      </c>
      <c r="AC243" s="25">
        <f t="shared" si="448"/>
        <v>8.2557393886294999E-3</v>
      </c>
      <c r="AD243" s="24">
        <f t="shared" si="449"/>
        <v>0</v>
      </c>
      <c r="AE243" s="25">
        <f t="shared" si="450"/>
        <v>0</v>
      </c>
      <c r="AF243" s="24">
        <f t="shared" si="451"/>
        <v>0</v>
      </c>
      <c r="AG243" s="25">
        <f t="shared" si="452"/>
        <v>0</v>
      </c>
      <c r="AH243" s="24">
        <f t="shared" si="453"/>
        <v>0</v>
      </c>
      <c r="AI243" s="25">
        <f t="shared" si="454"/>
        <v>0</v>
      </c>
      <c r="AJ243" s="24">
        <f t="shared" si="455"/>
        <v>0</v>
      </c>
      <c r="AK243" s="27">
        <f t="shared" si="406"/>
        <v>1.6423045874138262E-2</v>
      </c>
      <c r="AL243" s="41">
        <v>0</v>
      </c>
      <c r="AM243" s="40">
        <v>0</v>
      </c>
      <c r="AN243" s="39">
        <v>0</v>
      </c>
      <c r="AO243" s="40">
        <v>0</v>
      </c>
      <c r="AP243" s="39">
        <v>0</v>
      </c>
      <c r="AQ243" s="40">
        <v>0</v>
      </c>
      <c r="AR243" s="39">
        <v>0</v>
      </c>
      <c r="AS243" s="40">
        <v>0</v>
      </c>
      <c r="AT243" s="39">
        <v>0</v>
      </c>
      <c r="AU243" s="38">
        <v>0</v>
      </c>
      <c r="CS243" s="54" t="s">
        <v>1409</v>
      </c>
      <c r="CT243" s="39">
        <v>0.64665007095829918</v>
      </c>
      <c r="CU243" s="40">
        <v>5.294211107260928E-2</v>
      </c>
      <c r="CV243" s="39">
        <v>0.91715484625540333</v>
      </c>
      <c r="CW243" s="40">
        <v>0.42017548470324828</v>
      </c>
      <c r="CX243" s="39">
        <v>1.1451672747844681</v>
      </c>
      <c r="CY243" s="40">
        <v>1.9527235476098759</v>
      </c>
      <c r="CZ243" s="39">
        <v>0.33614038776259858</v>
      </c>
      <c r="DA243" s="40">
        <v>0</v>
      </c>
      <c r="DB243" s="39">
        <v>0.10504387117581207</v>
      </c>
      <c r="DC243" s="38">
        <v>5.5759975943223132</v>
      </c>
      <c r="DE243" s="37" t="s">
        <v>1712</v>
      </c>
      <c r="DF243" s="35" t="str">
        <f t="shared" si="407"/>
        <v>IOTFS</v>
      </c>
      <c r="DG243" s="26">
        <f t="shared" si="456"/>
        <v>0</v>
      </c>
      <c r="DH243" s="25">
        <f t="shared" si="456"/>
        <v>0</v>
      </c>
      <c r="DI243" s="24">
        <f t="shared" si="456"/>
        <v>0.8727703713351026</v>
      </c>
      <c r="DJ243" s="25">
        <f t="shared" si="456"/>
        <v>0.59114812499715508</v>
      </c>
      <c r="DK243" s="24">
        <f t="shared" si="456"/>
        <v>0.29877444104201978</v>
      </c>
      <c r="DL243" s="25">
        <f t="shared" si="456"/>
        <v>0.26042544494988917</v>
      </c>
      <c r="DM243" s="24">
        <f t="shared" si="456"/>
        <v>0.90471861034034873</v>
      </c>
      <c r="DN243" s="25">
        <f t="shared" si="456"/>
        <v>0</v>
      </c>
      <c r="DO243" s="32">
        <f t="shared" si="456"/>
        <v>0</v>
      </c>
      <c r="DP243" s="26">
        <f t="shared" si="408"/>
        <v>0</v>
      </c>
      <c r="DQ243" s="25">
        <f t="shared" si="409"/>
        <v>0</v>
      </c>
      <c r="DR243" s="24">
        <f t="shared" si="410"/>
        <v>0.18406266480206943</v>
      </c>
      <c r="DS243" s="25">
        <f t="shared" si="411"/>
        <v>0.1840626648020694</v>
      </c>
      <c r="DT243" s="24">
        <f t="shared" si="412"/>
        <v>6.3999184651115593E-2</v>
      </c>
      <c r="DU243" s="25">
        <f t="shared" si="413"/>
        <v>6.3999184651115565E-2</v>
      </c>
      <c r="DV243" s="24">
        <f t="shared" si="414"/>
        <v>6.3999184651115593E-2</v>
      </c>
      <c r="DW243" s="25">
        <f t="shared" si="415"/>
        <v>0</v>
      </c>
      <c r="DX243" s="32">
        <f t="shared" si="416"/>
        <v>0</v>
      </c>
      <c r="DZ243" s="54" t="s">
        <v>1564</v>
      </c>
      <c r="EA243" s="39">
        <v>9.6651964191282261E-2</v>
      </c>
      <c r="EB243" s="40">
        <v>9.6651964191282261E-2</v>
      </c>
      <c r="EC243" s="39">
        <v>0.1193137960697684</v>
      </c>
      <c r="ED243" s="40">
        <v>0.11931379606976841</v>
      </c>
      <c r="EE243" s="39">
        <v>0.11509051969885416</v>
      </c>
      <c r="EF243" s="40">
        <v>0.11509051969885419</v>
      </c>
      <c r="EG243" s="39">
        <v>0.11509051969885417</v>
      </c>
      <c r="EH243" s="40">
        <v>0.12210698934029977</v>
      </c>
      <c r="EI243" s="66">
        <v>0.12210698934029976</v>
      </c>
    </row>
    <row r="244" spans="1:139">
      <c r="A244" s="37" t="s">
        <v>1696</v>
      </c>
      <c r="B244" s="36" t="s">
        <v>1139</v>
      </c>
      <c r="C244" s="1" t="s">
        <v>468</v>
      </c>
      <c r="D244" s="36" t="s">
        <v>468</v>
      </c>
      <c r="E244" s="36" t="s">
        <v>1774</v>
      </c>
      <c r="F244" s="1" t="e">
        <f t="shared" ca="1" si="439"/>
        <v>#NAME?</v>
      </c>
      <c r="G244" s="35" t="s">
        <v>1121</v>
      </c>
      <c r="H244" s="43">
        <v>1</v>
      </c>
      <c r="I244" s="42">
        <v>0</v>
      </c>
      <c r="J244" s="26">
        <v>0.11200877465840588</v>
      </c>
      <c r="K244" s="25">
        <v>0.11322156875834741</v>
      </c>
      <c r="L244" s="24"/>
      <c r="M244" s="25"/>
      <c r="N244" s="24"/>
      <c r="O244" s="25"/>
      <c r="P244" s="24"/>
      <c r="Q244" s="25"/>
      <c r="R244" s="32"/>
      <c r="S244" s="47">
        <v>1</v>
      </c>
      <c r="T244" s="45">
        <v>1</v>
      </c>
      <c r="U244" s="46">
        <v>1</v>
      </c>
      <c r="V244" s="45">
        <v>1</v>
      </c>
      <c r="W244" s="46">
        <v>1</v>
      </c>
      <c r="X244" s="45">
        <v>1</v>
      </c>
      <c r="Y244" s="46">
        <v>1</v>
      </c>
      <c r="Z244" s="45">
        <v>1</v>
      </c>
      <c r="AA244" s="44">
        <v>1</v>
      </c>
      <c r="AB244" s="26">
        <f t="shared" si="447"/>
        <v>0.11200877465840588</v>
      </c>
      <c r="AC244" s="25">
        <f t="shared" si="448"/>
        <v>0.11322156875834741</v>
      </c>
      <c r="AD244" s="24">
        <f t="shared" si="449"/>
        <v>0</v>
      </c>
      <c r="AE244" s="25">
        <f t="shared" si="450"/>
        <v>0</v>
      </c>
      <c r="AF244" s="24">
        <f t="shared" si="451"/>
        <v>0</v>
      </c>
      <c r="AG244" s="25">
        <f t="shared" si="452"/>
        <v>0</v>
      </c>
      <c r="AH244" s="24">
        <f t="shared" si="453"/>
        <v>0</v>
      </c>
      <c r="AI244" s="25">
        <f t="shared" si="454"/>
        <v>0</v>
      </c>
      <c r="AJ244" s="24">
        <f t="shared" si="455"/>
        <v>0</v>
      </c>
      <c r="AK244" s="27">
        <f t="shared" si="406"/>
        <v>0.2252303434167533</v>
      </c>
      <c r="AL244" s="41">
        <v>0</v>
      </c>
      <c r="AM244" s="40">
        <v>0</v>
      </c>
      <c r="AN244" s="39">
        <v>0</v>
      </c>
      <c r="AO244" s="40">
        <v>0</v>
      </c>
      <c r="AP244" s="39">
        <v>0</v>
      </c>
      <c r="AQ244" s="40">
        <v>0</v>
      </c>
      <c r="AR244" s="39">
        <v>0</v>
      </c>
      <c r="AS244" s="40">
        <v>0</v>
      </c>
      <c r="AT244" s="39">
        <v>0</v>
      </c>
      <c r="AU244" s="38">
        <v>0</v>
      </c>
      <c r="CS244" s="54" t="s">
        <v>1423</v>
      </c>
      <c r="CT244" s="39">
        <v>10.335884427789098</v>
      </c>
      <c r="CU244" s="40">
        <v>3.3527674335094897</v>
      </c>
      <c r="CV244" s="39">
        <v>0</v>
      </c>
      <c r="CW244" s="40">
        <v>2.2939180796432042E-2</v>
      </c>
      <c r="CX244" s="39">
        <v>0.13581714672434184</v>
      </c>
      <c r="CY244" s="40">
        <v>0</v>
      </c>
      <c r="CZ244" s="39">
        <v>0</v>
      </c>
      <c r="DA244" s="40">
        <v>0</v>
      </c>
      <c r="DB244" s="39">
        <v>0.53389104766039452</v>
      </c>
      <c r="DC244" s="38">
        <v>14.381299236479757</v>
      </c>
      <c r="DE244" s="37" t="s">
        <v>1709</v>
      </c>
      <c r="DF244" s="35" t="str">
        <f t="shared" si="407"/>
        <v>IOTFS</v>
      </c>
      <c r="DG244" s="26">
        <f t="shared" si="456"/>
        <v>0.21482386651380481</v>
      </c>
      <c r="DH244" s="25">
        <f t="shared" si="456"/>
        <v>0.5913378289336052</v>
      </c>
      <c r="DI244" s="24">
        <f t="shared" si="456"/>
        <v>0.48062378066441269</v>
      </c>
      <c r="DJ244" s="25">
        <f t="shared" si="456"/>
        <v>0.32553791478299726</v>
      </c>
      <c r="DK244" s="24">
        <f t="shared" si="456"/>
        <v>0.32906273204450326</v>
      </c>
      <c r="DL244" s="25">
        <f t="shared" si="456"/>
        <v>0.28682610236082262</v>
      </c>
      <c r="DM244" s="24">
        <f t="shared" si="456"/>
        <v>0.99643455648949442</v>
      </c>
      <c r="DN244" s="25">
        <f t="shared" si="456"/>
        <v>0</v>
      </c>
      <c r="DO244" s="32">
        <f t="shared" si="456"/>
        <v>0</v>
      </c>
      <c r="DP244" s="26">
        <f t="shared" si="408"/>
        <v>0.57974052008675592</v>
      </c>
      <c r="DQ244" s="25">
        <f t="shared" si="409"/>
        <v>0.49802882893587908</v>
      </c>
      <c r="DR244" s="24">
        <f t="shared" si="410"/>
        <v>0.10136101859302324</v>
      </c>
      <c r="DS244" s="25">
        <f t="shared" si="411"/>
        <v>0.10136101859302324</v>
      </c>
      <c r="DT244" s="24">
        <f t="shared" si="412"/>
        <v>7.0487108858668671E-2</v>
      </c>
      <c r="DU244" s="25">
        <f t="shared" si="413"/>
        <v>7.0487108858668671E-2</v>
      </c>
      <c r="DV244" s="24">
        <f t="shared" si="414"/>
        <v>7.0487108858668684E-2</v>
      </c>
      <c r="DW244" s="25">
        <f t="shared" si="415"/>
        <v>0</v>
      </c>
      <c r="DX244" s="32">
        <f t="shared" si="416"/>
        <v>0</v>
      </c>
      <c r="DZ244" s="54" t="s">
        <v>1561</v>
      </c>
      <c r="EA244" s="39">
        <v>0.9033480358087177</v>
      </c>
      <c r="EB244" s="40">
        <v>0.90334803580871781</v>
      </c>
      <c r="EC244" s="39">
        <v>0.88068620393023167</v>
      </c>
      <c r="ED244" s="40">
        <v>0.88068620393023156</v>
      </c>
      <c r="EE244" s="39">
        <v>0.8849094803011458</v>
      </c>
      <c r="EF244" s="40">
        <v>0.88490948030114591</v>
      </c>
      <c r="EG244" s="39">
        <v>0.88490948030114591</v>
      </c>
      <c r="EH244" s="40">
        <v>0.87789301065970027</v>
      </c>
      <c r="EI244" s="66">
        <v>0.87789301065970016</v>
      </c>
    </row>
    <row r="245" spans="1:139">
      <c r="A245" s="37" t="s">
        <v>1696</v>
      </c>
      <c r="B245" s="36" t="s">
        <v>1139</v>
      </c>
      <c r="C245" s="1" t="s">
        <v>1132</v>
      </c>
      <c r="D245" s="36" t="s">
        <v>1131</v>
      </c>
      <c r="E245" s="36" t="s">
        <v>1773</v>
      </c>
      <c r="F245" s="1" t="e">
        <f t="shared" ca="1" si="439"/>
        <v>#NAME?</v>
      </c>
      <c r="G245" s="35" t="s">
        <v>1121</v>
      </c>
      <c r="H245" s="43">
        <v>1</v>
      </c>
      <c r="I245" s="42">
        <v>0</v>
      </c>
      <c r="J245" s="26">
        <v>0.22356276768043964</v>
      </c>
      <c r="K245" s="25">
        <v>0.22598343165463555</v>
      </c>
      <c r="L245" s="24"/>
      <c r="M245" s="25"/>
      <c r="N245" s="24"/>
      <c r="O245" s="25"/>
      <c r="P245" s="24"/>
      <c r="Q245" s="25"/>
      <c r="R245" s="32"/>
      <c r="S245" s="47">
        <v>1</v>
      </c>
      <c r="T245" s="45">
        <v>1</v>
      </c>
      <c r="U245" s="46">
        <v>1</v>
      </c>
      <c r="V245" s="45">
        <v>1</v>
      </c>
      <c r="W245" s="46">
        <v>1</v>
      </c>
      <c r="X245" s="45">
        <v>1</v>
      </c>
      <c r="Y245" s="46">
        <v>1</v>
      </c>
      <c r="Z245" s="45">
        <v>1</v>
      </c>
      <c r="AA245" s="44">
        <v>1</v>
      </c>
      <c r="AB245" s="26">
        <f t="shared" si="447"/>
        <v>0.22356276768043964</v>
      </c>
      <c r="AC245" s="25">
        <f t="shared" si="448"/>
        <v>0.22598343165463555</v>
      </c>
      <c r="AD245" s="24">
        <f t="shared" si="449"/>
        <v>0</v>
      </c>
      <c r="AE245" s="25">
        <f t="shared" si="450"/>
        <v>0</v>
      </c>
      <c r="AF245" s="24">
        <f t="shared" si="451"/>
        <v>0</v>
      </c>
      <c r="AG245" s="25">
        <f t="shared" si="452"/>
        <v>0</v>
      </c>
      <c r="AH245" s="24">
        <f t="shared" si="453"/>
        <v>0</v>
      </c>
      <c r="AI245" s="25">
        <f t="shared" si="454"/>
        <v>0</v>
      </c>
      <c r="AJ245" s="24">
        <f t="shared" si="455"/>
        <v>0</v>
      </c>
      <c r="AK245" s="27">
        <f t="shared" si="406"/>
        <v>0.44954619933507523</v>
      </c>
      <c r="AL245" s="41">
        <v>0</v>
      </c>
      <c r="AM245" s="40">
        <v>0</v>
      </c>
      <c r="AN245" s="39">
        <v>0</v>
      </c>
      <c r="AO245" s="40">
        <v>0</v>
      </c>
      <c r="AP245" s="39">
        <v>0</v>
      </c>
      <c r="AQ245" s="40">
        <v>0</v>
      </c>
      <c r="AR245" s="39">
        <v>0</v>
      </c>
      <c r="AS245" s="40">
        <v>0</v>
      </c>
      <c r="AT245" s="39">
        <v>0</v>
      </c>
      <c r="AU245" s="38">
        <v>0</v>
      </c>
      <c r="CS245" s="54" t="s">
        <v>1406</v>
      </c>
      <c r="CT245" s="39">
        <v>0.45567672531992659</v>
      </c>
      <c r="CU245" s="40">
        <v>0.40206769881169996</v>
      </c>
      <c r="CV245" s="39">
        <v>0</v>
      </c>
      <c r="CW245" s="40">
        <v>0</v>
      </c>
      <c r="CX245" s="39">
        <v>0</v>
      </c>
      <c r="CY245" s="40">
        <v>0</v>
      </c>
      <c r="CZ245" s="39">
        <v>0</v>
      </c>
      <c r="DA245" s="40">
        <v>9.8027934186471599E-2</v>
      </c>
      <c r="DB245" s="39">
        <v>0.75971648994515495</v>
      </c>
      <c r="DC245" s="38">
        <v>1.7154888482632531</v>
      </c>
      <c r="DE245" s="37" t="s">
        <v>1706</v>
      </c>
      <c r="DF245" s="35" t="str">
        <f t="shared" si="407"/>
        <v>IOTFS</v>
      </c>
      <c r="DG245" s="26">
        <f t="shared" si="456"/>
        <v>0</v>
      </c>
      <c r="DH245" s="25">
        <f t="shared" si="456"/>
        <v>0</v>
      </c>
      <c r="DI245" s="24">
        <f t="shared" si="456"/>
        <v>0</v>
      </c>
      <c r="DJ245" s="25">
        <f t="shared" si="456"/>
        <v>0</v>
      </c>
      <c r="DK245" s="24">
        <f t="shared" si="456"/>
        <v>1.0793181908062981</v>
      </c>
      <c r="DL245" s="25">
        <f t="shared" si="456"/>
        <v>0.9407830171246413</v>
      </c>
      <c r="DM245" s="24">
        <f t="shared" si="456"/>
        <v>3.2682824216680602</v>
      </c>
      <c r="DN245" s="25">
        <f t="shared" si="456"/>
        <v>0</v>
      </c>
      <c r="DO245" s="32">
        <f t="shared" si="456"/>
        <v>0</v>
      </c>
      <c r="DP245" s="26">
        <f t="shared" si="408"/>
        <v>0</v>
      </c>
      <c r="DQ245" s="25">
        <f t="shared" si="409"/>
        <v>0</v>
      </c>
      <c r="DR245" s="24">
        <f t="shared" si="410"/>
        <v>0</v>
      </c>
      <c r="DS245" s="25">
        <f t="shared" si="411"/>
        <v>0</v>
      </c>
      <c r="DT245" s="24">
        <f t="shared" si="412"/>
        <v>0.23119609545518477</v>
      </c>
      <c r="DU245" s="25">
        <f t="shared" si="413"/>
        <v>0.23119609545518477</v>
      </c>
      <c r="DV245" s="24">
        <f t="shared" si="414"/>
        <v>0.2311960954551848</v>
      </c>
      <c r="DW245" s="25">
        <f t="shared" si="415"/>
        <v>0</v>
      </c>
      <c r="DX245" s="32">
        <f t="shared" si="416"/>
        <v>0</v>
      </c>
      <c r="DZ245" s="54" t="s">
        <v>1772</v>
      </c>
      <c r="EA245" s="39">
        <v>0</v>
      </c>
      <c r="EB245" s="40">
        <v>0</v>
      </c>
      <c r="EC245" s="39">
        <v>0</v>
      </c>
      <c r="ED245" s="40">
        <v>0</v>
      </c>
      <c r="EE245" s="39">
        <v>0</v>
      </c>
      <c r="EF245" s="40">
        <v>0</v>
      </c>
      <c r="EG245" s="39">
        <v>1</v>
      </c>
      <c r="EH245" s="40">
        <v>0</v>
      </c>
      <c r="EI245" s="66">
        <v>0</v>
      </c>
    </row>
    <row r="246" spans="1:139">
      <c r="A246" s="37" t="s">
        <v>1696</v>
      </c>
      <c r="B246" s="36" t="s">
        <v>1139</v>
      </c>
      <c r="C246" s="1" t="s">
        <v>1111</v>
      </c>
      <c r="D246" s="36" t="s">
        <v>1111</v>
      </c>
      <c r="E246" s="36" t="s">
        <v>1771</v>
      </c>
      <c r="F246" s="1" t="e">
        <f t="shared" ca="1" si="439"/>
        <v>#NAME?</v>
      </c>
      <c r="G246" s="35" t="s">
        <v>1121</v>
      </c>
      <c r="H246" s="43">
        <v>1</v>
      </c>
      <c r="I246" s="42">
        <v>0</v>
      </c>
      <c r="J246" s="26">
        <v>0</v>
      </c>
      <c r="K246" s="25">
        <v>1.1280004928513268</v>
      </c>
      <c r="L246" s="24"/>
      <c r="M246" s="25"/>
      <c r="N246" s="24"/>
      <c r="O246" s="25"/>
      <c r="P246" s="24"/>
      <c r="Q246" s="25"/>
      <c r="R246" s="32"/>
      <c r="S246" s="47">
        <v>1</v>
      </c>
      <c r="T246" s="45">
        <v>1</v>
      </c>
      <c r="U246" s="46">
        <v>1</v>
      </c>
      <c r="V246" s="45">
        <v>1</v>
      </c>
      <c r="W246" s="46">
        <v>1</v>
      </c>
      <c r="X246" s="45">
        <v>1</v>
      </c>
      <c r="Y246" s="46">
        <v>1</v>
      </c>
      <c r="Z246" s="45">
        <v>1</v>
      </c>
      <c r="AA246" s="44">
        <v>1</v>
      </c>
      <c r="AB246" s="26">
        <f t="shared" si="447"/>
        <v>0</v>
      </c>
      <c r="AC246" s="25">
        <f t="shared" si="448"/>
        <v>1.1280004928513268</v>
      </c>
      <c r="AD246" s="24">
        <f t="shared" si="449"/>
        <v>0</v>
      </c>
      <c r="AE246" s="25">
        <f t="shared" si="450"/>
        <v>0</v>
      </c>
      <c r="AF246" s="24">
        <f t="shared" si="451"/>
        <v>0</v>
      </c>
      <c r="AG246" s="25">
        <f t="shared" si="452"/>
        <v>0</v>
      </c>
      <c r="AH246" s="24">
        <f t="shared" si="453"/>
        <v>0</v>
      </c>
      <c r="AI246" s="25">
        <f t="shared" si="454"/>
        <v>0</v>
      </c>
      <c r="AJ246" s="24">
        <f t="shared" si="455"/>
        <v>0</v>
      </c>
      <c r="AK246" s="27">
        <f t="shared" si="406"/>
        <v>1.1280004928513268</v>
      </c>
      <c r="AL246" s="41">
        <v>0</v>
      </c>
      <c r="AM246" s="40">
        <v>0</v>
      </c>
      <c r="AN246" s="39">
        <v>0</v>
      </c>
      <c r="AO246" s="40">
        <v>0</v>
      </c>
      <c r="AP246" s="39">
        <v>0</v>
      </c>
      <c r="AQ246" s="40">
        <v>0</v>
      </c>
      <c r="AR246" s="39">
        <v>0</v>
      </c>
      <c r="AS246" s="40">
        <v>0</v>
      </c>
      <c r="AT246" s="39">
        <v>0</v>
      </c>
      <c r="AU246" s="38">
        <v>0</v>
      </c>
      <c r="CS246" s="54" t="s">
        <v>1418</v>
      </c>
      <c r="CT246" s="39">
        <v>0</v>
      </c>
      <c r="CU246" s="40">
        <v>0</v>
      </c>
      <c r="CV246" s="39">
        <v>1.4401851627842661</v>
      </c>
      <c r="CW246" s="40">
        <v>0</v>
      </c>
      <c r="CX246" s="39">
        <v>0</v>
      </c>
      <c r="CY246" s="40">
        <v>0</v>
      </c>
      <c r="CZ246" s="39">
        <v>0</v>
      </c>
      <c r="DA246" s="40">
        <v>0</v>
      </c>
      <c r="DB246" s="39">
        <v>0</v>
      </c>
      <c r="DC246" s="38">
        <v>1.4401851627842661</v>
      </c>
      <c r="DE246" s="37" t="s">
        <v>1703</v>
      </c>
      <c r="DF246" s="35" t="str">
        <f t="shared" si="407"/>
        <v>IOTFS</v>
      </c>
      <c r="DG246" s="26">
        <f t="shared" si="456"/>
        <v>0</v>
      </c>
      <c r="DH246" s="25">
        <f t="shared" si="456"/>
        <v>0</v>
      </c>
      <c r="DI246" s="24">
        <f t="shared" si="456"/>
        <v>3.1805833857237262</v>
      </c>
      <c r="DJ246" s="25">
        <f t="shared" si="456"/>
        <v>2.1542847541805217</v>
      </c>
      <c r="DK246" s="24">
        <f t="shared" si="456"/>
        <v>0.8166039898359585</v>
      </c>
      <c r="DL246" s="25">
        <f t="shared" si="456"/>
        <v>0.71178932394345951</v>
      </c>
      <c r="DM246" s="24">
        <f t="shared" si="456"/>
        <v>2.4727577911487679</v>
      </c>
      <c r="DN246" s="25">
        <f t="shared" si="456"/>
        <v>0</v>
      </c>
      <c r="DO246" s="32">
        <f t="shared" si="456"/>
        <v>0</v>
      </c>
      <c r="DP246" s="26">
        <f t="shared" si="408"/>
        <v>0</v>
      </c>
      <c r="DQ246" s="25">
        <f t="shared" si="409"/>
        <v>0</v>
      </c>
      <c r="DR246" s="24">
        <f t="shared" si="410"/>
        <v>0.67076824881893382</v>
      </c>
      <c r="DS246" s="25">
        <f t="shared" si="411"/>
        <v>0.67076824881893371</v>
      </c>
      <c r="DT246" s="24">
        <f t="shared" si="412"/>
        <v>0.17492121933214186</v>
      </c>
      <c r="DU246" s="25">
        <f t="shared" si="413"/>
        <v>0.1749212193321418</v>
      </c>
      <c r="DV246" s="24">
        <f t="shared" si="414"/>
        <v>0.17492121933214186</v>
      </c>
      <c r="DW246" s="25">
        <f t="shared" si="415"/>
        <v>0</v>
      </c>
      <c r="DX246" s="32">
        <f t="shared" si="416"/>
        <v>0</v>
      </c>
      <c r="DZ246" s="54" t="s">
        <v>1770</v>
      </c>
      <c r="EA246" s="39">
        <v>0</v>
      </c>
      <c r="EB246" s="40">
        <v>0</v>
      </c>
      <c r="EC246" s="39">
        <v>0</v>
      </c>
      <c r="ED246" s="40">
        <v>0</v>
      </c>
      <c r="EE246" s="39">
        <v>0</v>
      </c>
      <c r="EF246" s="40">
        <v>0</v>
      </c>
      <c r="EG246" s="39">
        <v>0</v>
      </c>
      <c r="EH246" s="40">
        <v>0</v>
      </c>
      <c r="EI246" s="66">
        <v>0</v>
      </c>
    </row>
    <row r="247" spans="1:139">
      <c r="A247" s="37" t="s">
        <v>1696</v>
      </c>
      <c r="B247" s="36" t="s">
        <v>1136</v>
      </c>
      <c r="C247" s="1" t="s">
        <v>1120</v>
      </c>
      <c r="D247" s="36" t="s">
        <v>1120</v>
      </c>
      <c r="E247" s="36" t="s">
        <v>1769</v>
      </c>
      <c r="F247" s="1" t="e">
        <f t="shared" ca="1" si="439"/>
        <v>#NAME?</v>
      </c>
      <c r="G247" s="35" t="s">
        <v>1121</v>
      </c>
      <c r="H247" s="43">
        <v>1</v>
      </c>
      <c r="I247" s="42">
        <v>0</v>
      </c>
      <c r="J247" s="26">
        <v>3.0751549054220416E-2</v>
      </c>
      <c r="K247" s="25">
        <v>3.1084516693325126E-2</v>
      </c>
      <c r="L247" s="24"/>
      <c r="M247" s="25"/>
      <c r="N247" s="24"/>
      <c r="O247" s="25"/>
      <c r="P247" s="24"/>
      <c r="Q247" s="25"/>
      <c r="R247" s="32"/>
      <c r="S247" s="47">
        <v>1</v>
      </c>
      <c r="T247" s="45">
        <v>1</v>
      </c>
      <c r="U247" s="46">
        <v>1</v>
      </c>
      <c r="V247" s="45">
        <v>1</v>
      </c>
      <c r="W247" s="46">
        <v>1</v>
      </c>
      <c r="X247" s="45">
        <v>1</v>
      </c>
      <c r="Y247" s="46">
        <v>1</v>
      </c>
      <c r="Z247" s="45">
        <v>1</v>
      </c>
      <c r="AA247" s="44">
        <v>1</v>
      </c>
      <c r="AB247" s="26">
        <f t="shared" si="447"/>
        <v>3.0751549054220416E-2</v>
      </c>
      <c r="AC247" s="25">
        <f t="shared" si="448"/>
        <v>3.1084516693325126E-2</v>
      </c>
      <c r="AD247" s="24">
        <f t="shared" si="449"/>
        <v>0</v>
      </c>
      <c r="AE247" s="25">
        <f t="shared" si="450"/>
        <v>0</v>
      </c>
      <c r="AF247" s="24">
        <f t="shared" si="451"/>
        <v>0</v>
      </c>
      <c r="AG247" s="25">
        <f t="shared" si="452"/>
        <v>0</v>
      </c>
      <c r="AH247" s="24">
        <f t="shared" si="453"/>
        <v>0</v>
      </c>
      <c r="AI247" s="25">
        <f t="shared" si="454"/>
        <v>0</v>
      </c>
      <c r="AJ247" s="24">
        <f t="shared" si="455"/>
        <v>0</v>
      </c>
      <c r="AK247" s="27">
        <f t="shared" si="406"/>
        <v>6.1836065747545542E-2</v>
      </c>
      <c r="AL247" s="41">
        <v>0</v>
      </c>
      <c r="AM247" s="40">
        <v>0</v>
      </c>
      <c r="AN247" s="39">
        <v>0</v>
      </c>
      <c r="AO247" s="40">
        <v>0</v>
      </c>
      <c r="AP247" s="39">
        <v>0</v>
      </c>
      <c r="AQ247" s="40">
        <v>0</v>
      </c>
      <c r="AR247" s="39">
        <v>0</v>
      </c>
      <c r="AS247" s="40">
        <v>0</v>
      </c>
      <c r="AT247" s="39">
        <v>0</v>
      </c>
      <c r="AU247" s="38">
        <v>0</v>
      </c>
      <c r="CS247" s="54" t="s">
        <v>1471</v>
      </c>
      <c r="CT247" s="39">
        <v>0.57799499607535354</v>
      </c>
      <c r="CU247" s="40">
        <v>0.50999558477237084</v>
      </c>
      <c r="CV247" s="39">
        <v>0</v>
      </c>
      <c r="CW247" s="40">
        <v>0</v>
      </c>
      <c r="CX247" s="39">
        <v>0.54399529042386219</v>
      </c>
      <c r="CY247" s="40">
        <v>0.31586823314933937</v>
      </c>
      <c r="CZ247" s="39">
        <v>0.22812705727452287</v>
      </c>
      <c r="DA247" s="40">
        <v>0</v>
      </c>
      <c r="DB247" s="39">
        <v>0</v>
      </c>
      <c r="DC247" s="38">
        <v>2.1759811616954492</v>
      </c>
      <c r="DE247" s="37" t="s">
        <v>1700</v>
      </c>
      <c r="DF247" s="35" t="str">
        <f t="shared" si="407"/>
        <v>IOTFS</v>
      </c>
      <c r="DG247" s="26">
        <f t="shared" si="456"/>
        <v>0</v>
      </c>
      <c r="DH247" s="25">
        <f t="shared" si="456"/>
        <v>0</v>
      </c>
      <c r="DI247" s="24">
        <f t="shared" si="456"/>
        <v>4.01940044733536E-3</v>
      </c>
      <c r="DJ247" s="25">
        <f t="shared" si="456"/>
        <v>2.7224354951695868E-3</v>
      </c>
      <c r="DK247" s="24">
        <f t="shared" si="456"/>
        <v>3.3022957554517986E-2</v>
      </c>
      <c r="DL247" s="25">
        <f t="shared" si="456"/>
        <v>2.8784317643446418E-2</v>
      </c>
      <c r="DM247" s="24">
        <f t="shared" si="456"/>
        <v>9.9996787422154343E-2</v>
      </c>
      <c r="DN247" s="25">
        <f t="shared" si="456"/>
        <v>0</v>
      </c>
      <c r="DO247" s="32">
        <f t="shared" si="456"/>
        <v>0</v>
      </c>
      <c r="DP247" s="26">
        <f t="shared" si="408"/>
        <v>0</v>
      </c>
      <c r="DQ247" s="25">
        <f t="shared" si="409"/>
        <v>0</v>
      </c>
      <c r="DR247" s="24">
        <f t="shared" si="410"/>
        <v>8.4767033980707822E-4</v>
      </c>
      <c r="DS247" s="25">
        <f t="shared" si="411"/>
        <v>8.4767033980707811E-4</v>
      </c>
      <c r="DT247" s="24">
        <f t="shared" si="412"/>
        <v>7.0737053373327655E-3</v>
      </c>
      <c r="DU247" s="25">
        <f t="shared" si="413"/>
        <v>7.0737053373327646E-3</v>
      </c>
      <c r="DV247" s="24">
        <f t="shared" si="414"/>
        <v>7.0737053373327672E-3</v>
      </c>
      <c r="DW247" s="25">
        <f t="shared" si="415"/>
        <v>0</v>
      </c>
      <c r="DX247" s="32">
        <f t="shared" si="416"/>
        <v>0</v>
      </c>
      <c r="DZ247" s="54" t="s">
        <v>1768</v>
      </c>
      <c r="EA247" s="39">
        <v>0.18710458223393969</v>
      </c>
      <c r="EB247" s="40">
        <v>0.18710458223393972</v>
      </c>
      <c r="EC247" s="39">
        <v>0.15489136652960711</v>
      </c>
      <c r="ED247" s="40">
        <v>0.15489136652960711</v>
      </c>
      <c r="EE247" s="39">
        <v>0.19290315354167084</v>
      </c>
      <c r="EF247" s="40">
        <v>0.19290315354167087</v>
      </c>
      <c r="EG247" s="39">
        <v>0.19290315354167087</v>
      </c>
      <c r="EH247" s="40">
        <v>0.32286029581756304</v>
      </c>
      <c r="EI247" s="66">
        <v>0.32286029581756309</v>
      </c>
    </row>
    <row r="248" spans="1:139">
      <c r="A248" s="37" t="s">
        <v>1696</v>
      </c>
      <c r="B248" s="36" t="s">
        <v>1136</v>
      </c>
      <c r="C248" s="1" t="s">
        <v>1126</v>
      </c>
      <c r="D248" s="36" t="s">
        <v>1126</v>
      </c>
      <c r="E248" s="36" t="s">
        <v>1767</v>
      </c>
      <c r="F248" s="1" t="e">
        <f t="shared" ca="1" si="439"/>
        <v>#NAME?</v>
      </c>
      <c r="G248" s="35" t="s">
        <v>1121</v>
      </c>
      <c r="H248" s="43">
        <v>1</v>
      </c>
      <c r="I248" s="42">
        <v>0</v>
      </c>
      <c r="J248" s="26">
        <v>7.239606769053208</v>
      </c>
      <c r="K248" s="25">
        <v>3.2804804479218039</v>
      </c>
      <c r="L248" s="24"/>
      <c r="M248" s="25"/>
      <c r="N248" s="24"/>
      <c r="O248" s="25"/>
      <c r="P248" s="24"/>
      <c r="Q248" s="25"/>
      <c r="R248" s="32"/>
      <c r="S248" s="47">
        <v>1</v>
      </c>
      <c r="T248" s="45">
        <v>1</v>
      </c>
      <c r="U248" s="46">
        <v>1</v>
      </c>
      <c r="V248" s="45">
        <v>1</v>
      </c>
      <c r="W248" s="46">
        <v>1</v>
      </c>
      <c r="X248" s="45">
        <v>1</v>
      </c>
      <c r="Y248" s="46">
        <v>1</v>
      </c>
      <c r="Z248" s="45">
        <v>1</v>
      </c>
      <c r="AA248" s="44">
        <v>1</v>
      </c>
      <c r="AB248" s="26">
        <f t="shared" si="447"/>
        <v>7.239606769053208</v>
      </c>
      <c r="AC248" s="25">
        <f t="shared" si="448"/>
        <v>3.2804804479218039</v>
      </c>
      <c r="AD248" s="24">
        <f t="shared" si="449"/>
        <v>0</v>
      </c>
      <c r="AE248" s="25">
        <f t="shared" si="450"/>
        <v>0</v>
      </c>
      <c r="AF248" s="24">
        <f t="shared" si="451"/>
        <v>0</v>
      </c>
      <c r="AG248" s="25">
        <f t="shared" si="452"/>
        <v>0</v>
      </c>
      <c r="AH248" s="24">
        <f t="shared" si="453"/>
        <v>0</v>
      </c>
      <c r="AI248" s="25">
        <f t="shared" si="454"/>
        <v>0</v>
      </c>
      <c r="AJ248" s="24">
        <f t="shared" si="455"/>
        <v>0</v>
      </c>
      <c r="AK248" s="27">
        <f t="shared" si="406"/>
        <v>10.520087216975012</v>
      </c>
      <c r="AL248" s="41">
        <v>0</v>
      </c>
      <c r="AM248" s="40">
        <v>0</v>
      </c>
      <c r="AN248" s="39">
        <v>0</v>
      </c>
      <c r="AO248" s="40">
        <v>0</v>
      </c>
      <c r="AP248" s="39">
        <v>0</v>
      </c>
      <c r="AQ248" s="40">
        <v>0</v>
      </c>
      <c r="AR248" s="39">
        <v>0</v>
      </c>
      <c r="AS248" s="40">
        <v>0</v>
      </c>
      <c r="AT248" s="39">
        <v>0</v>
      </c>
      <c r="AU248" s="38">
        <v>0</v>
      </c>
      <c r="CS248" s="54" t="s">
        <v>1466</v>
      </c>
      <c r="CT248" s="39">
        <v>0.17090751669931295</v>
      </c>
      <c r="CU248" s="40">
        <v>0.15080075002880552</v>
      </c>
      <c r="CV248" s="39">
        <v>1.5120288536221571</v>
      </c>
      <c r="CW248" s="40">
        <v>0.28953744005530663</v>
      </c>
      <c r="CX248" s="39">
        <v>1.2868330669124739</v>
      </c>
      <c r="CY248" s="40">
        <v>0.74719339369111393</v>
      </c>
      <c r="CZ248" s="39">
        <v>0.53963967322136008</v>
      </c>
      <c r="DA248" s="40">
        <v>0.20589329070599582</v>
      </c>
      <c r="DB248" s="39">
        <v>1.5956730029714676</v>
      </c>
      <c r="DC248" s="38">
        <v>6.4985069879079926</v>
      </c>
      <c r="DE248" s="37" t="s">
        <v>1697</v>
      </c>
      <c r="DF248" s="35" t="str">
        <f t="shared" si="407"/>
        <v>IOTFS</v>
      </c>
      <c r="DG248" s="26">
        <f t="shared" ref="DG248:DO257" si="457">GETPIVOTDATA("Sum of "&amp;DG$1&amp;" (Out)",$CS$6,"Constraint Identifier",$DE248)</f>
        <v>0</v>
      </c>
      <c r="DH248" s="25">
        <f t="shared" si="457"/>
        <v>0.16735231431487405</v>
      </c>
      <c r="DI248" s="24">
        <f t="shared" si="457"/>
        <v>9.2916319402799388E-2</v>
      </c>
      <c r="DJ248" s="25">
        <f t="shared" si="457"/>
        <v>6.2934432469995194E-2</v>
      </c>
      <c r="DK248" s="24">
        <f t="shared" si="457"/>
        <v>0.86116156775197827</v>
      </c>
      <c r="DL248" s="25">
        <f t="shared" si="457"/>
        <v>0.75062774336848959</v>
      </c>
      <c r="DM248" s="24">
        <f t="shared" si="457"/>
        <v>2.6076825518870663</v>
      </c>
      <c r="DN248" s="25">
        <f t="shared" si="457"/>
        <v>0</v>
      </c>
      <c r="DO248" s="32">
        <f t="shared" si="457"/>
        <v>0</v>
      </c>
      <c r="DP248" s="26">
        <f t="shared" si="408"/>
        <v>0</v>
      </c>
      <c r="DQ248" s="25">
        <f t="shared" si="409"/>
        <v>0.14094528210422322</v>
      </c>
      <c r="DR248" s="24">
        <f t="shared" si="410"/>
        <v>1.9595561346471235E-2</v>
      </c>
      <c r="DS248" s="25">
        <f t="shared" si="411"/>
        <v>1.9595561346471235E-2</v>
      </c>
      <c r="DT248" s="24">
        <f t="shared" si="412"/>
        <v>0.18446570595793313</v>
      </c>
      <c r="DU248" s="25">
        <f t="shared" si="413"/>
        <v>0.18446570595793313</v>
      </c>
      <c r="DV248" s="24">
        <f t="shared" si="414"/>
        <v>0.18446570595793316</v>
      </c>
      <c r="DW248" s="25">
        <f t="shared" si="415"/>
        <v>0</v>
      </c>
      <c r="DX248" s="32">
        <f t="shared" si="416"/>
        <v>0</v>
      </c>
      <c r="DZ248" s="54" t="s">
        <v>1766</v>
      </c>
      <c r="EA248" s="39">
        <v>0.27810781084105479</v>
      </c>
      <c r="EB248" s="40">
        <v>0.27810781084105479</v>
      </c>
      <c r="EC248" s="39">
        <v>0.23022685147213148</v>
      </c>
      <c r="ED248" s="40">
        <v>0.23022685147213151</v>
      </c>
      <c r="EE248" s="39">
        <v>0.24371766918259224</v>
      </c>
      <c r="EF248" s="40">
        <v>0.24371766918259227</v>
      </c>
      <c r="EG248" s="39">
        <v>0.24371766918259227</v>
      </c>
      <c r="EH248" s="40">
        <v>0.19995495078489506</v>
      </c>
      <c r="EI248" s="66">
        <v>0.19995495078489503</v>
      </c>
    </row>
    <row r="249" spans="1:139">
      <c r="A249" s="37" t="s">
        <v>1696</v>
      </c>
      <c r="B249" s="36" t="s">
        <v>1136</v>
      </c>
      <c r="C249" s="1" t="s">
        <v>665</v>
      </c>
      <c r="D249" s="36" t="s">
        <v>665</v>
      </c>
      <c r="E249" s="36" t="s">
        <v>1765</v>
      </c>
      <c r="F249" s="1" t="e">
        <f t="shared" ca="1" si="439"/>
        <v>#NAME?</v>
      </c>
      <c r="G249" s="35" t="s">
        <v>1121</v>
      </c>
      <c r="H249" s="43">
        <v>1</v>
      </c>
      <c r="I249" s="42">
        <v>0</v>
      </c>
      <c r="J249" s="26">
        <v>2.4522006438892077</v>
      </c>
      <c r="K249" s="25">
        <v>0</v>
      </c>
      <c r="L249" s="24"/>
      <c r="M249" s="25"/>
      <c r="N249" s="24"/>
      <c r="O249" s="25"/>
      <c r="P249" s="24"/>
      <c r="Q249" s="25"/>
      <c r="R249" s="32"/>
      <c r="S249" s="47">
        <v>1</v>
      </c>
      <c r="T249" s="45">
        <v>1</v>
      </c>
      <c r="U249" s="46">
        <v>1</v>
      </c>
      <c r="V249" s="45">
        <v>1</v>
      </c>
      <c r="W249" s="46">
        <v>1</v>
      </c>
      <c r="X249" s="45">
        <v>1</v>
      </c>
      <c r="Y249" s="46">
        <v>1</v>
      </c>
      <c r="Z249" s="45">
        <v>1</v>
      </c>
      <c r="AA249" s="44">
        <v>1</v>
      </c>
      <c r="AB249" s="26">
        <f t="shared" si="447"/>
        <v>2.4522006438892077</v>
      </c>
      <c r="AC249" s="25">
        <f t="shared" si="448"/>
        <v>0</v>
      </c>
      <c r="AD249" s="24">
        <f t="shared" si="449"/>
        <v>0</v>
      </c>
      <c r="AE249" s="25">
        <f t="shared" si="450"/>
        <v>0</v>
      </c>
      <c r="AF249" s="24">
        <f t="shared" si="451"/>
        <v>0</v>
      </c>
      <c r="AG249" s="25">
        <f t="shared" si="452"/>
        <v>0</v>
      </c>
      <c r="AH249" s="24">
        <f t="shared" si="453"/>
        <v>0</v>
      </c>
      <c r="AI249" s="25">
        <f t="shared" si="454"/>
        <v>0</v>
      </c>
      <c r="AJ249" s="24">
        <f t="shared" si="455"/>
        <v>0</v>
      </c>
      <c r="AK249" s="27">
        <f t="shared" si="406"/>
        <v>2.4522006438892077</v>
      </c>
      <c r="AL249" s="41">
        <v>0</v>
      </c>
      <c r="AM249" s="40">
        <v>0</v>
      </c>
      <c r="AN249" s="39">
        <v>0</v>
      </c>
      <c r="AO249" s="40">
        <v>0</v>
      </c>
      <c r="AP249" s="39">
        <v>0</v>
      </c>
      <c r="AQ249" s="40">
        <v>0</v>
      </c>
      <c r="AR249" s="39">
        <v>0</v>
      </c>
      <c r="AS249" s="40">
        <v>0</v>
      </c>
      <c r="AT249" s="39">
        <v>0</v>
      </c>
      <c r="AU249" s="38">
        <v>0</v>
      </c>
      <c r="CS249" s="54" t="s">
        <v>1461</v>
      </c>
      <c r="CT249" s="39">
        <v>0.42723608451040174</v>
      </c>
      <c r="CU249" s="40">
        <v>0.37697301574447206</v>
      </c>
      <c r="CV249" s="39">
        <v>0.51614680699131088</v>
      </c>
      <c r="CW249" s="40">
        <v>9.8836622615357403E-2</v>
      </c>
      <c r="CX249" s="39">
        <v>0.44941096778948836</v>
      </c>
      <c r="CY249" s="40">
        <v>0.26094830387776746</v>
      </c>
      <c r="CZ249" s="39">
        <v>0.18846266391172092</v>
      </c>
      <c r="DA249" s="40">
        <v>5.0460178839521502E-2</v>
      </c>
      <c r="DB249" s="39">
        <v>0.39106638600629157</v>
      </c>
      <c r="DC249" s="38">
        <v>2.7595410302863321</v>
      </c>
      <c r="DE249" s="37" t="s">
        <v>1715</v>
      </c>
      <c r="DF249" s="35" t="str">
        <f t="shared" si="407"/>
        <v>IOTFS</v>
      </c>
      <c r="DG249" s="26">
        <f t="shared" si="457"/>
        <v>0.15572788736680584</v>
      </c>
      <c r="DH249" s="25">
        <f t="shared" si="457"/>
        <v>0.4286664806584064</v>
      </c>
      <c r="DI249" s="24">
        <f t="shared" si="457"/>
        <v>0.11078909838039874</v>
      </c>
      <c r="DJ249" s="25">
        <f t="shared" si="457"/>
        <v>7.5040090645506041E-2</v>
      </c>
      <c r="DK249" s="24">
        <f t="shared" si="457"/>
        <v>1.1053541701960603</v>
      </c>
      <c r="DL249" s="25">
        <f t="shared" si="457"/>
        <v>0.96347716557200247</v>
      </c>
      <c r="DM249" s="24">
        <f t="shared" si="457"/>
        <v>3.3471219469306739</v>
      </c>
      <c r="DN249" s="25">
        <f t="shared" si="457"/>
        <v>0</v>
      </c>
      <c r="DO249" s="32">
        <f t="shared" si="457"/>
        <v>0</v>
      </c>
      <c r="DP249" s="26">
        <f t="shared" si="408"/>
        <v>0.42025947991324403</v>
      </c>
      <c r="DQ249" s="25">
        <f t="shared" si="409"/>
        <v>0.36102588895989779</v>
      </c>
      <c r="DR249" s="24">
        <f t="shared" si="410"/>
        <v>2.3364836099695242E-2</v>
      </c>
      <c r="DS249" s="25">
        <f t="shared" si="411"/>
        <v>2.3364836099695238E-2</v>
      </c>
      <c r="DT249" s="24">
        <f t="shared" si="412"/>
        <v>0.23677315032884341</v>
      </c>
      <c r="DU249" s="25">
        <f t="shared" si="413"/>
        <v>0.23677315032884338</v>
      </c>
      <c r="DV249" s="24">
        <f t="shared" si="414"/>
        <v>0.23677315032884344</v>
      </c>
      <c r="DW249" s="25">
        <f t="shared" si="415"/>
        <v>0</v>
      </c>
      <c r="DX249" s="32">
        <f t="shared" si="416"/>
        <v>0</v>
      </c>
      <c r="DZ249" s="54" t="s">
        <v>1764</v>
      </c>
      <c r="EA249" s="39">
        <v>0</v>
      </c>
      <c r="EB249" s="40">
        <v>0</v>
      </c>
      <c r="EC249" s="39">
        <v>0</v>
      </c>
      <c r="ED249" s="40">
        <v>0</v>
      </c>
      <c r="EE249" s="39">
        <v>2.8285757737243791E-3</v>
      </c>
      <c r="EF249" s="40">
        <v>2.8285757737243795E-3</v>
      </c>
      <c r="EG249" s="39">
        <v>2.8285757737243795E-3</v>
      </c>
      <c r="EH249" s="40">
        <v>1.5780540550706428E-2</v>
      </c>
      <c r="EI249" s="66">
        <v>1.5780540550706424E-2</v>
      </c>
    </row>
    <row r="250" spans="1:139">
      <c r="A250" s="37" t="s">
        <v>1696</v>
      </c>
      <c r="B250" s="36" t="s">
        <v>1129</v>
      </c>
      <c r="C250" s="1" t="s">
        <v>1126</v>
      </c>
      <c r="D250" s="36" t="s">
        <v>1126</v>
      </c>
      <c r="E250" s="36" t="s">
        <v>1763</v>
      </c>
      <c r="F250" s="1" t="e">
        <f t="shared" ca="1" si="439"/>
        <v>#NAME?</v>
      </c>
      <c r="G250" s="35" t="s">
        <v>1121</v>
      </c>
      <c r="H250" s="43">
        <v>1</v>
      </c>
      <c r="I250" s="42">
        <v>0</v>
      </c>
      <c r="J250" s="26">
        <v>0.19051596760666337</v>
      </c>
      <c r="K250" s="25">
        <v>8.6328432840047473E-2</v>
      </c>
      <c r="L250" s="24"/>
      <c r="M250" s="25"/>
      <c r="N250" s="24"/>
      <c r="O250" s="25"/>
      <c r="P250" s="24"/>
      <c r="Q250" s="25"/>
      <c r="R250" s="32"/>
      <c r="S250" s="47">
        <v>1</v>
      </c>
      <c r="T250" s="45">
        <v>1</v>
      </c>
      <c r="U250" s="46">
        <v>1</v>
      </c>
      <c r="V250" s="45">
        <v>1</v>
      </c>
      <c r="W250" s="46">
        <v>1</v>
      </c>
      <c r="X250" s="45">
        <v>1</v>
      </c>
      <c r="Y250" s="46">
        <v>1</v>
      </c>
      <c r="Z250" s="45">
        <v>1</v>
      </c>
      <c r="AA250" s="44">
        <v>1</v>
      </c>
      <c r="AB250" s="26">
        <f t="shared" si="447"/>
        <v>0.19051596760666337</v>
      </c>
      <c r="AC250" s="25">
        <f t="shared" si="448"/>
        <v>8.6328432840047473E-2</v>
      </c>
      <c r="AD250" s="24">
        <f t="shared" si="449"/>
        <v>0</v>
      </c>
      <c r="AE250" s="25">
        <f t="shared" si="450"/>
        <v>0</v>
      </c>
      <c r="AF250" s="24">
        <f t="shared" si="451"/>
        <v>0</v>
      </c>
      <c r="AG250" s="25">
        <f t="shared" si="452"/>
        <v>0</v>
      </c>
      <c r="AH250" s="24">
        <f t="shared" si="453"/>
        <v>0</v>
      </c>
      <c r="AI250" s="25">
        <f t="shared" si="454"/>
        <v>0</v>
      </c>
      <c r="AJ250" s="24">
        <f t="shared" si="455"/>
        <v>0</v>
      </c>
      <c r="AK250" s="27">
        <f t="shared" si="406"/>
        <v>0.27684440044671083</v>
      </c>
      <c r="AL250" s="41">
        <v>0</v>
      </c>
      <c r="AM250" s="40">
        <v>0</v>
      </c>
      <c r="AN250" s="39">
        <v>0</v>
      </c>
      <c r="AO250" s="40">
        <v>0</v>
      </c>
      <c r="AP250" s="39">
        <v>0</v>
      </c>
      <c r="AQ250" s="40">
        <v>0</v>
      </c>
      <c r="AR250" s="39">
        <v>0</v>
      </c>
      <c r="AS250" s="40">
        <v>0</v>
      </c>
      <c r="AT250" s="39">
        <v>0</v>
      </c>
      <c r="AU250" s="38">
        <v>0</v>
      </c>
      <c r="CS250" s="54" t="s">
        <v>1457</v>
      </c>
      <c r="CT250" s="39">
        <v>0.28145566727605104</v>
      </c>
      <c r="CU250" s="40">
        <v>0.24834323583180976</v>
      </c>
      <c r="CV250" s="39">
        <v>5.5581581352833614E-2</v>
      </c>
      <c r="CW250" s="40">
        <v>1.0643281535648988E-2</v>
      </c>
      <c r="CX250" s="39">
        <v>0.19867458866544785</v>
      </c>
      <c r="CY250" s="40">
        <v>0.11535943857993747</v>
      </c>
      <c r="CZ250" s="39">
        <v>8.3315150085510395E-2</v>
      </c>
      <c r="DA250" s="40">
        <v>0</v>
      </c>
      <c r="DB250" s="39">
        <v>0</v>
      </c>
      <c r="DC250" s="38">
        <v>0.99337294332723913</v>
      </c>
      <c r="DE250" s="37" t="s">
        <v>1693</v>
      </c>
      <c r="DF250" s="35" t="str">
        <f t="shared" si="407"/>
        <v>IOTFS</v>
      </c>
      <c r="DG250" s="26">
        <f t="shared" si="457"/>
        <v>0</v>
      </c>
      <c r="DH250" s="25">
        <f t="shared" si="457"/>
        <v>0</v>
      </c>
      <c r="DI250" s="24">
        <f t="shared" si="457"/>
        <v>0</v>
      </c>
      <c r="DJ250" s="25">
        <f t="shared" si="457"/>
        <v>0</v>
      </c>
      <c r="DK250" s="24">
        <f t="shared" si="457"/>
        <v>0.14511206678428679</v>
      </c>
      <c r="DL250" s="25">
        <f t="shared" si="457"/>
        <v>0.12648630327311364</v>
      </c>
      <c r="DM250" s="24">
        <f t="shared" si="457"/>
        <v>0.43941371606894497</v>
      </c>
      <c r="DN250" s="25">
        <f t="shared" si="457"/>
        <v>0</v>
      </c>
      <c r="DO250" s="32">
        <f t="shared" si="457"/>
        <v>0</v>
      </c>
      <c r="DP250" s="26">
        <f t="shared" si="408"/>
        <v>0</v>
      </c>
      <c r="DQ250" s="25">
        <f t="shared" si="409"/>
        <v>0</v>
      </c>
      <c r="DR250" s="24">
        <f t="shared" si="410"/>
        <v>0</v>
      </c>
      <c r="DS250" s="25">
        <f t="shared" si="411"/>
        <v>0</v>
      </c>
      <c r="DT250" s="24">
        <f t="shared" si="412"/>
        <v>3.1083830078779903E-2</v>
      </c>
      <c r="DU250" s="25">
        <f t="shared" si="413"/>
        <v>3.1083830078779899E-2</v>
      </c>
      <c r="DV250" s="24">
        <f t="shared" si="414"/>
        <v>3.1083830078779903E-2</v>
      </c>
      <c r="DW250" s="25">
        <f t="shared" si="415"/>
        <v>0</v>
      </c>
      <c r="DX250" s="32">
        <f t="shared" si="416"/>
        <v>0</v>
      </c>
      <c r="DZ250" s="54" t="s">
        <v>1762</v>
      </c>
      <c r="EA250" s="39">
        <v>0.53478760692500549</v>
      </c>
      <c r="EB250" s="40">
        <v>0.53478760692500549</v>
      </c>
      <c r="EC250" s="39">
        <v>0.61488178199826138</v>
      </c>
      <c r="ED250" s="40">
        <v>0.61488178199826149</v>
      </c>
      <c r="EE250" s="39">
        <v>0.56055060150201252</v>
      </c>
      <c r="EF250" s="40">
        <v>0.56055060150201264</v>
      </c>
      <c r="EG250" s="39">
        <v>0.56055060150201252</v>
      </c>
      <c r="EH250" s="40">
        <v>0.46140421284683547</v>
      </c>
      <c r="EI250" s="66">
        <v>0.46140421284683547</v>
      </c>
    </row>
    <row r="251" spans="1:139">
      <c r="A251" s="37" t="s">
        <v>1696</v>
      </c>
      <c r="B251" s="36" t="s">
        <v>1129</v>
      </c>
      <c r="C251" s="1" t="s">
        <v>1197</v>
      </c>
      <c r="D251" s="36" t="s">
        <v>1197</v>
      </c>
      <c r="E251" s="36" t="s">
        <v>1761</v>
      </c>
      <c r="F251" s="1" t="e">
        <f t="shared" ca="1" si="439"/>
        <v>#NAME?</v>
      </c>
      <c r="G251" s="35" t="s">
        <v>1121</v>
      </c>
      <c r="H251" s="43">
        <v>1</v>
      </c>
      <c r="I251" s="42">
        <v>0</v>
      </c>
      <c r="J251" s="26">
        <v>7.6228193864748453E-2</v>
      </c>
      <c r="K251" s="25">
        <v>3.3022957554517993E-2</v>
      </c>
      <c r="L251" s="24"/>
      <c r="M251" s="25"/>
      <c r="N251" s="24"/>
      <c r="O251" s="25"/>
      <c r="P251" s="24"/>
      <c r="Q251" s="25"/>
      <c r="R251" s="32"/>
      <c r="S251" s="47">
        <v>1</v>
      </c>
      <c r="T251" s="45">
        <v>1</v>
      </c>
      <c r="U251" s="46">
        <v>1</v>
      </c>
      <c r="V251" s="45">
        <v>1</v>
      </c>
      <c r="W251" s="46">
        <v>1</v>
      </c>
      <c r="X251" s="45">
        <v>1</v>
      </c>
      <c r="Y251" s="46">
        <v>1</v>
      </c>
      <c r="Z251" s="45">
        <v>1</v>
      </c>
      <c r="AA251" s="44">
        <v>1</v>
      </c>
      <c r="AB251" s="26">
        <f t="shared" si="447"/>
        <v>7.6228193864748453E-2</v>
      </c>
      <c r="AC251" s="25">
        <f t="shared" si="448"/>
        <v>3.3022957554517993E-2</v>
      </c>
      <c r="AD251" s="24">
        <f t="shared" si="449"/>
        <v>0</v>
      </c>
      <c r="AE251" s="25">
        <f t="shared" si="450"/>
        <v>0</v>
      </c>
      <c r="AF251" s="24">
        <f t="shared" si="451"/>
        <v>0</v>
      </c>
      <c r="AG251" s="25">
        <f t="shared" si="452"/>
        <v>0</v>
      </c>
      <c r="AH251" s="24">
        <f t="shared" si="453"/>
        <v>0</v>
      </c>
      <c r="AI251" s="25">
        <f t="shared" si="454"/>
        <v>0</v>
      </c>
      <c r="AJ251" s="24">
        <f t="shared" si="455"/>
        <v>0</v>
      </c>
      <c r="AK251" s="27">
        <f t="shared" si="406"/>
        <v>0.10925115141926645</v>
      </c>
      <c r="AL251" s="41">
        <v>0</v>
      </c>
      <c r="AM251" s="40">
        <v>0</v>
      </c>
      <c r="AN251" s="39">
        <v>0</v>
      </c>
      <c r="AO251" s="40">
        <v>0</v>
      </c>
      <c r="AP251" s="39">
        <v>0</v>
      </c>
      <c r="AQ251" s="40">
        <v>0</v>
      </c>
      <c r="AR251" s="39">
        <v>0</v>
      </c>
      <c r="AS251" s="40">
        <v>0</v>
      </c>
      <c r="AT251" s="39">
        <v>0</v>
      </c>
      <c r="AU251" s="38">
        <v>0</v>
      </c>
      <c r="CS251" s="54" t="s">
        <v>1452</v>
      </c>
      <c r="CT251" s="39">
        <v>2.1810647589443986</v>
      </c>
      <c r="CU251" s="40">
        <v>1.9244689049509396</v>
      </c>
      <c r="CV251" s="39">
        <v>19.296008220308092</v>
      </c>
      <c r="CW251" s="40">
        <v>3.6949802975058046</v>
      </c>
      <c r="CX251" s="39">
        <v>16.422134655581353</v>
      </c>
      <c r="CY251" s="40">
        <v>9.5354330258214315</v>
      </c>
      <c r="CZ251" s="39">
        <v>6.8867016297599228</v>
      </c>
      <c r="DA251" s="40">
        <v>2.6275415448930164</v>
      </c>
      <c r="DB251" s="39">
        <v>20.363446972920876</v>
      </c>
      <c r="DC251" s="38">
        <v>82.931780010685841</v>
      </c>
      <c r="DE251" s="37" t="s">
        <v>1760</v>
      </c>
      <c r="DF251" s="35" t="str">
        <f t="shared" si="407"/>
        <v>ICTFS</v>
      </c>
      <c r="DG251" s="26">
        <f t="shared" si="457"/>
        <v>0</v>
      </c>
      <c r="DH251" s="25">
        <f t="shared" si="457"/>
        <v>0</v>
      </c>
      <c r="DI251" s="24">
        <f t="shared" si="457"/>
        <v>4.0226956024782021</v>
      </c>
      <c r="DJ251" s="25">
        <f t="shared" si="457"/>
        <v>2.7246673820991196</v>
      </c>
      <c r="DK251" s="24">
        <f t="shared" si="457"/>
        <v>4.9575045286959503</v>
      </c>
      <c r="DL251" s="25">
        <f t="shared" si="457"/>
        <v>4.3211873084724752</v>
      </c>
      <c r="DM251" s="24">
        <f t="shared" si="457"/>
        <v>15.011814907309937</v>
      </c>
      <c r="DN251" s="25">
        <f t="shared" si="457"/>
        <v>0</v>
      </c>
      <c r="DO251" s="32">
        <f t="shared" si="457"/>
        <v>0</v>
      </c>
      <c r="DP251" s="26">
        <f t="shared" si="408"/>
        <v>0</v>
      </c>
      <c r="DQ251" s="25">
        <f t="shared" si="409"/>
        <v>0</v>
      </c>
      <c r="DR251" s="24">
        <f t="shared" si="410"/>
        <v>0.88797479116026246</v>
      </c>
      <c r="DS251" s="25">
        <f t="shared" si="411"/>
        <v>0.88797479116026246</v>
      </c>
      <c r="DT251" s="24">
        <f t="shared" si="412"/>
        <v>0.77064058983215245</v>
      </c>
      <c r="DU251" s="25">
        <f t="shared" si="413"/>
        <v>0.77064058983215245</v>
      </c>
      <c r="DV251" s="24">
        <f t="shared" si="414"/>
        <v>0.77064058983215245</v>
      </c>
      <c r="DW251" s="25">
        <f t="shared" si="415"/>
        <v>0</v>
      </c>
      <c r="DX251" s="32">
        <f t="shared" si="416"/>
        <v>0</v>
      </c>
      <c r="DZ251" s="54" t="s">
        <v>1646</v>
      </c>
      <c r="EA251" s="39">
        <v>0.13974600831475964</v>
      </c>
      <c r="EB251" s="40">
        <v>0.13974600831475964</v>
      </c>
      <c r="EC251" s="39">
        <v>0.1347235469199993</v>
      </c>
      <c r="ED251" s="40">
        <v>0.1347235469199993</v>
      </c>
      <c r="EE251" s="39">
        <v>0.15755989715453728</v>
      </c>
      <c r="EF251" s="40">
        <v>0.1575598971545373</v>
      </c>
      <c r="EG251" s="39">
        <v>0.1575598971545373</v>
      </c>
      <c r="EH251" s="40">
        <v>0.27608311277539188</v>
      </c>
      <c r="EI251" s="66">
        <v>0.27608311277539194</v>
      </c>
    </row>
    <row r="252" spans="1:139">
      <c r="A252" s="37" t="s">
        <v>1696</v>
      </c>
      <c r="B252" s="36" t="s">
        <v>1129</v>
      </c>
      <c r="C252" s="1" t="s">
        <v>468</v>
      </c>
      <c r="D252" s="36" t="s">
        <v>468</v>
      </c>
      <c r="E252" s="36" t="s">
        <v>1759</v>
      </c>
      <c r="F252" s="1" t="e">
        <f t="shared" ca="1" si="439"/>
        <v>#NAME?</v>
      </c>
      <c r="G252" s="35" t="s">
        <v>1121</v>
      </c>
      <c r="H252" s="43">
        <v>1</v>
      </c>
      <c r="I252" s="42">
        <v>0</v>
      </c>
      <c r="J252" s="26">
        <v>1.0454152301451214</v>
      </c>
      <c r="K252" s="25">
        <v>0.45288627503338963</v>
      </c>
      <c r="L252" s="24"/>
      <c r="M252" s="25"/>
      <c r="N252" s="24"/>
      <c r="O252" s="25"/>
      <c r="P252" s="24"/>
      <c r="Q252" s="25"/>
      <c r="R252" s="32"/>
      <c r="S252" s="47">
        <v>1</v>
      </c>
      <c r="T252" s="45">
        <v>1</v>
      </c>
      <c r="U252" s="46">
        <v>1</v>
      </c>
      <c r="V252" s="45">
        <v>1</v>
      </c>
      <c r="W252" s="46">
        <v>1</v>
      </c>
      <c r="X252" s="45">
        <v>1</v>
      </c>
      <c r="Y252" s="46">
        <v>1</v>
      </c>
      <c r="Z252" s="45">
        <v>1</v>
      </c>
      <c r="AA252" s="44">
        <v>1</v>
      </c>
      <c r="AB252" s="26">
        <f t="shared" si="447"/>
        <v>1.0454152301451214</v>
      </c>
      <c r="AC252" s="25">
        <f t="shared" si="448"/>
        <v>0.45288627503338963</v>
      </c>
      <c r="AD252" s="24">
        <f t="shared" si="449"/>
        <v>0</v>
      </c>
      <c r="AE252" s="25">
        <f t="shared" si="450"/>
        <v>0</v>
      </c>
      <c r="AF252" s="24">
        <f t="shared" si="451"/>
        <v>0</v>
      </c>
      <c r="AG252" s="25">
        <f t="shared" si="452"/>
        <v>0</v>
      </c>
      <c r="AH252" s="24">
        <f t="shared" si="453"/>
        <v>0</v>
      </c>
      <c r="AI252" s="25">
        <f t="shared" si="454"/>
        <v>0</v>
      </c>
      <c r="AJ252" s="24">
        <f t="shared" si="455"/>
        <v>0</v>
      </c>
      <c r="AK252" s="27">
        <f t="shared" si="406"/>
        <v>1.4983015051785111</v>
      </c>
      <c r="AL252" s="41">
        <v>0</v>
      </c>
      <c r="AM252" s="40">
        <v>0</v>
      </c>
      <c r="AN252" s="39">
        <v>0</v>
      </c>
      <c r="AO252" s="40">
        <v>0</v>
      </c>
      <c r="AP252" s="39">
        <v>0</v>
      </c>
      <c r="AQ252" s="40">
        <v>0</v>
      </c>
      <c r="AR252" s="39">
        <v>0</v>
      </c>
      <c r="AS252" s="40">
        <v>0</v>
      </c>
      <c r="AT252" s="39">
        <v>0</v>
      </c>
      <c r="AU252" s="38">
        <v>0</v>
      </c>
      <c r="CS252" s="54" t="s">
        <v>1447</v>
      </c>
      <c r="CT252" s="39">
        <v>0.71206014085066949</v>
      </c>
      <c r="CU252" s="40">
        <v>0.6282883595741201</v>
      </c>
      <c r="CV252" s="39">
        <v>0.86024467831885132</v>
      </c>
      <c r="CW252" s="40">
        <v>0.16472770435892897</v>
      </c>
      <c r="CX252" s="39">
        <v>0.74901827964914725</v>
      </c>
      <c r="CY252" s="40">
        <v>0.43491383979627907</v>
      </c>
      <c r="CZ252" s="39">
        <v>0.31410443985286818</v>
      </c>
      <c r="DA252" s="40">
        <v>8.4100298065869161E-2</v>
      </c>
      <c r="DB252" s="39">
        <v>0.65177731001048589</v>
      </c>
      <c r="DC252" s="38">
        <v>4.5992350504772199</v>
      </c>
      <c r="DE252" s="37" t="s">
        <v>1758</v>
      </c>
      <c r="DF252" s="35" t="str">
        <f t="shared" si="407"/>
        <v>ICTFS</v>
      </c>
      <c r="DG252" s="26">
        <f t="shared" si="457"/>
        <v>0</v>
      </c>
      <c r="DH252" s="25">
        <f t="shared" si="457"/>
        <v>0</v>
      </c>
      <c r="DI252" s="24">
        <f t="shared" si="457"/>
        <v>1.2058201342006084E-2</v>
      </c>
      <c r="DJ252" s="25">
        <f t="shared" si="457"/>
        <v>8.1673064855087626E-3</v>
      </c>
      <c r="DK252" s="24">
        <f t="shared" si="457"/>
        <v>8.2557393886294999E-3</v>
      </c>
      <c r="DL252" s="25">
        <f t="shared" si="457"/>
        <v>7.1960794108616071E-3</v>
      </c>
      <c r="DM252" s="24">
        <f t="shared" si="457"/>
        <v>2.4999196855538593E-2</v>
      </c>
      <c r="DN252" s="25">
        <f t="shared" si="457"/>
        <v>0</v>
      </c>
      <c r="DO252" s="32">
        <f t="shared" si="457"/>
        <v>0</v>
      </c>
      <c r="DP252" s="26">
        <f t="shared" si="408"/>
        <v>0</v>
      </c>
      <c r="DQ252" s="25">
        <f t="shared" si="409"/>
        <v>0</v>
      </c>
      <c r="DR252" s="24">
        <f t="shared" si="410"/>
        <v>2.6617422436437683E-3</v>
      </c>
      <c r="DS252" s="25">
        <f t="shared" si="411"/>
        <v>2.6617422436437674E-3</v>
      </c>
      <c r="DT252" s="24">
        <f t="shared" si="412"/>
        <v>1.2833488774699156E-3</v>
      </c>
      <c r="DU252" s="25">
        <f t="shared" si="413"/>
        <v>1.2833488774699156E-3</v>
      </c>
      <c r="DV252" s="24">
        <f t="shared" si="414"/>
        <v>1.2833488774699156E-3</v>
      </c>
      <c r="DW252" s="25">
        <f t="shared" si="415"/>
        <v>0</v>
      </c>
      <c r="DX252" s="32">
        <f t="shared" si="416"/>
        <v>0</v>
      </c>
      <c r="DZ252" s="54" t="s">
        <v>1643</v>
      </c>
      <c r="EA252" s="39">
        <v>0.76439175360852996</v>
      </c>
      <c r="EB252" s="40">
        <v>0.76439175360853007</v>
      </c>
      <c r="EC252" s="39">
        <v>0.73691956947054116</v>
      </c>
      <c r="ED252" s="40">
        <v>0.73691956947054116</v>
      </c>
      <c r="EE252" s="39">
        <v>0.73255661758228308</v>
      </c>
      <c r="EF252" s="40">
        <v>0.73255661758228319</v>
      </c>
      <c r="EG252" s="39">
        <v>0.73255661758228319</v>
      </c>
      <c r="EH252" s="40">
        <v>0.6292238601929423</v>
      </c>
      <c r="EI252" s="66">
        <v>0.6292238601929423</v>
      </c>
    </row>
    <row r="253" spans="1:139">
      <c r="A253" s="37" t="s">
        <v>1696</v>
      </c>
      <c r="B253" s="36" t="s">
        <v>1129</v>
      </c>
      <c r="C253" s="1" t="s">
        <v>1132</v>
      </c>
      <c r="D253" s="36" t="s">
        <v>1131</v>
      </c>
      <c r="E253" s="36" t="s">
        <v>1757</v>
      </c>
      <c r="F253" s="1" t="e">
        <f t="shared" ca="1" si="439"/>
        <v>#NAME?</v>
      </c>
      <c r="G253" s="35" t="s">
        <v>1104</v>
      </c>
      <c r="H253" s="43">
        <v>1</v>
      </c>
      <c r="I253" s="42">
        <v>0</v>
      </c>
      <c r="J253" s="26">
        <v>0</v>
      </c>
      <c r="K253" s="25">
        <v>0</v>
      </c>
      <c r="L253" s="24"/>
      <c r="M253" s="25"/>
      <c r="N253" s="24"/>
      <c r="O253" s="25"/>
      <c r="P253" s="24"/>
      <c r="Q253" s="25"/>
      <c r="R253" s="32"/>
      <c r="S253" s="31" t="e">
        <v>#REF!</v>
      </c>
      <c r="T253" s="29" t="e">
        <v>#REF!</v>
      </c>
      <c r="U253" s="30" t="e">
        <v>#REF!</v>
      </c>
      <c r="V253" s="29" t="e">
        <v>#REF!</v>
      </c>
      <c r="W253" s="30" t="e">
        <v>#REF!</v>
      </c>
      <c r="X253" s="29" t="e">
        <v>#REF!</v>
      </c>
      <c r="Y253" s="30" t="e">
        <v>#REF!</v>
      </c>
      <c r="Z253" s="29" t="e">
        <v>#REF!</v>
      </c>
      <c r="AA253" s="28" t="e">
        <v>#REF!</v>
      </c>
      <c r="AB253" s="26" t="e">
        <f t="shared" si="447"/>
        <v>#REF!</v>
      </c>
      <c r="AC253" s="25" t="e">
        <f t="shared" si="448"/>
        <v>#REF!</v>
      </c>
      <c r="AD253" s="24" t="e">
        <f t="shared" si="449"/>
        <v>#REF!</v>
      </c>
      <c r="AE253" s="25" t="e">
        <f t="shared" si="450"/>
        <v>#REF!</v>
      </c>
      <c r="AF253" s="24" t="e">
        <f t="shared" si="451"/>
        <v>#REF!</v>
      </c>
      <c r="AG253" s="25" t="e">
        <f t="shared" si="452"/>
        <v>#REF!</v>
      </c>
      <c r="AH253" s="24" t="e">
        <f t="shared" si="453"/>
        <v>#REF!</v>
      </c>
      <c r="AI253" s="25" t="e">
        <f t="shared" si="454"/>
        <v>#REF!</v>
      </c>
      <c r="AJ253" s="24" t="e">
        <f t="shared" si="455"/>
        <v>#REF!</v>
      </c>
      <c r="AK253" s="27" t="e">
        <f t="shared" si="406"/>
        <v>#REF!</v>
      </c>
      <c r="AL253" s="41">
        <v>0</v>
      </c>
      <c r="AM253" s="40">
        <v>0</v>
      </c>
      <c r="AN253" s="39">
        <v>0</v>
      </c>
      <c r="AO253" s="40">
        <v>0</v>
      </c>
      <c r="AP253" s="39">
        <v>0</v>
      </c>
      <c r="AQ253" s="40">
        <v>0</v>
      </c>
      <c r="AR253" s="39">
        <v>0</v>
      </c>
      <c r="AS253" s="40">
        <v>0</v>
      </c>
      <c r="AT253" s="39">
        <v>0</v>
      </c>
      <c r="AU253" s="38">
        <v>0</v>
      </c>
      <c r="CS253" s="54" t="s">
        <v>1442</v>
      </c>
      <c r="CT253" s="39">
        <v>0.14242293058276079</v>
      </c>
      <c r="CU253" s="40">
        <v>0.12566729169067126</v>
      </c>
      <c r="CV253" s="39">
        <v>1.260024044685131</v>
      </c>
      <c r="CW253" s="40">
        <v>0.24128120004608886</v>
      </c>
      <c r="CX253" s="39">
        <v>1.0723608890937282</v>
      </c>
      <c r="CY253" s="40">
        <v>0.62266116140926153</v>
      </c>
      <c r="CZ253" s="39">
        <v>0.4496997276844667</v>
      </c>
      <c r="DA253" s="40">
        <v>0.17157774225499653</v>
      </c>
      <c r="DB253" s="39">
        <v>1.329727502476223</v>
      </c>
      <c r="DC253" s="38">
        <v>5.4154224899233281</v>
      </c>
      <c r="DE253" s="37" t="s">
        <v>1756</v>
      </c>
      <c r="DF253" s="35" t="str">
        <f t="shared" si="407"/>
        <v>ICTFS</v>
      </c>
      <c r="DG253" s="26">
        <f t="shared" si="457"/>
        <v>0</v>
      </c>
      <c r="DH253" s="25">
        <f t="shared" si="457"/>
        <v>0</v>
      </c>
      <c r="DI253" s="24">
        <f t="shared" si="457"/>
        <v>0.16536961840465483</v>
      </c>
      <c r="DJ253" s="25">
        <f t="shared" si="457"/>
        <v>0.11200877465840588</v>
      </c>
      <c r="DK253" s="24">
        <f t="shared" si="457"/>
        <v>0.11322156875834741</v>
      </c>
      <c r="DL253" s="25">
        <f t="shared" si="457"/>
        <v>9.8689089063244875E-2</v>
      </c>
      <c r="DM253" s="24">
        <f t="shared" si="457"/>
        <v>0.34284612830452921</v>
      </c>
      <c r="DN253" s="25">
        <f t="shared" si="457"/>
        <v>0</v>
      </c>
      <c r="DO253" s="32">
        <f t="shared" si="457"/>
        <v>0</v>
      </c>
      <c r="DP253" s="26">
        <f t="shared" si="408"/>
        <v>0</v>
      </c>
      <c r="DQ253" s="25">
        <f t="shared" si="409"/>
        <v>0</v>
      </c>
      <c r="DR253" s="24">
        <f t="shared" si="410"/>
        <v>3.650389362711453E-2</v>
      </c>
      <c r="DS253" s="25">
        <f t="shared" si="411"/>
        <v>3.6503893627114523E-2</v>
      </c>
      <c r="DT253" s="24">
        <f t="shared" si="412"/>
        <v>1.7600213176730269E-2</v>
      </c>
      <c r="DU253" s="25">
        <f t="shared" si="413"/>
        <v>1.7600213176730269E-2</v>
      </c>
      <c r="DV253" s="24">
        <f t="shared" si="414"/>
        <v>1.7600213176730269E-2</v>
      </c>
      <c r="DW253" s="25">
        <f t="shared" si="415"/>
        <v>0</v>
      </c>
      <c r="DX253" s="32">
        <f t="shared" si="416"/>
        <v>0</v>
      </c>
      <c r="DZ253" s="54" t="s">
        <v>1640</v>
      </c>
      <c r="EA253" s="39">
        <v>9.5862238076710224E-2</v>
      </c>
      <c r="EB253" s="40">
        <v>9.586223807671021E-2</v>
      </c>
      <c r="EC253" s="39">
        <v>0.12835688360945963</v>
      </c>
      <c r="ED253" s="40">
        <v>0.12835688360945965</v>
      </c>
      <c r="EE253" s="39">
        <v>0.10988348526317961</v>
      </c>
      <c r="EF253" s="40">
        <v>0.10988348526317963</v>
      </c>
      <c r="EG253" s="39">
        <v>0.10988348526317963</v>
      </c>
      <c r="EH253" s="40">
        <v>9.4693027031665794E-2</v>
      </c>
      <c r="EI253" s="66">
        <v>9.4693027031665794E-2</v>
      </c>
    </row>
    <row r="254" spans="1:139">
      <c r="A254" s="37" t="s">
        <v>1696</v>
      </c>
      <c r="B254" s="36" t="s">
        <v>1129</v>
      </c>
      <c r="C254" s="1" t="s">
        <v>1132</v>
      </c>
      <c r="D254" s="36" t="s">
        <v>1131</v>
      </c>
      <c r="E254" s="36" t="s">
        <v>1755</v>
      </c>
      <c r="F254" s="1" t="e">
        <f t="shared" ca="1" si="439"/>
        <v>#NAME?</v>
      </c>
      <c r="G254" s="35" t="s">
        <v>1109</v>
      </c>
      <c r="H254" s="34">
        <f>1-I254</f>
        <v>0.60426246259397132</v>
      </c>
      <c r="I254" s="33">
        <v>0.39573753740602868</v>
      </c>
      <c r="J254" s="26">
        <v>0</v>
      </c>
      <c r="K254" s="25">
        <v>0</v>
      </c>
      <c r="L254" s="24"/>
      <c r="M254" s="25"/>
      <c r="N254" s="24"/>
      <c r="O254" s="25"/>
      <c r="P254" s="24"/>
      <c r="Q254" s="25"/>
      <c r="R254" s="32"/>
      <c r="S254" s="31" t="e">
        <v>#REF!</v>
      </c>
      <c r="T254" s="29" t="e">
        <v>#REF!</v>
      </c>
      <c r="U254" s="30" t="e">
        <v>#REF!</v>
      </c>
      <c r="V254" s="29" t="e">
        <v>#REF!</v>
      </c>
      <c r="W254" s="30" t="e">
        <v>#REF!</v>
      </c>
      <c r="X254" s="29" t="e">
        <v>#REF!</v>
      </c>
      <c r="Y254" s="30" t="e">
        <v>#REF!</v>
      </c>
      <c r="Z254" s="29" t="e">
        <v>#REF!</v>
      </c>
      <c r="AA254" s="28" t="e">
        <v>#REF!</v>
      </c>
      <c r="AB254" s="26" t="e">
        <f t="shared" ref="AB254:AJ254" si="458">J254*31.536*$H254*S254</f>
        <v>#REF!</v>
      </c>
      <c r="AC254" s="25" t="e">
        <f t="shared" si="458"/>
        <v>#REF!</v>
      </c>
      <c r="AD254" s="24" t="e">
        <f t="shared" si="458"/>
        <v>#REF!</v>
      </c>
      <c r="AE254" s="25" t="e">
        <f t="shared" si="458"/>
        <v>#REF!</v>
      </c>
      <c r="AF254" s="24" t="e">
        <f t="shared" si="458"/>
        <v>#REF!</v>
      </c>
      <c r="AG254" s="25" t="e">
        <f t="shared" si="458"/>
        <v>#REF!</v>
      </c>
      <c r="AH254" s="24" t="e">
        <f t="shared" si="458"/>
        <v>#REF!</v>
      </c>
      <c r="AI254" s="25" t="e">
        <f t="shared" si="458"/>
        <v>#REF!</v>
      </c>
      <c r="AJ254" s="24" t="e">
        <f t="shared" si="458"/>
        <v>#REF!</v>
      </c>
      <c r="AK254" s="27" t="e">
        <f t="shared" si="406"/>
        <v>#REF!</v>
      </c>
      <c r="AL254" s="26" t="e">
        <f t="shared" ref="AL254:AT254" si="459">J254*31.536*$I254*S254</f>
        <v>#REF!</v>
      </c>
      <c r="AM254" s="25" t="e">
        <f t="shared" si="459"/>
        <v>#REF!</v>
      </c>
      <c r="AN254" s="24" t="e">
        <f t="shared" si="459"/>
        <v>#REF!</v>
      </c>
      <c r="AO254" s="25" t="e">
        <f t="shared" si="459"/>
        <v>#REF!</v>
      </c>
      <c r="AP254" s="24" t="e">
        <f t="shared" si="459"/>
        <v>#REF!</v>
      </c>
      <c r="AQ254" s="25" t="e">
        <f t="shared" si="459"/>
        <v>#REF!</v>
      </c>
      <c r="AR254" s="24" t="e">
        <f t="shared" si="459"/>
        <v>#REF!</v>
      </c>
      <c r="AS254" s="25" t="e">
        <f t="shared" si="459"/>
        <v>#REF!</v>
      </c>
      <c r="AT254" s="24" t="e">
        <f t="shared" si="459"/>
        <v>#REF!</v>
      </c>
      <c r="AU254" s="23" t="e">
        <f>SUM(AL254:AT254)</f>
        <v>#REF!</v>
      </c>
      <c r="CS254" s="54" t="s">
        <v>1437</v>
      </c>
      <c r="CT254" s="39">
        <v>0.71206014085066949</v>
      </c>
      <c r="CU254" s="40">
        <v>0.6282883595741201</v>
      </c>
      <c r="CV254" s="39">
        <v>0.86024467831885132</v>
      </c>
      <c r="CW254" s="40">
        <v>0.16472770435892897</v>
      </c>
      <c r="CX254" s="39">
        <v>0.74901827964914725</v>
      </c>
      <c r="CY254" s="40">
        <v>0.43491383979627907</v>
      </c>
      <c r="CZ254" s="39">
        <v>0.31410443985286818</v>
      </c>
      <c r="DA254" s="40">
        <v>8.4100298065869161E-2</v>
      </c>
      <c r="DB254" s="39">
        <v>0.65177731001048589</v>
      </c>
      <c r="DC254" s="38">
        <v>4.5992350504772199</v>
      </c>
      <c r="DE254" s="37" t="s">
        <v>1754</v>
      </c>
      <c r="DF254" s="35" t="str">
        <f t="shared" si="407"/>
        <v>ICTFS</v>
      </c>
      <c r="DG254" s="26">
        <f t="shared" si="457"/>
        <v>0</v>
      </c>
      <c r="DH254" s="25">
        <f t="shared" si="457"/>
        <v>0</v>
      </c>
      <c r="DI254" s="24">
        <f t="shared" si="457"/>
        <v>0.33006779775559564</v>
      </c>
      <c r="DJ254" s="25">
        <f t="shared" si="457"/>
        <v>0.22356276768043964</v>
      </c>
      <c r="DK254" s="24">
        <f t="shared" si="457"/>
        <v>0.22598343165463555</v>
      </c>
      <c r="DL254" s="25">
        <f t="shared" si="457"/>
        <v>0.1969774775068005</v>
      </c>
      <c r="DM254" s="24">
        <f t="shared" si="457"/>
        <v>0.68430022171063465</v>
      </c>
      <c r="DN254" s="25">
        <f t="shared" si="457"/>
        <v>0</v>
      </c>
      <c r="DO254" s="32">
        <f t="shared" si="457"/>
        <v>0</v>
      </c>
      <c r="DP254" s="26">
        <f t="shared" si="408"/>
        <v>0</v>
      </c>
      <c r="DQ254" s="25">
        <f t="shared" si="409"/>
        <v>0</v>
      </c>
      <c r="DR254" s="24">
        <f t="shared" si="410"/>
        <v>7.2859572968979325E-2</v>
      </c>
      <c r="DS254" s="25">
        <f t="shared" si="411"/>
        <v>7.2859572968979325E-2</v>
      </c>
      <c r="DT254" s="24">
        <f t="shared" si="412"/>
        <v>3.512896540075016E-2</v>
      </c>
      <c r="DU254" s="25">
        <f t="shared" si="413"/>
        <v>3.512896540075016E-2</v>
      </c>
      <c r="DV254" s="24">
        <f t="shared" si="414"/>
        <v>3.512896540075016E-2</v>
      </c>
      <c r="DW254" s="25">
        <f t="shared" si="415"/>
        <v>0</v>
      </c>
      <c r="DX254" s="32">
        <f t="shared" si="416"/>
        <v>0</v>
      </c>
      <c r="DZ254" s="54" t="s">
        <v>1753</v>
      </c>
      <c r="EA254" s="39">
        <v>0</v>
      </c>
      <c r="EB254" s="40">
        <v>0</v>
      </c>
      <c r="EC254" s="39">
        <v>1.9205452509641643E-2</v>
      </c>
      <c r="ED254" s="40">
        <v>1.9205452509641646E-2</v>
      </c>
      <c r="EE254" s="39">
        <v>0.12236801208484153</v>
      </c>
      <c r="EF254" s="40">
        <v>0.12236801208484156</v>
      </c>
      <c r="EG254" s="39">
        <v>0.12236801208484156</v>
      </c>
      <c r="EH254" s="40">
        <v>0</v>
      </c>
      <c r="EI254" s="66">
        <v>0</v>
      </c>
    </row>
    <row r="255" spans="1:139">
      <c r="A255" s="37" t="s">
        <v>1696</v>
      </c>
      <c r="B255" s="36" t="s">
        <v>1129</v>
      </c>
      <c r="C255" s="1" t="s">
        <v>1132</v>
      </c>
      <c r="D255" s="36" t="s">
        <v>1131</v>
      </c>
      <c r="E255" s="36" t="s">
        <v>1752</v>
      </c>
      <c r="F255" s="1" t="e">
        <f t="shared" ca="1" si="439"/>
        <v>#NAME?</v>
      </c>
      <c r="G255" s="35" t="s">
        <v>1121</v>
      </c>
      <c r="H255" s="43">
        <v>1</v>
      </c>
      <c r="I255" s="42">
        <v>0</v>
      </c>
      <c r="J255" s="26">
        <v>0.2988770011351769</v>
      </c>
      <c r="K255" s="25">
        <v>0.90393372661854221</v>
      </c>
      <c r="L255" s="24"/>
      <c r="M255" s="25"/>
      <c r="N255" s="24"/>
      <c r="O255" s="25"/>
      <c r="P255" s="24"/>
      <c r="Q255" s="25"/>
      <c r="R255" s="32"/>
      <c r="S255" s="47">
        <v>1</v>
      </c>
      <c r="T255" s="45">
        <v>1</v>
      </c>
      <c r="U255" s="46">
        <v>1</v>
      </c>
      <c r="V255" s="45">
        <v>1</v>
      </c>
      <c r="W255" s="46">
        <v>1</v>
      </c>
      <c r="X255" s="45">
        <v>1</v>
      </c>
      <c r="Y255" s="46">
        <v>1</v>
      </c>
      <c r="Z255" s="45">
        <v>1</v>
      </c>
      <c r="AA255" s="44">
        <v>1</v>
      </c>
      <c r="AB255" s="26">
        <f t="shared" ref="AB255:AJ255" si="460">J255*$H255*S255</f>
        <v>0.2988770011351769</v>
      </c>
      <c r="AC255" s="25">
        <f t="shared" si="460"/>
        <v>0.90393372661854221</v>
      </c>
      <c r="AD255" s="24">
        <f t="shared" si="460"/>
        <v>0</v>
      </c>
      <c r="AE255" s="25">
        <f t="shared" si="460"/>
        <v>0</v>
      </c>
      <c r="AF255" s="24">
        <f t="shared" si="460"/>
        <v>0</v>
      </c>
      <c r="AG255" s="25">
        <f t="shared" si="460"/>
        <v>0</v>
      </c>
      <c r="AH255" s="24">
        <f t="shared" si="460"/>
        <v>0</v>
      </c>
      <c r="AI255" s="25">
        <f t="shared" si="460"/>
        <v>0</v>
      </c>
      <c r="AJ255" s="24">
        <f t="shared" si="460"/>
        <v>0</v>
      </c>
      <c r="AK255" s="27">
        <f t="shared" si="406"/>
        <v>1.202810727753719</v>
      </c>
      <c r="AL255" s="41">
        <v>0</v>
      </c>
      <c r="AM255" s="40">
        <v>0</v>
      </c>
      <c r="AN255" s="39">
        <v>0</v>
      </c>
      <c r="AO255" s="40">
        <v>0</v>
      </c>
      <c r="AP255" s="39">
        <v>0</v>
      </c>
      <c r="AQ255" s="40">
        <v>0</v>
      </c>
      <c r="AR255" s="39">
        <v>0</v>
      </c>
      <c r="AS255" s="40">
        <v>0</v>
      </c>
      <c r="AT255" s="39">
        <v>0</v>
      </c>
      <c r="AU255" s="38">
        <v>0</v>
      </c>
      <c r="CS255" s="54" t="s">
        <v>1433</v>
      </c>
      <c r="CT255" s="39">
        <v>0.30669020042492307</v>
      </c>
      <c r="CU255" s="40">
        <v>0.27060900037493213</v>
      </c>
      <c r="CV255" s="39">
        <v>0.46800127986920087</v>
      </c>
      <c r="CW255" s="40">
        <v>8.9617266357932074E-2</v>
      </c>
      <c r="CX255" s="39">
        <v>0.82658749205433812</v>
      </c>
      <c r="CY255" s="40">
        <v>0.47995402764445444</v>
      </c>
      <c r="CZ255" s="39">
        <v>0.34663346440988374</v>
      </c>
      <c r="DA255" s="40">
        <v>3.4488004203627708E-2</v>
      </c>
      <c r="DB255" s="39">
        <v>0.26728203257811473</v>
      </c>
      <c r="DC255" s="38">
        <v>3.0898627679174067</v>
      </c>
      <c r="DE255" s="37" t="s">
        <v>1751</v>
      </c>
      <c r="DF255" s="35" t="str">
        <f t="shared" si="407"/>
        <v>ICTFS</v>
      </c>
      <c r="DG255" s="26">
        <f t="shared" si="457"/>
        <v>0</v>
      </c>
      <c r="DH255" s="25">
        <f t="shared" si="457"/>
        <v>0</v>
      </c>
      <c r="DI255" s="24">
        <f t="shared" si="457"/>
        <v>0</v>
      </c>
      <c r="DJ255" s="25">
        <f t="shared" si="457"/>
        <v>0</v>
      </c>
      <c r="DK255" s="24">
        <f t="shared" si="457"/>
        <v>1.1280004928513268</v>
      </c>
      <c r="DL255" s="25">
        <f t="shared" si="457"/>
        <v>0.98321673443675361</v>
      </c>
      <c r="DM255" s="24">
        <f t="shared" si="457"/>
        <v>3.4156972557507155</v>
      </c>
      <c r="DN255" s="25">
        <f t="shared" si="457"/>
        <v>0</v>
      </c>
      <c r="DO255" s="32">
        <f t="shared" si="457"/>
        <v>0</v>
      </c>
      <c r="DP255" s="26">
        <f t="shared" si="408"/>
        <v>0</v>
      </c>
      <c r="DQ255" s="25">
        <f t="shared" si="409"/>
        <v>0</v>
      </c>
      <c r="DR255" s="24">
        <f t="shared" si="410"/>
        <v>0</v>
      </c>
      <c r="DS255" s="25">
        <f t="shared" si="411"/>
        <v>0</v>
      </c>
      <c r="DT255" s="24">
        <f t="shared" si="412"/>
        <v>0.17534688271289711</v>
      </c>
      <c r="DU255" s="25">
        <f t="shared" si="413"/>
        <v>0.17534688271289711</v>
      </c>
      <c r="DV255" s="24">
        <f t="shared" si="414"/>
        <v>0.17534688271289711</v>
      </c>
      <c r="DW255" s="25">
        <f t="shared" si="415"/>
        <v>0</v>
      </c>
      <c r="DX255" s="32">
        <f t="shared" si="416"/>
        <v>0</v>
      </c>
      <c r="DZ255" s="54" t="s">
        <v>1750</v>
      </c>
      <c r="EA255" s="39">
        <v>0.1514259306605148</v>
      </c>
      <c r="EB255" s="40">
        <v>6.9653018684773901E-2</v>
      </c>
      <c r="EC255" s="39">
        <v>2.2138511847602606E-2</v>
      </c>
      <c r="ED255" s="40">
        <v>2.2138511847602599E-2</v>
      </c>
      <c r="EE255" s="39">
        <v>7.9931773936096379E-2</v>
      </c>
      <c r="EF255" s="40">
        <v>7.9931773936096392E-2</v>
      </c>
      <c r="EG255" s="39">
        <v>7.9931773936096379E-2</v>
      </c>
      <c r="EH255" s="40">
        <v>0.14532619983773126</v>
      </c>
      <c r="EI255" s="66">
        <v>0.14532619983773123</v>
      </c>
    </row>
    <row r="256" spans="1:139">
      <c r="A256" s="37" t="s">
        <v>1696</v>
      </c>
      <c r="B256" s="36" t="s">
        <v>1129</v>
      </c>
      <c r="C256" s="1" t="s">
        <v>1132</v>
      </c>
      <c r="D256" s="36" t="s">
        <v>1131</v>
      </c>
      <c r="E256" s="36" t="s">
        <v>1749</v>
      </c>
      <c r="F256" s="1" t="e">
        <f t="shared" ca="1" si="439"/>
        <v>#NAME?</v>
      </c>
      <c r="G256" s="35" t="s">
        <v>1109</v>
      </c>
      <c r="H256" s="34">
        <f>1-I256</f>
        <v>0.4716263341435063</v>
      </c>
      <c r="I256" s="33">
        <v>0.5283736658564937</v>
      </c>
      <c r="J256" s="26">
        <v>0</v>
      </c>
      <c r="K256" s="25">
        <v>0</v>
      </c>
      <c r="L256" s="24"/>
      <c r="M256" s="25"/>
      <c r="N256" s="24"/>
      <c r="O256" s="25"/>
      <c r="P256" s="24"/>
      <c r="Q256" s="25"/>
      <c r="R256" s="32"/>
      <c r="S256" s="31" t="e">
        <v>#REF!</v>
      </c>
      <c r="T256" s="29" t="e">
        <v>#REF!</v>
      </c>
      <c r="U256" s="30" t="e">
        <v>#REF!</v>
      </c>
      <c r="V256" s="29" t="e">
        <v>#REF!</v>
      </c>
      <c r="W256" s="30" t="e">
        <v>#REF!</v>
      </c>
      <c r="X256" s="29" t="e">
        <v>#REF!</v>
      </c>
      <c r="Y256" s="30" t="e">
        <v>#REF!</v>
      </c>
      <c r="Z256" s="29" t="e">
        <v>#REF!</v>
      </c>
      <c r="AA256" s="28" t="e">
        <v>#REF!</v>
      </c>
      <c r="AB256" s="26" t="e">
        <f t="shared" ref="AB256:AJ256" si="461">J256*31.536*$H256*S256</f>
        <v>#REF!</v>
      </c>
      <c r="AC256" s="25" t="e">
        <f t="shared" si="461"/>
        <v>#REF!</v>
      </c>
      <c r="AD256" s="24" t="e">
        <f t="shared" si="461"/>
        <v>#REF!</v>
      </c>
      <c r="AE256" s="25" t="e">
        <f t="shared" si="461"/>
        <v>#REF!</v>
      </c>
      <c r="AF256" s="24" t="e">
        <f t="shared" si="461"/>
        <v>#REF!</v>
      </c>
      <c r="AG256" s="25" t="e">
        <f t="shared" si="461"/>
        <v>#REF!</v>
      </c>
      <c r="AH256" s="24" t="e">
        <f t="shared" si="461"/>
        <v>#REF!</v>
      </c>
      <c r="AI256" s="25" t="e">
        <f t="shared" si="461"/>
        <v>#REF!</v>
      </c>
      <c r="AJ256" s="24" t="e">
        <f t="shared" si="461"/>
        <v>#REF!</v>
      </c>
      <c r="AK256" s="27" t="e">
        <f t="shared" si="406"/>
        <v>#REF!</v>
      </c>
      <c r="AL256" s="26" t="e">
        <f t="shared" ref="AL256:AT256" si="462">J256*31.536*$I256*S256</f>
        <v>#REF!</v>
      </c>
      <c r="AM256" s="25" t="e">
        <f t="shared" si="462"/>
        <v>#REF!</v>
      </c>
      <c r="AN256" s="24" t="e">
        <f t="shared" si="462"/>
        <v>#REF!</v>
      </c>
      <c r="AO256" s="25" t="e">
        <f t="shared" si="462"/>
        <v>#REF!</v>
      </c>
      <c r="AP256" s="24" t="e">
        <f t="shared" si="462"/>
        <v>#REF!</v>
      </c>
      <c r="AQ256" s="25" t="e">
        <f t="shared" si="462"/>
        <v>#REF!</v>
      </c>
      <c r="AR256" s="24" t="e">
        <f t="shared" si="462"/>
        <v>#REF!</v>
      </c>
      <c r="AS256" s="25" t="e">
        <f t="shared" si="462"/>
        <v>#REF!</v>
      </c>
      <c r="AT256" s="24" t="e">
        <f t="shared" si="462"/>
        <v>#REF!</v>
      </c>
      <c r="AU256" s="23" t="e">
        <f>SUM(AL256:AT256)</f>
        <v>#REF!</v>
      </c>
      <c r="CS256" s="54" t="s">
        <v>1429</v>
      </c>
      <c r="CT256" s="39">
        <v>0</v>
      </c>
      <c r="CU256" s="40">
        <v>0.57729920079985531</v>
      </c>
      <c r="CV256" s="39">
        <v>0.46800127986920093</v>
      </c>
      <c r="CW256" s="40">
        <v>8.9617266357932088E-2</v>
      </c>
      <c r="CX256" s="39">
        <v>0.82658749205433835</v>
      </c>
      <c r="CY256" s="40">
        <v>0.47995402764445455</v>
      </c>
      <c r="CZ256" s="39">
        <v>0.34663346440988385</v>
      </c>
      <c r="DA256" s="40">
        <v>3.4488004203627722E-2</v>
      </c>
      <c r="DB256" s="39">
        <v>0.26728203257811484</v>
      </c>
      <c r="DC256" s="38">
        <v>3.0898627679174071</v>
      </c>
      <c r="DE256" s="37" t="s">
        <v>1748</v>
      </c>
      <c r="DF256" s="35" t="str">
        <f t="shared" si="407"/>
        <v>IMOFS</v>
      </c>
      <c r="DG256" s="26">
        <f t="shared" si="457"/>
        <v>0.34848788559085392</v>
      </c>
      <c r="DH256" s="25">
        <f t="shared" si="457"/>
        <v>0.95926990338252582</v>
      </c>
      <c r="DI256" s="24">
        <f t="shared" si="457"/>
        <v>0.77966926024795458</v>
      </c>
      <c r="DJ256" s="25">
        <f t="shared" si="457"/>
        <v>0.52808852872542511</v>
      </c>
      <c r="DK256" s="24">
        <f t="shared" si="457"/>
        <v>0</v>
      </c>
      <c r="DL256" s="25">
        <f t="shared" si="457"/>
        <v>0</v>
      </c>
      <c r="DM256" s="24">
        <f t="shared" si="457"/>
        <v>0</v>
      </c>
      <c r="DN256" s="25">
        <f t="shared" si="457"/>
        <v>0</v>
      </c>
      <c r="DO256" s="32">
        <f t="shared" si="457"/>
        <v>0</v>
      </c>
      <c r="DP256" s="26">
        <f t="shared" si="408"/>
        <v>0.50893671755404779</v>
      </c>
      <c r="DQ256" s="25">
        <f t="shared" si="409"/>
        <v>0.16535311479886236</v>
      </c>
      <c r="DR256" s="24">
        <f t="shared" si="410"/>
        <v>0.68333146985981752</v>
      </c>
      <c r="DS256" s="25">
        <f t="shared" si="411"/>
        <v>0.68333146985981752</v>
      </c>
      <c r="DT256" s="24">
        <f t="shared" si="412"/>
        <v>0</v>
      </c>
      <c r="DU256" s="25">
        <f t="shared" si="413"/>
        <v>0</v>
      </c>
      <c r="DV256" s="24">
        <f t="shared" si="414"/>
        <v>0</v>
      </c>
      <c r="DW256" s="25">
        <f t="shared" si="415"/>
        <v>0</v>
      </c>
      <c r="DX256" s="32">
        <f t="shared" si="416"/>
        <v>0</v>
      </c>
      <c r="DZ256" s="54" t="s">
        <v>1747</v>
      </c>
      <c r="EA256" s="39">
        <v>0.72796149485541539</v>
      </c>
      <c r="EB256" s="40">
        <v>0.33484830096000029</v>
      </c>
      <c r="EC256" s="39">
        <v>0.14781689807901582</v>
      </c>
      <c r="ED256" s="40">
        <v>0.14781689807901585</v>
      </c>
      <c r="EE256" s="39">
        <v>0.4596076692887765</v>
      </c>
      <c r="EF256" s="40">
        <v>0.45960766928877655</v>
      </c>
      <c r="EG256" s="39">
        <v>0.4596076692887765</v>
      </c>
      <c r="EH256" s="40">
        <v>0.8383653490316042</v>
      </c>
      <c r="EI256" s="66">
        <v>0.83836534903160409</v>
      </c>
    </row>
    <row r="257" spans="1:139" ht="15.75" thickBot="1">
      <c r="A257" s="37" t="s">
        <v>1696</v>
      </c>
      <c r="B257" s="36" t="s">
        <v>1123</v>
      </c>
      <c r="C257" s="1" t="s">
        <v>1120</v>
      </c>
      <c r="D257" s="36" t="s">
        <v>1120</v>
      </c>
      <c r="E257" s="36" t="s">
        <v>1746</v>
      </c>
      <c r="F257" s="1" t="e">
        <f t="shared" ca="1" si="439"/>
        <v>#NAME?</v>
      </c>
      <c r="G257" s="35" t="s">
        <v>1121</v>
      </c>
      <c r="H257" s="43">
        <v>1</v>
      </c>
      <c r="I257" s="42">
        <v>0</v>
      </c>
      <c r="J257" s="26">
        <v>3.0751549054220416E-2</v>
      </c>
      <c r="K257" s="25">
        <v>3.1084516693325126E-2</v>
      </c>
      <c r="L257" s="24"/>
      <c r="M257" s="25"/>
      <c r="N257" s="24"/>
      <c r="O257" s="25"/>
      <c r="P257" s="24"/>
      <c r="Q257" s="25"/>
      <c r="R257" s="32"/>
      <c r="S257" s="47">
        <v>1</v>
      </c>
      <c r="T257" s="45">
        <v>1</v>
      </c>
      <c r="U257" s="46">
        <v>1</v>
      </c>
      <c r="V257" s="45">
        <v>1</v>
      </c>
      <c r="W257" s="46">
        <v>1</v>
      </c>
      <c r="X257" s="45">
        <v>1</v>
      </c>
      <c r="Y257" s="46">
        <v>1</v>
      </c>
      <c r="Z257" s="45">
        <v>1</v>
      </c>
      <c r="AA257" s="44">
        <v>1</v>
      </c>
      <c r="AB257" s="26">
        <f t="shared" ref="AB257:AJ262" si="463">J257*$H257*S257</f>
        <v>3.0751549054220416E-2</v>
      </c>
      <c r="AC257" s="25">
        <f t="shared" si="463"/>
        <v>3.1084516693325126E-2</v>
      </c>
      <c r="AD257" s="24">
        <f t="shared" si="463"/>
        <v>0</v>
      </c>
      <c r="AE257" s="25">
        <f t="shared" si="463"/>
        <v>0</v>
      </c>
      <c r="AF257" s="24">
        <f t="shared" si="463"/>
        <v>0</v>
      </c>
      <c r="AG257" s="25">
        <f t="shared" si="463"/>
        <v>0</v>
      </c>
      <c r="AH257" s="24">
        <f t="shared" si="463"/>
        <v>0</v>
      </c>
      <c r="AI257" s="25">
        <f t="shared" si="463"/>
        <v>0</v>
      </c>
      <c r="AJ257" s="24">
        <f t="shared" si="463"/>
        <v>0</v>
      </c>
      <c r="AK257" s="27">
        <f t="shared" si="406"/>
        <v>6.1836065747545542E-2</v>
      </c>
      <c r="AL257" s="41">
        <v>0</v>
      </c>
      <c r="AM257" s="40">
        <v>0</v>
      </c>
      <c r="AN257" s="39">
        <v>0</v>
      </c>
      <c r="AO257" s="40">
        <v>0</v>
      </c>
      <c r="AP257" s="39">
        <v>0</v>
      </c>
      <c r="AQ257" s="40">
        <v>0</v>
      </c>
      <c r="AR257" s="39">
        <v>0</v>
      </c>
      <c r="AS257" s="40">
        <v>0</v>
      </c>
      <c r="AT257" s="39">
        <v>0</v>
      </c>
      <c r="AU257" s="38">
        <v>0</v>
      </c>
      <c r="CS257" s="53" t="s">
        <v>1396</v>
      </c>
      <c r="CT257" s="39">
        <v>14.151617550586852</v>
      </c>
      <c r="CU257" s="40">
        <v>7.372461001719337</v>
      </c>
      <c r="CV257" s="39">
        <v>17.528259308439878</v>
      </c>
      <c r="CW257" s="40">
        <v>8.9794525485840033</v>
      </c>
      <c r="CX257" s="39">
        <v>52.605550579029092</v>
      </c>
      <c r="CY257" s="40">
        <v>13.243182390636454</v>
      </c>
      <c r="CZ257" s="39">
        <v>10.316814673679492</v>
      </c>
      <c r="DA257" s="40">
        <v>2.6122230914708036</v>
      </c>
      <c r="DB257" s="39">
        <v>10.520641274186449</v>
      </c>
      <c r="DC257" s="38">
        <v>137.33020241833239</v>
      </c>
      <c r="DE257" s="37" t="s">
        <v>1745</v>
      </c>
      <c r="DF257" s="35" t="str">
        <f t="shared" si="407"/>
        <v>IMOFS</v>
      </c>
      <c r="DG257" s="26">
        <f t="shared" si="457"/>
        <v>8.9827343121708404E-3</v>
      </c>
      <c r="DH257" s="25">
        <f t="shared" si="457"/>
        <v>2.4726445400353889E-2</v>
      </c>
      <c r="DI257" s="24">
        <f t="shared" si="457"/>
        <v>4.01940044733536E-3</v>
      </c>
      <c r="DJ257" s="25">
        <f t="shared" si="457"/>
        <v>2.7224354951695872E-3</v>
      </c>
      <c r="DK257" s="24">
        <f t="shared" si="457"/>
        <v>0</v>
      </c>
      <c r="DL257" s="25">
        <f t="shared" si="457"/>
        <v>0</v>
      </c>
      <c r="DM257" s="24">
        <f t="shared" si="457"/>
        <v>0</v>
      </c>
      <c r="DN257" s="25">
        <f t="shared" si="457"/>
        <v>0</v>
      </c>
      <c r="DO257" s="32">
        <f t="shared" si="457"/>
        <v>0</v>
      </c>
      <c r="DP257" s="26">
        <f t="shared" si="408"/>
        <v>1.3118514314336117E-2</v>
      </c>
      <c r="DQ257" s="25">
        <f t="shared" si="409"/>
        <v>4.2621943526379132E-3</v>
      </c>
      <c r="DR257" s="24">
        <f t="shared" si="410"/>
        <v>3.5227537568422239E-3</v>
      </c>
      <c r="DS257" s="25">
        <f t="shared" si="411"/>
        <v>3.5227537568422243E-3</v>
      </c>
      <c r="DT257" s="24">
        <f t="shared" si="412"/>
        <v>0</v>
      </c>
      <c r="DU257" s="25">
        <f t="shared" si="413"/>
        <v>0</v>
      </c>
      <c r="DV257" s="24">
        <f t="shared" si="414"/>
        <v>0</v>
      </c>
      <c r="DW257" s="25">
        <f t="shared" si="415"/>
        <v>0</v>
      </c>
      <c r="DX257" s="32">
        <f t="shared" si="416"/>
        <v>0</v>
      </c>
      <c r="DZ257" s="53" t="s">
        <v>1744</v>
      </c>
      <c r="EA257" s="39">
        <v>0.10757820128547456</v>
      </c>
      <c r="EB257" s="40">
        <v>4.948390563971887E-2</v>
      </c>
      <c r="EC257" s="39">
        <v>8.7702473576339326E-2</v>
      </c>
      <c r="ED257" s="40">
        <v>8.7702473576339326E-2</v>
      </c>
      <c r="EE257" s="39">
        <v>2.4339284679108661E-2</v>
      </c>
      <c r="EF257" s="40">
        <v>2.4339284679108661E-2</v>
      </c>
      <c r="EG257" s="39">
        <v>2.4339284679108661E-2</v>
      </c>
      <c r="EH257" s="40">
        <v>0</v>
      </c>
      <c r="EI257" s="66">
        <v>0</v>
      </c>
    </row>
    <row r="258" spans="1:139">
      <c r="A258" s="37" t="s">
        <v>1696</v>
      </c>
      <c r="B258" s="36" t="s">
        <v>1123</v>
      </c>
      <c r="C258" s="1" t="s">
        <v>1126</v>
      </c>
      <c r="D258" s="36" t="s">
        <v>1126</v>
      </c>
      <c r="E258" s="36" t="s">
        <v>1743</v>
      </c>
      <c r="F258" s="1" t="e">
        <f t="shared" ca="1" si="439"/>
        <v>#NAME?</v>
      </c>
      <c r="G258" s="35" t="s">
        <v>1121</v>
      </c>
      <c r="H258" s="43">
        <v>1</v>
      </c>
      <c r="I258" s="42">
        <v>0</v>
      </c>
      <c r="J258" s="26">
        <v>2.6672235464932874</v>
      </c>
      <c r="K258" s="25">
        <v>1.2085980597606647</v>
      </c>
      <c r="L258" s="24"/>
      <c r="M258" s="25"/>
      <c r="N258" s="24"/>
      <c r="O258" s="25"/>
      <c r="P258" s="24"/>
      <c r="Q258" s="25"/>
      <c r="R258" s="32"/>
      <c r="S258" s="47">
        <v>1</v>
      </c>
      <c r="T258" s="45">
        <v>1</v>
      </c>
      <c r="U258" s="46">
        <v>1</v>
      </c>
      <c r="V258" s="45">
        <v>1</v>
      </c>
      <c r="W258" s="46">
        <v>1</v>
      </c>
      <c r="X258" s="45">
        <v>1</v>
      </c>
      <c r="Y258" s="46">
        <v>1</v>
      </c>
      <c r="Z258" s="45">
        <v>1</v>
      </c>
      <c r="AA258" s="44">
        <v>1</v>
      </c>
      <c r="AB258" s="26">
        <f t="shared" si="463"/>
        <v>2.6672235464932874</v>
      </c>
      <c r="AC258" s="25">
        <f t="shared" si="463"/>
        <v>1.2085980597606647</v>
      </c>
      <c r="AD258" s="24">
        <f t="shared" si="463"/>
        <v>0</v>
      </c>
      <c r="AE258" s="25">
        <f t="shared" si="463"/>
        <v>0</v>
      </c>
      <c r="AF258" s="24">
        <f t="shared" si="463"/>
        <v>0</v>
      </c>
      <c r="AG258" s="25">
        <f t="shared" si="463"/>
        <v>0</v>
      </c>
      <c r="AH258" s="24">
        <f t="shared" si="463"/>
        <v>0</v>
      </c>
      <c r="AI258" s="25">
        <f t="shared" si="463"/>
        <v>0</v>
      </c>
      <c r="AJ258" s="24">
        <f t="shared" si="463"/>
        <v>0</v>
      </c>
      <c r="AK258" s="27">
        <f t="shared" si="406"/>
        <v>3.8758216062539521</v>
      </c>
      <c r="AL258" s="41">
        <v>0</v>
      </c>
      <c r="AM258" s="40">
        <v>0</v>
      </c>
      <c r="AN258" s="39">
        <v>0</v>
      </c>
      <c r="AO258" s="40">
        <v>0</v>
      </c>
      <c r="AP258" s="39">
        <v>0</v>
      </c>
      <c r="AQ258" s="40">
        <v>0</v>
      </c>
      <c r="AR258" s="39">
        <v>0</v>
      </c>
      <c r="AS258" s="40">
        <v>0</v>
      </c>
      <c r="AT258" s="39">
        <v>0</v>
      </c>
      <c r="AU258" s="38">
        <v>0</v>
      </c>
      <c r="CS258" s="67" t="s">
        <v>1385</v>
      </c>
      <c r="CT258" s="39">
        <v>0.29709423319563899</v>
      </c>
      <c r="CU258" s="40">
        <v>0.26214197046674026</v>
      </c>
      <c r="CV258" s="39">
        <v>2.6284101572131831</v>
      </c>
      <c r="CW258" s="40">
        <v>0.50331258329614137</v>
      </c>
      <c r="CX258" s="39">
        <v>2.236944814649517</v>
      </c>
      <c r="CY258" s="40">
        <v>1.2988711826997197</v>
      </c>
      <c r="CZ258" s="39">
        <v>0.93807363194979754</v>
      </c>
      <c r="DA258" s="40">
        <v>0.35791117034392272</v>
      </c>
      <c r="DB258" s="39">
        <v>2.7738115701654009</v>
      </c>
      <c r="DC258" s="38">
        <v>11.296571313980063</v>
      </c>
      <c r="DE258" s="37" t="s">
        <v>1742</v>
      </c>
      <c r="DF258" s="35" t="str">
        <f t="shared" si="407"/>
        <v>IMOFS</v>
      </c>
      <c r="DG258" s="26">
        <f t="shared" ref="DG258:DO267" si="464">GETPIVOTDATA("Sum of "&amp;DG$1&amp;" (Out)",$CS$6,"Constraint Identifier",$DE258)</f>
        <v>0</v>
      </c>
      <c r="DH258" s="25">
        <f t="shared" si="464"/>
        <v>3.9164905549101037</v>
      </c>
      <c r="DI258" s="24">
        <f t="shared" si="464"/>
        <v>0.22577653416250074</v>
      </c>
      <c r="DJ258" s="25">
        <f t="shared" si="464"/>
        <v>0.15292381504008834</v>
      </c>
      <c r="DK258" s="24">
        <f t="shared" si="464"/>
        <v>0</v>
      </c>
      <c r="DL258" s="25">
        <f t="shared" si="464"/>
        <v>0</v>
      </c>
      <c r="DM258" s="24">
        <f t="shared" si="464"/>
        <v>0</v>
      </c>
      <c r="DN258" s="25">
        <f t="shared" si="464"/>
        <v>0</v>
      </c>
      <c r="DO258" s="32">
        <f t="shared" si="464"/>
        <v>0</v>
      </c>
      <c r="DP258" s="26">
        <f t="shared" si="408"/>
        <v>0</v>
      </c>
      <c r="DQ258" s="25">
        <f t="shared" si="409"/>
        <v>0.6751008345525743</v>
      </c>
      <c r="DR258" s="24">
        <f t="shared" si="410"/>
        <v>0.19787904796971464</v>
      </c>
      <c r="DS258" s="25">
        <f t="shared" si="411"/>
        <v>0.19787904796971467</v>
      </c>
      <c r="DT258" s="24">
        <f t="shared" si="412"/>
        <v>0</v>
      </c>
      <c r="DU258" s="25">
        <f t="shared" si="413"/>
        <v>0</v>
      </c>
      <c r="DV258" s="24">
        <f t="shared" si="414"/>
        <v>0</v>
      </c>
      <c r="DW258" s="25">
        <f t="shared" si="415"/>
        <v>0</v>
      </c>
      <c r="DX258" s="32">
        <f t="shared" si="416"/>
        <v>0</v>
      </c>
      <c r="DZ258" s="67" t="s">
        <v>1741</v>
      </c>
      <c r="EA258" s="39">
        <v>0</v>
      </c>
      <c r="EB258" s="40">
        <v>0.54001921347981963</v>
      </c>
      <c r="EC258" s="39">
        <v>0.7195606690665215</v>
      </c>
      <c r="ED258" s="40">
        <v>0.7195606690665215</v>
      </c>
      <c r="EE258" s="39">
        <v>0.30637826435834908</v>
      </c>
      <c r="EF258" s="40">
        <v>0.30637826435834908</v>
      </c>
      <c r="EG258" s="39">
        <v>0.30637826435834908</v>
      </c>
      <c r="EH258" s="40">
        <v>0</v>
      </c>
      <c r="EI258" s="66">
        <v>0</v>
      </c>
    </row>
    <row r="259" spans="1:139">
      <c r="A259" s="37" t="s">
        <v>1696</v>
      </c>
      <c r="B259" s="36" t="s">
        <v>1123</v>
      </c>
      <c r="C259" s="1" t="s">
        <v>665</v>
      </c>
      <c r="D259" s="36" t="s">
        <v>665</v>
      </c>
      <c r="E259" s="36" t="s">
        <v>1740</v>
      </c>
      <c r="F259" s="1" t="e">
        <f t="shared" ca="1" si="439"/>
        <v>#NAME?</v>
      </c>
      <c r="G259" s="35" t="s">
        <v>1121</v>
      </c>
      <c r="H259" s="43">
        <v>1</v>
      </c>
      <c r="I259" s="42">
        <v>0</v>
      </c>
      <c r="J259" s="26">
        <v>7.98537132753665</v>
      </c>
      <c r="K259" s="25">
        <v>0</v>
      </c>
      <c r="L259" s="24"/>
      <c r="M259" s="25"/>
      <c r="N259" s="24"/>
      <c r="O259" s="25"/>
      <c r="P259" s="24"/>
      <c r="Q259" s="25"/>
      <c r="R259" s="32"/>
      <c r="S259" s="47">
        <v>1</v>
      </c>
      <c r="T259" s="45">
        <v>1</v>
      </c>
      <c r="U259" s="46">
        <v>1</v>
      </c>
      <c r="V259" s="45">
        <v>1</v>
      </c>
      <c r="W259" s="46">
        <v>1</v>
      </c>
      <c r="X259" s="45">
        <v>1</v>
      </c>
      <c r="Y259" s="46">
        <v>1</v>
      </c>
      <c r="Z259" s="45">
        <v>1</v>
      </c>
      <c r="AA259" s="44">
        <v>1</v>
      </c>
      <c r="AB259" s="26">
        <f t="shared" si="463"/>
        <v>7.98537132753665</v>
      </c>
      <c r="AC259" s="25">
        <f t="shared" si="463"/>
        <v>0</v>
      </c>
      <c r="AD259" s="24">
        <f t="shared" si="463"/>
        <v>0</v>
      </c>
      <c r="AE259" s="25">
        <f t="shared" si="463"/>
        <v>0</v>
      </c>
      <c r="AF259" s="24">
        <f t="shared" si="463"/>
        <v>0</v>
      </c>
      <c r="AG259" s="25">
        <f t="shared" si="463"/>
        <v>0</v>
      </c>
      <c r="AH259" s="24">
        <f t="shared" si="463"/>
        <v>0</v>
      </c>
      <c r="AI259" s="25">
        <f t="shared" si="463"/>
        <v>0</v>
      </c>
      <c r="AJ259" s="24">
        <f t="shared" si="463"/>
        <v>0</v>
      </c>
      <c r="AK259" s="27">
        <f t="shared" si="406"/>
        <v>7.98537132753665</v>
      </c>
      <c r="AL259" s="41">
        <v>0</v>
      </c>
      <c r="AM259" s="40">
        <v>0</v>
      </c>
      <c r="AN259" s="39">
        <v>0</v>
      </c>
      <c r="AO259" s="40">
        <v>0</v>
      </c>
      <c r="AP259" s="39">
        <v>0</v>
      </c>
      <c r="AQ259" s="40">
        <v>0</v>
      </c>
      <c r="AR259" s="39">
        <v>0</v>
      </c>
      <c r="AS259" s="40">
        <v>0</v>
      </c>
      <c r="AT259" s="39">
        <v>0</v>
      </c>
      <c r="AU259" s="38">
        <v>0</v>
      </c>
      <c r="CS259" s="54" t="s">
        <v>1382</v>
      </c>
      <c r="CT259" s="39">
        <v>8.1174856056976328</v>
      </c>
      <c r="CU259" s="40">
        <v>7.1624872991449697</v>
      </c>
      <c r="CV259" s="39">
        <v>9.8067893328349065</v>
      </c>
      <c r="CW259" s="40">
        <v>1.8778958296917907</v>
      </c>
      <c r="CX259" s="39">
        <v>8.5388083880002785</v>
      </c>
      <c r="CY259" s="40">
        <v>4.9580177736775815</v>
      </c>
      <c r="CZ259" s="39">
        <v>3.580790614322698</v>
      </c>
      <c r="DA259" s="40">
        <v>0.95874339795090846</v>
      </c>
      <c r="DB259" s="39">
        <v>7.4302613341195398</v>
      </c>
      <c r="DC259" s="38">
        <v>52.431279575440307</v>
      </c>
      <c r="DE259" s="37" t="s">
        <v>1739</v>
      </c>
      <c r="DF259" s="35" t="str">
        <f t="shared" si="407"/>
        <v>IMOFS</v>
      </c>
      <c r="DG259" s="26">
        <f t="shared" si="464"/>
        <v>0.3272665459782037</v>
      </c>
      <c r="DH259" s="25">
        <f t="shared" si="464"/>
        <v>0.90085469515983574</v>
      </c>
      <c r="DI259" s="24">
        <f t="shared" si="464"/>
        <v>0.13151732188170664</v>
      </c>
      <c r="DJ259" s="25">
        <f t="shared" si="464"/>
        <v>8.9079809292892831E-2</v>
      </c>
      <c r="DK259" s="24">
        <f t="shared" si="464"/>
        <v>0</v>
      </c>
      <c r="DL259" s="25">
        <f t="shared" si="464"/>
        <v>0</v>
      </c>
      <c r="DM259" s="24">
        <f t="shared" si="464"/>
        <v>0</v>
      </c>
      <c r="DN259" s="25">
        <f t="shared" si="464"/>
        <v>0</v>
      </c>
      <c r="DO259" s="32">
        <f t="shared" si="464"/>
        <v>0</v>
      </c>
      <c r="DP259" s="26">
        <f t="shared" si="408"/>
        <v>0.47794476813161613</v>
      </c>
      <c r="DQ259" s="25">
        <f t="shared" si="409"/>
        <v>0.1552838562959255</v>
      </c>
      <c r="DR259" s="24">
        <f t="shared" si="410"/>
        <v>0.11526672841362558</v>
      </c>
      <c r="DS259" s="25">
        <f t="shared" si="411"/>
        <v>0.11526672841362559</v>
      </c>
      <c r="DT259" s="24">
        <f t="shared" si="412"/>
        <v>0</v>
      </c>
      <c r="DU259" s="25">
        <f t="shared" si="413"/>
        <v>0</v>
      </c>
      <c r="DV259" s="24">
        <f t="shared" si="414"/>
        <v>0</v>
      </c>
      <c r="DW259" s="25">
        <f t="shared" si="415"/>
        <v>0</v>
      </c>
      <c r="DX259" s="32">
        <f t="shared" si="416"/>
        <v>0</v>
      </c>
      <c r="DZ259" s="54" t="s">
        <v>1738</v>
      </c>
      <c r="EA259" s="39">
        <v>1.3034373198595199E-2</v>
      </c>
      <c r="EB259" s="40">
        <v>5.995561235687381E-3</v>
      </c>
      <c r="EC259" s="39">
        <v>3.575994920879073E-3</v>
      </c>
      <c r="ED259" s="40">
        <v>3.575994920879073E-3</v>
      </c>
      <c r="EE259" s="39">
        <v>7.3749956528278903E-3</v>
      </c>
      <c r="EF259" s="40">
        <v>7.3749956528278912E-3</v>
      </c>
      <c r="EG259" s="39">
        <v>7.3749956528278921E-3</v>
      </c>
      <c r="EH259" s="40">
        <v>1.630845113066462E-2</v>
      </c>
      <c r="EI259" s="66">
        <v>1.630845113066462E-2</v>
      </c>
    </row>
    <row r="260" spans="1:139">
      <c r="A260" s="37" t="s">
        <v>1696</v>
      </c>
      <c r="B260" s="36" t="s">
        <v>1123</v>
      </c>
      <c r="C260" s="1" t="s">
        <v>1111</v>
      </c>
      <c r="D260" s="36" t="s">
        <v>1111</v>
      </c>
      <c r="E260" s="36" t="s">
        <v>1737</v>
      </c>
      <c r="F260" s="1" t="e">
        <f t="shared" ca="1" si="439"/>
        <v>#NAME?</v>
      </c>
      <c r="G260" s="35" t="s">
        <v>1121</v>
      </c>
      <c r="H260" s="43">
        <v>1</v>
      </c>
      <c r="I260" s="42">
        <v>0</v>
      </c>
      <c r="J260" s="26">
        <v>0</v>
      </c>
      <c r="K260" s="25">
        <v>0</v>
      </c>
      <c r="L260" s="24"/>
      <c r="M260" s="25"/>
      <c r="N260" s="24"/>
      <c r="O260" s="25"/>
      <c r="P260" s="24"/>
      <c r="Q260" s="25"/>
      <c r="R260" s="32"/>
      <c r="S260" s="47">
        <v>1</v>
      </c>
      <c r="T260" s="45">
        <v>1</v>
      </c>
      <c r="U260" s="46">
        <v>1</v>
      </c>
      <c r="V260" s="45">
        <v>1</v>
      </c>
      <c r="W260" s="46">
        <v>1</v>
      </c>
      <c r="X260" s="45">
        <v>1</v>
      </c>
      <c r="Y260" s="46">
        <v>1</v>
      </c>
      <c r="Z260" s="45">
        <v>1</v>
      </c>
      <c r="AA260" s="44">
        <v>1</v>
      </c>
      <c r="AB260" s="26">
        <f t="shared" si="463"/>
        <v>0</v>
      </c>
      <c r="AC260" s="25">
        <f t="shared" si="463"/>
        <v>0</v>
      </c>
      <c r="AD260" s="24">
        <f t="shared" si="463"/>
        <v>0</v>
      </c>
      <c r="AE260" s="25">
        <f t="shared" si="463"/>
        <v>0</v>
      </c>
      <c r="AF260" s="24">
        <f t="shared" si="463"/>
        <v>0</v>
      </c>
      <c r="AG260" s="25">
        <f t="shared" si="463"/>
        <v>0</v>
      </c>
      <c r="AH260" s="24">
        <f t="shared" si="463"/>
        <v>0</v>
      </c>
      <c r="AI260" s="25">
        <f t="shared" si="463"/>
        <v>0</v>
      </c>
      <c r="AJ260" s="24">
        <f t="shared" si="463"/>
        <v>0</v>
      </c>
      <c r="AK260" s="27">
        <f t="shared" si="406"/>
        <v>0</v>
      </c>
      <c r="AL260" s="41">
        <v>0</v>
      </c>
      <c r="AM260" s="40">
        <v>0</v>
      </c>
      <c r="AN260" s="39">
        <v>0</v>
      </c>
      <c r="AO260" s="40">
        <v>0</v>
      </c>
      <c r="AP260" s="39">
        <v>0</v>
      </c>
      <c r="AQ260" s="40">
        <v>0</v>
      </c>
      <c r="AR260" s="39">
        <v>0</v>
      </c>
      <c r="AS260" s="40">
        <v>0</v>
      </c>
      <c r="AT260" s="39">
        <v>0</v>
      </c>
      <c r="AU260" s="38">
        <v>0</v>
      </c>
      <c r="CS260" s="54" t="s">
        <v>1379</v>
      </c>
      <c r="CT260" s="39">
        <v>1.4072783363802552</v>
      </c>
      <c r="CU260" s="40">
        <v>1.2417161791590487</v>
      </c>
      <c r="CV260" s="39">
        <v>0.2779079067641681</v>
      </c>
      <c r="CW260" s="40">
        <v>5.321640767824494E-2</v>
      </c>
      <c r="CX260" s="39">
        <v>0.99337294332723924</v>
      </c>
      <c r="CY260" s="40">
        <v>0.57679719289968734</v>
      </c>
      <c r="CZ260" s="39">
        <v>0.41657575042755196</v>
      </c>
      <c r="DA260" s="40">
        <v>0</v>
      </c>
      <c r="DB260" s="39">
        <v>0</v>
      </c>
      <c r="DC260" s="38">
        <v>4.9668647166361959</v>
      </c>
      <c r="DE260" s="37" t="s">
        <v>1341</v>
      </c>
      <c r="DF260" s="35" t="str">
        <f t="shared" si="407"/>
        <v>IPBFS</v>
      </c>
      <c r="DG260" s="26">
        <f t="shared" si="464"/>
        <v>0</v>
      </c>
      <c r="DH260" s="25">
        <f t="shared" si="464"/>
        <v>0</v>
      </c>
      <c r="DI260" s="24">
        <f t="shared" si="464"/>
        <v>0</v>
      </c>
      <c r="DJ260" s="25">
        <f t="shared" si="464"/>
        <v>0</v>
      </c>
      <c r="DK260" s="24">
        <f t="shared" si="464"/>
        <v>0</v>
      </c>
      <c r="DL260" s="25">
        <f t="shared" si="464"/>
        <v>0</v>
      </c>
      <c r="DM260" s="24">
        <f t="shared" si="464"/>
        <v>0</v>
      </c>
      <c r="DN260" s="25">
        <f t="shared" si="464"/>
        <v>0.21025074516467288</v>
      </c>
      <c r="DO260" s="32">
        <f t="shared" si="464"/>
        <v>1.6294432750262149</v>
      </c>
      <c r="DP260" s="26">
        <f t="shared" si="408"/>
        <v>0</v>
      </c>
      <c r="DQ260" s="25">
        <f t="shared" si="409"/>
        <v>0</v>
      </c>
      <c r="DR260" s="24">
        <f t="shared" si="410"/>
        <v>0</v>
      </c>
      <c r="DS260" s="25">
        <f t="shared" si="411"/>
        <v>0</v>
      </c>
      <c r="DT260" s="24">
        <f t="shared" si="412"/>
        <v>0</v>
      </c>
      <c r="DU260" s="25">
        <f t="shared" si="413"/>
        <v>0</v>
      </c>
      <c r="DV260" s="24">
        <f t="shared" si="414"/>
        <v>0</v>
      </c>
      <c r="DW260" s="25">
        <f t="shared" si="415"/>
        <v>1</v>
      </c>
      <c r="DX260" s="32">
        <f t="shared" si="416"/>
        <v>1</v>
      </c>
      <c r="DZ260" s="54" t="s">
        <v>1497</v>
      </c>
      <c r="EA260" s="39">
        <v>0.35136608731952634</v>
      </c>
      <c r="EB260" s="40">
        <v>0.35136608731952634</v>
      </c>
      <c r="EC260" s="39">
        <v>0.52262727388250085</v>
      </c>
      <c r="ED260" s="40">
        <v>0.52262727388250074</v>
      </c>
      <c r="EE260" s="39">
        <v>0.28068965821204156</v>
      </c>
      <c r="EF260" s="40">
        <v>0.28068965821204156</v>
      </c>
      <c r="EG260" s="39">
        <v>0.28068965821204156</v>
      </c>
      <c r="EH260" s="40">
        <v>0.36939910427062589</v>
      </c>
      <c r="EI260" s="66">
        <v>0.36939910427062594</v>
      </c>
    </row>
    <row r="261" spans="1:139">
      <c r="A261" s="37" t="s">
        <v>1696</v>
      </c>
      <c r="B261" s="36" t="s">
        <v>1107</v>
      </c>
      <c r="C261" s="1" t="s">
        <v>1120</v>
      </c>
      <c r="D261" s="36" t="s">
        <v>1120</v>
      </c>
      <c r="E261" s="36" t="s">
        <v>1736</v>
      </c>
      <c r="F261" s="1" t="e">
        <f t="shared" ca="1" si="439"/>
        <v>#NAME?</v>
      </c>
      <c r="G261" s="35" t="s">
        <v>1104</v>
      </c>
      <c r="H261" s="43">
        <v>1</v>
      </c>
      <c r="I261" s="42">
        <v>0</v>
      </c>
      <c r="J261" s="26">
        <v>0.72739324358399993</v>
      </c>
      <c r="K261" s="25">
        <v>0</v>
      </c>
      <c r="L261" s="24"/>
      <c r="M261" s="25"/>
      <c r="N261" s="24"/>
      <c r="O261" s="25"/>
      <c r="P261" s="24"/>
      <c r="Q261" s="25"/>
      <c r="R261" s="32"/>
      <c r="S261" s="31" t="e">
        <v>#REF!</v>
      </c>
      <c r="T261" s="29" t="e">
        <f t="shared" ref="T261:AA270" si="465">S261</f>
        <v>#REF!</v>
      </c>
      <c r="U261" s="30" t="e">
        <f t="shared" si="465"/>
        <v>#REF!</v>
      </c>
      <c r="V261" s="29" t="e">
        <f t="shared" si="465"/>
        <v>#REF!</v>
      </c>
      <c r="W261" s="30" t="e">
        <f t="shared" si="465"/>
        <v>#REF!</v>
      </c>
      <c r="X261" s="29" t="e">
        <f t="shared" si="465"/>
        <v>#REF!</v>
      </c>
      <c r="Y261" s="30" t="e">
        <f t="shared" si="465"/>
        <v>#REF!</v>
      </c>
      <c r="Z261" s="29" t="e">
        <f t="shared" si="465"/>
        <v>#REF!</v>
      </c>
      <c r="AA261" s="28" t="e">
        <f t="shared" si="465"/>
        <v>#REF!</v>
      </c>
      <c r="AB261" s="26" t="e">
        <f t="shared" si="463"/>
        <v>#REF!</v>
      </c>
      <c r="AC261" s="25" t="e">
        <f t="shared" si="463"/>
        <v>#REF!</v>
      </c>
      <c r="AD261" s="24" t="e">
        <f t="shared" si="463"/>
        <v>#REF!</v>
      </c>
      <c r="AE261" s="25" t="e">
        <f t="shared" si="463"/>
        <v>#REF!</v>
      </c>
      <c r="AF261" s="24" t="e">
        <f t="shared" si="463"/>
        <v>#REF!</v>
      </c>
      <c r="AG261" s="25" t="e">
        <f t="shared" si="463"/>
        <v>#REF!</v>
      </c>
      <c r="AH261" s="24" t="e">
        <f t="shared" si="463"/>
        <v>#REF!</v>
      </c>
      <c r="AI261" s="25" t="e">
        <f t="shared" si="463"/>
        <v>#REF!</v>
      </c>
      <c r="AJ261" s="24" t="e">
        <f t="shared" si="463"/>
        <v>#REF!</v>
      </c>
      <c r="AK261" s="27" t="e">
        <f t="shared" si="406"/>
        <v>#REF!</v>
      </c>
      <c r="AL261" s="41">
        <v>0</v>
      </c>
      <c r="AM261" s="40">
        <v>0</v>
      </c>
      <c r="AN261" s="39">
        <v>0</v>
      </c>
      <c r="AO261" s="40">
        <v>0</v>
      </c>
      <c r="AP261" s="39">
        <v>0</v>
      </c>
      <c r="AQ261" s="40">
        <v>0</v>
      </c>
      <c r="AR261" s="39">
        <v>0</v>
      </c>
      <c r="AS261" s="40">
        <v>0</v>
      </c>
      <c r="AT261" s="39">
        <v>0</v>
      </c>
      <c r="AU261" s="38">
        <v>0</v>
      </c>
      <c r="CS261" s="54" t="s">
        <v>1376</v>
      </c>
      <c r="CT261" s="39">
        <v>0.39377167664906915</v>
      </c>
      <c r="CU261" s="40">
        <v>0.34744559704329631</v>
      </c>
      <c r="CV261" s="39">
        <v>1.5897933985346173</v>
      </c>
      <c r="CW261" s="40">
        <v>0.3044285231236501</v>
      </c>
      <c r="CX261" s="39">
        <v>1.1941833853932555</v>
      </c>
      <c r="CY261" s="40">
        <v>0.69339680442189033</v>
      </c>
      <c r="CZ261" s="39">
        <v>0.50078658097136519</v>
      </c>
      <c r="DA261" s="40">
        <v>6.1179838463496831E-2</v>
      </c>
      <c r="DB261" s="39">
        <v>0.47414374809210041</v>
      </c>
      <c r="DC261" s="38">
        <v>5.55912955269274</v>
      </c>
      <c r="DE261" s="37" t="s">
        <v>1660</v>
      </c>
      <c r="DF261" s="35" t="str">
        <f t="shared" si="407"/>
        <v>ICPFS</v>
      </c>
      <c r="DG261" s="26">
        <f t="shared" si="464"/>
        <v>2.2655034990113574</v>
      </c>
      <c r="DH261" s="25">
        <f t="shared" si="464"/>
        <v>6.2361689242790588</v>
      </c>
      <c r="DI261" s="24">
        <f t="shared" si="464"/>
        <v>64.62456732362125</v>
      </c>
      <c r="DJ261" s="25">
        <f t="shared" si="464"/>
        <v>43.771756073331559</v>
      </c>
      <c r="DK261" s="24">
        <f t="shared" si="464"/>
        <v>135.77357643026176</v>
      </c>
      <c r="DL261" s="25">
        <f t="shared" si="464"/>
        <v>118.34644868205382</v>
      </c>
      <c r="DM261" s="24">
        <f t="shared" si="464"/>
        <v>411.13584201015948</v>
      </c>
      <c r="DN261" s="25">
        <f t="shared" si="464"/>
        <v>0</v>
      </c>
      <c r="DO261" s="32">
        <f t="shared" si="464"/>
        <v>0</v>
      </c>
      <c r="DP261" s="26">
        <f t="shared" si="408"/>
        <v>0.72310525197315345</v>
      </c>
      <c r="DQ261" s="25">
        <f t="shared" si="409"/>
        <v>0.72310525197315345</v>
      </c>
      <c r="DR261" s="24">
        <f t="shared" si="410"/>
        <v>0.72310525197315345</v>
      </c>
      <c r="DS261" s="25">
        <f t="shared" si="411"/>
        <v>0.72310525197315345</v>
      </c>
      <c r="DT261" s="24">
        <f t="shared" si="412"/>
        <v>0.70345531839048947</v>
      </c>
      <c r="DU261" s="25">
        <f t="shared" si="413"/>
        <v>0.70345531839048947</v>
      </c>
      <c r="DV261" s="24">
        <f t="shared" si="414"/>
        <v>0.70345531839048947</v>
      </c>
      <c r="DW261" s="25">
        <f t="shared" si="415"/>
        <v>0</v>
      </c>
      <c r="DX261" s="32">
        <f t="shared" si="416"/>
        <v>0</v>
      </c>
      <c r="DZ261" s="54" t="s">
        <v>1505</v>
      </c>
      <c r="EA261" s="39">
        <v>5.7823849235497018E-3</v>
      </c>
      <c r="EB261" s="40">
        <v>5.7823849235497018E-3</v>
      </c>
      <c r="EC261" s="39">
        <v>3.12756635336023E-3</v>
      </c>
      <c r="ED261" s="40">
        <v>3.1275663533602296E-3</v>
      </c>
      <c r="EE261" s="39">
        <v>6.3714101220672557E-3</v>
      </c>
      <c r="EF261" s="40">
        <v>6.3714101220672548E-3</v>
      </c>
      <c r="EG261" s="39">
        <v>6.3714101220672557E-3</v>
      </c>
      <c r="EH261" s="40">
        <v>1.122304962992471E-2</v>
      </c>
      <c r="EI261" s="66">
        <v>1.1223049629924714E-2</v>
      </c>
    </row>
    <row r="262" spans="1:139">
      <c r="A262" s="37" t="s">
        <v>1696</v>
      </c>
      <c r="B262" s="36" t="s">
        <v>1107</v>
      </c>
      <c r="C262" s="1" t="s">
        <v>1120</v>
      </c>
      <c r="D262" s="36" t="s">
        <v>1120</v>
      </c>
      <c r="E262" s="36" t="s">
        <v>1735</v>
      </c>
      <c r="F262" s="1" t="e">
        <f t="shared" ca="1" si="439"/>
        <v>#NAME?</v>
      </c>
      <c r="G262" s="35" t="s">
        <v>1104</v>
      </c>
      <c r="H262" s="43">
        <v>1</v>
      </c>
      <c r="I262" s="42">
        <v>0</v>
      </c>
      <c r="J262" s="26">
        <v>0.24657122400000001</v>
      </c>
      <c r="K262" s="25">
        <v>0</v>
      </c>
      <c r="L262" s="24"/>
      <c r="M262" s="25"/>
      <c r="N262" s="24"/>
      <c r="O262" s="25"/>
      <c r="P262" s="24"/>
      <c r="Q262" s="25"/>
      <c r="R262" s="32"/>
      <c r="S262" s="31" t="e">
        <v>#REF!</v>
      </c>
      <c r="T262" s="29" t="e">
        <f t="shared" si="465"/>
        <v>#REF!</v>
      </c>
      <c r="U262" s="30" t="e">
        <f t="shared" si="465"/>
        <v>#REF!</v>
      </c>
      <c r="V262" s="29" t="e">
        <f t="shared" si="465"/>
        <v>#REF!</v>
      </c>
      <c r="W262" s="30" t="e">
        <f t="shared" si="465"/>
        <v>#REF!</v>
      </c>
      <c r="X262" s="29" t="e">
        <f t="shared" si="465"/>
        <v>#REF!</v>
      </c>
      <c r="Y262" s="30" t="e">
        <f t="shared" si="465"/>
        <v>#REF!</v>
      </c>
      <c r="Z262" s="29" t="e">
        <f t="shared" si="465"/>
        <v>#REF!</v>
      </c>
      <c r="AA262" s="28" t="e">
        <f t="shared" si="465"/>
        <v>#REF!</v>
      </c>
      <c r="AB262" s="26" t="e">
        <f t="shared" si="463"/>
        <v>#REF!</v>
      </c>
      <c r="AC262" s="25" t="e">
        <f t="shared" si="463"/>
        <v>#REF!</v>
      </c>
      <c r="AD262" s="24" t="e">
        <f t="shared" si="463"/>
        <v>#REF!</v>
      </c>
      <c r="AE262" s="25" t="e">
        <f t="shared" si="463"/>
        <v>#REF!</v>
      </c>
      <c r="AF262" s="24" t="e">
        <f t="shared" si="463"/>
        <v>#REF!</v>
      </c>
      <c r="AG262" s="25" t="e">
        <f t="shared" si="463"/>
        <v>#REF!</v>
      </c>
      <c r="AH262" s="24" t="e">
        <f t="shared" si="463"/>
        <v>#REF!</v>
      </c>
      <c r="AI262" s="25" t="e">
        <f t="shared" si="463"/>
        <v>#REF!</v>
      </c>
      <c r="AJ262" s="24" t="e">
        <f t="shared" si="463"/>
        <v>#REF!</v>
      </c>
      <c r="AK262" s="27" t="e">
        <f t="shared" si="406"/>
        <v>#REF!</v>
      </c>
      <c r="AL262" s="41">
        <v>0</v>
      </c>
      <c r="AM262" s="40">
        <v>0</v>
      </c>
      <c r="AN262" s="39">
        <v>0</v>
      </c>
      <c r="AO262" s="40">
        <v>0</v>
      </c>
      <c r="AP262" s="39">
        <v>0</v>
      </c>
      <c r="AQ262" s="40">
        <v>0</v>
      </c>
      <c r="AR262" s="39">
        <v>0</v>
      </c>
      <c r="AS262" s="40">
        <v>0</v>
      </c>
      <c r="AT262" s="39">
        <v>0</v>
      </c>
      <c r="AU262" s="38">
        <v>0</v>
      </c>
      <c r="CS262" s="54" t="s">
        <v>1373</v>
      </c>
      <c r="CT262" s="39">
        <v>0</v>
      </c>
      <c r="CU262" s="40">
        <v>0</v>
      </c>
      <c r="CV262" s="39">
        <v>0</v>
      </c>
      <c r="CW262" s="40">
        <v>0</v>
      </c>
      <c r="CX262" s="39">
        <v>0</v>
      </c>
      <c r="CY262" s="40">
        <v>0</v>
      </c>
      <c r="CZ262" s="39">
        <v>0</v>
      </c>
      <c r="DA262" s="40">
        <v>0</v>
      </c>
      <c r="DB262" s="39">
        <v>0</v>
      </c>
      <c r="DC262" s="38">
        <v>0</v>
      </c>
      <c r="DE262" s="37" t="s">
        <v>1656</v>
      </c>
      <c r="DF262" s="35" t="str">
        <f t="shared" si="407"/>
        <v>ICPFS</v>
      </c>
      <c r="DG262" s="26">
        <f t="shared" si="464"/>
        <v>0</v>
      </c>
      <c r="DH262" s="25">
        <f t="shared" si="464"/>
        <v>0</v>
      </c>
      <c r="DI262" s="24">
        <f t="shared" si="464"/>
        <v>0</v>
      </c>
      <c r="DJ262" s="25">
        <f t="shared" si="464"/>
        <v>0</v>
      </c>
      <c r="DK262" s="24">
        <f t="shared" si="464"/>
        <v>4.1542695091437949</v>
      </c>
      <c r="DL262" s="25">
        <f t="shared" si="464"/>
        <v>3.6210509894598881</v>
      </c>
      <c r="DM262" s="24">
        <f t="shared" si="464"/>
        <v>12.579539682791234</v>
      </c>
      <c r="DN262" s="25">
        <f t="shared" si="464"/>
        <v>0</v>
      </c>
      <c r="DO262" s="32">
        <f t="shared" si="464"/>
        <v>0</v>
      </c>
      <c r="DP262" s="26">
        <f t="shared" si="408"/>
        <v>0</v>
      </c>
      <c r="DQ262" s="25">
        <f t="shared" si="409"/>
        <v>0</v>
      </c>
      <c r="DR262" s="24">
        <f t="shared" si="410"/>
        <v>0</v>
      </c>
      <c r="DS262" s="25">
        <f t="shared" si="411"/>
        <v>0</v>
      </c>
      <c r="DT262" s="24">
        <f t="shared" si="412"/>
        <v>2.1523650308612679E-2</v>
      </c>
      <c r="DU262" s="25">
        <f t="shared" si="413"/>
        <v>2.1523650308612682E-2</v>
      </c>
      <c r="DV262" s="24">
        <f t="shared" si="414"/>
        <v>2.1523650308612682E-2</v>
      </c>
      <c r="DW262" s="25">
        <f t="shared" si="415"/>
        <v>0</v>
      </c>
      <c r="DX262" s="32">
        <f t="shared" si="416"/>
        <v>0</v>
      </c>
      <c r="DZ262" s="54" t="s">
        <v>1503</v>
      </c>
      <c r="EA262" s="39">
        <v>4.1255038695346864E-2</v>
      </c>
      <c r="EB262" s="40">
        <v>4.125503869534685E-2</v>
      </c>
      <c r="EC262" s="39">
        <v>2.231395395430252E-2</v>
      </c>
      <c r="ED262" s="40">
        <v>2.2313953954302513E-2</v>
      </c>
      <c r="EE262" s="39">
        <v>3.8638876244714154E-2</v>
      </c>
      <c r="EF262" s="40">
        <v>3.8638876244714154E-2</v>
      </c>
      <c r="EG262" s="39">
        <v>3.8638876244714154E-2</v>
      </c>
      <c r="EH262" s="40">
        <v>3.3363349269943214E-2</v>
      </c>
      <c r="EI262" s="66">
        <v>3.3363349269943221E-2</v>
      </c>
    </row>
    <row r="263" spans="1:139">
      <c r="A263" s="37" t="s">
        <v>1696</v>
      </c>
      <c r="B263" s="36" t="s">
        <v>1107</v>
      </c>
      <c r="C263" s="1" t="s">
        <v>1120</v>
      </c>
      <c r="D263" s="36" t="s">
        <v>1120</v>
      </c>
      <c r="E263" s="36" t="s">
        <v>1734</v>
      </c>
      <c r="F263" s="1" t="e">
        <f t="shared" ca="1" si="439"/>
        <v>#NAME?</v>
      </c>
      <c r="G263" s="35" t="s">
        <v>1109</v>
      </c>
      <c r="H263" s="34">
        <f>1-I263</f>
        <v>0.9197508368680285</v>
      </c>
      <c r="I263" s="33">
        <v>8.0249163131971557E-2</v>
      </c>
      <c r="J263" s="26" t="e">
        <v>#REF!</v>
      </c>
      <c r="K263" s="25" t="e">
        <v>#REF!</v>
      </c>
      <c r="L263" s="24"/>
      <c r="M263" s="25"/>
      <c r="N263" s="24"/>
      <c r="O263" s="25"/>
      <c r="P263" s="24"/>
      <c r="Q263" s="25"/>
      <c r="R263" s="32"/>
      <c r="S263" s="31" t="e">
        <v>#REF!</v>
      </c>
      <c r="T263" s="29" t="e">
        <f t="shared" si="465"/>
        <v>#REF!</v>
      </c>
      <c r="U263" s="30" t="e">
        <f t="shared" si="465"/>
        <v>#REF!</v>
      </c>
      <c r="V263" s="29" t="e">
        <f t="shared" si="465"/>
        <v>#REF!</v>
      </c>
      <c r="W263" s="30" t="e">
        <f t="shared" si="465"/>
        <v>#REF!</v>
      </c>
      <c r="X263" s="29" t="e">
        <f t="shared" si="465"/>
        <v>#REF!</v>
      </c>
      <c r="Y263" s="30" t="e">
        <f t="shared" si="465"/>
        <v>#REF!</v>
      </c>
      <c r="Z263" s="29" t="e">
        <f t="shared" si="465"/>
        <v>#REF!</v>
      </c>
      <c r="AA263" s="28" t="e">
        <f t="shared" si="465"/>
        <v>#REF!</v>
      </c>
      <c r="AB263" s="26" t="e">
        <f t="shared" ref="AB263:AJ265" si="466">J263*31.536*$H263*S263</f>
        <v>#REF!</v>
      </c>
      <c r="AC263" s="25" t="e">
        <f t="shared" si="466"/>
        <v>#REF!</v>
      </c>
      <c r="AD263" s="24" t="e">
        <f t="shared" si="466"/>
        <v>#REF!</v>
      </c>
      <c r="AE263" s="25" t="e">
        <f t="shared" si="466"/>
        <v>#REF!</v>
      </c>
      <c r="AF263" s="24" t="e">
        <f t="shared" si="466"/>
        <v>#REF!</v>
      </c>
      <c r="AG263" s="25" t="e">
        <f t="shared" si="466"/>
        <v>#REF!</v>
      </c>
      <c r="AH263" s="24" t="e">
        <f t="shared" si="466"/>
        <v>#REF!</v>
      </c>
      <c r="AI263" s="25" t="e">
        <f t="shared" si="466"/>
        <v>#REF!</v>
      </c>
      <c r="AJ263" s="24" t="e">
        <f t="shared" si="466"/>
        <v>#REF!</v>
      </c>
      <c r="AK263" s="27" t="e">
        <f t="shared" si="406"/>
        <v>#REF!</v>
      </c>
      <c r="AL263" s="26" t="e">
        <f t="shared" ref="AL263:AT265" si="467">J263*31.536*$I263*S263</f>
        <v>#REF!</v>
      </c>
      <c r="AM263" s="25" t="e">
        <f t="shared" si="467"/>
        <v>#REF!</v>
      </c>
      <c r="AN263" s="24" t="e">
        <f t="shared" si="467"/>
        <v>#REF!</v>
      </c>
      <c r="AO263" s="25" t="e">
        <f t="shared" si="467"/>
        <v>#REF!</v>
      </c>
      <c r="AP263" s="24" t="e">
        <f t="shared" si="467"/>
        <v>#REF!</v>
      </c>
      <c r="AQ263" s="25" t="e">
        <f t="shared" si="467"/>
        <v>#REF!</v>
      </c>
      <c r="AR263" s="24" t="e">
        <f t="shared" si="467"/>
        <v>#REF!</v>
      </c>
      <c r="AS263" s="25" t="e">
        <f t="shared" si="467"/>
        <v>#REF!</v>
      </c>
      <c r="AT263" s="24" t="e">
        <f t="shared" si="467"/>
        <v>#REF!</v>
      </c>
      <c r="AU263" s="23" t="e">
        <f>SUM(AL263:AT263)</f>
        <v>#REF!</v>
      </c>
      <c r="CS263" s="54" t="s">
        <v>1351</v>
      </c>
      <c r="CT263" s="39">
        <v>19.841903235372016</v>
      </c>
      <c r="CU263" s="40">
        <v>11.168076854270486</v>
      </c>
      <c r="CV263" s="39">
        <v>24.021780446272672</v>
      </c>
      <c r="CW263" s="40">
        <v>8.2202721647397912</v>
      </c>
      <c r="CX263" s="39">
        <v>46.432315085060914</v>
      </c>
      <c r="CY263" s="40">
        <v>16.384826570704551</v>
      </c>
      <c r="CZ263" s="39">
        <v>9.2661190648207636</v>
      </c>
      <c r="DA263" s="40">
        <v>3.8555426560941504</v>
      </c>
      <c r="DB263" s="39">
        <v>3.7224339644901199</v>
      </c>
      <c r="DC263" s="38">
        <v>142.91327004182546</v>
      </c>
      <c r="DE263" s="37" t="s">
        <v>1652</v>
      </c>
      <c r="DF263" s="35" t="str">
        <f t="shared" si="407"/>
        <v>ICPFS</v>
      </c>
      <c r="DG263" s="26">
        <f t="shared" si="464"/>
        <v>0.86751689162946188</v>
      </c>
      <c r="DH263" s="25">
        <f t="shared" si="464"/>
        <v>2.3879821343148109</v>
      </c>
      <c r="DI263" s="24">
        <f t="shared" si="464"/>
        <v>24.746332897721008</v>
      </c>
      <c r="DJ263" s="25">
        <f t="shared" si="464"/>
        <v>16.761279683068484</v>
      </c>
      <c r="DK263" s="24">
        <f t="shared" si="464"/>
        <v>53.08167844788975</v>
      </c>
      <c r="DL263" s="25">
        <f t="shared" si="464"/>
        <v>46.26841466179647</v>
      </c>
      <c r="DM263" s="24">
        <f t="shared" si="464"/>
        <v>160.73658172505441</v>
      </c>
      <c r="DN263" s="25">
        <f t="shared" si="464"/>
        <v>0</v>
      </c>
      <c r="DO263" s="32">
        <f t="shared" si="464"/>
        <v>0</v>
      </c>
      <c r="DP263" s="26">
        <f t="shared" si="408"/>
        <v>0.27689474802684649</v>
      </c>
      <c r="DQ263" s="25">
        <f t="shared" si="409"/>
        <v>0.27689474802684644</v>
      </c>
      <c r="DR263" s="24">
        <f t="shared" si="410"/>
        <v>0.27689474802684655</v>
      </c>
      <c r="DS263" s="25">
        <f t="shared" si="411"/>
        <v>0.2768947480268466</v>
      </c>
      <c r="DT263" s="24">
        <f t="shared" si="412"/>
        <v>0.27502103130089789</v>
      </c>
      <c r="DU263" s="25">
        <f t="shared" si="413"/>
        <v>0.27502103130089789</v>
      </c>
      <c r="DV263" s="24">
        <f t="shared" si="414"/>
        <v>0.27502103130089789</v>
      </c>
      <c r="DW263" s="25">
        <f t="shared" si="415"/>
        <v>0</v>
      </c>
      <c r="DX263" s="32">
        <f t="shared" si="416"/>
        <v>0</v>
      </c>
      <c r="DZ263" s="54" t="s">
        <v>1501</v>
      </c>
      <c r="EA263" s="39">
        <v>0</v>
      </c>
      <c r="EB263" s="40">
        <v>0</v>
      </c>
      <c r="EC263" s="39">
        <v>0</v>
      </c>
      <c r="ED263" s="40">
        <v>0</v>
      </c>
      <c r="EE263" s="39">
        <v>3.7370081276247503E-4</v>
      </c>
      <c r="EF263" s="40">
        <v>3.7370081276247503E-4</v>
      </c>
      <c r="EG263" s="39">
        <v>3.7370081276247508E-4</v>
      </c>
      <c r="EH263" s="40">
        <v>2.1942095956908108E-3</v>
      </c>
      <c r="EI263" s="66">
        <v>2.1942095956908113E-3</v>
      </c>
    </row>
    <row r="264" spans="1:139">
      <c r="A264" s="37" t="s">
        <v>1696</v>
      </c>
      <c r="B264" s="36" t="s">
        <v>1107</v>
      </c>
      <c r="C264" s="1" t="s">
        <v>1120</v>
      </c>
      <c r="D264" s="36" t="s">
        <v>1120</v>
      </c>
      <c r="E264" s="36" t="s">
        <v>1733</v>
      </c>
      <c r="F264" s="1" t="e">
        <f t="shared" ca="1" si="439"/>
        <v>#NAME?</v>
      </c>
      <c r="G264" s="35" t="s">
        <v>1109</v>
      </c>
      <c r="H264" s="34">
        <f>1-I264</f>
        <v>0.60426246259397121</v>
      </c>
      <c r="I264" s="33">
        <v>0.39573753740602874</v>
      </c>
      <c r="J264" s="26">
        <v>0</v>
      </c>
      <c r="K264" s="25">
        <v>1.0864064724496178E-2</v>
      </c>
      <c r="L264" s="24"/>
      <c r="M264" s="25"/>
      <c r="N264" s="24"/>
      <c r="O264" s="25"/>
      <c r="P264" s="24"/>
      <c r="Q264" s="25"/>
      <c r="R264" s="32"/>
      <c r="S264" s="31" t="e">
        <v>#REF!</v>
      </c>
      <c r="T264" s="29" t="e">
        <f t="shared" si="465"/>
        <v>#REF!</v>
      </c>
      <c r="U264" s="30" t="e">
        <f t="shared" si="465"/>
        <v>#REF!</v>
      </c>
      <c r="V264" s="29" t="e">
        <f t="shared" si="465"/>
        <v>#REF!</v>
      </c>
      <c r="W264" s="30" t="e">
        <f t="shared" si="465"/>
        <v>#REF!</v>
      </c>
      <c r="X264" s="29" t="e">
        <f t="shared" si="465"/>
        <v>#REF!</v>
      </c>
      <c r="Y264" s="30" t="e">
        <f t="shared" si="465"/>
        <v>#REF!</v>
      </c>
      <c r="Z264" s="29" t="e">
        <f t="shared" si="465"/>
        <v>#REF!</v>
      </c>
      <c r="AA264" s="28" t="e">
        <f t="shared" si="465"/>
        <v>#REF!</v>
      </c>
      <c r="AB264" s="26" t="e">
        <f t="shared" si="466"/>
        <v>#REF!</v>
      </c>
      <c r="AC264" s="25" t="e">
        <f t="shared" si="466"/>
        <v>#REF!</v>
      </c>
      <c r="AD264" s="24" t="e">
        <f t="shared" si="466"/>
        <v>#REF!</v>
      </c>
      <c r="AE264" s="25" t="e">
        <f t="shared" si="466"/>
        <v>#REF!</v>
      </c>
      <c r="AF264" s="24" t="e">
        <f t="shared" si="466"/>
        <v>#REF!</v>
      </c>
      <c r="AG264" s="25" t="e">
        <f t="shared" si="466"/>
        <v>#REF!</v>
      </c>
      <c r="AH264" s="24" t="e">
        <f t="shared" si="466"/>
        <v>#REF!</v>
      </c>
      <c r="AI264" s="25" t="e">
        <f t="shared" si="466"/>
        <v>#REF!</v>
      </c>
      <c r="AJ264" s="24" t="e">
        <f t="shared" si="466"/>
        <v>#REF!</v>
      </c>
      <c r="AK264" s="27" t="e">
        <f t="shared" ref="AK264:AK327" si="468">SUM(AB264:AJ264)</f>
        <v>#REF!</v>
      </c>
      <c r="AL264" s="26" t="e">
        <f t="shared" si="467"/>
        <v>#REF!</v>
      </c>
      <c r="AM264" s="25" t="e">
        <f t="shared" si="467"/>
        <v>#REF!</v>
      </c>
      <c r="AN264" s="24" t="e">
        <f t="shared" si="467"/>
        <v>#REF!</v>
      </c>
      <c r="AO264" s="25" t="e">
        <f t="shared" si="467"/>
        <v>#REF!</v>
      </c>
      <c r="AP264" s="24" t="e">
        <f t="shared" si="467"/>
        <v>#REF!</v>
      </c>
      <c r="AQ264" s="25" t="e">
        <f t="shared" si="467"/>
        <v>#REF!</v>
      </c>
      <c r="AR264" s="24" t="e">
        <f t="shared" si="467"/>
        <v>#REF!</v>
      </c>
      <c r="AS264" s="25" t="e">
        <f t="shared" si="467"/>
        <v>#REF!</v>
      </c>
      <c r="AT264" s="24" t="e">
        <f t="shared" si="467"/>
        <v>#REF!</v>
      </c>
      <c r="AU264" s="23" t="e">
        <f>SUM(AL264:AT264)</f>
        <v>#REF!</v>
      </c>
      <c r="CS264" s="54" t="s">
        <v>1369</v>
      </c>
      <c r="CT264" s="39">
        <v>2.848458611655216E-2</v>
      </c>
      <c r="CU264" s="40">
        <v>2.5133458338134258E-2</v>
      </c>
      <c r="CV264" s="39">
        <v>0.2520048089370262</v>
      </c>
      <c r="CW264" s="40">
        <v>4.8256240009217778E-2</v>
      </c>
      <c r="CX264" s="39">
        <v>0.21447217781874567</v>
      </c>
      <c r="CY264" s="40">
        <v>0.12453223228185233</v>
      </c>
      <c r="CZ264" s="39">
        <v>8.9939945536893343E-2</v>
      </c>
      <c r="DA264" s="40">
        <v>3.4315548450999309E-2</v>
      </c>
      <c r="DB264" s="39">
        <v>0.26594550049524462</v>
      </c>
      <c r="DC264" s="38">
        <v>1.0830844979846657</v>
      </c>
      <c r="DE264" s="37" t="s">
        <v>1603</v>
      </c>
      <c r="DF264" s="35" t="str">
        <f t="shared" ref="DF264:DF327" si="469">LEFT(DE264,5)</f>
        <v>IMAFS</v>
      </c>
      <c r="DG264" s="26">
        <f t="shared" si="464"/>
        <v>0</v>
      </c>
      <c r="DH264" s="25">
        <f t="shared" si="464"/>
        <v>0</v>
      </c>
      <c r="DI264" s="24">
        <f t="shared" si="464"/>
        <v>0.6091764636302045</v>
      </c>
      <c r="DJ264" s="25">
        <f t="shared" si="464"/>
        <v>0.41260970364577887</v>
      </c>
      <c r="DK264" s="24">
        <f t="shared" si="464"/>
        <v>1.2512319166287564</v>
      </c>
      <c r="DL264" s="25">
        <f t="shared" si="464"/>
        <v>1.0906308701878502</v>
      </c>
      <c r="DM264" s="24">
        <f t="shared" si="464"/>
        <v>3.7888542168392942</v>
      </c>
      <c r="DN264" s="25">
        <f t="shared" si="464"/>
        <v>0</v>
      </c>
      <c r="DO264" s="32">
        <f t="shared" si="464"/>
        <v>0</v>
      </c>
      <c r="DP264" s="26">
        <f t="shared" ref="DP264:DP327" si="470">IF(SUMIF($DF$8:$DF$380,"="&amp;$DF264,DG$8:DG$380)=0,0,DG264/SUMIF($DF$8:$DF$380,"="&amp;$DF264,DG$8:DG$380))</f>
        <v>0</v>
      </c>
      <c r="DQ264" s="25">
        <f t="shared" ref="DQ264:DQ327" si="471">IF(SUMIF($DF$8:$DF$380,"="&amp;$DF264,DH$8:DH$380)=0,0,DH264/SUMIF($DF$8:$DF$380,"="&amp;$DF264,DH$8:DH$380))</f>
        <v>0</v>
      </c>
      <c r="DR264" s="24">
        <f t="shared" ref="DR264:DR327" si="472">IF(SUMIF($DF$8:$DF$380,"="&amp;$DF264,DI$8:DI$380)=0,0,DI264/SUMIF($DF$8:$DF$380,"="&amp;$DF264,DI$8:DI$380))</f>
        <v>0.17686940232344492</v>
      </c>
      <c r="DS264" s="25">
        <f t="shared" ref="DS264:DS327" si="473">IF(SUMIF($DF$8:$DF$380,"="&amp;$DF264,DJ$8:DJ$380)=0,0,DJ264/SUMIF($DF$8:$DF$380,"="&amp;$DF264,DJ$8:DJ$380))</f>
        <v>0.17686940232344495</v>
      </c>
      <c r="DT264" s="24">
        <f t="shared" ref="DT264:DT327" si="474">IF(SUMIF($DF$8:$DF$380,"="&amp;$DF264,DK$8:DK$380)=0,0,DK264/SUMIF($DF$8:$DF$380,"="&amp;$DF264,DK$8:DK$380))</f>
        <v>0.39195759562254628</v>
      </c>
      <c r="DU264" s="25">
        <f t="shared" ref="DU264:DU327" si="475">IF(SUMIF($DF$8:$DF$380,"="&amp;$DF264,DL$8:DL$380)=0,0,DL264/SUMIF($DF$8:$DF$380,"="&amp;$DF264,DL$8:DL$380))</f>
        <v>0.39195759562254628</v>
      </c>
      <c r="DV264" s="24">
        <f t="shared" ref="DV264:DV327" si="476">IF(SUMIF($DF$8:$DF$380,"="&amp;$DF264,DM$8:DM$380)=0,0,DM264/SUMIF($DF$8:$DF$380,"="&amp;$DF264,DM$8:DM$380))</f>
        <v>0.39195759562254628</v>
      </c>
      <c r="DW264" s="25">
        <f t="shared" ref="DW264:DW327" si="477">IF(SUMIF($DF$8:$DF$380,"="&amp;$DF264,DN$8:DN$380)=0,0,DN264/SUMIF($DF$8:$DF$380,"="&amp;$DF264,DN$8:DN$380))</f>
        <v>0</v>
      </c>
      <c r="DX264" s="32">
        <f t="shared" ref="DX264:DX327" si="478">IF(SUMIF($DF$8:$DF$380,"="&amp;$DF264,DO$8:DO$380)=0,0,DO264/SUMIF($DF$8:$DF$380,"="&amp;$DF264,DO$8:DO$380))</f>
        <v>0</v>
      </c>
      <c r="DZ264" s="54" t="s">
        <v>1499</v>
      </c>
      <c r="EA264" s="39">
        <v>0.60159648906157714</v>
      </c>
      <c r="EB264" s="40">
        <v>0.60159648906157714</v>
      </c>
      <c r="EC264" s="39">
        <v>0.45193120580983653</v>
      </c>
      <c r="ED264" s="40">
        <v>0.45193120580983648</v>
      </c>
      <c r="EE264" s="39">
        <v>0.67392635460841455</v>
      </c>
      <c r="EF264" s="40">
        <v>0.67392635460841455</v>
      </c>
      <c r="EG264" s="39">
        <v>0.67392635460841455</v>
      </c>
      <c r="EH264" s="40">
        <v>0.58382028723381529</v>
      </c>
      <c r="EI264" s="66">
        <v>0.58382028723381529</v>
      </c>
    </row>
    <row r="265" spans="1:139">
      <c r="A265" s="37" t="s">
        <v>1696</v>
      </c>
      <c r="B265" s="36" t="s">
        <v>1107</v>
      </c>
      <c r="C265" s="1" t="s">
        <v>1120</v>
      </c>
      <c r="D265" s="36" t="s">
        <v>1120</v>
      </c>
      <c r="E265" s="36" t="s">
        <v>1732</v>
      </c>
      <c r="F265" s="1" t="e">
        <f t="shared" ca="1" si="439"/>
        <v>#NAME?</v>
      </c>
      <c r="G265" s="35" t="s">
        <v>1109</v>
      </c>
      <c r="H265" s="34">
        <f>1-I265</f>
        <v>0.58065528083985674</v>
      </c>
      <c r="I265" s="33">
        <v>0.41934471916014326</v>
      </c>
      <c r="J265" s="26">
        <v>0</v>
      </c>
      <c r="K265" s="25">
        <v>4.585826367008051E-3</v>
      </c>
      <c r="L265" s="24"/>
      <c r="M265" s="25"/>
      <c r="N265" s="24"/>
      <c r="O265" s="25"/>
      <c r="P265" s="24"/>
      <c r="Q265" s="25"/>
      <c r="R265" s="32"/>
      <c r="S265" s="31" t="e">
        <v>#REF!</v>
      </c>
      <c r="T265" s="29" t="e">
        <f t="shared" si="465"/>
        <v>#REF!</v>
      </c>
      <c r="U265" s="30" t="e">
        <f t="shared" si="465"/>
        <v>#REF!</v>
      </c>
      <c r="V265" s="29" t="e">
        <f t="shared" si="465"/>
        <v>#REF!</v>
      </c>
      <c r="W265" s="30" t="e">
        <f t="shared" si="465"/>
        <v>#REF!</v>
      </c>
      <c r="X265" s="29" t="e">
        <f t="shared" si="465"/>
        <v>#REF!</v>
      </c>
      <c r="Y265" s="30" t="e">
        <f t="shared" si="465"/>
        <v>#REF!</v>
      </c>
      <c r="Z265" s="29" t="e">
        <f t="shared" si="465"/>
        <v>#REF!</v>
      </c>
      <c r="AA265" s="28" t="e">
        <f t="shared" si="465"/>
        <v>#REF!</v>
      </c>
      <c r="AB265" s="26" t="e">
        <f t="shared" si="466"/>
        <v>#REF!</v>
      </c>
      <c r="AC265" s="25" t="e">
        <f t="shared" si="466"/>
        <v>#REF!</v>
      </c>
      <c r="AD265" s="24" t="e">
        <f t="shared" si="466"/>
        <v>#REF!</v>
      </c>
      <c r="AE265" s="25" t="e">
        <f t="shared" si="466"/>
        <v>#REF!</v>
      </c>
      <c r="AF265" s="24" t="e">
        <f t="shared" si="466"/>
        <v>#REF!</v>
      </c>
      <c r="AG265" s="25" t="e">
        <f t="shared" si="466"/>
        <v>#REF!</v>
      </c>
      <c r="AH265" s="24" t="e">
        <f t="shared" si="466"/>
        <v>#REF!</v>
      </c>
      <c r="AI265" s="25" t="e">
        <f t="shared" si="466"/>
        <v>#REF!</v>
      </c>
      <c r="AJ265" s="24" t="e">
        <f t="shared" si="466"/>
        <v>#REF!</v>
      </c>
      <c r="AK265" s="27" t="e">
        <f t="shared" si="468"/>
        <v>#REF!</v>
      </c>
      <c r="AL265" s="26" t="e">
        <f t="shared" si="467"/>
        <v>#REF!</v>
      </c>
      <c r="AM265" s="25" t="e">
        <f t="shared" si="467"/>
        <v>#REF!</v>
      </c>
      <c r="AN265" s="24" t="e">
        <f t="shared" si="467"/>
        <v>#REF!</v>
      </c>
      <c r="AO265" s="25" t="e">
        <f t="shared" si="467"/>
        <v>#REF!</v>
      </c>
      <c r="AP265" s="24" t="e">
        <f t="shared" si="467"/>
        <v>#REF!</v>
      </c>
      <c r="AQ265" s="25" t="e">
        <f t="shared" si="467"/>
        <v>#REF!</v>
      </c>
      <c r="AR265" s="24" t="e">
        <f t="shared" si="467"/>
        <v>#REF!</v>
      </c>
      <c r="AS265" s="25" t="e">
        <f t="shared" si="467"/>
        <v>#REF!</v>
      </c>
      <c r="AT265" s="24" t="e">
        <f t="shared" si="467"/>
        <v>#REF!</v>
      </c>
      <c r="AU265" s="23" t="e">
        <f>SUM(AL265:AT265)</f>
        <v>#REF!</v>
      </c>
      <c r="CS265" s="54" t="s">
        <v>1367</v>
      </c>
      <c r="CT265" s="39">
        <v>0</v>
      </c>
      <c r="CU265" s="40">
        <v>1.5538295710813932</v>
      </c>
      <c r="CV265" s="39">
        <v>5.8643651257988409</v>
      </c>
      <c r="CW265" s="40">
        <v>0.44395130602325522</v>
      </c>
      <c r="CX265" s="39">
        <v>1.9495253003629904</v>
      </c>
      <c r="CY265" s="40">
        <v>3.9154574968181444</v>
      </c>
      <c r="CZ265" s="39">
        <v>2.2660818837882686</v>
      </c>
      <c r="DA265" s="40">
        <v>0</v>
      </c>
      <c r="DB265" s="39">
        <v>3.0200270147999349</v>
      </c>
      <c r="DC265" s="38">
        <v>19.013237698672828</v>
      </c>
      <c r="DE265" s="37" t="s">
        <v>1601</v>
      </c>
      <c r="DF265" s="35" t="str">
        <f t="shared" si="469"/>
        <v>IMAFS</v>
      </c>
      <c r="DG265" s="26">
        <f t="shared" si="464"/>
        <v>0</v>
      </c>
      <c r="DH265" s="25">
        <f t="shared" si="464"/>
        <v>0</v>
      </c>
      <c r="DI265" s="24">
        <f t="shared" si="464"/>
        <v>2.8350397525595818</v>
      </c>
      <c r="DJ265" s="25">
        <f t="shared" si="464"/>
        <v>1.9202398351977488</v>
      </c>
      <c r="DK265" s="24">
        <f t="shared" si="464"/>
        <v>1.9410315593256378</v>
      </c>
      <c r="DL265" s="25">
        <f t="shared" si="464"/>
        <v>1.6918917352373644</v>
      </c>
      <c r="DM265" s="24">
        <f t="shared" si="464"/>
        <v>5.8776358809516589</v>
      </c>
      <c r="DN265" s="25">
        <f t="shared" si="464"/>
        <v>10.716371884255038</v>
      </c>
      <c r="DO265" s="32">
        <f t="shared" si="464"/>
        <v>6.7196532708551739</v>
      </c>
      <c r="DP265" s="26">
        <f t="shared" si="470"/>
        <v>0</v>
      </c>
      <c r="DQ265" s="25">
        <f t="shared" si="471"/>
        <v>0</v>
      </c>
      <c r="DR265" s="24">
        <f t="shared" si="472"/>
        <v>0.82313059767655505</v>
      </c>
      <c r="DS265" s="25">
        <f t="shared" si="473"/>
        <v>0.82313059767655505</v>
      </c>
      <c r="DT265" s="24">
        <f t="shared" si="474"/>
        <v>0.60804240437745372</v>
      </c>
      <c r="DU265" s="25">
        <f t="shared" si="475"/>
        <v>0.60804240437745372</v>
      </c>
      <c r="DV265" s="24">
        <f t="shared" si="476"/>
        <v>0.60804240437745372</v>
      </c>
      <c r="DW265" s="25">
        <f t="shared" si="477"/>
        <v>1</v>
      </c>
      <c r="DX265" s="32">
        <f t="shared" si="478"/>
        <v>1</v>
      </c>
      <c r="DZ265" s="54" t="s">
        <v>1731</v>
      </c>
      <c r="EA265" s="39">
        <v>0</v>
      </c>
      <c r="EB265" s="40">
        <v>0.98291818247265228</v>
      </c>
      <c r="EC265" s="39">
        <v>-6.6148257127128562E-16</v>
      </c>
      <c r="ED265" s="40">
        <v>0</v>
      </c>
      <c r="EE265" s="39">
        <v>0.21020304392662795</v>
      </c>
      <c r="EF265" s="40">
        <v>1</v>
      </c>
      <c r="EG265" s="39">
        <v>0</v>
      </c>
      <c r="EH265" s="40">
        <v>1</v>
      </c>
      <c r="EI265" s="66">
        <v>1</v>
      </c>
    </row>
    <row r="266" spans="1:139">
      <c r="A266" s="37" t="s">
        <v>1696</v>
      </c>
      <c r="B266" s="36" t="s">
        <v>1107</v>
      </c>
      <c r="C266" s="1" t="s">
        <v>1126</v>
      </c>
      <c r="D266" s="36" t="s">
        <v>1126</v>
      </c>
      <c r="E266" s="36" t="s">
        <v>1730</v>
      </c>
      <c r="F266" s="1" t="e">
        <f t="shared" ca="1" si="439"/>
        <v>#NAME?</v>
      </c>
      <c r="G266" s="35" t="s">
        <v>1104</v>
      </c>
      <c r="H266" s="43">
        <v>1</v>
      </c>
      <c r="I266" s="42">
        <v>0</v>
      </c>
      <c r="J266" s="26">
        <v>0.17265686568009495</v>
      </c>
      <c r="K266" s="25">
        <v>0.15049560769513143</v>
      </c>
      <c r="L266" s="24"/>
      <c r="M266" s="25"/>
      <c r="N266" s="24"/>
      <c r="O266" s="25"/>
      <c r="P266" s="24"/>
      <c r="Q266" s="25"/>
      <c r="R266" s="32"/>
      <c r="S266" s="31" t="e">
        <v>#REF!</v>
      </c>
      <c r="T266" s="29" t="e">
        <f t="shared" si="465"/>
        <v>#REF!</v>
      </c>
      <c r="U266" s="30" t="e">
        <f t="shared" si="465"/>
        <v>#REF!</v>
      </c>
      <c r="V266" s="29" t="e">
        <f t="shared" si="465"/>
        <v>#REF!</v>
      </c>
      <c r="W266" s="30" t="e">
        <f t="shared" si="465"/>
        <v>#REF!</v>
      </c>
      <c r="X266" s="29" t="e">
        <f t="shared" si="465"/>
        <v>#REF!</v>
      </c>
      <c r="Y266" s="30" t="e">
        <f t="shared" si="465"/>
        <v>#REF!</v>
      </c>
      <c r="Z266" s="29" t="e">
        <f t="shared" si="465"/>
        <v>#REF!</v>
      </c>
      <c r="AA266" s="28" t="e">
        <f t="shared" si="465"/>
        <v>#REF!</v>
      </c>
      <c r="AB266" s="26" t="e">
        <f t="shared" ref="AB266:AJ267" si="479">J266*$H266*S266</f>
        <v>#REF!</v>
      </c>
      <c r="AC266" s="25" t="e">
        <f t="shared" si="479"/>
        <v>#REF!</v>
      </c>
      <c r="AD266" s="24" t="e">
        <f t="shared" si="479"/>
        <v>#REF!</v>
      </c>
      <c r="AE266" s="25" t="e">
        <f t="shared" si="479"/>
        <v>#REF!</v>
      </c>
      <c r="AF266" s="24" t="e">
        <f t="shared" si="479"/>
        <v>#REF!</v>
      </c>
      <c r="AG266" s="25" t="e">
        <f t="shared" si="479"/>
        <v>#REF!</v>
      </c>
      <c r="AH266" s="24" t="e">
        <f t="shared" si="479"/>
        <v>#REF!</v>
      </c>
      <c r="AI266" s="25" t="e">
        <f t="shared" si="479"/>
        <v>#REF!</v>
      </c>
      <c r="AJ266" s="24" t="e">
        <f t="shared" si="479"/>
        <v>#REF!</v>
      </c>
      <c r="AK266" s="27" t="e">
        <f t="shared" si="468"/>
        <v>#REF!</v>
      </c>
      <c r="AL266" s="41">
        <v>0</v>
      </c>
      <c r="AM266" s="40">
        <v>0</v>
      </c>
      <c r="AN266" s="39">
        <v>0</v>
      </c>
      <c r="AO266" s="40">
        <v>0</v>
      </c>
      <c r="AP266" s="39">
        <v>0</v>
      </c>
      <c r="AQ266" s="40">
        <v>0</v>
      </c>
      <c r="AR266" s="39">
        <v>0</v>
      </c>
      <c r="AS266" s="40">
        <v>0</v>
      </c>
      <c r="AT266" s="39">
        <v>0</v>
      </c>
      <c r="AU266" s="38">
        <v>0</v>
      </c>
      <c r="CS266" s="54" t="s">
        <v>1362</v>
      </c>
      <c r="CT266" s="39">
        <v>0.91135345063985318</v>
      </c>
      <c r="CU266" s="40">
        <v>0.80413539762339992</v>
      </c>
      <c r="CV266" s="39">
        <v>0.17997316042047523</v>
      </c>
      <c r="CW266" s="40">
        <v>3.446294561243142E-2</v>
      </c>
      <c r="CX266" s="39">
        <v>0.64330831809872013</v>
      </c>
      <c r="CY266" s="40">
        <v>0.37353386212183748</v>
      </c>
      <c r="CZ266" s="39">
        <v>0.26977445597688265</v>
      </c>
      <c r="DA266" s="40">
        <v>0</v>
      </c>
      <c r="DB266" s="39">
        <v>0</v>
      </c>
      <c r="DC266" s="38">
        <v>3.2165415904936001</v>
      </c>
      <c r="DE266" s="37" t="s">
        <v>1565</v>
      </c>
      <c r="DF266" s="35" t="str">
        <f t="shared" si="469"/>
        <v>IMSFS</v>
      </c>
      <c r="DG266" s="26">
        <f t="shared" si="464"/>
        <v>32.494369388274151</v>
      </c>
      <c r="DH266" s="25">
        <f t="shared" si="464"/>
        <v>89.44606648439526</v>
      </c>
      <c r="DI266" s="24">
        <f t="shared" si="464"/>
        <v>92.821558117644997</v>
      </c>
      <c r="DJ266" s="25">
        <f t="shared" si="464"/>
        <v>62.870248398352565</v>
      </c>
      <c r="DK266" s="24">
        <f t="shared" si="464"/>
        <v>15.110024816771393</v>
      </c>
      <c r="DL266" s="25">
        <f t="shared" si="464"/>
        <v>13.170587558920854</v>
      </c>
      <c r="DM266" s="24">
        <f t="shared" si="464"/>
        <v>45.754652261285621</v>
      </c>
      <c r="DN266" s="25">
        <f t="shared" si="464"/>
        <v>0</v>
      </c>
      <c r="DO266" s="32">
        <f t="shared" si="464"/>
        <v>0</v>
      </c>
      <c r="DP266" s="26">
        <f t="shared" si="470"/>
        <v>0.98231893334568399</v>
      </c>
      <c r="DQ266" s="25">
        <f t="shared" si="471"/>
        <v>0.92992317137375868</v>
      </c>
      <c r="DR266" s="24">
        <f t="shared" si="472"/>
        <v>0.927213147853719</v>
      </c>
      <c r="DS266" s="25">
        <f t="shared" si="473"/>
        <v>0.927213147853719</v>
      </c>
      <c r="DT266" s="24">
        <f t="shared" si="474"/>
        <v>0.90538195206144401</v>
      </c>
      <c r="DU266" s="25">
        <f t="shared" si="475"/>
        <v>0.90538195206144401</v>
      </c>
      <c r="DV266" s="24">
        <f t="shared" si="476"/>
        <v>0.90538195206144401</v>
      </c>
      <c r="DW266" s="25">
        <f t="shared" si="477"/>
        <v>0</v>
      </c>
      <c r="DX266" s="32">
        <f t="shared" si="478"/>
        <v>0</v>
      </c>
      <c r="DZ266" s="54" t="s">
        <v>1729</v>
      </c>
      <c r="EA266" s="39">
        <v>0</v>
      </c>
      <c r="EB266" s="40">
        <v>1.708181752734771E-2</v>
      </c>
      <c r="EC266" s="39">
        <v>1.0000000000000007</v>
      </c>
      <c r="ED266" s="40">
        <v>1</v>
      </c>
      <c r="EE266" s="39">
        <v>0.78979695607337208</v>
      </c>
      <c r="EF266" s="40">
        <v>0</v>
      </c>
      <c r="EG266" s="39">
        <v>0</v>
      </c>
      <c r="EH266" s="40">
        <v>0</v>
      </c>
      <c r="EI266" s="66">
        <v>0</v>
      </c>
    </row>
    <row r="267" spans="1:139">
      <c r="A267" s="37" t="s">
        <v>1696</v>
      </c>
      <c r="B267" s="36" t="s">
        <v>1107</v>
      </c>
      <c r="C267" s="1" t="s">
        <v>665</v>
      </c>
      <c r="D267" s="36" t="s">
        <v>665</v>
      </c>
      <c r="E267" s="36" t="s">
        <v>1728</v>
      </c>
      <c r="F267" s="1" t="e">
        <f t="shared" ca="1" si="439"/>
        <v>#NAME?</v>
      </c>
      <c r="G267" s="35" t="s">
        <v>1104</v>
      </c>
      <c r="H267" s="43">
        <v>1</v>
      </c>
      <c r="I267" s="42">
        <v>0</v>
      </c>
      <c r="J267" s="26">
        <v>6.1032007934675132</v>
      </c>
      <c r="K267" s="25">
        <v>7.108700142</v>
      </c>
      <c r="L267" s="24"/>
      <c r="M267" s="25"/>
      <c r="N267" s="24"/>
      <c r="O267" s="25"/>
      <c r="P267" s="24"/>
      <c r="Q267" s="25"/>
      <c r="R267" s="32"/>
      <c r="S267" s="31" t="e">
        <v>#REF!</v>
      </c>
      <c r="T267" s="29" t="e">
        <f t="shared" si="465"/>
        <v>#REF!</v>
      </c>
      <c r="U267" s="30" t="e">
        <f t="shared" si="465"/>
        <v>#REF!</v>
      </c>
      <c r="V267" s="29" t="e">
        <f t="shared" si="465"/>
        <v>#REF!</v>
      </c>
      <c r="W267" s="30" t="e">
        <f t="shared" si="465"/>
        <v>#REF!</v>
      </c>
      <c r="X267" s="29" t="e">
        <f t="shared" si="465"/>
        <v>#REF!</v>
      </c>
      <c r="Y267" s="30" t="e">
        <f t="shared" si="465"/>
        <v>#REF!</v>
      </c>
      <c r="Z267" s="29" t="e">
        <f t="shared" si="465"/>
        <v>#REF!</v>
      </c>
      <c r="AA267" s="28" t="e">
        <f t="shared" si="465"/>
        <v>#REF!</v>
      </c>
      <c r="AB267" s="26" t="e">
        <f t="shared" si="479"/>
        <v>#REF!</v>
      </c>
      <c r="AC267" s="25" t="e">
        <f t="shared" si="479"/>
        <v>#REF!</v>
      </c>
      <c r="AD267" s="24" t="e">
        <f t="shared" si="479"/>
        <v>#REF!</v>
      </c>
      <c r="AE267" s="25" t="e">
        <f t="shared" si="479"/>
        <v>#REF!</v>
      </c>
      <c r="AF267" s="24" t="e">
        <f t="shared" si="479"/>
        <v>#REF!</v>
      </c>
      <c r="AG267" s="25" t="e">
        <f t="shared" si="479"/>
        <v>#REF!</v>
      </c>
      <c r="AH267" s="24" t="e">
        <f t="shared" si="479"/>
        <v>#REF!</v>
      </c>
      <c r="AI267" s="25" t="e">
        <f t="shared" si="479"/>
        <v>#REF!</v>
      </c>
      <c r="AJ267" s="24" t="e">
        <f t="shared" si="479"/>
        <v>#REF!</v>
      </c>
      <c r="AK267" s="27" t="e">
        <f t="shared" si="468"/>
        <v>#REF!</v>
      </c>
      <c r="AL267" s="41">
        <v>0</v>
      </c>
      <c r="AM267" s="40">
        <v>0</v>
      </c>
      <c r="AN267" s="39">
        <v>0</v>
      </c>
      <c r="AO267" s="40">
        <v>0</v>
      </c>
      <c r="AP267" s="39">
        <v>0</v>
      </c>
      <c r="AQ267" s="40">
        <v>0</v>
      </c>
      <c r="AR267" s="39">
        <v>0</v>
      </c>
      <c r="AS267" s="40">
        <v>0</v>
      </c>
      <c r="AT267" s="39">
        <v>0</v>
      </c>
      <c r="AU267" s="38">
        <v>0</v>
      </c>
      <c r="CS267" s="54" t="s">
        <v>1357</v>
      </c>
      <c r="CT267" s="39">
        <v>0</v>
      </c>
      <c r="CU267" s="40">
        <v>0.17116489603942248</v>
      </c>
      <c r="CV267" s="39">
        <v>1.5551086780313079</v>
      </c>
      <c r="CW267" s="40">
        <v>0.12520529873476929</v>
      </c>
      <c r="CX267" s="39">
        <v>0.78216943030750441</v>
      </c>
      <c r="CY267" s="40">
        <v>0.92533676816224308</v>
      </c>
      <c r="CZ267" s="39">
        <v>0</v>
      </c>
      <c r="DA267" s="40">
        <v>0</v>
      </c>
      <c r="DB267" s="39">
        <v>0</v>
      </c>
      <c r="DC267" s="38">
        <v>3.5589850712752473</v>
      </c>
      <c r="DE267" s="37" t="s">
        <v>1562</v>
      </c>
      <c r="DF267" s="35" t="str">
        <f t="shared" si="469"/>
        <v>IMSFS</v>
      </c>
      <c r="DG267" s="26">
        <f t="shared" si="464"/>
        <v>0.45817210064586705</v>
      </c>
      <c r="DH267" s="25">
        <f t="shared" si="464"/>
        <v>1.2611936451505297</v>
      </c>
      <c r="DI267" s="24">
        <f t="shared" si="464"/>
        <v>4.612792091094299</v>
      </c>
      <c r="DJ267" s="25">
        <f t="shared" si="464"/>
        <v>3.1243537649894875</v>
      </c>
      <c r="DK267" s="24">
        <f t="shared" si="464"/>
        <v>1.5790916189690298</v>
      </c>
      <c r="DL267" s="25">
        <f t="shared" si="464"/>
        <v>1.3764083569277406</v>
      </c>
      <c r="DM267" s="24">
        <f t="shared" si="464"/>
        <v>4.7816458801870159</v>
      </c>
      <c r="DN267" s="25">
        <f t="shared" si="464"/>
        <v>0</v>
      </c>
      <c r="DO267" s="32">
        <f t="shared" si="464"/>
        <v>0</v>
      </c>
      <c r="DP267" s="26">
        <f t="shared" si="470"/>
        <v>1.385074207218224E-2</v>
      </c>
      <c r="DQ267" s="25">
        <f t="shared" si="471"/>
        <v>1.3111959422155473E-2</v>
      </c>
      <c r="DR267" s="24">
        <f t="shared" si="472"/>
        <v>4.6078104719567685E-2</v>
      </c>
      <c r="DS267" s="25">
        <f t="shared" si="473"/>
        <v>4.6078104719567671E-2</v>
      </c>
      <c r="DT267" s="24">
        <f t="shared" si="474"/>
        <v>9.461804793855598E-2</v>
      </c>
      <c r="DU267" s="25">
        <f t="shared" si="475"/>
        <v>9.4618047938555994E-2</v>
      </c>
      <c r="DV267" s="24">
        <f t="shared" si="476"/>
        <v>9.4618047938555994E-2</v>
      </c>
      <c r="DW267" s="25">
        <f t="shared" si="477"/>
        <v>0</v>
      </c>
      <c r="DX267" s="32">
        <f t="shared" si="478"/>
        <v>0</v>
      </c>
      <c r="DZ267" s="54" t="s">
        <v>1727</v>
      </c>
      <c r="EA267" s="39">
        <v>1.2231905861072005E-2</v>
      </c>
      <c r="EB267" s="40">
        <v>1.2231905861072007E-2</v>
      </c>
      <c r="EC267" s="39">
        <v>1.1499776036160021E-2</v>
      </c>
      <c r="ED267" s="40">
        <v>1.1499776036160017E-2</v>
      </c>
      <c r="EE267" s="39">
        <v>1.2715183938851021E-2</v>
      </c>
      <c r="EF267" s="40">
        <v>1.2715183938851019E-2</v>
      </c>
      <c r="EG267" s="39">
        <v>1.2715183938851021E-2</v>
      </c>
      <c r="EH267" s="40">
        <v>0</v>
      </c>
      <c r="EI267" s="66">
        <v>0</v>
      </c>
    </row>
    <row r="268" spans="1:139">
      <c r="A268" s="37" t="s">
        <v>1696</v>
      </c>
      <c r="B268" s="36" t="s">
        <v>1107</v>
      </c>
      <c r="C268" s="1" t="s">
        <v>665</v>
      </c>
      <c r="D268" s="36" t="s">
        <v>665</v>
      </c>
      <c r="E268" s="36" t="s">
        <v>1726</v>
      </c>
      <c r="F268" s="1" t="e">
        <f t="shared" ca="1" si="439"/>
        <v>#NAME?</v>
      </c>
      <c r="G268" s="35" t="s">
        <v>1109</v>
      </c>
      <c r="H268" s="34">
        <f>1-I268</f>
        <v>0.88912781497460891</v>
      </c>
      <c r="I268" s="33">
        <v>0.11087218502539105</v>
      </c>
      <c r="J268" s="26" t="e">
        <v>#REF!</v>
      </c>
      <c r="K268" s="25" t="e">
        <v>#REF!</v>
      </c>
      <c r="L268" s="24"/>
      <c r="M268" s="25"/>
      <c r="N268" s="24"/>
      <c r="O268" s="25"/>
      <c r="P268" s="24"/>
      <c r="Q268" s="25"/>
      <c r="R268" s="32"/>
      <c r="S268" s="31" t="e">
        <v>#REF!</v>
      </c>
      <c r="T268" s="29" t="e">
        <f t="shared" si="465"/>
        <v>#REF!</v>
      </c>
      <c r="U268" s="30" t="e">
        <f t="shared" si="465"/>
        <v>#REF!</v>
      </c>
      <c r="V268" s="29" t="e">
        <f t="shared" si="465"/>
        <v>#REF!</v>
      </c>
      <c r="W268" s="30" t="e">
        <f t="shared" si="465"/>
        <v>#REF!</v>
      </c>
      <c r="X268" s="29" t="e">
        <f t="shared" si="465"/>
        <v>#REF!</v>
      </c>
      <c r="Y268" s="30" t="e">
        <f t="shared" si="465"/>
        <v>#REF!</v>
      </c>
      <c r="Z268" s="29" t="e">
        <f t="shared" si="465"/>
        <v>#REF!</v>
      </c>
      <c r="AA268" s="28" t="e">
        <f t="shared" si="465"/>
        <v>#REF!</v>
      </c>
      <c r="AB268" s="26" t="e">
        <f t="shared" ref="AB268:AJ272" si="480">J268*31.536*$H268*S268</f>
        <v>#REF!</v>
      </c>
      <c r="AC268" s="25" t="e">
        <f t="shared" si="480"/>
        <v>#REF!</v>
      </c>
      <c r="AD268" s="24" t="e">
        <f t="shared" si="480"/>
        <v>#REF!</v>
      </c>
      <c r="AE268" s="25" t="e">
        <f t="shared" si="480"/>
        <v>#REF!</v>
      </c>
      <c r="AF268" s="24" t="e">
        <f t="shared" si="480"/>
        <v>#REF!</v>
      </c>
      <c r="AG268" s="25" t="e">
        <f t="shared" si="480"/>
        <v>#REF!</v>
      </c>
      <c r="AH268" s="24" t="e">
        <f t="shared" si="480"/>
        <v>#REF!</v>
      </c>
      <c r="AI268" s="25" t="e">
        <f t="shared" si="480"/>
        <v>#REF!</v>
      </c>
      <c r="AJ268" s="24" t="e">
        <f t="shared" si="480"/>
        <v>#REF!</v>
      </c>
      <c r="AK268" s="27" t="e">
        <f t="shared" si="468"/>
        <v>#REF!</v>
      </c>
      <c r="AL268" s="26" t="e">
        <f t="shared" ref="AL268:AT272" si="481">J268*31.536*$I268*S268</f>
        <v>#REF!</v>
      </c>
      <c r="AM268" s="25" t="e">
        <f t="shared" si="481"/>
        <v>#REF!</v>
      </c>
      <c r="AN268" s="24" t="e">
        <f t="shared" si="481"/>
        <v>#REF!</v>
      </c>
      <c r="AO268" s="25" t="e">
        <f t="shared" si="481"/>
        <v>#REF!</v>
      </c>
      <c r="AP268" s="24" t="e">
        <f t="shared" si="481"/>
        <v>#REF!</v>
      </c>
      <c r="AQ268" s="25" t="e">
        <f t="shared" si="481"/>
        <v>#REF!</v>
      </c>
      <c r="AR268" s="24" t="e">
        <f t="shared" si="481"/>
        <v>#REF!</v>
      </c>
      <c r="AS268" s="25" t="e">
        <f t="shared" si="481"/>
        <v>#REF!</v>
      </c>
      <c r="AT268" s="24" t="e">
        <f t="shared" si="481"/>
        <v>#REF!</v>
      </c>
      <c r="AU268" s="23" t="e">
        <f>SUM(AL268:AT268)</f>
        <v>#REF!</v>
      </c>
      <c r="CS268" s="54" t="s">
        <v>1349</v>
      </c>
      <c r="CT268" s="39">
        <v>4.7796169924384124E-2</v>
      </c>
      <c r="CU268" s="40">
        <v>4.2173091109750697E-2</v>
      </c>
      <c r="CV268" s="39">
        <v>0.13591784791942513</v>
      </c>
      <c r="CW268" s="40">
        <v>2.6026821942017574E-2</v>
      </c>
      <c r="CX268" s="39">
        <v>0.29689856141264487</v>
      </c>
      <c r="CY268" s="40">
        <v>0.17239271307830994</v>
      </c>
      <c r="CZ268" s="39">
        <v>0.12450584833433496</v>
      </c>
      <c r="DA268" s="40">
        <v>2.4677283026505549E-2</v>
      </c>
      <c r="DB268" s="39">
        <v>0.19124894345541804</v>
      </c>
      <c r="DC268" s="38">
        <v>1.0616372802027909</v>
      </c>
      <c r="DE268" s="37" t="s">
        <v>1559</v>
      </c>
      <c r="DF268" s="35" t="str">
        <f t="shared" si="469"/>
        <v>IMSFS</v>
      </c>
      <c r="DG268" s="26">
        <f t="shared" ref="DG268:DO277" si="482">GETPIVOTDATA("Sum of "&amp;DG$1&amp;" (Out)",$CS$6,"Constraint Identifier",$DE268)</f>
        <v>0</v>
      </c>
      <c r="DH268" s="25">
        <f t="shared" si="482"/>
        <v>5.1304779211339309</v>
      </c>
      <c r="DI268" s="24">
        <f t="shared" si="482"/>
        <v>2.4469827420437595</v>
      </c>
      <c r="DJ268" s="25">
        <f t="shared" si="482"/>
        <v>1.6573995948633853</v>
      </c>
      <c r="DK268" s="24">
        <f t="shared" si="482"/>
        <v>0</v>
      </c>
      <c r="DL268" s="25">
        <f t="shared" si="482"/>
        <v>0</v>
      </c>
      <c r="DM268" s="24">
        <f t="shared" si="482"/>
        <v>0</v>
      </c>
      <c r="DN268" s="25">
        <f t="shared" si="482"/>
        <v>1.2612991517901575</v>
      </c>
      <c r="DO268" s="32">
        <f t="shared" si="482"/>
        <v>0.79089201666341513</v>
      </c>
      <c r="DP268" s="26">
        <f t="shared" si="470"/>
        <v>0</v>
      </c>
      <c r="DQ268" s="25">
        <f t="shared" si="471"/>
        <v>5.3338849729252791E-2</v>
      </c>
      <c r="DR268" s="24">
        <f t="shared" si="472"/>
        <v>2.4443401048261603E-2</v>
      </c>
      <c r="DS268" s="25">
        <f t="shared" si="473"/>
        <v>2.4443401048261596E-2</v>
      </c>
      <c r="DT268" s="24">
        <f t="shared" si="474"/>
        <v>0</v>
      </c>
      <c r="DU268" s="25">
        <f t="shared" si="475"/>
        <v>0</v>
      </c>
      <c r="DV268" s="24">
        <f t="shared" si="476"/>
        <v>0</v>
      </c>
      <c r="DW268" s="25">
        <f t="shared" si="477"/>
        <v>0.91518335389303818</v>
      </c>
      <c r="DX268" s="32">
        <f t="shared" si="478"/>
        <v>0.91518335389303818</v>
      </c>
      <c r="DZ268" s="54" t="s">
        <v>1725</v>
      </c>
      <c r="EA268" s="39">
        <v>2.3017295773850262E-2</v>
      </c>
      <c r="EB268" s="40">
        <v>2.3017295773850262E-2</v>
      </c>
      <c r="EC268" s="39">
        <v>6.7448153912901395E-3</v>
      </c>
      <c r="ED268" s="40">
        <v>6.7448153912901395E-3</v>
      </c>
      <c r="EE268" s="39">
        <v>1.0517231041382755E-2</v>
      </c>
      <c r="EF268" s="40">
        <v>1.0517231041382753E-2</v>
      </c>
      <c r="EG268" s="39">
        <v>1.0517231041382757E-2</v>
      </c>
      <c r="EH268" s="40">
        <v>3.7858383190949176E-2</v>
      </c>
      <c r="EI268" s="66">
        <v>3.7858383190949169E-2</v>
      </c>
    </row>
    <row r="269" spans="1:139">
      <c r="A269" s="37" t="s">
        <v>1696</v>
      </c>
      <c r="B269" s="36" t="s">
        <v>1107</v>
      </c>
      <c r="C269" s="1" t="s">
        <v>665</v>
      </c>
      <c r="D269" s="36" t="s">
        <v>665</v>
      </c>
      <c r="E269" s="36" t="s">
        <v>1724</v>
      </c>
      <c r="F269" s="1" t="e">
        <f t="shared" ca="1" si="439"/>
        <v>#NAME?</v>
      </c>
      <c r="G269" s="35" t="s">
        <v>1109</v>
      </c>
      <c r="H269" s="34">
        <f>1-I269</f>
        <v>0.49614584331821765</v>
      </c>
      <c r="I269" s="33">
        <v>0.50385415668178235</v>
      </c>
      <c r="J269" s="26">
        <v>0.74373916139039342</v>
      </c>
      <c r="K269" s="25">
        <v>1.4438086229474598</v>
      </c>
      <c r="L269" s="24"/>
      <c r="M269" s="25"/>
      <c r="N269" s="24"/>
      <c r="O269" s="25"/>
      <c r="P269" s="24"/>
      <c r="Q269" s="25"/>
      <c r="R269" s="32"/>
      <c r="S269" s="31" t="e">
        <v>#REF!</v>
      </c>
      <c r="T269" s="29" t="e">
        <f t="shared" si="465"/>
        <v>#REF!</v>
      </c>
      <c r="U269" s="30" t="e">
        <f t="shared" si="465"/>
        <v>#REF!</v>
      </c>
      <c r="V269" s="29" t="e">
        <f t="shared" si="465"/>
        <v>#REF!</v>
      </c>
      <c r="W269" s="30" t="e">
        <f t="shared" si="465"/>
        <v>#REF!</v>
      </c>
      <c r="X269" s="29" t="e">
        <f t="shared" si="465"/>
        <v>#REF!</v>
      </c>
      <c r="Y269" s="30" t="e">
        <f t="shared" si="465"/>
        <v>#REF!</v>
      </c>
      <c r="Z269" s="29" t="e">
        <f t="shared" si="465"/>
        <v>#REF!</v>
      </c>
      <c r="AA269" s="28" t="e">
        <f t="shared" si="465"/>
        <v>#REF!</v>
      </c>
      <c r="AB269" s="26" t="e">
        <f t="shared" si="480"/>
        <v>#REF!</v>
      </c>
      <c r="AC269" s="25" t="e">
        <f t="shared" si="480"/>
        <v>#REF!</v>
      </c>
      <c r="AD269" s="24" t="e">
        <f t="shared" si="480"/>
        <v>#REF!</v>
      </c>
      <c r="AE269" s="25" t="e">
        <f t="shared" si="480"/>
        <v>#REF!</v>
      </c>
      <c r="AF269" s="24" t="e">
        <f t="shared" si="480"/>
        <v>#REF!</v>
      </c>
      <c r="AG269" s="25" t="e">
        <f t="shared" si="480"/>
        <v>#REF!</v>
      </c>
      <c r="AH269" s="24" t="e">
        <f t="shared" si="480"/>
        <v>#REF!</v>
      </c>
      <c r="AI269" s="25" t="e">
        <f t="shared" si="480"/>
        <v>#REF!</v>
      </c>
      <c r="AJ269" s="24" t="e">
        <f t="shared" si="480"/>
        <v>#REF!</v>
      </c>
      <c r="AK269" s="27" t="e">
        <f t="shared" si="468"/>
        <v>#REF!</v>
      </c>
      <c r="AL269" s="26" t="e">
        <f t="shared" si="481"/>
        <v>#REF!</v>
      </c>
      <c r="AM269" s="25" t="e">
        <f t="shared" si="481"/>
        <v>#REF!</v>
      </c>
      <c r="AN269" s="24" t="e">
        <f t="shared" si="481"/>
        <v>#REF!</v>
      </c>
      <c r="AO269" s="25" t="e">
        <f t="shared" si="481"/>
        <v>#REF!</v>
      </c>
      <c r="AP269" s="24" t="e">
        <f t="shared" si="481"/>
        <v>#REF!</v>
      </c>
      <c r="AQ269" s="25" t="e">
        <f t="shared" si="481"/>
        <v>#REF!</v>
      </c>
      <c r="AR269" s="24" t="e">
        <f t="shared" si="481"/>
        <v>#REF!</v>
      </c>
      <c r="AS269" s="25" t="e">
        <f t="shared" si="481"/>
        <v>#REF!</v>
      </c>
      <c r="AT269" s="24" t="e">
        <f t="shared" si="481"/>
        <v>#REF!</v>
      </c>
      <c r="AU269" s="23" t="e">
        <f>SUM(AL269:AT269)</f>
        <v>#REF!</v>
      </c>
      <c r="CS269" s="54" t="s">
        <v>1347</v>
      </c>
      <c r="CT269" s="39">
        <v>0</v>
      </c>
      <c r="CU269" s="40">
        <v>0</v>
      </c>
      <c r="CV269" s="39">
        <v>0</v>
      </c>
      <c r="CW269" s="40">
        <v>0</v>
      </c>
      <c r="CX269" s="39">
        <v>0.54399529042386219</v>
      </c>
      <c r="CY269" s="40">
        <v>0.31586823314933937</v>
      </c>
      <c r="CZ269" s="39">
        <v>0.22812705727452287</v>
      </c>
      <c r="DA269" s="40">
        <v>0.12434178066831135</v>
      </c>
      <c r="DB269" s="39">
        <v>0.96364880017941301</v>
      </c>
      <c r="DC269" s="38">
        <v>2.1759811616954488</v>
      </c>
      <c r="DE269" s="37" t="s">
        <v>1556</v>
      </c>
      <c r="DF269" s="35" t="str">
        <f t="shared" si="469"/>
        <v>IMSFS</v>
      </c>
      <c r="DG269" s="26">
        <f t="shared" si="482"/>
        <v>0.12670424810496989</v>
      </c>
      <c r="DH269" s="25">
        <f t="shared" si="482"/>
        <v>0.34877416651581861</v>
      </c>
      <c r="DI269" s="24">
        <f t="shared" si="482"/>
        <v>0.22677955010753539</v>
      </c>
      <c r="DJ269" s="25">
        <f t="shared" si="482"/>
        <v>0.15360318158909533</v>
      </c>
      <c r="DK269" s="24">
        <f t="shared" si="482"/>
        <v>0</v>
      </c>
      <c r="DL269" s="25">
        <f t="shared" si="482"/>
        <v>0</v>
      </c>
      <c r="DM269" s="24">
        <f t="shared" si="482"/>
        <v>0</v>
      </c>
      <c r="DN269" s="25">
        <f t="shared" si="482"/>
        <v>0.11689369494902337</v>
      </c>
      <c r="DO269" s="32">
        <f t="shared" si="482"/>
        <v>7.3297670899292025E-2</v>
      </c>
      <c r="DP269" s="26">
        <f t="shared" si="470"/>
        <v>3.83032458213375E-3</v>
      </c>
      <c r="DQ269" s="25">
        <f t="shared" si="471"/>
        <v>3.6260194748330551E-3</v>
      </c>
      <c r="DR269" s="24">
        <f t="shared" si="472"/>
        <v>2.2653463784517752E-3</v>
      </c>
      <c r="DS269" s="25">
        <f t="shared" si="473"/>
        <v>2.2653463784517748E-3</v>
      </c>
      <c r="DT269" s="24">
        <f t="shared" si="474"/>
        <v>0</v>
      </c>
      <c r="DU269" s="25">
        <f t="shared" si="475"/>
        <v>0</v>
      </c>
      <c r="DV269" s="24">
        <f t="shared" si="476"/>
        <v>0</v>
      </c>
      <c r="DW269" s="25">
        <f t="shared" si="477"/>
        <v>8.481664610696181E-2</v>
      </c>
      <c r="DX269" s="32">
        <f t="shared" si="478"/>
        <v>8.4816646106961796E-2</v>
      </c>
      <c r="DZ269" s="54" t="s">
        <v>1723</v>
      </c>
      <c r="EA269" s="39">
        <v>0.50447396142830525</v>
      </c>
      <c r="EB269" s="40">
        <v>0.50447396142830525</v>
      </c>
      <c r="EC269" s="39">
        <v>0.4825539643758987</v>
      </c>
      <c r="ED269" s="40">
        <v>0.4825539643758987</v>
      </c>
      <c r="EE269" s="39">
        <v>0.56555935591700357</v>
      </c>
      <c r="EF269" s="40">
        <v>0.56555935591700357</v>
      </c>
      <c r="EG269" s="39">
        <v>0.56555935591700379</v>
      </c>
      <c r="EH269" s="40">
        <v>0.58669091692759046</v>
      </c>
      <c r="EI269" s="66">
        <v>0.58669091692759046</v>
      </c>
    </row>
    <row r="270" spans="1:139">
      <c r="A270" s="37" t="s">
        <v>1696</v>
      </c>
      <c r="B270" s="36" t="s">
        <v>1107</v>
      </c>
      <c r="C270" s="1" t="s">
        <v>665</v>
      </c>
      <c r="D270" s="36" t="s">
        <v>665</v>
      </c>
      <c r="E270" s="36" t="s">
        <v>1722</v>
      </c>
      <c r="F270" s="1" t="e">
        <f t="shared" ca="1" si="439"/>
        <v>#NAME?</v>
      </c>
      <c r="G270" s="35" t="s">
        <v>1109</v>
      </c>
      <c r="H270" s="34">
        <f>1-I270</f>
        <v>0.55456570155901996</v>
      </c>
      <c r="I270" s="33">
        <v>0.44543429844097998</v>
      </c>
      <c r="J270" s="26">
        <v>0</v>
      </c>
      <c r="K270" s="25">
        <v>0</v>
      </c>
      <c r="L270" s="24"/>
      <c r="M270" s="25"/>
      <c r="N270" s="24"/>
      <c r="O270" s="25"/>
      <c r="P270" s="24"/>
      <c r="Q270" s="25"/>
      <c r="R270" s="32"/>
      <c r="S270" s="31" t="e">
        <v>#REF!</v>
      </c>
      <c r="T270" s="29" t="e">
        <f t="shared" si="465"/>
        <v>#REF!</v>
      </c>
      <c r="U270" s="30" t="e">
        <f t="shared" si="465"/>
        <v>#REF!</v>
      </c>
      <c r="V270" s="29" t="e">
        <f t="shared" si="465"/>
        <v>#REF!</v>
      </c>
      <c r="W270" s="30" t="e">
        <f t="shared" si="465"/>
        <v>#REF!</v>
      </c>
      <c r="X270" s="29" t="e">
        <f t="shared" si="465"/>
        <v>#REF!</v>
      </c>
      <c r="Y270" s="30" t="e">
        <f t="shared" si="465"/>
        <v>#REF!</v>
      </c>
      <c r="Z270" s="29" t="e">
        <f t="shared" si="465"/>
        <v>#REF!</v>
      </c>
      <c r="AA270" s="28" t="e">
        <f t="shared" si="465"/>
        <v>#REF!</v>
      </c>
      <c r="AB270" s="26" t="e">
        <f t="shared" si="480"/>
        <v>#REF!</v>
      </c>
      <c r="AC270" s="25" t="e">
        <f t="shared" si="480"/>
        <v>#REF!</v>
      </c>
      <c r="AD270" s="24" t="e">
        <f t="shared" si="480"/>
        <v>#REF!</v>
      </c>
      <c r="AE270" s="25" t="e">
        <f t="shared" si="480"/>
        <v>#REF!</v>
      </c>
      <c r="AF270" s="24" t="e">
        <f t="shared" si="480"/>
        <v>#REF!</v>
      </c>
      <c r="AG270" s="25" t="e">
        <f t="shared" si="480"/>
        <v>#REF!</v>
      </c>
      <c r="AH270" s="24" t="e">
        <f t="shared" si="480"/>
        <v>#REF!</v>
      </c>
      <c r="AI270" s="25" t="e">
        <f t="shared" si="480"/>
        <v>#REF!</v>
      </c>
      <c r="AJ270" s="24" t="e">
        <f t="shared" si="480"/>
        <v>#REF!</v>
      </c>
      <c r="AK270" s="27" t="e">
        <f t="shared" si="468"/>
        <v>#REF!</v>
      </c>
      <c r="AL270" s="26" t="e">
        <f t="shared" si="481"/>
        <v>#REF!</v>
      </c>
      <c r="AM270" s="25" t="e">
        <f t="shared" si="481"/>
        <v>#REF!</v>
      </c>
      <c r="AN270" s="24" t="e">
        <f t="shared" si="481"/>
        <v>#REF!</v>
      </c>
      <c r="AO270" s="25" t="e">
        <f t="shared" si="481"/>
        <v>#REF!</v>
      </c>
      <c r="AP270" s="24" t="e">
        <f t="shared" si="481"/>
        <v>#REF!</v>
      </c>
      <c r="AQ270" s="25" t="e">
        <f t="shared" si="481"/>
        <v>#REF!</v>
      </c>
      <c r="AR270" s="24" t="e">
        <f t="shared" si="481"/>
        <v>#REF!</v>
      </c>
      <c r="AS270" s="25" t="e">
        <f t="shared" si="481"/>
        <v>#REF!</v>
      </c>
      <c r="AT270" s="24" t="e">
        <f t="shared" si="481"/>
        <v>#REF!</v>
      </c>
      <c r="AU270" s="23" t="e">
        <f>SUM(AL270:AT270)</f>
        <v>#REF!</v>
      </c>
      <c r="CS270" s="54" t="s">
        <v>1345</v>
      </c>
      <c r="CT270" s="39">
        <v>0.14338850977315237</v>
      </c>
      <c r="CU270" s="40">
        <v>0.12651927332925211</v>
      </c>
      <c r="CV270" s="39">
        <v>0.40775354375827538</v>
      </c>
      <c r="CW270" s="40">
        <v>7.8080465826052728E-2</v>
      </c>
      <c r="CX270" s="39">
        <v>0.89069568423793477</v>
      </c>
      <c r="CY270" s="40">
        <v>0.51717813923492983</v>
      </c>
      <c r="CZ270" s="39">
        <v>0.37351754500300494</v>
      </c>
      <c r="DA270" s="40">
        <v>7.4031849079516654E-2</v>
      </c>
      <c r="DB270" s="39">
        <v>0.57374683036625418</v>
      </c>
      <c r="DC270" s="38">
        <v>3.1849118406083732</v>
      </c>
      <c r="DE270" s="37" t="s">
        <v>1456</v>
      </c>
      <c r="DF270" s="35" t="str">
        <f t="shared" si="469"/>
        <v>IMTFS</v>
      </c>
      <c r="DG270" s="26">
        <f t="shared" si="482"/>
        <v>8.6377437614399657</v>
      </c>
      <c r="DH270" s="25">
        <f t="shared" si="482"/>
        <v>23.776802483193681</v>
      </c>
      <c r="DI270" s="24">
        <f t="shared" si="482"/>
        <v>24.674085069247404</v>
      </c>
      <c r="DJ270" s="25">
        <f t="shared" si="482"/>
        <v>16.712344510954477</v>
      </c>
      <c r="DK270" s="24">
        <f t="shared" si="482"/>
        <v>4.0165888753442944</v>
      </c>
      <c r="DL270" s="25">
        <f t="shared" si="482"/>
        <v>3.5010422624979487</v>
      </c>
      <c r="DM270" s="24">
        <f t="shared" si="482"/>
        <v>12.162629082113899</v>
      </c>
      <c r="DN270" s="25">
        <f t="shared" si="482"/>
        <v>0</v>
      </c>
      <c r="DO270" s="32">
        <f t="shared" si="482"/>
        <v>0</v>
      </c>
      <c r="DP270" s="26">
        <f t="shared" si="470"/>
        <v>0.98231893334568399</v>
      </c>
      <c r="DQ270" s="25">
        <f t="shared" si="471"/>
        <v>0.92992317137375879</v>
      </c>
      <c r="DR270" s="24">
        <f t="shared" si="472"/>
        <v>0.92721314785371889</v>
      </c>
      <c r="DS270" s="25">
        <f t="shared" si="473"/>
        <v>0.927213147853719</v>
      </c>
      <c r="DT270" s="24">
        <f t="shared" si="474"/>
        <v>0.9053819520614439</v>
      </c>
      <c r="DU270" s="25">
        <f t="shared" si="475"/>
        <v>0.90538195206144401</v>
      </c>
      <c r="DV270" s="24">
        <f t="shared" si="476"/>
        <v>0.90538195206144401</v>
      </c>
      <c r="DW270" s="25">
        <f t="shared" si="477"/>
        <v>0</v>
      </c>
      <c r="DX270" s="32">
        <f t="shared" si="478"/>
        <v>0</v>
      </c>
      <c r="DZ270" s="54" t="s">
        <v>1721</v>
      </c>
      <c r="EA270" s="39">
        <v>1.2990139914576145E-2</v>
      </c>
      <c r="EB270" s="40">
        <v>1.2990139914576149E-2</v>
      </c>
      <c r="EC270" s="39">
        <v>5.3291461815657623E-2</v>
      </c>
      <c r="ED270" s="40">
        <v>5.3291461815657609E-2</v>
      </c>
      <c r="EE270" s="39">
        <v>4.5703732595059152E-2</v>
      </c>
      <c r="EF270" s="40">
        <v>4.5703732595059152E-2</v>
      </c>
      <c r="EG270" s="39">
        <v>4.5703732595059166E-2</v>
      </c>
      <c r="EH270" s="40">
        <v>3.4514178073410742E-2</v>
      </c>
      <c r="EI270" s="66">
        <v>3.4514178073410742E-2</v>
      </c>
    </row>
    <row r="271" spans="1:139">
      <c r="A271" s="37" t="s">
        <v>1696</v>
      </c>
      <c r="B271" s="36" t="s">
        <v>1107</v>
      </c>
      <c r="C271" s="1" t="s">
        <v>665</v>
      </c>
      <c r="D271" s="36" t="s">
        <v>665</v>
      </c>
      <c r="E271" s="36" t="s">
        <v>1720</v>
      </c>
      <c r="F271" s="1" t="e">
        <f t="shared" ca="1" si="439"/>
        <v>#NAME?</v>
      </c>
      <c r="G271" s="35" t="s">
        <v>1109</v>
      </c>
      <c r="H271" s="34">
        <f>1-I271</f>
        <v>0.59533980872646586</v>
      </c>
      <c r="I271" s="33">
        <v>0.40466019127353409</v>
      </c>
      <c r="J271" s="26">
        <v>0</v>
      </c>
      <c r="K271" s="25">
        <v>1.2032E-3</v>
      </c>
      <c r="L271" s="24"/>
      <c r="M271" s="25"/>
      <c r="N271" s="24"/>
      <c r="O271" s="25"/>
      <c r="P271" s="24"/>
      <c r="Q271" s="25"/>
      <c r="R271" s="32"/>
      <c r="S271" s="31" t="e">
        <v>#REF!</v>
      </c>
      <c r="T271" s="29" t="e">
        <f t="shared" ref="T271:AA280" si="483">S271</f>
        <v>#REF!</v>
      </c>
      <c r="U271" s="30" t="e">
        <f t="shared" si="483"/>
        <v>#REF!</v>
      </c>
      <c r="V271" s="29" t="e">
        <f t="shared" si="483"/>
        <v>#REF!</v>
      </c>
      <c r="W271" s="30" t="e">
        <f t="shared" si="483"/>
        <v>#REF!</v>
      </c>
      <c r="X271" s="29" t="e">
        <f t="shared" si="483"/>
        <v>#REF!</v>
      </c>
      <c r="Y271" s="30" t="e">
        <f t="shared" si="483"/>
        <v>#REF!</v>
      </c>
      <c r="Z271" s="29" t="e">
        <f t="shared" si="483"/>
        <v>#REF!</v>
      </c>
      <c r="AA271" s="28" t="e">
        <f t="shared" si="483"/>
        <v>#REF!</v>
      </c>
      <c r="AB271" s="26" t="e">
        <f t="shared" si="480"/>
        <v>#REF!</v>
      </c>
      <c r="AC271" s="25" t="e">
        <f t="shared" si="480"/>
        <v>#REF!</v>
      </c>
      <c r="AD271" s="24" t="e">
        <f t="shared" si="480"/>
        <v>#REF!</v>
      </c>
      <c r="AE271" s="25" t="e">
        <f t="shared" si="480"/>
        <v>#REF!</v>
      </c>
      <c r="AF271" s="24" t="e">
        <f t="shared" si="480"/>
        <v>#REF!</v>
      </c>
      <c r="AG271" s="25" t="e">
        <f t="shared" si="480"/>
        <v>#REF!</v>
      </c>
      <c r="AH271" s="24" t="e">
        <f t="shared" si="480"/>
        <v>#REF!</v>
      </c>
      <c r="AI271" s="25" t="e">
        <f t="shared" si="480"/>
        <v>#REF!</v>
      </c>
      <c r="AJ271" s="24" t="e">
        <f t="shared" si="480"/>
        <v>#REF!</v>
      </c>
      <c r="AK271" s="27" t="e">
        <f t="shared" si="468"/>
        <v>#REF!</v>
      </c>
      <c r="AL271" s="26" t="e">
        <f t="shared" si="481"/>
        <v>#REF!</v>
      </c>
      <c r="AM271" s="25" t="e">
        <f t="shared" si="481"/>
        <v>#REF!</v>
      </c>
      <c r="AN271" s="24" t="e">
        <f t="shared" si="481"/>
        <v>#REF!</v>
      </c>
      <c r="AO271" s="25" t="e">
        <f t="shared" si="481"/>
        <v>#REF!</v>
      </c>
      <c r="AP271" s="24" t="e">
        <f t="shared" si="481"/>
        <v>#REF!</v>
      </c>
      <c r="AQ271" s="25" t="e">
        <f t="shared" si="481"/>
        <v>#REF!</v>
      </c>
      <c r="AR271" s="24" t="e">
        <f t="shared" si="481"/>
        <v>#REF!</v>
      </c>
      <c r="AS271" s="25" t="e">
        <f t="shared" si="481"/>
        <v>#REF!</v>
      </c>
      <c r="AT271" s="24" t="e">
        <f t="shared" si="481"/>
        <v>#REF!</v>
      </c>
      <c r="AU271" s="23" t="e">
        <f>SUM(AL271:AT271)</f>
        <v>#REF!</v>
      </c>
      <c r="CS271" s="54" t="s">
        <v>1343</v>
      </c>
      <c r="CT271" s="39">
        <v>0.16635531033641004</v>
      </c>
      <c r="CU271" s="40">
        <v>0.14678409735565595</v>
      </c>
      <c r="CV271" s="39">
        <v>0.43802238575973512</v>
      </c>
      <c r="CW271" s="40">
        <v>8.3876627060374798E-2</v>
      </c>
      <c r="CX271" s="39">
        <v>1.1351303528837391</v>
      </c>
      <c r="CY271" s="40">
        <v>0.65910794683571949</v>
      </c>
      <c r="CZ271" s="39">
        <v>0.47602240604801965</v>
      </c>
      <c r="DA271" s="40">
        <v>7.1574721758186508E-2</v>
      </c>
      <c r="DB271" s="39">
        <v>0.55470409362594542</v>
      </c>
      <c r="DC271" s="38">
        <v>3.7315779416637858</v>
      </c>
      <c r="DE271" s="37" t="s">
        <v>1451</v>
      </c>
      <c r="DF271" s="35" t="str">
        <f t="shared" si="469"/>
        <v>IMTFS</v>
      </c>
      <c r="DG271" s="26">
        <f t="shared" si="482"/>
        <v>0.12179258371598996</v>
      </c>
      <c r="DH271" s="25">
        <f t="shared" si="482"/>
        <v>0.33525400693874829</v>
      </c>
      <c r="DI271" s="24">
        <f t="shared" si="482"/>
        <v>1.2261852394048132</v>
      </c>
      <c r="DJ271" s="25">
        <f t="shared" si="482"/>
        <v>0.83052441854150905</v>
      </c>
      <c r="DK271" s="24">
        <f t="shared" si="482"/>
        <v>0.4197585316246788</v>
      </c>
      <c r="DL271" s="25">
        <f t="shared" si="482"/>
        <v>0.36588070247446264</v>
      </c>
      <c r="DM271" s="24">
        <f t="shared" si="482"/>
        <v>1.2710704238471813</v>
      </c>
      <c r="DN271" s="25">
        <f t="shared" si="482"/>
        <v>0</v>
      </c>
      <c r="DO271" s="32">
        <f t="shared" si="482"/>
        <v>0</v>
      </c>
      <c r="DP271" s="26">
        <f t="shared" si="470"/>
        <v>1.3850742072182237E-2</v>
      </c>
      <c r="DQ271" s="25">
        <f t="shared" si="471"/>
        <v>1.311195942215547E-2</v>
      </c>
      <c r="DR271" s="24">
        <f t="shared" si="472"/>
        <v>4.6078104719567657E-2</v>
      </c>
      <c r="DS271" s="25">
        <f t="shared" si="473"/>
        <v>4.6078104719567664E-2</v>
      </c>
      <c r="DT271" s="24">
        <f t="shared" si="474"/>
        <v>9.4618047938555966E-2</v>
      </c>
      <c r="DU271" s="25">
        <f t="shared" si="475"/>
        <v>9.461804793855598E-2</v>
      </c>
      <c r="DV271" s="24">
        <f t="shared" si="476"/>
        <v>9.461804793855598E-2</v>
      </c>
      <c r="DW271" s="25">
        <f t="shared" si="477"/>
        <v>0</v>
      </c>
      <c r="DX271" s="32">
        <f t="shared" si="478"/>
        <v>0</v>
      </c>
      <c r="DZ271" s="54" t="s">
        <v>1719</v>
      </c>
      <c r="EA271" s="39">
        <v>0.43930271044621388</v>
      </c>
      <c r="EB271" s="40">
        <v>0.43930271044621394</v>
      </c>
      <c r="EC271" s="39">
        <v>0.4459099823809935</v>
      </c>
      <c r="ED271" s="40">
        <v>0.4459099823809935</v>
      </c>
      <c r="EE271" s="39">
        <v>0.36358924321535935</v>
      </c>
      <c r="EF271" s="40">
        <v>0.36358924321535929</v>
      </c>
      <c r="EG271" s="39">
        <v>0.36358924321535935</v>
      </c>
      <c r="EH271" s="40">
        <v>0.34093652180804973</v>
      </c>
      <c r="EI271" s="66">
        <v>0.34093652180804973</v>
      </c>
    </row>
    <row r="272" spans="1:139">
      <c r="A272" s="37" t="s">
        <v>1696</v>
      </c>
      <c r="B272" s="36" t="s">
        <v>1107</v>
      </c>
      <c r="C272" s="1" t="s">
        <v>665</v>
      </c>
      <c r="D272" s="36" t="s">
        <v>665</v>
      </c>
      <c r="E272" s="36" t="s">
        <v>1718</v>
      </c>
      <c r="F272" s="1" t="e">
        <f t="shared" ca="1" si="439"/>
        <v>#NAME?</v>
      </c>
      <c r="G272" s="35" t="s">
        <v>1109</v>
      </c>
      <c r="H272" s="34">
        <f>1-I272</f>
        <v>0.55009854064684982</v>
      </c>
      <c r="I272" s="33">
        <v>0.44990145935315018</v>
      </c>
      <c r="J272" s="26">
        <v>0</v>
      </c>
      <c r="K272" s="25">
        <v>0</v>
      </c>
      <c r="L272" s="24"/>
      <c r="M272" s="25"/>
      <c r="N272" s="24"/>
      <c r="O272" s="25"/>
      <c r="P272" s="24"/>
      <c r="Q272" s="25"/>
      <c r="R272" s="32"/>
      <c r="S272" s="31" t="e">
        <v>#REF!</v>
      </c>
      <c r="T272" s="29" t="e">
        <f t="shared" si="483"/>
        <v>#REF!</v>
      </c>
      <c r="U272" s="30" t="e">
        <f t="shared" si="483"/>
        <v>#REF!</v>
      </c>
      <c r="V272" s="29" t="e">
        <f t="shared" si="483"/>
        <v>#REF!</v>
      </c>
      <c r="W272" s="30" t="e">
        <f t="shared" si="483"/>
        <v>#REF!</v>
      </c>
      <c r="X272" s="29" t="e">
        <f t="shared" si="483"/>
        <v>#REF!</v>
      </c>
      <c r="Y272" s="30" t="e">
        <f t="shared" si="483"/>
        <v>#REF!</v>
      </c>
      <c r="Z272" s="29" t="e">
        <f t="shared" si="483"/>
        <v>#REF!</v>
      </c>
      <c r="AA272" s="28" t="e">
        <f t="shared" si="483"/>
        <v>#REF!</v>
      </c>
      <c r="AB272" s="26" t="e">
        <f t="shared" si="480"/>
        <v>#REF!</v>
      </c>
      <c r="AC272" s="25" t="e">
        <f t="shared" si="480"/>
        <v>#REF!</v>
      </c>
      <c r="AD272" s="24" t="e">
        <f t="shared" si="480"/>
        <v>#REF!</v>
      </c>
      <c r="AE272" s="25" t="e">
        <f t="shared" si="480"/>
        <v>#REF!</v>
      </c>
      <c r="AF272" s="24" t="e">
        <f t="shared" si="480"/>
        <v>#REF!</v>
      </c>
      <c r="AG272" s="25" t="e">
        <f t="shared" si="480"/>
        <v>#REF!</v>
      </c>
      <c r="AH272" s="24" t="e">
        <f t="shared" si="480"/>
        <v>#REF!</v>
      </c>
      <c r="AI272" s="25" t="e">
        <f t="shared" si="480"/>
        <v>#REF!</v>
      </c>
      <c r="AJ272" s="24" t="e">
        <f t="shared" si="480"/>
        <v>#REF!</v>
      </c>
      <c r="AK272" s="27" t="e">
        <f t="shared" si="468"/>
        <v>#REF!</v>
      </c>
      <c r="AL272" s="26" t="e">
        <f t="shared" si="481"/>
        <v>#REF!</v>
      </c>
      <c r="AM272" s="25" t="e">
        <f t="shared" si="481"/>
        <v>#REF!</v>
      </c>
      <c r="AN272" s="24" t="e">
        <f t="shared" si="481"/>
        <v>#REF!</v>
      </c>
      <c r="AO272" s="25" t="e">
        <f t="shared" si="481"/>
        <v>#REF!</v>
      </c>
      <c r="AP272" s="24" t="e">
        <f t="shared" si="481"/>
        <v>#REF!</v>
      </c>
      <c r="AQ272" s="25" t="e">
        <f t="shared" si="481"/>
        <v>#REF!</v>
      </c>
      <c r="AR272" s="24" t="e">
        <f t="shared" si="481"/>
        <v>#REF!</v>
      </c>
      <c r="AS272" s="25" t="e">
        <f t="shared" si="481"/>
        <v>#REF!</v>
      </c>
      <c r="AT272" s="24" t="e">
        <f t="shared" si="481"/>
        <v>#REF!</v>
      </c>
      <c r="AU272" s="23" t="e">
        <f>SUM(AL272:AT272)</f>
        <v>#REF!</v>
      </c>
      <c r="CS272" s="54" t="s">
        <v>1341</v>
      </c>
      <c r="CT272" s="39">
        <v>0</v>
      </c>
      <c r="CU272" s="40">
        <v>0</v>
      </c>
      <c r="CV272" s="39">
        <v>0</v>
      </c>
      <c r="CW272" s="40">
        <v>0</v>
      </c>
      <c r="CX272" s="39">
        <v>0</v>
      </c>
      <c r="CY272" s="40">
        <v>0</v>
      </c>
      <c r="CZ272" s="39">
        <v>0</v>
      </c>
      <c r="DA272" s="40">
        <v>0.21025074516467288</v>
      </c>
      <c r="DB272" s="39">
        <v>1.6294432750262149</v>
      </c>
      <c r="DC272" s="38">
        <v>1.8396940201908878</v>
      </c>
      <c r="DE272" s="37" t="s">
        <v>1446</v>
      </c>
      <c r="DF272" s="35" t="str">
        <f t="shared" si="469"/>
        <v>IMTFS</v>
      </c>
      <c r="DG272" s="26">
        <f t="shared" si="482"/>
        <v>0</v>
      </c>
      <c r="DH272" s="25">
        <f t="shared" si="482"/>
        <v>1.3637979284026902</v>
      </c>
      <c r="DI272" s="24">
        <f t="shared" si="482"/>
        <v>0.6504637668723916</v>
      </c>
      <c r="DJ272" s="25">
        <f t="shared" si="482"/>
        <v>0.44057457584976062</v>
      </c>
      <c r="DK272" s="24">
        <f t="shared" si="482"/>
        <v>0</v>
      </c>
      <c r="DL272" s="25">
        <f t="shared" si="482"/>
        <v>0</v>
      </c>
      <c r="DM272" s="24">
        <f t="shared" si="482"/>
        <v>0</v>
      </c>
      <c r="DN272" s="25">
        <f t="shared" si="482"/>
        <v>0.33528205300751013</v>
      </c>
      <c r="DO272" s="32">
        <f t="shared" si="482"/>
        <v>0.21023711835356598</v>
      </c>
      <c r="DP272" s="26">
        <f t="shared" si="470"/>
        <v>0</v>
      </c>
      <c r="DQ272" s="25">
        <f t="shared" si="471"/>
        <v>5.3338849729252784E-2</v>
      </c>
      <c r="DR272" s="24">
        <f t="shared" si="472"/>
        <v>2.4443401048261596E-2</v>
      </c>
      <c r="DS272" s="25">
        <f t="shared" si="473"/>
        <v>2.44434010482616E-2</v>
      </c>
      <c r="DT272" s="24">
        <f t="shared" si="474"/>
        <v>0</v>
      </c>
      <c r="DU272" s="25">
        <f t="shared" si="475"/>
        <v>0</v>
      </c>
      <c r="DV272" s="24">
        <f t="shared" si="476"/>
        <v>0</v>
      </c>
      <c r="DW272" s="25">
        <f t="shared" si="477"/>
        <v>0.91518335389303818</v>
      </c>
      <c r="DX272" s="32">
        <f t="shared" si="478"/>
        <v>0.91518335389303818</v>
      </c>
      <c r="DZ272" s="54" t="s">
        <v>1717</v>
      </c>
      <c r="EA272" s="39">
        <v>7.9839865759825102E-3</v>
      </c>
      <c r="EB272" s="40">
        <v>7.9839865759825119E-3</v>
      </c>
      <c r="EC272" s="39">
        <v>0</v>
      </c>
      <c r="ED272" s="40">
        <v>0</v>
      </c>
      <c r="EE272" s="39">
        <v>1.9152532923441543E-3</v>
      </c>
      <c r="EF272" s="40">
        <v>1.9152532923441543E-3</v>
      </c>
      <c r="EG272" s="39">
        <v>1.9152532923441541E-3</v>
      </c>
      <c r="EH272" s="40">
        <v>0</v>
      </c>
      <c r="EI272" s="66">
        <v>0</v>
      </c>
    </row>
    <row r="273" spans="1:139">
      <c r="A273" s="37" t="s">
        <v>1696</v>
      </c>
      <c r="B273" s="36" t="s">
        <v>1107</v>
      </c>
      <c r="C273" s="1" t="s">
        <v>1111</v>
      </c>
      <c r="D273" s="36" t="s">
        <v>1111</v>
      </c>
      <c r="E273" s="36" t="s">
        <v>1716</v>
      </c>
      <c r="F273" s="1" t="e">
        <f t="shared" ca="1" si="439"/>
        <v>#NAME?</v>
      </c>
      <c r="G273" s="35" t="s">
        <v>1104</v>
      </c>
      <c r="H273" s="43">
        <v>1</v>
      </c>
      <c r="I273" s="42">
        <v>0</v>
      </c>
      <c r="J273" s="26">
        <v>1.6016039399999999</v>
      </c>
      <c r="K273" s="25">
        <v>1.2199176</v>
      </c>
      <c r="L273" s="24"/>
      <c r="M273" s="25"/>
      <c r="N273" s="24"/>
      <c r="O273" s="25"/>
      <c r="P273" s="24"/>
      <c r="Q273" s="25"/>
      <c r="R273" s="32"/>
      <c r="S273" s="31" t="e">
        <v>#REF!</v>
      </c>
      <c r="T273" s="29" t="e">
        <f t="shared" si="483"/>
        <v>#REF!</v>
      </c>
      <c r="U273" s="30" t="e">
        <f t="shared" si="483"/>
        <v>#REF!</v>
      </c>
      <c r="V273" s="29" t="e">
        <f t="shared" si="483"/>
        <v>#REF!</v>
      </c>
      <c r="W273" s="30" t="e">
        <f t="shared" si="483"/>
        <v>#REF!</v>
      </c>
      <c r="X273" s="29" t="e">
        <f t="shared" si="483"/>
        <v>#REF!</v>
      </c>
      <c r="Y273" s="30" t="e">
        <f t="shared" si="483"/>
        <v>#REF!</v>
      </c>
      <c r="Z273" s="29" t="e">
        <f t="shared" si="483"/>
        <v>#REF!</v>
      </c>
      <c r="AA273" s="28" t="e">
        <f t="shared" si="483"/>
        <v>#REF!</v>
      </c>
      <c r="AB273" s="26" t="e">
        <f t="shared" ref="AB273:AJ273" si="484">J273*$H273*S273</f>
        <v>#REF!</v>
      </c>
      <c r="AC273" s="25" t="e">
        <f t="shared" si="484"/>
        <v>#REF!</v>
      </c>
      <c r="AD273" s="24" t="e">
        <f t="shared" si="484"/>
        <v>#REF!</v>
      </c>
      <c r="AE273" s="25" t="e">
        <f t="shared" si="484"/>
        <v>#REF!</v>
      </c>
      <c r="AF273" s="24" t="e">
        <f t="shared" si="484"/>
        <v>#REF!</v>
      </c>
      <c r="AG273" s="25" t="e">
        <f t="shared" si="484"/>
        <v>#REF!</v>
      </c>
      <c r="AH273" s="24" t="e">
        <f t="shared" si="484"/>
        <v>#REF!</v>
      </c>
      <c r="AI273" s="25" t="e">
        <f t="shared" si="484"/>
        <v>#REF!</v>
      </c>
      <c r="AJ273" s="24" t="e">
        <f t="shared" si="484"/>
        <v>#REF!</v>
      </c>
      <c r="AK273" s="27" t="e">
        <f t="shared" si="468"/>
        <v>#REF!</v>
      </c>
      <c r="AL273" s="41">
        <v>0</v>
      </c>
      <c r="AM273" s="40">
        <v>0</v>
      </c>
      <c r="AN273" s="39">
        <v>0</v>
      </c>
      <c r="AO273" s="40">
        <v>0</v>
      </c>
      <c r="AP273" s="39">
        <v>0</v>
      </c>
      <c r="AQ273" s="40">
        <v>0</v>
      </c>
      <c r="AR273" s="39">
        <v>0</v>
      </c>
      <c r="AS273" s="40">
        <v>0</v>
      </c>
      <c r="AT273" s="39">
        <v>0</v>
      </c>
      <c r="AU273" s="38">
        <v>0</v>
      </c>
      <c r="CS273" s="54" t="s">
        <v>1339</v>
      </c>
      <c r="CT273" s="39">
        <v>2.3692561431517212</v>
      </c>
      <c r="CU273" s="40">
        <v>2.0905201263103423</v>
      </c>
      <c r="CV273" s="39">
        <v>6.7374477213659034</v>
      </c>
      <c r="CW273" s="40">
        <v>1.2901495636658111</v>
      </c>
      <c r="CX273" s="39">
        <v>14.717261689224808</v>
      </c>
      <c r="CY273" s="40">
        <v>8.5455067872918242</v>
      </c>
      <c r="CZ273" s="39">
        <v>6.1717549019329843</v>
      </c>
      <c r="DA273" s="40">
        <v>1.2232529196238802</v>
      </c>
      <c r="DB273" s="39">
        <v>9.4802101270850727</v>
      </c>
      <c r="DC273" s="38">
        <v>52.625359979652352</v>
      </c>
      <c r="DE273" s="37" t="s">
        <v>1441</v>
      </c>
      <c r="DF273" s="35" t="str">
        <f t="shared" si="469"/>
        <v>IMTFS</v>
      </c>
      <c r="DG273" s="26">
        <f t="shared" si="482"/>
        <v>3.3680876078536287E-2</v>
      </c>
      <c r="DH273" s="25">
        <f t="shared" si="482"/>
        <v>9.2712120213065699E-2</v>
      </c>
      <c r="DI273" s="24">
        <f t="shared" si="482"/>
        <v>6.0283171547572699E-2</v>
      </c>
      <c r="DJ273" s="25">
        <f t="shared" si="482"/>
        <v>4.0831225485708882E-2</v>
      </c>
      <c r="DK273" s="24">
        <f t="shared" si="482"/>
        <v>0</v>
      </c>
      <c r="DL273" s="25">
        <f t="shared" si="482"/>
        <v>0</v>
      </c>
      <c r="DM273" s="24">
        <f t="shared" si="482"/>
        <v>0</v>
      </c>
      <c r="DN273" s="25">
        <f t="shared" si="482"/>
        <v>3.1073007518094817E-2</v>
      </c>
      <c r="DO273" s="32">
        <f t="shared" si="482"/>
        <v>1.948419099854598E-2</v>
      </c>
      <c r="DP273" s="26">
        <f t="shared" si="470"/>
        <v>3.8303245821337483E-3</v>
      </c>
      <c r="DQ273" s="25">
        <f t="shared" si="471"/>
        <v>3.6260194748330547E-3</v>
      </c>
      <c r="DR273" s="24">
        <f t="shared" si="472"/>
        <v>2.2653463784517752E-3</v>
      </c>
      <c r="DS273" s="25">
        <f t="shared" si="473"/>
        <v>2.2653463784517752E-3</v>
      </c>
      <c r="DT273" s="24">
        <f t="shared" si="474"/>
        <v>0</v>
      </c>
      <c r="DU273" s="25">
        <f t="shared" si="475"/>
        <v>0</v>
      </c>
      <c r="DV273" s="24">
        <f t="shared" si="476"/>
        <v>0</v>
      </c>
      <c r="DW273" s="25">
        <f t="shared" si="477"/>
        <v>8.4816646106961824E-2</v>
      </c>
      <c r="DX273" s="32">
        <f t="shared" si="478"/>
        <v>8.4816646106961824E-2</v>
      </c>
      <c r="DZ273" s="54" t="s">
        <v>1715</v>
      </c>
      <c r="EA273" s="39">
        <v>0.42025947991324403</v>
      </c>
      <c r="EB273" s="40">
        <v>0.36102588895989779</v>
      </c>
      <c r="EC273" s="39">
        <v>2.3364836099695242E-2</v>
      </c>
      <c r="ED273" s="40">
        <v>2.3364836099695238E-2</v>
      </c>
      <c r="EE273" s="39">
        <v>0.23677315032884341</v>
      </c>
      <c r="EF273" s="40">
        <v>0.23677315032884338</v>
      </c>
      <c r="EG273" s="39">
        <v>0.23677315032884344</v>
      </c>
      <c r="EH273" s="40">
        <v>0</v>
      </c>
      <c r="EI273" s="66">
        <v>0</v>
      </c>
    </row>
    <row r="274" spans="1:139">
      <c r="A274" s="37" t="s">
        <v>1696</v>
      </c>
      <c r="B274" s="36" t="s">
        <v>1107</v>
      </c>
      <c r="C274" s="1" t="s">
        <v>1111</v>
      </c>
      <c r="D274" s="36" t="s">
        <v>1111</v>
      </c>
      <c r="E274" s="36" t="s">
        <v>1714</v>
      </c>
      <c r="F274" s="1" t="e">
        <f t="shared" ca="1" si="439"/>
        <v>#NAME?</v>
      </c>
      <c r="G274" s="35" t="s">
        <v>1109</v>
      </c>
      <c r="H274" s="34">
        <f>1-I274</f>
        <v>0.9197508368680285</v>
      </c>
      <c r="I274" s="33">
        <v>8.0249163131971557E-2</v>
      </c>
      <c r="J274" s="26" t="e">
        <v>#REF!</v>
      </c>
      <c r="K274" s="25" t="e">
        <v>#REF!</v>
      </c>
      <c r="L274" s="24"/>
      <c r="M274" s="25"/>
      <c r="N274" s="24"/>
      <c r="O274" s="25"/>
      <c r="P274" s="24"/>
      <c r="Q274" s="25"/>
      <c r="R274" s="32"/>
      <c r="S274" s="31" t="e">
        <v>#REF!</v>
      </c>
      <c r="T274" s="29" t="e">
        <f t="shared" si="483"/>
        <v>#REF!</v>
      </c>
      <c r="U274" s="30" t="e">
        <f t="shared" si="483"/>
        <v>#REF!</v>
      </c>
      <c r="V274" s="29" t="e">
        <f t="shared" si="483"/>
        <v>#REF!</v>
      </c>
      <c r="W274" s="30" t="e">
        <f t="shared" si="483"/>
        <v>#REF!</v>
      </c>
      <c r="X274" s="29" t="e">
        <f t="shared" si="483"/>
        <v>#REF!</v>
      </c>
      <c r="Y274" s="30" t="e">
        <f t="shared" si="483"/>
        <v>#REF!</v>
      </c>
      <c r="Z274" s="29" t="e">
        <f t="shared" si="483"/>
        <v>#REF!</v>
      </c>
      <c r="AA274" s="28" t="e">
        <f t="shared" si="483"/>
        <v>#REF!</v>
      </c>
      <c r="AB274" s="26" t="e">
        <f t="shared" ref="AB274:AJ276" si="485">J274*31.536*$H274*S274</f>
        <v>#REF!</v>
      </c>
      <c r="AC274" s="25" t="e">
        <f t="shared" si="485"/>
        <v>#REF!</v>
      </c>
      <c r="AD274" s="24" t="e">
        <f t="shared" si="485"/>
        <v>#REF!</v>
      </c>
      <c r="AE274" s="25" t="e">
        <f t="shared" si="485"/>
        <v>#REF!</v>
      </c>
      <c r="AF274" s="24" t="e">
        <f t="shared" si="485"/>
        <v>#REF!</v>
      </c>
      <c r="AG274" s="25" t="e">
        <f t="shared" si="485"/>
        <v>#REF!</v>
      </c>
      <c r="AH274" s="24" t="e">
        <f t="shared" si="485"/>
        <v>#REF!</v>
      </c>
      <c r="AI274" s="25" t="e">
        <f t="shared" si="485"/>
        <v>#REF!</v>
      </c>
      <c r="AJ274" s="24" t="e">
        <f t="shared" si="485"/>
        <v>#REF!</v>
      </c>
      <c r="AK274" s="27" t="e">
        <f t="shared" si="468"/>
        <v>#REF!</v>
      </c>
      <c r="AL274" s="26" t="e">
        <f t="shared" ref="AL274:AT276" si="486">J274*31.536*$I274*S274</f>
        <v>#REF!</v>
      </c>
      <c r="AM274" s="25" t="e">
        <f t="shared" si="486"/>
        <v>#REF!</v>
      </c>
      <c r="AN274" s="24" t="e">
        <f t="shared" si="486"/>
        <v>#REF!</v>
      </c>
      <c r="AO274" s="25" t="e">
        <f t="shared" si="486"/>
        <v>#REF!</v>
      </c>
      <c r="AP274" s="24" t="e">
        <f t="shared" si="486"/>
        <v>#REF!</v>
      </c>
      <c r="AQ274" s="25" t="e">
        <f t="shared" si="486"/>
        <v>#REF!</v>
      </c>
      <c r="AR274" s="24" t="e">
        <f t="shared" si="486"/>
        <v>#REF!</v>
      </c>
      <c r="AS274" s="25" t="e">
        <f t="shared" si="486"/>
        <v>#REF!</v>
      </c>
      <c r="AT274" s="24" t="e">
        <f t="shared" si="486"/>
        <v>#REF!</v>
      </c>
      <c r="AU274" s="23" t="e">
        <f>SUM(AL274:AT274)</f>
        <v>#REF!</v>
      </c>
      <c r="CS274" s="54" t="s">
        <v>1337</v>
      </c>
      <c r="CT274" s="39">
        <v>0.16635531033641004</v>
      </c>
      <c r="CU274" s="40">
        <v>0.14678409735565595</v>
      </c>
      <c r="CV274" s="39">
        <v>0.43802238575973512</v>
      </c>
      <c r="CW274" s="40">
        <v>8.3876627060374798E-2</v>
      </c>
      <c r="CX274" s="39">
        <v>1.1351303528837391</v>
      </c>
      <c r="CY274" s="40">
        <v>0.65910794683571949</v>
      </c>
      <c r="CZ274" s="39">
        <v>0.47602240604801965</v>
      </c>
      <c r="DA274" s="40">
        <v>7.1574721758186508E-2</v>
      </c>
      <c r="DB274" s="39">
        <v>0.55470409362594542</v>
      </c>
      <c r="DC274" s="38">
        <v>3.7315779416637858</v>
      </c>
      <c r="DE274" s="37" t="s">
        <v>1713</v>
      </c>
      <c r="DF274" s="35" t="str">
        <f t="shared" si="469"/>
        <v>ICAMD</v>
      </c>
      <c r="DG274" s="26">
        <f t="shared" si="482"/>
        <v>0</v>
      </c>
      <c r="DH274" s="25">
        <f t="shared" si="482"/>
        <v>0</v>
      </c>
      <c r="DI274" s="24">
        <f t="shared" si="482"/>
        <v>2.6668207920443425</v>
      </c>
      <c r="DJ274" s="25">
        <f t="shared" si="482"/>
        <v>1.806301133376977</v>
      </c>
      <c r="DK274" s="24">
        <f t="shared" si="482"/>
        <v>2.2823239584870136</v>
      </c>
      <c r="DL274" s="25">
        <f t="shared" si="482"/>
        <v>1.9893777738678113</v>
      </c>
      <c r="DM274" s="24">
        <f t="shared" si="482"/>
        <v>6.9111030811984744</v>
      </c>
      <c r="DN274" s="25">
        <f t="shared" si="482"/>
        <v>1.3746148451265752</v>
      </c>
      <c r="DO274" s="32">
        <f t="shared" si="482"/>
        <v>0.86194611758408457</v>
      </c>
      <c r="DP274" s="26">
        <f t="shared" si="470"/>
        <v>0</v>
      </c>
      <c r="DQ274" s="25">
        <f t="shared" si="471"/>
        <v>0</v>
      </c>
      <c r="DR274" s="24">
        <f t="shared" si="472"/>
        <v>0.90558309512875135</v>
      </c>
      <c r="DS274" s="25">
        <f t="shared" si="473"/>
        <v>0.90558309512875124</v>
      </c>
      <c r="DT274" s="24">
        <f t="shared" si="474"/>
        <v>0.85703210395056717</v>
      </c>
      <c r="DU274" s="25">
        <f t="shared" si="475"/>
        <v>0.85703210395056717</v>
      </c>
      <c r="DV274" s="24">
        <f t="shared" si="476"/>
        <v>0.85703210395056717</v>
      </c>
      <c r="DW274" s="25">
        <f t="shared" si="477"/>
        <v>0.97672363847761734</v>
      </c>
      <c r="DX274" s="32">
        <f t="shared" si="478"/>
        <v>0.97672363847761734</v>
      </c>
      <c r="DZ274" s="54" t="s">
        <v>1712</v>
      </c>
      <c r="EA274" s="39">
        <v>0</v>
      </c>
      <c r="EB274" s="40">
        <v>0</v>
      </c>
      <c r="EC274" s="39">
        <v>0.18406266480206943</v>
      </c>
      <c r="ED274" s="40">
        <v>0.1840626648020694</v>
      </c>
      <c r="EE274" s="39">
        <v>6.3999184651115593E-2</v>
      </c>
      <c r="EF274" s="40">
        <v>6.3999184651115565E-2</v>
      </c>
      <c r="EG274" s="39">
        <v>6.3999184651115593E-2</v>
      </c>
      <c r="EH274" s="40">
        <v>0</v>
      </c>
      <c r="EI274" s="66">
        <v>0</v>
      </c>
    </row>
    <row r="275" spans="1:139">
      <c r="A275" s="37" t="s">
        <v>1696</v>
      </c>
      <c r="B275" s="36" t="s">
        <v>1107</v>
      </c>
      <c r="C275" s="1" t="s">
        <v>1111</v>
      </c>
      <c r="D275" s="36" t="s">
        <v>1111</v>
      </c>
      <c r="E275" s="36" t="s">
        <v>1711</v>
      </c>
      <c r="F275" s="1" t="e">
        <f t="shared" ca="1" si="439"/>
        <v>#NAME?</v>
      </c>
      <c r="G275" s="35" t="s">
        <v>1109</v>
      </c>
      <c r="H275" s="34">
        <f>1-I275</f>
        <v>0.60426246259397121</v>
      </c>
      <c r="I275" s="33">
        <v>0.39573753740602874</v>
      </c>
      <c r="J275" s="26">
        <v>0</v>
      </c>
      <c r="K275" s="25">
        <v>6.0651864743234462E-3</v>
      </c>
      <c r="L275" s="24"/>
      <c r="M275" s="25"/>
      <c r="N275" s="24"/>
      <c r="O275" s="25"/>
      <c r="P275" s="24"/>
      <c r="Q275" s="25"/>
      <c r="R275" s="32"/>
      <c r="S275" s="31" t="e">
        <v>#REF!</v>
      </c>
      <c r="T275" s="29" t="e">
        <f t="shared" si="483"/>
        <v>#REF!</v>
      </c>
      <c r="U275" s="30" t="e">
        <f t="shared" si="483"/>
        <v>#REF!</v>
      </c>
      <c r="V275" s="29" t="e">
        <f t="shared" si="483"/>
        <v>#REF!</v>
      </c>
      <c r="W275" s="30" t="e">
        <f t="shared" si="483"/>
        <v>#REF!</v>
      </c>
      <c r="X275" s="29" t="e">
        <f t="shared" si="483"/>
        <v>#REF!</v>
      </c>
      <c r="Y275" s="30" t="e">
        <f t="shared" si="483"/>
        <v>#REF!</v>
      </c>
      <c r="Z275" s="29" t="e">
        <f t="shared" si="483"/>
        <v>#REF!</v>
      </c>
      <c r="AA275" s="28" t="e">
        <f t="shared" si="483"/>
        <v>#REF!</v>
      </c>
      <c r="AB275" s="26" t="e">
        <f t="shared" si="485"/>
        <v>#REF!</v>
      </c>
      <c r="AC275" s="25" t="e">
        <f t="shared" si="485"/>
        <v>#REF!</v>
      </c>
      <c r="AD275" s="24" t="e">
        <f t="shared" si="485"/>
        <v>#REF!</v>
      </c>
      <c r="AE275" s="25" t="e">
        <f t="shared" si="485"/>
        <v>#REF!</v>
      </c>
      <c r="AF275" s="24" t="e">
        <f t="shared" si="485"/>
        <v>#REF!</v>
      </c>
      <c r="AG275" s="25" t="e">
        <f t="shared" si="485"/>
        <v>#REF!</v>
      </c>
      <c r="AH275" s="24" t="e">
        <f t="shared" si="485"/>
        <v>#REF!</v>
      </c>
      <c r="AI275" s="25" t="e">
        <f t="shared" si="485"/>
        <v>#REF!</v>
      </c>
      <c r="AJ275" s="24" t="e">
        <f t="shared" si="485"/>
        <v>#REF!</v>
      </c>
      <c r="AK275" s="27" t="e">
        <f t="shared" si="468"/>
        <v>#REF!</v>
      </c>
      <c r="AL275" s="26" t="e">
        <f t="shared" si="486"/>
        <v>#REF!</v>
      </c>
      <c r="AM275" s="25" t="e">
        <f t="shared" si="486"/>
        <v>#REF!</v>
      </c>
      <c r="AN275" s="24" t="e">
        <f t="shared" si="486"/>
        <v>#REF!</v>
      </c>
      <c r="AO275" s="25" t="e">
        <f t="shared" si="486"/>
        <v>#REF!</v>
      </c>
      <c r="AP275" s="24" t="e">
        <f t="shared" si="486"/>
        <v>#REF!</v>
      </c>
      <c r="AQ275" s="25" t="e">
        <f t="shared" si="486"/>
        <v>#REF!</v>
      </c>
      <c r="AR275" s="24" t="e">
        <f t="shared" si="486"/>
        <v>#REF!</v>
      </c>
      <c r="AS275" s="25" t="e">
        <f t="shared" si="486"/>
        <v>#REF!</v>
      </c>
      <c r="AT275" s="24" t="e">
        <f t="shared" si="486"/>
        <v>#REF!</v>
      </c>
      <c r="AU275" s="23" t="e">
        <f>SUM(AL275:AT275)</f>
        <v>#REF!</v>
      </c>
      <c r="CS275" s="54" t="s">
        <v>1335</v>
      </c>
      <c r="CT275" s="39">
        <v>4.7796169924384124E-2</v>
      </c>
      <c r="CU275" s="40">
        <v>4.2173091109750697E-2</v>
      </c>
      <c r="CV275" s="39">
        <v>0.13591784791942513</v>
      </c>
      <c r="CW275" s="40">
        <v>2.6026821942017574E-2</v>
      </c>
      <c r="CX275" s="39">
        <v>0.29689856141264487</v>
      </c>
      <c r="CY275" s="40">
        <v>0.17239271307830994</v>
      </c>
      <c r="CZ275" s="39">
        <v>0.12450584833433496</v>
      </c>
      <c r="DA275" s="40">
        <v>2.4677283026505549E-2</v>
      </c>
      <c r="DB275" s="39">
        <v>0.19124894345541804</v>
      </c>
      <c r="DC275" s="38">
        <v>1.0616372802027909</v>
      </c>
      <c r="DE275" s="37" t="s">
        <v>1710</v>
      </c>
      <c r="DF275" s="35" t="str">
        <f t="shared" si="469"/>
        <v>ICAMD</v>
      </c>
      <c r="DG275" s="26">
        <f t="shared" si="482"/>
        <v>0</v>
      </c>
      <c r="DH275" s="25">
        <f t="shared" si="482"/>
        <v>0</v>
      </c>
      <c r="DI275" s="24">
        <f t="shared" si="482"/>
        <v>0.27804512516360547</v>
      </c>
      <c r="DJ275" s="25">
        <f t="shared" si="482"/>
        <v>0.18832657455320048</v>
      </c>
      <c r="DK275" s="24">
        <f t="shared" si="482"/>
        <v>0.38073142528033238</v>
      </c>
      <c r="DL275" s="25">
        <f t="shared" si="482"/>
        <v>0.33186289459442503</v>
      </c>
      <c r="DM275" s="24">
        <f t="shared" si="482"/>
        <v>1.1528924789924664</v>
      </c>
      <c r="DN275" s="25">
        <f t="shared" si="482"/>
        <v>3.2758531511606827E-2</v>
      </c>
      <c r="DO275" s="32">
        <f t="shared" si="482"/>
        <v>2.0541091313171E-2</v>
      </c>
      <c r="DP275" s="26">
        <f t="shared" si="470"/>
        <v>0</v>
      </c>
      <c r="DQ275" s="25">
        <f t="shared" si="471"/>
        <v>0</v>
      </c>
      <c r="DR275" s="24">
        <f t="shared" si="472"/>
        <v>9.4416904871248736E-2</v>
      </c>
      <c r="DS275" s="25">
        <f t="shared" si="473"/>
        <v>9.4416904871248736E-2</v>
      </c>
      <c r="DT275" s="24">
        <f t="shared" si="474"/>
        <v>0.14296789604943283</v>
      </c>
      <c r="DU275" s="25">
        <f t="shared" si="475"/>
        <v>0.14296789604943286</v>
      </c>
      <c r="DV275" s="24">
        <f t="shared" si="476"/>
        <v>0.14296789604943283</v>
      </c>
      <c r="DW275" s="25">
        <f t="shared" si="477"/>
        <v>2.3276361522382723E-2</v>
      </c>
      <c r="DX275" s="32">
        <f t="shared" si="478"/>
        <v>2.3276361522382719E-2</v>
      </c>
      <c r="DZ275" s="54" t="s">
        <v>1709</v>
      </c>
      <c r="EA275" s="39">
        <v>0.57974052008675592</v>
      </c>
      <c r="EB275" s="40">
        <v>0.49802882893587908</v>
      </c>
      <c r="EC275" s="39">
        <v>0.10136101859302324</v>
      </c>
      <c r="ED275" s="40">
        <v>0.10136101859302324</v>
      </c>
      <c r="EE275" s="39">
        <v>7.0487108858668671E-2</v>
      </c>
      <c r="EF275" s="40">
        <v>7.0487108858668671E-2</v>
      </c>
      <c r="EG275" s="39">
        <v>7.0487108858668684E-2</v>
      </c>
      <c r="EH275" s="40">
        <v>0</v>
      </c>
      <c r="EI275" s="66">
        <v>0</v>
      </c>
    </row>
    <row r="276" spans="1:139">
      <c r="A276" s="37" t="s">
        <v>1696</v>
      </c>
      <c r="B276" s="36" t="s">
        <v>1107</v>
      </c>
      <c r="C276" s="1" t="s">
        <v>1111</v>
      </c>
      <c r="D276" s="36" t="s">
        <v>1111</v>
      </c>
      <c r="E276" s="36" t="s">
        <v>1708</v>
      </c>
      <c r="F276" s="1" t="e">
        <f t="shared" ca="1" si="439"/>
        <v>#NAME?</v>
      </c>
      <c r="G276" s="35" t="s">
        <v>1109</v>
      </c>
      <c r="H276" s="34">
        <f>1-I276</f>
        <v>0.58065528083985674</v>
      </c>
      <c r="I276" s="33">
        <v>0.41934471916014326</v>
      </c>
      <c r="J276" s="26">
        <v>0</v>
      </c>
      <c r="K276" s="25">
        <v>2.560173632991949E-3</v>
      </c>
      <c r="L276" s="24"/>
      <c r="M276" s="25"/>
      <c r="N276" s="24"/>
      <c r="O276" s="25"/>
      <c r="P276" s="24"/>
      <c r="Q276" s="25"/>
      <c r="R276" s="32"/>
      <c r="S276" s="31" t="e">
        <v>#REF!</v>
      </c>
      <c r="T276" s="29" t="e">
        <f t="shared" si="483"/>
        <v>#REF!</v>
      </c>
      <c r="U276" s="30" t="e">
        <f t="shared" si="483"/>
        <v>#REF!</v>
      </c>
      <c r="V276" s="29" t="e">
        <f t="shared" si="483"/>
        <v>#REF!</v>
      </c>
      <c r="W276" s="30" t="e">
        <f t="shared" si="483"/>
        <v>#REF!</v>
      </c>
      <c r="X276" s="29" t="e">
        <f t="shared" si="483"/>
        <v>#REF!</v>
      </c>
      <c r="Y276" s="30" t="e">
        <f t="shared" si="483"/>
        <v>#REF!</v>
      </c>
      <c r="Z276" s="29" t="e">
        <f t="shared" si="483"/>
        <v>#REF!</v>
      </c>
      <c r="AA276" s="28" t="e">
        <f t="shared" si="483"/>
        <v>#REF!</v>
      </c>
      <c r="AB276" s="26" t="e">
        <f t="shared" si="485"/>
        <v>#REF!</v>
      </c>
      <c r="AC276" s="25" t="e">
        <f t="shared" si="485"/>
        <v>#REF!</v>
      </c>
      <c r="AD276" s="24" t="e">
        <f t="shared" si="485"/>
        <v>#REF!</v>
      </c>
      <c r="AE276" s="25" t="e">
        <f t="shared" si="485"/>
        <v>#REF!</v>
      </c>
      <c r="AF276" s="24" t="e">
        <f t="shared" si="485"/>
        <v>#REF!</v>
      </c>
      <c r="AG276" s="25" t="e">
        <f t="shared" si="485"/>
        <v>#REF!</v>
      </c>
      <c r="AH276" s="24" t="e">
        <f t="shared" si="485"/>
        <v>#REF!</v>
      </c>
      <c r="AI276" s="25" t="e">
        <f t="shared" si="485"/>
        <v>#REF!</v>
      </c>
      <c r="AJ276" s="24" t="e">
        <f t="shared" si="485"/>
        <v>#REF!</v>
      </c>
      <c r="AK276" s="27" t="e">
        <f t="shared" si="468"/>
        <v>#REF!</v>
      </c>
      <c r="AL276" s="26" t="e">
        <f t="shared" si="486"/>
        <v>#REF!</v>
      </c>
      <c r="AM276" s="25" t="e">
        <f t="shared" si="486"/>
        <v>#REF!</v>
      </c>
      <c r="AN276" s="24" t="e">
        <f t="shared" si="486"/>
        <v>#REF!</v>
      </c>
      <c r="AO276" s="25" t="e">
        <f t="shared" si="486"/>
        <v>#REF!</v>
      </c>
      <c r="AP276" s="24" t="e">
        <f t="shared" si="486"/>
        <v>#REF!</v>
      </c>
      <c r="AQ276" s="25" t="e">
        <f t="shared" si="486"/>
        <v>#REF!</v>
      </c>
      <c r="AR276" s="24" t="e">
        <f t="shared" si="486"/>
        <v>#REF!</v>
      </c>
      <c r="AS276" s="25" t="e">
        <f t="shared" si="486"/>
        <v>#REF!</v>
      </c>
      <c r="AT276" s="24" t="e">
        <f t="shared" si="486"/>
        <v>#REF!</v>
      </c>
      <c r="AU276" s="23" t="e">
        <f>SUM(AL276:AT276)</f>
        <v>#REF!</v>
      </c>
      <c r="CS276" s="54" t="s">
        <v>1333</v>
      </c>
      <c r="CT276" s="39">
        <v>8.3177655168205022E-2</v>
      </c>
      <c r="CU276" s="40">
        <v>7.3392048677827976E-2</v>
      </c>
      <c r="CV276" s="39">
        <v>0.21901119287986756</v>
      </c>
      <c r="CW276" s="40">
        <v>4.1938313530187399E-2</v>
      </c>
      <c r="CX276" s="39">
        <v>0.56756517644186955</v>
      </c>
      <c r="CY276" s="40">
        <v>0.32955397341785975</v>
      </c>
      <c r="CZ276" s="39">
        <v>0.23801120302400983</v>
      </c>
      <c r="DA276" s="40">
        <v>3.5787360879093254E-2</v>
      </c>
      <c r="DB276" s="39">
        <v>0.27735204681297271</v>
      </c>
      <c r="DC276" s="38">
        <v>1.8657889708318929</v>
      </c>
      <c r="DE276" s="37" t="s">
        <v>1707</v>
      </c>
      <c r="DF276" s="35" t="str">
        <f t="shared" si="469"/>
        <v>INCMD</v>
      </c>
      <c r="DG276" s="26">
        <f t="shared" si="482"/>
        <v>0.56568417044145214</v>
      </c>
      <c r="DH276" s="25">
        <f t="shared" si="482"/>
        <v>1.5571382018182778</v>
      </c>
      <c r="DI276" s="24">
        <f t="shared" si="482"/>
        <v>3.7968025025112118</v>
      </c>
      <c r="DJ276" s="25">
        <f t="shared" si="482"/>
        <v>2.5716646142679807</v>
      </c>
      <c r="DK276" s="24">
        <f t="shared" si="482"/>
        <v>1.87742370922103</v>
      </c>
      <c r="DL276" s="25">
        <f t="shared" si="482"/>
        <v>1.6364482287311684</v>
      </c>
      <c r="DM276" s="24">
        <f t="shared" si="482"/>
        <v>5.6850250085066341</v>
      </c>
      <c r="DN276" s="25">
        <f t="shared" si="482"/>
        <v>2.6094197253075668</v>
      </c>
      <c r="DO276" s="32">
        <f t="shared" si="482"/>
        <v>1.6362250192118939</v>
      </c>
      <c r="DP276" s="26">
        <f t="shared" si="470"/>
        <v>1</v>
      </c>
      <c r="DQ276" s="25">
        <f t="shared" si="471"/>
        <v>1</v>
      </c>
      <c r="DR276" s="24">
        <f t="shared" si="472"/>
        <v>1</v>
      </c>
      <c r="DS276" s="25">
        <f t="shared" si="473"/>
        <v>1</v>
      </c>
      <c r="DT276" s="24">
        <f t="shared" si="474"/>
        <v>1</v>
      </c>
      <c r="DU276" s="25">
        <f t="shared" si="475"/>
        <v>1</v>
      </c>
      <c r="DV276" s="24">
        <f t="shared" si="476"/>
        <v>1</v>
      </c>
      <c r="DW276" s="25">
        <f t="shared" si="477"/>
        <v>1</v>
      </c>
      <c r="DX276" s="32">
        <f t="shared" si="478"/>
        <v>1</v>
      </c>
      <c r="DZ276" s="54" t="s">
        <v>1706</v>
      </c>
      <c r="EA276" s="39">
        <v>0</v>
      </c>
      <c r="EB276" s="40">
        <v>0</v>
      </c>
      <c r="EC276" s="39">
        <v>0</v>
      </c>
      <c r="ED276" s="40">
        <v>0</v>
      </c>
      <c r="EE276" s="39">
        <v>0.23119609545518477</v>
      </c>
      <c r="EF276" s="40">
        <v>0.23119609545518477</v>
      </c>
      <c r="EG276" s="39">
        <v>0.2311960954551848</v>
      </c>
      <c r="EH276" s="40">
        <v>0</v>
      </c>
      <c r="EI276" s="66">
        <v>0</v>
      </c>
    </row>
    <row r="277" spans="1:139">
      <c r="A277" s="37" t="s">
        <v>1696</v>
      </c>
      <c r="B277" s="36" t="s">
        <v>1107</v>
      </c>
      <c r="C277" s="1" t="s">
        <v>1106</v>
      </c>
      <c r="D277" s="36" t="s">
        <v>1106</v>
      </c>
      <c r="E277" s="36" t="s">
        <v>1705</v>
      </c>
      <c r="F277" s="1" t="e">
        <f t="shared" ca="1" si="439"/>
        <v>#NAME?</v>
      </c>
      <c r="G277" s="35" t="s">
        <v>1104</v>
      </c>
      <c r="H277" s="43">
        <v>1</v>
      </c>
      <c r="I277" s="42">
        <v>0</v>
      </c>
      <c r="J277" s="26">
        <v>9.9811439999999969</v>
      </c>
      <c r="K277" s="25">
        <v>0</v>
      </c>
      <c r="L277" s="24"/>
      <c r="M277" s="25"/>
      <c r="N277" s="24"/>
      <c r="O277" s="25"/>
      <c r="P277" s="24"/>
      <c r="Q277" s="25"/>
      <c r="R277" s="32"/>
      <c r="S277" s="31" t="e">
        <v>#REF!</v>
      </c>
      <c r="T277" s="29" t="e">
        <f t="shared" si="483"/>
        <v>#REF!</v>
      </c>
      <c r="U277" s="30" t="e">
        <f t="shared" si="483"/>
        <v>#REF!</v>
      </c>
      <c r="V277" s="29" t="e">
        <f t="shared" si="483"/>
        <v>#REF!</v>
      </c>
      <c r="W277" s="30" t="e">
        <f t="shared" si="483"/>
        <v>#REF!</v>
      </c>
      <c r="X277" s="29" t="e">
        <f t="shared" si="483"/>
        <v>#REF!</v>
      </c>
      <c r="Y277" s="30" t="e">
        <f t="shared" si="483"/>
        <v>#REF!</v>
      </c>
      <c r="Z277" s="29" t="e">
        <f t="shared" si="483"/>
        <v>#REF!</v>
      </c>
      <c r="AA277" s="28" t="e">
        <f t="shared" si="483"/>
        <v>#REF!</v>
      </c>
      <c r="AB277" s="26" t="e">
        <f t="shared" ref="AB277:AJ278" si="487">J277*$H277*S277</f>
        <v>#REF!</v>
      </c>
      <c r="AC277" s="25" t="e">
        <f t="shared" si="487"/>
        <v>#REF!</v>
      </c>
      <c r="AD277" s="24" t="e">
        <f t="shared" si="487"/>
        <v>#REF!</v>
      </c>
      <c r="AE277" s="25" t="e">
        <f t="shared" si="487"/>
        <v>#REF!</v>
      </c>
      <c r="AF277" s="24" t="e">
        <f t="shared" si="487"/>
        <v>#REF!</v>
      </c>
      <c r="AG277" s="25" t="e">
        <f t="shared" si="487"/>
        <v>#REF!</v>
      </c>
      <c r="AH277" s="24" t="e">
        <f t="shared" si="487"/>
        <v>#REF!</v>
      </c>
      <c r="AI277" s="25" t="e">
        <f t="shared" si="487"/>
        <v>#REF!</v>
      </c>
      <c r="AJ277" s="24" t="e">
        <f t="shared" si="487"/>
        <v>#REF!</v>
      </c>
      <c r="AK277" s="27" t="e">
        <f t="shared" si="468"/>
        <v>#REF!</v>
      </c>
      <c r="AL277" s="41">
        <v>0</v>
      </c>
      <c r="AM277" s="40">
        <v>0</v>
      </c>
      <c r="AN277" s="39">
        <v>0</v>
      </c>
      <c r="AO277" s="40">
        <v>0</v>
      </c>
      <c r="AP277" s="39">
        <v>0</v>
      </c>
      <c r="AQ277" s="40">
        <v>0</v>
      </c>
      <c r="AR277" s="39">
        <v>0</v>
      </c>
      <c r="AS277" s="40">
        <v>0</v>
      </c>
      <c r="AT277" s="39">
        <v>0</v>
      </c>
      <c r="AU277" s="38">
        <v>0</v>
      </c>
      <c r="CS277" s="54" t="s">
        <v>1331</v>
      </c>
      <c r="CT277" s="39">
        <v>2.4395811397437062E-2</v>
      </c>
      <c r="CU277" s="40">
        <v>2.1525715938915054E-2</v>
      </c>
      <c r="CV277" s="39">
        <v>4.4047179281807132E-2</v>
      </c>
      <c r="CW277" s="40">
        <v>8.4345662454524285E-3</v>
      </c>
      <c r="CX277" s="39">
        <v>1.5383711657677959</v>
      </c>
      <c r="CY277" s="40">
        <v>0.89324777367162345</v>
      </c>
      <c r="CZ277" s="39">
        <v>0.64512339209617253</v>
      </c>
      <c r="DA277" s="40">
        <v>4.1985396421807646E-2</v>
      </c>
      <c r="DB277" s="39">
        <v>0.32538682226900928</v>
      </c>
      <c r="DC277" s="38">
        <v>3.5425178230900203</v>
      </c>
      <c r="DE277" s="37" t="s">
        <v>1704</v>
      </c>
      <c r="DF277" s="35" t="str">
        <f t="shared" si="469"/>
        <v>IFDMD</v>
      </c>
      <c r="DG277" s="26">
        <f t="shared" si="482"/>
        <v>2.9866263294093153E-2</v>
      </c>
      <c r="DH277" s="25">
        <f t="shared" si="482"/>
        <v>8.2211774610031749E-2</v>
      </c>
      <c r="DI277" s="24">
        <f t="shared" si="482"/>
        <v>6.6819560655302701E-2</v>
      </c>
      <c r="DJ277" s="25">
        <f t="shared" si="482"/>
        <v>4.5258477248822225E-2</v>
      </c>
      <c r="DK277" s="24">
        <f t="shared" si="482"/>
        <v>4.5748521125715841E-2</v>
      </c>
      <c r="DL277" s="25">
        <f t="shared" si="482"/>
        <v>3.9876499905453264E-2</v>
      </c>
      <c r="DM277" s="24">
        <f t="shared" si="482"/>
        <v>0.13853105477708075</v>
      </c>
      <c r="DN277" s="25">
        <f t="shared" si="482"/>
        <v>0.25257609191485619</v>
      </c>
      <c r="DO277" s="32">
        <f t="shared" si="482"/>
        <v>0.15837671373360196</v>
      </c>
      <c r="DP277" s="26">
        <f t="shared" si="470"/>
        <v>6.2590605998687444E-3</v>
      </c>
      <c r="DQ277" s="25">
        <f t="shared" si="471"/>
        <v>6.2590605998687427E-3</v>
      </c>
      <c r="DR277" s="24">
        <f t="shared" si="472"/>
        <v>1.3384216014749595E-3</v>
      </c>
      <c r="DS277" s="25">
        <f t="shared" si="473"/>
        <v>1.3384216014749595E-3</v>
      </c>
      <c r="DT277" s="24">
        <f t="shared" si="474"/>
        <v>3.8422503162122879E-3</v>
      </c>
      <c r="DU277" s="25">
        <f t="shared" si="475"/>
        <v>3.8422503162122879E-3</v>
      </c>
      <c r="DV277" s="24">
        <f t="shared" si="476"/>
        <v>3.8422503162122879E-3</v>
      </c>
      <c r="DW277" s="25">
        <f t="shared" si="477"/>
        <v>1.3179280101272724E-2</v>
      </c>
      <c r="DX277" s="32">
        <f t="shared" si="478"/>
        <v>1.3179280101272726E-2</v>
      </c>
      <c r="DZ277" s="54" t="s">
        <v>1703</v>
      </c>
      <c r="EA277" s="39">
        <v>0</v>
      </c>
      <c r="EB277" s="40">
        <v>0</v>
      </c>
      <c r="EC277" s="39">
        <v>0.67076824881893382</v>
      </c>
      <c r="ED277" s="40">
        <v>0.67076824881893371</v>
      </c>
      <c r="EE277" s="39">
        <v>0.17492121933214186</v>
      </c>
      <c r="EF277" s="40">
        <v>0.1749212193321418</v>
      </c>
      <c r="EG277" s="39">
        <v>0.17492121933214186</v>
      </c>
      <c r="EH277" s="40">
        <v>0</v>
      </c>
      <c r="EI277" s="66">
        <v>0</v>
      </c>
    </row>
    <row r="278" spans="1:139">
      <c r="A278" s="37" t="s">
        <v>1696</v>
      </c>
      <c r="B278" s="36" t="s">
        <v>1107</v>
      </c>
      <c r="C278" s="1" t="s">
        <v>1106</v>
      </c>
      <c r="D278" s="36" t="s">
        <v>1106</v>
      </c>
      <c r="E278" s="36" t="s">
        <v>1702</v>
      </c>
      <c r="F278" s="1" t="e">
        <f t="shared" ca="1" si="439"/>
        <v>#NAME?</v>
      </c>
      <c r="G278" s="35" t="s">
        <v>1104</v>
      </c>
      <c r="H278" s="43">
        <v>1</v>
      </c>
      <c r="I278" s="42">
        <v>0</v>
      </c>
      <c r="J278" s="26">
        <v>0</v>
      </c>
      <c r="K278" s="25">
        <v>0</v>
      </c>
      <c r="L278" s="24"/>
      <c r="M278" s="25"/>
      <c r="N278" s="24"/>
      <c r="O278" s="25"/>
      <c r="P278" s="24"/>
      <c r="Q278" s="25"/>
      <c r="R278" s="32"/>
      <c r="S278" s="31" t="e">
        <v>#REF!</v>
      </c>
      <c r="T278" s="29" t="e">
        <f t="shared" si="483"/>
        <v>#REF!</v>
      </c>
      <c r="U278" s="30" t="e">
        <f t="shared" si="483"/>
        <v>#REF!</v>
      </c>
      <c r="V278" s="29" t="e">
        <f t="shared" si="483"/>
        <v>#REF!</v>
      </c>
      <c r="W278" s="30" t="e">
        <f t="shared" si="483"/>
        <v>#REF!</v>
      </c>
      <c r="X278" s="29" t="e">
        <f t="shared" si="483"/>
        <v>#REF!</v>
      </c>
      <c r="Y278" s="30" t="e">
        <f t="shared" si="483"/>
        <v>#REF!</v>
      </c>
      <c r="Z278" s="29" t="e">
        <f t="shared" si="483"/>
        <v>#REF!</v>
      </c>
      <c r="AA278" s="28" t="e">
        <f t="shared" si="483"/>
        <v>#REF!</v>
      </c>
      <c r="AB278" s="26" t="e">
        <f t="shared" si="487"/>
        <v>#REF!</v>
      </c>
      <c r="AC278" s="25" t="e">
        <f t="shared" si="487"/>
        <v>#REF!</v>
      </c>
      <c r="AD278" s="24" t="e">
        <f t="shared" si="487"/>
        <v>#REF!</v>
      </c>
      <c r="AE278" s="25" t="e">
        <f t="shared" si="487"/>
        <v>#REF!</v>
      </c>
      <c r="AF278" s="24" t="e">
        <f t="shared" si="487"/>
        <v>#REF!</v>
      </c>
      <c r="AG278" s="25" t="e">
        <f t="shared" si="487"/>
        <v>#REF!</v>
      </c>
      <c r="AH278" s="24" t="e">
        <f t="shared" si="487"/>
        <v>#REF!</v>
      </c>
      <c r="AI278" s="25" t="e">
        <f t="shared" si="487"/>
        <v>#REF!</v>
      </c>
      <c r="AJ278" s="24" t="e">
        <f t="shared" si="487"/>
        <v>#REF!</v>
      </c>
      <c r="AK278" s="27" t="e">
        <f t="shared" si="468"/>
        <v>#REF!</v>
      </c>
      <c r="AL278" s="41">
        <v>0</v>
      </c>
      <c r="AM278" s="40">
        <v>0</v>
      </c>
      <c r="AN278" s="39">
        <v>0</v>
      </c>
      <c r="AO278" s="40">
        <v>0</v>
      </c>
      <c r="AP278" s="39">
        <v>0</v>
      </c>
      <c r="AQ278" s="40">
        <v>0</v>
      </c>
      <c r="AR278" s="39">
        <v>0</v>
      </c>
      <c r="AS278" s="40">
        <v>0</v>
      </c>
      <c r="AT278" s="39">
        <v>0</v>
      </c>
      <c r="AU278" s="38">
        <v>0</v>
      </c>
      <c r="CS278" s="54" t="s">
        <v>1329</v>
      </c>
      <c r="CT278" s="39">
        <v>0</v>
      </c>
      <c r="CU278" s="40">
        <v>4.592152733635213E-2</v>
      </c>
      <c r="CV278" s="39">
        <v>4.4047179281807139E-2</v>
      </c>
      <c r="CW278" s="40">
        <v>8.4345662454524302E-3</v>
      </c>
      <c r="CX278" s="39">
        <v>1.5383711657677963</v>
      </c>
      <c r="CY278" s="40">
        <v>0.89324777367162378</v>
      </c>
      <c r="CZ278" s="39">
        <v>0.64512339209617264</v>
      </c>
      <c r="DA278" s="40">
        <v>4.1985396421807659E-2</v>
      </c>
      <c r="DB278" s="39">
        <v>0.32538682226900939</v>
      </c>
      <c r="DC278" s="38">
        <v>3.5425178230900216</v>
      </c>
      <c r="DE278" s="37" t="s">
        <v>1701</v>
      </c>
      <c r="DF278" s="35" t="str">
        <f t="shared" si="469"/>
        <v>IFDMD</v>
      </c>
      <c r="DG278" s="26">
        <f t="shared" ref="DG278:DO287" si="488">GETPIVOTDATA("Sum of "&amp;DG$1&amp;" (Out)",$CS$6,"Constraint Identifier",$DE278)</f>
        <v>4.5588439664930807</v>
      </c>
      <c r="DH278" s="25">
        <f t="shared" si="488"/>
        <v>12.548963657256619</v>
      </c>
      <c r="DI278" s="24">
        <f t="shared" si="488"/>
        <v>48.022487944763633</v>
      </c>
      <c r="DJ278" s="25">
        <f t="shared" si="488"/>
        <v>32.526772950391205</v>
      </c>
      <c r="DK278" s="24">
        <f t="shared" si="488"/>
        <v>11.493088531757575</v>
      </c>
      <c r="DL278" s="25">
        <f t="shared" si="488"/>
        <v>10.017900742421554</v>
      </c>
      <c r="DM278" s="24">
        <f t="shared" si="488"/>
        <v>34.802210820663646</v>
      </c>
      <c r="DN278" s="25">
        <f t="shared" si="488"/>
        <v>17.962519903877457</v>
      </c>
      <c r="DO278" s="32">
        <f t="shared" si="488"/>
        <v>11.263318120028277</v>
      </c>
      <c r="DP278" s="26">
        <f t="shared" si="470"/>
        <v>0.95539506802880025</v>
      </c>
      <c r="DQ278" s="25">
        <f t="shared" si="471"/>
        <v>0.95539506802880003</v>
      </c>
      <c r="DR278" s="24">
        <f t="shared" si="472"/>
        <v>0.96190897682506327</v>
      </c>
      <c r="DS278" s="25">
        <f t="shared" si="473"/>
        <v>0.96190897682506327</v>
      </c>
      <c r="DT278" s="24">
        <f t="shared" si="474"/>
        <v>0.96526230703835425</v>
      </c>
      <c r="DU278" s="25">
        <f t="shared" si="475"/>
        <v>0.96526230703835425</v>
      </c>
      <c r="DV278" s="24">
        <f t="shared" si="476"/>
        <v>0.96526230703835436</v>
      </c>
      <c r="DW278" s="25">
        <f t="shared" si="477"/>
        <v>0.93727430550984425</v>
      </c>
      <c r="DX278" s="32">
        <f t="shared" si="478"/>
        <v>0.93727430550984436</v>
      </c>
      <c r="DZ278" s="54" t="s">
        <v>1700</v>
      </c>
      <c r="EA278" s="39">
        <v>0</v>
      </c>
      <c r="EB278" s="40">
        <v>0</v>
      </c>
      <c r="EC278" s="39">
        <v>8.4767033980707822E-4</v>
      </c>
      <c r="ED278" s="40">
        <v>8.4767033980707811E-4</v>
      </c>
      <c r="EE278" s="39">
        <v>7.0737053373327655E-3</v>
      </c>
      <c r="EF278" s="40">
        <v>7.0737053373327646E-3</v>
      </c>
      <c r="EG278" s="39">
        <v>7.0737053373327672E-3</v>
      </c>
      <c r="EH278" s="40">
        <v>0</v>
      </c>
      <c r="EI278" s="66">
        <v>0</v>
      </c>
    </row>
    <row r="279" spans="1:139">
      <c r="A279" s="37" t="s">
        <v>1696</v>
      </c>
      <c r="B279" s="36" t="s">
        <v>1107</v>
      </c>
      <c r="C279" s="1" t="s">
        <v>1106</v>
      </c>
      <c r="D279" s="36" t="s">
        <v>1106</v>
      </c>
      <c r="E279" s="36" t="s">
        <v>1699</v>
      </c>
      <c r="F279" s="1" t="e">
        <f t="shared" ca="1" si="439"/>
        <v>#NAME?</v>
      </c>
      <c r="G279" s="35" t="s">
        <v>1109</v>
      </c>
      <c r="H279" s="34">
        <f>1-I279</f>
        <v>0.88355220633000564</v>
      </c>
      <c r="I279" s="33">
        <v>0.11644779366999433</v>
      </c>
      <c r="J279" s="26" t="e">
        <v>#REF!</v>
      </c>
      <c r="K279" s="25" t="e">
        <v>#REF!</v>
      </c>
      <c r="L279" s="24"/>
      <c r="M279" s="25"/>
      <c r="N279" s="24"/>
      <c r="O279" s="25"/>
      <c r="P279" s="24"/>
      <c r="Q279" s="25"/>
      <c r="R279" s="32"/>
      <c r="S279" s="31" t="e">
        <v>#REF!</v>
      </c>
      <c r="T279" s="29" t="e">
        <f t="shared" si="483"/>
        <v>#REF!</v>
      </c>
      <c r="U279" s="30" t="e">
        <f t="shared" si="483"/>
        <v>#REF!</v>
      </c>
      <c r="V279" s="29" t="e">
        <f t="shared" si="483"/>
        <v>#REF!</v>
      </c>
      <c r="W279" s="30" t="e">
        <f t="shared" si="483"/>
        <v>#REF!</v>
      </c>
      <c r="X279" s="29" t="e">
        <f t="shared" si="483"/>
        <v>#REF!</v>
      </c>
      <c r="Y279" s="30" t="e">
        <f t="shared" si="483"/>
        <v>#REF!</v>
      </c>
      <c r="Z279" s="29" t="e">
        <f t="shared" si="483"/>
        <v>#REF!</v>
      </c>
      <c r="AA279" s="28" t="e">
        <f t="shared" si="483"/>
        <v>#REF!</v>
      </c>
      <c r="AB279" s="26" t="e">
        <f t="shared" ref="AB279:AJ280" si="489">J279*31.536*$H279*S279</f>
        <v>#REF!</v>
      </c>
      <c r="AC279" s="25" t="e">
        <f t="shared" si="489"/>
        <v>#REF!</v>
      </c>
      <c r="AD279" s="24" t="e">
        <f t="shared" si="489"/>
        <v>#REF!</v>
      </c>
      <c r="AE279" s="25" t="e">
        <f t="shared" si="489"/>
        <v>#REF!</v>
      </c>
      <c r="AF279" s="24" t="e">
        <f t="shared" si="489"/>
        <v>#REF!</v>
      </c>
      <c r="AG279" s="25" t="e">
        <f t="shared" si="489"/>
        <v>#REF!</v>
      </c>
      <c r="AH279" s="24" t="e">
        <f t="shared" si="489"/>
        <v>#REF!</v>
      </c>
      <c r="AI279" s="25" t="e">
        <f t="shared" si="489"/>
        <v>#REF!</v>
      </c>
      <c r="AJ279" s="24" t="e">
        <f t="shared" si="489"/>
        <v>#REF!</v>
      </c>
      <c r="AK279" s="27" t="e">
        <f t="shared" si="468"/>
        <v>#REF!</v>
      </c>
      <c r="AL279" s="26" t="e">
        <f t="shared" ref="AL279:AT280" si="490">J279*31.536*$I279*S279</f>
        <v>#REF!</v>
      </c>
      <c r="AM279" s="25" t="e">
        <f t="shared" si="490"/>
        <v>#REF!</v>
      </c>
      <c r="AN279" s="24" t="e">
        <f t="shared" si="490"/>
        <v>#REF!</v>
      </c>
      <c r="AO279" s="25" t="e">
        <f t="shared" si="490"/>
        <v>#REF!</v>
      </c>
      <c r="AP279" s="24" t="e">
        <f t="shared" si="490"/>
        <v>#REF!</v>
      </c>
      <c r="AQ279" s="25" t="e">
        <f t="shared" si="490"/>
        <v>#REF!</v>
      </c>
      <c r="AR279" s="24" t="e">
        <f t="shared" si="490"/>
        <v>#REF!</v>
      </c>
      <c r="AS279" s="25" t="e">
        <f t="shared" si="490"/>
        <v>#REF!</v>
      </c>
      <c r="AT279" s="24" t="e">
        <f t="shared" si="490"/>
        <v>#REF!</v>
      </c>
      <c r="AU279" s="23" t="e">
        <f>SUM(AL279:AT279)</f>
        <v>#REF!</v>
      </c>
      <c r="CS279" s="54" t="s">
        <v>1318</v>
      </c>
      <c r="CT279" s="39">
        <v>0</v>
      </c>
      <c r="CU279" s="40">
        <v>2.8938627809899002</v>
      </c>
      <c r="CV279" s="39">
        <v>5.3559666226004934</v>
      </c>
      <c r="CW279" s="40">
        <v>0.14463250919817305</v>
      </c>
      <c r="CX279" s="39">
        <v>153.87186734673588</v>
      </c>
      <c r="CY279" s="40">
        <v>88.792646662706488</v>
      </c>
      <c r="CZ279" s="39">
        <v>44.83863345192411</v>
      </c>
      <c r="DA279" s="40">
        <v>1.6583334880365097</v>
      </c>
      <c r="DB279" s="39">
        <v>32.974925798129803</v>
      </c>
      <c r="DC279" s="38">
        <v>330.5308686603214</v>
      </c>
      <c r="DE279" s="37" t="s">
        <v>1698</v>
      </c>
      <c r="DF279" s="35" t="str">
        <f t="shared" si="469"/>
        <v>IFDMD</v>
      </c>
      <c r="DG279" s="26">
        <f t="shared" si="488"/>
        <v>0.18297440523928141</v>
      </c>
      <c r="DH279" s="25">
        <f t="shared" si="488"/>
        <v>0.50366697751276779</v>
      </c>
      <c r="DI279" s="24">
        <f t="shared" si="488"/>
        <v>1.8348423900001212</v>
      </c>
      <c r="DJ279" s="25">
        <f t="shared" si="488"/>
        <v>1.2427823791206711</v>
      </c>
      <c r="DK279" s="24">
        <f t="shared" si="488"/>
        <v>0.36786276120247913</v>
      </c>
      <c r="DL279" s="25">
        <f t="shared" si="488"/>
        <v>0.32064597939680189</v>
      </c>
      <c r="DM279" s="24">
        <f t="shared" si="488"/>
        <v>1.1139248891248485</v>
      </c>
      <c r="DN279" s="25">
        <f t="shared" si="488"/>
        <v>0.94953894435626529</v>
      </c>
      <c r="DO279" s="32">
        <f t="shared" si="488"/>
        <v>0.59540416683584529</v>
      </c>
      <c r="DP279" s="26">
        <f t="shared" si="470"/>
        <v>3.8345871371331094E-2</v>
      </c>
      <c r="DQ279" s="25">
        <f t="shared" si="471"/>
        <v>3.8345871371331088E-2</v>
      </c>
      <c r="DR279" s="24">
        <f t="shared" si="472"/>
        <v>3.6752601573461802E-2</v>
      </c>
      <c r="DS279" s="25">
        <f t="shared" si="473"/>
        <v>3.6752601573461802E-2</v>
      </c>
      <c r="DT279" s="24">
        <f t="shared" si="474"/>
        <v>3.0895442645433372E-2</v>
      </c>
      <c r="DU279" s="25">
        <f t="shared" si="475"/>
        <v>3.0895442645433379E-2</v>
      </c>
      <c r="DV279" s="24">
        <f t="shared" si="476"/>
        <v>3.0895442645433372E-2</v>
      </c>
      <c r="DW279" s="25">
        <f t="shared" si="477"/>
        <v>4.9546414388882881E-2</v>
      </c>
      <c r="DX279" s="32">
        <f t="shared" si="478"/>
        <v>4.9546414388882888E-2</v>
      </c>
      <c r="DZ279" s="54" t="s">
        <v>1697</v>
      </c>
      <c r="EA279" s="39">
        <v>0</v>
      </c>
      <c r="EB279" s="40">
        <v>0.14094528210422322</v>
      </c>
      <c r="EC279" s="39">
        <v>1.9595561346471235E-2</v>
      </c>
      <c r="ED279" s="40">
        <v>1.9595561346471235E-2</v>
      </c>
      <c r="EE279" s="39">
        <v>0.18446570595793313</v>
      </c>
      <c r="EF279" s="40">
        <v>0.18446570595793313</v>
      </c>
      <c r="EG279" s="39">
        <v>0.18446570595793316</v>
      </c>
      <c r="EH279" s="40">
        <v>0</v>
      </c>
      <c r="EI279" s="66">
        <v>0</v>
      </c>
    </row>
    <row r="280" spans="1:139">
      <c r="A280" s="22" t="s">
        <v>1696</v>
      </c>
      <c r="B280" s="20" t="s">
        <v>1107</v>
      </c>
      <c r="C280" s="21" t="s">
        <v>1106</v>
      </c>
      <c r="D280" s="20" t="s">
        <v>1106</v>
      </c>
      <c r="E280" s="20" t="s">
        <v>1695</v>
      </c>
      <c r="F280" s="21" t="e">
        <f t="shared" ca="1" si="439"/>
        <v>#NAME?</v>
      </c>
      <c r="G280" s="19" t="s">
        <v>1109</v>
      </c>
      <c r="H280" s="50">
        <f>1-I280</f>
        <v>0.91566824169996663</v>
      </c>
      <c r="I280" s="49">
        <v>8.4331758300033394E-2</v>
      </c>
      <c r="J280" s="11" t="e">
        <v>#REF!</v>
      </c>
      <c r="K280" s="10" t="e">
        <v>#REF!</v>
      </c>
      <c r="L280" s="9"/>
      <c r="M280" s="10"/>
      <c r="N280" s="9"/>
      <c r="O280" s="10"/>
      <c r="P280" s="9"/>
      <c r="Q280" s="10"/>
      <c r="R280" s="16"/>
      <c r="S280" s="15" t="e">
        <v>#REF!</v>
      </c>
      <c r="T280" s="13" t="e">
        <f t="shared" si="483"/>
        <v>#REF!</v>
      </c>
      <c r="U280" s="14" t="e">
        <f t="shared" si="483"/>
        <v>#REF!</v>
      </c>
      <c r="V280" s="13" t="e">
        <f t="shared" si="483"/>
        <v>#REF!</v>
      </c>
      <c r="W280" s="14" t="e">
        <f t="shared" si="483"/>
        <v>#REF!</v>
      </c>
      <c r="X280" s="13" t="e">
        <f t="shared" si="483"/>
        <v>#REF!</v>
      </c>
      <c r="Y280" s="14" t="e">
        <f t="shared" si="483"/>
        <v>#REF!</v>
      </c>
      <c r="Z280" s="13" t="e">
        <f t="shared" si="483"/>
        <v>#REF!</v>
      </c>
      <c r="AA280" s="12" t="e">
        <f t="shared" si="483"/>
        <v>#REF!</v>
      </c>
      <c r="AB280" s="11" t="e">
        <f t="shared" si="489"/>
        <v>#REF!</v>
      </c>
      <c r="AC280" s="10" t="e">
        <f t="shared" si="489"/>
        <v>#REF!</v>
      </c>
      <c r="AD280" s="9" t="e">
        <f t="shared" si="489"/>
        <v>#REF!</v>
      </c>
      <c r="AE280" s="10" t="e">
        <f t="shared" si="489"/>
        <v>#REF!</v>
      </c>
      <c r="AF280" s="9" t="e">
        <f t="shared" si="489"/>
        <v>#REF!</v>
      </c>
      <c r="AG280" s="10" t="e">
        <f t="shared" si="489"/>
        <v>#REF!</v>
      </c>
      <c r="AH280" s="9" t="e">
        <f t="shared" si="489"/>
        <v>#REF!</v>
      </c>
      <c r="AI280" s="10" t="e">
        <f t="shared" si="489"/>
        <v>#REF!</v>
      </c>
      <c r="AJ280" s="9" t="e">
        <f t="shared" si="489"/>
        <v>#REF!</v>
      </c>
      <c r="AK280" s="8" t="e">
        <f t="shared" si="468"/>
        <v>#REF!</v>
      </c>
      <c r="AL280" s="11" t="e">
        <f t="shared" si="490"/>
        <v>#REF!</v>
      </c>
      <c r="AM280" s="10" t="e">
        <f t="shared" si="490"/>
        <v>#REF!</v>
      </c>
      <c r="AN280" s="9" t="e">
        <f t="shared" si="490"/>
        <v>#REF!</v>
      </c>
      <c r="AO280" s="10" t="e">
        <f t="shared" si="490"/>
        <v>#REF!</v>
      </c>
      <c r="AP280" s="9" t="e">
        <f t="shared" si="490"/>
        <v>#REF!</v>
      </c>
      <c r="AQ280" s="10" t="e">
        <f t="shared" si="490"/>
        <v>#REF!</v>
      </c>
      <c r="AR280" s="9" t="e">
        <f t="shared" si="490"/>
        <v>#REF!</v>
      </c>
      <c r="AS280" s="10" t="e">
        <f t="shared" si="490"/>
        <v>#REF!</v>
      </c>
      <c r="AT280" s="9" t="e">
        <f t="shared" si="490"/>
        <v>#REF!</v>
      </c>
      <c r="AU280" s="48" t="e">
        <f>SUM(AL280:AT280)</f>
        <v>#REF!</v>
      </c>
      <c r="CS280" s="54" t="s">
        <v>1312</v>
      </c>
      <c r="CT280" s="39">
        <v>0.11614469291625341</v>
      </c>
      <c r="CU280" s="40">
        <v>0.10248061139669419</v>
      </c>
      <c r="CV280" s="39">
        <v>0.330280370444203</v>
      </c>
      <c r="CW280" s="40">
        <v>6.3245177319102702E-2</v>
      </c>
      <c r="CX280" s="39">
        <v>0.72146350423272698</v>
      </c>
      <c r="CY280" s="40">
        <v>0.41891429278029313</v>
      </c>
      <c r="CZ280" s="39">
        <v>0.30254921145243396</v>
      </c>
      <c r="DA280" s="40">
        <v>5.9965797754408481E-2</v>
      </c>
      <c r="DB280" s="39">
        <v>0.46473493259666576</v>
      </c>
      <c r="DC280" s="38">
        <v>2.5797785908927815</v>
      </c>
      <c r="DE280" s="37" t="s">
        <v>1694</v>
      </c>
      <c r="DF280" s="35" t="str">
        <f t="shared" si="469"/>
        <v>INGMD</v>
      </c>
      <c r="DG280" s="26">
        <f t="shared" si="488"/>
        <v>0.95899523655213514</v>
      </c>
      <c r="DH280" s="25">
        <f t="shared" si="488"/>
        <v>2.6397912408115372</v>
      </c>
      <c r="DI280" s="24">
        <f t="shared" si="488"/>
        <v>4.5976128229139412</v>
      </c>
      <c r="DJ280" s="25">
        <f t="shared" si="488"/>
        <v>3.1140724857225015</v>
      </c>
      <c r="DK280" s="24">
        <f t="shared" si="488"/>
        <v>1.8886743818203962</v>
      </c>
      <c r="DL280" s="25">
        <f t="shared" si="488"/>
        <v>1.6462548286781273</v>
      </c>
      <c r="DM280" s="24">
        <f t="shared" si="488"/>
        <v>5.7190931598652073</v>
      </c>
      <c r="DN280" s="25">
        <f t="shared" si="488"/>
        <v>2.2118535549459364</v>
      </c>
      <c r="DO280" s="32">
        <f t="shared" si="488"/>
        <v>1.3869329224177365</v>
      </c>
      <c r="DP280" s="26">
        <f t="shared" si="470"/>
        <v>1</v>
      </c>
      <c r="DQ280" s="25">
        <f t="shared" si="471"/>
        <v>1</v>
      </c>
      <c r="DR280" s="24">
        <f t="shared" si="472"/>
        <v>1</v>
      </c>
      <c r="DS280" s="25">
        <f t="shared" si="473"/>
        <v>1</v>
      </c>
      <c r="DT280" s="24">
        <f t="shared" si="474"/>
        <v>1</v>
      </c>
      <c r="DU280" s="25">
        <f t="shared" si="475"/>
        <v>1</v>
      </c>
      <c r="DV280" s="24">
        <f t="shared" si="476"/>
        <v>1</v>
      </c>
      <c r="DW280" s="25">
        <f t="shared" si="477"/>
        <v>1</v>
      </c>
      <c r="DX280" s="32">
        <f t="shared" si="478"/>
        <v>1</v>
      </c>
      <c r="DZ280" s="54" t="s">
        <v>1693</v>
      </c>
      <c r="EA280" s="39">
        <v>0</v>
      </c>
      <c r="EB280" s="40">
        <v>0</v>
      </c>
      <c r="EC280" s="39">
        <v>0</v>
      </c>
      <c r="ED280" s="40">
        <v>0</v>
      </c>
      <c r="EE280" s="39">
        <v>3.1083830078779903E-2</v>
      </c>
      <c r="EF280" s="40">
        <v>3.1083830078779899E-2</v>
      </c>
      <c r="EG280" s="39">
        <v>3.1083830078779903E-2</v>
      </c>
      <c r="EH280" s="40">
        <v>0</v>
      </c>
      <c r="EI280" s="66">
        <v>0</v>
      </c>
    </row>
    <row r="281" spans="1:139">
      <c r="A281" s="37" t="s">
        <v>1611</v>
      </c>
      <c r="B281" s="36" t="s">
        <v>1150</v>
      </c>
      <c r="C281" s="1" t="s">
        <v>1126</v>
      </c>
      <c r="D281" s="36" t="s">
        <v>1126</v>
      </c>
      <c r="E281" s="36" t="s">
        <v>1692</v>
      </c>
      <c r="F281" s="1" t="e">
        <f t="shared" ca="1" si="439"/>
        <v>#NAME?</v>
      </c>
      <c r="G281" s="35" t="s">
        <v>1121</v>
      </c>
      <c r="H281" s="43">
        <v>1</v>
      </c>
      <c r="I281" s="42">
        <v>0</v>
      </c>
      <c r="J281" s="26">
        <v>2.3953313235732141</v>
      </c>
      <c r="K281" s="25">
        <v>0.90153565278769443</v>
      </c>
      <c r="L281" s="24"/>
      <c r="M281" s="25"/>
      <c r="N281" s="24"/>
      <c r="O281" s="25"/>
      <c r="P281" s="24"/>
      <c r="Q281" s="25"/>
      <c r="R281" s="32"/>
      <c r="S281" s="47">
        <v>1</v>
      </c>
      <c r="T281" s="45">
        <v>1</v>
      </c>
      <c r="U281" s="46">
        <v>1</v>
      </c>
      <c r="V281" s="45">
        <v>1</v>
      </c>
      <c r="W281" s="46">
        <v>1</v>
      </c>
      <c r="X281" s="45">
        <v>1</v>
      </c>
      <c r="Y281" s="46">
        <v>1</v>
      </c>
      <c r="Z281" s="45">
        <v>1</v>
      </c>
      <c r="AA281" s="44">
        <v>1</v>
      </c>
      <c r="AB281" s="26">
        <f t="shared" ref="AB281:AB304" si="491">J281*$H281*S281</f>
        <v>2.3953313235732141</v>
      </c>
      <c r="AC281" s="25">
        <f t="shared" ref="AC281:AC304" si="492">K281*$H281*T281</f>
        <v>0.90153565278769443</v>
      </c>
      <c r="AD281" s="24">
        <f t="shared" ref="AD281:AD304" si="493">L281*$H281*U281</f>
        <v>0</v>
      </c>
      <c r="AE281" s="25">
        <f t="shared" ref="AE281:AE304" si="494">M281*$H281*V281</f>
        <v>0</v>
      </c>
      <c r="AF281" s="24">
        <f t="shared" ref="AF281:AF304" si="495">N281*$H281*W281</f>
        <v>0</v>
      </c>
      <c r="AG281" s="25">
        <f t="shared" ref="AG281:AG304" si="496">O281*$H281*X281</f>
        <v>0</v>
      </c>
      <c r="AH281" s="24">
        <f t="shared" ref="AH281:AH304" si="497">P281*$H281*Y281</f>
        <v>0</v>
      </c>
      <c r="AI281" s="25">
        <f t="shared" ref="AI281:AI304" si="498">Q281*$H281*Z281</f>
        <v>0</v>
      </c>
      <c r="AJ281" s="24">
        <f t="shared" ref="AJ281:AJ304" si="499">R281*$H281*AA281</f>
        <v>0</v>
      </c>
      <c r="AK281" s="27">
        <f t="shared" si="468"/>
        <v>3.2968669763609086</v>
      </c>
      <c r="AL281" s="41">
        <v>0</v>
      </c>
      <c r="AM281" s="40">
        <v>0</v>
      </c>
      <c r="AN281" s="39">
        <v>0</v>
      </c>
      <c r="AO281" s="40">
        <v>0</v>
      </c>
      <c r="AP281" s="39">
        <v>0</v>
      </c>
      <c r="AQ281" s="40">
        <v>0</v>
      </c>
      <c r="AR281" s="39">
        <v>0</v>
      </c>
      <c r="AS281" s="40">
        <v>0</v>
      </c>
      <c r="AT281" s="39">
        <v>0</v>
      </c>
      <c r="AU281" s="38">
        <v>0</v>
      </c>
      <c r="CS281" s="54" t="s">
        <v>1310</v>
      </c>
      <c r="CT281" s="39">
        <v>1.455608965443588</v>
      </c>
      <c r="CU281" s="40">
        <v>1.2843608518619896</v>
      </c>
      <c r="CV281" s="39">
        <v>3.8326958753976825</v>
      </c>
      <c r="CW281" s="40">
        <v>0.73392048677827948</v>
      </c>
      <c r="CX281" s="39">
        <v>9.9323905877327174</v>
      </c>
      <c r="CY281" s="40">
        <v>5.7671945348125462</v>
      </c>
      <c r="CZ281" s="39">
        <v>4.1651960529201721</v>
      </c>
      <c r="DA281" s="40">
        <v>0.62627881538413188</v>
      </c>
      <c r="DB281" s="39">
        <v>4.8536608192270227</v>
      </c>
      <c r="DC281" s="38">
        <v>32.65130698955813</v>
      </c>
      <c r="DE281" s="37" t="s">
        <v>1691</v>
      </c>
      <c r="DF281" s="35" t="str">
        <f t="shared" si="469"/>
        <v>ICIMD</v>
      </c>
      <c r="DG281" s="26">
        <f t="shared" si="488"/>
        <v>3.4484774572354859</v>
      </c>
      <c r="DH281" s="25">
        <f t="shared" si="488"/>
        <v>9.4924982302051149</v>
      </c>
      <c r="DI281" s="24">
        <f t="shared" si="488"/>
        <v>16.792019132419725</v>
      </c>
      <c r="DJ281" s="25">
        <f t="shared" si="488"/>
        <v>11.37363383436276</v>
      </c>
      <c r="DK281" s="24">
        <f t="shared" si="488"/>
        <v>17.245175690076113</v>
      </c>
      <c r="DL281" s="25">
        <f t="shared" si="488"/>
        <v>15.031682551773082</v>
      </c>
      <c r="DM281" s="24">
        <f t="shared" si="488"/>
        <v>52.220100658498254</v>
      </c>
      <c r="DN281" s="25">
        <f t="shared" si="488"/>
        <v>9.3572532783011209</v>
      </c>
      <c r="DO281" s="32">
        <f t="shared" si="488"/>
        <v>5.8674240010407619</v>
      </c>
      <c r="DP281" s="26">
        <f t="shared" si="470"/>
        <v>0.96007735556805163</v>
      </c>
      <c r="DQ281" s="25">
        <f t="shared" si="471"/>
        <v>0.96007735556805174</v>
      </c>
      <c r="DR281" s="24">
        <f t="shared" si="472"/>
        <v>0.93732172994069696</v>
      </c>
      <c r="DS281" s="25">
        <f t="shared" si="473"/>
        <v>0.93732172994069696</v>
      </c>
      <c r="DT281" s="24">
        <f t="shared" si="474"/>
        <v>0.80309138646553224</v>
      </c>
      <c r="DU281" s="25">
        <f t="shared" si="475"/>
        <v>0.80309138646553224</v>
      </c>
      <c r="DV281" s="24">
        <f t="shared" si="476"/>
        <v>0.80309138646553213</v>
      </c>
      <c r="DW281" s="25">
        <f t="shared" si="477"/>
        <v>0.82503352354745874</v>
      </c>
      <c r="DX281" s="32">
        <f t="shared" si="478"/>
        <v>0.82503352354745874</v>
      </c>
      <c r="DZ281" s="54" t="s">
        <v>1671</v>
      </c>
      <c r="EA281" s="39">
        <v>4.9779822820821256E-3</v>
      </c>
      <c r="EB281" s="40">
        <v>4.9779822820821239E-3</v>
      </c>
      <c r="EC281" s="39">
        <v>4.9308172343268761E-3</v>
      </c>
      <c r="ED281" s="40">
        <v>4.9308172343268753E-3</v>
      </c>
      <c r="EE281" s="39">
        <v>4.7071109390577643E-3</v>
      </c>
      <c r="EF281" s="40">
        <v>4.7071109390577643E-3</v>
      </c>
      <c r="EG281" s="39">
        <v>4.7071109390577652E-3</v>
      </c>
      <c r="EH281" s="40">
        <v>0</v>
      </c>
      <c r="EI281" s="66">
        <v>0</v>
      </c>
    </row>
    <row r="282" spans="1:139">
      <c r="A282" s="37" t="s">
        <v>1611</v>
      </c>
      <c r="B282" s="36" t="s">
        <v>1145</v>
      </c>
      <c r="C282" s="1" t="s">
        <v>1120</v>
      </c>
      <c r="D282" s="36" t="s">
        <v>1120</v>
      </c>
      <c r="E282" s="36" t="s">
        <v>1690</v>
      </c>
      <c r="F282" s="1" t="e">
        <f t="shared" ca="1" si="439"/>
        <v>#NAME?</v>
      </c>
      <c r="G282" s="35" t="s">
        <v>1121</v>
      </c>
      <c r="H282" s="43">
        <v>1</v>
      </c>
      <c r="I282" s="42">
        <v>0</v>
      </c>
      <c r="J282" s="26">
        <v>0.14350722891969525</v>
      </c>
      <c r="K282" s="25">
        <v>7.2530538951091933E-2</v>
      </c>
      <c r="L282" s="24"/>
      <c r="M282" s="25"/>
      <c r="N282" s="24"/>
      <c r="O282" s="25"/>
      <c r="P282" s="24"/>
      <c r="Q282" s="25"/>
      <c r="R282" s="32"/>
      <c r="S282" s="47">
        <v>1</v>
      </c>
      <c r="T282" s="45">
        <v>1</v>
      </c>
      <c r="U282" s="46">
        <v>1</v>
      </c>
      <c r="V282" s="45">
        <v>1</v>
      </c>
      <c r="W282" s="46">
        <v>1</v>
      </c>
      <c r="X282" s="45">
        <v>1</v>
      </c>
      <c r="Y282" s="46">
        <v>1</v>
      </c>
      <c r="Z282" s="45">
        <v>1</v>
      </c>
      <c r="AA282" s="44">
        <v>1</v>
      </c>
      <c r="AB282" s="26">
        <f t="shared" si="491"/>
        <v>0.14350722891969525</v>
      </c>
      <c r="AC282" s="25">
        <f t="shared" si="492"/>
        <v>7.2530538951091933E-2</v>
      </c>
      <c r="AD282" s="24">
        <f t="shared" si="493"/>
        <v>0</v>
      </c>
      <c r="AE282" s="25">
        <f t="shared" si="494"/>
        <v>0</v>
      </c>
      <c r="AF282" s="24">
        <f t="shared" si="495"/>
        <v>0</v>
      </c>
      <c r="AG282" s="25">
        <f t="shared" si="496"/>
        <v>0</v>
      </c>
      <c r="AH282" s="24">
        <f t="shared" si="497"/>
        <v>0</v>
      </c>
      <c r="AI282" s="25">
        <f t="shared" si="498"/>
        <v>0</v>
      </c>
      <c r="AJ282" s="24">
        <f t="shared" si="499"/>
        <v>0</v>
      </c>
      <c r="AK282" s="27">
        <f t="shared" si="468"/>
        <v>0.21603776787078718</v>
      </c>
      <c r="AL282" s="41">
        <v>0</v>
      </c>
      <c r="AM282" s="40">
        <v>0</v>
      </c>
      <c r="AN282" s="39">
        <v>0</v>
      </c>
      <c r="AO282" s="40">
        <v>0</v>
      </c>
      <c r="AP282" s="39">
        <v>0</v>
      </c>
      <c r="AQ282" s="40">
        <v>0</v>
      </c>
      <c r="AR282" s="39">
        <v>0</v>
      </c>
      <c r="AS282" s="40">
        <v>0</v>
      </c>
      <c r="AT282" s="39">
        <v>0</v>
      </c>
      <c r="AU282" s="38">
        <v>0</v>
      </c>
      <c r="CS282" s="54" t="s">
        <v>1308</v>
      </c>
      <c r="CT282" s="39">
        <v>0.16887340036563062</v>
      </c>
      <c r="CU282" s="40">
        <v>0.14900594149908586</v>
      </c>
      <c r="CV282" s="39">
        <v>0</v>
      </c>
      <c r="CW282" s="40">
        <v>0</v>
      </c>
      <c r="CX282" s="39">
        <v>1.5893967093235826</v>
      </c>
      <c r="CY282" s="40">
        <v>0.92287550863949952</v>
      </c>
      <c r="CZ282" s="39">
        <v>0.66652120068408294</v>
      </c>
      <c r="DA282" s="40">
        <v>0</v>
      </c>
      <c r="DB282" s="39">
        <v>0</v>
      </c>
      <c r="DC282" s="38">
        <v>3.4966727605118813</v>
      </c>
      <c r="DE282" s="37" t="s">
        <v>1689</v>
      </c>
      <c r="DF282" s="35" t="str">
        <f t="shared" si="469"/>
        <v>ICIMD</v>
      </c>
      <c r="DG282" s="26">
        <f t="shared" si="488"/>
        <v>0.1433971320731178</v>
      </c>
      <c r="DH282" s="25">
        <f t="shared" si="488"/>
        <v>0.39472405990781217</v>
      </c>
      <c r="DI282" s="24">
        <f t="shared" si="488"/>
        <v>1.1228745439299455</v>
      </c>
      <c r="DJ282" s="25">
        <f t="shared" si="488"/>
        <v>0.76054962800330972</v>
      </c>
      <c r="DK282" s="24">
        <f t="shared" si="488"/>
        <v>4.2283153480652311</v>
      </c>
      <c r="DL282" s="25">
        <f t="shared" si="488"/>
        <v>3.6855927236207786</v>
      </c>
      <c r="DM282" s="24">
        <f t="shared" si="488"/>
        <v>12.803757819579797</v>
      </c>
      <c r="DN282" s="25">
        <f t="shared" si="488"/>
        <v>1.9844110434915676</v>
      </c>
      <c r="DO282" s="32">
        <f t="shared" si="488"/>
        <v>1.2443161083940126</v>
      </c>
      <c r="DP282" s="26">
        <f t="shared" si="470"/>
        <v>3.9922644431948325E-2</v>
      </c>
      <c r="DQ282" s="25">
        <f t="shared" si="471"/>
        <v>3.9922644431948325E-2</v>
      </c>
      <c r="DR282" s="24">
        <f t="shared" si="472"/>
        <v>6.2678270059303071E-2</v>
      </c>
      <c r="DS282" s="25">
        <f t="shared" si="473"/>
        <v>6.2678270059303071E-2</v>
      </c>
      <c r="DT282" s="24">
        <f t="shared" si="474"/>
        <v>0.19690861353446779</v>
      </c>
      <c r="DU282" s="25">
        <f t="shared" si="475"/>
        <v>0.19690861353446779</v>
      </c>
      <c r="DV282" s="24">
        <f t="shared" si="476"/>
        <v>0.19690861353446776</v>
      </c>
      <c r="DW282" s="25">
        <f t="shared" si="477"/>
        <v>0.17496647645254124</v>
      </c>
      <c r="DX282" s="32">
        <f t="shared" si="478"/>
        <v>0.17496647645254126</v>
      </c>
      <c r="DZ282" s="54" t="s">
        <v>1683</v>
      </c>
      <c r="EA282" s="39">
        <v>3.0028824207806254E-2</v>
      </c>
      <c r="EB282" s="40">
        <v>3.0028824207806247E-2</v>
      </c>
      <c r="EC282" s="39">
        <v>9.2709535006068149E-3</v>
      </c>
      <c r="ED282" s="40">
        <v>9.2709535006068166E-3</v>
      </c>
      <c r="EE282" s="39">
        <v>1.2481248041981474E-2</v>
      </c>
      <c r="EF282" s="40">
        <v>1.2481248041981472E-2</v>
      </c>
      <c r="EG282" s="39">
        <v>1.2481248041981479E-2</v>
      </c>
      <c r="EH282" s="40">
        <v>4.2427140732580235E-2</v>
      </c>
      <c r="EI282" s="66">
        <v>4.2427140732580228E-2</v>
      </c>
    </row>
    <row r="283" spans="1:139">
      <c r="A283" s="37" t="s">
        <v>1611</v>
      </c>
      <c r="B283" s="36" t="s">
        <v>1145</v>
      </c>
      <c r="C283" s="1" t="s">
        <v>1126</v>
      </c>
      <c r="D283" s="36" t="s">
        <v>1126</v>
      </c>
      <c r="E283" s="36" t="s">
        <v>1688</v>
      </c>
      <c r="F283" s="1" t="e">
        <f t="shared" ca="1" si="439"/>
        <v>#NAME?</v>
      </c>
      <c r="G283" s="35" t="s">
        <v>1121</v>
      </c>
      <c r="H283" s="43">
        <v>1</v>
      </c>
      <c r="I283" s="42">
        <v>0</v>
      </c>
      <c r="J283" s="26">
        <v>2.9941641544665174</v>
      </c>
      <c r="K283" s="25">
        <v>1.1269195659846181</v>
      </c>
      <c r="L283" s="24"/>
      <c r="M283" s="25"/>
      <c r="N283" s="24"/>
      <c r="O283" s="25"/>
      <c r="P283" s="24"/>
      <c r="Q283" s="25"/>
      <c r="R283" s="32"/>
      <c r="S283" s="47">
        <v>1</v>
      </c>
      <c r="T283" s="45">
        <v>1</v>
      </c>
      <c r="U283" s="46">
        <v>1</v>
      </c>
      <c r="V283" s="45">
        <v>1</v>
      </c>
      <c r="W283" s="46">
        <v>1</v>
      </c>
      <c r="X283" s="45">
        <v>1</v>
      </c>
      <c r="Y283" s="46">
        <v>1</v>
      </c>
      <c r="Z283" s="45">
        <v>1</v>
      </c>
      <c r="AA283" s="44">
        <v>1</v>
      </c>
      <c r="AB283" s="26">
        <f t="shared" si="491"/>
        <v>2.9941641544665174</v>
      </c>
      <c r="AC283" s="25">
        <f t="shared" si="492"/>
        <v>1.1269195659846181</v>
      </c>
      <c r="AD283" s="24">
        <f t="shared" si="493"/>
        <v>0</v>
      </c>
      <c r="AE283" s="25">
        <f t="shared" si="494"/>
        <v>0</v>
      </c>
      <c r="AF283" s="24">
        <f t="shared" si="495"/>
        <v>0</v>
      </c>
      <c r="AG283" s="25">
        <f t="shared" si="496"/>
        <v>0</v>
      </c>
      <c r="AH283" s="24">
        <f t="shared" si="497"/>
        <v>0</v>
      </c>
      <c r="AI283" s="25">
        <f t="shared" si="498"/>
        <v>0</v>
      </c>
      <c r="AJ283" s="24">
        <f t="shared" si="499"/>
        <v>0</v>
      </c>
      <c r="AK283" s="27">
        <f t="shared" si="468"/>
        <v>4.1210837204511357</v>
      </c>
      <c r="AL283" s="41">
        <v>0</v>
      </c>
      <c r="AM283" s="40">
        <v>0</v>
      </c>
      <c r="AN283" s="39">
        <v>0</v>
      </c>
      <c r="AO283" s="40">
        <v>0</v>
      </c>
      <c r="AP283" s="39">
        <v>0</v>
      </c>
      <c r="AQ283" s="40">
        <v>0</v>
      </c>
      <c r="AR283" s="39">
        <v>0</v>
      </c>
      <c r="AS283" s="40">
        <v>0</v>
      </c>
      <c r="AT283" s="39">
        <v>0</v>
      </c>
      <c r="AU283" s="38">
        <v>0</v>
      </c>
      <c r="CS283" s="54" t="s">
        <v>1306</v>
      </c>
      <c r="CT283" s="39">
        <v>0</v>
      </c>
      <c r="CU283" s="40">
        <v>0</v>
      </c>
      <c r="CV283" s="39">
        <v>0</v>
      </c>
      <c r="CW283" s="40">
        <v>0</v>
      </c>
      <c r="CX283" s="39">
        <v>0</v>
      </c>
      <c r="CY283" s="40">
        <v>0</v>
      </c>
      <c r="CZ283" s="39">
        <v>0</v>
      </c>
      <c r="DA283" s="40">
        <v>0</v>
      </c>
      <c r="DB283" s="39">
        <v>0</v>
      </c>
      <c r="DC283" s="38">
        <v>0</v>
      </c>
      <c r="DE283" s="37" t="s">
        <v>1687</v>
      </c>
      <c r="DF283" s="35" t="str">
        <f t="shared" si="469"/>
        <v>ICOMD</v>
      </c>
      <c r="DG283" s="26">
        <f t="shared" si="488"/>
        <v>0.78636627816129512</v>
      </c>
      <c r="DH283" s="25">
        <f t="shared" si="488"/>
        <v>2.1646017978389649</v>
      </c>
      <c r="DI283" s="24">
        <f t="shared" si="488"/>
        <v>20.52553081517275</v>
      </c>
      <c r="DJ283" s="25">
        <f t="shared" si="488"/>
        <v>13.90243007149696</v>
      </c>
      <c r="DK283" s="24">
        <f t="shared" si="488"/>
        <v>9.8370727019732414</v>
      </c>
      <c r="DL283" s="25">
        <f t="shared" si="488"/>
        <v>8.5744417309628371</v>
      </c>
      <c r="DM283" s="24">
        <f t="shared" si="488"/>
        <v>29.787630808401516</v>
      </c>
      <c r="DN283" s="25">
        <f t="shared" si="488"/>
        <v>1.2091315170615782</v>
      </c>
      <c r="DO283" s="32">
        <f t="shared" si="488"/>
        <v>0.75818053360526216</v>
      </c>
      <c r="DP283" s="26">
        <f t="shared" si="470"/>
        <v>0.8615166628447759</v>
      </c>
      <c r="DQ283" s="25">
        <f t="shared" si="471"/>
        <v>0.8615166628447759</v>
      </c>
      <c r="DR283" s="24">
        <f t="shared" si="472"/>
        <v>0.86373805322262864</v>
      </c>
      <c r="DS283" s="25">
        <f t="shared" si="473"/>
        <v>0.86373805322262864</v>
      </c>
      <c r="DT283" s="24">
        <f t="shared" si="474"/>
        <v>0.75993010789629334</v>
      </c>
      <c r="DU283" s="25">
        <f t="shared" si="475"/>
        <v>0.75993010789629323</v>
      </c>
      <c r="DV283" s="24">
        <f t="shared" si="476"/>
        <v>0.75993010789629334</v>
      </c>
      <c r="DW283" s="25">
        <f t="shared" si="477"/>
        <v>0.91203745923071211</v>
      </c>
      <c r="DX283" s="32">
        <f t="shared" si="478"/>
        <v>0.91203745923071211</v>
      </c>
      <c r="DZ283" s="54" t="s">
        <v>1681</v>
      </c>
      <c r="EA283" s="39">
        <v>0.92902891456263703</v>
      </c>
      <c r="EB283" s="40">
        <v>0.92902891456263692</v>
      </c>
      <c r="EC283" s="39">
        <v>0.93628199174166737</v>
      </c>
      <c r="ED283" s="40">
        <v>0.93628199174166726</v>
      </c>
      <c r="EE283" s="39">
        <v>0.94741714061410742</v>
      </c>
      <c r="EF283" s="40">
        <v>0.94741714061410731</v>
      </c>
      <c r="EG283" s="39">
        <v>0.94741714061410764</v>
      </c>
      <c r="EH283" s="40">
        <v>0.92810585707138593</v>
      </c>
      <c r="EI283" s="66">
        <v>0.92810585707138604</v>
      </c>
    </row>
    <row r="284" spans="1:139">
      <c r="A284" s="37" t="s">
        <v>1611</v>
      </c>
      <c r="B284" s="36" t="s">
        <v>1145</v>
      </c>
      <c r="C284" s="1" t="s">
        <v>456</v>
      </c>
      <c r="D284" s="36" t="s">
        <v>456</v>
      </c>
      <c r="E284" s="36" t="s">
        <v>1686</v>
      </c>
      <c r="F284" s="1" t="e">
        <f t="shared" ca="1" si="439"/>
        <v>#NAME?</v>
      </c>
      <c r="G284" s="35" t="s">
        <v>1121</v>
      </c>
      <c r="H284" s="43">
        <v>1</v>
      </c>
      <c r="I284" s="42">
        <v>0</v>
      </c>
      <c r="J284" s="26">
        <v>1.4123768138614358E-2</v>
      </c>
      <c r="K284" s="25">
        <v>7.1383478227929767E-3</v>
      </c>
      <c r="L284" s="24"/>
      <c r="M284" s="25"/>
      <c r="N284" s="24"/>
      <c r="O284" s="25"/>
      <c r="P284" s="24"/>
      <c r="Q284" s="25"/>
      <c r="R284" s="32"/>
      <c r="S284" s="47">
        <v>1</v>
      </c>
      <c r="T284" s="45">
        <v>1</v>
      </c>
      <c r="U284" s="46">
        <v>1</v>
      </c>
      <c r="V284" s="45">
        <v>1</v>
      </c>
      <c r="W284" s="46">
        <v>1</v>
      </c>
      <c r="X284" s="45">
        <v>1</v>
      </c>
      <c r="Y284" s="46">
        <v>1</v>
      </c>
      <c r="Z284" s="45">
        <v>1</v>
      </c>
      <c r="AA284" s="44">
        <v>1</v>
      </c>
      <c r="AB284" s="26">
        <f t="shared" si="491"/>
        <v>1.4123768138614358E-2</v>
      </c>
      <c r="AC284" s="25">
        <f t="shared" si="492"/>
        <v>7.1383478227929767E-3</v>
      </c>
      <c r="AD284" s="24">
        <f t="shared" si="493"/>
        <v>0</v>
      </c>
      <c r="AE284" s="25">
        <f t="shared" si="494"/>
        <v>0</v>
      </c>
      <c r="AF284" s="24">
        <f t="shared" si="495"/>
        <v>0</v>
      </c>
      <c r="AG284" s="25">
        <f t="shared" si="496"/>
        <v>0</v>
      </c>
      <c r="AH284" s="24">
        <f t="shared" si="497"/>
        <v>0</v>
      </c>
      <c r="AI284" s="25">
        <f t="shared" si="498"/>
        <v>0</v>
      </c>
      <c r="AJ284" s="24">
        <f t="shared" si="499"/>
        <v>0</v>
      </c>
      <c r="AK284" s="27">
        <f t="shared" si="468"/>
        <v>2.1262115961407334E-2</v>
      </c>
      <c r="AL284" s="41">
        <v>0</v>
      </c>
      <c r="AM284" s="40">
        <v>0</v>
      </c>
      <c r="AN284" s="39">
        <v>0</v>
      </c>
      <c r="AO284" s="40">
        <v>0</v>
      </c>
      <c r="AP284" s="39">
        <v>0</v>
      </c>
      <c r="AQ284" s="40">
        <v>0</v>
      </c>
      <c r="AR284" s="39">
        <v>0</v>
      </c>
      <c r="AS284" s="40">
        <v>0</v>
      </c>
      <c r="AT284" s="39">
        <v>0</v>
      </c>
      <c r="AU284" s="38">
        <v>0</v>
      </c>
      <c r="CS284" s="54" t="s">
        <v>1280</v>
      </c>
      <c r="CT284" s="39">
        <v>6.1819282312309056</v>
      </c>
      <c r="CU284" s="40">
        <v>4.3715248508121469</v>
      </c>
      <c r="CV284" s="39">
        <v>7.0524889862664715</v>
      </c>
      <c r="CW284" s="40">
        <v>2.2502594879101219</v>
      </c>
      <c r="CX284" s="39">
        <v>43.004297702818235</v>
      </c>
      <c r="CY284" s="40">
        <v>16.050591562476814</v>
      </c>
      <c r="CZ284" s="39">
        <v>20.269882203273845</v>
      </c>
      <c r="DA284" s="40">
        <v>0</v>
      </c>
      <c r="DB284" s="39">
        <v>4.6970635709086928</v>
      </c>
      <c r="DC284" s="38">
        <v>103.87803659569724</v>
      </c>
      <c r="DE284" s="37" t="s">
        <v>1685</v>
      </c>
      <c r="DF284" s="35" t="str">
        <f t="shared" si="469"/>
        <v>ICOMD</v>
      </c>
      <c r="DG284" s="26">
        <f t="shared" si="488"/>
        <v>0.12640338965298714</v>
      </c>
      <c r="DH284" s="25">
        <f t="shared" si="488"/>
        <v>0.34794600441866003</v>
      </c>
      <c r="DI284" s="24">
        <f t="shared" si="488"/>
        <v>3.2380752209298298</v>
      </c>
      <c r="DJ284" s="25">
        <f t="shared" si="488"/>
        <v>2.1932253411905318</v>
      </c>
      <c r="DK284" s="24">
        <f t="shared" si="488"/>
        <v>3.107634449063462</v>
      </c>
      <c r="DL284" s="25">
        <f t="shared" si="488"/>
        <v>2.7087560813983234</v>
      </c>
      <c r="DM284" s="24">
        <f t="shared" si="488"/>
        <v>9.4102250192380925</v>
      </c>
      <c r="DN284" s="25">
        <f t="shared" si="488"/>
        <v>0.11661613159471686</v>
      </c>
      <c r="DO284" s="32">
        <f t="shared" si="488"/>
        <v>7.3123626033942069E-2</v>
      </c>
      <c r="DP284" s="26">
        <f t="shared" si="470"/>
        <v>0.1384833371552241</v>
      </c>
      <c r="DQ284" s="25">
        <f t="shared" si="471"/>
        <v>0.13848333715522412</v>
      </c>
      <c r="DR284" s="24">
        <f t="shared" si="472"/>
        <v>0.13626194677737133</v>
      </c>
      <c r="DS284" s="25">
        <f t="shared" si="473"/>
        <v>0.13626194677737133</v>
      </c>
      <c r="DT284" s="24">
        <f t="shared" si="474"/>
        <v>0.24006989210370672</v>
      </c>
      <c r="DU284" s="25">
        <f t="shared" si="475"/>
        <v>0.24006989210370669</v>
      </c>
      <c r="DV284" s="24">
        <f t="shared" si="476"/>
        <v>0.24006989210370672</v>
      </c>
      <c r="DW284" s="25">
        <f t="shared" si="477"/>
        <v>8.7962540769287847E-2</v>
      </c>
      <c r="DX284" s="32">
        <f t="shared" si="478"/>
        <v>8.7962540769287834E-2</v>
      </c>
      <c r="DZ284" s="54" t="s">
        <v>1678</v>
      </c>
      <c r="EA284" s="39">
        <v>3.3985019157440127E-3</v>
      </c>
      <c r="EB284" s="40">
        <v>3.3985019157440123E-3</v>
      </c>
      <c r="EC284" s="39">
        <v>1.4689317910140972E-2</v>
      </c>
      <c r="ED284" s="40">
        <v>1.468931791014097E-2</v>
      </c>
      <c r="EE284" s="39">
        <v>1.0876719553775621E-2</v>
      </c>
      <c r="EF284" s="40">
        <v>1.0876719553775621E-2</v>
      </c>
      <c r="EG284" s="39">
        <v>1.0876719553775624E-2</v>
      </c>
      <c r="EH284" s="40">
        <v>7.7565553971880273E-3</v>
      </c>
      <c r="EI284" s="66">
        <v>7.7565553971880273E-3</v>
      </c>
    </row>
    <row r="285" spans="1:139">
      <c r="A285" s="37" t="s">
        <v>1611</v>
      </c>
      <c r="B285" s="36" t="s">
        <v>1145</v>
      </c>
      <c r="C285" s="1" t="s">
        <v>665</v>
      </c>
      <c r="D285" s="36" t="s">
        <v>665</v>
      </c>
      <c r="E285" s="36" t="s">
        <v>1684</v>
      </c>
      <c r="F285" s="1" t="e">
        <f t="shared" ca="1" si="439"/>
        <v>#NAME?</v>
      </c>
      <c r="G285" s="35" t="s">
        <v>1121</v>
      </c>
      <c r="H285" s="43">
        <v>1</v>
      </c>
      <c r="I285" s="42">
        <v>0</v>
      </c>
      <c r="J285" s="26">
        <v>3.3574408899453863</v>
      </c>
      <c r="K285" s="25">
        <v>1.0697829396807668</v>
      </c>
      <c r="L285" s="24"/>
      <c r="M285" s="25"/>
      <c r="N285" s="24"/>
      <c r="O285" s="25"/>
      <c r="P285" s="24"/>
      <c r="Q285" s="25"/>
      <c r="R285" s="32"/>
      <c r="S285" s="47">
        <v>1</v>
      </c>
      <c r="T285" s="45">
        <v>1</v>
      </c>
      <c r="U285" s="46">
        <v>1</v>
      </c>
      <c r="V285" s="45">
        <v>1</v>
      </c>
      <c r="W285" s="46">
        <v>1</v>
      </c>
      <c r="X285" s="45">
        <v>1</v>
      </c>
      <c r="Y285" s="46">
        <v>1</v>
      </c>
      <c r="Z285" s="45">
        <v>1</v>
      </c>
      <c r="AA285" s="44">
        <v>1</v>
      </c>
      <c r="AB285" s="26">
        <f t="shared" si="491"/>
        <v>3.3574408899453863</v>
      </c>
      <c r="AC285" s="25">
        <f t="shared" si="492"/>
        <v>1.0697829396807668</v>
      </c>
      <c r="AD285" s="24">
        <f t="shared" si="493"/>
        <v>0</v>
      </c>
      <c r="AE285" s="25">
        <f t="shared" si="494"/>
        <v>0</v>
      </c>
      <c r="AF285" s="24">
        <f t="shared" si="495"/>
        <v>0</v>
      </c>
      <c r="AG285" s="25">
        <f t="shared" si="496"/>
        <v>0</v>
      </c>
      <c r="AH285" s="24">
        <f t="shared" si="497"/>
        <v>0</v>
      </c>
      <c r="AI285" s="25">
        <f t="shared" si="498"/>
        <v>0</v>
      </c>
      <c r="AJ285" s="24">
        <f t="shared" si="499"/>
        <v>0</v>
      </c>
      <c r="AK285" s="27">
        <f t="shared" si="468"/>
        <v>4.4272238296261532</v>
      </c>
      <c r="AL285" s="41">
        <v>0</v>
      </c>
      <c r="AM285" s="40">
        <v>0</v>
      </c>
      <c r="AN285" s="39">
        <v>0</v>
      </c>
      <c r="AO285" s="40">
        <v>0</v>
      </c>
      <c r="AP285" s="39">
        <v>0</v>
      </c>
      <c r="AQ285" s="40">
        <v>0</v>
      </c>
      <c r="AR285" s="39">
        <v>0</v>
      </c>
      <c r="AS285" s="40">
        <v>0</v>
      </c>
      <c r="AT285" s="39">
        <v>0</v>
      </c>
      <c r="AU285" s="38">
        <v>0</v>
      </c>
      <c r="CS285" s="54" t="s">
        <v>1300</v>
      </c>
      <c r="CT285" s="39">
        <v>9.5592339848768249E-2</v>
      </c>
      <c r="CU285" s="40">
        <v>8.4346182219501395E-2</v>
      </c>
      <c r="CV285" s="39">
        <v>0.27183569583885026</v>
      </c>
      <c r="CW285" s="40">
        <v>5.2053643884035147E-2</v>
      </c>
      <c r="CX285" s="39">
        <v>0.59379712282528974</v>
      </c>
      <c r="CY285" s="40">
        <v>0.34478542615661989</v>
      </c>
      <c r="CZ285" s="39">
        <v>0.24901169666866993</v>
      </c>
      <c r="DA285" s="40">
        <v>4.9354566053011098E-2</v>
      </c>
      <c r="DB285" s="39">
        <v>0.38249788691083608</v>
      </c>
      <c r="DC285" s="38">
        <v>2.1232745604055818</v>
      </c>
      <c r="DE285" s="37" t="s">
        <v>1683</v>
      </c>
      <c r="DF285" s="35" t="str">
        <f t="shared" si="469"/>
        <v>IOTMD</v>
      </c>
      <c r="DG285" s="26">
        <f t="shared" si="488"/>
        <v>0.51882738241064674</v>
      </c>
      <c r="DH285" s="25">
        <f t="shared" si="488"/>
        <v>1.4281572289189839</v>
      </c>
      <c r="DI285" s="24">
        <f t="shared" si="488"/>
        <v>0.99494443155990975</v>
      </c>
      <c r="DJ285" s="25">
        <f t="shared" si="488"/>
        <v>0.67389952100834505</v>
      </c>
      <c r="DK285" s="24">
        <f t="shared" si="488"/>
        <v>0.56766356911736271</v>
      </c>
      <c r="DL285" s="25">
        <f t="shared" si="488"/>
        <v>0.49480148654496153</v>
      </c>
      <c r="DM285" s="24">
        <f t="shared" si="488"/>
        <v>1.7189415319514345</v>
      </c>
      <c r="DN285" s="25">
        <f t="shared" si="488"/>
        <v>2.2223278078424316</v>
      </c>
      <c r="DO285" s="32">
        <f t="shared" si="488"/>
        <v>1.393500756055454</v>
      </c>
      <c r="DP285" s="26">
        <f t="shared" si="470"/>
        <v>3.0028824207806254E-2</v>
      </c>
      <c r="DQ285" s="25">
        <f t="shared" si="471"/>
        <v>3.0028824207806247E-2</v>
      </c>
      <c r="DR285" s="24">
        <f t="shared" si="472"/>
        <v>9.2709535006068149E-3</v>
      </c>
      <c r="DS285" s="25">
        <f t="shared" si="473"/>
        <v>9.2709535006068166E-3</v>
      </c>
      <c r="DT285" s="24">
        <f t="shared" si="474"/>
        <v>1.2481248041981474E-2</v>
      </c>
      <c r="DU285" s="25">
        <f t="shared" si="475"/>
        <v>1.2481248041981472E-2</v>
      </c>
      <c r="DV285" s="24">
        <f t="shared" si="476"/>
        <v>1.2481248041981479E-2</v>
      </c>
      <c r="DW285" s="25">
        <f t="shared" si="477"/>
        <v>4.2427140732580235E-2</v>
      </c>
      <c r="DX285" s="32">
        <f t="shared" si="478"/>
        <v>4.2427140732580228E-2</v>
      </c>
      <c r="DZ285" s="54" t="s">
        <v>1675</v>
      </c>
      <c r="EA285" s="39">
        <v>3.2565777031730671E-2</v>
      </c>
      <c r="EB285" s="40">
        <v>3.2565777031730664E-2</v>
      </c>
      <c r="EC285" s="39">
        <v>3.4826919613257887E-2</v>
      </c>
      <c r="ED285" s="40">
        <v>3.4826919613257887E-2</v>
      </c>
      <c r="EE285" s="39">
        <v>2.4517780851077687E-2</v>
      </c>
      <c r="EF285" s="40">
        <v>2.4517780851077683E-2</v>
      </c>
      <c r="EG285" s="39">
        <v>2.4517780851077687E-2</v>
      </c>
      <c r="EH285" s="40">
        <v>2.1710446798845696E-2</v>
      </c>
      <c r="EI285" s="66">
        <v>2.1710446798845696E-2</v>
      </c>
    </row>
    <row r="286" spans="1:139">
      <c r="A286" s="37" t="s">
        <v>1611</v>
      </c>
      <c r="B286" s="36" t="s">
        <v>1139</v>
      </c>
      <c r="C286" s="1" t="s">
        <v>665</v>
      </c>
      <c r="D286" s="36" t="s">
        <v>665</v>
      </c>
      <c r="E286" s="36" t="s">
        <v>1682</v>
      </c>
      <c r="F286" s="1" t="e">
        <f t="shared" ca="1" si="439"/>
        <v>#NAME?</v>
      </c>
      <c r="G286" s="35" t="s">
        <v>1121</v>
      </c>
      <c r="H286" s="43">
        <v>1</v>
      </c>
      <c r="I286" s="42">
        <v>0</v>
      </c>
      <c r="J286" s="26">
        <v>0.52808852872542511</v>
      </c>
      <c r="K286" s="25">
        <v>0</v>
      </c>
      <c r="L286" s="24"/>
      <c r="M286" s="25"/>
      <c r="N286" s="24"/>
      <c r="O286" s="25"/>
      <c r="P286" s="24"/>
      <c r="Q286" s="25"/>
      <c r="R286" s="32"/>
      <c r="S286" s="47">
        <v>1</v>
      </c>
      <c r="T286" s="45">
        <v>1</v>
      </c>
      <c r="U286" s="46">
        <v>1</v>
      </c>
      <c r="V286" s="45">
        <v>1</v>
      </c>
      <c r="W286" s="46">
        <v>1</v>
      </c>
      <c r="X286" s="45">
        <v>1</v>
      </c>
      <c r="Y286" s="46">
        <v>1</v>
      </c>
      <c r="Z286" s="45">
        <v>1</v>
      </c>
      <c r="AA286" s="44">
        <v>1</v>
      </c>
      <c r="AB286" s="26">
        <f t="shared" si="491"/>
        <v>0.52808852872542511</v>
      </c>
      <c r="AC286" s="25">
        <f t="shared" si="492"/>
        <v>0</v>
      </c>
      <c r="AD286" s="24">
        <f t="shared" si="493"/>
        <v>0</v>
      </c>
      <c r="AE286" s="25">
        <f t="shared" si="494"/>
        <v>0</v>
      </c>
      <c r="AF286" s="24">
        <f t="shared" si="495"/>
        <v>0</v>
      </c>
      <c r="AG286" s="25">
        <f t="shared" si="496"/>
        <v>0</v>
      </c>
      <c r="AH286" s="24">
        <f t="shared" si="497"/>
        <v>0</v>
      </c>
      <c r="AI286" s="25">
        <f t="shared" si="498"/>
        <v>0</v>
      </c>
      <c r="AJ286" s="24">
        <f t="shared" si="499"/>
        <v>0</v>
      </c>
      <c r="AK286" s="27">
        <f t="shared" si="468"/>
        <v>0.52808852872542511</v>
      </c>
      <c r="AL286" s="41">
        <v>0</v>
      </c>
      <c r="AM286" s="40">
        <v>0</v>
      </c>
      <c r="AN286" s="39">
        <v>0</v>
      </c>
      <c r="AO286" s="40">
        <v>0</v>
      </c>
      <c r="AP286" s="39">
        <v>0</v>
      </c>
      <c r="AQ286" s="40">
        <v>0</v>
      </c>
      <c r="AR286" s="39">
        <v>0</v>
      </c>
      <c r="AS286" s="40">
        <v>0</v>
      </c>
      <c r="AT286" s="39">
        <v>0</v>
      </c>
      <c r="AU286" s="38">
        <v>0</v>
      </c>
      <c r="CS286" s="54" t="s">
        <v>1298</v>
      </c>
      <c r="CT286" s="39">
        <v>0.77145216287516383</v>
      </c>
      <c r="CU286" s="40">
        <v>0</v>
      </c>
      <c r="CV286" s="39">
        <v>1.2128667067822319</v>
      </c>
      <c r="CW286" s="40">
        <v>0</v>
      </c>
      <c r="CX286" s="39">
        <v>1.8029274367780637</v>
      </c>
      <c r="CY286" s="40">
        <v>0</v>
      </c>
      <c r="CZ286" s="39">
        <v>2.1758354775311801</v>
      </c>
      <c r="DA286" s="40">
        <v>1.533856297031881</v>
      </c>
      <c r="DB286" s="39">
        <v>3.6278286575866403</v>
      </c>
      <c r="DC286" s="38">
        <v>11.124766738585162</v>
      </c>
      <c r="DE286" s="37" t="s">
        <v>1681</v>
      </c>
      <c r="DF286" s="35" t="str">
        <f t="shared" si="469"/>
        <v>IOTMD</v>
      </c>
      <c r="DG286" s="26">
        <f t="shared" si="488"/>
        <v>16.051432336835745</v>
      </c>
      <c r="DH286" s="25">
        <f t="shared" si="488"/>
        <v>44.184192861686348</v>
      </c>
      <c r="DI286" s="24">
        <f t="shared" si="488"/>
        <v>100.48033937309904</v>
      </c>
      <c r="DJ286" s="25">
        <f t="shared" si="488"/>
        <v>68.057723051048669</v>
      </c>
      <c r="DK286" s="24">
        <f t="shared" si="488"/>
        <v>43.089777053945099</v>
      </c>
      <c r="DL286" s="25">
        <f t="shared" si="488"/>
        <v>37.559017173383168</v>
      </c>
      <c r="DM286" s="24">
        <f t="shared" si="488"/>
        <v>130.48011429678456</v>
      </c>
      <c r="DN286" s="25">
        <f t="shared" si="488"/>
        <v>48.614057397634554</v>
      </c>
      <c r="DO286" s="32">
        <f t="shared" si="488"/>
        <v>30.483228216586394</v>
      </c>
      <c r="DP286" s="26">
        <f t="shared" si="470"/>
        <v>0.92902891456263703</v>
      </c>
      <c r="DQ286" s="25">
        <f t="shared" si="471"/>
        <v>0.92902891456263692</v>
      </c>
      <c r="DR286" s="24">
        <f t="shared" si="472"/>
        <v>0.93628199174166737</v>
      </c>
      <c r="DS286" s="25">
        <f t="shared" si="473"/>
        <v>0.93628199174166726</v>
      </c>
      <c r="DT286" s="24">
        <f t="shared" si="474"/>
        <v>0.94741714061410742</v>
      </c>
      <c r="DU286" s="25">
        <f t="shared" si="475"/>
        <v>0.94741714061410731</v>
      </c>
      <c r="DV286" s="24">
        <f t="shared" si="476"/>
        <v>0.94741714061410764</v>
      </c>
      <c r="DW286" s="25">
        <f t="shared" si="477"/>
        <v>0.92810585707138593</v>
      </c>
      <c r="DX286" s="32">
        <f t="shared" si="478"/>
        <v>0.92810585707138604</v>
      </c>
      <c r="DZ286" s="54" t="s">
        <v>1680</v>
      </c>
      <c r="EA286" s="39">
        <v>4.9810220069272824E-3</v>
      </c>
      <c r="EB286" s="40">
        <v>0.52972156841563034</v>
      </c>
      <c r="EC286" s="39">
        <v>1.4572189216977727E-2</v>
      </c>
      <c r="ED286" s="40">
        <v>0.13301332969286334</v>
      </c>
      <c r="EE286" s="39">
        <v>0.55106318283576161</v>
      </c>
      <c r="EF286" s="40">
        <v>0.51259518852628094</v>
      </c>
      <c r="EG286" s="39">
        <v>0.51351405312302201</v>
      </c>
      <c r="EH286" s="40">
        <v>0.19133611210422879</v>
      </c>
      <c r="EI286" s="66">
        <v>0.11231782473330131</v>
      </c>
    </row>
    <row r="287" spans="1:139">
      <c r="A287" s="37" t="s">
        <v>1611</v>
      </c>
      <c r="B287" s="36" t="s">
        <v>1139</v>
      </c>
      <c r="C287" s="1" t="s">
        <v>1197</v>
      </c>
      <c r="D287" s="36" t="s">
        <v>1197</v>
      </c>
      <c r="E287" s="36" t="s">
        <v>1679</v>
      </c>
      <c r="F287" s="1" t="e">
        <f t="shared" ca="1" si="439"/>
        <v>#NAME?</v>
      </c>
      <c r="G287" s="35" t="s">
        <v>1121</v>
      </c>
      <c r="H287" s="43">
        <v>1</v>
      </c>
      <c r="I287" s="42">
        <v>0</v>
      </c>
      <c r="J287" s="26">
        <v>2.7224354951695872E-3</v>
      </c>
      <c r="K287" s="25">
        <v>0</v>
      </c>
      <c r="L287" s="24"/>
      <c r="M287" s="25"/>
      <c r="N287" s="24"/>
      <c r="O287" s="25"/>
      <c r="P287" s="24"/>
      <c r="Q287" s="25"/>
      <c r="R287" s="32"/>
      <c r="S287" s="47">
        <v>1</v>
      </c>
      <c r="T287" s="45">
        <v>1</v>
      </c>
      <c r="U287" s="46">
        <v>1</v>
      </c>
      <c r="V287" s="45">
        <v>1</v>
      </c>
      <c r="W287" s="46">
        <v>1</v>
      </c>
      <c r="X287" s="45">
        <v>1</v>
      </c>
      <c r="Y287" s="46">
        <v>1</v>
      </c>
      <c r="Z287" s="45">
        <v>1</v>
      </c>
      <c r="AA287" s="44">
        <v>1</v>
      </c>
      <c r="AB287" s="26">
        <f t="shared" si="491"/>
        <v>2.7224354951695872E-3</v>
      </c>
      <c r="AC287" s="25">
        <f t="shared" si="492"/>
        <v>0</v>
      </c>
      <c r="AD287" s="24">
        <f t="shared" si="493"/>
        <v>0</v>
      </c>
      <c r="AE287" s="25">
        <f t="shared" si="494"/>
        <v>0</v>
      </c>
      <c r="AF287" s="24">
        <f t="shared" si="495"/>
        <v>0</v>
      </c>
      <c r="AG287" s="25">
        <f t="shared" si="496"/>
        <v>0</v>
      </c>
      <c r="AH287" s="24">
        <f t="shared" si="497"/>
        <v>0</v>
      </c>
      <c r="AI287" s="25">
        <f t="shared" si="498"/>
        <v>0</v>
      </c>
      <c r="AJ287" s="24">
        <f t="shared" si="499"/>
        <v>0</v>
      </c>
      <c r="AK287" s="27">
        <f t="shared" si="468"/>
        <v>2.7224354951695872E-3</v>
      </c>
      <c r="AL287" s="41">
        <v>0</v>
      </c>
      <c r="AM287" s="40">
        <v>0</v>
      </c>
      <c r="AN287" s="39">
        <v>0</v>
      </c>
      <c r="AO287" s="40">
        <v>0</v>
      </c>
      <c r="AP287" s="39">
        <v>0</v>
      </c>
      <c r="AQ287" s="40">
        <v>0</v>
      </c>
      <c r="AR287" s="39">
        <v>0</v>
      </c>
      <c r="AS287" s="40">
        <v>0</v>
      </c>
      <c r="AT287" s="39">
        <v>0</v>
      </c>
      <c r="AU287" s="38">
        <v>0</v>
      </c>
      <c r="CS287" s="54" t="s">
        <v>1293</v>
      </c>
      <c r="CT287" s="39">
        <v>9.1135345063985324E-2</v>
      </c>
      <c r="CU287" s="40">
        <v>8.0413539762340003E-2</v>
      </c>
      <c r="CV287" s="39">
        <v>0</v>
      </c>
      <c r="CW287" s="40">
        <v>0</v>
      </c>
      <c r="CX287" s="39">
        <v>0.85774442413162666</v>
      </c>
      <c r="CY287" s="40">
        <v>0.49804514949578327</v>
      </c>
      <c r="CZ287" s="39">
        <v>0.35969927463584345</v>
      </c>
      <c r="DA287" s="40">
        <v>0</v>
      </c>
      <c r="DB287" s="39">
        <v>0</v>
      </c>
      <c r="DC287" s="38">
        <v>1.8870377330895787</v>
      </c>
      <c r="DE287" s="37" t="s">
        <v>1678</v>
      </c>
      <c r="DF287" s="35" t="str">
        <f t="shared" si="469"/>
        <v>IOTMD</v>
      </c>
      <c r="DG287" s="26">
        <f t="shared" si="488"/>
        <v>5.8718111667011789E-2</v>
      </c>
      <c r="DH287" s="25">
        <f t="shared" si="488"/>
        <v>0.16163120623294647</v>
      </c>
      <c r="DI287" s="24">
        <f t="shared" si="488"/>
        <v>1.5764349435202545</v>
      </c>
      <c r="DJ287" s="25">
        <f t="shared" si="488"/>
        <v>1.0677568712792456</v>
      </c>
      <c r="DK287" s="24">
        <f t="shared" si="488"/>
        <v>0.49468750411955337</v>
      </c>
      <c r="DL287" s="25">
        <f t="shared" si="488"/>
        <v>0.43119221618212727</v>
      </c>
      <c r="DM287" s="24">
        <f t="shared" si="488"/>
        <v>1.4979627765978611</v>
      </c>
      <c r="DN287" s="25">
        <f t="shared" si="488"/>
        <v>0.406287307006864</v>
      </c>
      <c r="DO287" s="32">
        <f t="shared" si="488"/>
        <v>0.25476064669301102</v>
      </c>
      <c r="DP287" s="26">
        <f t="shared" si="470"/>
        <v>3.3985019157440127E-3</v>
      </c>
      <c r="DQ287" s="25">
        <f t="shared" si="471"/>
        <v>3.3985019157440123E-3</v>
      </c>
      <c r="DR287" s="24">
        <f t="shared" si="472"/>
        <v>1.4689317910140972E-2</v>
      </c>
      <c r="DS287" s="25">
        <f t="shared" si="473"/>
        <v>1.468931791014097E-2</v>
      </c>
      <c r="DT287" s="24">
        <f t="shared" si="474"/>
        <v>1.0876719553775621E-2</v>
      </c>
      <c r="DU287" s="25">
        <f t="shared" si="475"/>
        <v>1.0876719553775621E-2</v>
      </c>
      <c r="DV287" s="24">
        <f t="shared" si="476"/>
        <v>1.0876719553775624E-2</v>
      </c>
      <c r="DW287" s="25">
        <f t="shared" si="477"/>
        <v>7.7565553971880273E-3</v>
      </c>
      <c r="DX287" s="32">
        <f t="shared" si="478"/>
        <v>7.7565553971880273E-3</v>
      </c>
      <c r="DZ287" s="54" t="s">
        <v>1677</v>
      </c>
      <c r="EA287" s="39">
        <v>0.6189501408063075</v>
      </c>
      <c r="EB287" s="40">
        <v>0.16932370102701597</v>
      </c>
      <c r="EC287" s="39">
        <v>0.21130049288203237</v>
      </c>
      <c r="ED287" s="40">
        <v>9.5718536315914468E-2</v>
      </c>
      <c r="EE287" s="39">
        <v>0.10273788330441243</v>
      </c>
      <c r="EF287" s="40">
        <v>0.13277515600594775</v>
      </c>
      <c r="EG287" s="39">
        <v>0.15121180437320572</v>
      </c>
      <c r="EH287" s="40">
        <v>0.33843378459848561</v>
      </c>
      <c r="EI287" s="66">
        <v>0.42519424153282503</v>
      </c>
    </row>
    <row r="288" spans="1:139">
      <c r="A288" s="37" t="s">
        <v>1611</v>
      </c>
      <c r="B288" s="36" t="s">
        <v>1139</v>
      </c>
      <c r="C288" s="1" t="s">
        <v>468</v>
      </c>
      <c r="D288" s="36" t="s">
        <v>468</v>
      </c>
      <c r="E288" s="36" t="s">
        <v>1676</v>
      </c>
      <c r="F288" s="1" t="e">
        <f t="shared" ca="1" si="439"/>
        <v>#NAME?</v>
      </c>
      <c r="G288" s="35" t="s">
        <v>1121</v>
      </c>
      <c r="H288" s="43">
        <v>1</v>
      </c>
      <c r="I288" s="42">
        <v>0</v>
      </c>
      <c r="J288" s="26">
        <v>0.15292381504008834</v>
      </c>
      <c r="K288" s="25">
        <v>0</v>
      </c>
      <c r="L288" s="24"/>
      <c r="M288" s="25"/>
      <c r="N288" s="24"/>
      <c r="O288" s="25"/>
      <c r="P288" s="24"/>
      <c r="Q288" s="25"/>
      <c r="R288" s="32"/>
      <c r="S288" s="47">
        <v>1</v>
      </c>
      <c r="T288" s="45">
        <v>1</v>
      </c>
      <c r="U288" s="46">
        <v>1</v>
      </c>
      <c r="V288" s="45">
        <v>1</v>
      </c>
      <c r="W288" s="46">
        <v>1</v>
      </c>
      <c r="X288" s="45">
        <v>1</v>
      </c>
      <c r="Y288" s="46">
        <v>1</v>
      </c>
      <c r="Z288" s="45">
        <v>1</v>
      </c>
      <c r="AA288" s="44">
        <v>1</v>
      </c>
      <c r="AB288" s="26">
        <f t="shared" si="491"/>
        <v>0.15292381504008834</v>
      </c>
      <c r="AC288" s="25">
        <f t="shared" si="492"/>
        <v>0</v>
      </c>
      <c r="AD288" s="24">
        <f t="shared" si="493"/>
        <v>0</v>
      </c>
      <c r="AE288" s="25">
        <f t="shared" si="494"/>
        <v>0</v>
      </c>
      <c r="AF288" s="24">
        <f t="shared" si="495"/>
        <v>0</v>
      </c>
      <c r="AG288" s="25">
        <f t="shared" si="496"/>
        <v>0</v>
      </c>
      <c r="AH288" s="24">
        <f t="shared" si="497"/>
        <v>0</v>
      </c>
      <c r="AI288" s="25">
        <f t="shared" si="498"/>
        <v>0</v>
      </c>
      <c r="AJ288" s="24">
        <f t="shared" si="499"/>
        <v>0</v>
      </c>
      <c r="AK288" s="27">
        <f t="shared" si="468"/>
        <v>0.15292381504008834</v>
      </c>
      <c r="AL288" s="41">
        <v>0</v>
      </c>
      <c r="AM288" s="40">
        <v>0</v>
      </c>
      <c r="AN288" s="39">
        <v>0</v>
      </c>
      <c r="AO288" s="40">
        <v>0</v>
      </c>
      <c r="AP288" s="39">
        <v>0</v>
      </c>
      <c r="AQ288" s="40">
        <v>0</v>
      </c>
      <c r="AR288" s="39">
        <v>0</v>
      </c>
      <c r="AS288" s="40">
        <v>0</v>
      </c>
      <c r="AT288" s="39">
        <v>0</v>
      </c>
      <c r="AU288" s="38">
        <v>0</v>
      </c>
      <c r="CS288" s="54" t="s">
        <v>1286</v>
      </c>
      <c r="CT288" s="39">
        <v>0</v>
      </c>
      <c r="CU288" s="40">
        <v>0</v>
      </c>
      <c r="CV288" s="39">
        <v>9.5210131337042911E-2</v>
      </c>
      <c r="CW288" s="40">
        <v>0</v>
      </c>
      <c r="CX288" s="39">
        <v>0.82109436072968167</v>
      </c>
      <c r="CY288" s="40">
        <v>0</v>
      </c>
      <c r="CZ288" s="39">
        <v>0</v>
      </c>
      <c r="DA288" s="40">
        <v>0</v>
      </c>
      <c r="DB288" s="39">
        <v>0</v>
      </c>
      <c r="DC288" s="38">
        <v>0.9163044920667246</v>
      </c>
      <c r="DE288" s="37" t="s">
        <v>1675</v>
      </c>
      <c r="DF288" s="35" t="str">
        <f t="shared" si="469"/>
        <v>IOTMD</v>
      </c>
      <c r="DG288" s="26">
        <f t="shared" ref="DG288:DO297" si="500">GETPIVOTDATA("Sum of "&amp;DG$1&amp;" (Out)",$CS$6,"Constraint Identifier",$DE288)</f>
        <v>0.56265995420324577</v>
      </c>
      <c r="DH288" s="25">
        <f t="shared" si="500"/>
        <v>1.5488135519851469</v>
      </c>
      <c r="DI288" s="24">
        <f t="shared" si="500"/>
        <v>3.7375713010886664</v>
      </c>
      <c r="DJ288" s="25">
        <f t="shared" si="500"/>
        <v>2.5315459131614073</v>
      </c>
      <c r="DK288" s="24">
        <f t="shared" si="500"/>
        <v>1.1151009048090792</v>
      </c>
      <c r="DL288" s="25">
        <f t="shared" si="500"/>
        <v>0.97197286449976616</v>
      </c>
      <c r="DM288" s="24">
        <f t="shared" si="500"/>
        <v>3.3766360250549345</v>
      </c>
      <c r="DN288" s="25">
        <f t="shared" si="500"/>
        <v>1.1371902232551008</v>
      </c>
      <c r="DO288" s="32">
        <f t="shared" si="500"/>
        <v>0.71307006567287246</v>
      </c>
      <c r="DP288" s="26">
        <f t="shared" si="470"/>
        <v>3.2565777031730671E-2</v>
      </c>
      <c r="DQ288" s="25">
        <f t="shared" si="471"/>
        <v>3.2565777031730664E-2</v>
      </c>
      <c r="DR288" s="24">
        <f t="shared" si="472"/>
        <v>3.4826919613257887E-2</v>
      </c>
      <c r="DS288" s="25">
        <f t="shared" si="473"/>
        <v>3.4826919613257887E-2</v>
      </c>
      <c r="DT288" s="24">
        <f t="shared" si="474"/>
        <v>2.4517780851077687E-2</v>
      </c>
      <c r="DU288" s="25">
        <f t="shared" si="475"/>
        <v>2.4517780851077683E-2</v>
      </c>
      <c r="DV288" s="24">
        <f t="shared" si="476"/>
        <v>2.4517780851077687E-2</v>
      </c>
      <c r="DW288" s="25">
        <f t="shared" si="477"/>
        <v>2.1710446798845696E-2</v>
      </c>
      <c r="DX288" s="32">
        <f t="shared" si="478"/>
        <v>2.1710446798845696E-2</v>
      </c>
      <c r="DZ288" s="54" t="s">
        <v>1674</v>
      </c>
      <c r="EA288" s="39">
        <v>1.0232556187651025E-2</v>
      </c>
      <c r="EB288" s="40">
        <v>7.3627044327429867E-3</v>
      </c>
      <c r="EC288" s="39">
        <v>6.353502973603712E-3</v>
      </c>
      <c r="ED288" s="40">
        <v>6.3300367645542184E-3</v>
      </c>
      <c r="EE288" s="39">
        <v>4.2551645832463953E-3</v>
      </c>
      <c r="EF288" s="40">
        <v>4.358787398017581E-3</v>
      </c>
      <c r="EG288" s="39">
        <v>4.1208869159545065E-3</v>
      </c>
      <c r="EH288" s="40">
        <v>2.0990197959918216E-2</v>
      </c>
      <c r="EI288" s="66">
        <v>2.0644601898254483E-2</v>
      </c>
    </row>
    <row r="289" spans="1:139">
      <c r="A289" s="37" t="s">
        <v>1611</v>
      </c>
      <c r="B289" s="36" t="s">
        <v>1139</v>
      </c>
      <c r="C289" s="1" t="s">
        <v>1132</v>
      </c>
      <c r="D289" s="36" t="s">
        <v>1131</v>
      </c>
      <c r="E289" s="36" t="s">
        <v>1673</v>
      </c>
      <c r="F289" s="1" t="e">
        <f t="shared" ca="1" si="439"/>
        <v>#NAME?</v>
      </c>
      <c r="G289" s="35" t="s">
        <v>1121</v>
      </c>
      <c r="H289" s="43">
        <v>1</v>
      </c>
      <c r="I289" s="42">
        <v>0</v>
      </c>
      <c r="J289" s="26">
        <v>8.9079809292892831E-2</v>
      </c>
      <c r="K289" s="25">
        <v>0</v>
      </c>
      <c r="L289" s="24"/>
      <c r="M289" s="25"/>
      <c r="N289" s="24"/>
      <c r="O289" s="25"/>
      <c r="P289" s="24"/>
      <c r="Q289" s="25"/>
      <c r="R289" s="32"/>
      <c r="S289" s="47">
        <v>1</v>
      </c>
      <c r="T289" s="45">
        <v>1</v>
      </c>
      <c r="U289" s="46">
        <v>1</v>
      </c>
      <c r="V289" s="45">
        <v>1</v>
      </c>
      <c r="W289" s="46">
        <v>1</v>
      </c>
      <c r="X289" s="45">
        <v>1</v>
      </c>
      <c r="Y289" s="46">
        <v>1</v>
      </c>
      <c r="Z289" s="45">
        <v>1</v>
      </c>
      <c r="AA289" s="44">
        <v>1</v>
      </c>
      <c r="AB289" s="26">
        <f t="shared" si="491"/>
        <v>8.9079809292892831E-2</v>
      </c>
      <c r="AC289" s="25">
        <f t="shared" si="492"/>
        <v>0</v>
      </c>
      <c r="AD289" s="24">
        <f t="shared" si="493"/>
        <v>0</v>
      </c>
      <c r="AE289" s="25">
        <f t="shared" si="494"/>
        <v>0</v>
      </c>
      <c r="AF289" s="24">
        <f t="shared" si="495"/>
        <v>0</v>
      </c>
      <c r="AG289" s="25">
        <f t="shared" si="496"/>
        <v>0</v>
      </c>
      <c r="AH289" s="24">
        <f t="shared" si="497"/>
        <v>0</v>
      </c>
      <c r="AI289" s="25">
        <f t="shared" si="498"/>
        <v>0</v>
      </c>
      <c r="AJ289" s="24">
        <f t="shared" si="499"/>
        <v>0</v>
      </c>
      <c r="AK289" s="27">
        <f t="shared" si="468"/>
        <v>8.9079809292892831E-2</v>
      </c>
      <c r="AL289" s="41">
        <v>0</v>
      </c>
      <c r="AM289" s="40">
        <v>0</v>
      </c>
      <c r="AN289" s="39">
        <v>0</v>
      </c>
      <c r="AO289" s="40">
        <v>0</v>
      </c>
      <c r="AP289" s="39">
        <v>0</v>
      </c>
      <c r="AQ289" s="40">
        <v>0</v>
      </c>
      <c r="AR289" s="39">
        <v>0</v>
      </c>
      <c r="AS289" s="40">
        <v>0</v>
      </c>
      <c r="AT289" s="39">
        <v>0</v>
      </c>
      <c r="AU289" s="38">
        <v>0</v>
      </c>
      <c r="CS289" s="54" t="s">
        <v>1672</v>
      </c>
      <c r="CT289" s="39">
        <v>0.11213804322720264</v>
      </c>
      <c r="CU289" s="40">
        <v>0.30867830515738132</v>
      </c>
      <c r="CV289" s="39">
        <v>1.0035423189574528</v>
      </c>
      <c r="CW289" s="40">
        <v>0.67972307458088332</v>
      </c>
      <c r="CX289" s="39">
        <v>1.8608494992542197</v>
      </c>
      <c r="CY289" s="40">
        <v>1.6220013905403061</v>
      </c>
      <c r="CZ289" s="39">
        <v>5.6348366585381289</v>
      </c>
      <c r="DA289" s="40">
        <v>8.6212777743130159E-2</v>
      </c>
      <c r="DB289" s="39">
        <v>5.4059338385064534E-2</v>
      </c>
      <c r="DC289" s="38">
        <v>11.362041406383771</v>
      </c>
      <c r="DE289" s="37" t="s">
        <v>1671</v>
      </c>
      <c r="DF289" s="35" t="str">
        <f t="shared" si="469"/>
        <v>IOTMD</v>
      </c>
      <c r="DG289" s="26">
        <f t="shared" si="500"/>
        <v>8.6007813666838406E-2</v>
      </c>
      <c r="DH289" s="25">
        <f t="shared" si="500"/>
        <v>0.23675057446098982</v>
      </c>
      <c r="DI289" s="24">
        <f t="shared" si="500"/>
        <v>0.52916770103658195</v>
      </c>
      <c r="DJ289" s="25">
        <f t="shared" si="500"/>
        <v>0.35841786631494593</v>
      </c>
      <c r="DK289" s="24">
        <f t="shared" si="500"/>
        <v>0.21408559359683282</v>
      </c>
      <c r="DL289" s="25">
        <f t="shared" si="500"/>
        <v>0.18660677859648364</v>
      </c>
      <c r="DM289" s="24">
        <f t="shared" si="500"/>
        <v>0.6482723892221256</v>
      </c>
      <c r="DN289" s="25">
        <f t="shared" si="500"/>
        <v>0</v>
      </c>
      <c r="DO289" s="32">
        <f t="shared" si="500"/>
        <v>0</v>
      </c>
      <c r="DP289" s="26">
        <f t="shared" si="470"/>
        <v>4.9779822820821256E-3</v>
      </c>
      <c r="DQ289" s="25">
        <f t="shared" si="471"/>
        <v>4.9779822820821239E-3</v>
      </c>
      <c r="DR289" s="24">
        <f t="shared" si="472"/>
        <v>4.9308172343268761E-3</v>
      </c>
      <c r="DS289" s="25">
        <f t="shared" si="473"/>
        <v>4.9308172343268753E-3</v>
      </c>
      <c r="DT289" s="24">
        <f t="shared" si="474"/>
        <v>4.7071109390577643E-3</v>
      </c>
      <c r="DU289" s="25">
        <f t="shared" si="475"/>
        <v>4.7071109390577643E-3</v>
      </c>
      <c r="DV289" s="24">
        <f t="shared" si="476"/>
        <v>4.7071109390577652E-3</v>
      </c>
      <c r="DW289" s="25">
        <f t="shared" si="477"/>
        <v>0</v>
      </c>
      <c r="DX289" s="32">
        <f t="shared" si="478"/>
        <v>0</v>
      </c>
      <c r="DZ289" s="54" t="s">
        <v>1670</v>
      </c>
      <c r="EA289" s="39">
        <v>0.15995010324498848</v>
      </c>
      <c r="EB289" s="40">
        <v>0.11509004324851101</v>
      </c>
      <c r="EC289" s="39">
        <v>0.32419401149082011</v>
      </c>
      <c r="ED289" s="40">
        <v>0.32299662408455865</v>
      </c>
      <c r="EE289" s="39">
        <v>0.16319583453578668</v>
      </c>
      <c r="EF289" s="40">
        <v>0.16717001964724224</v>
      </c>
      <c r="EG289" s="39">
        <v>0.15804596182357772</v>
      </c>
      <c r="EH289" s="40">
        <v>0.23199560981322495</v>
      </c>
      <c r="EI289" s="66">
        <v>0.22817588551963675</v>
      </c>
    </row>
    <row r="290" spans="1:139">
      <c r="A290" s="37" t="s">
        <v>1611</v>
      </c>
      <c r="B290" s="36" t="s">
        <v>1136</v>
      </c>
      <c r="C290" s="1" t="s">
        <v>1120</v>
      </c>
      <c r="D290" s="36" t="s">
        <v>1120</v>
      </c>
      <c r="E290" s="36" t="s">
        <v>1669</v>
      </c>
      <c r="F290" s="1" t="e">
        <f t="shared" ca="1" si="439"/>
        <v>#NAME?</v>
      </c>
      <c r="G290" s="35" t="s">
        <v>1121</v>
      </c>
      <c r="H290" s="43">
        <v>1</v>
      </c>
      <c r="I290" s="42">
        <v>0</v>
      </c>
      <c r="J290" s="26">
        <v>7.1753614459847626E-2</v>
      </c>
      <c r="K290" s="25">
        <v>3.6265269475545966E-2</v>
      </c>
      <c r="L290" s="24"/>
      <c r="M290" s="25"/>
      <c r="N290" s="24"/>
      <c r="O290" s="25"/>
      <c r="P290" s="24"/>
      <c r="Q290" s="25"/>
      <c r="R290" s="32"/>
      <c r="S290" s="47">
        <v>1</v>
      </c>
      <c r="T290" s="45">
        <v>1</v>
      </c>
      <c r="U290" s="46">
        <v>1</v>
      </c>
      <c r="V290" s="45">
        <v>1</v>
      </c>
      <c r="W290" s="46">
        <v>1</v>
      </c>
      <c r="X290" s="45">
        <v>1</v>
      </c>
      <c r="Y290" s="46">
        <v>1</v>
      </c>
      <c r="Z290" s="45">
        <v>1</v>
      </c>
      <c r="AA290" s="44">
        <v>1</v>
      </c>
      <c r="AB290" s="26">
        <f t="shared" si="491"/>
        <v>7.1753614459847626E-2</v>
      </c>
      <c r="AC290" s="25">
        <f t="shared" si="492"/>
        <v>3.6265269475545966E-2</v>
      </c>
      <c r="AD290" s="24">
        <f t="shared" si="493"/>
        <v>0</v>
      </c>
      <c r="AE290" s="25">
        <f t="shared" si="494"/>
        <v>0</v>
      </c>
      <c r="AF290" s="24">
        <f t="shared" si="495"/>
        <v>0</v>
      </c>
      <c r="AG290" s="25">
        <f t="shared" si="496"/>
        <v>0</v>
      </c>
      <c r="AH290" s="24">
        <f t="shared" si="497"/>
        <v>0</v>
      </c>
      <c r="AI290" s="25">
        <f t="shared" si="498"/>
        <v>0</v>
      </c>
      <c r="AJ290" s="24">
        <f t="shared" si="499"/>
        <v>0</v>
      </c>
      <c r="AK290" s="27">
        <f t="shared" si="468"/>
        <v>0.10801888393539359</v>
      </c>
      <c r="AL290" s="41">
        <v>0</v>
      </c>
      <c r="AM290" s="40">
        <v>0</v>
      </c>
      <c r="AN290" s="39">
        <v>0</v>
      </c>
      <c r="AO290" s="40">
        <v>0</v>
      </c>
      <c r="AP290" s="39">
        <v>0</v>
      </c>
      <c r="AQ290" s="40">
        <v>0</v>
      </c>
      <c r="AR290" s="39">
        <v>0</v>
      </c>
      <c r="AS290" s="40">
        <v>0</v>
      </c>
      <c r="AT290" s="39">
        <v>0</v>
      </c>
      <c r="AU290" s="38">
        <v>0</v>
      </c>
      <c r="CS290" s="54" t="s">
        <v>1668</v>
      </c>
      <c r="CT290" s="39">
        <v>0.12459782580800292</v>
      </c>
      <c r="CU290" s="40">
        <v>0.34297589461931255</v>
      </c>
      <c r="CV290" s="39">
        <v>1.1150470210638364</v>
      </c>
      <c r="CW290" s="40">
        <v>0.75524786064542593</v>
      </c>
      <c r="CX290" s="39">
        <v>2.0676105547269108</v>
      </c>
      <c r="CY290" s="40">
        <v>1.8022237672670067</v>
      </c>
      <c r="CZ290" s="39">
        <v>6.2609296205979206</v>
      </c>
      <c r="DA290" s="40">
        <v>9.5791975270144616E-2</v>
      </c>
      <c r="DB290" s="39">
        <v>6.0065931538960594E-2</v>
      </c>
      <c r="DC290" s="38">
        <v>12.624490451537522</v>
      </c>
      <c r="DE290" s="37" t="s">
        <v>1667</v>
      </c>
      <c r="DF290" s="35" t="str">
        <f t="shared" si="469"/>
        <v>ICTMD</v>
      </c>
      <c r="DG290" s="26">
        <f t="shared" si="500"/>
        <v>2.0293079144161192E-2</v>
      </c>
      <c r="DH290" s="25">
        <f t="shared" si="500"/>
        <v>5.5860019457917021E-2</v>
      </c>
      <c r="DI290" s="24">
        <f t="shared" si="500"/>
        <v>4.5401549547857807E-2</v>
      </c>
      <c r="DJ290" s="25">
        <f t="shared" si="500"/>
        <v>3.0751549054220416E-2</v>
      </c>
      <c r="DK290" s="24">
        <f t="shared" si="500"/>
        <v>3.1084516693325126E-2</v>
      </c>
      <c r="DL290" s="25">
        <f t="shared" si="500"/>
        <v>2.7094684078993694E-2</v>
      </c>
      <c r="DM290" s="24">
        <f t="shared" si="500"/>
        <v>9.412699643183764E-2</v>
      </c>
      <c r="DN290" s="25">
        <f t="shared" si="500"/>
        <v>4.6804527838102579E-2</v>
      </c>
      <c r="DO290" s="32">
        <f t="shared" si="500"/>
        <v>2.9348570763975651E-2</v>
      </c>
      <c r="DP290" s="26">
        <f t="shared" si="470"/>
        <v>4.5136435431352116E-3</v>
      </c>
      <c r="DQ290" s="25">
        <f t="shared" si="471"/>
        <v>4.5136435431352134E-3</v>
      </c>
      <c r="DR290" s="24">
        <f t="shared" si="472"/>
        <v>3.1629069234161006E-3</v>
      </c>
      <c r="DS290" s="25">
        <f t="shared" si="473"/>
        <v>3.1629069234161006E-3</v>
      </c>
      <c r="DT290" s="24">
        <f t="shared" si="474"/>
        <v>9.3866546558713758E-3</v>
      </c>
      <c r="DU290" s="25">
        <f t="shared" si="475"/>
        <v>9.3866546558713723E-3</v>
      </c>
      <c r="DV290" s="24">
        <f t="shared" si="476"/>
        <v>9.3866546558713723E-3</v>
      </c>
      <c r="DW290" s="25">
        <f t="shared" si="477"/>
        <v>1.609982673054336E-2</v>
      </c>
      <c r="DX290" s="32">
        <f t="shared" si="478"/>
        <v>1.6099826730543356E-2</v>
      </c>
      <c r="DZ290" s="54" t="s">
        <v>1666</v>
      </c>
      <c r="EA290" s="39">
        <v>5.7748893643866078E-3</v>
      </c>
      <c r="EB290" s="40">
        <v>4.1552475004322633E-3</v>
      </c>
      <c r="EC290" s="39">
        <v>5.0199663218462781E-2</v>
      </c>
      <c r="ED290" s="40">
        <v>5.0014254350914798E-2</v>
      </c>
      <c r="EE290" s="39">
        <v>1.8491264810617941E-2</v>
      </c>
      <c r="EF290" s="40">
        <v>1.894156864043919E-2</v>
      </c>
      <c r="EG290" s="39">
        <v>1.7907747098089875E-2</v>
      </c>
      <c r="EH290" s="40">
        <v>1.9136037229343619E-2</v>
      </c>
      <c r="EI290" s="66">
        <v>1.8820969257381654E-2</v>
      </c>
    </row>
    <row r="291" spans="1:139">
      <c r="A291" s="37" t="s">
        <v>1611</v>
      </c>
      <c r="B291" s="36" t="s">
        <v>1136</v>
      </c>
      <c r="C291" s="1" t="s">
        <v>1126</v>
      </c>
      <c r="D291" s="36" t="s">
        <v>1126</v>
      </c>
      <c r="E291" s="36" t="s">
        <v>1665</v>
      </c>
      <c r="F291" s="1" t="e">
        <f t="shared" ca="1" si="439"/>
        <v>#NAME?</v>
      </c>
      <c r="G291" s="35" t="s">
        <v>1121</v>
      </c>
      <c r="H291" s="43">
        <v>1</v>
      </c>
      <c r="I291" s="42">
        <v>0</v>
      </c>
      <c r="J291" s="26">
        <v>6.5073167623738986</v>
      </c>
      <c r="K291" s="25">
        <v>2.4491718567399032</v>
      </c>
      <c r="L291" s="24"/>
      <c r="M291" s="25"/>
      <c r="N291" s="24"/>
      <c r="O291" s="25"/>
      <c r="P291" s="24"/>
      <c r="Q291" s="25"/>
      <c r="R291" s="32"/>
      <c r="S291" s="47">
        <v>1</v>
      </c>
      <c r="T291" s="45">
        <v>1</v>
      </c>
      <c r="U291" s="46">
        <v>1</v>
      </c>
      <c r="V291" s="45">
        <v>1</v>
      </c>
      <c r="W291" s="46">
        <v>1</v>
      </c>
      <c r="X291" s="45">
        <v>1</v>
      </c>
      <c r="Y291" s="46">
        <v>1</v>
      </c>
      <c r="Z291" s="45">
        <v>1</v>
      </c>
      <c r="AA291" s="44">
        <v>1</v>
      </c>
      <c r="AB291" s="26">
        <f t="shared" si="491"/>
        <v>6.5073167623738986</v>
      </c>
      <c r="AC291" s="25">
        <f t="shared" si="492"/>
        <v>2.4491718567399032</v>
      </c>
      <c r="AD291" s="24">
        <f t="shared" si="493"/>
        <v>0</v>
      </c>
      <c r="AE291" s="25">
        <f t="shared" si="494"/>
        <v>0</v>
      </c>
      <c r="AF291" s="24">
        <f t="shared" si="495"/>
        <v>0</v>
      </c>
      <c r="AG291" s="25">
        <f t="shared" si="496"/>
        <v>0</v>
      </c>
      <c r="AH291" s="24">
        <f t="shared" si="497"/>
        <v>0</v>
      </c>
      <c r="AI291" s="25">
        <f t="shared" si="498"/>
        <v>0</v>
      </c>
      <c r="AJ291" s="24">
        <f t="shared" si="499"/>
        <v>0</v>
      </c>
      <c r="AK291" s="27">
        <f t="shared" si="468"/>
        <v>8.9564886191138022</v>
      </c>
      <c r="AL291" s="41">
        <v>0</v>
      </c>
      <c r="AM291" s="40">
        <v>0</v>
      </c>
      <c r="AN291" s="39">
        <v>0</v>
      </c>
      <c r="AO291" s="40">
        <v>0</v>
      </c>
      <c r="AP291" s="39">
        <v>0</v>
      </c>
      <c r="AQ291" s="40">
        <v>0</v>
      </c>
      <c r="AR291" s="39">
        <v>0</v>
      </c>
      <c r="AS291" s="40">
        <v>0</v>
      </c>
      <c r="AT291" s="39">
        <v>0</v>
      </c>
      <c r="AU291" s="38">
        <v>0</v>
      </c>
      <c r="CS291" s="54" t="s">
        <v>1664</v>
      </c>
      <c r="CT291" s="39">
        <v>1.2244090094913175E-2</v>
      </c>
      <c r="CU291" s="40">
        <v>3.3703860616102178E-2</v>
      </c>
      <c r="CV291" s="39">
        <v>9.3138268527710191E-2</v>
      </c>
      <c r="CW291" s="40">
        <v>6.3084763889742032E-2</v>
      </c>
      <c r="CX291" s="39">
        <v>0.5870390941514485</v>
      </c>
      <c r="CY291" s="40">
        <v>0.51169007885741391</v>
      </c>
      <c r="CZ291" s="39">
        <v>1.7776125415006994</v>
      </c>
      <c r="DA291" s="40">
        <v>5.6480226744149691E-3</v>
      </c>
      <c r="DB291" s="39">
        <v>3.5415674677881028E-3</v>
      </c>
      <c r="DC291" s="38">
        <v>3.0877022877802327</v>
      </c>
      <c r="DE291" s="37" t="s">
        <v>1663</v>
      </c>
      <c r="DF291" s="35" t="str">
        <f t="shared" si="469"/>
        <v>ICTMD</v>
      </c>
      <c r="DG291" s="26">
        <f t="shared" si="500"/>
        <v>2.9653122814806885</v>
      </c>
      <c r="DH291" s="25">
        <f t="shared" si="500"/>
        <v>8.1625070579774892</v>
      </c>
      <c r="DI291" s="24">
        <f t="shared" si="500"/>
        <v>10.68854661118497</v>
      </c>
      <c r="DJ291" s="25">
        <f t="shared" si="500"/>
        <v>7.239606769053208</v>
      </c>
      <c r="DK291" s="24">
        <f t="shared" si="500"/>
        <v>3.2804804479218039</v>
      </c>
      <c r="DL291" s="25">
        <f t="shared" si="500"/>
        <v>2.8594165462074974</v>
      </c>
      <c r="DM291" s="24">
        <f t="shared" si="500"/>
        <v>9.9336198295325122</v>
      </c>
      <c r="DN291" s="25">
        <f t="shared" si="500"/>
        <v>2.2797598504933894</v>
      </c>
      <c r="DO291" s="32">
        <f t="shared" si="500"/>
        <v>1.429513262659337</v>
      </c>
      <c r="DP291" s="26">
        <f t="shared" si="470"/>
        <v>0.65955306918200518</v>
      </c>
      <c r="DQ291" s="25">
        <f t="shared" si="471"/>
        <v>0.65955306918200518</v>
      </c>
      <c r="DR291" s="24">
        <f t="shared" si="472"/>
        <v>0.74461947696601816</v>
      </c>
      <c r="DS291" s="25">
        <f t="shared" si="473"/>
        <v>0.74461947696601816</v>
      </c>
      <c r="DT291" s="24">
        <f t="shared" si="474"/>
        <v>0.9906133453441287</v>
      </c>
      <c r="DU291" s="25">
        <f t="shared" si="475"/>
        <v>0.99061334534412859</v>
      </c>
      <c r="DV291" s="24">
        <f t="shared" si="476"/>
        <v>0.99061334534412859</v>
      </c>
      <c r="DW291" s="25">
        <f t="shared" si="477"/>
        <v>0.7841920488366354</v>
      </c>
      <c r="DX291" s="32">
        <f t="shared" si="478"/>
        <v>0.78419204883663529</v>
      </c>
      <c r="DZ291" s="54" t="s">
        <v>1662</v>
      </c>
      <c r="EA291" s="39">
        <v>0.17526579201604914</v>
      </c>
      <c r="EB291" s="40">
        <v>0.12611025047114893</v>
      </c>
      <c r="EC291" s="39">
        <v>0.37695872714949358</v>
      </c>
      <c r="ED291" s="40">
        <v>0.3755664570378604</v>
      </c>
      <c r="EE291" s="39">
        <v>0.1320168638255661</v>
      </c>
      <c r="EF291" s="40">
        <v>0.13523177097175043</v>
      </c>
      <c r="EG291" s="39">
        <v>0.12785088712339968</v>
      </c>
      <c r="EH291" s="40">
        <v>0.16964123882875901</v>
      </c>
      <c r="EI291" s="66">
        <v>0.16684815683177509</v>
      </c>
    </row>
    <row r="292" spans="1:139">
      <c r="A292" s="37" t="s">
        <v>1611</v>
      </c>
      <c r="B292" s="36" t="s">
        <v>1136</v>
      </c>
      <c r="C292" s="1" t="s">
        <v>665</v>
      </c>
      <c r="D292" s="36" t="s">
        <v>665</v>
      </c>
      <c r="E292" s="36" t="s">
        <v>1661</v>
      </c>
      <c r="F292" s="1" t="e">
        <f t="shared" ref="F292:F336" ca="1" si="501">EndUse(A292,B292,C292,G292)</f>
        <v>#NAME?</v>
      </c>
      <c r="G292" s="35" t="s">
        <v>1121</v>
      </c>
      <c r="H292" s="43">
        <v>1</v>
      </c>
      <c r="I292" s="42">
        <v>0</v>
      </c>
      <c r="J292" s="26">
        <v>0.35549374128833505</v>
      </c>
      <c r="K292" s="25">
        <v>0.11327113478972824</v>
      </c>
      <c r="L292" s="24"/>
      <c r="M292" s="25"/>
      <c r="N292" s="24"/>
      <c r="O292" s="25"/>
      <c r="P292" s="24"/>
      <c r="Q292" s="25"/>
      <c r="R292" s="32"/>
      <c r="S292" s="47">
        <v>1</v>
      </c>
      <c r="T292" s="45">
        <v>1</v>
      </c>
      <c r="U292" s="46">
        <v>1</v>
      </c>
      <c r="V292" s="45">
        <v>1</v>
      </c>
      <c r="W292" s="46">
        <v>1</v>
      </c>
      <c r="X292" s="45">
        <v>1</v>
      </c>
      <c r="Y292" s="46">
        <v>1</v>
      </c>
      <c r="Z292" s="45">
        <v>1</v>
      </c>
      <c r="AA292" s="44">
        <v>1</v>
      </c>
      <c r="AB292" s="26">
        <f t="shared" si="491"/>
        <v>0.35549374128833505</v>
      </c>
      <c r="AC292" s="25">
        <f t="shared" si="492"/>
        <v>0.11327113478972824</v>
      </c>
      <c r="AD292" s="24">
        <f t="shared" si="493"/>
        <v>0</v>
      </c>
      <c r="AE292" s="25">
        <f t="shared" si="494"/>
        <v>0</v>
      </c>
      <c r="AF292" s="24">
        <f t="shared" si="495"/>
        <v>0</v>
      </c>
      <c r="AG292" s="25">
        <f t="shared" si="496"/>
        <v>0</v>
      </c>
      <c r="AH292" s="24">
        <f t="shared" si="497"/>
        <v>0</v>
      </c>
      <c r="AI292" s="25">
        <f t="shared" si="498"/>
        <v>0</v>
      </c>
      <c r="AJ292" s="24">
        <f t="shared" si="499"/>
        <v>0</v>
      </c>
      <c r="AK292" s="27">
        <f t="shared" si="468"/>
        <v>0.46876487607806328</v>
      </c>
      <c r="AL292" s="41">
        <v>0</v>
      </c>
      <c r="AM292" s="40">
        <v>0</v>
      </c>
      <c r="AN292" s="39">
        <v>0</v>
      </c>
      <c r="AO292" s="40">
        <v>0</v>
      </c>
      <c r="AP292" s="39">
        <v>0</v>
      </c>
      <c r="AQ292" s="40">
        <v>0</v>
      </c>
      <c r="AR292" s="39">
        <v>0</v>
      </c>
      <c r="AS292" s="40">
        <v>0</v>
      </c>
      <c r="AT292" s="39">
        <v>0</v>
      </c>
      <c r="AU292" s="38">
        <v>0</v>
      </c>
      <c r="CS292" s="54" t="s">
        <v>1660</v>
      </c>
      <c r="CT292" s="39">
        <v>2.2655034990113574</v>
      </c>
      <c r="CU292" s="40">
        <v>6.2361689242790588</v>
      </c>
      <c r="CV292" s="39">
        <v>64.62456732362125</v>
      </c>
      <c r="CW292" s="40">
        <v>43.771756073331559</v>
      </c>
      <c r="CX292" s="39">
        <v>135.77357643026176</v>
      </c>
      <c r="CY292" s="40">
        <v>118.34644868205382</v>
      </c>
      <c r="CZ292" s="39">
        <v>411.13584201015948</v>
      </c>
      <c r="DA292" s="40">
        <v>0</v>
      </c>
      <c r="DB292" s="39">
        <v>0</v>
      </c>
      <c r="DC292" s="38">
        <v>782.15386294271821</v>
      </c>
      <c r="DE292" s="37" t="s">
        <v>1659</v>
      </c>
      <c r="DF292" s="35" t="str">
        <f t="shared" si="469"/>
        <v>ICTMD</v>
      </c>
      <c r="DG292" s="26">
        <f t="shared" si="500"/>
        <v>1.5103365431227072</v>
      </c>
      <c r="DH292" s="25">
        <f t="shared" si="500"/>
        <v>4.157448363922243</v>
      </c>
      <c r="DI292" s="24">
        <f t="shared" si="500"/>
        <v>3.620426042230382</v>
      </c>
      <c r="DJ292" s="25">
        <f t="shared" si="500"/>
        <v>2.4522006438892077</v>
      </c>
      <c r="DK292" s="24">
        <f t="shared" si="500"/>
        <v>0</v>
      </c>
      <c r="DL292" s="25">
        <f t="shared" si="500"/>
        <v>0</v>
      </c>
      <c r="DM292" s="24">
        <f t="shared" si="500"/>
        <v>0</v>
      </c>
      <c r="DN292" s="25">
        <f t="shared" si="500"/>
        <v>0.58058043890487121</v>
      </c>
      <c r="DO292" s="32">
        <f t="shared" si="500"/>
        <v>0.36405037893595404</v>
      </c>
      <c r="DP292" s="26">
        <f t="shared" si="470"/>
        <v>0.3359332872748596</v>
      </c>
      <c r="DQ292" s="25">
        <f t="shared" si="471"/>
        <v>0.33593328727485966</v>
      </c>
      <c r="DR292" s="24">
        <f t="shared" si="472"/>
        <v>0.25221761611056565</v>
      </c>
      <c r="DS292" s="25">
        <f t="shared" si="473"/>
        <v>0.2522176161105657</v>
      </c>
      <c r="DT292" s="24">
        <f t="shared" si="474"/>
        <v>0</v>
      </c>
      <c r="DU292" s="25">
        <f t="shared" si="475"/>
        <v>0</v>
      </c>
      <c r="DV292" s="24">
        <f t="shared" si="476"/>
        <v>0</v>
      </c>
      <c r="DW292" s="25">
        <f t="shared" si="477"/>
        <v>0.19970812443282135</v>
      </c>
      <c r="DX292" s="32">
        <f t="shared" si="478"/>
        <v>0.19970812443282132</v>
      </c>
      <c r="DZ292" s="54" t="s">
        <v>1658</v>
      </c>
      <c r="EA292" s="39">
        <v>0</v>
      </c>
      <c r="EB292" s="40">
        <v>0</v>
      </c>
      <c r="EC292" s="39">
        <v>1.9198941538222251E-4</v>
      </c>
      <c r="ED292" s="40">
        <v>1.9128031620097287E-4</v>
      </c>
      <c r="EE292" s="39">
        <v>0</v>
      </c>
      <c r="EF292" s="40">
        <v>0</v>
      </c>
      <c r="EG292" s="39">
        <v>0</v>
      </c>
      <c r="EH292" s="40">
        <v>0</v>
      </c>
      <c r="EI292" s="66">
        <v>0</v>
      </c>
    </row>
    <row r="293" spans="1:139">
      <c r="A293" s="37" t="s">
        <v>1611</v>
      </c>
      <c r="B293" s="36" t="s">
        <v>1129</v>
      </c>
      <c r="C293" s="1" t="s">
        <v>665</v>
      </c>
      <c r="D293" s="36" t="s">
        <v>665</v>
      </c>
      <c r="E293" s="36" t="s">
        <v>1657</v>
      </c>
      <c r="F293" s="1" t="e">
        <f t="shared" ca="1" si="501"/>
        <v>#NAME?</v>
      </c>
      <c r="G293" s="35" t="s">
        <v>1121</v>
      </c>
      <c r="H293" s="43">
        <v>1</v>
      </c>
      <c r="I293" s="42">
        <v>0</v>
      </c>
      <c r="J293" s="26">
        <v>0.39499304587592782</v>
      </c>
      <c r="K293" s="25">
        <v>0.1258568164330314</v>
      </c>
      <c r="L293" s="24"/>
      <c r="M293" s="25"/>
      <c r="N293" s="24"/>
      <c r="O293" s="25"/>
      <c r="P293" s="24"/>
      <c r="Q293" s="25"/>
      <c r="R293" s="32"/>
      <c r="S293" s="47">
        <v>1</v>
      </c>
      <c r="T293" s="45">
        <v>1</v>
      </c>
      <c r="U293" s="46">
        <v>1</v>
      </c>
      <c r="V293" s="45">
        <v>1</v>
      </c>
      <c r="W293" s="46">
        <v>1</v>
      </c>
      <c r="X293" s="45">
        <v>1</v>
      </c>
      <c r="Y293" s="46">
        <v>1</v>
      </c>
      <c r="Z293" s="45">
        <v>1</v>
      </c>
      <c r="AA293" s="44">
        <v>1</v>
      </c>
      <c r="AB293" s="26">
        <f t="shared" si="491"/>
        <v>0.39499304587592782</v>
      </c>
      <c r="AC293" s="25">
        <f t="shared" si="492"/>
        <v>0.1258568164330314</v>
      </c>
      <c r="AD293" s="24">
        <f t="shared" si="493"/>
        <v>0</v>
      </c>
      <c r="AE293" s="25">
        <f t="shared" si="494"/>
        <v>0</v>
      </c>
      <c r="AF293" s="24">
        <f t="shared" si="495"/>
        <v>0</v>
      </c>
      <c r="AG293" s="25">
        <f t="shared" si="496"/>
        <v>0</v>
      </c>
      <c r="AH293" s="24">
        <f t="shared" si="497"/>
        <v>0</v>
      </c>
      <c r="AI293" s="25">
        <f t="shared" si="498"/>
        <v>0</v>
      </c>
      <c r="AJ293" s="24">
        <f t="shared" si="499"/>
        <v>0</v>
      </c>
      <c r="AK293" s="27">
        <f t="shared" si="468"/>
        <v>0.52084986230895924</v>
      </c>
      <c r="AL293" s="41">
        <v>0</v>
      </c>
      <c r="AM293" s="40">
        <v>0</v>
      </c>
      <c r="AN293" s="39">
        <v>0</v>
      </c>
      <c r="AO293" s="40">
        <v>0</v>
      </c>
      <c r="AP293" s="39">
        <v>0</v>
      </c>
      <c r="AQ293" s="40">
        <v>0</v>
      </c>
      <c r="AR293" s="39">
        <v>0</v>
      </c>
      <c r="AS293" s="40">
        <v>0</v>
      </c>
      <c r="AT293" s="39">
        <v>0</v>
      </c>
      <c r="AU293" s="38">
        <v>0</v>
      </c>
      <c r="CS293" s="54" t="s">
        <v>1656</v>
      </c>
      <c r="CT293" s="39">
        <v>0</v>
      </c>
      <c r="CU293" s="40">
        <v>0</v>
      </c>
      <c r="CV293" s="39">
        <v>0</v>
      </c>
      <c r="CW293" s="40">
        <v>0</v>
      </c>
      <c r="CX293" s="39">
        <v>4.1542695091437949</v>
      </c>
      <c r="CY293" s="40">
        <v>3.6210509894598881</v>
      </c>
      <c r="CZ293" s="39">
        <v>12.579539682791234</v>
      </c>
      <c r="DA293" s="40">
        <v>0</v>
      </c>
      <c r="DB293" s="39">
        <v>0</v>
      </c>
      <c r="DC293" s="38">
        <v>20.354860181394919</v>
      </c>
      <c r="DE293" s="37" t="s">
        <v>1655</v>
      </c>
      <c r="DF293" s="35" t="str">
        <f t="shared" si="469"/>
        <v>IMOMD</v>
      </c>
      <c r="DG293" s="26">
        <f t="shared" si="500"/>
        <v>4.7350518003042776E-2</v>
      </c>
      <c r="DH293" s="25">
        <f t="shared" si="500"/>
        <v>0.13034004540180635</v>
      </c>
      <c r="DI293" s="24">
        <f t="shared" si="500"/>
        <v>0.10593694894500152</v>
      </c>
      <c r="DJ293" s="25">
        <f t="shared" si="500"/>
        <v>7.1753614459847626E-2</v>
      </c>
      <c r="DK293" s="24">
        <f t="shared" si="500"/>
        <v>3.6265269475545966E-2</v>
      </c>
      <c r="DL293" s="25">
        <f t="shared" si="500"/>
        <v>3.1610464758825972E-2</v>
      </c>
      <c r="DM293" s="24">
        <f t="shared" si="500"/>
        <v>0.10981482917047722</v>
      </c>
      <c r="DN293" s="25">
        <f t="shared" si="500"/>
        <v>0</v>
      </c>
      <c r="DO293" s="32">
        <f t="shared" si="500"/>
        <v>0</v>
      </c>
      <c r="DP293" s="26">
        <f t="shared" si="470"/>
        <v>3.314766416658424E-2</v>
      </c>
      <c r="DQ293" s="25">
        <f t="shared" si="471"/>
        <v>3.3147664166584247E-2</v>
      </c>
      <c r="DR293" s="24">
        <f t="shared" si="472"/>
        <v>1.0347242196857632E-2</v>
      </c>
      <c r="DS293" s="25">
        <f t="shared" si="473"/>
        <v>1.0347242196857632E-2</v>
      </c>
      <c r="DT293" s="24">
        <f t="shared" si="474"/>
        <v>1.395511378469186E-2</v>
      </c>
      <c r="DU293" s="25">
        <f t="shared" si="475"/>
        <v>1.3955113784691863E-2</v>
      </c>
      <c r="DV293" s="24">
        <f t="shared" si="476"/>
        <v>1.3955113784691862E-2</v>
      </c>
      <c r="DW293" s="25">
        <f t="shared" si="477"/>
        <v>0</v>
      </c>
      <c r="DX293" s="32">
        <f t="shared" si="478"/>
        <v>0</v>
      </c>
      <c r="DZ293" s="54" t="s">
        <v>1654</v>
      </c>
      <c r="EA293" s="39">
        <v>0</v>
      </c>
      <c r="EB293" s="40">
        <v>3.0359226971155371E-2</v>
      </c>
      <c r="EC293" s="39">
        <v>1.6229423653227427E-2</v>
      </c>
      <c r="ED293" s="40">
        <v>1.6169481437133142E-2</v>
      </c>
      <c r="EE293" s="39">
        <v>2.2815562250097107E-2</v>
      </c>
      <c r="EF293" s="40">
        <v>2.3371172435012334E-2</v>
      </c>
      <c r="EG293" s="39">
        <v>2.2095585286348599E-2</v>
      </c>
      <c r="EH293" s="40">
        <v>2.8467019466039901E-2</v>
      </c>
      <c r="EI293" s="66">
        <v>2.7998320226825753E-2</v>
      </c>
    </row>
    <row r="294" spans="1:139">
      <c r="A294" s="37" t="s">
        <v>1611</v>
      </c>
      <c r="B294" s="36" t="s">
        <v>1129</v>
      </c>
      <c r="C294" s="1" t="s">
        <v>1197</v>
      </c>
      <c r="D294" s="36" t="s">
        <v>1197</v>
      </c>
      <c r="E294" s="36" t="s">
        <v>1653</v>
      </c>
      <c r="F294" s="1" t="e">
        <f t="shared" ca="1" si="501"/>
        <v>#NAME?</v>
      </c>
      <c r="G294" s="35" t="s">
        <v>1121</v>
      </c>
      <c r="H294" s="43">
        <v>1</v>
      </c>
      <c r="I294" s="42">
        <v>0</v>
      </c>
      <c r="J294" s="26">
        <v>0</v>
      </c>
      <c r="K294" s="25">
        <v>2.4767218165888491E-2</v>
      </c>
      <c r="L294" s="24"/>
      <c r="M294" s="25"/>
      <c r="N294" s="24"/>
      <c r="O294" s="25"/>
      <c r="P294" s="24"/>
      <c r="Q294" s="25"/>
      <c r="R294" s="32"/>
      <c r="S294" s="47">
        <v>1</v>
      </c>
      <c r="T294" s="45">
        <v>1</v>
      </c>
      <c r="U294" s="46">
        <v>1</v>
      </c>
      <c r="V294" s="45">
        <v>1</v>
      </c>
      <c r="W294" s="46">
        <v>1</v>
      </c>
      <c r="X294" s="45">
        <v>1</v>
      </c>
      <c r="Y294" s="46">
        <v>1</v>
      </c>
      <c r="Z294" s="45">
        <v>1</v>
      </c>
      <c r="AA294" s="44">
        <v>1</v>
      </c>
      <c r="AB294" s="26">
        <f t="shared" si="491"/>
        <v>0</v>
      </c>
      <c r="AC294" s="25">
        <f t="shared" si="492"/>
        <v>2.4767218165888491E-2</v>
      </c>
      <c r="AD294" s="24">
        <f t="shared" si="493"/>
        <v>0</v>
      </c>
      <c r="AE294" s="25">
        <f t="shared" si="494"/>
        <v>0</v>
      </c>
      <c r="AF294" s="24">
        <f t="shared" si="495"/>
        <v>0</v>
      </c>
      <c r="AG294" s="25">
        <f t="shared" si="496"/>
        <v>0</v>
      </c>
      <c r="AH294" s="24">
        <f t="shared" si="497"/>
        <v>0</v>
      </c>
      <c r="AI294" s="25">
        <f t="shared" si="498"/>
        <v>0</v>
      </c>
      <c r="AJ294" s="24">
        <f t="shared" si="499"/>
        <v>0</v>
      </c>
      <c r="AK294" s="27">
        <f t="shared" si="468"/>
        <v>2.4767218165888491E-2</v>
      </c>
      <c r="AL294" s="41">
        <v>0</v>
      </c>
      <c r="AM294" s="40">
        <v>0</v>
      </c>
      <c r="AN294" s="39">
        <v>0</v>
      </c>
      <c r="AO294" s="40">
        <v>0</v>
      </c>
      <c r="AP294" s="39">
        <v>0</v>
      </c>
      <c r="AQ294" s="40">
        <v>0</v>
      </c>
      <c r="AR294" s="39">
        <v>0</v>
      </c>
      <c r="AS294" s="40">
        <v>0</v>
      </c>
      <c r="AT294" s="39">
        <v>0</v>
      </c>
      <c r="AU294" s="38">
        <v>0</v>
      </c>
      <c r="CS294" s="54" t="s">
        <v>1652</v>
      </c>
      <c r="CT294" s="39">
        <v>0.86751689162946188</v>
      </c>
      <c r="CU294" s="40">
        <v>2.3879821343148109</v>
      </c>
      <c r="CV294" s="39">
        <v>24.746332897721008</v>
      </c>
      <c r="CW294" s="40">
        <v>16.761279683068484</v>
      </c>
      <c r="CX294" s="39">
        <v>53.08167844788975</v>
      </c>
      <c r="CY294" s="40">
        <v>46.26841466179647</v>
      </c>
      <c r="CZ294" s="39">
        <v>160.73658172505441</v>
      </c>
      <c r="DA294" s="40">
        <v>0</v>
      </c>
      <c r="DB294" s="39">
        <v>0</v>
      </c>
      <c r="DC294" s="38">
        <v>304.84978644147441</v>
      </c>
      <c r="DE294" s="37" t="s">
        <v>1651</v>
      </c>
      <c r="DF294" s="35" t="str">
        <f t="shared" si="469"/>
        <v>IMOMD</v>
      </c>
      <c r="DG294" s="26">
        <f t="shared" si="500"/>
        <v>1.2791252652713128</v>
      </c>
      <c r="DH294" s="25">
        <f t="shared" si="500"/>
        <v>3.5210015049750218</v>
      </c>
      <c r="DI294" s="24">
        <f t="shared" si="500"/>
        <v>9.6073945377388057</v>
      </c>
      <c r="DJ294" s="25">
        <f t="shared" si="500"/>
        <v>6.5073167623738986</v>
      </c>
      <c r="DK294" s="24">
        <f t="shared" si="500"/>
        <v>2.4491718567399032</v>
      </c>
      <c r="DL294" s="25">
        <f t="shared" si="500"/>
        <v>2.1348100203140583</v>
      </c>
      <c r="DM294" s="24">
        <f t="shared" si="500"/>
        <v>7.4163350485618826</v>
      </c>
      <c r="DN294" s="25">
        <f t="shared" si="500"/>
        <v>3.1609397643212849</v>
      </c>
      <c r="DO294" s="32">
        <f t="shared" si="500"/>
        <v>1.9820532037997916</v>
      </c>
      <c r="DP294" s="26">
        <f t="shared" si="470"/>
        <v>0.89544986007295224</v>
      </c>
      <c r="DQ294" s="25">
        <f t="shared" si="471"/>
        <v>0.89544986007295224</v>
      </c>
      <c r="DR294" s="24">
        <f t="shared" si="472"/>
        <v>0.93838872228008419</v>
      </c>
      <c r="DS294" s="25">
        <f t="shared" si="473"/>
        <v>0.93838872228008419</v>
      </c>
      <c r="DT294" s="24">
        <f t="shared" si="474"/>
        <v>0.94245740989508608</v>
      </c>
      <c r="DU294" s="25">
        <f t="shared" si="475"/>
        <v>0.94245740989508642</v>
      </c>
      <c r="DV294" s="24">
        <f t="shared" si="476"/>
        <v>0.9424574098950862</v>
      </c>
      <c r="DW294" s="25">
        <f t="shared" si="477"/>
        <v>0.92432923112510834</v>
      </c>
      <c r="DX294" s="32">
        <f t="shared" si="478"/>
        <v>0.92432923112510834</v>
      </c>
      <c r="DZ294" s="54" t="s">
        <v>1650</v>
      </c>
      <c r="EA294" s="39">
        <v>2.4845496373690042E-2</v>
      </c>
      <c r="EB294" s="40">
        <v>1.7877257933363061E-2</v>
      </c>
      <c r="EC294" s="39">
        <v>0</v>
      </c>
      <c r="ED294" s="40">
        <v>0</v>
      </c>
      <c r="EE294" s="39">
        <v>5.4242438545119105E-3</v>
      </c>
      <c r="EF294" s="40">
        <v>5.5563363753095441E-3</v>
      </c>
      <c r="EG294" s="39">
        <v>5.2530742564019014E-3</v>
      </c>
      <c r="EH294" s="40">
        <v>0</v>
      </c>
      <c r="EI294" s="66">
        <v>0</v>
      </c>
    </row>
    <row r="295" spans="1:139">
      <c r="A295" s="37" t="s">
        <v>1611</v>
      </c>
      <c r="B295" s="36" t="s">
        <v>1129</v>
      </c>
      <c r="C295" s="1" t="s">
        <v>468</v>
      </c>
      <c r="D295" s="36" t="s">
        <v>468</v>
      </c>
      <c r="E295" s="36" t="s">
        <v>1649</v>
      </c>
      <c r="F295" s="1" t="e">
        <f t="shared" ca="1" si="501"/>
        <v>#NAME?</v>
      </c>
      <c r="G295" s="35" t="s">
        <v>1121</v>
      </c>
      <c r="H295" s="43">
        <v>1</v>
      </c>
      <c r="I295" s="42">
        <v>0</v>
      </c>
      <c r="J295" s="26">
        <v>2.178420076920931</v>
      </c>
      <c r="K295" s="25">
        <v>1.3912166134250004</v>
      </c>
      <c r="L295" s="24"/>
      <c r="M295" s="25"/>
      <c r="N295" s="24"/>
      <c r="O295" s="25"/>
      <c r="P295" s="24"/>
      <c r="Q295" s="25"/>
      <c r="R295" s="32"/>
      <c r="S295" s="47">
        <v>1</v>
      </c>
      <c r="T295" s="45">
        <v>1</v>
      </c>
      <c r="U295" s="46">
        <v>1</v>
      </c>
      <c r="V295" s="45">
        <v>1</v>
      </c>
      <c r="W295" s="46">
        <v>1</v>
      </c>
      <c r="X295" s="45">
        <v>1</v>
      </c>
      <c r="Y295" s="46">
        <v>1</v>
      </c>
      <c r="Z295" s="45">
        <v>1</v>
      </c>
      <c r="AA295" s="44">
        <v>1</v>
      </c>
      <c r="AB295" s="26">
        <f t="shared" si="491"/>
        <v>2.178420076920931</v>
      </c>
      <c r="AC295" s="25">
        <f t="shared" si="492"/>
        <v>1.3912166134250004</v>
      </c>
      <c r="AD295" s="24">
        <f t="shared" si="493"/>
        <v>0</v>
      </c>
      <c r="AE295" s="25">
        <f t="shared" si="494"/>
        <v>0</v>
      </c>
      <c r="AF295" s="24">
        <f t="shared" si="495"/>
        <v>0</v>
      </c>
      <c r="AG295" s="25">
        <f t="shared" si="496"/>
        <v>0</v>
      </c>
      <c r="AH295" s="24">
        <f t="shared" si="497"/>
        <v>0</v>
      </c>
      <c r="AI295" s="25">
        <f t="shared" si="498"/>
        <v>0</v>
      </c>
      <c r="AJ295" s="24">
        <f t="shared" si="499"/>
        <v>0</v>
      </c>
      <c r="AK295" s="27">
        <f t="shared" si="468"/>
        <v>3.5696366903459316</v>
      </c>
      <c r="AL295" s="41">
        <v>0</v>
      </c>
      <c r="AM295" s="40">
        <v>0</v>
      </c>
      <c r="AN295" s="39">
        <v>0</v>
      </c>
      <c r="AO295" s="40">
        <v>0</v>
      </c>
      <c r="AP295" s="39">
        <v>0</v>
      </c>
      <c r="AQ295" s="40">
        <v>0</v>
      </c>
      <c r="AR295" s="39">
        <v>0</v>
      </c>
      <c r="AS295" s="40">
        <v>0</v>
      </c>
      <c r="AT295" s="39">
        <v>0</v>
      </c>
      <c r="AU295" s="38">
        <v>0</v>
      </c>
      <c r="CS295" s="54" t="s">
        <v>1623</v>
      </c>
      <c r="CT295" s="39">
        <v>0.66659836807281569</v>
      </c>
      <c r="CU295" s="40">
        <v>1.8349210362133221</v>
      </c>
      <c r="CV295" s="39">
        <v>5.9655015626915251</v>
      </c>
      <c r="CW295" s="40">
        <v>4.0405760544530285</v>
      </c>
      <c r="CX295" s="39">
        <v>11.061716467788974</v>
      </c>
      <c r="CY295" s="40">
        <v>9.6418971548784871</v>
      </c>
      <c r="CZ295" s="39">
        <v>33.495973470198876</v>
      </c>
      <c r="DA295" s="40">
        <v>0.51248706769527375</v>
      </c>
      <c r="DB295" s="39">
        <v>0.3213527337334392</v>
      </c>
      <c r="DC295" s="38">
        <v>67.541023915725745</v>
      </c>
      <c r="DE295" s="37" t="s">
        <v>1648</v>
      </c>
      <c r="DF295" s="35" t="str">
        <f t="shared" si="469"/>
        <v>IMOMD</v>
      </c>
      <c r="DG295" s="26">
        <f t="shared" si="500"/>
        <v>0.10199645431927434</v>
      </c>
      <c r="DH295" s="25">
        <f t="shared" si="500"/>
        <v>0.28076192294122709</v>
      </c>
      <c r="DI295" s="24">
        <f t="shared" si="500"/>
        <v>0.52485052641081831</v>
      </c>
      <c r="DJ295" s="25">
        <f t="shared" si="500"/>
        <v>0.35549374128833505</v>
      </c>
      <c r="DK295" s="24">
        <f t="shared" si="500"/>
        <v>0.11327113478972824</v>
      </c>
      <c r="DL295" s="25">
        <f t="shared" si="500"/>
        <v>9.8732293079397446E-2</v>
      </c>
      <c r="DM295" s="24">
        <f t="shared" si="500"/>
        <v>0.34299621915860146</v>
      </c>
      <c r="DN295" s="25">
        <f t="shared" si="500"/>
        <v>0.25877223642734265</v>
      </c>
      <c r="DO295" s="32">
        <f t="shared" si="500"/>
        <v>0.16226197855920904</v>
      </c>
      <c r="DP295" s="26">
        <f t="shared" si="470"/>
        <v>7.1402475760463588E-2</v>
      </c>
      <c r="DQ295" s="25">
        <f t="shared" si="471"/>
        <v>7.1402475760463588E-2</v>
      </c>
      <c r="DR295" s="24">
        <f t="shared" si="472"/>
        <v>5.1264035523058187E-2</v>
      </c>
      <c r="DS295" s="25">
        <f t="shared" si="473"/>
        <v>5.1264035523058193E-2</v>
      </c>
      <c r="DT295" s="24">
        <f t="shared" si="474"/>
        <v>4.3587476320221905E-2</v>
      </c>
      <c r="DU295" s="25">
        <f t="shared" si="475"/>
        <v>4.3587476320221911E-2</v>
      </c>
      <c r="DV295" s="24">
        <f t="shared" si="476"/>
        <v>4.3587476320221911E-2</v>
      </c>
      <c r="DW295" s="25">
        <f t="shared" si="477"/>
        <v>7.5670768874891645E-2</v>
      </c>
      <c r="DX295" s="32">
        <f t="shared" si="478"/>
        <v>7.5670768874891631E-2</v>
      </c>
      <c r="DZ295" s="54" t="s">
        <v>1525</v>
      </c>
      <c r="EA295" s="39">
        <v>1.9781166596177797E-2</v>
      </c>
      <c r="EB295" s="40">
        <v>1.9781166596177801E-2</v>
      </c>
      <c r="EC295" s="39">
        <v>1.8781280073052745E-2</v>
      </c>
      <c r="ED295" s="40">
        <v>1.8781280073052738E-2</v>
      </c>
      <c r="EE295" s="39">
        <v>2.2423915766800327E-2</v>
      </c>
      <c r="EF295" s="40">
        <v>2.2423915766800334E-2</v>
      </c>
      <c r="EG295" s="39">
        <v>2.2423915766800331E-2</v>
      </c>
      <c r="EH295" s="40">
        <v>0</v>
      </c>
      <c r="EI295" s="66">
        <v>0</v>
      </c>
    </row>
    <row r="296" spans="1:139">
      <c r="A296" s="37" t="s">
        <v>1611</v>
      </c>
      <c r="B296" s="36" t="s">
        <v>1129</v>
      </c>
      <c r="C296" s="1" t="s">
        <v>1132</v>
      </c>
      <c r="D296" s="36" t="s">
        <v>1131</v>
      </c>
      <c r="E296" s="36" t="s">
        <v>1647</v>
      </c>
      <c r="F296" s="1" t="e">
        <f t="shared" ca="1" si="501"/>
        <v>#NAME?</v>
      </c>
      <c r="G296" s="35" t="s">
        <v>1121</v>
      </c>
      <c r="H296" s="43">
        <v>1</v>
      </c>
      <c r="I296" s="42">
        <v>0</v>
      </c>
      <c r="J296" s="26">
        <v>0.13475006390530941</v>
      </c>
      <c r="K296" s="25">
        <v>0.81039902500807814</v>
      </c>
      <c r="L296" s="24"/>
      <c r="M296" s="25"/>
      <c r="N296" s="24"/>
      <c r="O296" s="25"/>
      <c r="P296" s="24"/>
      <c r="Q296" s="25"/>
      <c r="R296" s="32"/>
      <c r="S296" s="47">
        <v>1</v>
      </c>
      <c r="T296" s="45">
        <v>1</v>
      </c>
      <c r="U296" s="46">
        <v>1</v>
      </c>
      <c r="V296" s="45">
        <v>1</v>
      </c>
      <c r="W296" s="46">
        <v>1</v>
      </c>
      <c r="X296" s="45">
        <v>1</v>
      </c>
      <c r="Y296" s="46">
        <v>1</v>
      </c>
      <c r="Z296" s="45">
        <v>1</v>
      </c>
      <c r="AA296" s="44">
        <v>1</v>
      </c>
      <c r="AB296" s="26">
        <f t="shared" si="491"/>
        <v>0.13475006390530941</v>
      </c>
      <c r="AC296" s="25">
        <f t="shared" si="492"/>
        <v>0.81039902500807814</v>
      </c>
      <c r="AD296" s="24">
        <f t="shared" si="493"/>
        <v>0</v>
      </c>
      <c r="AE296" s="25">
        <f t="shared" si="494"/>
        <v>0</v>
      </c>
      <c r="AF296" s="24">
        <f t="shared" si="495"/>
        <v>0</v>
      </c>
      <c r="AG296" s="25">
        <f t="shared" si="496"/>
        <v>0</v>
      </c>
      <c r="AH296" s="24">
        <f t="shared" si="497"/>
        <v>0</v>
      </c>
      <c r="AI296" s="25">
        <f t="shared" si="498"/>
        <v>0</v>
      </c>
      <c r="AJ296" s="24">
        <f t="shared" si="499"/>
        <v>0</v>
      </c>
      <c r="AK296" s="27">
        <f t="shared" si="468"/>
        <v>0.94514908891338756</v>
      </c>
      <c r="AL296" s="41">
        <v>0</v>
      </c>
      <c r="AM296" s="40">
        <v>0</v>
      </c>
      <c r="AN296" s="39">
        <v>0</v>
      </c>
      <c r="AO296" s="40">
        <v>0</v>
      </c>
      <c r="AP296" s="39">
        <v>0</v>
      </c>
      <c r="AQ296" s="40">
        <v>0</v>
      </c>
      <c r="AR296" s="39">
        <v>0</v>
      </c>
      <c r="AS296" s="40">
        <v>0</v>
      </c>
      <c r="AT296" s="39">
        <v>0</v>
      </c>
      <c r="AU296" s="38">
        <v>0</v>
      </c>
      <c r="CS296" s="54" t="s">
        <v>1619</v>
      </c>
      <c r="CT296" s="39">
        <v>1.9896646404233911E-2</v>
      </c>
      <c r="CU296" s="40">
        <v>5.4768773501166046E-2</v>
      </c>
      <c r="CV296" s="39">
        <v>0.15134968635752907</v>
      </c>
      <c r="CW296" s="40">
        <v>0.10251274132083081</v>
      </c>
      <c r="CX296" s="39">
        <v>0.9539385279961039</v>
      </c>
      <c r="CY296" s="40">
        <v>0.83149637814329769</v>
      </c>
      <c r="CZ296" s="39">
        <v>2.8886203799386365</v>
      </c>
      <c r="DA296" s="40">
        <v>9.1780368459243259E-3</v>
      </c>
      <c r="DB296" s="39">
        <v>5.755047135155668E-3</v>
      </c>
      <c r="DC296" s="38">
        <v>5.0175162176428776</v>
      </c>
      <c r="DE296" s="37" t="s">
        <v>1646</v>
      </c>
      <c r="DF296" s="35" t="str">
        <f t="shared" si="469"/>
        <v>INOMD</v>
      </c>
      <c r="DG296" s="26">
        <f t="shared" si="500"/>
        <v>0.15890700772449723</v>
      </c>
      <c r="DH296" s="25">
        <f t="shared" si="500"/>
        <v>0.43741752941636658</v>
      </c>
      <c r="DI296" s="24">
        <f t="shared" si="500"/>
        <v>0.53328213526295276</v>
      </c>
      <c r="DJ296" s="25">
        <f t="shared" si="500"/>
        <v>0.36120467044834309</v>
      </c>
      <c r="DK296" s="24">
        <f t="shared" si="500"/>
        <v>0.60852612597725275</v>
      </c>
      <c r="DL296" s="25">
        <f t="shared" si="500"/>
        <v>0.53041915690161157</v>
      </c>
      <c r="DM296" s="24">
        <f t="shared" si="500"/>
        <v>1.8426774028254553</v>
      </c>
      <c r="DN296" s="25">
        <f t="shared" si="500"/>
        <v>1.0995227605246063</v>
      </c>
      <c r="DO296" s="32">
        <f t="shared" si="500"/>
        <v>0.6894508508979853</v>
      </c>
      <c r="DP296" s="26">
        <f t="shared" si="470"/>
        <v>0.13974600831475964</v>
      </c>
      <c r="DQ296" s="25">
        <f t="shared" si="471"/>
        <v>0.13974600831475964</v>
      </c>
      <c r="DR296" s="24">
        <f t="shared" si="472"/>
        <v>0.1347235469199993</v>
      </c>
      <c r="DS296" s="25">
        <f t="shared" si="473"/>
        <v>0.1347235469199993</v>
      </c>
      <c r="DT296" s="24">
        <f t="shared" si="474"/>
        <v>0.15755989715453728</v>
      </c>
      <c r="DU296" s="25">
        <f t="shared" si="475"/>
        <v>0.1575598971545373</v>
      </c>
      <c r="DV296" s="24">
        <f t="shared" si="476"/>
        <v>0.1575598971545373</v>
      </c>
      <c r="DW296" s="25">
        <f t="shared" si="477"/>
        <v>0.27608311277539188</v>
      </c>
      <c r="DX296" s="32">
        <f t="shared" si="478"/>
        <v>0.27608311277539194</v>
      </c>
      <c r="DZ296" s="54" t="s">
        <v>1536</v>
      </c>
      <c r="EA296" s="39">
        <v>1.3400301497432066E-2</v>
      </c>
      <c r="EB296" s="40">
        <v>1.3400301497432062E-2</v>
      </c>
      <c r="EC296" s="39">
        <v>3.9655951509275037E-3</v>
      </c>
      <c r="ED296" s="40">
        <v>3.9655951509275046E-3</v>
      </c>
      <c r="EE296" s="39">
        <v>6.6771744300516966E-3</v>
      </c>
      <c r="EF296" s="40">
        <v>6.6771744300516966E-3</v>
      </c>
      <c r="EG296" s="39">
        <v>6.6771744300516975E-3</v>
      </c>
      <c r="EH296" s="40">
        <v>2.4899173916744521E-2</v>
      </c>
      <c r="EI296" s="66">
        <v>2.4899173916744521E-2</v>
      </c>
    </row>
    <row r="297" spans="1:139">
      <c r="A297" s="37" t="s">
        <v>1611</v>
      </c>
      <c r="B297" s="36" t="s">
        <v>1129</v>
      </c>
      <c r="C297" s="1" t="s">
        <v>1111</v>
      </c>
      <c r="D297" s="36" t="s">
        <v>1111</v>
      </c>
      <c r="E297" s="36" t="s">
        <v>1645</v>
      </c>
      <c r="F297" s="1" t="e">
        <f t="shared" ca="1" si="501"/>
        <v>#NAME?</v>
      </c>
      <c r="G297" s="35" t="s">
        <v>1121</v>
      </c>
      <c r="H297" s="43">
        <v>1</v>
      </c>
      <c r="I297" s="42">
        <v>0</v>
      </c>
      <c r="J297" s="26">
        <v>0.12166762937235974</v>
      </c>
      <c r="K297" s="25">
        <v>5.2297362521016875E-2</v>
      </c>
      <c r="L297" s="24"/>
      <c r="M297" s="25"/>
      <c r="N297" s="24"/>
      <c r="O297" s="25"/>
      <c r="P297" s="24"/>
      <c r="Q297" s="25"/>
      <c r="R297" s="32"/>
      <c r="S297" s="47">
        <v>1</v>
      </c>
      <c r="T297" s="45">
        <v>1</v>
      </c>
      <c r="U297" s="46">
        <v>1</v>
      </c>
      <c r="V297" s="45">
        <v>1</v>
      </c>
      <c r="W297" s="46">
        <v>1</v>
      </c>
      <c r="X297" s="45">
        <v>1</v>
      </c>
      <c r="Y297" s="46">
        <v>1</v>
      </c>
      <c r="Z297" s="45">
        <v>1</v>
      </c>
      <c r="AA297" s="44">
        <v>1</v>
      </c>
      <c r="AB297" s="26">
        <f t="shared" si="491"/>
        <v>0.12166762937235974</v>
      </c>
      <c r="AC297" s="25">
        <f t="shared" si="492"/>
        <v>5.2297362521016875E-2</v>
      </c>
      <c r="AD297" s="24">
        <f t="shared" si="493"/>
        <v>0</v>
      </c>
      <c r="AE297" s="25">
        <f t="shared" si="494"/>
        <v>0</v>
      </c>
      <c r="AF297" s="24">
        <f t="shared" si="495"/>
        <v>0</v>
      </c>
      <c r="AG297" s="25">
        <f t="shared" si="496"/>
        <v>0</v>
      </c>
      <c r="AH297" s="24">
        <f t="shared" si="497"/>
        <v>0</v>
      </c>
      <c r="AI297" s="25">
        <f t="shared" si="498"/>
        <v>0</v>
      </c>
      <c r="AJ297" s="24">
        <f t="shared" si="499"/>
        <v>0</v>
      </c>
      <c r="AK297" s="27">
        <f t="shared" si="468"/>
        <v>0.17396499189337661</v>
      </c>
      <c r="AL297" s="41">
        <v>0</v>
      </c>
      <c r="AM297" s="40">
        <v>0</v>
      </c>
      <c r="AN297" s="39">
        <v>0</v>
      </c>
      <c r="AO297" s="40">
        <v>0</v>
      </c>
      <c r="AP297" s="39">
        <v>0</v>
      </c>
      <c r="AQ297" s="40">
        <v>0</v>
      </c>
      <c r="AR297" s="39">
        <v>0</v>
      </c>
      <c r="AS297" s="40">
        <v>0</v>
      </c>
      <c r="AT297" s="39">
        <v>0</v>
      </c>
      <c r="AU297" s="38">
        <v>0</v>
      </c>
      <c r="CS297" s="54" t="s">
        <v>1644</v>
      </c>
      <c r="CT297" s="39">
        <v>0</v>
      </c>
      <c r="CU297" s="40">
        <v>0</v>
      </c>
      <c r="CV297" s="39">
        <v>0</v>
      </c>
      <c r="CW297" s="40">
        <v>0</v>
      </c>
      <c r="CX297" s="39">
        <v>2.696709218706173</v>
      </c>
      <c r="CY297" s="40">
        <v>2.3505748876399122</v>
      </c>
      <c r="CZ297" s="39">
        <v>8.1659027068407344</v>
      </c>
      <c r="DA297" s="40">
        <v>0</v>
      </c>
      <c r="DB297" s="39">
        <v>0</v>
      </c>
      <c r="DC297" s="38">
        <v>13.21318681318682</v>
      </c>
      <c r="DE297" s="37" t="s">
        <v>1643</v>
      </c>
      <c r="DF297" s="35" t="str">
        <f t="shared" si="469"/>
        <v>INOMD</v>
      </c>
      <c r="DG297" s="26">
        <f t="shared" si="500"/>
        <v>0.86919982731545098</v>
      </c>
      <c r="DH297" s="25">
        <f t="shared" si="500"/>
        <v>2.3926146900495984</v>
      </c>
      <c r="DI297" s="24">
        <f t="shared" si="500"/>
        <v>2.9169811106418284</v>
      </c>
      <c r="DJ297" s="25">
        <f t="shared" si="500"/>
        <v>1.9757406654057461</v>
      </c>
      <c r="DK297" s="24">
        <f t="shared" si="500"/>
        <v>2.8292722234968108</v>
      </c>
      <c r="DL297" s="25">
        <f t="shared" si="500"/>
        <v>2.4661228554851298</v>
      </c>
      <c r="DM297" s="24">
        <f t="shared" si="500"/>
        <v>8.5673166198195201</v>
      </c>
      <c r="DN297" s="25">
        <f t="shared" si="500"/>
        <v>2.505933625538864</v>
      </c>
      <c r="DO297" s="32">
        <f t="shared" si="500"/>
        <v>1.5713345211674481</v>
      </c>
      <c r="DP297" s="26">
        <f t="shared" si="470"/>
        <v>0.76439175360852996</v>
      </c>
      <c r="DQ297" s="25">
        <f t="shared" si="471"/>
        <v>0.76439175360853007</v>
      </c>
      <c r="DR297" s="24">
        <f t="shared" si="472"/>
        <v>0.73691956947054116</v>
      </c>
      <c r="DS297" s="25">
        <f t="shared" si="473"/>
        <v>0.73691956947054116</v>
      </c>
      <c r="DT297" s="24">
        <f t="shared" si="474"/>
        <v>0.73255661758228308</v>
      </c>
      <c r="DU297" s="25">
        <f t="shared" si="475"/>
        <v>0.73255661758228319</v>
      </c>
      <c r="DV297" s="24">
        <f t="shared" si="476"/>
        <v>0.73255661758228319</v>
      </c>
      <c r="DW297" s="25">
        <f t="shared" si="477"/>
        <v>0.6292238601929423</v>
      </c>
      <c r="DX297" s="32">
        <f t="shared" si="478"/>
        <v>0.6292238601929423</v>
      </c>
      <c r="DZ297" s="54" t="s">
        <v>1534</v>
      </c>
      <c r="EA297" s="39">
        <v>0.28963294504230941</v>
      </c>
      <c r="EB297" s="40">
        <v>0.28963294504230941</v>
      </c>
      <c r="EC297" s="39">
        <v>0.27979060632665526</v>
      </c>
      <c r="ED297" s="40">
        <v>0.27979060632665526</v>
      </c>
      <c r="EE297" s="39">
        <v>0.35409388946946768</v>
      </c>
      <c r="EF297" s="40">
        <v>0.35409388946946774</v>
      </c>
      <c r="EG297" s="39">
        <v>0.35409388946946774</v>
      </c>
      <c r="EH297" s="40">
        <v>0.38052323005655236</v>
      </c>
      <c r="EI297" s="66">
        <v>0.38052323005655242</v>
      </c>
    </row>
    <row r="298" spans="1:139">
      <c r="A298" s="37" t="s">
        <v>1611</v>
      </c>
      <c r="B298" s="36" t="s">
        <v>1129</v>
      </c>
      <c r="C298" s="1" t="s">
        <v>1106</v>
      </c>
      <c r="D298" s="36" t="s">
        <v>1106</v>
      </c>
      <c r="E298" s="36" t="s">
        <v>1642</v>
      </c>
      <c r="F298" s="1" t="e">
        <f t="shared" ca="1" si="501"/>
        <v>#NAME?</v>
      </c>
      <c r="G298" s="35" t="s">
        <v>1121</v>
      </c>
      <c r="H298" s="43">
        <v>1</v>
      </c>
      <c r="I298" s="42">
        <v>0</v>
      </c>
      <c r="J298" s="26">
        <v>1.7533760732982153</v>
      </c>
      <c r="K298" s="25">
        <v>3.101631840302761</v>
      </c>
      <c r="L298" s="24"/>
      <c r="M298" s="25"/>
      <c r="N298" s="24"/>
      <c r="O298" s="25"/>
      <c r="P298" s="24"/>
      <c r="Q298" s="25"/>
      <c r="R298" s="32"/>
      <c r="S298" s="47">
        <v>1</v>
      </c>
      <c r="T298" s="45">
        <v>1</v>
      </c>
      <c r="U298" s="46">
        <v>1</v>
      </c>
      <c r="V298" s="45">
        <v>1</v>
      </c>
      <c r="W298" s="46">
        <v>1</v>
      </c>
      <c r="X298" s="45">
        <v>1</v>
      </c>
      <c r="Y298" s="46">
        <v>1</v>
      </c>
      <c r="Z298" s="45">
        <v>1</v>
      </c>
      <c r="AA298" s="44">
        <v>1</v>
      </c>
      <c r="AB298" s="26">
        <f t="shared" si="491"/>
        <v>1.7533760732982153</v>
      </c>
      <c r="AC298" s="25">
        <f t="shared" si="492"/>
        <v>3.101631840302761</v>
      </c>
      <c r="AD298" s="24">
        <f t="shared" si="493"/>
        <v>0</v>
      </c>
      <c r="AE298" s="25">
        <f t="shared" si="494"/>
        <v>0</v>
      </c>
      <c r="AF298" s="24">
        <f t="shared" si="495"/>
        <v>0</v>
      </c>
      <c r="AG298" s="25">
        <f t="shared" si="496"/>
        <v>0</v>
      </c>
      <c r="AH298" s="24">
        <f t="shared" si="497"/>
        <v>0</v>
      </c>
      <c r="AI298" s="25">
        <f t="shared" si="498"/>
        <v>0</v>
      </c>
      <c r="AJ298" s="24">
        <f t="shared" si="499"/>
        <v>0</v>
      </c>
      <c r="AK298" s="27">
        <f t="shared" si="468"/>
        <v>4.8550079136009767</v>
      </c>
      <c r="AL298" s="41">
        <v>0</v>
      </c>
      <c r="AM298" s="40">
        <v>0</v>
      </c>
      <c r="AN298" s="39">
        <v>0</v>
      </c>
      <c r="AO298" s="40">
        <v>0</v>
      </c>
      <c r="AP298" s="39">
        <v>0</v>
      </c>
      <c r="AQ298" s="40">
        <v>0</v>
      </c>
      <c r="AR298" s="39">
        <v>0</v>
      </c>
      <c r="AS298" s="40">
        <v>0</v>
      </c>
      <c r="AT298" s="39">
        <v>0</v>
      </c>
      <c r="AU298" s="38">
        <v>0</v>
      </c>
      <c r="CS298" s="54" t="s">
        <v>1641</v>
      </c>
      <c r="CT298" s="39">
        <v>1.2459782580800294E-2</v>
      </c>
      <c r="CU298" s="40">
        <v>3.4297589461931254E-2</v>
      </c>
      <c r="CV298" s="39">
        <v>0.11150470210638364</v>
      </c>
      <c r="CW298" s="40">
        <v>7.552478606454259E-2</v>
      </c>
      <c r="CX298" s="39">
        <v>0.20676105547269111</v>
      </c>
      <c r="CY298" s="40">
        <v>0.18022237672670069</v>
      </c>
      <c r="CZ298" s="39">
        <v>0.62609296205979215</v>
      </c>
      <c r="DA298" s="40">
        <v>9.5791975270144627E-3</v>
      </c>
      <c r="DB298" s="39">
        <v>6.0065931538960601E-3</v>
      </c>
      <c r="DC298" s="38">
        <v>1.2624490451537522</v>
      </c>
      <c r="DE298" s="37" t="s">
        <v>1640</v>
      </c>
      <c r="DF298" s="35" t="str">
        <f t="shared" si="469"/>
        <v>INOMD</v>
      </c>
      <c r="DG298" s="26">
        <f t="shared" ref="DG298:DO307" si="502">GETPIVOTDATA("Sum of "&amp;DG$1&amp;" (Out)",$CS$6,"Constraint Identifier",$DE298)</f>
        <v>0.10900620053656652</v>
      </c>
      <c r="DH298" s="25">
        <f t="shared" si="502"/>
        <v>0.30005739591067365</v>
      </c>
      <c r="DI298" s="24">
        <f t="shared" si="502"/>
        <v>0.50808069214209262</v>
      </c>
      <c r="DJ298" s="25">
        <f t="shared" si="502"/>
        <v>0.34413513378965782</v>
      </c>
      <c r="DK298" s="24">
        <f t="shared" si="502"/>
        <v>0.42439080504410986</v>
      </c>
      <c r="DL298" s="25">
        <f t="shared" si="502"/>
        <v>0.36991840349794214</v>
      </c>
      <c r="DM298" s="24">
        <f t="shared" si="502"/>
        <v>1.2850974067314194</v>
      </c>
      <c r="DN298" s="25">
        <f t="shared" si="502"/>
        <v>0.37712244489576263</v>
      </c>
      <c r="DO298" s="32">
        <f t="shared" si="502"/>
        <v>0.23647294977509775</v>
      </c>
      <c r="DP298" s="26">
        <f t="shared" si="470"/>
        <v>9.5862238076710224E-2</v>
      </c>
      <c r="DQ298" s="25">
        <f t="shared" si="471"/>
        <v>9.586223807671021E-2</v>
      </c>
      <c r="DR298" s="24">
        <f t="shared" si="472"/>
        <v>0.12835688360945963</v>
      </c>
      <c r="DS298" s="25">
        <f t="shared" si="473"/>
        <v>0.12835688360945965</v>
      </c>
      <c r="DT298" s="24">
        <f t="shared" si="474"/>
        <v>0.10988348526317961</v>
      </c>
      <c r="DU298" s="25">
        <f t="shared" si="475"/>
        <v>0.10988348526317963</v>
      </c>
      <c r="DV298" s="24">
        <f t="shared" si="476"/>
        <v>0.10988348526317963</v>
      </c>
      <c r="DW298" s="25">
        <f t="shared" si="477"/>
        <v>9.4693027031665794E-2</v>
      </c>
      <c r="DX298" s="32">
        <f t="shared" si="478"/>
        <v>9.4693027031665794E-2</v>
      </c>
      <c r="DZ298" s="54" t="s">
        <v>1532</v>
      </c>
      <c r="EA298" s="39">
        <v>3.6012627212294629E-3</v>
      </c>
      <c r="EB298" s="40">
        <v>3.6012627212294625E-3</v>
      </c>
      <c r="EC298" s="39">
        <v>1.492026875825473E-2</v>
      </c>
      <c r="ED298" s="40">
        <v>1.4920268758254732E-2</v>
      </c>
      <c r="EE298" s="39">
        <v>1.3817315759110984E-2</v>
      </c>
      <c r="EF298" s="40">
        <v>1.3817315759110986E-2</v>
      </c>
      <c r="EG298" s="39">
        <v>1.3817315759110986E-2</v>
      </c>
      <c r="EH298" s="40">
        <v>1.0809388266905522E-2</v>
      </c>
      <c r="EI298" s="66">
        <v>1.0809388266905522E-2</v>
      </c>
    </row>
    <row r="299" spans="1:139">
      <c r="A299" s="37" t="s">
        <v>1611</v>
      </c>
      <c r="B299" s="36" t="s">
        <v>1123</v>
      </c>
      <c r="C299" s="1" t="s">
        <v>1126</v>
      </c>
      <c r="D299" s="36" t="s">
        <v>1126</v>
      </c>
      <c r="E299" s="36" t="s">
        <v>1639</v>
      </c>
      <c r="F299" s="1" t="e">
        <f t="shared" ca="1" si="501"/>
        <v>#NAME?</v>
      </c>
      <c r="G299" s="35" t="s">
        <v>1121</v>
      </c>
      <c r="H299" s="43">
        <v>1</v>
      </c>
      <c r="I299" s="42">
        <v>0</v>
      </c>
      <c r="J299" s="26">
        <v>10.659224389900803</v>
      </c>
      <c r="K299" s="25">
        <v>4.0118336549052405</v>
      </c>
      <c r="L299" s="24"/>
      <c r="M299" s="25"/>
      <c r="N299" s="24"/>
      <c r="O299" s="25"/>
      <c r="P299" s="24"/>
      <c r="Q299" s="25"/>
      <c r="R299" s="32"/>
      <c r="S299" s="47">
        <v>1</v>
      </c>
      <c r="T299" s="45">
        <v>1</v>
      </c>
      <c r="U299" s="46">
        <v>1</v>
      </c>
      <c r="V299" s="45">
        <v>1</v>
      </c>
      <c r="W299" s="46">
        <v>1</v>
      </c>
      <c r="X299" s="45">
        <v>1</v>
      </c>
      <c r="Y299" s="46">
        <v>1</v>
      </c>
      <c r="Z299" s="45">
        <v>1</v>
      </c>
      <c r="AA299" s="44">
        <v>1</v>
      </c>
      <c r="AB299" s="26">
        <f t="shared" si="491"/>
        <v>10.659224389900803</v>
      </c>
      <c r="AC299" s="25">
        <f t="shared" si="492"/>
        <v>4.0118336549052405</v>
      </c>
      <c r="AD299" s="24">
        <f t="shared" si="493"/>
        <v>0</v>
      </c>
      <c r="AE299" s="25">
        <f t="shared" si="494"/>
        <v>0</v>
      </c>
      <c r="AF299" s="24">
        <f t="shared" si="495"/>
        <v>0</v>
      </c>
      <c r="AG299" s="25">
        <f t="shared" si="496"/>
        <v>0</v>
      </c>
      <c r="AH299" s="24">
        <f t="shared" si="497"/>
        <v>0</v>
      </c>
      <c r="AI299" s="25">
        <f t="shared" si="498"/>
        <v>0</v>
      </c>
      <c r="AJ299" s="24">
        <f t="shared" si="499"/>
        <v>0</v>
      </c>
      <c r="AK299" s="27">
        <f t="shared" si="468"/>
        <v>14.671058044806044</v>
      </c>
      <c r="AL299" s="41">
        <v>0</v>
      </c>
      <c r="AM299" s="40">
        <v>0</v>
      </c>
      <c r="AN299" s="39">
        <v>0</v>
      </c>
      <c r="AO299" s="40">
        <v>0</v>
      </c>
      <c r="AP299" s="39">
        <v>0</v>
      </c>
      <c r="AQ299" s="40">
        <v>0</v>
      </c>
      <c r="AR299" s="39">
        <v>0</v>
      </c>
      <c r="AS299" s="40">
        <v>0</v>
      </c>
      <c r="AT299" s="39">
        <v>0</v>
      </c>
      <c r="AU299" s="38">
        <v>0</v>
      </c>
      <c r="CS299" s="54" t="s">
        <v>1638</v>
      </c>
      <c r="CT299" s="39">
        <v>0.32707477324960438</v>
      </c>
      <c r="CU299" s="40">
        <v>0.90032680935823028</v>
      </c>
      <c r="CV299" s="39">
        <v>2.0123451399193866</v>
      </c>
      <c r="CW299" s="40">
        <v>1.3630092122521595</v>
      </c>
      <c r="CX299" s="39">
        <v>4.8848117860265337</v>
      </c>
      <c r="CY299" s="40">
        <v>4.257824994787657</v>
      </c>
      <c r="CZ299" s="39">
        <v>14.791694080038591</v>
      </c>
      <c r="DA299" s="40">
        <v>0</v>
      </c>
      <c r="DB299" s="39">
        <v>0</v>
      </c>
      <c r="DC299" s="38">
        <v>28.537086795632163</v>
      </c>
      <c r="DE299" s="37" t="s">
        <v>1473</v>
      </c>
      <c r="DF299" s="35" t="str">
        <f t="shared" si="469"/>
        <v>IPOMD</v>
      </c>
      <c r="DG299" s="26">
        <f t="shared" si="502"/>
        <v>2.0122809999913569</v>
      </c>
      <c r="DH299" s="25">
        <f t="shared" si="502"/>
        <v>1.775542058815903</v>
      </c>
      <c r="DI299" s="24">
        <f t="shared" si="502"/>
        <v>6.887975859914393</v>
      </c>
      <c r="DJ299" s="25">
        <f t="shared" si="502"/>
        <v>1.3189741008346707</v>
      </c>
      <c r="DK299" s="24">
        <f t="shared" si="502"/>
        <v>5.6817345882108903</v>
      </c>
      <c r="DL299" s="25">
        <f t="shared" si="502"/>
        <v>3.2990716963805173</v>
      </c>
      <c r="DM299" s="24">
        <f t="shared" si="502"/>
        <v>2.3826628918303734</v>
      </c>
      <c r="DN299" s="25">
        <f t="shared" si="502"/>
        <v>0.21644703193184339</v>
      </c>
      <c r="DO299" s="32">
        <f t="shared" si="502"/>
        <v>1.6774644974717865</v>
      </c>
      <c r="DP299" s="26">
        <f t="shared" si="470"/>
        <v>0.97412625855869817</v>
      </c>
      <c r="DQ299" s="25">
        <f t="shared" si="471"/>
        <v>0.97412625855869805</v>
      </c>
      <c r="DR299" s="24">
        <f t="shared" si="472"/>
        <v>0.95325645686531102</v>
      </c>
      <c r="DS299" s="25">
        <f t="shared" si="473"/>
        <v>0.95325645686531102</v>
      </c>
      <c r="DT299" s="24">
        <f t="shared" si="474"/>
        <v>0.97412625855869805</v>
      </c>
      <c r="DU299" s="25">
        <f t="shared" si="475"/>
        <v>0.97412625855869794</v>
      </c>
      <c r="DV299" s="24">
        <f t="shared" si="476"/>
        <v>0.97412625855869805</v>
      </c>
      <c r="DW299" s="25">
        <f t="shared" si="477"/>
        <v>0.96344288480375184</v>
      </c>
      <c r="DX299" s="32">
        <f t="shared" si="478"/>
        <v>0.96344288480375184</v>
      </c>
      <c r="DZ299" s="54" t="s">
        <v>1530</v>
      </c>
      <c r="EA299" s="39">
        <v>0.66583740864064267</v>
      </c>
      <c r="EB299" s="40">
        <v>0.66583740864064267</v>
      </c>
      <c r="EC299" s="39">
        <v>0.68254224969110966</v>
      </c>
      <c r="ED299" s="40">
        <v>0.68254224969110966</v>
      </c>
      <c r="EE299" s="39">
        <v>0.60096111280651532</v>
      </c>
      <c r="EF299" s="40">
        <v>0.60096111280651532</v>
      </c>
      <c r="EG299" s="39">
        <v>0.60096111280651532</v>
      </c>
      <c r="EH299" s="40">
        <v>0.58376820775979754</v>
      </c>
      <c r="EI299" s="66">
        <v>0.58376820775979754</v>
      </c>
    </row>
    <row r="300" spans="1:139">
      <c r="A300" s="37" t="s">
        <v>1611</v>
      </c>
      <c r="B300" s="36" t="s">
        <v>1123</v>
      </c>
      <c r="C300" s="1" t="s">
        <v>456</v>
      </c>
      <c r="D300" s="36" t="s">
        <v>456</v>
      </c>
      <c r="E300" s="36" t="s">
        <v>1637</v>
      </c>
      <c r="F300" s="1" t="e">
        <f t="shared" ca="1" si="501"/>
        <v>#NAME?</v>
      </c>
      <c r="G300" s="35" t="s">
        <v>1121</v>
      </c>
      <c r="H300" s="43">
        <v>1</v>
      </c>
      <c r="I300" s="42">
        <v>0</v>
      </c>
      <c r="J300" s="26">
        <v>1.4123768138614358E-2</v>
      </c>
      <c r="K300" s="25">
        <v>7.1383478227929767E-3</v>
      </c>
      <c r="L300" s="24"/>
      <c r="M300" s="25"/>
      <c r="N300" s="24"/>
      <c r="O300" s="25"/>
      <c r="P300" s="24"/>
      <c r="Q300" s="25"/>
      <c r="R300" s="32"/>
      <c r="S300" s="47">
        <v>1</v>
      </c>
      <c r="T300" s="45">
        <v>1</v>
      </c>
      <c r="U300" s="46">
        <v>1</v>
      </c>
      <c r="V300" s="45">
        <v>1</v>
      </c>
      <c r="W300" s="46">
        <v>1</v>
      </c>
      <c r="X300" s="45">
        <v>1</v>
      </c>
      <c r="Y300" s="46">
        <v>1</v>
      </c>
      <c r="Z300" s="45">
        <v>1</v>
      </c>
      <c r="AA300" s="44">
        <v>1</v>
      </c>
      <c r="AB300" s="26">
        <f t="shared" si="491"/>
        <v>1.4123768138614358E-2</v>
      </c>
      <c r="AC300" s="25">
        <f t="shared" si="492"/>
        <v>7.1383478227929767E-3</v>
      </c>
      <c r="AD300" s="24">
        <f t="shared" si="493"/>
        <v>0</v>
      </c>
      <c r="AE300" s="25">
        <f t="shared" si="494"/>
        <v>0</v>
      </c>
      <c r="AF300" s="24">
        <f t="shared" si="495"/>
        <v>0</v>
      </c>
      <c r="AG300" s="25">
        <f t="shared" si="496"/>
        <v>0</v>
      </c>
      <c r="AH300" s="24">
        <f t="shared" si="497"/>
        <v>0</v>
      </c>
      <c r="AI300" s="25">
        <f t="shared" si="498"/>
        <v>0</v>
      </c>
      <c r="AJ300" s="24">
        <f t="shared" si="499"/>
        <v>0</v>
      </c>
      <c r="AK300" s="27">
        <f t="shared" si="468"/>
        <v>2.1262115961407334E-2</v>
      </c>
      <c r="AL300" s="41">
        <v>0</v>
      </c>
      <c r="AM300" s="40">
        <v>0</v>
      </c>
      <c r="AN300" s="39">
        <v>0</v>
      </c>
      <c r="AO300" s="40">
        <v>0</v>
      </c>
      <c r="AP300" s="39">
        <v>0</v>
      </c>
      <c r="AQ300" s="40">
        <v>0</v>
      </c>
      <c r="AR300" s="39">
        <v>0</v>
      </c>
      <c r="AS300" s="40">
        <v>0</v>
      </c>
      <c r="AT300" s="39">
        <v>0</v>
      </c>
      <c r="AU300" s="38">
        <v>0</v>
      </c>
      <c r="CS300" s="54" t="s">
        <v>1636</v>
      </c>
      <c r="CT300" s="39">
        <v>0</v>
      </c>
      <c r="CU300" s="40">
        <v>0</v>
      </c>
      <c r="CV300" s="39">
        <v>0</v>
      </c>
      <c r="CW300" s="40">
        <v>0</v>
      </c>
      <c r="CX300" s="39">
        <v>1.295817979530814</v>
      </c>
      <c r="CY300" s="40">
        <v>1.1294941184273442</v>
      </c>
      <c r="CZ300" s="39">
        <v>3.9238652329376347</v>
      </c>
      <c r="DA300" s="40">
        <v>0</v>
      </c>
      <c r="DB300" s="39">
        <v>0</v>
      </c>
      <c r="DC300" s="38">
        <v>6.3491773308957926</v>
      </c>
      <c r="DE300" s="37" t="s">
        <v>1468</v>
      </c>
      <c r="DF300" s="35" t="str">
        <f t="shared" si="469"/>
        <v>IPOMD</v>
      </c>
      <c r="DG300" s="26">
        <f t="shared" si="502"/>
        <v>5.344814169988174E-2</v>
      </c>
      <c r="DH300" s="25">
        <f t="shared" si="502"/>
        <v>4.7160125029307415E-2</v>
      </c>
      <c r="DI300" s="24">
        <f t="shared" si="502"/>
        <v>0.33775632401942074</v>
      </c>
      <c r="DJ300" s="25">
        <f t="shared" si="502"/>
        <v>6.4676742897335882E-2</v>
      </c>
      <c r="DK300" s="24">
        <f t="shared" si="502"/>
        <v>0.15091240009378373</v>
      </c>
      <c r="DL300" s="25">
        <f t="shared" si="502"/>
        <v>8.762655489316476E-2</v>
      </c>
      <c r="DM300" s="24">
        <f t="shared" si="502"/>
        <v>6.3285845200618987E-2</v>
      </c>
      <c r="DN300" s="25">
        <f t="shared" si="502"/>
        <v>8.2129197329950318E-3</v>
      </c>
      <c r="DO300" s="32">
        <f t="shared" si="502"/>
        <v>6.3650127930711495E-2</v>
      </c>
      <c r="DP300" s="26">
        <f t="shared" si="470"/>
        <v>2.5873741441301969E-2</v>
      </c>
      <c r="DQ300" s="25">
        <f t="shared" si="471"/>
        <v>2.5873741441301966E-2</v>
      </c>
      <c r="DR300" s="24">
        <f t="shared" si="472"/>
        <v>4.6743543134688995E-2</v>
      </c>
      <c r="DS300" s="25">
        <f t="shared" si="473"/>
        <v>4.6743543134689002E-2</v>
      </c>
      <c r="DT300" s="24">
        <f t="shared" si="474"/>
        <v>2.5873741441301962E-2</v>
      </c>
      <c r="DU300" s="25">
        <f t="shared" si="475"/>
        <v>2.5873741441301962E-2</v>
      </c>
      <c r="DV300" s="24">
        <f t="shared" si="476"/>
        <v>2.5873741441301966E-2</v>
      </c>
      <c r="DW300" s="25">
        <f t="shared" si="477"/>
        <v>3.6557115196248116E-2</v>
      </c>
      <c r="DX300" s="32">
        <f t="shared" si="478"/>
        <v>3.6557115196248109E-2</v>
      </c>
      <c r="DZ300" s="54" t="s">
        <v>1528</v>
      </c>
      <c r="EA300" s="39">
        <v>7.7469155022085482E-3</v>
      </c>
      <c r="EB300" s="40">
        <v>7.7469155022085482E-3</v>
      </c>
      <c r="EC300" s="39">
        <v>0</v>
      </c>
      <c r="ED300" s="40">
        <v>0</v>
      </c>
      <c r="EE300" s="39">
        <v>2.0265917680539589E-3</v>
      </c>
      <c r="EF300" s="40">
        <v>2.0265917680539593E-3</v>
      </c>
      <c r="EG300" s="39">
        <v>2.0265917680539589E-3</v>
      </c>
      <c r="EH300" s="40">
        <v>0</v>
      </c>
      <c r="EI300" s="66">
        <v>0</v>
      </c>
    </row>
    <row r="301" spans="1:139">
      <c r="A301" s="37" t="s">
        <v>1611</v>
      </c>
      <c r="B301" s="36" t="s">
        <v>1123</v>
      </c>
      <c r="C301" s="1" t="s">
        <v>665</v>
      </c>
      <c r="D301" s="36" t="s">
        <v>665</v>
      </c>
      <c r="E301" s="36" t="s">
        <v>1635</v>
      </c>
      <c r="F301" s="1" t="e">
        <f t="shared" ca="1" si="501"/>
        <v>#NAME?</v>
      </c>
      <c r="G301" s="35" t="s">
        <v>1121</v>
      </c>
      <c r="H301" s="43">
        <v>1</v>
      </c>
      <c r="I301" s="42">
        <v>0</v>
      </c>
      <c r="J301" s="26">
        <v>16.431710708438597</v>
      </c>
      <c r="K301" s="25">
        <v>5.2356435636141052</v>
      </c>
      <c r="L301" s="24"/>
      <c r="M301" s="25"/>
      <c r="N301" s="24"/>
      <c r="O301" s="25"/>
      <c r="P301" s="24"/>
      <c r="Q301" s="25"/>
      <c r="R301" s="32"/>
      <c r="S301" s="47">
        <v>1</v>
      </c>
      <c r="T301" s="45">
        <v>1</v>
      </c>
      <c r="U301" s="46">
        <v>1</v>
      </c>
      <c r="V301" s="45">
        <v>1</v>
      </c>
      <c r="W301" s="46">
        <v>1</v>
      </c>
      <c r="X301" s="45">
        <v>1</v>
      </c>
      <c r="Y301" s="46">
        <v>1</v>
      </c>
      <c r="Z301" s="45">
        <v>1</v>
      </c>
      <c r="AA301" s="44">
        <v>1</v>
      </c>
      <c r="AB301" s="26">
        <f t="shared" si="491"/>
        <v>16.431710708438597</v>
      </c>
      <c r="AC301" s="25">
        <f t="shared" si="492"/>
        <v>5.2356435636141052</v>
      </c>
      <c r="AD301" s="24">
        <f t="shared" si="493"/>
        <v>0</v>
      </c>
      <c r="AE301" s="25">
        <f t="shared" si="494"/>
        <v>0</v>
      </c>
      <c r="AF301" s="24">
        <f t="shared" si="495"/>
        <v>0</v>
      </c>
      <c r="AG301" s="25">
        <f t="shared" si="496"/>
        <v>0</v>
      </c>
      <c r="AH301" s="24">
        <f t="shared" si="497"/>
        <v>0</v>
      </c>
      <c r="AI301" s="25">
        <f t="shared" si="498"/>
        <v>0</v>
      </c>
      <c r="AJ301" s="24">
        <f t="shared" si="499"/>
        <v>0</v>
      </c>
      <c r="AK301" s="27">
        <f t="shared" si="468"/>
        <v>21.667354272052702</v>
      </c>
      <c r="AL301" s="41">
        <v>0</v>
      </c>
      <c r="AM301" s="40">
        <v>0</v>
      </c>
      <c r="AN301" s="39">
        <v>0</v>
      </c>
      <c r="AO301" s="40">
        <v>0</v>
      </c>
      <c r="AP301" s="39">
        <v>0</v>
      </c>
      <c r="AQ301" s="40">
        <v>0</v>
      </c>
      <c r="AR301" s="39">
        <v>0</v>
      </c>
      <c r="AS301" s="40">
        <v>0</v>
      </c>
      <c r="AT301" s="39">
        <v>0</v>
      </c>
      <c r="AU301" s="38">
        <v>0</v>
      </c>
      <c r="CS301" s="54" t="s">
        <v>1474</v>
      </c>
      <c r="CT301" s="39">
        <v>9.3448369356002203E-2</v>
      </c>
      <c r="CU301" s="40">
        <v>0.25723192096448444</v>
      </c>
      <c r="CV301" s="39">
        <v>0.83628526579787732</v>
      </c>
      <c r="CW301" s="40">
        <v>0.56643589548406936</v>
      </c>
      <c r="CX301" s="39">
        <v>1.5507079160451831</v>
      </c>
      <c r="CY301" s="40">
        <v>1.351667825450255</v>
      </c>
      <c r="CZ301" s="39">
        <v>4.6956972154484404</v>
      </c>
      <c r="DA301" s="40">
        <v>7.1843981452608466E-2</v>
      </c>
      <c r="DB301" s="39">
        <v>4.5049448654220448E-2</v>
      </c>
      <c r="DC301" s="38">
        <v>9.4683678386531422</v>
      </c>
      <c r="DE301" s="37" t="s">
        <v>1452</v>
      </c>
      <c r="DF301" s="35" t="str">
        <f t="shared" si="469"/>
        <v>IPAMD</v>
      </c>
      <c r="DG301" s="26">
        <f t="shared" si="502"/>
        <v>2.1810647589443986</v>
      </c>
      <c r="DH301" s="25">
        <f t="shared" si="502"/>
        <v>1.9244689049509396</v>
      </c>
      <c r="DI301" s="24">
        <f t="shared" si="502"/>
        <v>19.296008220308092</v>
      </c>
      <c r="DJ301" s="25">
        <f t="shared" si="502"/>
        <v>3.6949802975058046</v>
      </c>
      <c r="DK301" s="24">
        <f t="shared" si="502"/>
        <v>16.422134655581353</v>
      </c>
      <c r="DL301" s="25">
        <f t="shared" si="502"/>
        <v>9.5354330258214315</v>
      </c>
      <c r="DM301" s="24">
        <f t="shared" si="502"/>
        <v>6.8867016297599228</v>
      </c>
      <c r="DN301" s="25">
        <f t="shared" si="502"/>
        <v>2.6275415448930164</v>
      </c>
      <c r="DO301" s="32">
        <f t="shared" si="502"/>
        <v>20.363446972920876</v>
      </c>
      <c r="DP301" s="26">
        <f t="shared" si="470"/>
        <v>0.75387853427928131</v>
      </c>
      <c r="DQ301" s="25">
        <f t="shared" si="471"/>
        <v>0.75387853427928131</v>
      </c>
      <c r="DR301" s="24">
        <f t="shared" si="472"/>
        <v>0.95732120039149493</v>
      </c>
      <c r="DS301" s="25">
        <f t="shared" si="473"/>
        <v>0.95732120039149482</v>
      </c>
      <c r="DT301" s="24">
        <f t="shared" si="474"/>
        <v>0.95637926687424901</v>
      </c>
      <c r="DU301" s="25">
        <f t="shared" si="475"/>
        <v>0.9563792668742489</v>
      </c>
      <c r="DV301" s="24">
        <f t="shared" si="476"/>
        <v>0.9563792668742489</v>
      </c>
      <c r="DW301" s="25">
        <f t="shared" si="477"/>
        <v>0.9689854697130279</v>
      </c>
      <c r="DX301" s="32">
        <f t="shared" si="478"/>
        <v>0.96898546971302779</v>
      </c>
      <c r="DZ301" s="54" t="s">
        <v>1634</v>
      </c>
      <c r="EA301" s="39">
        <v>0.70602622160539474</v>
      </c>
      <c r="EB301" s="40">
        <v>0.65834934586917182</v>
      </c>
      <c r="EC301" s="39">
        <v>0.29763316344134422</v>
      </c>
      <c r="ED301" s="40">
        <v>1.6315017595823489E-2</v>
      </c>
      <c r="EE301" s="39">
        <v>0.43770000189167269</v>
      </c>
      <c r="EF301" s="40">
        <v>0</v>
      </c>
      <c r="EG301" s="39">
        <v>0.21631988080180395</v>
      </c>
      <c r="EH301" s="40">
        <v>0.62117838165519124</v>
      </c>
      <c r="EI301" s="66">
        <v>0.34539968671212662</v>
      </c>
    </row>
    <row r="302" spans="1:139">
      <c r="A302" s="37" t="s">
        <v>1611</v>
      </c>
      <c r="B302" s="36" t="s">
        <v>1107</v>
      </c>
      <c r="C302" s="1" t="s">
        <v>1120</v>
      </c>
      <c r="D302" s="36" t="s">
        <v>1120</v>
      </c>
      <c r="E302" s="36" t="s">
        <v>1633</v>
      </c>
      <c r="F302" s="1" t="e">
        <f t="shared" ca="1" si="501"/>
        <v>#NAME?</v>
      </c>
      <c r="G302" s="35" t="s">
        <v>1104</v>
      </c>
      <c r="H302" s="43">
        <v>1</v>
      </c>
      <c r="I302" s="42">
        <v>0</v>
      </c>
      <c r="J302" s="26">
        <v>0</v>
      </c>
      <c r="K302" s="25">
        <v>0</v>
      </c>
      <c r="L302" s="24"/>
      <c r="M302" s="25"/>
      <c r="N302" s="24"/>
      <c r="O302" s="25"/>
      <c r="P302" s="24"/>
      <c r="Q302" s="25"/>
      <c r="R302" s="32"/>
      <c r="S302" s="31" t="e">
        <v>#REF!</v>
      </c>
      <c r="T302" s="29" t="e">
        <f t="shared" ref="T302:AA310" si="503">S302</f>
        <v>#REF!</v>
      </c>
      <c r="U302" s="30" t="e">
        <f t="shared" si="503"/>
        <v>#REF!</v>
      </c>
      <c r="V302" s="29" t="e">
        <f t="shared" si="503"/>
        <v>#REF!</v>
      </c>
      <c r="W302" s="30" t="e">
        <f t="shared" si="503"/>
        <v>#REF!</v>
      </c>
      <c r="X302" s="29" t="e">
        <f t="shared" si="503"/>
        <v>#REF!</v>
      </c>
      <c r="Y302" s="30" t="e">
        <f t="shared" si="503"/>
        <v>#REF!</v>
      </c>
      <c r="Z302" s="29" t="e">
        <f t="shared" si="503"/>
        <v>#REF!</v>
      </c>
      <c r="AA302" s="28" t="e">
        <f t="shared" si="503"/>
        <v>#REF!</v>
      </c>
      <c r="AB302" s="26" t="e">
        <f t="shared" si="491"/>
        <v>#REF!</v>
      </c>
      <c r="AC302" s="25" t="e">
        <f t="shared" si="492"/>
        <v>#REF!</v>
      </c>
      <c r="AD302" s="24" t="e">
        <f t="shared" si="493"/>
        <v>#REF!</v>
      </c>
      <c r="AE302" s="25" t="e">
        <f t="shared" si="494"/>
        <v>#REF!</v>
      </c>
      <c r="AF302" s="24" t="e">
        <f t="shared" si="495"/>
        <v>#REF!</v>
      </c>
      <c r="AG302" s="25" t="e">
        <f t="shared" si="496"/>
        <v>#REF!</v>
      </c>
      <c r="AH302" s="24" t="e">
        <f t="shared" si="497"/>
        <v>#REF!</v>
      </c>
      <c r="AI302" s="25" t="e">
        <f t="shared" si="498"/>
        <v>#REF!</v>
      </c>
      <c r="AJ302" s="24" t="e">
        <f t="shared" si="499"/>
        <v>#REF!</v>
      </c>
      <c r="AK302" s="27" t="e">
        <f t="shared" si="468"/>
        <v>#REF!</v>
      </c>
      <c r="AL302" s="41">
        <v>0</v>
      </c>
      <c r="AM302" s="40">
        <v>0</v>
      </c>
      <c r="AN302" s="39">
        <v>0</v>
      </c>
      <c r="AO302" s="40">
        <v>0</v>
      </c>
      <c r="AP302" s="39">
        <v>0</v>
      </c>
      <c r="AQ302" s="40">
        <v>0</v>
      </c>
      <c r="AR302" s="39">
        <v>0</v>
      </c>
      <c r="AS302" s="40">
        <v>0</v>
      </c>
      <c r="AT302" s="39">
        <v>0</v>
      </c>
      <c r="AU302" s="38">
        <v>0</v>
      </c>
      <c r="CS302" s="54" t="s">
        <v>1469</v>
      </c>
      <c r="CT302" s="39">
        <v>0.24029026811267107</v>
      </c>
      <c r="CU302" s="40">
        <v>0.6614382645910053</v>
      </c>
      <c r="CV302" s="39">
        <v>1.8278385198563125</v>
      </c>
      <c r="CW302" s="40">
        <v>1.2380384913361873</v>
      </c>
      <c r="CX302" s="39">
        <v>11.520642222722177</v>
      </c>
      <c r="CY302" s="40">
        <v>10.041917797576748</v>
      </c>
      <c r="CZ302" s="39">
        <v>34.885646126951222</v>
      </c>
      <c r="DA302" s="40">
        <v>0.11084244498539376</v>
      </c>
      <c r="DB302" s="39">
        <v>6.950326155534152E-2</v>
      </c>
      <c r="DC302" s="38">
        <v>60.596157397687058</v>
      </c>
      <c r="DE302" s="37" t="s">
        <v>1447</v>
      </c>
      <c r="DF302" s="35" t="str">
        <f t="shared" si="469"/>
        <v>IPAMD</v>
      </c>
      <c r="DG302" s="26">
        <f t="shared" si="502"/>
        <v>0.71206014085066949</v>
      </c>
      <c r="DH302" s="25">
        <f t="shared" si="502"/>
        <v>0.6282883595741201</v>
      </c>
      <c r="DI302" s="24">
        <f t="shared" si="502"/>
        <v>0.86024467831885132</v>
      </c>
      <c r="DJ302" s="25">
        <f t="shared" si="502"/>
        <v>0.16472770435892897</v>
      </c>
      <c r="DK302" s="24">
        <f t="shared" si="502"/>
        <v>0.74901827964914725</v>
      </c>
      <c r="DL302" s="25">
        <f t="shared" si="502"/>
        <v>0.43491383979627907</v>
      </c>
      <c r="DM302" s="24">
        <f t="shared" si="502"/>
        <v>0.31410443985286818</v>
      </c>
      <c r="DN302" s="25">
        <f t="shared" si="502"/>
        <v>8.4100298065869161E-2</v>
      </c>
      <c r="DO302" s="32">
        <f t="shared" si="502"/>
        <v>0.65177731001048589</v>
      </c>
      <c r="DP302" s="26">
        <f t="shared" si="470"/>
        <v>0.24612146572071866</v>
      </c>
      <c r="DQ302" s="25">
        <f t="shared" si="471"/>
        <v>0.24612146572071869</v>
      </c>
      <c r="DR302" s="24">
        <f t="shared" si="472"/>
        <v>4.2678799608505201E-2</v>
      </c>
      <c r="DS302" s="25">
        <f t="shared" si="473"/>
        <v>4.2678799608505201E-2</v>
      </c>
      <c r="DT302" s="24">
        <f t="shared" si="474"/>
        <v>4.3620733125751099E-2</v>
      </c>
      <c r="DU302" s="25">
        <f t="shared" si="475"/>
        <v>4.3620733125751099E-2</v>
      </c>
      <c r="DV302" s="24">
        <f t="shared" si="476"/>
        <v>4.3620733125751092E-2</v>
      </c>
      <c r="DW302" s="25">
        <f t="shared" si="477"/>
        <v>3.1014530286972087E-2</v>
      </c>
      <c r="DX302" s="32">
        <f t="shared" si="478"/>
        <v>3.101453028697208E-2</v>
      </c>
      <c r="DZ302" s="54" t="s">
        <v>1632</v>
      </c>
      <c r="EA302" s="39">
        <v>4.2068781152679834E-2</v>
      </c>
      <c r="EB302" s="40">
        <v>0</v>
      </c>
      <c r="EC302" s="39">
        <v>8.9167154302158463E-2</v>
      </c>
      <c r="ED302" s="40">
        <v>0.36839907731445476</v>
      </c>
      <c r="EE302" s="39">
        <v>0.10908700630029637</v>
      </c>
      <c r="EF302" s="40">
        <v>0.1418447951594638</v>
      </c>
      <c r="EG302" s="39">
        <v>0</v>
      </c>
      <c r="EH302" s="40">
        <v>0</v>
      </c>
      <c r="EI302" s="66">
        <v>0</v>
      </c>
    </row>
    <row r="303" spans="1:139">
      <c r="A303" s="37" t="s">
        <v>1611</v>
      </c>
      <c r="B303" s="36" t="s">
        <v>1107</v>
      </c>
      <c r="C303" s="1" t="s">
        <v>1126</v>
      </c>
      <c r="D303" s="36" t="s">
        <v>1126</v>
      </c>
      <c r="E303" s="36" t="s">
        <v>1631</v>
      </c>
      <c r="F303" s="1" t="e">
        <f t="shared" ca="1" si="501"/>
        <v>#NAME?</v>
      </c>
      <c r="G303" s="35" t="s">
        <v>1104</v>
      </c>
      <c r="H303" s="43">
        <v>1</v>
      </c>
      <c r="I303" s="42">
        <v>0</v>
      </c>
      <c r="J303" s="26">
        <v>7.5127971065641203E-2</v>
      </c>
      <c r="K303" s="25">
        <v>6.5484969948283997E-2</v>
      </c>
      <c r="L303" s="24"/>
      <c r="M303" s="25"/>
      <c r="N303" s="24"/>
      <c r="O303" s="25"/>
      <c r="P303" s="24"/>
      <c r="Q303" s="25"/>
      <c r="R303" s="32"/>
      <c r="S303" s="31" t="e">
        <v>#REF!</v>
      </c>
      <c r="T303" s="29" t="e">
        <f t="shared" si="503"/>
        <v>#REF!</v>
      </c>
      <c r="U303" s="30" t="e">
        <f t="shared" si="503"/>
        <v>#REF!</v>
      </c>
      <c r="V303" s="29" t="e">
        <f t="shared" si="503"/>
        <v>#REF!</v>
      </c>
      <c r="W303" s="30" t="e">
        <f t="shared" si="503"/>
        <v>#REF!</v>
      </c>
      <c r="X303" s="29" t="e">
        <f t="shared" si="503"/>
        <v>#REF!</v>
      </c>
      <c r="Y303" s="30" t="e">
        <f t="shared" si="503"/>
        <v>#REF!</v>
      </c>
      <c r="Z303" s="29" t="e">
        <f t="shared" si="503"/>
        <v>#REF!</v>
      </c>
      <c r="AA303" s="28" t="e">
        <f t="shared" si="503"/>
        <v>#REF!</v>
      </c>
      <c r="AB303" s="26" t="e">
        <f t="shared" si="491"/>
        <v>#REF!</v>
      </c>
      <c r="AC303" s="25" t="e">
        <f t="shared" si="492"/>
        <v>#REF!</v>
      </c>
      <c r="AD303" s="24" t="e">
        <f t="shared" si="493"/>
        <v>#REF!</v>
      </c>
      <c r="AE303" s="25" t="e">
        <f t="shared" si="494"/>
        <v>#REF!</v>
      </c>
      <c r="AF303" s="24" t="e">
        <f t="shared" si="495"/>
        <v>#REF!</v>
      </c>
      <c r="AG303" s="25" t="e">
        <f t="shared" si="496"/>
        <v>#REF!</v>
      </c>
      <c r="AH303" s="24" t="e">
        <f t="shared" si="497"/>
        <v>#REF!</v>
      </c>
      <c r="AI303" s="25" t="e">
        <f t="shared" si="498"/>
        <v>#REF!</v>
      </c>
      <c r="AJ303" s="24" t="e">
        <f t="shared" si="499"/>
        <v>#REF!</v>
      </c>
      <c r="AK303" s="27" t="e">
        <f t="shared" si="468"/>
        <v>#REF!</v>
      </c>
      <c r="AL303" s="41">
        <v>0</v>
      </c>
      <c r="AM303" s="40">
        <v>0</v>
      </c>
      <c r="AN303" s="39">
        <v>0</v>
      </c>
      <c r="AO303" s="40">
        <v>0</v>
      </c>
      <c r="AP303" s="39">
        <v>0</v>
      </c>
      <c r="AQ303" s="40">
        <v>0</v>
      </c>
      <c r="AR303" s="39">
        <v>0</v>
      </c>
      <c r="AS303" s="40">
        <v>0</v>
      </c>
      <c r="AT303" s="39">
        <v>0</v>
      </c>
      <c r="AU303" s="38">
        <v>0</v>
      </c>
      <c r="CS303" s="54" t="s">
        <v>1630</v>
      </c>
      <c r="CT303" s="39">
        <v>0</v>
      </c>
      <c r="CU303" s="40">
        <v>0</v>
      </c>
      <c r="CV303" s="39">
        <v>0</v>
      </c>
      <c r="CW303" s="40">
        <v>0</v>
      </c>
      <c r="CX303" s="39">
        <v>0</v>
      </c>
      <c r="CY303" s="40">
        <v>0</v>
      </c>
      <c r="CZ303" s="39">
        <v>0</v>
      </c>
      <c r="DA303" s="40">
        <v>0</v>
      </c>
      <c r="DB303" s="39">
        <v>0</v>
      </c>
      <c r="DC303" s="38">
        <v>0</v>
      </c>
      <c r="DE303" s="37" t="s">
        <v>1339</v>
      </c>
      <c r="DF303" s="35" t="str">
        <f t="shared" si="469"/>
        <v>IPBMD</v>
      </c>
      <c r="DG303" s="26">
        <f t="shared" si="502"/>
        <v>2.3692561431517212</v>
      </c>
      <c r="DH303" s="25">
        <f t="shared" si="502"/>
        <v>2.0905201263103423</v>
      </c>
      <c r="DI303" s="24">
        <f t="shared" si="502"/>
        <v>6.7374477213659034</v>
      </c>
      <c r="DJ303" s="25">
        <f t="shared" si="502"/>
        <v>1.2901495636658111</v>
      </c>
      <c r="DK303" s="24">
        <f t="shared" si="502"/>
        <v>14.717261689224808</v>
      </c>
      <c r="DL303" s="25">
        <f t="shared" si="502"/>
        <v>8.5455067872918242</v>
      </c>
      <c r="DM303" s="24">
        <f t="shared" si="502"/>
        <v>6.1717549019329843</v>
      </c>
      <c r="DN303" s="25">
        <f t="shared" si="502"/>
        <v>1.2232529196238802</v>
      </c>
      <c r="DO303" s="32">
        <f t="shared" si="502"/>
        <v>9.4802101270850727</v>
      </c>
      <c r="DP303" s="26">
        <f t="shared" si="470"/>
        <v>0.93439242826121394</v>
      </c>
      <c r="DQ303" s="25">
        <f t="shared" si="471"/>
        <v>0.93439242826121405</v>
      </c>
      <c r="DR303" s="24">
        <f t="shared" si="472"/>
        <v>0.93895558350598451</v>
      </c>
      <c r="DS303" s="25">
        <f t="shared" si="473"/>
        <v>0.93895558350598451</v>
      </c>
      <c r="DT303" s="24">
        <f t="shared" si="474"/>
        <v>0.92839374967080657</v>
      </c>
      <c r="DU303" s="25">
        <f t="shared" si="475"/>
        <v>0.92839374967080646</v>
      </c>
      <c r="DV303" s="24">
        <f t="shared" si="476"/>
        <v>0.92839374967080657</v>
      </c>
      <c r="DW303" s="25">
        <f t="shared" si="477"/>
        <v>0.94472258741573545</v>
      </c>
      <c r="DX303" s="32">
        <f t="shared" si="478"/>
        <v>0.94472258741573556</v>
      </c>
      <c r="DZ303" s="54" t="s">
        <v>1629</v>
      </c>
      <c r="EA303" s="39">
        <v>6.5672259645444941E-3</v>
      </c>
      <c r="EB303" s="40">
        <v>2.8680633422953107E-3</v>
      </c>
      <c r="EC303" s="39">
        <v>1.1607307344683709E-3</v>
      </c>
      <c r="ED303" s="40">
        <v>9.4230763835093014E-3</v>
      </c>
      <c r="EE303" s="39">
        <v>1.0986777037897282E-2</v>
      </c>
      <c r="EF303" s="40">
        <v>3.7285664744338951E-4</v>
      </c>
      <c r="EG303" s="39">
        <v>0</v>
      </c>
      <c r="EH303" s="40">
        <v>0</v>
      </c>
      <c r="EI303" s="66">
        <v>1.3487666277902295E-3</v>
      </c>
    </row>
    <row r="304" spans="1:139">
      <c r="A304" s="37" t="s">
        <v>1611</v>
      </c>
      <c r="B304" s="36" t="s">
        <v>1107</v>
      </c>
      <c r="C304" s="1" t="s">
        <v>665</v>
      </c>
      <c r="D304" s="36" t="s">
        <v>665</v>
      </c>
      <c r="E304" s="36" t="s">
        <v>1628</v>
      </c>
      <c r="F304" s="1" t="e">
        <f t="shared" ca="1" si="501"/>
        <v>#NAME?</v>
      </c>
      <c r="G304" s="35" t="s">
        <v>1104</v>
      </c>
      <c r="H304" s="43">
        <v>1</v>
      </c>
      <c r="I304" s="42">
        <v>0</v>
      </c>
      <c r="J304" s="26">
        <v>0.36847056599999994</v>
      </c>
      <c r="K304" s="25">
        <v>0</v>
      </c>
      <c r="L304" s="24"/>
      <c r="M304" s="25"/>
      <c r="N304" s="24"/>
      <c r="O304" s="25"/>
      <c r="P304" s="24"/>
      <c r="Q304" s="25"/>
      <c r="R304" s="32"/>
      <c r="S304" s="31" t="e">
        <v>#REF!</v>
      </c>
      <c r="T304" s="29" t="e">
        <f t="shared" si="503"/>
        <v>#REF!</v>
      </c>
      <c r="U304" s="30" t="e">
        <f t="shared" si="503"/>
        <v>#REF!</v>
      </c>
      <c r="V304" s="29" t="e">
        <f t="shared" si="503"/>
        <v>#REF!</v>
      </c>
      <c r="W304" s="30" t="e">
        <f t="shared" si="503"/>
        <v>#REF!</v>
      </c>
      <c r="X304" s="29" t="e">
        <f t="shared" si="503"/>
        <v>#REF!</v>
      </c>
      <c r="Y304" s="30" t="e">
        <f t="shared" si="503"/>
        <v>#REF!</v>
      </c>
      <c r="Z304" s="29" t="e">
        <f t="shared" si="503"/>
        <v>#REF!</v>
      </c>
      <c r="AA304" s="28" t="e">
        <f t="shared" si="503"/>
        <v>#REF!</v>
      </c>
      <c r="AB304" s="26" t="e">
        <f t="shared" si="491"/>
        <v>#REF!</v>
      </c>
      <c r="AC304" s="25" t="e">
        <f t="shared" si="492"/>
        <v>#REF!</v>
      </c>
      <c r="AD304" s="24" t="e">
        <f t="shared" si="493"/>
        <v>#REF!</v>
      </c>
      <c r="AE304" s="25" t="e">
        <f t="shared" si="494"/>
        <v>#REF!</v>
      </c>
      <c r="AF304" s="24" t="e">
        <f t="shared" si="495"/>
        <v>#REF!</v>
      </c>
      <c r="AG304" s="25" t="e">
        <f t="shared" si="496"/>
        <v>#REF!</v>
      </c>
      <c r="AH304" s="24" t="e">
        <f t="shared" si="497"/>
        <v>#REF!</v>
      </c>
      <c r="AI304" s="25" t="e">
        <f t="shared" si="498"/>
        <v>#REF!</v>
      </c>
      <c r="AJ304" s="24" t="e">
        <f t="shared" si="499"/>
        <v>#REF!</v>
      </c>
      <c r="AK304" s="27" t="e">
        <f t="shared" si="468"/>
        <v>#REF!</v>
      </c>
      <c r="AL304" s="41">
        <v>0</v>
      </c>
      <c r="AM304" s="40">
        <v>0</v>
      </c>
      <c r="AN304" s="39">
        <v>0</v>
      </c>
      <c r="AO304" s="40">
        <v>0</v>
      </c>
      <c r="AP304" s="39">
        <v>0</v>
      </c>
      <c r="AQ304" s="40">
        <v>0</v>
      </c>
      <c r="AR304" s="39">
        <v>0</v>
      </c>
      <c r="AS304" s="40">
        <v>0</v>
      </c>
      <c r="AT304" s="39">
        <v>0</v>
      </c>
      <c r="AU304" s="38">
        <v>0</v>
      </c>
      <c r="CS304" s="54" t="s">
        <v>1627</v>
      </c>
      <c r="CT304" s="39">
        <v>1.2459782580800294E-2</v>
      </c>
      <c r="CU304" s="40">
        <v>3.4297589461931254E-2</v>
      </c>
      <c r="CV304" s="39">
        <v>0.11150470210638364</v>
      </c>
      <c r="CW304" s="40">
        <v>7.552478606454259E-2</v>
      </c>
      <c r="CX304" s="39">
        <v>0.20676105547269111</v>
      </c>
      <c r="CY304" s="40">
        <v>0.18022237672670069</v>
      </c>
      <c r="CZ304" s="39">
        <v>0.62609296205979215</v>
      </c>
      <c r="DA304" s="40">
        <v>9.5791975270144627E-3</v>
      </c>
      <c r="DB304" s="39">
        <v>6.0065931538960601E-3</v>
      </c>
      <c r="DC304" s="38">
        <v>1.2624490451537522</v>
      </c>
      <c r="DE304" s="37" t="s">
        <v>1337</v>
      </c>
      <c r="DF304" s="35" t="str">
        <f t="shared" si="469"/>
        <v>IPBMD</v>
      </c>
      <c r="DG304" s="26">
        <f t="shared" si="502"/>
        <v>0.16635531033641004</v>
      </c>
      <c r="DH304" s="25">
        <f t="shared" si="502"/>
        <v>0.14678409735565595</v>
      </c>
      <c r="DI304" s="24">
        <f t="shared" si="502"/>
        <v>0.43802238575973512</v>
      </c>
      <c r="DJ304" s="25">
        <f t="shared" si="502"/>
        <v>8.3876627060374798E-2</v>
      </c>
      <c r="DK304" s="24">
        <f t="shared" si="502"/>
        <v>1.1351303528837391</v>
      </c>
      <c r="DL304" s="25">
        <f t="shared" si="502"/>
        <v>0.65910794683571949</v>
      </c>
      <c r="DM304" s="24">
        <f t="shared" si="502"/>
        <v>0.47602240604801965</v>
      </c>
      <c r="DN304" s="25">
        <f t="shared" si="502"/>
        <v>7.1574721758186508E-2</v>
      </c>
      <c r="DO304" s="32">
        <f t="shared" si="502"/>
        <v>0.55470409362594542</v>
      </c>
      <c r="DP304" s="26">
        <f t="shared" si="470"/>
        <v>6.5607571738786008E-2</v>
      </c>
      <c r="DQ304" s="25">
        <f t="shared" si="471"/>
        <v>6.5607571738786022E-2</v>
      </c>
      <c r="DR304" s="24">
        <f t="shared" si="472"/>
        <v>6.1044416494015444E-2</v>
      </c>
      <c r="DS304" s="25">
        <f t="shared" si="473"/>
        <v>6.1044416494015444E-2</v>
      </c>
      <c r="DT304" s="24">
        <f t="shared" si="474"/>
        <v>7.1606250329193474E-2</v>
      </c>
      <c r="DU304" s="25">
        <f t="shared" si="475"/>
        <v>7.1606250329193474E-2</v>
      </c>
      <c r="DV304" s="24">
        <f t="shared" si="476"/>
        <v>7.1606250329193474E-2</v>
      </c>
      <c r="DW304" s="25">
        <f t="shared" si="477"/>
        <v>5.5277412584264447E-2</v>
      </c>
      <c r="DX304" s="32">
        <f t="shared" si="478"/>
        <v>5.527741258426444E-2</v>
      </c>
      <c r="DZ304" s="54" t="s">
        <v>1626</v>
      </c>
      <c r="EA304" s="39">
        <v>3.9504517467575287E-2</v>
      </c>
      <c r="EB304" s="40">
        <v>4.6689263625492111E-2</v>
      </c>
      <c r="EC304" s="39">
        <v>4.6358995821172096E-2</v>
      </c>
      <c r="ED304" s="40">
        <v>8.375762643768922E-2</v>
      </c>
      <c r="EE304" s="39">
        <v>2.4381698501786439E-2</v>
      </c>
      <c r="EF304" s="40">
        <v>5.9771257433148879E-2</v>
      </c>
      <c r="EG304" s="39">
        <v>0.15408707291251128</v>
      </c>
      <c r="EH304" s="40">
        <v>0.29240462210398621</v>
      </c>
      <c r="EI304" s="66">
        <v>4.107738684720165E-2</v>
      </c>
    </row>
    <row r="305" spans="1:139">
      <c r="A305" s="37" t="s">
        <v>1611</v>
      </c>
      <c r="B305" s="36" t="s">
        <v>1107</v>
      </c>
      <c r="C305" s="1" t="s">
        <v>665</v>
      </c>
      <c r="D305" s="36" t="s">
        <v>665</v>
      </c>
      <c r="E305" s="36" t="s">
        <v>1625</v>
      </c>
      <c r="F305" s="1" t="e">
        <f t="shared" ca="1" si="501"/>
        <v>#NAME?</v>
      </c>
      <c r="G305" s="35" t="s">
        <v>1109</v>
      </c>
      <c r="H305" s="34">
        <f>1-I305</f>
        <v>0.88420736602702721</v>
      </c>
      <c r="I305" s="33">
        <v>0.11579263397297275</v>
      </c>
      <c r="J305" s="26" t="e">
        <v>#REF!</v>
      </c>
      <c r="K305" s="25" t="e">
        <v>#REF!</v>
      </c>
      <c r="L305" s="24"/>
      <c r="M305" s="25"/>
      <c r="N305" s="24"/>
      <c r="O305" s="25"/>
      <c r="P305" s="24"/>
      <c r="Q305" s="25"/>
      <c r="R305" s="32"/>
      <c r="S305" s="31" t="e">
        <v>#REF!</v>
      </c>
      <c r="T305" s="29" t="e">
        <f t="shared" si="503"/>
        <v>#REF!</v>
      </c>
      <c r="U305" s="30" t="e">
        <f t="shared" si="503"/>
        <v>#REF!</v>
      </c>
      <c r="V305" s="29" t="e">
        <f t="shared" si="503"/>
        <v>#REF!</v>
      </c>
      <c r="W305" s="30" t="e">
        <f t="shared" si="503"/>
        <v>#REF!</v>
      </c>
      <c r="X305" s="29" t="e">
        <f t="shared" si="503"/>
        <v>#REF!</v>
      </c>
      <c r="Y305" s="30" t="e">
        <f t="shared" si="503"/>
        <v>#REF!</v>
      </c>
      <c r="Z305" s="29" t="e">
        <f t="shared" si="503"/>
        <v>#REF!</v>
      </c>
      <c r="AA305" s="28" t="e">
        <f t="shared" si="503"/>
        <v>#REF!</v>
      </c>
      <c r="AB305" s="26" t="e">
        <f t="shared" ref="AB305:AJ308" si="504">J305*31.536*$H305*S305</f>
        <v>#REF!</v>
      </c>
      <c r="AC305" s="25" t="e">
        <f t="shared" si="504"/>
        <v>#REF!</v>
      </c>
      <c r="AD305" s="24" t="e">
        <f t="shared" si="504"/>
        <v>#REF!</v>
      </c>
      <c r="AE305" s="25" t="e">
        <f t="shared" si="504"/>
        <v>#REF!</v>
      </c>
      <c r="AF305" s="24" t="e">
        <f t="shared" si="504"/>
        <v>#REF!</v>
      </c>
      <c r="AG305" s="25" t="e">
        <f t="shared" si="504"/>
        <v>#REF!</v>
      </c>
      <c r="AH305" s="24" t="e">
        <f t="shared" si="504"/>
        <v>#REF!</v>
      </c>
      <c r="AI305" s="25" t="e">
        <f t="shared" si="504"/>
        <v>#REF!</v>
      </c>
      <c r="AJ305" s="24" t="e">
        <f t="shared" si="504"/>
        <v>#REF!</v>
      </c>
      <c r="AK305" s="27" t="e">
        <f t="shared" si="468"/>
        <v>#REF!</v>
      </c>
      <c r="AL305" s="26" t="e">
        <f t="shared" ref="AL305:AT308" si="505">J305*31.536*$I305*S305</f>
        <v>#REF!</v>
      </c>
      <c r="AM305" s="25" t="e">
        <f t="shared" si="505"/>
        <v>#REF!</v>
      </c>
      <c r="AN305" s="24" t="e">
        <f t="shared" si="505"/>
        <v>#REF!</v>
      </c>
      <c r="AO305" s="25" t="e">
        <f t="shared" si="505"/>
        <v>#REF!</v>
      </c>
      <c r="AP305" s="24" t="e">
        <f t="shared" si="505"/>
        <v>#REF!</v>
      </c>
      <c r="AQ305" s="25" t="e">
        <f t="shared" si="505"/>
        <v>#REF!</v>
      </c>
      <c r="AR305" s="24" t="e">
        <f t="shared" si="505"/>
        <v>#REF!</v>
      </c>
      <c r="AS305" s="25" t="e">
        <f t="shared" si="505"/>
        <v>#REF!</v>
      </c>
      <c r="AT305" s="24" t="e">
        <f t="shared" si="505"/>
        <v>#REF!</v>
      </c>
      <c r="AU305" s="23" t="e">
        <f>SUM(AL305:AT305)</f>
        <v>#REF!</v>
      </c>
      <c r="CS305" s="54" t="s">
        <v>1624</v>
      </c>
      <c r="CT305" s="39">
        <v>0</v>
      </c>
      <c r="CU305" s="40">
        <v>2.6291038414464998</v>
      </c>
      <c r="CV305" s="39">
        <v>7.0381457236429297</v>
      </c>
      <c r="CW305" s="40">
        <v>0</v>
      </c>
      <c r="CX305" s="39">
        <v>6.7926709321640679</v>
      </c>
      <c r="CY305" s="40">
        <v>5.1969209191993446</v>
      </c>
      <c r="CZ305" s="39">
        <v>8.2577195474762277</v>
      </c>
      <c r="DA305" s="40">
        <v>0</v>
      </c>
      <c r="DB305" s="39">
        <v>0.2021152255073618</v>
      </c>
      <c r="DC305" s="38">
        <v>30.116676189436433</v>
      </c>
      <c r="DE305" s="37" t="s">
        <v>1623</v>
      </c>
      <c r="DF305" s="35" t="str">
        <f t="shared" si="469"/>
        <v>ICPMD</v>
      </c>
      <c r="DG305" s="26">
        <f t="shared" si="502"/>
        <v>0.66659836807281569</v>
      </c>
      <c r="DH305" s="25">
        <f t="shared" si="502"/>
        <v>1.8349210362133221</v>
      </c>
      <c r="DI305" s="24">
        <f t="shared" si="502"/>
        <v>5.9655015626915251</v>
      </c>
      <c r="DJ305" s="25">
        <f t="shared" si="502"/>
        <v>4.0405760544530285</v>
      </c>
      <c r="DK305" s="24">
        <f t="shared" si="502"/>
        <v>11.061716467788974</v>
      </c>
      <c r="DL305" s="25">
        <f t="shared" si="502"/>
        <v>9.6418971548784871</v>
      </c>
      <c r="DM305" s="24">
        <f t="shared" si="502"/>
        <v>33.495973470198876</v>
      </c>
      <c r="DN305" s="25">
        <f t="shared" si="502"/>
        <v>0.51248706769527375</v>
      </c>
      <c r="DO305" s="32">
        <f t="shared" si="502"/>
        <v>0.3213527337334392</v>
      </c>
      <c r="DP305" s="26">
        <f t="shared" si="470"/>
        <v>0.97101705622816414</v>
      </c>
      <c r="DQ305" s="25">
        <f t="shared" si="471"/>
        <v>0.97101705622816425</v>
      </c>
      <c r="DR305" s="24">
        <f t="shared" si="472"/>
        <v>0.97525692873746794</v>
      </c>
      <c r="DS305" s="25">
        <f t="shared" si="473"/>
        <v>0.97525692873746805</v>
      </c>
      <c r="DT305" s="24">
        <f t="shared" si="474"/>
        <v>0.92060869521214339</v>
      </c>
      <c r="DU305" s="25">
        <f t="shared" si="475"/>
        <v>0.9206086952121435</v>
      </c>
      <c r="DV305" s="24">
        <f t="shared" si="476"/>
        <v>0.9206086952121435</v>
      </c>
      <c r="DW305" s="25">
        <f t="shared" si="477"/>
        <v>0.98240626646093887</v>
      </c>
      <c r="DX305" s="32">
        <f t="shared" si="478"/>
        <v>0.98240626646093876</v>
      </c>
      <c r="DZ305" s="54" t="s">
        <v>1622</v>
      </c>
      <c r="EA305" s="39">
        <v>0.17899631400129595</v>
      </c>
      <c r="EB305" s="40">
        <v>0.29009537947326136</v>
      </c>
      <c r="EC305" s="39">
        <v>0.56451318073002454</v>
      </c>
      <c r="ED305" s="40">
        <v>0.51593469875831854</v>
      </c>
      <c r="EE305" s="39">
        <v>0.41062673246700687</v>
      </c>
      <c r="EF305" s="40">
        <v>0.79173217411869423</v>
      </c>
      <c r="EG305" s="39">
        <v>0.62798765117002098</v>
      </c>
      <c r="EH305" s="40">
        <v>8.6416996240822483E-2</v>
      </c>
      <c r="EI305" s="66">
        <v>0.61033425962089638</v>
      </c>
    </row>
    <row r="306" spans="1:139">
      <c r="A306" s="37" t="s">
        <v>1611</v>
      </c>
      <c r="B306" s="36" t="s">
        <v>1107</v>
      </c>
      <c r="C306" s="1" t="s">
        <v>665</v>
      </c>
      <c r="D306" s="36" t="s">
        <v>665</v>
      </c>
      <c r="E306" s="36" t="s">
        <v>1621</v>
      </c>
      <c r="F306" s="1" t="e">
        <f t="shared" ca="1" si="501"/>
        <v>#NAME?</v>
      </c>
      <c r="G306" s="35" t="s">
        <v>1109</v>
      </c>
      <c r="H306" s="34">
        <f>1-I306</f>
        <v>0.56826632981108727</v>
      </c>
      <c r="I306" s="33">
        <v>0.43173367018891268</v>
      </c>
      <c r="J306" s="26">
        <v>0</v>
      </c>
      <c r="K306" s="25">
        <v>0</v>
      </c>
      <c r="L306" s="24"/>
      <c r="M306" s="25"/>
      <c r="N306" s="24"/>
      <c r="O306" s="25"/>
      <c r="P306" s="24"/>
      <c r="Q306" s="25"/>
      <c r="R306" s="32"/>
      <c r="S306" s="31" t="e">
        <v>#REF!</v>
      </c>
      <c r="T306" s="29" t="e">
        <f t="shared" si="503"/>
        <v>#REF!</v>
      </c>
      <c r="U306" s="30" t="e">
        <f t="shared" si="503"/>
        <v>#REF!</v>
      </c>
      <c r="V306" s="29" t="e">
        <f t="shared" si="503"/>
        <v>#REF!</v>
      </c>
      <c r="W306" s="30" t="e">
        <f t="shared" si="503"/>
        <v>#REF!</v>
      </c>
      <c r="X306" s="29" t="e">
        <f t="shared" si="503"/>
        <v>#REF!</v>
      </c>
      <c r="Y306" s="30" t="e">
        <f t="shared" si="503"/>
        <v>#REF!</v>
      </c>
      <c r="Z306" s="29" t="e">
        <f t="shared" si="503"/>
        <v>#REF!</v>
      </c>
      <c r="AA306" s="28" t="e">
        <f t="shared" si="503"/>
        <v>#REF!</v>
      </c>
      <c r="AB306" s="26" t="e">
        <f t="shared" si="504"/>
        <v>#REF!</v>
      </c>
      <c r="AC306" s="25" t="e">
        <f t="shared" si="504"/>
        <v>#REF!</v>
      </c>
      <c r="AD306" s="24" t="e">
        <f t="shared" si="504"/>
        <v>#REF!</v>
      </c>
      <c r="AE306" s="25" t="e">
        <f t="shared" si="504"/>
        <v>#REF!</v>
      </c>
      <c r="AF306" s="24" t="e">
        <f t="shared" si="504"/>
        <v>#REF!</v>
      </c>
      <c r="AG306" s="25" t="e">
        <f t="shared" si="504"/>
        <v>#REF!</v>
      </c>
      <c r="AH306" s="24" t="e">
        <f t="shared" si="504"/>
        <v>#REF!</v>
      </c>
      <c r="AI306" s="25" t="e">
        <f t="shared" si="504"/>
        <v>#REF!</v>
      </c>
      <c r="AJ306" s="24" t="e">
        <f t="shared" si="504"/>
        <v>#REF!</v>
      </c>
      <c r="AK306" s="27" t="e">
        <f t="shared" si="468"/>
        <v>#REF!</v>
      </c>
      <c r="AL306" s="26" t="e">
        <f t="shared" si="505"/>
        <v>#REF!</v>
      </c>
      <c r="AM306" s="25" t="e">
        <f t="shared" si="505"/>
        <v>#REF!</v>
      </c>
      <c r="AN306" s="24" t="e">
        <f t="shared" si="505"/>
        <v>#REF!</v>
      </c>
      <c r="AO306" s="25" t="e">
        <f t="shared" si="505"/>
        <v>#REF!</v>
      </c>
      <c r="AP306" s="24" t="e">
        <f t="shared" si="505"/>
        <v>#REF!</v>
      </c>
      <c r="AQ306" s="25" t="e">
        <f t="shared" si="505"/>
        <v>#REF!</v>
      </c>
      <c r="AR306" s="24" t="e">
        <f t="shared" si="505"/>
        <v>#REF!</v>
      </c>
      <c r="AS306" s="25" t="e">
        <f t="shared" si="505"/>
        <v>#REF!</v>
      </c>
      <c r="AT306" s="24" t="e">
        <f t="shared" si="505"/>
        <v>#REF!</v>
      </c>
      <c r="AU306" s="23" t="e">
        <f>SUM(AL306:AT306)</f>
        <v>#REF!</v>
      </c>
      <c r="CS306" s="54" t="s">
        <v>1620</v>
      </c>
      <c r="CT306" s="39">
        <v>3.3102973654339132</v>
      </c>
      <c r="CU306" s="40">
        <v>2.081416106598688</v>
      </c>
      <c r="CV306" s="39">
        <v>1.3701612761968145</v>
      </c>
      <c r="CW306" s="40">
        <v>0</v>
      </c>
      <c r="CX306" s="39">
        <v>6.3387893040239929</v>
      </c>
      <c r="CY306" s="40">
        <v>11.477558883311074</v>
      </c>
      <c r="CZ306" s="39">
        <v>39.740241147334814</v>
      </c>
      <c r="DA306" s="40">
        <v>0</v>
      </c>
      <c r="DB306" s="39">
        <v>3.2085814744734258E-2</v>
      </c>
      <c r="DC306" s="38">
        <v>64.350549897644044</v>
      </c>
      <c r="DE306" s="37" t="s">
        <v>1619</v>
      </c>
      <c r="DF306" s="35" t="str">
        <f t="shared" si="469"/>
        <v>ICPMD</v>
      </c>
      <c r="DG306" s="26">
        <f t="shared" si="502"/>
        <v>1.9896646404233911E-2</v>
      </c>
      <c r="DH306" s="25">
        <f t="shared" si="502"/>
        <v>5.4768773501166046E-2</v>
      </c>
      <c r="DI306" s="24">
        <f t="shared" si="502"/>
        <v>0.15134968635752907</v>
      </c>
      <c r="DJ306" s="25">
        <f t="shared" si="502"/>
        <v>0.10251274132083081</v>
      </c>
      <c r="DK306" s="24">
        <f t="shared" si="502"/>
        <v>0.9539385279961039</v>
      </c>
      <c r="DL306" s="25">
        <f t="shared" si="502"/>
        <v>0.83149637814329769</v>
      </c>
      <c r="DM306" s="24">
        <f t="shared" si="502"/>
        <v>2.8886203799386365</v>
      </c>
      <c r="DN306" s="25">
        <f t="shared" si="502"/>
        <v>9.1780368459243259E-3</v>
      </c>
      <c r="DO306" s="32">
        <f t="shared" si="502"/>
        <v>5.755047135155668E-3</v>
      </c>
      <c r="DP306" s="26">
        <f t="shared" si="470"/>
        <v>2.8982943771835766E-2</v>
      </c>
      <c r="DQ306" s="25">
        <f t="shared" si="471"/>
        <v>2.8982943771835773E-2</v>
      </c>
      <c r="DR306" s="24">
        <f t="shared" si="472"/>
        <v>2.4743071262532074E-2</v>
      </c>
      <c r="DS306" s="25">
        <f t="shared" si="473"/>
        <v>2.4743071262532081E-2</v>
      </c>
      <c r="DT306" s="24">
        <f t="shared" si="474"/>
        <v>7.9391304787856512E-2</v>
      </c>
      <c r="DU306" s="25">
        <f t="shared" si="475"/>
        <v>7.9391304787856498E-2</v>
      </c>
      <c r="DV306" s="24">
        <f t="shared" si="476"/>
        <v>7.9391304787856498E-2</v>
      </c>
      <c r="DW306" s="25">
        <f t="shared" si="477"/>
        <v>1.7593733539061168E-2</v>
      </c>
      <c r="DX306" s="32">
        <f t="shared" si="478"/>
        <v>1.7593733539061164E-2</v>
      </c>
      <c r="DZ306" s="54" t="s">
        <v>1618</v>
      </c>
      <c r="EA306" s="39">
        <v>2.6836939808509579E-2</v>
      </c>
      <c r="EB306" s="40">
        <v>1.9979476897793867E-3</v>
      </c>
      <c r="EC306" s="39">
        <v>1.1667749708323702E-3</v>
      </c>
      <c r="ED306" s="40">
        <v>6.1705035102045946E-3</v>
      </c>
      <c r="EE306" s="39">
        <v>7.2177838013404039E-3</v>
      </c>
      <c r="EF306" s="40">
        <v>6.2789166412496782E-3</v>
      </c>
      <c r="EG306" s="39">
        <v>1.6053951156636648E-3</v>
      </c>
      <c r="EH306" s="40">
        <v>0</v>
      </c>
      <c r="EI306" s="66">
        <v>1.8399001919851569E-3</v>
      </c>
    </row>
    <row r="307" spans="1:139" ht="15.75" thickBot="1">
      <c r="A307" s="37" t="s">
        <v>1611</v>
      </c>
      <c r="B307" s="36" t="s">
        <v>1107</v>
      </c>
      <c r="C307" s="1" t="s">
        <v>665</v>
      </c>
      <c r="D307" s="36" t="s">
        <v>665</v>
      </c>
      <c r="E307" s="36" t="s">
        <v>1617</v>
      </c>
      <c r="F307" s="1" t="e">
        <f t="shared" ca="1" si="501"/>
        <v>#NAME?</v>
      </c>
      <c r="G307" s="35" t="s">
        <v>1109</v>
      </c>
      <c r="H307" s="34">
        <f>1-I307</f>
        <v>0.64769647696476973</v>
      </c>
      <c r="I307" s="33">
        <v>0.35230352303523033</v>
      </c>
      <c r="J307" s="26">
        <v>0</v>
      </c>
      <c r="K307" s="25">
        <v>0</v>
      </c>
      <c r="L307" s="24"/>
      <c r="M307" s="25"/>
      <c r="N307" s="24"/>
      <c r="O307" s="25"/>
      <c r="P307" s="24"/>
      <c r="Q307" s="25"/>
      <c r="R307" s="32"/>
      <c r="S307" s="31" t="e">
        <v>#REF!</v>
      </c>
      <c r="T307" s="29" t="e">
        <f t="shared" si="503"/>
        <v>#REF!</v>
      </c>
      <c r="U307" s="30" t="e">
        <f t="shared" si="503"/>
        <v>#REF!</v>
      </c>
      <c r="V307" s="29" t="e">
        <f t="shared" si="503"/>
        <v>#REF!</v>
      </c>
      <c r="W307" s="30" t="e">
        <f t="shared" si="503"/>
        <v>#REF!</v>
      </c>
      <c r="X307" s="29" t="e">
        <f t="shared" si="503"/>
        <v>#REF!</v>
      </c>
      <c r="Y307" s="30" t="e">
        <f t="shared" si="503"/>
        <v>#REF!</v>
      </c>
      <c r="Z307" s="29" t="e">
        <f t="shared" si="503"/>
        <v>#REF!</v>
      </c>
      <c r="AA307" s="28" t="e">
        <f t="shared" si="503"/>
        <v>#REF!</v>
      </c>
      <c r="AB307" s="26" t="e">
        <f t="shared" si="504"/>
        <v>#REF!</v>
      </c>
      <c r="AC307" s="25" t="e">
        <f t="shared" si="504"/>
        <v>#REF!</v>
      </c>
      <c r="AD307" s="24" t="e">
        <f t="shared" si="504"/>
        <v>#REF!</v>
      </c>
      <c r="AE307" s="25" t="e">
        <f t="shared" si="504"/>
        <v>#REF!</v>
      </c>
      <c r="AF307" s="24" t="e">
        <f t="shared" si="504"/>
        <v>#REF!</v>
      </c>
      <c r="AG307" s="25" t="e">
        <f t="shared" si="504"/>
        <v>#REF!</v>
      </c>
      <c r="AH307" s="24" t="e">
        <f t="shared" si="504"/>
        <v>#REF!</v>
      </c>
      <c r="AI307" s="25" t="e">
        <f t="shared" si="504"/>
        <v>#REF!</v>
      </c>
      <c r="AJ307" s="24" t="e">
        <f t="shared" si="504"/>
        <v>#REF!</v>
      </c>
      <c r="AK307" s="27" t="e">
        <f t="shared" si="468"/>
        <v>#REF!</v>
      </c>
      <c r="AL307" s="26" t="e">
        <f t="shared" si="505"/>
        <v>#REF!</v>
      </c>
      <c r="AM307" s="25" t="e">
        <f t="shared" si="505"/>
        <v>#REF!</v>
      </c>
      <c r="AN307" s="24" t="e">
        <f t="shared" si="505"/>
        <v>#REF!</v>
      </c>
      <c r="AO307" s="25" t="e">
        <f t="shared" si="505"/>
        <v>#REF!</v>
      </c>
      <c r="AP307" s="24" t="e">
        <f t="shared" si="505"/>
        <v>#REF!</v>
      </c>
      <c r="AQ307" s="25" t="e">
        <f t="shared" si="505"/>
        <v>#REF!</v>
      </c>
      <c r="AR307" s="24" t="e">
        <f t="shared" si="505"/>
        <v>#REF!</v>
      </c>
      <c r="AS307" s="25" t="e">
        <f t="shared" si="505"/>
        <v>#REF!</v>
      </c>
      <c r="AT307" s="24" t="e">
        <f t="shared" si="505"/>
        <v>#REF!</v>
      </c>
      <c r="AU307" s="23" t="e">
        <f>SUM(AL307:AT307)</f>
        <v>#REF!</v>
      </c>
      <c r="CS307" s="53" t="s">
        <v>1616</v>
      </c>
      <c r="CT307" s="39">
        <v>0</v>
      </c>
      <c r="CU307" s="40">
        <v>0</v>
      </c>
      <c r="CV307" s="39">
        <v>0</v>
      </c>
      <c r="CW307" s="40">
        <v>0</v>
      </c>
      <c r="CX307" s="39">
        <v>0</v>
      </c>
      <c r="CY307" s="40">
        <v>0</v>
      </c>
      <c r="CZ307" s="39">
        <v>0</v>
      </c>
      <c r="DA307" s="40">
        <v>0</v>
      </c>
      <c r="DB307" s="39">
        <v>0</v>
      </c>
      <c r="DC307" s="38">
        <v>0</v>
      </c>
      <c r="DE307" s="37" t="s">
        <v>1599</v>
      </c>
      <c r="DF307" s="35" t="str">
        <f t="shared" si="469"/>
        <v>IMAMD</v>
      </c>
      <c r="DG307" s="26">
        <f t="shared" si="502"/>
        <v>0.20256698018811803</v>
      </c>
      <c r="DH307" s="25">
        <f t="shared" si="502"/>
        <v>0.55759874459936132</v>
      </c>
      <c r="DI307" s="24">
        <f t="shared" si="502"/>
        <v>6.64695596935971</v>
      </c>
      <c r="DJ307" s="25">
        <f t="shared" si="502"/>
        <v>4.5021413275233204</v>
      </c>
      <c r="DK307" s="24">
        <f t="shared" si="502"/>
        <v>2.2237298670072789</v>
      </c>
      <c r="DL307" s="25">
        <f t="shared" si="502"/>
        <v>1.938304488308896</v>
      </c>
      <c r="DM307" s="24">
        <f t="shared" si="502"/>
        <v>6.7336743666376968</v>
      </c>
      <c r="DN307" s="25">
        <f t="shared" si="502"/>
        <v>2.647501652016703</v>
      </c>
      <c r="DO307" s="32">
        <f t="shared" si="502"/>
        <v>1.6601041217790131</v>
      </c>
      <c r="DP307" s="26">
        <f t="shared" si="470"/>
        <v>0.61804479794202016</v>
      </c>
      <c r="DQ307" s="25">
        <f t="shared" si="471"/>
        <v>0.61804479794202016</v>
      </c>
      <c r="DR307" s="24">
        <f t="shared" si="472"/>
        <v>0.93132475054206831</v>
      </c>
      <c r="DS307" s="25">
        <f t="shared" si="473"/>
        <v>0.93132475054206831</v>
      </c>
      <c r="DT307" s="24">
        <f t="shared" si="474"/>
        <v>0.78109232035057463</v>
      </c>
      <c r="DU307" s="25">
        <f t="shared" si="475"/>
        <v>0.78109232035057452</v>
      </c>
      <c r="DV307" s="24">
        <f t="shared" si="476"/>
        <v>0.78109232035057463</v>
      </c>
      <c r="DW307" s="25">
        <f t="shared" si="477"/>
        <v>0.9243896666563417</v>
      </c>
      <c r="DX307" s="32">
        <f t="shared" si="478"/>
        <v>0.9243896666563417</v>
      </c>
      <c r="DZ307" s="53" t="s">
        <v>1471</v>
      </c>
      <c r="EA307" s="39">
        <v>0.39654038858981616</v>
      </c>
      <c r="EB307" s="40">
        <v>0.39654038858981616</v>
      </c>
      <c r="EC307" s="39">
        <v>0</v>
      </c>
      <c r="ED307" s="40">
        <v>0</v>
      </c>
      <c r="EE307" s="39">
        <v>0.21944904476003813</v>
      </c>
      <c r="EF307" s="40">
        <v>0.2194490447600381</v>
      </c>
      <c r="EG307" s="39">
        <v>0.2194490447600381</v>
      </c>
      <c r="EH307" s="40">
        <v>0</v>
      </c>
      <c r="EI307" s="66">
        <v>0</v>
      </c>
    </row>
    <row r="308" spans="1:139">
      <c r="A308" s="37" t="s">
        <v>1611</v>
      </c>
      <c r="B308" s="36" t="s">
        <v>1107</v>
      </c>
      <c r="C308" s="1" t="s">
        <v>665</v>
      </c>
      <c r="D308" s="36" t="s">
        <v>665</v>
      </c>
      <c r="E308" s="36" t="s">
        <v>1615</v>
      </c>
      <c r="F308" s="1" t="e">
        <f t="shared" ca="1" si="501"/>
        <v>#NAME?</v>
      </c>
      <c r="G308" s="35" t="s">
        <v>1109</v>
      </c>
      <c r="H308" s="34">
        <f>1-I308</f>
        <v>0.48576155732268078</v>
      </c>
      <c r="I308" s="33">
        <v>0.51423844267731922</v>
      </c>
      <c r="J308" s="26">
        <v>0</v>
      </c>
      <c r="K308" s="25">
        <v>0</v>
      </c>
      <c r="L308" s="24"/>
      <c r="M308" s="25"/>
      <c r="N308" s="24"/>
      <c r="O308" s="25"/>
      <c r="P308" s="24"/>
      <c r="Q308" s="25"/>
      <c r="R308" s="32"/>
      <c r="S308" s="31" t="e">
        <v>#REF!</v>
      </c>
      <c r="T308" s="29" t="e">
        <f t="shared" si="503"/>
        <v>#REF!</v>
      </c>
      <c r="U308" s="30" t="e">
        <f t="shared" si="503"/>
        <v>#REF!</v>
      </c>
      <c r="V308" s="29" t="e">
        <f t="shared" si="503"/>
        <v>#REF!</v>
      </c>
      <c r="W308" s="30" t="e">
        <f t="shared" si="503"/>
        <v>#REF!</v>
      </c>
      <c r="X308" s="29" t="e">
        <f t="shared" si="503"/>
        <v>#REF!</v>
      </c>
      <c r="Y308" s="30" t="e">
        <f t="shared" si="503"/>
        <v>#REF!</v>
      </c>
      <c r="Z308" s="29" t="e">
        <f t="shared" si="503"/>
        <v>#REF!</v>
      </c>
      <c r="AA308" s="28" t="e">
        <f t="shared" si="503"/>
        <v>#REF!</v>
      </c>
      <c r="AB308" s="26" t="e">
        <f t="shared" si="504"/>
        <v>#REF!</v>
      </c>
      <c r="AC308" s="25" t="e">
        <f t="shared" si="504"/>
        <v>#REF!</v>
      </c>
      <c r="AD308" s="24" t="e">
        <f t="shared" si="504"/>
        <v>#REF!</v>
      </c>
      <c r="AE308" s="25" t="e">
        <f t="shared" si="504"/>
        <v>#REF!</v>
      </c>
      <c r="AF308" s="24" t="e">
        <f t="shared" si="504"/>
        <v>#REF!</v>
      </c>
      <c r="AG308" s="25" t="e">
        <f t="shared" si="504"/>
        <v>#REF!</v>
      </c>
      <c r="AH308" s="24" t="e">
        <f t="shared" si="504"/>
        <v>#REF!</v>
      </c>
      <c r="AI308" s="25" t="e">
        <f t="shared" si="504"/>
        <v>#REF!</v>
      </c>
      <c r="AJ308" s="24" t="e">
        <f t="shared" si="504"/>
        <v>#REF!</v>
      </c>
      <c r="AK308" s="27" t="e">
        <f t="shared" si="468"/>
        <v>#REF!</v>
      </c>
      <c r="AL308" s="26" t="e">
        <f t="shared" si="505"/>
        <v>#REF!</v>
      </c>
      <c r="AM308" s="25" t="e">
        <f t="shared" si="505"/>
        <v>#REF!</v>
      </c>
      <c r="AN308" s="24" t="e">
        <f t="shared" si="505"/>
        <v>#REF!</v>
      </c>
      <c r="AO308" s="25" t="e">
        <f t="shared" si="505"/>
        <v>#REF!</v>
      </c>
      <c r="AP308" s="24" t="e">
        <f t="shared" si="505"/>
        <v>#REF!</v>
      </c>
      <c r="AQ308" s="25" t="e">
        <f t="shared" si="505"/>
        <v>#REF!</v>
      </c>
      <c r="AR308" s="24" t="e">
        <f t="shared" si="505"/>
        <v>#REF!</v>
      </c>
      <c r="AS308" s="25" t="e">
        <f t="shared" si="505"/>
        <v>#REF!</v>
      </c>
      <c r="AT308" s="24" t="e">
        <f t="shared" si="505"/>
        <v>#REF!</v>
      </c>
      <c r="AU308" s="23" t="e">
        <f>SUM(AL308:AT308)</f>
        <v>#REF!</v>
      </c>
      <c r="CS308" s="67" t="s">
        <v>1614</v>
      </c>
      <c r="CT308" s="39">
        <v>0</v>
      </c>
      <c r="CU308" s="40">
        <v>0</v>
      </c>
      <c r="CV308" s="39">
        <v>2.4381918998455934</v>
      </c>
      <c r="CW308" s="40">
        <v>0</v>
      </c>
      <c r="CX308" s="39">
        <v>1.8014734413548208</v>
      </c>
      <c r="CY308" s="40">
        <v>3.6554102741929579</v>
      </c>
      <c r="CZ308" s="39">
        <v>0</v>
      </c>
      <c r="DA308" s="40">
        <v>0</v>
      </c>
      <c r="DB308" s="39">
        <v>0</v>
      </c>
      <c r="DC308" s="38">
        <v>7.8950756153933721</v>
      </c>
      <c r="DE308" s="37" t="s">
        <v>1596</v>
      </c>
      <c r="DF308" s="35" t="str">
        <f t="shared" si="469"/>
        <v>IMAMD</v>
      </c>
      <c r="DG308" s="26">
        <f t="shared" ref="DG308:DO317" si="506">GETPIVOTDATA("Sum of "&amp;DG$1&amp;" (Out)",$CS$6,"Constraint Identifier",$DE308)</f>
        <v>0.12518754644592245</v>
      </c>
      <c r="DH308" s="25">
        <f t="shared" si="506"/>
        <v>0.34459919712924225</v>
      </c>
      <c r="DI308" s="24">
        <f t="shared" si="506"/>
        <v>0.49014198223119904</v>
      </c>
      <c r="DJ308" s="25">
        <f t="shared" si="506"/>
        <v>0.33198481902533933</v>
      </c>
      <c r="DK308" s="24">
        <f t="shared" si="506"/>
        <v>0.62321896230551088</v>
      </c>
      <c r="DL308" s="25">
        <f t="shared" si="506"/>
        <v>0.54322610392498283</v>
      </c>
      <c r="DM308" s="24">
        <f t="shared" si="506"/>
        <v>1.8871687670080775</v>
      </c>
      <c r="DN308" s="25">
        <f t="shared" si="506"/>
        <v>0.2165520555427074</v>
      </c>
      <c r="DO308" s="32">
        <f t="shared" si="506"/>
        <v>0.13578800213866618</v>
      </c>
      <c r="DP308" s="26">
        <f t="shared" si="470"/>
        <v>0.38195520205797978</v>
      </c>
      <c r="DQ308" s="25">
        <f t="shared" si="471"/>
        <v>0.38195520205797978</v>
      </c>
      <c r="DR308" s="24">
        <f t="shared" si="472"/>
        <v>6.86752494579317E-2</v>
      </c>
      <c r="DS308" s="25">
        <f t="shared" si="473"/>
        <v>6.86752494579317E-2</v>
      </c>
      <c r="DT308" s="24">
        <f t="shared" si="474"/>
        <v>0.2189076796494254</v>
      </c>
      <c r="DU308" s="25">
        <f t="shared" si="475"/>
        <v>0.21890767964942537</v>
      </c>
      <c r="DV308" s="24">
        <f t="shared" si="476"/>
        <v>0.21890767964942537</v>
      </c>
      <c r="DW308" s="25">
        <f t="shared" si="477"/>
        <v>7.5610333343658284E-2</v>
      </c>
      <c r="DX308" s="32">
        <f t="shared" si="478"/>
        <v>7.561033334365827E-2</v>
      </c>
      <c r="DZ308" s="67" t="s">
        <v>1466</v>
      </c>
      <c r="EA308" s="39">
        <v>0.11725314846156663</v>
      </c>
      <c r="EB308" s="40">
        <v>0.11725314846156661</v>
      </c>
      <c r="EC308" s="39">
        <v>0.72562620211717044</v>
      </c>
      <c r="ED308" s="40">
        <v>0.72562620211717033</v>
      </c>
      <c r="EE308" s="39">
        <v>0.51911163988118503</v>
      </c>
      <c r="EF308" s="40">
        <v>0.51911163988118492</v>
      </c>
      <c r="EG308" s="39">
        <v>0.51911163988118503</v>
      </c>
      <c r="EH308" s="40">
        <v>0.803161708991179</v>
      </c>
      <c r="EI308" s="66">
        <v>0.80316170899117889</v>
      </c>
    </row>
    <row r="309" spans="1:139">
      <c r="A309" s="37" t="s">
        <v>1611</v>
      </c>
      <c r="B309" s="36" t="s">
        <v>1107</v>
      </c>
      <c r="C309" s="1" t="s">
        <v>1111</v>
      </c>
      <c r="D309" s="36" t="s">
        <v>1111</v>
      </c>
      <c r="E309" s="36" t="s">
        <v>1613</v>
      </c>
      <c r="F309" s="1" t="e">
        <f t="shared" ca="1" si="501"/>
        <v>#NAME?</v>
      </c>
      <c r="G309" s="35" t="s">
        <v>1104</v>
      </c>
      <c r="H309" s="43">
        <v>1</v>
      </c>
      <c r="I309" s="42">
        <v>0</v>
      </c>
      <c r="J309" s="26">
        <v>0</v>
      </c>
      <c r="K309" s="25">
        <v>0</v>
      </c>
      <c r="L309" s="24"/>
      <c r="M309" s="25"/>
      <c r="N309" s="24"/>
      <c r="O309" s="25"/>
      <c r="P309" s="24"/>
      <c r="Q309" s="25"/>
      <c r="R309" s="32"/>
      <c r="S309" s="31" t="e">
        <v>#REF!</v>
      </c>
      <c r="T309" s="29" t="e">
        <f t="shared" si="503"/>
        <v>#REF!</v>
      </c>
      <c r="U309" s="30" t="e">
        <f t="shared" si="503"/>
        <v>#REF!</v>
      </c>
      <c r="V309" s="29" t="e">
        <f t="shared" si="503"/>
        <v>#REF!</v>
      </c>
      <c r="W309" s="30" t="e">
        <f t="shared" si="503"/>
        <v>#REF!</v>
      </c>
      <c r="X309" s="29" t="e">
        <f t="shared" si="503"/>
        <v>#REF!</v>
      </c>
      <c r="Y309" s="30" t="e">
        <f t="shared" si="503"/>
        <v>#REF!</v>
      </c>
      <c r="Z309" s="29" t="e">
        <f t="shared" si="503"/>
        <v>#REF!</v>
      </c>
      <c r="AA309" s="28" t="e">
        <f t="shared" si="503"/>
        <v>#REF!</v>
      </c>
      <c r="AB309" s="26" t="e">
        <f t="shared" ref="AB309:AJ309" si="507">J309*$H309*S309</f>
        <v>#REF!</v>
      </c>
      <c r="AC309" s="25" t="e">
        <f t="shared" si="507"/>
        <v>#REF!</v>
      </c>
      <c r="AD309" s="24" t="e">
        <f t="shared" si="507"/>
        <v>#REF!</v>
      </c>
      <c r="AE309" s="25" t="e">
        <f t="shared" si="507"/>
        <v>#REF!</v>
      </c>
      <c r="AF309" s="24" t="e">
        <f t="shared" si="507"/>
        <v>#REF!</v>
      </c>
      <c r="AG309" s="25" t="e">
        <f t="shared" si="507"/>
        <v>#REF!</v>
      </c>
      <c r="AH309" s="24" t="e">
        <f t="shared" si="507"/>
        <v>#REF!</v>
      </c>
      <c r="AI309" s="25" t="e">
        <f t="shared" si="507"/>
        <v>#REF!</v>
      </c>
      <c r="AJ309" s="24" t="e">
        <f t="shared" si="507"/>
        <v>#REF!</v>
      </c>
      <c r="AK309" s="27" t="e">
        <f t="shared" si="468"/>
        <v>#REF!</v>
      </c>
      <c r="AL309" s="41">
        <v>0</v>
      </c>
      <c r="AM309" s="40">
        <v>0</v>
      </c>
      <c r="AN309" s="39">
        <v>0</v>
      </c>
      <c r="AO309" s="40">
        <v>0</v>
      </c>
      <c r="AP309" s="39">
        <v>0</v>
      </c>
      <c r="AQ309" s="40">
        <v>0</v>
      </c>
      <c r="AR309" s="39">
        <v>0</v>
      </c>
      <c r="AS309" s="40">
        <v>0</v>
      </c>
      <c r="AT309" s="39">
        <v>0</v>
      </c>
      <c r="AU309" s="38">
        <v>0</v>
      </c>
      <c r="CS309" s="54" t="s">
        <v>1612</v>
      </c>
      <c r="CT309" s="39">
        <v>1.0007773425960593</v>
      </c>
      <c r="CU309" s="40">
        <v>2.7548033215325591</v>
      </c>
      <c r="CV309" s="39">
        <v>32.839127705765236</v>
      </c>
      <c r="CW309" s="40">
        <v>22.242722034787832</v>
      </c>
      <c r="CX309" s="39">
        <v>10.986284462000247</v>
      </c>
      <c r="CY309" s="40">
        <v>9.5761471743832374</v>
      </c>
      <c r="CZ309" s="39">
        <v>33.267557882793383</v>
      </c>
      <c r="DA309" s="40">
        <v>13.079918876034903</v>
      </c>
      <c r="DB309" s="39">
        <v>8.2017048873606004</v>
      </c>
      <c r="DC309" s="38">
        <v>133.94904368725403</v>
      </c>
      <c r="DE309" s="37" t="s">
        <v>1553</v>
      </c>
      <c r="DF309" s="35" t="str">
        <f t="shared" si="469"/>
        <v>IMSMD</v>
      </c>
      <c r="DG309" s="26">
        <f t="shared" si="506"/>
        <v>1.299650059570711</v>
      </c>
      <c r="DH309" s="25">
        <f t="shared" si="506"/>
        <v>3.5774993582968042</v>
      </c>
      <c r="DI309" s="24">
        <f t="shared" si="506"/>
        <v>9.7407851524281419</v>
      </c>
      <c r="DJ309" s="25">
        <f t="shared" si="506"/>
        <v>6.5976653974280346</v>
      </c>
      <c r="DK309" s="24">
        <f t="shared" si="506"/>
        <v>3.7824761832300831</v>
      </c>
      <c r="DL309" s="25">
        <f t="shared" si="506"/>
        <v>3.2969789503899189</v>
      </c>
      <c r="DM309" s="24">
        <f t="shared" si="506"/>
        <v>11.453712654276558</v>
      </c>
      <c r="DN309" s="25">
        <f t="shared" si="506"/>
        <v>1.4987747044408273</v>
      </c>
      <c r="DO309" s="32">
        <f t="shared" si="506"/>
        <v>0.93980000449293066</v>
      </c>
      <c r="DP309" s="26">
        <f t="shared" si="470"/>
        <v>0.87007808007920939</v>
      </c>
      <c r="DQ309" s="25">
        <f t="shared" si="471"/>
        <v>0.87007808007920961</v>
      </c>
      <c r="DR309" s="24">
        <f t="shared" si="472"/>
        <v>0.79619050897313715</v>
      </c>
      <c r="DS309" s="25">
        <f t="shared" si="473"/>
        <v>0.79619050897313715</v>
      </c>
      <c r="DT309" s="24">
        <f t="shared" si="474"/>
        <v>0.92233546724858217</v>
      </c>
      <c r="DU309" s="25">
        <f t="shared" si="475"/>
        <v>0.92233546724858217</v>
      </c>
      <c r="DV309" s="24">
        <f t="shared" si="476"/>
        <v>0.92233546724858217</v>
      </c>
      <c r="DW309" s="25">
        <f t="shared" si="477"/>
        <v>0.90015076110516656</v>
      </c>
      <c r="DX309" s="32">
        <f t="shared" si="478"/>
        <v>0.90015076110516656</v>
      </c>
      <c r="DZ309" s="54" t="s">
        <v>1461</v>
      </c>
      <c r="EA309" s="39">
        <v>0.293110431961697</v>
      </c>
      <c r="EB309" s="40">
        <v>0.29311043196169695</v>
      </c>
      <c r="EC309" s="39">
        <v>0.24770006630151306</v>
      </c>
      <c r="ED309" s="40">
        <v>0.24770006630151309</v>
      </c>
      <c r="EE309" s="39">
        <v>0.18129349522354141</v>
      </c>
      <c r="EF309" s="40">
        <v>0.18129349522354138</v>
      </c>
      <c r="EG309" s="39">
        <v>0.18129349522354138</v>
      </c>
      <c r="EH309" s="40">
        <v>0.19683829100882114</v>
      </c>
      <c r="EI309" s="66">
        <v>0.19683829100882111</v>
      </c>
    </row>
    <row r="310" spans="1:139">
      <c r="A310" s="22" t="s">
        <v>1611</v>
      </c>
      <c r="B310" s="20" t="s">
        <v>1107</v>
      </c>
      <c r="C310" s="21" t="s">
        <v>1106</v>
      </c>
      <c r="D310" s="20" t="s">
        <v>1106</v>
      </c>
      <c r="E310" s="20" t="s">
        <v>1610</v>
      </c>
      <c r="F310" s="21" t="e">
        <f t="shared" ca="1" si="501"/>
        <v>#NAME?</v>
      </c>
      <c r="G310" s="19" t="s">
        <v>1109</v>
      </c>
      <c r="H310" s="50">
        <f>1-I310</f>
        <v>0.88332652522877819</v>
      </c>
      <c r="I310" s="49">
        <v>0.11667347477122179</v>
      </c>
      <c r="J310" s="11" t="e">
        <v>#REF!</v>
      </c>
      <c r="K310" s="10" t="e">
        <v>#REF!</v>
      </c>
      <c r="L310" s="9"/>
      <c r="M310" s="10"/>
      <c r="N310" s="9"/>
      <c r="O310" s="10"/>
      <c r="P310" s="9"/>
      <c r="Q310" s="10"/>
      <c r="R310" s="16"/>
      <c r="S310" s="15" t="e">
        <v>#REF!</v>
      </c>
      <c r="T310" s="13" t="e">
        <f t="shared" si="503"/>
        <v>#REF!</v>
      </c>
      <c r="U310" s="14" t="e">
        <f t="shared" si="503"/>
        <v>#REF!</v>
      </c>
      <c r="V310" s="13" t="e">
        <f t="shared" si="503"/>
        <v>#REF!</v>
      </c>
      <c r="W310" s="14" t="e">
        <f t="shared" si="503"/>
        <v>#REF!</v>
      </c>
      <c r="X310" s="13" t="e">
        <f t="shared" si="503"/>
        <v>#REF!</v>
      </c>
      <c r="Y310" s="14" t="e">
        <f t="shared" si="503"/>
        <v>#REF!</v>
      </c>
      <c r="Z310" s="13" t="e">
        <f t="shared" si="503"/>
        <v>#REF!</v>
      </c>
      <c r="AA310" s="12" t="e">
        <f t="shared" si="503"/>
        <v>#REF!</v>
      </c>
      <c r="AB310" s="11" t="e">
        <f t="shared" ref="AB310:AJ310" si="508">J310*31.536*$H310*S310</f>
        <v>#REF!</v>
      </c>
      <c r="AC310" s="10" t="e">
        <f t="shared" si="508"/>
        <v>#REF!</v>
      </c>
      <c r="AD310" s="9" t="e">
        <f t="shared" si="508"/>
        <v>#REF!</v>
      </c>
      <c r="AE310" s="10" t="e">
        <f t="shared" si="508"/>
        <v>#REF!</v>
      </c>
      <c r="AF310" s="9" t="e">
        <f t="shared" si="508"/>
        <v>#REF!</v>
      </c>
      <c r="AG310" s="10" t="e">
        <f t="shared" si="508"/>
        <v>#REF!</v>
      </c>
      <c r="AH310" s="9" t="e">
        <f t="shared" si="508"/>
        <v>#REF!</v>
      </c>
      <c r="AI310" s="10" t="e">
        <f t="shared" si="508"/>
        <v>#REF!</v>
      </c>
      <c r="AJ310" s="9" t="e">
        <f t="shared" si="508"/>
        <v>#REF!</v>
      </c>
      <c r="AK310" s="8" t="e">
        <f t="shared" si="468"/>
        <v>#REF!</v>
      </c>
      <c r="AL310" s="11" t="e">
        <f t="shared" ref="AL310:AT310" si="509">J310*31.536*$I310*S310</f>
        <v>#REF!</v>
      </c>
      <c r="AM310" s="10" t="e">
        <f t="shared" si="509"/>
        <v>#REF!</v>
      </c>
      <c r="AN310" s="9" t="e">
        <f t="shared" si="509"/>
        <v>#REF!</v>
      </c>
      <c r="AO310" s="10" t="e">
        <f t="shared" si="509"/>
        <v>#REF!</v>
      </c>
      <c r="AP310" s="9" t="e">
        <f t="shared" si="509"/>
        <v>#REF!</v>
      </c>
      <c r="AQ310" s="10" t="e">
        <f t="shared" si="509"/>
        <v>#REF!</v>
      </c>
      <c r="AR310" s="9" t="e">
        <f t="shared" si="509"/>
        <v>#REF!</v>
      </c>
      <c r="AS310" s="10" t="e">
        <f t="shared" si="509"/>
        <v>#REF!</v>
      </c>
      <c r="AT310" s="9" t="e">
        <f t="shared" si="509"/>
        <v>#REF!</v>
      </c>
      <c r="AU310" s="48" t="e">
        <f>SUM(AL310:AT310)</f>
        <v>#REF!</v>
      </c>
      <c r="CS310" s="54" t="s">
        <v>1609</v>
      </c>
      <c r="CT310" s="39">
        <v>0</v>
      </c>
      <c r="CU310" s="40">
        <v>0</v>
      </c>
      <c r="CV310" s="39">
        <v>0</v>
      </c>
      <c r="CW310" s="40">
        <v>0</v>
      </c>
      <c r="CX310" s="39">
        <v>0.14981717881700962</v>
      </c>
      <c r="CY310" s="40">
        <v>0.1305874937577729</v>
      </c>
      <c r="CZ310" s="39">
        <v>0.45366126149115193</v>
      </c>
      <c r="DA310" s="40">
        <v>0</v>
      </c>
      <c r="DB310" s="39">
        <v>0</v>
      </c>
      <c r="DC310" s="38">
        <v>0.73406593406593446</v>
      </c>
      <c r="DE310" s="37" t="s">
        <v>1550</v>
      </c>
      <c r="DF310" s="35" t="str">
        <f t="shared" si="469"/>
        <v>IMSMD</v>
      </c>
      <c r="DG310" s="26">
        <f t="shared" si="506"/>
        <v>0.19406652670668889</v>
      </c>
      <c r="DH310" s="25">
        <f t="shared" si="506"/>
        <v>0.53419985606694409</v>
      </c>
      <c r="DI310" s="24">
        <f t="shared" si="506"/>
        <v>2.4934540687741156</v>
      </c>
      <c r="DJ310" s="25">
        <f t="shared" si="506"/>
        <v>1.6888757294401773</v>
      </c>
      <c r="DK310" s="24">
        <f t="shared" si="506"/>
        <v>0.31850043270075978</v>
      </c>
      <c r="DL310" s="25">
        <f t="shared" si="506"/>
        <v>0.27761951997480966</v>
      </c>
      <c r="DM310" s="24">
        <f t="shared" si="506"/>
        <v>0.96445086755364451</v>
      </c>
      <c r="DN310" s="25">
        <f t="shared" si="506"/>
        <v>0.16625161026305174</v>
      </c>
      <c r="DO310" s="32">
        <f t="shared" si="506"/>
        <v>0.10424733191001197</v>
      </c>
      <c r="DP310" s="26">
        <f t="shared" si="470"/>
        <v>0.1299219199207905</v>
      </c>
      <c r="DQ310" s="25">
        <f t="shared" si="471"/>
        <v>0.1299219199207905</v>
      </c>
      <c r="DR310" s="24">
        <f t="shared" si="472"/>
        <v>0.20380949102686291</v>
      </c>
      <c r="DS310" s="25">
        <f t="shared" si="473"/>
        <v>0.20380949102686291</v>
      </c>
      <c r="DT310" s="24">
        <f t="shared" si="474"/>
        <v>7.7664532751417881E-2</v>
      </c>
      <c r="DU310" s="25">
        <f t="shared" si="475"/>
        <v>7.7664532751417867E-2</v>
      </c>
      <c r="DV310" s="24">
        <f t="shared" si="476"/>
        <v>7.7664532751417881E-2</v>
      </c>
      <c r="DW310" s="25">
        <f t="shared" si="477"/>
        <v>9.9849238894833436E-2</v>
      </c>
      <c r="DX310" s="32">
        <f t="shared" si="478"/>
        <v>9.9849238894833464E-2</v>
      </c>
      <c r="DZ310" s="54" t="s">
        <v>1457</v>
      </c>
      <c r="EA310" s="39">
        <v>0.19309603098692019</v>
      </c>
      <c r="EB310" s="40">
        <v>0.19309603098692019</v>
      </c>
      <c r="EC310" s="39">
        <v>2.6673731581316553E-2</v>
      </c>
      <c r="ED310" s="40">
        <v>2.667373158131655E-2</v>
      </c>
      <c r="EE310" s="39">
        <v>8.014582013523544E-2</v>
      </c>
      <c r="EF310" s="40">
        <v>8.0145820135235427E-2</v>
      </c>
      <c r="EG310" s="39">
        <v>8.014582013523544E-2</v>
      </c>
      <c r="EH310" s="40">
        <v>0</v>
      </c>
      <c r="EI310" s="66">
        <v>0</v>
      </c>
    </row>
    <row r="311" spans="1:139">
      <c r="A311" s="37" t="s">
        <v>1539</v>
      </c>
      <c r="B311" s="36" t="s">
        <v>1150</v>
      </c>
      <c r="C311" s="1" t="s">
        <v>1126</v>
      </c>
      <c r="D311" s="36" t="s">
        <v>1126</v>
      </c>
      <c r="E311" s="36" t="s">
        <v>1608</v>
      </c>
      <c r="F311" s="1" t="e">
        <f t="shared" ca="1" si="501"/>
        <v>#NAME?</v>
      </c>
      <c r="G311" s="35" t="s">
        <v>1121</v>
      </c>
      <c r="H311" s="43">
        <v>1</v>
      </c>
      <c r="I311" s="42">
        <v>0</v>
      </c>
      <c r="J311" s="26">
        <v>8.5901768061119391E-2</v>
      </c>
      <c r="K311" s="25">
        <v>0.12301183580420917</v>
      </c>
      <c r="L311" s="24"/>
      <c r="M311" s="25"/>
      <c r="N311" s="24"/>
      <c r="O311" s="25"/>
      <c r="P311" s="24"/>
      <c r="Q311" s="25"/>
      <c r="R311" s="32"/>
      <c r="S311" s="47">
        <v>1</v>
      </c>
      <c r="T311" s="45">
        <v>1</v>
      </c>
      <c r="U311" s="46">
        <v>1</v>
      </c>
      <c r="V311" s="45">
        <v>1</v>
      </c>
      <c r="W311" s="46">
        <v>1</v>
      </c>
      <c r="X311" s="45">
        <v>1</v>
      </c>
      <c r="Y311" s="46">
        <v>1</v>
      </c>
      <c r="Z311" s="45">
        <v>1</v>
      </c>
      <c r="AA311" s="44">
        <v>1</v>
      </c>
      <c r="AB311" s="26">
        <f t="shared" ref="AB311:AB331" si="510">J311*$H311*S311</f>
        <v>8.5901768061119391E-2</v>
      </c>
      <c r="AC311" s="25">
        <f t="shared" ref="AC311:AC331" si="511">K311*$H311*T311</f>
        <v>0.12301183580420917</v>
      </c>
      <c r="AD311" s="24">
        <f t="shared" ref="AD311:AD331" si="512">L311*$H311*U311</f>
        <v>0</v>
      </c>
      <c r="AE311" s="25">
        <f t="shared" ref="AE311:AE331" si="513">M311*$H311*V311</f>
        <v>0</v>
      </c>
      <c r="AF311" s="24">
        <f t="shared" ref="AF311:AF331" si="514">N311*$H311*W311</f>
        <v>0</v>
      </c>
      <c r="AG311" s="25">
        <f t="shared" ref="AG311:AG331" si="515">O311*$H311*X311</f>
        <v>0</v>
      </c>
      <c r="AH311" s="24">
        <f t="shared" ref="AH311:AH331" si="516">P311*$H311*Y311</f>
        <v>0</v>
      </c>
      <c r="AI311" s="25">
        <f t="shared" ref="AI311:AI331" si="517">Q311*$H311*Z311</f>
        <v>0</v>
      </c>
      <c r="AJ311" s="24">
        <f t="shared" ref="AJ311:AJ331" si="518">R311*$H311*AA311</f>
        <v>0</v>
      </c>
      <c r="AK311" s="27">
        <f t="shared" si="468"/>
        <v>0.20891360386532856</v>
      </c>
      <c r="AL311" s="41">
        <v>0</v>
      </c>
      <c r="AM311" s="40">
        <v>0</v>
      </c>
      <c r="AN311" s="39">
        <v>0</v>
      </c>
      <c r="AO311" s="40">
        <v>0</v>
      </c>
      <c r="AP311" s="39">
        <v>0</v>
      </c>
      <c r="AQ311" s="40">
        <v>0</v>
      </c>
      <c r="AR311" s="39">
        <v>0</v>
      </c>
      <c r="AS311" s="40">
        <v>0</v>
      </c>
      <c r="AT311" s="39">
        <v>0</v>
      </c>
      <c r="AU311" s="38">
        <v>0</v>
      </c>
      <c r="CS311" s="54" t="s">
        <v>1607</v>
      </c>
      <c r="CT311" s="39">
        <v>4.8230233378123336E-2</v>
      </c>
      <c r="CU311" s="40">
        <v>0.13276160585699079</v>
      </c>
      <c r="CV311" s="39">
        <v>1.5826085641332643</v>
      </c>
      <c r="CW311" s="40">
        <v>1.0719384113150761</v>
      </c>
      <c r="CX311" s="39">
        <v>0.5294594921445902</v>
      </c>
      <c r="CY311" s="40">
        <v>0.46150106864497525</v>
      </c>
      <c r="CZ311" s="39">
        <v>1.6032558015804039</v>
      </c>
      <c r="DA311" s="40">
        <v>0.63035753619445312</v>
      </c>
      <c r="DB311" s="39">
        <v>0.39526288613786026</v>
      </c>
      <c r="DC311" s="38">
        <v>6.4553755993857376</v>
      </c>
      <c r="DE311" s="37" t="s">
        <v>1198</v>
      </c>
      <c r="DF311" s="35" t="str">
        <f t="shared" si="469"/>
        <v>IPLMD</v>
      </c>
      <c r="DG311" s="26">
        <f t="shared" si="506"/>
        <v>0.46999567092311051</v>
      </c>
      <c r="DH311" s="25">
        <f t="shared" si="506"/>
        <v>0.41470206257921516</v>
      </c>
      <c r="DI311" s="24">
        <f t="shared" si="506"/>
        <v>0.7425141691894519</v>
      </c>
      <c r="DJ311" s="25">
        <f t="shared" si="506"/>
        <v>0.14218356431287374</v>
      </c>
      <c r="DK311" s="24">
        <f t="shared" si="506"/>
        <v>1.7693954670046512</v>
      </c>
      <c r="DL311" s="25">
        <f t="shared" si="506"/>
        <v>1.0273909163252815</v>
      </c>
      <c r="DM311" s="24">
        <f t="shared" si="506"/>
        <v>0.74200455067936988</v>
      </c>
      <c r="DN311" s="25">
        <f t="shared" si="506"/>
        <v>0.10110831240026578</v>
      </c>
      <c r="DO311" s="32">
        <f t="shared" si="506"/>
        <v>0.78358942110205987</v>
      </c>
      <c r="DP311" s="26">
        <f t="shared" si="470"/>
        <v>1</v>
      </c>
      <c r="DQ311" s="25">
        <f t="shared" si="471"/>
        <v>1</v>
      </c>
      <c r="DR311" s="24">
        <f t="shared" si="472"/>
        <v>1</v>
      </c>
      <c r="DS311" s="25">
        <f t="shared" si="473"/>
        <v>1</v>
      </c>
      <c r="DT311" s="24">
        <f t="shared" si="474"/>
        <v>1</v>
      </c>
      <c r="DU311" s="25">
        <f t="shared" si="475"/>
        <v>1</v>
      </c>
      <c r="DV311" s="24">
        <f t="shared" si="476"/>
        <v>1</v>
      </c>
      <c r="DW311" s="25">
        <f t="shared" si="477"/>
        <v>1</v>
      </c>
      <c r="DX311" s="32">
        <f t="shared" si="478"/>
        <v>1</v>
      </c>
      <c r="DZ311" s="54" t="s">
        <v>1452</v>
      </c>
      <c r="EA311" s="39">
        <v>0.75387853427928131</v>
      </c>
      <c r="EB311" s="40">
        <v>0.75387853427928131</v>
      </c>
      <c r="EC311" s="39">
        <v>0.95732120039149493</v>
      </c>
      <c r="ED311" s="40">
        <v>0.95732120039149482</v>
      </c>
      <c r="EE311" s="39">
        <v>0.95637926687424901</v>
      </c>
      <c r="EF311" s="40">
        <v>0.9563792668742489</v>
      </c>
      <c r="EG311" s="39">
        <v>0.9563792668742489</v>
      </c>
      <c r="EH311" s="40">
        <v>0.9689854697130279</v>
      </c>
      <c r="EI311" s="66">
        <v>0.96898546971302779</v>
      </c>
    </row>
    <row r="312" spans="1:139">
      <c r="A312" s="37" t="s">
        <v>1539</v>
      </c>
      <c r="B312" s="36" t="s">
        <v>1145</v>
      </c>
      <c r="C312" s="1" t="s">
        <v>1120</v>
      </c>
      <c r="D312" s="36" t="s">
        <v>1120</v>
      </c>
      <c r="E312" s="36" t="s">
        <v>1606</v>
      </c>
      <c r="F312" s="1" t="e">
        <f t="shared" ca="1" si="501"/>
        <v>#NAME?</v>
      </c>
      <c r="G312" s="35" t="s">
        <v>1121</v>
      </c>
      <c r="H312" s="43">
        <v>1</v>
      </c>
      <c r="I312" s="42">
        <v>0</v>
      </c>
      <c r="J312" s="26">
        <v>0.28896373635867451</v>
      </c>
      <c r="K312" s="25">
        <v>0.48682090078180223</v>
      </c>
      <c r="L312" s="24"/>
      <c r="M312" s="25"/>
      <c r="N312" s="24"/>
      <c r="O312" s="25"/>
      <c r="P312" s="24"/>
      <c r="Q312" s="25"/>
      <c r="R312" s="32"/>
      <c r="S312" s="47">
        <v>1</v>
      </c>
      <c r="T312" s="45">
        <v>1</v>
      </c>
      <c r="U312" s="46">
        <v>1</v>
      </c>
      <c r="V312" s="45">
        <v>1</v>
      </c>
      <c r="W312" s="46">
        <v>1</v>
      </c>
      <c r="X312" s="45">
        <v>1</v>
      </c>
      <c r="Y312" s="46">
        <v>1</v>
      </c>
      <c r="Z312" s="45">
        <v>1</v>
      </c>
      <c r="AA312" s="44">
        <v>1</v>
      </c>
      <c r="AB312" s="26">
        <f t="shared" si="510"/>
        <v>0.28896373635867451</v>
      </c>
      <c r="AC312" s="25">
        <f t="shared" si="511"/>
        <v>0.48682090078180223</v>
      </c>
      <c r="AD312" s="24">
        <f t="shared" si="512"/>
        <v>0</v>
      </c>
      <c r="AE312" s="25">
        <f t="shared" si="513"/>
        <v>0</v>
      </c>
      <c r="AF312" s="24">
        <f t="shared" si="514"/>
        <v>0</v>
      </c>
      <c r="AG312" s="25">
        <f t="shared" si="515"/>
        <v>0</v>
      </c>
      <c r="AH312" s="24">
        <f t="shared" si="516"/>
        <v>0</v>
      </c>
      <c r="AI312" s="25">
        <f t="shared" si="517"/>
        <v>0</v>
      </c>
      <c r="AJ312" s="24">
        <f t="shared" si="518"/>
        <v>0</v>
      </c>
      <c r="AK312" s="27">
        <f t="shared" si="468"/>
        <v>0.77578463714047674</v>
      </c>
      <c r="AL312" s="41">
        <v>0</v>
      </c>
      <c r="AM312" s="40">
        <v>0</v>
      </c>
      <c r="AN312" s="39">
        <v>0</v>
      </c>
      <c r="AO312" s="40">
        <v>0</v>
      </c>
      <c r="AP312" s="39">
        <v>0</v>
      </c>
      <c r="AQ312" s="40">
        <v>0</v>
      </c>
      <c r="AR312" s="39">
        <v>0</v>
      </c>
      <c r="AS312" s="40">
        <v>0</v>
      </c>
      <c r="AT312" s="39">
        <v>0</v>
      </c>
      <c r="AU312" s="38">
        <v>0</v>
      </c>
      <c r="CS312" s="54" t="s">
        <v>1605</v>
      </c>
      <c r="CT312" s="39">
        <v>0.12518754644592245</v>
      </c>
      <c r="CU312" s="40">
        <v>0.34459919712924225</v>
      </c>
      <c r="CV312" s="39">
        <v>0.49014198223119904</v>
      </c>
      <c r="CW312" s="40">
        <v>0.33198481902533933</v>
      </c>
      <c r="CX312" s="39">
        <v>0.62321896230551088</v>
      </c>
      <c r="CY312" s="40">
        <v>0.54322610392498283</v>
      </c>
      <c r="CZ312" s="39">
        <v>1.8871687670080775</v>
      </c>
      <c r="DA312" s="40">
        <v>0.2165520555427074</v>
      </c>
      <c r="DB312" s="39">
        <v>0.13578800213866618</v>
      </c>
      <c r="DC312" s="38">
        <v>4.6978674357516477</v>
      </c>
      <c r="DE312" s="37" t="s">
        <v>1491</v>
      </c>
      <c r="DF312" s="35" t="str">
        <f t="shared" si="469"/>
        <v>IMLMD</v>
      </c>
      <c r="DG312" s="26">
        <f t="shared" si="506"/>
        <v>0.33448560000198496</v>
      </c>
      <c r="DH312" s="25">
        <f t="shared" si="506"/>
        <v>0.9207263221007973</v>
      </c>
      <c r="DI312" s="24">
        <f t="shared" si="506"/>
        <v>0.10690600780445661</v>
      </c>
      <c r="DJ312" s="25">
        <f t="shared" si="506"/>
        <v>7.2409981067369414E-2</v>
      </c>
      <c r="DK312" s="24">
        <f t="shared" si="506"/>
        <v>3.6597006239968442E-2</v>
      </c>
      <c r="DL312" s="25">
        <f t="shared" si="506"/>
        <v>3.1899621669904621E-2</v>
      </c>
      <c r="DM312" s="24">
        <f t="shared" si="506"/>
        <v>0.11081936096195298</v>
      </c>
      <c r="DN312" s="25">
        <f t="shared" si="506"/>
        <v>0</v>
      </c>
      <c r="DO312" s="32">
        <f t="shared" si="506"/>
        <v>0</v>
      </c>
      <c r="DP312" s="26">
        <f t="shared" si="470"/>
        <v>1</v>
      </c>
      <c r="DQ312" s="25">
        <f t="shared" si="471"/>
        <v>1</v>
      </c>
      <c r="DR312" s="24">
        <f t="shared" si="472"/>
        <v>1</v>
      </c>
      <c r="DS312" s="25">
        <f t="shared" si="473"/>
        <v>1</v>
      </c>
      <c r="DT312" s="24">
        <f t="shared" si="474"/>
        <v>1</v>
      </c>
      <c r="DU312" s="25">
        <f t="shared" si="475"/>
        <v>1</v>
      </c>
      <c r="DV312" s="24">
        <f t="shared" si="476"/>
        <v>1</v>
      </c>
      <c r="DW312" s="25">
        <f t="shared" si="477"/>
        <v>0</v>
      </c>
      <c r="DX312" s="32">
        <f t="shared" si="478"/>
        <v>0</v>
      </c>
      <c r="DZ312" s="54" t="s">
        <v>1447</v>
      </c>
      <c r="EA312" s="39">
        <v>0.24612146572071866</v>
      </c>
      <c r="EB312" s="40">
        <v>0.24612146572071869</v>
      </c>
      <c r="EC312" s="39">
        <v>4.2678799608505201E-2</v>
      </c>
      <c r="ED312" s="40">
        <v>4.2678799608505201E-2</v>
      </c>
      <c r="EE312" s="39">
        <v>4.3620733125751099E-2</v>
      </c>
      <c r="EF312" s="40">
        <v>4.3620733125751099E-2</v>
      </c>
      <c r="EG312" s="39">
        <v>4.3620733125751092E-2</v>
      </c>
      <c r="EH312" s="40">
        <v>3.1014530286972087E-2</v>
      </c>
      <c r="EI312" s="66">
        <v>3.101453028697208E-2</v>
      </c>
    </row>
    <row r="313" spans="1:139">
      <c r="A313" s="37" t="s">
        <v>1539</v>
      </c>
      <c r="B313" s="36" t="s">
        <v>1145</v>
      </c>
      <c r="C313" s="1" t="s">
        <v>1126</v>
      </c>
      <c r="D313" s="36" t="s">
        <v>1126</v>
      </c>
      <c r="E313" s="36" t="s">
        <v>1604</v>
      </c>
      <c r="F313" s="1" t="e">
        <f t="shared" ca="1" si="501"/>
        <v>#NAME?</v>
      </c>
      <c r="G313" s="35" t="s">
        <v>1121</v>
      </c>
      <c r="H313" s="43">
        <v>1</v>
      </c>
      <c r="I313" s="42">
        <v>0</v>
      </c>
      <c r="J313" s="26">
        <v>0.42950884030559705</v>
      </c>
      <c r="K313" s="25">
        <v>0.6150591790210459</v>
      </c>
      <c r="L313" s="24"/>
      <c r="M313" s="25"/>
      <c r="N313" s="24"/>
      <c r="O313" s="25"/>
      <c r="P313" s="24"/>
      <c r="Q313" s="25"/>
      <c r="R313" s="32"/>
      <c r="S313" s="47">
        <v>1</v>
      </c>
      <c r="T313" s="45">
        <v>1</v>
      </c>
      <c r="U313" s="46">
        <v>1</v>
      </c>
      <c r="V313" s="45">
        <v>1</v>
      </c>
      <c r="W313" s="46">
        <v>1</v>
      </c>
      <c r="X313" s="45">
        <v>1</v>
      </c>
      <c r="Y313" s="46">
        <v>1</v>
      </c>
      <c r="Z313" s="45">
        <v>1</v>
      </c>
      <c r="AA313" s="44">
        <v>1</v>
      </c>
      <c r="AB313" s="26">
        <f t="shared" si="510"/>
        <v>0.42950884030559705</v>
      </c>
      <c r="AC313" s="25">
        <f t="shared" si="511"/>
        <v>0.6150591790210459</v>
      </c>
      <c r="AD313" s="24">
        <f t="shared" si="512"/>
        <v>0</v>
      </c>
      <c r="AE313" s="25">
        <f t="shared" si="513"/>
        <v>0</v>
      </c>
      <c r="AF313" s="24">
        <f t="shared" si="514"/>
        <v>0</v>
      </c>
      <c r="AG313" s="25">
        <f t="shared" si="515"/>
        <v>0</v>
      </c>
      <c r="AH313" s="24">
        <f t="shared" si="516"/>
        <v>0</v>
      </c>
      <c r="AI313" s="25">
        <f t="shared" si="517"/>
        <v>0</v>
      </c>
      <c r="AJ313" s="24">
        <f t="shared" si="518"/>
        <v>0</v>
      </c>
      <c r="AK313" s="27">
        <f t="shared" si="468"/>
        <v>1.0445680193266429</v>
      </c>
      <c r="AL313" s="41">
        <v>0</v>
      </c>
      <c r="AM313" s="40">
        <v>0</v>
      </c>
      <c r="AN313" s="39">
        <v>0</v>
      </c>
      <c r="AO313" s="40">
        <v>0</v>
      </c>
      <c r="AP313" s="39">
        <v>0</v>
      </c>
      <c r="AQ313" s="40">
        <v>0</v>
      </c>
      <c r="AR313" s="39">
        <v>0</v>
      </c>
      <c r="AS313" s="40">
        <v>0</v>
      </c>
      <c r="AT313" s="39">
        <v>0</v>
      </c>
      <c r="AU313" s="38">
        <v>0</v>
      </c>
      <c r="CS313" s="54" t="s">
        <v>1603</v>
      </c>
      <c r="CT313" s="39">
        <v>0</v>
      </c>
      <c r="CU313" s="40">
        <v>0</v>
      </c>
      <c r="CV313" s="39">
        <v>0.6091764636302045</v>
      </c>
      <c r="CW313" s="40">
        <v>0.41260970364577887</v>
      </c>
      <c r="CX313" s="39">
        <v>1.2512319166287564</v>
      </c>
      <c r="CY313" s="40">
        <v>1.0906308701878502</v>
      </c>
      <c r="CZ313" s="39">
        <v>3.7888542168392942</v>
      </c>
      <c r="DA313" s="40">
        <v>0</v>
      </c>
      <c r="DB313" s="39">
        <v>0</v>
      </c>
      <c r="DC313" s="38">
        <v>7.152503170931884</v>
      </c>
      <c r="DE313" s="37" t="s">
        <v>1436</v>
      </c>
      <c r="DF313" s="35" t="str">
        <f t="shared" si="469"/>
        <v>IMTMD</v>
      </c>
      <c r="DG313" s="26">
        <f t="shared" si="506"/>
        <v>0.34547659811373327</v>
      </c>
      <c r="DH313" s="25">
        <f t="shared" si="506"/>
        <v>0.95098084207889733</v>
      </c>
      <c r="DI313" s="24">
        <f t="shared" si="506"/>
        <v>2.5893226354555821</v>
      </c>
      <c r="DJ313" s="25">
        <f t="shared" si="506"/>
        <v>1.7538097891897311</v>
      </c>
      <c r="DK313" s="24">
        <f t="shared" si="506"/>
        <v>1.0054683525041992</v>
      </c>
      <c r="DL313" s="25">
        <f t="shared" si="506"/>
        <v>0.87641212605301644</v>
      </c>
      <c r="DM313" s="24">
        <f t="shared" si="506"/>
        <v>3.044657794174781</v>
      </c>
      <c r="DN313" s="25">
        <f t="shared" si="506"/>
        <v>0.39840846573743505</v>
      </c>
      <c r="DO313" s="32">
        <f t="shared" si="506"/>
        <v>0.24982025435888031</v>
      </c>
      <c r="DP313" s="26">
        <f t="shared" si="470"/>
        <v>0.8700780800792095</v>
      </c>
      <c r="DQ313" s="25">
        <f t="shared" si="471"/>
        <v>0.8700780800792095</v>
      </c>
      <c r="DR313" s="24">
        <f t="shared" si="472"/>
        <v>0.79619050897313715</v>
      </c>
      <c r="DS313" s="25">
        <f t="shared" si="473"/>
        <v>0.79619050897313715</v>
      </c>
      <c r="DT313" s="24">
        <f t="shared" si="474"/>
        <v>0.92233546724858206</v>
      </c>
      <c r="DU313" s="25">
        <f t="shared" si="475"/>
        <v>0.92233546724858217</v>
      </c>
      <c r="DV313" s="24">
        <f t="shared" si="476"/>
        <v>0.92233546724858217</v>
      </c>
      <c r="DW313" s="25">
        <f t="shared" si="477"/>
        <v>0.90015076110516667</v>
      </c>
      <c r="DX313" s="32">
        <f t="shared" si="478"/>
        <v>0.90015076110516667</v>
      </c>
      <c r="DZ313" s="54" t="s">
        <v>1396</v>
      </c>
      <c r="EA313" s="39">
        <v>0.37847885301757234</v>
      </c>
      <c r="EB313" s="40">
        <v>0.23017183386325987</v>
      </c>
      <c r="EC313" s="39">
        <v>0.29609468422827645</v>
      </c>
      <c r="ED313" s="40">
        <v>0.78008389761409769</v>
      </c>
      <c r="EE313" s="39">
        <v>0.49892818339743061</v>
      </c>
      <c r="EF313" s="40">
        <v>0.22677153737103345</v>
      </c>
      <c r="EG313" s="39">
        <v>0.24164955913930292</v>
      </c>
      <c r="EH313" s="40">
        <v>0.52545983280514397</v>
      </c>
      <c r="EI313" s="66">
        <v>0.36651198386959727</v>
      </c>
    </row>
    <row r="314" spans="1:139">
      <c r="A314" s="37" t="s">
        <v>1539</v>
      </c>
      <c r="B314" s="36" t="s">
        <v>1145</v>
      </c>
      <c r="C314" s="1" t="s">
        <v>456</v>
      </c>
      <c r="D314" s="36" t="s">
        <v>456</v>
      </c>
      <c r="E314" s="36" t="s">
        <v>1602</v>
      </c>
      <c r="F314" s="1" t="e">
        <f t="shared" ca="1" si="501"/>
        <v>#NAME?</v>
      </c>
      <c r="G314" s="35" t="s">
        <v>1121</v>
      </c>
      <c r="H314" s="43">
        <v>1</v>
      </c>
      <c r="I314" s="42">
        <v>0</v>
      </c>
      <c r="J314" s="26">
        <v>0</v>
      </c>
      <c r="K314" s="25">
        <v>7.1383478227929767E-3</v>
      </c>
      <c r="L314" s="24"/>
      <c r="M314" s="25"/>
      <c r="N314" s="24"/>
      <c r="O314" s="25"/>
      <c r="P314" s="24"/>
      <c r="Q314" s="25"/>
      <c r="R314" s="32"/>
      <c r="S314" s="47">
        <v>1</v>
      </c>
      <c r="T314" s="45">
        <v>1</v>
      </c>
      <c r="U314" s="46">
        <v>1</v>
      </c>
      <c r="V314" s="45">
        <v>1</v>
      </c>
      <c r="W314" s="46">
        <v>1</v>
      </c>
      <c r="X314" s="45">
        <v>1</v>
      </c>
      <c r="Y314" s="46">
        <v>1</v>
      </c>
      <c r="Z314" s="45">
        <v>1</v>
      </c>
      <c r="AA314" s="44">
        <v>1</v>
      </c>
      <c r="AB314" s="26">
        <f t="shared" si="510"/>
        <v>0</v>
      </c>
      <c r="AC314" s="25">
        <f t="shared" si="511"/>
        <v>7.1383478227929767E-3</v>
      </c>
      <c r="AD314" s="24">
        <f t="shared" si="512"/>
        <v>0</v>
      </c>
      <c r="AE314" s="25">
        <f t="shared" si="513"/>
        <v>0</v>
      </c>
      <c r="AF314" s="24">
        <f t="shared" si="514"/>
        <v>0</v>
      </c>
      <c r="AG314" s="25">
        <f t="shared" si="515"/>
        <v>0</v>
      </c>
      <c r="AH314" s="24">
        <f t="shared" si="516"/>
        <v>0</v>
      </c>
      <c r="AI314" s="25">
        <f t="shared" si="517"/>
        <v>0</v>
      </c>
      <c r="AJ314" s="24">
        <f t="shared" si="518"/>
        <v>0</v>
      </c>
      <c r="AK314" s="27">
        <f t="shared" si="468"/>
        <v>7.1383478227929767E-3</v>
      </c>
      <c r="AL314" s="41">
        <v>0</v>
      </c>
      <c r="AM314" s="40">
        <v>0</v>
      </c>
      <c r="AN314" s="39">
        <v>0</v>
      </c>
      <c r="AO314" s="40">
        <v>0</v>
      </c>
      <c r="AP314" s="39">
        <v>0</v>
      </c>
      <c r="AQ314" s="40">
        <v>0</v>
      </c>
      <c r="AR314" s="39">
        <v>0</v>
      </c>
      <c r="AS314" s="40">
        <v>0</v>
      </c>
      <c r="AT314" s="39">
        <v>0</v>
      </c>
      <c r="AU314" s="38">
        <v>0</v>
      </c>
      <c r="CS314" s="54" t="s">
        <v>1601</v>
      </c>
      <c r="CT314" s="39">
        <v>0</v>
      </c>
      <c r="CU314" s="40">
        <v>0</v>
      </c>
      <c r="CV314" s="39">
        <v>2.8350397525595818</v>
      </c>
      <c r="CW314" s="40">
        <v>1.9202398351977488</v>
      </c>
      <c r="CX314" s="39">
        <v>1.9410315593256378</v>
      </c>
      <c r="CY314" s="40">
        <v>1.6918917352373644</v>
      </c>
      <c r="CZ314" s="39">
        <v>5.8776358809516589</v>
      </c>
      <c r="DA314" s="40">
        <v>10.716371884255038</v>
      </c>
      <c r="DB314" s="39">
        <v>6.7196532708551739</v>
      </c>
      <c r="DC314" s="38">
        <v>31.701863918382202</v>
      </c>
      <c r="DE314" s="37" t="s">
        <v>1432</v>
      </c>
      <c r="DF314" s="35" t="str">
        <f t="shared" si="469"/>
        <v>IMTMD</v>
      </c>
      <c r="DG314" s="26">
        <f t="shared" si="506"/>
        <v>5.1587304567600835E-2</v>
      </c>
      <c r="DH314" s="25">
        <f t="shared" si="506"/>
        <v>0.14200249338488383</v>
      </c>
      <c r="DI314" s="24">
        <f t="shared" si="506"/>
        <v>0.66281690435767615</v>
      </c>
      <c r="DJ314" s="25">
        <f t="shared" si="506"/>
        <v>0.44894164959802169</v>
      </c>
      <c r="DK314" s="24">
        <f t="shared" si="506"/>
        <v>8.4664671983746248E-2</v>
      </c>
      <c r="DL314" s="25">
        <f t="shared" si="506"/>
        <v>7.3797593917354451E-2</v>
      </c>
      <c r="DM314" s="24">
        <f t="shared" si="506"/>
        <v>0.25637301542565227</v>
      </c>
      <c r="DN314" s="25">
        <f t="shared" si="506"/>
        <v>4.4193466019292221E-2</v>
      </c>
      <c r="DO314" s="32">
        <f t="shared" si="506"/>
        <v>2.7711316077344943E-2</v>
      </c>
      <c r="DP314" s="26">
        <f t="shared" si="470"/>
        <v>0.12992191992079047</v>
      </c>
      <c r="DQ314" s="25">
        <f t="shared" si="471"/>
        <v>0.12992191992079044</v>
      </c>
      <c r="DR314" s="24">
        <f t="shared" si="472"/>
        <v>0.20380949102686285</v>
      </c>
      <c r="DS314" s="25">
        <f t="shared" si="473"/>
        <v>0.20380949102686283</v>
      </c>
      <c r="DT314" s="24">
        <f t="shared" si="474"/>
        <v>7.7664532751417853E-2</v>
      </c>
      <c r="DU314" s="25">
        <f t="shared" si="475"/>
        <v>7.7664532751417853E-2</v>
      </c>
      <c r="DV314" s="24">
        <f t="shared" si="476"/>
        <v>7.7664532751417867E-2</v>
      </c>
      <c r="DW314" s="25">
        <f t="shared" si="477"/>
        <v>9.9849238894833436E-2</v>
      </c>
      <c r="DX314" s="32">
        <f t="shared" si="478"/>
        <v>9.9849238894833423E-2</v>
      </c>
      <c r="DZ314" s="54" t="s">
        <v>1388</v>
      </c>
      <c r="EA314" s="39">
        <v>0.59046607313545341</v>
      </c>
      <c r="EB314" s="40">
        <v>0.71981719416560341</v>
      </c>
      <c r="EC314" s="39">
        <v>0.65227750353689307</v>
      </c>
      <c r="ED314" s="40">
        <v>0.16907347261396577</v>
      </c>
      <c r="EE314" s="39">
        <v>0.468118012821086</v>
      </c>
      <c r="EF314" s="40">
        <v>0.73868180149827511</v>
      </c>
      <c r="EG314" s="39">
        <v>0.7242216327734875</v>
      </c>
      <c r="EH314" s="40">
        <v>0.40923461855270682</v>
      </c>
      <c r="EI314" s="66">
        <v>0.54583467144692721</v>
      </c>
    </row>
    <row r="315" spans="1:139">
      <c r="A315" s="37" t="s">
        <v>1539</v>
      </c>
      <c r="B315" s="36" t="s">
        <v>1145</v>
      </c>
      <c r="C315" s="1" t="s">
        <v>665</v>
      </c>
      <c r="D315" s="36" t="s">
        <v>665</v>
      </c>
      <c r="E315" s="36" t="s">
        <v>1600</v>
      </c>
      <c r="F315" s="1" t="e">
        <f t="shared" ca="1" si="501"/>
        <v>#NAME?</v>
      </c>
      <c r="G315" s="35" t="s">
        <v>1121</v>
      </c>
      <c r="H315" s="43">
        <v>1</v>
      </c>
      <c r="I315" s="42">
        <v>0</v>
      </c>
      <c r="J315" s="26">
        <v>1.1471171126321928</v>
      </c>
      <c r="K315" s="25">
        <v>1.4146360168136998</v>
      </c>
      <c r="L315" s="24"/>
      <c r="M315" s="25"/>
      <c r="N315" s="24"/>
      <c r="O315" s="25"/>
      <c r="P315" s="24"/>
      <c r="Q315" s="25"/>
      <c r="R315" s="32"/>
      <c r="S315" s="47">
        <v>1</v>
      </c>
      <c r="T315" s="45">
        <v>1</v>
      </c>
      <c r="U315" s="46">
        <v>1</v>
      </c>
      <c r="V315" s="45">
        <v>1</v>
      </c>
      <c r="W315" s="46">
        <v>1</v>
      </c>
      <c r="X315" s="45">
        <v>1</v>
      </c>
      <c r="Y315" s="46">
        <v>1</v>
      </c>
      <c r="Z315" s="45">
        <v>1</v>
      </c>
      <c r="AA315" s="44">
        <v>1</v>
      </c>
      <c r="AB315" s="26">
        <f t="shared" si="510"/>
        <v>1.1471171126321928</v>
      </c>
      <c r="AC315" s="25">
        <f t="shared" si="511"/>
        <v>1.4146360168136998</v>
      </c>
      <c r="AD315" s="24">
        <f t="shared" si="512"/>
        <v>0</v>
      </c>
      <c r="AE315" s="25">
        <f t="shared" si="513"/>
        <v>0</v>
      </c>
      <c r="AF315" s="24">
        <f t="shared" si="514"/>
        <v>0</v>
      </c>
      <c r="AG315" s="25">
        <f t="shared" si="515"/>
        <v>0</v>
      </c>
      <c r="AH315" s="24">
        <f t="shared" si="516"/>
        <v>0</v>
      </c>
      <c r="AI315" s="25">
        <f t="shared" si="517"/>
        <v>0</v>
      </c>
      <c r="AJ315" s="24">
        <f t="shared" si="518"/>
        <v>0</v>
      </c>
      <c r="AK315" s="27">
        <f t="shared" si="468"/>
        <v>2.5617531294458926</v>
      </c>
      <c r="AL315" s="41">
        <v>0</v>
      </c>
      <c r="AM315" s="40">
        <v>0</v>
      </c>
      <c r="AN315" s="39">
        <v>0</v>
      </c>
      <c r="AO315" s="40">
        <v>0</v>
      </c>
      <c r="AP315" s="39">
        <v>0</v>
      </c>
      <c r="AQ315" s="40">
        <v>0</v>
      </c>
      <c r="AR315" s="39">
        <v>0</v>
      </c>
      <c r="AS315" s="40">
        <v>0</v>
      </c>
      <c r="AT315" s="39">
        <v>0</v>
      </c>
      <c r="AU315" s="38">
        <v>0</v>
      </c>
      <c r="CS315" s="54" t="s">
        <v>1599</v>
      </c>
      <c r="CT315" s="39">
        <v>0.20256698018811803</v>
      </c>
      <c r="CU315" s="40">
        <v>0.55759874459936132</v>
      </c>
      <c r="CV315" s="39">
        <v>6.64695596935971</v>
      </c>
      <c r="CW315" s="40">
        <v>4.5021413275233204</v>
      </c>
      <c r="CX315" s="39">
        <v>2.2237298670072789</v>
      </c>
      <c r="CY315" s="40">
        <v>1.938304488308896</v>
      </c>
      <c r="CZ315" s="39">
        <v>6.7336743666376968</v>
      </c>
      <c r="DA315" s="40">
        <v>2.647501652016703</v>
      </c>
      <c r="DB315" s="39">
        <v>1.6601041217790131</v>
      </c>
      <c r="DC315" s="38">
        <v>27.1125775174201</v>
      </c>
      <c r="DE315" s="37" t="s">
        <v>1598</v>
      </c>
      <c r="DF315" s="35" t="str">
        <f t="shared" si="469"/>
        <v>ICAPH</v>
      </c>
      <c r="DG315" s="26">
        <f t="shared" si="506"/>
        <v>0</v>
      </c>
      <c r="DH315" s="25">
        <f t="shared" si="506"/>
        <v>0</v>
      </c>
      <c r="DI315" s="24">
        <f t="shared" si="506"/>
        <v>0.19048719943173875</v>
      </c>
      <c r="DJ315" s="25">
        <f t="shared" si="506"/>
        <v>0.12902150952692693</v>
      </c>
      <c r="DK315" s="24">
        <f t="shared" si="506"/>
        <v>0.16302313989192954</v>
      </c>
      <c r="DL315" s="25">
        <f t="shared" si="506"/>
        <v>0.14209841241912938</v>
      </c>
      <c r="DM315" s="24">
        <f t="shared" si="506"/>
        <v>0.49365022008560533</v>
      </c>
      <c r="DN315" s="25">
        <f t="shared" si="506"/>
        <v>9.8186774651898234E-2</v>
      </c>
      <c r="DO315" s="32">
        <f t="shared" si="506"/>
        <v>6.1567579827434611E-2</v>
      </c>
      <c r="DP315" s="26">
        <f t="shared" si="470"/>
        <v>0</v>
      </c>
      <c r="DQ315" s="25">
        <f t="shared" si="471"/>
        <v>0</v>
      </c>
      <c r="DR315" s="24">
        <f t="shared" si="472"/>
        <v>1.6304621158902417E-2</v>
      </c>
      <c r="DS315" s="25">
        <f t="shared" si="473"/>
        <v>1.6304621158902414E-2</v>
      </c>
      <c r="DT315" s="24">
        <f t="shared" si="474"/>
        <v>1.0048144560620078E-2</v>
      </c>
      <c r="DU315" s="25">
        <f t="shared" si="475"/>
        <v>1.0048144560620077E-2</v>
      </c>
      <c r="DV315" s="24">
        <f t="shared" si="476"/>
        <v>1.0048144560620077E-2</v>
      </c>
      <c r="DW315" s="25">
        <f t="shared" si="477"/>
        <v>6.7612149679082564E-2</v>
      </c>
      <c r="DX315" s="32">
        <f t="shared" si="478"/>
        <v>6.7612149679082564E-2</v>
      </c>
      <c r="DZ315" s="54" t="s">
        <v>1442</v>
      </c>
      <c r="EA315" s="39">
        <v>3.8090393001137374E-3</v>
      </c>
      <c r="EB315" s="40">
        <v>3.9233942340726339E-3</v>
      </c>
      <c r="EC315" s="39">
        <v>2.1284852937532593E-2</v>
      </c>
      <c r="ED315" s="40">
        <v>2.0961141888615548E-2</v>
      </c>
      <c r="EE315" s="39">
        <v>1.0170620104777964E-2</v>
      </c>
      <c r="EF315" s="40">
        <v>1.0662227904815968E-2</v>
      </c>
      <c r="EG315" s="39">
        <v>1.0533264808687205E-2</v>
      </c>
      <c r="EH315" s="40">
        <v>3.4513595738728364E-2</v>
      </c>
      <c r="EI315" s="66">
        <v>4.6324273610043078E-2</v>
      </c>
    </row>
    <row r="316" spans="1:139">
      <c r="A316" s="37" t="s">
        <v>1539</v>
      </c>
      <c r="B316" s="36" t="s">
        <v>1136</v>
      </c>
      <c r="C316" s="1" t="s">
        <v>1120</v>
      </c>
      <c r="D316" s="36" t="s">
        <v>1120</v>
      </c>
      <c r="E316" s="36" t="s">
        <v>1597</v>
      </c>
      <c r="F316" s="1" t="e">
        <f t="shared" ca="1" si="501"/>
        <v>#NAME?</v>
      </c>
      <c r="G316" s="35" t="s">
        <v>1121</v>
      </c>
      <c r="H316" s="43">
        <v>1</v>
      </c>
      <c r="I316" s="42">
        <v>0</v>
      </c>
      <c r="J316" s="26">
        <v>0.36120467044834309</v>
      </c>
      <c r="K316" s="25">
        <v>0.60852612597725275</v>
      </c>
      <c r="L316" s="24"/>
      <c r="M316" s="25"/>
      <c r="N316" s="24"/>
      <c r="O316" s="25"/>
      <c r="P316" s="24"/>
      <c r="Q316" s="25"/>
      <c r="R316" s="32"/>
      <c r="S316" s="47">
        <v>1</v>
      </c>
      <c r="T316" s="45">
        <v>1</v>
      </c>
      <c r="U316" s="46">
        <v>1</v>
      </c>
      <c r="V316" s="45">
        <v>1</v>
      </c>
      <c r="W316" s="46">
        <v>1</v>
      </c>
      <c r="X316" s="45">
        <v>1</v>
      </c>
      <c r="Y316" s="46">
        <v>1</v>
      </c>
      <c r="Z316" s="45">
        <v>1</v>
      </c>
      <c r="AA316" s="44">
        <v>1</v>
      </c>
      <c r="AB316" s="26">
        <f t="shared" si="510"/>
        <v>0.36120467044834309</v>
      </c>
      <c r="AC316" s="25">
        <f t="shared" si="511"/>
        <v>0.60852612597725275</v>
      </c>
      <c r="AD316" s="24">
        <f t="shared" si="512"/>
        <v>0</v>
      </c>
      <c r="AE316" s="25">
        <f t="shared" si="513"/>
        <v>0</v>
      </c>
      <c r="AF316" s="24">
        <f t="shared" si="514"/>
        <v>0</v>
      </c>
      <c r="AG316" s="25">
        <f t="shared" si="515"/>
        <v>0</v>
      </c>
      <c r="AH316" s="24">
        <f t="shared" si="516"/>
        <v>0</v>
      </c>
      <c r="AI316" s="25">
        <f t="shared" si="517"/>
        <v>0</v>
      </c>
      <c r="AJ316" s="24">
        <f t="shared" si="518"/>
        <v>0</v>
      </c>
      <c r="AK316" s="27">
        <f t="shared" si="468"/>
        <v>0.9697307964255959</v>
      </c>
      <c r="AL316" s="41">
        <v>0</v>
      </c>
      <c r="AM316" s="40">
        <v>0</v>
      </c>
      <c r="AN316" s="39">
        <v>0</v>
      </c>
      <c r="AO316" s="40">
        <v>0</v>
      </c>
      <c r="AP316" s="39">
        <v>0</v>
      </c>
      <c r="AQ316" s="40">
        <v>0</v>
      </c>
      <c r="AR316" s="39">
        <v>0</v>
      </c>
      <c r="AS316" s="40">
        <v>0</v>
      </c>
      <c r="AT316" s="39">
        <v>0</v>
      </c>
      <c r="AU316" s="38">
        <v>0</v>
      </c>
      <c r="CS316" s="54" t="s">
        <v>1596</v>
      </c>
      <c r="CT316" s="39">
        <v>0.12518754644592245</v>
      </c>
      <c r="CU316" s="40">
        <v>0.34459919712924225</v>
      </c>
      <c r="CV316" s="39">
        <v>0.49014198223119904</v>
      </c>
      <c r="CW316" s="40">
        <v>0.33198481902533933</v>
      </c>
      <c r="CX316" s="39">
        <v>0.62321896230551088</v>
      </c>
      <c r="CY316" s="40">
        <v>0.54322610392498283</v>
      </c>
      <c r="CZ316" s="39">
        <v>1.8871687670080775</v>
      </c>
      <c r="DA316" s="40">
        <v>0.2165520555427074</v>
      </c>
      <c r="DB316" s="39">
        <v>0.13578800213866618</v>
      </c>
      <c r="DC316" s="38">
        <v>4.6978674357516477</v>
      </c>
      <c r="DE316" s="37" t="s">
        <v>1595</v>
      </c>
      <c r="DF316" s="35" t="str">
        <f t="shared" si="469"/>
        <v>ICAPH</v>
      </c>
      <c r="DG316" s="26">
        <f t="shared" si="506"/>
        <v>0</v>
      </c>
      <c r="DH316" s="25">
        <f t="shared" si="506"/>
        <v>0</v>
      </c>
      <c r="DI316" s="24">
        <f t="shared" si="506"/>
        <v>11.492531840095692</v>
      </c>
      <c r="DJ316" s="25">
        <f t="shared" si="506"/>
        <v>7.7841650815322865</v>
      </c>
      <c r="DK316" s="24">
        <f t="shared" si="506"/>
        <v>15.736898911587071</v>
      </c>
      <c r="DL316" s="25">
        <f t="shared" si="506"/>
        <v>13.716999643236234</v>
      </c>
      <c r="DM316" s="24">
        <f t="shared" si="506"/>
        <v>47.65288913168861</v>
      </c>
      <c r="DN316" s="25">
        <f t="shared" si="506"/>
        <v>1.3540193024797487</v>
      </c>
      <c r="DO316" s="32">
        <f t="shared" si="506"/>
        <v>0.84903177427773469</v>
      </c>
      <c r="DP316" s="26">
        <f t="shared" si="470"/>
        <v>0</v>
      </c>
      <c r="DQ316" s="25">
        <f t="shared" si="471"/>
        <v>0</v>
      </c>
      <c r="DR316" s="24">
        <f t="shared" si="472"/>
        <v>0.9836953788410977</v>
      </c>
      <c r="DS316" s="25">
        <f t="shared" si="473"/>
        <v>0.98369537884109759</v>
      </c>
      <c r="DT316" s="24">
        <f t="shared" si="474"/>
        <v>0.96996435784708934</v>
      </c>
      <c r="DU316" s="25">
        <f t="shared" si="475"/>
        <v>0.96996435784708934</v>
      </c>
      <c r="DV316" s="24">
        <f t="shared" si="476"/>
        <v>0.96996435784708934</v>
      </c>
      <c r="DW316" s="25">
        <f t="shared" si="477"/>
        <v>0.93238785032091742</v>
      </c>
      <c r="DX316" s="32">
        <f t="shared" si="478"/>
        <v>0.93238785032091742</v>
      </c>
      <c r="DZ316" s="54" t="s">
        <v>1437</v>
      </c>
      <c r="EA316" s="39">
        <v>1.9043738599162221E-2</v>
      </c>
      <c r="EB316" s="40">
        <v>1.9615469499857492E-2</v>
      </c>
      <c r="EC316" s="39">
        <v>1.4531612746237186E-2</v>
      </c>
      <c r="ED316" s="40">
        <v>1.4310608465947054E-2</v>
      </c>
      <c r="EE316" s="39">
        <v>7.1039334344652535E-3</v>
      </c>
      <c r="EF316" s="40">
        <v>7.4473096545340026E-3</v>
      </c>
      <c r="EG316" s="39">
        <v>7.3572320347858305E-3</v>
      </c>
      <c r="EH316" s="40">
        <v>1.6917134185377943E-2</v>
      </c>
      <c r="EI316" s="66">
        <v>2.2706238974164187E-2</v>
      </c>
    </row>
    <row r="317" spans="1:139">
      <c r="A317" s="37" t="s">
        <v>1539</v>
      </c>
      <c r="B317" s="36" t="s">
        <v>1136</v>
      </c>
      <c r="C317" s="1" t="s">
        <v>1126</v>
      </c>
      <c r="D317" s="36" t="s">
        <v>1126</v>
      </c>
      <c r="E317" s="36" t="s">
        <v>1594</v>
      </c>
      <c r="F317" s="1" t="e">
        <f t="shared" ca="1" si="501"/>
        <v>#NAME?</v>
      </c>
      <c r="G317" s="35" t="s">
        <v>1121</v>
      </c>
      <c r="H317" s="43">
        <v>1</v>
      </c>
      <c r="I317" s="42">
        <v>0</v>
      </c>
      <c r="J317" s="26">
        <v>1.9757406654057461</v>
      </c>
      <c r="K317" s="25">
        <v>2.8292722234968108</v>
      </c>
      <c r="L317" s="24"/>
      <c r="M317" s="25"/>
      <c r="N317" s="24"/>
      <c r="O317" s="25"/>
      <c r="P317" s="24"/>
      <c r="Q317" s="25"/>
      <c r="R317" s="32"/>
      <c r="S317" s="47">
        <v>1</v>
      </c>
      <c r="T317" s="45">
        <v>1</v>
      </c>
      <c r="U317" s="46">
        <v>1</v>
      </c>
      <c r="V317" s="45">
        <v>1</v>
      </c>
      <c r="W317" s="46">
        <v>1</v>
      </c>
      <c r="X317" s="45">
        <v>1</v>
      </c>
      <c r="Y317" s="46">
        <v>1</v>
      </c>
      <c r="Z317" s="45">
        <v>1</v>
      </c>
      <c r="AA317" s="44">
        <v>1</v>
      </c>
      <c r="AB317" s="26">
        <f t="shared" si="510"/>
        <v>1.9757406654057461</v>
      </c>
      <c r="AC317" s="25">
        <f t="shared" si="511"/>
        <v>2.8292722234968108</v>
      </c>
      <c r="AD317" s="24">
        <f t="shared" si="512"/>
        <v>0</v>
      </c>
      <c r="AE317" s="25">
        <f t="shared" si="513"/>
        <v>0</v>
      </c>
      <c r="AF317" s="24">
        <f t="shared" si="514"/>
        <v>0</v>
      </c>
      <c r="AG317" s="25">
        <f t="shared" si="515"/>
        <v>0</v>
      </c>
      <c r="AH317" s="24">
        <f t="shared" si="516"/>
        <v>0</v>
      </c>
      <c r="AI317" s="25">
        <f t="shared" si="517"/>
        <v>0</v>
      </c>
      <c r="AJ317" s="24">
        <f t="shared" si="518"/>
        <v>0</v>
      </c>
      <c r="AK317" s="27">
        <f t="shared" si="468"/>
        <v>4.8050128889025565</v>
      </c>
      <c r="AL317" s="41">
        <v>0</v>
      </c>
      <c r="AM317" s="40">
        <v>0</v>
      </c>
      <c r="AN317" s="39">
        <v>0</v>
      </c>
      <c r="AO317" s="40">
        <v>0</v>
      </c>
      <c r="AP317" s="39">
        <v>0</v>
      </c>
      <c r="AQ317" s="40">
        <v>0</v>
      </c>
      <c r="AR317" s="39">
        <v>0</v>
      </c>
      <c r="AS317" s="40">
        <v>0</v>
      </c>
      <c r="AT317" s="39">
        <v>0</v>
      </c>
      <c r="AU317" s="38">
        <v>0</v>
      </c>
      <c r="CS317" s="54" t="s">
        <v>1593</v>
      </c>
      <c r="CT317" s="39">
        <v>0</v>
      </c>
      <c r="CU317" s="40">
        <v>1.5850931959191099</v>
      </c>
      <c r="CV317" s="39">
        <v>1.8900265017063882</v>
      </c>
      <c r="CW317" s="40">
        <v>1.2801598901318325</v>
      </c>
      <c r="CX317" s="39">
        <v>1.6175262994380317</v>
      </c>
      <c r="CY317" s="40">
        <v>1.4099097793644706</v>
      </c>
      <c r="CZ317" s="39">
        <v>4.8980299007930492</v>
      </c>
      <c r="DA317" s="40">
        <v>0</v>
      </c>
      <c r="DB317" s="39">
        <v>0</v>
      </c>
      <c r="DC317" s="38">
        <v>12.680745567352883</v>
      </c>
      <c r="DE317" s="37" t="s">
        <v>1592</v>
      </c>
      <c r="DF317" s="35" t="str">
        <f t="shared" si="469"/>
        <v>ICAPH</v>
      </c>
      <c r="DG317" s="26">
        <f t="shared" si="506"/>
        <v>0</v>
      </c>
      <c r="DH317" s="25">
        <f t="shared" si="506"/>
        <v>0</v>
      </c>
      <c r="DI317" s="24">
        <f t="shared" si="506"/>
        <v>0</v>
      </c>
      <c r="DJ317" s="25">
        <f t="shared" si="506"/>
        <v>0</v>
      </c>
      <c r="DK317" s="24">
        <f t="shared" si="506"/>
        <v>0.32428122390354136</v>
      </c>
      <c r="DL317" s="25">
        <f t="shared" si="506"/>
        <v>0.28265832153995119</v>
      </c>
      <c r="DM317" s="24">
        <f t="shared" si="506"/>
        <v>0.98195567608213818</v>
      </c>
      <c r="DN317" s="25">
        <f t="shared" si="506"/>
        <v>0</v>
      </c>
      <c r="DO317" s="32">
        <f t="shared" si="506"/>
        <v>0</v>
      </c>
      <c r="DP317" s="26">
        <f t="shared" si="470"/>
        <v>0</v>
      </c>
      <c r="DQ317" s="25">
        <f t="shared" si="471"/>
        <v>0</v>
      </c>
      <c r="DR317" s="24">
        <f t="shared" si="472"/>
        <v>0</v>
      </c>
      <c r="DS317" s="25">
        <f t="shared" si="473"/>
        <v>0</v>
      </c>
      <c r="DT317" s="24">
        <f t="shared" si="474"/>
        <v>1.9987497592290571E-2</v>
      </c>
      <c r="DU317" s="25">
        <f t="shared" si="475"/>
        <v>1.9987497592290571E-2</v>
      </c>
      <c r="DV317" s="24">
        <f t="shared" si="476"/>
        <v>1.9987497592290571E-2</v>
      </c>
      <c r="DW317" s="25">
        <f t="shared" si="477"/>
        <v>0</v>
      </c>
      <c r="DX317" s="32">
        <f t="shared" si="478"/>
        <v>0</v>
      </c>
      <c r="DZ317" s="54" t="s">
        <v>1433</v>
      </c>
      <c r="EA317" s="39">
        <v>8.2022959476982689E-3</v>
      </c>
      <c r="EB317" s="40">
        <v>8.4485451820872047E-3</v>
      </c>
      <c r="EC317" s="39">
        <v>7.9056732755304095E-3</v>
      </c>
      <c r="ED317" s="40">
        <v>7.7854397086869797E-3</v>
      </c>
      <c r="EE317" s="39">
        <v>7.8396251211200734E-3</v>
      </c>
      <c r="EF317" s="40">
        <v>8.2185617856707395E-3</v>
      </c>
      <c r="EG317" s="39">
        <v>8.1191556218682456E-3</v>
      </c>
      <c r="EH317" s="40">
        <v>6.9374093590213806E-3</v>
      </c>
      <c r="EI317" s="66">
        <v>9.3114160496341487E-3</v>
      </c>
    </row>
    <row r="318" spans="1:139">
      <c r="A318" s="37" t="s">
        <v>1539</v>
      </c>
      <c r="B318" s="36" t="s">
        <v>1136</v>
      </c>
      <c r="C318" s="1" t="s">
        <v>665</v>
      </c>
      <c r="D318" s="36" t="s">
        <v>665</v>
      </c>
      <c r="E318" s="36" t="s">
        <v>1591</v>
      </c>
      <c r="F318" s="1" t="e">
        <f t="shared" ca="1" si="501"/>
        <v>#NAME?</v>
      </c>
      <c r="G318" s="35" t="s">
        <v>1121</v>
      </c>
      <c r="H318" s="43">
        <v>1</v>
      </c>
      <c r="I318" s="42">
        <v>0</v>
      </c>
      <c r="J318" s="26">
        <v>0.34413513378965782</v>
      </c>
      <c r="K318" s="25">
        <v>0.42439080504410986</v>
      </c>
      <c r="L318" s="24"/>
      <c r="M318" s="25"/>
      <c r="N318" s="24"/>
      <c r="O318" s="25"/>
      <c r="P318" s="24"/>
      <c r="Q318" s="25"/>
      <c r="R318" s="32"/>
      <c r="S318" s="47">
        <v>1</v>
      </c>
      <c r="T318" s="45">
        <v>1</v>
      </c>
      <c r="U318" s="46">
        <v>1</v>
      </c>
      <c r="V318" s="45">
        <v>1</v>
      </c>
      <c r="W318" s="46">
        <v>1</v>
      </c>
      <c r="X318" s="45">
        <v>1</v>
      </c>
      <c r="Y318" s="46">
        <v>1</v>
      </c>
      <c r="Z318" s="45">
        <v>1</v>
      </c>
      <c r="AA318" s="44">
        <v>1</v>
      </c>
      <c r="AB318" s="26">
        <f t="shared" si="510"/>
        <v>0.34413513378965782</v>
      </c>
      <c r="AC318" s="25">
        <f t="shared" si="511"/>
        <v>0.42439080504410986</v>
      </c>
      <c r="AD318" s="24">
        <f t="shared" si="512"/>
        <v>0</v>
      </c>
      <c r="AE318" s="25">
        <f t="shared" si="513"/>
        <v>0</v>
      </c>
      <c r="AF318" s="24">
        <f t="shared" si="514"/>
        <v>0</v>
      </c>
      <c r="AG318" s="25">
        <f t="shared" si="515"/>
        <v>0</v>
      </c>
      <c r="AH318" s="24">
        <f t="shared" si="516"/>
        <v>0</v>
      </c>
      <c r="AI318" s="25">
        <f t="shared" si="517"/>
        <v>0</v>
      </c>
      <c r="AJ318" s="24">
        <f t="shared" si="518"/>
        <v>0</v>
      </c>
      <c r="AK318" s="27">
        <f t="shared" si="468"/>
        <v>0.76852593883376774</v>
      </c>
      <c r="AL318" s="41">
        <v>0</v>
      </c>
      <c r="AM318" s="40">
        <v>0</v>
      </c>
      <c r="AN318" s="39">
        <v>0</v>
      </c>
      <c r="AO318" s="40">
        <v>0</v>
      </c>
      <c r="AP318" s="39">
        <v>0</v>
      </c>
      <c r="AQ318" s="40">
        <v>0</v>
      </c>
      <c r="AR318" s="39">
        <v>0</v>
      </c>
      <c r="AS318" s="40">
        <v>0</v>
      </c>
      <c r="AT318" s="39">
        <v>0</v>
      </c>
      <c r="AU318" s="38">
        <v>0</v>
      </c>
      <c r="CS318" s="54" t="s">
        <v>1464</v>
      </c>
      <c r="CT318" s="39">
        <v>3.8584186702498677E-2</v>
      </c>
      <c r="CU318" s="40">
        <v>0.10620928468559264</v>
      </c>
      <c r="CV318" s="39">
        <v>1.2660868513066115</v>
      </c>
      <c r="CW318" s="40">
        <v>0.85755072905206098</v>
      </c>
      <c r="CX318" s="39">
        <v>0.42356759371567221</v>
      </c>
      <c r="CY318" s="40">
        <v>0.36920085491598026</v>
      </c>
      <c r="CZ318" s="39">
        <v>1.2826046412643233</v>
      </c>
      <c r="DA318" s="40">
        <v>0.50428602895556252</v>
      </c>
      <c r="DB318" s="39">
        <v>0.31621030891028823</v>
      </c>
      <c r="DC318" s="38">
        <v>5.1643004795085909</v>
      </c>
      <c r="DE318" s="37" t="s">
        <v>1590</v>
      </c>
      <c r="DF318" s="35" t="str">
        <f t="shared" si="469"/>
        <v>INCPH</v>
      </c>
      <c r="DG318" s="26">
        <f t="shared" ref="DG318:DO327" si="519">GETPIVOTDATA("Sum of "&amp;DG$1&amp;" (Out)",$CS$6,"Constraint Identifier",$DE318)</f>
        <v>0.15427750102948698</v>
      </c>
      <c r="DH318" s="25">
        <f t="shared" si="519"/>
        <v>0.42467405504134859</v>
      </c>
      <c r="DI318" s="24">
        <f t="shared" si="519"/>
        <v>1.0354915915939669</v>
      </c>
      <c r="DJ318" s="25">
        <f t="shared" si="519"/>
        <v>0.70136307661854025</v>
      </c>
      <c r="DK318" s="24">
        <f t="shared" si="519"/>
        <v>0.51202464796937186</v>
      </c>
      <c r="DL318" s="25">
        <f t="shared" si="519"/>
        <v>0.44630406238122777</v>
      </c>
      <c r="DM318" s="24">
        <f t="shared" si="519"/>
        <v>1.5504613659563551</v>
      </c>
      <c r="DN318" s="25">
        <f t="shared" si="519"/>
        <v>0.71165992508388198</v>
      </c>
      <c r="DO318" s="32">
        <f t="shared" si="519"/>
        <v>0.44624318705778931</v>
      </c>
      <c r="DP318" s="26">
        <f t="shared" si="470"/>
        <v>3.7546362451419756E-2</v>
      </c>
      <c r="DQ318" s="25">
        <f t="shared" si="471"/>
        <v>3.7546362451419749E-2</v>
      </c>
      <c r="DR318" s="24">
        <f t="shared" si="472"/>
        <v>5.7991144941847275E-2</v>
      </c>
      <c r="DS318" s="25">
        <f t="shared" si="473"/>
        <v>5.7991144941847268E-2</v>
      </c>
      <c r="DT318" s="24">
        <f t="shared" si="474"/>
        <v>4.5039082106168665E-2</v>
      </c>
      <c r="DU318" s="25">
        <f t="shared" si="475"/>
        <v>4.5039082106168665E-2</v>
      </c>
      <c r="DV318" s="24">
        <f t="shared" si="476"/>
        <v>4.5039082106168672E-2</v>
      </c>
      <c r="DW318" s="25">
        <f t="shared" si="477"/>
        <v>3.8284910284606871E-2</v>
      </c>
      <c r="DX318" s="32">
        <f t="shared" si="478"/>
        <v>3.8284910284606864E-2</v>
      </c>
      <c r="DZ318" s="54" t="s">
        <v>1429</v>
      </c>
      <c r="EA318" s="39">
        <v>0</v>
      </c>
      <c r="EB318" s="40">
        <v>1.8023563055119374E-2</v>
      </c>
      <c r="EC318" s="39">
        <v>7.9056732755304095E-3</v>
      </c>
      <c r="ED318" s="40">
        <v>7.7854397086869814E-3</v>
      </c>
      <c r="EE318" s="39">
        <v>7.8396251211200751E-3</v>
      </c>
      <c r="EF318" s="40">
        <v>8.2185617856707412E-3</v>
      </c>
      <c r="EG318" s="39">
        <v>8.1191556218682473E-3</v>
      </c>
      <c r="EH318" s="40">
        <v>6.9374093590213832E-3</v>
      </c>
      <c r="EI318" s="66">
        <v>9.3114160496341521E-3</v>
      </c>
    </row>
    <row r="319" spans="1:139">
      <c r="A319" s="37" t="s">
        <v>1539</v>
      </c>
      <c r="B319" s="36" t="s">
        <v>1129</v>
      </c>
      <c r="C319" s="1" t="s">
        <v>1126</v>
      </c>
      <c r="D319" s="36" t="s">
        <v>1126</v>
      </c>
      <c r="E319" s="36" t="s">
        <v>1589</v>
      </c>
      <c r="F319" s="1" t="e">
        <f t="shared" ca="1" si="501"/>
        <v>#NAME?</v>
      </c>
      <c r="G319" s="35" t="s">
        <v>1121</v>
      </c>
      <c r="H319" s="43">
        <v>1</v>
      </c>
      <c r="I319" s="42">
        <v>0</v>
      </c>
      <c r="J319" s="26">
        <v>8.5901768061119391E-2</v>
      </c>
      <c r="K319" s="25">
        <v>0.12301183580420917</v>
      </c>
      <c r="L319" s="24"/>
      <c r="M319" s="25"/>
      <c r="N319" s="24"/>
      <c r="O319" s="25"/>
      <c r="P319" s="24"/>
      <c r="Q319" s="25"/>
      <c r="R319" s="32"/>
      <c r="S319" s="47">
        <v>1</v>
      </c>
      <c r="T319" s="45">
        <v>1</v>
      </c>
      <c r="U319" s="46">
        <v>1</v>
      </c>
      <c r="V319" s="45">
        <v>1</v>
      </c>
      <c r="W319" s="46">
        <v>1</v>
      </c>
      <c r="X319" s="45">
        <v>1</v>
      </c>
      <c r="Y319" s="46">
        <v>1</v>
      </c>
      <c r="Z319" s="45">
        <v>1</v>
      </c>
      <c r="AA319" s="44">
        <v>1</v>
      </c>
      <c r="AB319" s="26">
        <f t="shared" si="510"/>
        <v>8.5901768061119391E-2</v>
      </c>
      <c r="AC319" s="25">
        <f t="shared" si="511"/>
        <v>0.12301183580420917</v>
      </c>
      <c r="AD319" s="24">
        <f t="shared" si="512"/>
        <v>0</v>
      </c>
      <c r="AE319" s="25">
        <f t="shared" si="513"/>
        <v>0</v>
      </c>
      <c r="AF319" s="24">
        <f t="shared" si="514"/>
        <v>0</v>
      </c>
      <c r="AG319" s="25">
        <f t="shared" si="515"/>
        <v>0</v>
      </c>
      <c r="AH319" s="24">
        <f t="shared" si="516"/>
        <v>0</v>
      </c>
      <c r="AI319" s="25">
        <f t="shared" si="517"/>
        <v>0</v>
      </c>
      <c r="AJ319" s="24">
        <f t="shared" si="518"/>
        <v>0</v>
      </c>
      <c r="AK319" s="27">
        <f t="shared" si="468"/>
        <v>0.20891360386532856</v>
      </c>
      <c r="AL319" s="41">
        <v>0</v>
      </c>
      <c r="AM319" s="40">
        <v>0</v>
      </c>
      <c r="AN319" s="39">
        <v>0</v>
      </c>
      <c r="AO319" s="40">
        <v>0</v>
      </c>
      <c r="AP319" s="39">
        <v>0</v>
      </c>
      <c r="AQ319" s="40">
        <v>0</v>
      </c>
      <c r="AR319" s="39">
        <v>0</v>
      </c>
      <c r="AS319" s="40">
        <v>0</v>
      </c>
      <c r="AT319" s="39">
        <v>0</v>
      </c>
      <c r="AU319" s="38">
        <v>0</v>
      </c>
      <c r="CS319" s="54" t="s">
        <v>1459</v>
      </c>
      <c r="CT319" s="39">
        <v>1.5022505573510694</v>
      </c>
      <c r="CU319" s="40">
        <v>4.1351903655509075</v>
      </c>
      <c r="CV319" s="39">
        <v>5.8817037867743895</v>
      </c>
      <c r="CW319" s="40">
        <v>3.9838178283040722</v>
      </c>
      <c r="CX319" s="39">
        <v>7.4786275476661306</v>
      </c>
      <c r="CY319" s="40">
        <v>6.5187132470997948</v>
      </c>
      <c r="CZ319" s="39">
        <v>22.646025204096929</v>
      </c>
      <c r="DA319" s="40">
        <v>2.5986246665124888</v>
      </c>
      <c r="DB319" s="39">
        <v>1.6294560256639943</v>
      </c>
      <c r="DC319" s="38">
        <v>56.374409229019768</v>
      </c>
      <c r="DE319" s="37" t="s">
        <v>1588</v>
      </c>
      <c r="DF319" s="35" t="str">
        <f t="shared" si="469"/>
        <v>INCPH</v>
      </c>
      <c r="DG319" s="26">
        <f t="shared" si="519"/>
        <v>0</v>
      </c>
      <c r="DH319" s="25">
        <f t="shared" si="519"/>
        <v>0</v>
      </c>
      <c r="DI319" s="24">
        <f t="shared" si="519"/>
        <v>0.68624095601715829</v>
      </c>
      <c r="DJ319" s="25">
        <f t="shared" si="519"/>
        <v>0.46480731675759435</v>
      </c>
      <c r="DK319" s="24">
        <f t="shared" si="519"/>
        <v>1.0571402187179706</v>
      </c>
      <c r="DL319" s="25">
        <f t="shared" si="519"/>
        <v>0.92145168399907229</v>
      </c>
      <c r="DM319" s="24">
        <f t="shared" si="519"/>
        <v>3.2011253247693436</v>
      </c>
      <c r="DN319" s="25">
        <f t="shared" si="519"/>
        <v>0.70744686578801352</v>
      </c>
      <c r="DO319" s="32">
        <f t="shared" si="519"/>
        <v>0.44360140698673906</v>
      </c>
      <c r="DP319" s="26">
        <f t="shared" si="470"/>
        <v>0</v>
      </c>
      <c r="DQ319" s="25">
        <f t="shared" si="471"/>
        <v>0</v>
      </c>
      <c r="DR319" s="24">
        <f t="shared" si="472"/>
        <v>3.8431889808167065E-2</v>
      </c>
      <c r="DS319" s="25">
        <f t="shared" si="473"/>
        <v>3.8431889808167058E-2</v>
      </c>
      <c r="DT319" s="24">
        <f t="shared" si="474"/>
        <v>9.298893187544334E-2</v>
      </c>
      <c r="DU319" s="25">
        <f t="shared" si="475"/>
        <v>9.2988931875443326E-2</v>
      </c>
      <c r="DV319" s="24">
        <f t="shared" si="476"/>
        <v>9.298893187544334E-2</v>
      </c>
      <c r="DW319" s="25">
        <f t="shared" si="477"/>
        <v>3.8058261865213237E-2</v>
      </c>
      <c r="DX319" s="32">
        <f t="shared" si="478"/>
        <v>3.8058261865213237E-2</v>
      </c>
      <c r="DZ319" s="54" t="s">
        <v>1376</v>
      </c>
      <c r="EA319" s="39">
        <v>3.8546000820004339E-2</v>
      </c>
      <c r="EB319" s="40">
        <v>3.8546000820004332E-2</v>
      </c>
      <c r="EC319" s="39">
        <v>0.11115181607438825</v>
      </c>
      <c r="ED319" s="40">
        <v>0.11115181607438826</v>
      </c>
      <c r="EE319" s="39">
        <v>9.2120255441206306E-2</v>
      </c>
      <c r="EF319" s="40">
        <v>9.2120255441206306E-2</v>
      </c>
      <c r="EG319" s="39">
        <v>9.2120255441206292E-2</v>
      </c>
      <c r="EH319" s="40">
        <v>4.4402896431826273E-2</v>
      </c>
      <c r="EI319" s="66">
        <v>4.4402896431826273E-2</v>
      </c>
    </row>
    <row r="320" spans="1:139">
      <c r="A320" s="37" t="s">
        <v>1539</v>
      </c>
      <c r="B320" s="36" t="s">
        <v>1129</v>
      </c>
      <c r="C320" s="1" t="s">
        <v>665</v>
      </c>
      <c r="D320" s="36" t="s">
        <v>665</v>
      </c>
      <c r="E320" s="36" t="s">
        <v>1587</v>
      </c>
      <c r="F320" s="1" t="e">
        <f t="shared" ca="1" si="501"/>
        <v>#NAME?</v>
      </c>
      <c r="G320" s="35" t="s">
        <v>1121</v>
      </c>
      <c r="H320" s="43">
        <v>1</v>
      </c>
      <c r="I320" s="42">
        <v>0</v>
      </c>
      <c r="J320" s="26">
        <v>0.57355855631609642</v>
      </c>
      <c r="K320" s="25">
        <v>0.70731800840684989</v>
      </c>
      <c r="L320" s="24"/>
      <c r="M320" s="25"/>
      <c r="N320" s="24"/>
      <c r="O320" s="25"/>
      <c r="P320" s="24"/>
      <c r="Q320" s="25"/>
      <c r="R320" s="32"/>
      <c r="S320" s="47">
        <v>1</v>
      </c>
      <c r="T320" s="45">
        <v>1</v>
      </c>
      <c r="U320" s="46">
        <v>1</v>
      </c>
      <c r="V320" s="45">
        <v>1</v>
      </c>
      <c r="W320" s="46">
        <v>1</v>
      </c>
      <c r="X320" s="45">
        <v>1</v>
      </c>
      <c r="Y320" s="46">
        <v>1</v>
      </c>
      <c r="Z320" s="45">
        <v>1</v>
      </c>
      <c r="AA320" s="44">
        <v>1</v>
      </c>
      <c r="AB320" s="26">
        <f t="shared" si="510"/>
        <v>0.57355855631609642</v>
      </c>
      <c r="AC320" s="25">
        <f t="shared" si="511"/>
        <v>0.70731800840684989</v>
      </c>
      <c r="AD320" s="24">
        <f t="shared" si="512"/>
        <v>0</v>
      </c>
      <c r="AE320" s="25">
        <f t="shared" si="513"/>
        <v>0</v>
      </c>
      <c r="AF320" s="24">
        <f t="shared" si="514"/>
        <v>0</v>
      </c>
      <c r="AG320" s="25">
        <f t="shared" si="515"/>
        <v>0</v>
      </c>
      <c r="AH320" s="24">
        <f t="shared" si="516"/>
        <v>0</v>
      </c>
      <c r="AI320" s="25">
        <f t="shared" si="517"/>
        <v>0</v>
      </c>
      <c r="AJ320" s="24">
        <f t="shared" si="518"/>
        <v>0</v>
      </c>
      <c r="AK320" s="27">
        <f t="shared" si="468"/>
        <v>1.2808765647229463</v>
      </c>
      <c r="AL320" s="41">
        <v>0</v>
      </c>
      <c r="AM320" s="40">
        <v>0</v>
      </c>
      <c r="AN320" s="39">
        <v>0</v>
      </c>
      <c r="AO320" s="40">
        <v>0</v>
      </c>
      <c r="AP320" s="39">
        <v>0</v>
      </c>
      <c r="AQ320" s="40">
        <v>0</v>
      </c>
      <c r="AR320" s="39">
        <v>0</v>
      </c>
      <c r="AS320" s="40">
        <v>0</v>
      </c>
      <c r="AT320" s="39">
        <v>0</v>
      </c>
      <c r="AU320" s="38">
        <v>0</v>
      </c>
      <c r="CS320" s="54" t="s">
        <v>1586</v>
      </c>
      <c r="CT320" s="39">
        <v>0</v>
      </c>
      <c r="CU320" s="40">
        <v>2.9466434176386258</v>
      </c>
      <c r="CV320" s="39">
        <v>0</v>
      </c>
      <c r="CW320" s="40">
        <v>0</v>
      </c>
      <c r="CX320" s="39">
        <v>0</v>
      </c>
      <c r="CY320" s="40">
        <v>4.1200271499421494E-2</v>
      </c>
      <c r="CZ320" s="39">
        <v>0</v>
      </c>
      <c r="DA320" s="40">
        <v>0</v>
      </c>
      <c r="DB320" s="39">
        <v>0</v>
      </c>
      <c r="DC320" s="38">
        <v>2.9878436891380473</v>
      </c>
      <c r="DE320" s="37" t="s">
        <v>1585</v>
      </c>
      <c r="DF320" s="35" t="str">
        <f t="shared" si="469"/>
        <v>INCPH</v>
      </c>
      <c r="DG320" s="26">
        <f t="shared" si="519"/>
        <v>3.9547091212858589</v>
      </c>
      <c r="DH320" s="25">
        <f t="shared" si="519"/>
        <v>10.88598368419566</v>
      </c>
      <c r="DI320" s="24">
        <f t="shared" si="519"/>
        <v>16.134296896752211</v>
      </c>
      <c r="DJ320" s="25">
        <f t="shared" si="519"/>
        <v>10.928142925008208</v>
      </c>
      <c r="DK320" s="24">
        <f t="shared" si="519"/>
        <v>9.799287242580748</v>
      </c>
      <c r="DL320" s="25">
        <f t="shared" si="519"/>
        <v>8.5415061992600361</v>
      </c>
      <c r="DM320" s="24">
        <f t="shared" si="519"/>
        <v>29.673212693540613</v>
      </c>
      <c r="DN320" s="25">
        <f t="shared" si="519"/>
        <v>17.169415940237062</v>
      </c>
      <c r="DO320" s="32">
        <f t="shared" si="519"/>
        <v>10.766005811257568</v>
      </c>
      <c r="DP320" s="26">
        <f t="shared" si="470"/>
        <v>0.96245363754858027</v>
      </c>
      <c r="DQ320" s="25">
        <f t="shared" si="471"/>
        <v>0.96245363754858027</v>
      </c>
      <c r="DR320" s="24">
        <f t="shared" si="472"/>
        <v>0.90357696524998565</v>
      </c>
      <c r="DS320" s="25">
        <f t="shared" si="473"/>
        <v>0.90357696524998565</v>
      </c>
      <c r="DT320" s="24">
        <f t="shared" si="474"/>
        <v>0.86197198601838798</v>
      </c>
      <c r="DU320" s="25">
        <f t="shared" si="475"/>
        <v>0.86197198601838798</v>
      </c>
      <c r="DV320" s="24">
        <f t="shared" si="476"/>
        <v>0.86197198601838809</v>
      </c>
      <c r="DW320" s="25">
        <f t="shared" si="477"/>
        <v>0.92365682785017977</v>
      </c>
      <c r="DX320" s="32">
        <f t="shared" si="478"/>
        <v>0.92365682785017977</v>
      </c>
      <c r="DZ320" s="54" t="s">
        <v>1385</v>
      </c>
      <c r="EA320" s="39">
        <v>2.9082321648500751E-2</v>
      </c>
      <c r="EB320" s="40">
        <v>2.908232164850074E-2</v>
      </c>
      <c r="EC320" s="39">
        <v>0.18376762831692692</v>
      </c>
      <c r="ED320" s="40">
        <v>0.18376762831692695</v>
      </c>
      <c r="EE320" s="39">
        <v>0.17255970084153813</v>
      </c>
      <c r="EF320" s="40">
        <v>0.17255970084153813</v>
      </c>
      <c r="EG320" s="39">
        <v>0.17255970084153813</v>
      </c>
      <c r="EH320" s="40">
        <v>0.25976355982138016</v>
      </c>
      <c r="EI320" s="66">
        <v>0.25976355982138016</v>
      </c>
    </row>
    <row r="321" spans="1:139">
      <c r="A321" s="37" t="s">
        <v>1539</v>
      </c>
      <c r="B321" s="36" t="s">
        <v>1129</v>
      </c>
      <c r="C321" s="1" t="s">
        <v>1197</v>
      </c>
      <c r="D321" s="36" t="s">
        <v>1197</v>
      </c>
      <c r="E321" s="36" t="s">
        <v>1584</v>
      </c>
      <c r="F321" s="1" t="e">
        <f t="shared" ca="1" si="501"/>
        <v>#NAME?</v>
      </c>
      <c r="G321" s="35" t="s">
        <v>1121</v>
      </c>
      <c r="H321" s="43">
        <v>1</v>
      </c>
      <c r="I321" s="42">
        <v>0</v>
      </c>
      <c r="J321" s="26">
        <v>0.34030279882416736</v>
      </c>
      <c r="K321" s="25">
        <v>3.7457195594483725E-2</v>
      </c>
      <c r="L321" s="24"/>
      <c r="M321" s="25"/>
      <c r="N321" s="24"/>
      <c r="O321" s="25"/>
      <c r="P321" s="24"/>
      <c r="Q321" s="25"/>
      <c r="R321" s="32"/>
      <c r="S321" s="47">
        <v>1</v>
      </c>
      <c r="T321" s="45">
        <v>1</v>
      </c>
      <c r="U321" s="46">
        <v>1</v>
      </c>
      <c r="V321" s="45">
        <v>1</v>
      </c>
      <c r="W321" s="46">
        <v>1</v>
      </c>
      <c r="X321" s="45">
        <v>1</v>
      </c>
      <c r="Y321" s="46">
        <v>1</v>
      </c>
      <c r="Z321" s="45">
        <v>1</v>
      </c>
      <c r="AA321" s="44">
        <v>1</v>
      </c>
      <c r="AB321" s="26">
        <f t="shared" si="510"/>
        <v>0.34030279882416736</v>
      </c>
      <c r="AC321" s="25">
        <f t="shared" si="511"/>
        <v>3.7457195594483725E-2</v>
      </c>
      <c r="AD321" s="24">
        <f t="shared" si="512"/>
        <v>0</v>
      </c>
      <c r="AE321" s="25">
        <f t="shared" si="513"/>
        <v>0</v>
      </c>
      <c r="AF321" s="24">
        <f t="shared" si="514"/>
        <v>0</v>
      </c>
      <c r="AG321" s="25">
        <f t="shared" si="515"/>
        <v>0</v>
      </c>
      <c r="AH321" s="24">
        <f t="shared" si="516"/>
        <v>0</v>
      </c>
      <c r="AI321" s="25">
        <f t="shared" si="517"/>
        <v>0</v>
      </c>
      <c r="AJ321" s="24">
        <f t="shared" si="518"/>
        <v>0</v>
      </c>
      <c r="AK321" s="27">
        <f t="shared" si="468"/>
        <v>0.3777599944186511</v>
      </c>
      <c r="AL321" s="41">
        <v>0</v>
      </c>
      <c r="AM321" s="40">
        <v>0</v>
      </c>
      <c r="AN321" s="39">
        <v>0</v>
      </c>
      <c r="AO321" s="40">
        <v>0</v>
      </c>
      <c r="AP321" s="39">
        <v>0</v>
      </c>
      <c r="AQ321" s="40">
        <v>0</v>
      </c>
      <c r="AR321" s="39">
        <v>0</v>
      </c>
      <c r="AS321" s="40">
        <v>0</v>
      </c>
      <c r="AT321" s="39">
        <v>0</v>
      </c>
      <c r="AU321" s="38">
        <v>0</v>
      </c>
      <c r="CS321" s="54" t="s">
        <v>1583</v>
      </c>
      <c r="CT321" s="39">
        <v>0</v>
      </c>
      <c r="CU321" s="40">
        <v>2.917553788702071</v>
      </c>
      <c r="CV321" s="39">
        <v>6.4017528284246672E-2</v>
      </c>
      <c r="CW321" s="40">
        <v>0</v>
      </c>
      <c r="CX321" s="39">
        <v>0</v>
      </c>
      <c r="CY321" s="40">
        <v>0</v>
      </c>
      <c r="CZ321" s="39">
        <v>2.6560676530619074</v>
      </c>
      <c r="DA321" s="40">
        <v>0</v>
      </c>
      <c r="DB321" s="39">
        <v>0</v>
      </c>
      <c r="DC321" s="38">
        <v>5.6376389700482257</v>
      </c>
      <c r="DE321" s="37" t="s">
        <v>1582</v>
      </c>
      <c r="DF321" s="35" t="str">
        <f t="shared" si="469"/>
        <v>IFDPH</v>
      </c>
      <c r="DG321" s="26">
        <f t="shared" si="519"/>
        <v>7.4318376103906209E-2</v>
      </c>
      <c r="DH321" s="25">
        <f t="shared" si="519"/>
        <v>0.20457348565752087</v>
      </c>
      <c r="DI321" s="24">
        <f t="shared" si="519"/>
        <v>0.16627193000272997</v>
      </c>
      <c r="DJ321" s="25">
        <f t="shared" si="519"/>
        <v>0.11261993175869715</v>
      </c>
      <c r="DK321" s="24">
        <f t="shared" si="519"/>
        <v>0.11383934326631616</v>
      </c>
      <c r="DL321" s="25">
        <f t="shared" si="519"/>
        <v>9.9227569532174389E-2</v>
      </c>
      <c r="DM321" s="24">
        <f t="shared" si="519"/>
        <v>0.34471681072436372</v>
      </c>
      <c r="DN321" s="25">
        <f t="shared" si="519"/>
        <v>0.628503298485805</v>
      </c>
      <c r="DO321" s="32">
        <f t="shared" si="519"/>
        <v>0.39410019463942808</v>
      </c>
      <c r="DP321" s="26">
        <f t="shared" si="470"/>
        <v>1.1238660550257639E-2</v>
      </c>
      <c r="DQ321" s="25">
        <f t="shared" si="471"/>
        <v>1.1238660550257639E-2</v>
      </c>
      <c r="DR321" s="24">
        <f t="shared" si="472"/>
        <v>2.2664148438224143E-3</v>
      </c>
      <c r="DS321" s="25">
        <f t="shared" si="473"/>
        <v>2.2664148438224134E-3</v>
      </c>
      <c r="DT321" s="24">
        <f t="shared" si="474"/>
        <v>8.2534283510194793E-3</v>
      </c>
      <c r="DU321" s="25">
        <f t="shared" si="475"/>
        <v>8.2534283510194758E-3</v>
      </c>
      <c r="DV321" s="24">
        <f t="shared" si="476"/>
        <v>8.2534283510194793E-3</v>
      </c>
      <c r="DW321" s="25">
        <f t="shared" si="477"/>
        <v>1.8182786608356774E-2</v>
      </c>
      <c r="DX321" s="32">
        <f t="shared" si="478"/>
        <v>1.8182786608356774E-2</v>
      </c>
      <c r="DZ321" s="54" t="s">
        <v>1382</v>
      </c>
      <c r="EA321" s="39">
        <v>0.79461430409696288</v>
      </c>
      <c r="EB321" s="40">
        <v>0.79461430409696265</v>
      </c>
      <c r="EC321" s="39">
        <v>0.68565037772095316</v>
      </c>
      <c r="ED321" s="40">
        <v>0.68565037772095339</v>
      </c>
      <c r="EE321" s="39">
        <v>0.65869046537359666</v>
      </c>
      <c r="EF321" s="40">
        <v>0.65869046537359677</v>
      </c>
      <c r="EG321" s="39">
        <v>0.65869046537359677</v>
      </c>
      <c r="EH321" s="40">
        <v>0.69583354374679363</v>
      </c>
      <c r="EI321" s="66">
        <v>0.69583354374679363</v>
      </c>
    </row>
    <row r="322" spans="1:139">
      <c r="A322" s="37" t="s">
        <v>1539</v>
      </c>
      <c r="B322" s="36" t="s">
        <v>1129</v>
      </c>
      <c r="C322" s="1" t="s">
        <v>468</v>
      </c>
      <c r="D322" s="36" t="s">
        <v>468</v>
      </c>
      <c r="E322" s="36" t="s">
        <v>1581</v>
      </c>
      <c r="F322" s="1" t="e">
        <f t="shared" ca="1" si="501"/>
        <v>#NAME?</v>
      </c>
      <c r="G322" s="35" t="s">
        <v>1121</v>
      </c>
      <c r="H322" s="43">
        <v>1</v>
      </c>
      <c r="I322" s="42">
        <v>0</v>
      </c>
      <c r="J322" s="26">
        <v>2.7920365255603143</v>
      </c>
      <c r="K322" s="25">
        <v>0.47150402015797421</v>
      </c>
      <c r="L322" s="24"/>
      <c r="M322" s="25"/>
      <c r="N322" s="24"/>
      <c r="O322" s="25"/>
      <c r="P322" s="24"/>
      <c r="Q322" s="25"/>
      <c r="R322" s="32"/>
      <c r="S322" s="47">
        <v>1</v>
      </c>
      <c r="T322" s="45">
        <v>1</v>
      </c>
      <c r="U322" s="46">
        <v>1</v>
      </c>
      <c r="V322" s="45">
        <v>1</v>
      </c>
      <c r="W322" s="46">
        <v>1</v>
      </c>
      <c r="X322" s="45">
        <v>1</v>
      </c>
      <c r="Y322" s="46">
        <v>1</v>
      </c>
      <c r="Z322" s="45">
        <v>1</v>
      </c>
      <c r="AA322" s="44">
        <v>1</v>
      </c>
      <c r="AB322" s="26">
        <f t="shared" si="510"/>
        <v>2.7920365255603143</v>
      </c>
      <c r="AC322" s="25">
        <f t="shared" si="511"/>
        <v>0.47150402015797421</v>
      </c>
      <c r="AD322" s="24">
        <f t="shared" si="512"/>
        <v>0</v>
      </c>
      <c r="AE322" s="25">
        <f t="shared" si="513"/>
        <v>0</v>
      </c>
      <c r="AF322" s="24">
        <f t="shared" si="514"/>
        <v>0</v>
      </c>
      <c r="AG322" s="25">
        <f t="shared" si="515"/>
        <v>0</v>
      </c>
      <c r="AH322" s="24">
        <f t="shared" si="516"/>
        <v>0</v>
      </c>
      <c r="AI322" s="25">
        <f t="shared" si="517"/>
        <v>0</v>
      </c>
      <c r="AJ322" s="24">
        <f t="shared" si="518"/>
        <v>0</v>
      </c>
      <c r="AK322" s="27">
        <f t="shared" si="468"/>
        <v>3.2635405457182887</v>
      </c>
      <c r="AL322" s="41">
        <v>0</v>
      </c>
      <c r="AM322" s="40">
        <v>0</v>
      </c>
      <c r="AN322" s="39">
        <v>0</v>
      </c>
      <c r="AO322" s="40">
        <v>0</v>
      </c>
      <c r="AP322" s="39">
        <v>0</v>
      </c>
      <c r="AQ322" s="40">
        <v>0</v>
      </c>
      <c r="AR322" s="39">
        <v>0</v>
      </c>
      <c r="AS322" s="40">
        <v>0</v>
      </c>
      <c r="AT322" s="39">
        <v>0</v>
      </c>
      <c r="AU322" s="38">
        <v>0</v>
      </c>
      <c r="CS322" s="54" t="s">
        <v>1580</v>
      </c>
      <c r="CT322" s="39">
        <v>8.0473687899115229E-2</v>
      </c>
      <c r="CU322" s="40">
        <v>0.22151698812983309</v>
      </c>
      <c r="CV322" s="39">
        <v>0.6031445914816187</v>
      </c>
      <c r="CW322" s="40">
        <v>0.40852417321535817</v>
      </c>
      <c r="CX322" s="39">
        <v>0.234209051593194</v>
      </c>
      <c r="CY322" s="40">
        <v>0.20414730342971635</v>
      </c>
      <c r="CZ322" s="39">
        <v>0.70920821388709332</v>
      </c>
      <c r="DA322" s="40">
        <v>9.2803387271877841E-2</v>
      </c>
      <c r="DB322" s="39">
        <v>5.8191950742596324E-2</v>
      </c>
      <c r="DC322" s="38">
        <v>2.6122193476504032</v>
      </c>
      <c r="DE322" s="37" t="s">
        <v>1579</v>
      </c>
      <c r="DF322" s="35" t="str">
        <f t="shared" si="469"/>
        <v>IFDPH</v>
      </c>
      <c r="DG322" s="26">
        <f t="shared" si="519"/>
        <v>0.604979983593953</v>
      </c>
      <c r="DH322" s="25">
        <f t="shared" si="519"/>
        <v>1.6653063547003377</v>
      </c>
      <c r="DI322" s="24">
        <f t="shared" si="519"/>
        <v>6.3728094627710705</v>
      </c>
      <c r="DJ322" s="25">
        <f t="shared" si="519"/>
        <v>4.3164553800312158</v>
      </c>
      <c r="DK322" s="24">
        <f t="shared" si="519"/>
        <v>1.5251867715786847</v>
      </c>
      <c r="DL322" s="25">
        <f t="shared" si="519"/>
        <v>1.3294224306295395</v>
      </c>
      <c r="DM322" s="24">
        <f t="shared" si="519"/>
        <v>4.6184166613438187</v>
      </c>
      <c r="DN322" s="25">
        <f t="shared" si="519"/>
        <v>2.3837106680168567</v>
      </c>
      <c r="DO322" s="32">
        <f t="shared" si="519"/>
        <v>1.4946951599025564</v>
      </c>
      <c r="DP322" s="26">
        <f t="shared" si="470"/>
        <v>9.1486991935975648E-2</v>
      </c>
      <c r="DQ322" s="25">
        <f t="shared" si="471"/>
        <v>9.1486991935975648E-2</v>
      </c>
      <c r="DR322" s="24">
        <f t="shared" si="472"/>
        <v>8.6866315697659596E-2</v>
      </c>
      <c r="DS322" s="25">
        <f t="shared" si="473"/>
        <v>8.6866315697659569E-2</v>
      </c>
      <c r="DT322" s="24">
        <f t="shared" si="474"/>
        <v>0.11057705868610757</v>
      </c>
      <c r="DU322" s="25">
        <f t="shared" si="475"/>
        <v>0.11057705868610754</v>
      </c>
      <c r="DV322" s="24">
        <f t="shared" si="476"/>
        <v>0.11057705868610757</v>
      </c>
      <c r="DW322" s="25">
        <f t="shared" si="477"/>
        <v>6.8961455758522139E-2</v>
      </c>
      <c r="DX322" s="32">
        <f t="shared" si="478"/>
        <v>6.8961455758522153E-2</v>
      </c>
      <c r="DZ322" s="54" t="s">
        <v>1379</v>
      </c>
      <c r="EA322" s="39">
        <v>0.13775737343453215</v>
      </c>
      <c r="EB322" s="40">
        <v>0.13775737343453212</v>
      </c>
      <c r="EC322" s="39">
        <v>1.9430177887731638E-2</v>
      </c>
      <c r="ED322" s="40">
        <v>1.9430177887731635E-2</v>
      </c>
      <c r="EE322" s="39">
        <v>7.6629578343658855E-2</v>
      </c>
      <c r="EF322" s="40">
        <v>7.6629578343658869E-2</v>
      </c>
      <c r="EG322" s="39">
        <v>7.6629578343658855E-2</v>
      </c>
      <c r="EH322" s="40">
        <v>0</v>
      </c>
      <c r="EI322" s="66">
        <v>0</v>
      </c>
    </row>
    <row r="323" spans="1:139">
      <c r="A323" s="37" t="s">
        <v>1539</v>
      </c>
      <c r="B323" s="36" t="s">
        <v>1129</v>
      </c>
      <c r="C323" s="1" t="s">
        <v>1132</v>
      </c>
      <c r="D323" s="36" t="s">
        <v>1131</v>
      </c>
      <c r="E323" s="36" t="s">
        <v>1578</v>
      </c>
      <c r="F323" s="1" t="e">
        <f t="shared" ca="1" si="501"/>
        <v>#NAME?</v>
      </c>
      <c r="G323" s="35" t="s">
        <v>1121</v>
      </c>
      <c r="H323" s="43">
        <v>1</v>
      </c>
      <c r="I323" s="42">
        <v>0</v>
      </c>
      <c r="J323" s="26">
        <v>7.4520922560146544E-2</v>
      </c>
      <c r="K323" s="25">
        <v>0.18831952637886293</v>
      </c>
      <c r="L323" s="24"/>
      <c r="M323" s="25"/>
      <c r="N323" s="24"/>
      <c r="O323" s="25"/>
      <c r="P323" s="24"/>
      <c r="Q323" s="25"/>
      <c r="R323" s="32"/>
      <c r="S323" s="47">
        <v>1</v>
      </c>
      <c r="T323" s="45">
        <v>1</v>
      </c>
      <c r="U323" s="46">
        <v>1</v>
      </c>
      <c r="V323" s="45">
        <v>1</v>
      </c>
      <c r="W323" s="46">
        <v>1</v>
      </c>
      <c r="X323" s="45">
        <v>1</v>
      </c>
      <c r="Y323" s="46">
        <v>1</v>
      </c>
      <c r="Z323" s="45">
        <v>1</v>
      </c>
      <c r="AA323" s="44">
        <v>1</v>
      </c>
      <c r="AB323" s="26">
        <f t="shared" si="510"/>
        <v>7.4520922560146544E-2</v>
      </c>
      <c r="AC323" s="25">
        <f t="shared" si="511"/>
        <v>0.18831952637886293</v>
      </c>
      <c r="AD323" s="24">
        <f t="shared" si="512"/>
        <v>0</v>
      </c>
      <c r="AE323" s="25">
        <f t="shared" si="513"/>
        <v>0</v>
      </c>
      <c r="AF323" s="24">
        <f t="shared" si="514"/>
        <v>0</v>
      </c>
      <c r="AG323" s="25">
        <f t="shared" si="515"/>
        <v>0</v>
      </c>
      <c r="AH323" s="24">
        <f t="shared" si="516"/>
        <v>0</v>
      </c>
      <c r="AI323" s="25">
        <f t="shared" si="517"/>
        <v>0</v>
      </c>
      <c r="AJ323" s="24">
        <f t="shared" si="518"/>
        <v>0</v>
      </c>
      <c r="AK323" s="27">
        <f t="shared" si="468"/>
        <v>0.26284044893900949</v>
      </c>
      <c r="AL323" s="41">
        <v>0</v>
      </c>
      <c r="AM323" s="40">
        <v>0</v>
      </c>
      <c r="AN323" s="39">
        <v>0</v>
      </c>
      <c r="AO323" s="40">
        <v>0</v>
      </c>
      <c r="AP323" s="39">
        <v>0</v>
      </c>
      <c r="AQ323" s="40">
        <v>0</v>
      </c>
      <c r="AR323" s="39">
        <v>0</v>
      </c>
      <c r="AS323" s="40">
        <v>0</v>
      </c>
      <c r="AT323" s="39">
        <v>0</v>
      </c>
      <c r="AU323" s="38">
        <v>0</v>
      </c>
      <c r="CS323" s="54" t="s">
        <v>1577</v>
      </c>
      <c r="CT323" s="39">
        <v>0</v>
      </c>
      <c r="CU323" s="40">
        <v>0</v>
      </c>
      <c r="CV323" s="39">
        <v>0.85569789008242614</v>
      </c>
      <c r="CW323" s="40">
        <v>0.57958452749999201</v>
      </c>
      <c r="CX323" s="39">
        <v>0.19528669258797207</v>
      </c>
      <c r="CY323" s="40">
        <v>0.17022079811325702</v>
      </c>
      <c r="CZ323" s="39">
        <v>0.59134745435371672</v>
      </c>
      <c r="DA323" s="40">
        <v>0</v>
      </c>
      <c r="DB323" s="39">
        <v>0</v>
      </c>
      <c r="DC323" s="38">
        <v>2.3921373626373641</v>
      </c>
      <c r="DE323" s="37" t="s">
        <v>1576</v>
      </c>
      <c r="DF323" s="35" t="str">
        <f t="shared" si="469"/>
        <v>IFDPH</v>
      </c>
      <c r="DG323" s="26">
        <f t="shared" si="519"/>
        <v>5.0019132160787828E-2</v>
      </c>
      <c r="DH323" s="25">
        <f t="shared" si="519"/>
        <v>0.13768584234658404</v>
      </c>
      <c r="DI323" s="24">
        <f t="shared" si="519"/>
        <v>0</v>
      </c>
      <c r="DJ323" s="25">
        <f t="shared" si="519"/>
        <v>0</v>
      </c>
      <c r="DK323" s="24">
        <f t="shared" si="519"/>
        <v>7.6618266631311285E-2</v>
      </c>
      <c r="DL323" s="25">
        <f t="shared" si="519"/>
        <v>6.6783979610699845E-2</v>
      </c>
      <c r="DM323" s="24">
        <f t="shared" si="519"/>
        <v>0.23200770277273267</v>
      </c>
      <c r="DN323" s="25">
        <f t="shared" si="519"/>
        <v>0.11536553161923298</v>
      </c>
      <c r="DO323" s="32">
        <f t="shared" si="519"/>
        <v>7.2339442888138913E-2</v>
      </c>
      <c r="DP323" s="26">
        <f t="shared" si="470"/>
        <v>7.5640518111915866E-3</v>
      </c>
      <c r="DQ323" s="25">
        <f t="shared" si="471"/>
        <v>7.5640518111915866E-3</v>
      </c>
      <c r="DR323" s="24">
        <f t="shared" si="472"/>
        <v>0</v>
      </c>
      <c r="DS323" s="25">
        <f t="shared" si="473"/>
        <v>0</v>
      </c>
      <c r="DT323" s="24">
        <f t="shared" si="474"/>
        <v>5.5548754576129379E-3</v>
      </c>
      <c r="DU323" s="25">
        <f t="shared" si="475"/>
        <v>5.554875457612937E-3</v>
      </c>
      <c r="DV323" s="24">
        <f t="shared" si="476"/>
        <v>5.5548754576129379E-3</v>
      </c>
      <c r="DW323" s="25">
        <f t="shared" si="477"/>
        <v>3.3375590047750973E-3</v>
      </c>
      <c r="DX323" s="32">
        <f t="shared" si="478"/>
        <v>3.3375590047750973E-3</v>
      </c>
      <c r="DZ323" s="54" t="s">
        <v>1351</v>
      </c>
      <c r="EA323" s="39">
        <v>0.95477578012113562</v>
      </c>
      <c r="EB323" s="40">
        <v>0.81386095301019634</v>
      </c>
      <c r="EC323" s="39">
        <v>0.75366628275641545</v>
      </c>
      <c r="ED323" s="40">
        <v>0.92652559519101307</v>
      </c>
      <c r="EE323" s="39">
        <v>0.92824176815294712</v>
      </c>
      <c r="EF323" s="40">
        <v>0.75423783372658382</v>
      </c>
      <c r="EG323" s="39">
        <v>0.77919483884697116</v>
      </c>
      <c r="EH323" s="40">
        <v>0.99117820068327867</v>
      </c>
      <c r="EI323" s="66">
        <v>0.53113842286786939</v>
      </c>
    </row>
    <row r="324" spans="1:139">
      <c r="A324" s="37" t="s">
        <v>1539</v>
      </c>
      <c r="B324" s="36" t="s">
        <v>1129</v>
      </c>
      <c r="C324" s="1" t="s">
        <v>1111</v>
      </c>
      <c r="D324" s="36" t="s">
        <v>1111</v>
      </c>
      <c r="E324" s="36" t="s">
        <v>1575</v>
      </c>
      <c r="F324" s="1" t="e">
        <f t="shared" ca="1" si="501"/>
        <v>#NAME?</v>
      </c>
      <c r="G324" s="35" t="s">
        <v>1121</v>
      </c>
      <c r="H324" s="43">
        <v>1</v>
      </c>
      <c r="I324" s="42">
        <v>0</v>
      </c>
      <c r="J324" s="26">
        <v>1.3875561663570462E-2</v>
      </c>
      <c r="K324" s="25">
        <v>1.1349826353506377E-2</v>
      </c>
      <c r="L324" s="24"/>
      <c r="M324" s="25"/>
      <c r="N324" s="24"/>
      <c r="O324" s="25"/>
      <c r="P324" s="24"/>
      <c r="Q324" s="25"/>
      <c r="R324" s="32"/>
      <c r="S324" s="47">
        <v>1</v>
      </c>
      <c r="T324" s="45">
        <v>1</v>
      </c>
      <c r="U324" s="46">
        <v>1</v>
      </c>
      <c r="V324" s="45">
        <v>1</v>
      </c>
      <c r="W324" s="46">
        <v>1</v>
      </c>
      <c r="X324" s="45">
        <v>1</v>
      </c>
      <c r="Y324" s="46">
        <v>1</v>
      </c>
      <c r="Z324" s="45">
        <v>1</v>
      </c>
      <c r="AA324" s="44">
        <v>1</v>
      </c>
      <c r="AB324" s="26">
        <f t="shared" si="510"/>
        <v>1.3875561663570462E-2</v>
      </c>
      <c r="AC324" s="25">
        <f t="shared" si="511"/>
        <v>1.1349826353506377E-2</v>
      </c>
      <c r="AD324" s="24">
        <f t="shared" si="512"/>
        <v>0</v>
      </c>
      <c r="AE324" s="25">
        <f t="shared" si="513"/>
        <v>0</v>
      </c>
      <c r="AF324" s="24">
        <f t="shared" si="514"/>
        <v>0</v>
      </c>
      <c r="AG324" s="25">
        <f t="shared" si="515"/>
        <v>0</v>
      </c>
      <c r="AH324" s="24">
        <f t="shared" si="516"/>
        <v>0</v>
      </c>
      <c r="AI324" s="25">
        <f t="shared" si="517"/>
        <v>0</v>
      </c>
      <c r="AJ324" s="24">
        <f t="shared" si="518"/>
        <v>0</v>
      </c>
      <c r="AK324" s="27">
        <f t="shared" si="468"/>
        <v>2.5225388017076841E-2</v>
      </c>
      <c r="AL324" s="41">
        <v>0</v>
      </c>
      <c r="AM324" s="40">
        <v>0</v>
      </c>
      <c r="AN324" s="39">
        <v>0</v>
      </c>
      <c r="AO324" s="40">
        <v>0</v>
      </c>
      <c r="AP324" s="39">
        <v>0</v>
      </c>
      <c r="AQ324" s="40">
        <v>0</v>
      </c>
      <c r="AR324" s="39">
        <v>0</v>
      </c>
      <c r="AS324" s="40">
        <v>0</v>
      </c>
      <c r="AT324" s="39">
        <v>0</v>
      </c>
      <c r="AU324" s="38">
        <v>0</v>
      </c>
      <c r="CS324" s="54" t="s">
        <v>1574</v>
      </c>
      <c r="CT324" s="39">
        <v>0.32189475159646092</v>
      </c>
      <c r="CU324" s="40">
        <v>0.88606795251933235</v>
      </c>
      <c r="CV324" s="39">
        <v>2.4125783659264748</v>
      </c>
      <c r="CW324" s="40">
        <v>1.6340966928614327</v>
      </c>
      <c r="CX324" s="39">
        <v>0.93683620637277598</v>
      </c>
      <c r="CY324" s="40">
        <v>0.81658921371886539</v>
      </c>
      <c r="CZ324" s="39">
        <v>2.8368328555483733</v>
      </c>
      <c r="DA324" s="40">
        <v>0.37121354908751136</v>
      </c>
      <c r="DB324" s="39">
        <v>0.2327678029703853</v>
      </c>
      <c r="DC324" s="38">
        <v>10.448877390601613</v>
      </c>
      <c r="DE324" s="37" t="s">
        <v>1573</v>
      </c>
      <c r="DF324" s="35" t="str">
        <f t="shared" si="469"/>
        <v>IFDPH</v>
      </c>
      <c r="DG324" s="26">
        <f t="shared" si="519"/>
        <v>5.830869683044793</v>
      </c>
      <c r="DH324" s="25">
        <f t="shared" si="519"/>
        <v>16.050422493186591</v>
      </c>
      <c r="DI324" s="24">
        <f t="shared" si="519"/>
        <v>58.471166232381478</v>
      </c>
      <c r="DJ324" s="25">
        <f t="shared" si="519"/>
        <v>39.603911200369922</v>
      </c>
      <c r="DK324" s="24">
        <f t="shared" si="519"/>
        <v>11.722731488109771</v>
      </c>
      <c r="DL324" s="25">
        <f t="shared" si="519"/>
        <v>10.218068028749833</v>
      </c>
      <c r="DM324" s="24">
        <f t="shared" si="519"/>
        <v>35.497592445747792</v>
      </c>
      <c r="DN324" s="25">
        <f t="shared" si="519"/>
        <v>30.259083702318186</v>
      </c>
      <c r="DO324" s="32">
        <f t="shared" si="519"/>
        <v>18.973823694202423</v>
      </c>
      <c r="DP324" s="26">
        <f t="shared" si="470"/>
        <v>0.88176260725756661</v>
      </c>
      <c r="DQ324" s="25">
        <f t="shared" si="471"/>
        <v>0.88176260725756661</v>
      </c>
      <c r="DR324" s="24">
        <f t="shared" si="472"/>
        <v>0.79700716219810219</v>
      </c>
      <c r="DS324" s="25">
        <f t="shared" si="473"/>
        <v>0.79700716219810208</v>
      </c>
      <c r="DT324" s="24">
        <f t="shared" si="474"/>
        <v>0.84990585538613206</v>
      </c>
      <c r="DU324" s="25">
        <f t="shared" si="475"/>
        <v>0.84990585538613195</v>
      </c>
      <c r="DV324" s="24">
        <f t="shared" si="476"/>
        <v>0.84990585538613206</v>
      </c>
      <c r="DW324" s="25">
        <f t="shared" si="477"/>
        <v>0.8754042552349216</v>
      </c>
      <c r="DX324" s="32">
        <f t="shared" si="478"/>
        <v>0.87540425523492171</v>
      </c>
      <c r="DZ324" s="54" t="s">
        <v>1357</v>
      </c>
      <c r="EA324" s="39">
        <v>0</v>
      </c>
      <c r="EB324" s="40">
        <v>1.2473447956195597E-2</v>
      </c>
      <c r="EC324" s="39">
        <v>4.8790429138900776E-2</v>
      </c>
      <c r="ED324" s="40">
        <v>1.4112174342462641E-2</v>
      </c>
      <c r="EE324" s="39">
        <v>1.563657408969938E-2</v>
      </c>
      <c r="EF324" s="40">
        <v>4.2595751409057331E-2</v>
      </c>
      <c r="EG324" s="39">
        <v>0</v>
      </c>
      <c r="EH324" s="40">
        <v>0</v>
      </c>
      <c r="EI324" s="66">
        <v>0</v>
      </c>
    </row>
    <row r="325" spans="1:139">
      <c r="A325" s="37" t="s">
        <v>1539</v>
      </c>
      <c r="B325" s="36" t="s">
        <v>1123</v>
      </c>
      <c r="C325" s="1" t="s">
        <v>1120</v>
      </c>
      <c r="D325" s="36" t="s">
        <v>1120</v>
      </c>
      <c r="E325" s="36" t="s">
        <v>1572</v>
      </c>
      <c r="F325" s="1" t="e">
        <f t="shared" ca="1" si="501"/>
        <v>#NAME?</v>
      </c>
      <c r="G325" s="35" t="s">
        <v>1121</v>
      </c>
      <c r="H325" s="43">
        <v>1</v>
      </c>
      <c r="I325" s="42">
        <v>0</v>
      </c>
      <c r="J325" s="26">
        <v>7.2240934089668626E-2</v>
      </c>
      <c r="K325" s="25">
        <v>0.12170522519545056</v>
      </c>
      <c r="L325" s="24"/>
      <c r="M325" s="25"/>
      <c r="N325" s="24"/>
      <c r="O325" s="25"/>
      <c r="P325" s="24"/>
      <c r="Q325" s="25"/>
      <c r="R325" s="32"/>
      <c r="S325" s="47">
        <v>1</v>
      </c>
      <c r="T325" s="45">
        <v>1</v>
      </c>
      <c r="U325" s="46">
        <v>1</v>
      </c>
      <c r="V325" s="45">
        <v>1</v>
      </c>
      <c r="W325" s="46">
        <v>1</v>
      </c>
      <c r="X325" s="45">
        <v>1</v>
      </c>
      <c r="Y325" s="46">
        <v>1</v>
      </c>
      <c r="Z325" s="45">
        <v>1</v>
      </c>
      <c r="AA325" s="44">
        <v>1</v>
      </c>
      <c r="AB325" s="26">
        <f t="shared" si="510"/>
        <v>7.2240934089668626E-2</v>
      </c>
      <c r="AC325" s="25">
        <f t="shared" si="511"/>
        <v>0.12170522519545056</v>
      </c>
      <c r="AD325" s="24">
        <f t="shared" si="512"/>
        <v>0</v>
      </c>
      <c r="AE325" s="25">
        <f t="shared" si="513"/>
        <v>0</v>
      </c>
      <c r="AF325" s="24">
        <f t="shared" si="514"/>
        <v>0</v>
      </c>
      <c r="AG325" s="25">
        <f t="shared" si="515"/>
        <v>0</v>
      </c>
      <c r="AH325" s="24">
        <f t="shared" si="516"/>
        <v>0</v>
      </c>
      <c r="AI325" s="25">
        <f t="shared" si="517"/>
        <v>0</v>
      </c>
      <c r="AJ325" s="24">
        <f t="shared" si="518"/>
        <v>0</v>
      </c>
      <c r="AK325" s="27">
        <f t="shared" si="468"/>
        <v>0.19394615928511919</v>
      </c>
      <c r="AL325" s="41">
        <v>0</v>
      </c>
      <c r="AM325" s="40">
        <v>0</v>
      </c>
      <c r="AN325" s="39">
        <v>0</v>
      </c>
      <c r="AO325" s="40">
        <v>0</v>
      </c>
      <c r="AP325" s="39">
        <v>0</v>
      </c>
      <c r="AQ325" s="40">
        <v>0</v>
      </c>
      <c r="AR325" s="39">
        <v>0</v>
      </c>
      <c r="AS325" s="40">
        <v>0</v>
      </c>
      <c r="AT325" s="39">
        <v>0</v>
      </c>
      <c r="AU325" s="38">
        <v>0</v>
      </c>
      <c r="CS325" s="54" t="s">
        <v>1571</v>
      </c>
      <c r="CT325" s="39">
        <v>0.40856110885618713</v>
      </c>
      <c r="CU325" s="40">
        <v>1.1246312759304085</v>
      </c>
      <c r="CV325" s="39">
        <v>5.2493769868928748</v>
      </c>
      <c r="CW325" s="40">
        <v>3.5555278514530047</v>
      </c>
      <c r="CX325" s="39">
        <v>0.67052722673844156</v>
      </c>
      <c r="CY325" s="40">
        <v>0.5844621473153887</v>
      </c>
      <c r="CZ325" s="39">
        <v>2.0304228790603043</v>
      </c>
      <c r="DA325" s="40">
        <v>0.35000339002747732</v>
      </c>
      <c r="DB325" s="39">
        <v>0.21946806717897258</v>
      </c>
      <c r="DC325" s="38">
        <v>14.192980933453061</v>
      </c>
      <c r="DE325" s="37" t="s">
        <v>1570</v>
      </c>
      <c r="DF325" s="35" t="str">
        <f t="shared" si="469"/>
        <v>IFDPH</v>
      </c>
      <c r="DG325" s="26">
        <f t="shared" si="519"/>
        <v>2.6993181105503441E-2</v>
      </c>
      <c r="DH325" s="25">
        <f t="shared" si="519"/>
        <v>7.4303145967788822E-2</v>
      </c>
      <c r="DI325" s="24">
        <f t="shared" si="519"/>
        <v>6.0391636020816916E-2</v>
      </c>
      <c r="DJ325" s="25">
        <f t="shared" si="519"/>
        <v>4.0904691052475364E-2</v>
      </c>
      <c r="DK325" s="24">
        <f t="shared" si="519"/>
        <v>4.1347593567208386E-2</v>
      </c>
      <c r="DL325" s="25">
        <f t="shared" si="519"/>
        <v>3.6040450497681654E-2</v>
      </c>
      <c r="DM325" s="24">
        <f t="shared" si="519"/>
        <v>0.12520461008169453</v>
      </c>
      <c r="DN325" s="25">
        <f t="shared" si="519"/>
        <v>0</v>
      </c>
      <c r="DO325" s="32">
        <f t="shared" si="519"/>
        <v>0</v>
      </c>
      <c r="DP325" s="26">
        <f t="shared" si="470"/>
        <v>4.0819944611308091E-3</v>
      </c>
      <c r="DQ325" s="25">
        <f t="shared" si="471"/>
        <v>4.0819944611308091E-3</v>
      </c>
      <c r="DR325" s="24">
        <f t="shared" si="472"/>
        <v>8.2318464889445024E-4</v>
      </c>
      <c r="DS325" s="25">
        <f t="shared" si="473"/>
        <v>8.2318464889444992E-4</v>
      </c>
      <c r="DT325" s="24">
        <f t="shared" si="474"/>
        <v>2.9977281245876911E-3</v>
      </c>
      <c r="DU325" s="25">
        <f t="shared" si="475"/>
        <v>2.9977281245876898E-3</v>
      </c>
      <c r="DV325" s="24">
        <f t="shared" si="476"/>
        <v>2.9977281245876911E-3</v>
      </c>
      <c r="DW325" s="25">
        <f t="shared" si="477"/>
        <v>0</v>
      </c>
      <c r="DX325" s="32">
        <f t="shared" si="478"/>
        <v>0</v>
      </c>
      <c r="DZ325" s="54" t="s">
        <v>1373</v>
      </c>
      <c r="EA325" s="39">
        <v>0</v>
      </c>
      <c r="EB325" s="40">
        <v>0</v>
      </c>
      <c r="EC325" s="39">
        <v>0</v>
      </c>
      <c r="ED325" s="40">
        <v>0</v>
      </c>
      <c r="EE325" s="39">
        <v>0</v>
      </c>
      <c r="EF325" s="40">
        <v>0</v>
      </c>
      <c r="EG325" s="39">
        <v>0</v>
      </c>
      <c r="EH325" s="40">
        <v>0</v>
      </c>
      <c r="EI325" s="66">
        <v>0</v>
      </c>
    </row>
    <row r="326" spans="1:139">
      <c r="A326" s="37" t="s">
        <v>1539</v>
      </c>
      <c r="B326" s="36" t="s">
        <v>1123</v>
      </c>
      <c r="C326" s="1" t="s">
        <v>1126</v>
      </c>
      <c r="D326" s="36" t="s">
        <v>1126</v>
      </c>
      <c r="E326" s="36" t="s">
        <v>1569</v>
      </c>
      <c r="F326" s="1" t="e">
        <f t="shared" ca="1" si="501"/>
        <v>#NAME?</v>
      </c>
      <c r="G326" s="35" t="s">
        <v>1121</v>
      </c>
      <c r="H326" s="43">
        <v>1</v>
      </c>
      <c r="I326" s="42">
        <v>0</v>
      </c>
      <c r="J326" s="26">
        <v>0.51541060836671637</v>
      </c>
      <c r="K326" s="25">
        <v>0.73807101482525506</v>
      </c>
      <c r="L326" s="24"/>
      <c r="M326" s="25"/>
      <c r="N326" s="24"/>
      <c r="O326" s="25"/>
      <c r="P326" s="24"/>
      <c r="Q326" s="25"/>
      <c r="R326" s="32"/>
      <c r="S326" s="47">
        <v>1</v>
      </c>
      <c r="T326" s="45">
        <v>1</v>
      </c>
      <c r="U326" s="46">
        <v>1</v>
      </c>
      <c r="V326" s="45">
        <v>1</v>
      </c>
      <c r="W326" s="46">
        <v>1</v>
      </c>
      <c r="X326" s="45">
        <v>1</v>
      </c>
      <c r="Y326" s="46">
        <v>1</v>
      </c>
      <c r="Z326" s="45">
        <v>1</v>
      </c>
      <c r="AA326" s="44">
        <v>1</v>
      </c>
      <c r="AB326" s="26">
        <f t="shared" si="510"/>
        <v>0.51541060836671637</v>
      </c>
      <c r="AC326" s="25">
        <f t="shared" si="511"/>
        <v>0.73807101482525506</v>
      </c>
      <c r="AD326" s="24">
        <f t="shared" si="512"/>
        <v>0</v>
      </c>
      <c r="AE326" s="25">
        <f t="shared" si="513"/>
        <v>0</v>
      </c>
      <c r="AF326" s="24">
        <f t="shared" si="514"/>
        <v>0</v>
      </c>
      <c r="AG326" s="25">
        <f t="shared" si="515"/>
        <v>0</v>
      </c>
      <c r="AH326" s="24">
        <f t="shared" si="516"/>
        <v>0</v>
      </c>
      <c r="AI326" s="25">
        <f t="shared" si="517"/>
        <v>0</v>
      </c>
      <c r="AJ326" s="24">
        <f t="shared" si="518"/>
        <v>0</v>
      </c>
      <c r="AK326" s="27">
        <f t="shared" si="468"/>
        <v>1.2534816231919714</v>
      </c>
      <c r="AL326" s="41">
        <v>0</v>
      </c>
      <c r="AM326" s="40">
        <v>0</v>
      </c>
      <c r="AN326" s="39">
        <v>0</v>
      </c>
      <c r="AO326" s="40">
        <v>0</v>
      </c>
      <c r="AP326" s="39">
        <v>0</v>
      </c>
      <c r="AQ326" s="40">
        <v>0</v>
      </c>
      <c r="AR326" s="39">
        <v>0</v>
      </c>
      <c r="AS326" s="40">
        <v>0</v>
      </c>
      <c r="AT326" s="39">
        <v>0</v>
      </c>
      <c r="AU326" s="38">
        <v>0</v>
      </c>
      <c r="CS326" s="54" t="s">
        <v>1568</v>
      </c>
      <c r="CT326" s="39">
        <v>2.2820211257979894E-2</v>
      </c>
      <c r="CU326" s="40">
        <v>6.2816363936140582E-2</v>
      </c>
      <c r="CV326" s="39">
        <v>0.91899868944025409</v>
      </c>
      <c r="CW326" s="40">
        <v>0.62245966405390407</v>
      </c>
      <c r="CX326" s="39">
        <v>6.9911050240788683E-2</v>
      </c>
      <c r="CY326" s="40">
        <v>6.0937663551049417E-2</v>
      </c>
      <c r="CZ326" s="39">
        <v>0.21169758698464158</v>
      </c>
      <c r="DA326" s="40">
        <v>0</v>
      </c>
      <c r="DB326" s="39">
        <v>0</v>
      </c>
      <c r="DC326" s="38">
        <v>1.9696412294647585</v>
      </c>
      <c r="DE326" s="37" t="s">
        <v>1567</v>
      </c>
      <c r="DF326" s="35" t="str">
        <f t="shared" si="469"/>
        <v>IFDPH</v>
      </c>
      <c r="DG326" s="26">
        <f t="shared" si="519"/>
        <v>2.5562841595909186E-2</v>
      </c>
      <c r="DH326" s="25">
        <f t="shared" si="519"/>
        <v>7.0365902522880094E-2</v>
      </c>
      <c r="DI326" s="24">
        <f t="shared" si="519"/>
        <v>8.29277452687721</v>
      </c>
      <c r="DJ326" s="25">
        <f t="shared" si="519"/>
        <v>5.6168933703472348</v>
      </c>
      <c r="DK326" s="24">
        <f t="shared" si="519"/>
        <v>0.31325303397163073</v>
      </c>
      <c r="DL326" s="25">
        <f t="shared" si="519"/>
        <v>0.27304564764457673</v>
      </c>
      <c r="DM326" s="24">
        <f t="shared" si="519"/>
        <v>0.94856122428442102</v>
      </c>
      <c r="DN326" s="25">
        <f t="shared" si="519"/>
        <v>1.1791771200389636</v>
      </c>
      <c r="DO326" s="32">
        <f t="shared" si="519"/>
        <v>0.73939776233682175</v>
      </c>
      <c r="DP326" s="26">
        <f t="shared" si="470"/>
        <v>3.8656939838776884E-3</v>
      </c>
      <c r="DQ326" s="25">
        <f t="shared" si="471"/>
        <v>3.8656939838776884E-3</v>
      </c>
      <c r="DR326" s="24">
        <f t="shared" si="472"/>
        <v>0.11303692261152151</v>
      </c>
      <c r="DS326" s="25">
        <f t="shared" si="473"/>
        <v>0.11303692261152146</v>
      </c>
      <c r="DT326" s="24">
        <f t="shared" si="474"/>
        <v>2.2711053994540396E-2</v>
      </c>
      <c r="DU326" s="25">
        <f t="shared" si="475"/>
        <v>2.2711053994540393E-2</v>
      </c>
      <c r="DV326" s="24">
        <f t="shared" si="476"/>
        <v>2.27110539945404E-2</v>
      </c>
      <c r="DW326" s="25">
        <f t="shared" si="477"/>
        <v>3.4113943393424245E-2</v>
      </c>
      <c r="DX326" s="32">
        <f t="shared" si="478"/>
        <v>3.4113943393424245E-2</v>
      </c>
      <c r="DZ326" s="54" t="s">
        <v>1369</v>
      </c>
      <c r="EA326" s="39">
        <v>1.3706544482273227E-3</v>
      </c>
      <c r="EB326" s="40">
        <v>1.8315723129801267E-3</v>
      </c>
      <c r="EC326" s="39">
        <v>7.9064717127484713E-3</v>
      </c>
      <c r="ED326" s="40">
        <v>5.4390707023063848E-3</v>
      </c>
      <c r="EE326" s="39">
        <v>4.2875750044636092E-3</v>
      </c>
      <c r="EF326" s="40">
        <v>5.732555099077938E-3</v>
      </c>
      <c r="EG326" s="39">
        <v>7.5631168645986478E-3</v>
      </c>
      <c r="EH326" s="40">
        <v>8.8217993167213418E-3</v>
      </c>
      <c r="EI326" s="66">
        <v>3.794664325796808E-2</v>
      </c>
    </row>
    <row r="327" spans="1:139">
      <c r="A327" s="37" t="s">
        <v>1539</v>
      </c>
      <c r="B327" s="36" t="s">
        <v>1123</v>
      </c>
      <c r="C327" s="1" t="s">
        <v>456</v>
      </c>
      <c r="D327" s="36" t="s">
        <v>456</v>
      </c>
      <c r="E327" s="36" t="s">
        <v>1566</v>
      </c>
      <c r="F327" s="1" t="e">
        <f t="shared" ca="1" si="501"/>
        <v>#NAME?</v>
      </c>
      <c r="G327" s="35" t="s">
        <v>1121</v>
      </c>
      <c r="H327" s="43">
        <v>1</v>
      </c>
      <c r="I327" s="42">
        <v>0</v>
      </c>
      <c r="J327" s="26">
        <v>0</v>
      </c>
      <c r="K327" s="25">
        <v>7.1383478227929767E-3</v>
      </c>
      <c r="L327" s="24"/>
      <c r="M327" s="25"/>
      <c r="N327" s="24"/>
      <c r="O327" s="25"/>
      <c r="P327" s="24"/>
      <c r="Q327" s="25"/>
      <c r="R327" s="32"/>
      <c r="S327" s="47">
        <v>1</v>
      </c>
      <c r="T327" s="45">
        <v>1</v>
      </c>
      <c r="U327" s="46">
        <v>1</v>
      </c>
      <c r="V327" s="45">
        <v>1</v>
      </c>
      <c r="W327" s="46">
        <v>1</v>
      </c>
      <c r="X327" s="45">
        <v>1</v>
      </c>
      <c r="Y327" s="46">
        <v>1</v>
      </c>
      <c r="Z327" s="45">
        <v>1</v>
      </c>
      <c r="AA327" s="44">
        <v>1</v>
      </c>
      <c r="AB327" s="26">
        <f t="shared" si="510"/>
        <v>0</v>
      </c>
      <c r="AC327" s="25">
        <f t="shared" si="511"/>
        <v>7.1383478227929767E-3</v>
      </c>
      <c r="AD327" s="24">
        <f t="shared" si="512"/>
        <v>0</v>
      </c>
      <c r="AE327" s="25">
        <f t="shared" si="513"/>
        <v>0</v>
      </c>
      <c r="AF327" s="24">
        <f t="shared" si="514"/>
        <v>0</v>
      </c>
      <c r="AG327" s="25">
        <f t="shared" si="515"/>
        <v>0</v>
      </c>
      <c r="AH327" s="24">
        <f t="shared" si="516"/>
        <v>0</v>
      </c>
      <c r="AI327" s="25">
        <f t="shared" si="517"/>
        <v>0</v>
      </c>
      <c r="AJ327" s="24">
        <f t="shared" si="518"/>
        <v>0</v>
      </c>
      <c r="AK327" s="27">
        <f t="shared" si="468"/>
        <v>7.1383478227929767E-3</v>
      </c>
      <c r="AL327" s="41">
        <v>0</v>
      </c>
      <c r="AM327" s="40">
        <v>0</v>
      </c>
      <c r="AN327" s="39">
        <v>0</v>
      </c>
      <c r="AO327" s="40">
        <v>0</v>
      </c>
      <c r="AP327" s="39">
        <v>0</v>
      </c>
      <c r="AQ327" s="40">
        <v>0</v>
      </c>
      <c r="AR327" s="39">
        <v>0</v>
      </c>
      <c r="AS327" s="40">
        <v>0</v>
      </c>
      <c r="AT327" s="39">
        <v>0</v>
      </c>
      <c r="AU327" s="38">
        <v>0</v>
      </c>
      <c r="CS327" s="54" t="s">
        <v>1565</v>
      </c>
      <c r="CT327" s="39">
        <v>32.494369388274151</v>
      </c>
      <c r="CU327" s="40">
        <v>89.44606648439526</v>
      </c>
      <c r="CV327" s="39">
        <v>92.821558117644997</v>
      </c>
      <c r="CW327" s="40">
        <v>62.870248398352565</v>
      </c>
      <c r="CX327" s="39">
        <v>15.110024816771393</v>
      </c>
      <c r="CY327" s="40">
        <v>13.170587558920854</v>
      </c>
      <c r="CZ327" s="39">
        <v>45.754652261285621</v>
      </c>
      <c r="DA327" s="40">
        <v>0</v>
      </c>
      <c r="DB327" s="39">
        <v>0</v>
      </c>
      <c r="DC327" s="38">
        <v>351.6675070256448</v>
      </c>
      <c r="DE327" s="37" t="s">
        <v>1564</v>
      </c>
      <c r="DF327" s="35" t="str">
        <f t="shared" si="469"/>
        <v>INGPH</v>
      </c>
      <c r="DG327" s="26">
        <f t="shared" si="519"/>
        <v>1.0122727496939203</v>
      </c>
      <c r="DH327" s="25">
        <f t="shared" si="519"/>
        <v>2.7864463097455117</v>
      </c>
      <c r="DI327" s="24">
        <f t="shared" si="519"/>
        <v>4.8530357575202707</v>
      </c>
      <c r="DJ327" s="25">
        <f t="shared" si="519"/>
        <v>3.2870765127070847</v>
      </c>
      <c r="DK327" s="24">
        <f t="shared" si="519"/>
        <v>1.9936007363659736</v>
      </c>
      <c r="DL327" s="25">
        <f t="shared" si="519"/>
        <v>1.7377134302713566</v>
      </c>
      <c r="DM327" s="24">
        <f t="shared" si="519"/>
        <v>6.0368205576354965</v>
      </c>
      <c r="DN327" s="25">
        <f t="shared" si="519"/>
        <v>2.3347343079984881</v>
      </c>
      <c r="DO327" s="32">
        <f t="shared" si="519"/>
        <v>1.4639847514409441</v>
      </c>
      <c r="DP327" s="26">
        <f t="shared" si="470"/>
        <v>9.6651964191282261E-2</v>
      </c>
      <c r="DQ327" s="25">
        <f t="shared" si="471"/>
        <v>9.6651964191282261E-2</v>
      </c>
      <c r="DR327" s="24">
        <f t="shared" si="472"/>
        <v>0.1193137960697684</v>
      </c>
      <c r="DS327" s="25">
        <f t="shared" si="473"/>
        <v>0.11931379606976841</v>
      </c>
      <c r="DT327" s="24">
        <f t="shared" si="474"/>
        <v>0.11509051969885416</v>
      </c>
      <c r="DU327" s="25">
        <f t="shared" si="475"/>
        <v>0.11509051969885419</v>
      </c>
      <c r="DV327" s="24">
        <f t="shared" si="476"/>
        <v>0.11509051969885417</v>
      </c>
      <c r="DW327" s="25">
        <f t="shared" si="477"/>
        <v>0.12210698934029977</v>
      </c>
      <c r="DX327" s="32">
        <f t="shared" si="478"/>
        <v>0.12210698934029976</v>
      </c>
      <c r="DZ327" s="54" t="s">
        <v>1367</v>
      </c>
      <c r="EA327" s="39">
        <v>0</v>
      </c>
      <c r="EB327" s="40">
        <v>0.11323357029479653</v>
      </c>
      <c r="EC327" s="39">
        <v>0.18399028643911211</v>
      </c>
      <c r="ED327" s="40">
        <v>5.0038762683965787E-2</v>
      </c>
      <c r="EE327" s="39">
        <v>3.8973521103841668E-2</v>
      </c>
      <c r="EF327" s="40">
        <v>0.18023908692013957</v>
      </c>
      <c r="EG327" s="39">
        <v>0.19055650978585773</v>
      </c>
      <c r="EH327" s="40">
        <v>0</v>
      </c>
      <c r="EI327" s="66">
        <v>0.43091493387416258</v>
      </c>
    </row>
    <row r="328" spans="1:139">
      <c r="A328" s="37" t="s">
        <v>1539</v>
      </c>
      <c r="B328" s="36" t="s">
        <v>1123</v>
      </c>
      <c r="C328" s="1" t="s">
        <v>665</v>
      </c>
      <c r="D328" s="36" t="s">
        <v>665</v>
      </c>
      <c r="E328" s="36" t="s">
        <v>1563</v>
      </c>
      <c r="F328" s="1" t="e">
        <f t="shared" ca="1" si="501"/>
        <v>#NAME?</v>
      </c>
      <c r="G328" s="35" t="s">
        <v>1121</v>
      </c>
      <c r="H328" s="43">
        <v>1</v>
      </c>
      <c r="I328" s="42">
        <v>0</v>
      </c>
      <c r="J328" s="26">
        <v>10.438765724952955</v>
      </c>
      <c r="K328" s="25">
        <v>12.873187753004666</v>
      </c>
      <c r="L328" s="24"/>
      <c r="M328" s="25"/>
      <c r="N328" s="24"/>
      <c r="O328" s="25"/>
      <c r="P328" s="24"/>
      <c r="Q328" s="25"/>
      <c r="R328" s="32"/>
      <c r="S328" s="47">
        <v>1</v>
      </c>
      <c r="T328" s="45">
        <v>1</v>
      </c>
      <c r="U328" s="46">
        <v>1</v>
      </c>
      <c r="V328" s="45">
        <v>1</v>
      </c>
      <c r="W328" s="46">
        <v>1</v>
      </c>
      <c r="X328" s="45">
        <v>1</v>
      </c>
      <c r="Y328" s="46">
        <v>1</v>
      </c>
      <c r="Z328" s="45">
        <v>1</v>
      </c>
      <c r="AA328" s="44">
        <v>1</v>
      </c>
      <c r="AB328" s="26">
        <f t="shared" si="510"/>
        <v>10.438765724952955</v>
      </c>
      <c r="AC328" s="25">
        <f t="shared" si="511"/>
        <v>12.873187753004666</v>
      </c>
      <c r="AD328" s="24">
        <f t="shared" si="512"/>
        <v>0</v>
      </c>
      <c r="AE328" s="25">
        <f t="shared" si="513"/>
        <v>0</v>
      </c>
      <c r="AF328" s="24">
        <f t="shared" si="514"/>
        <v>0</v>
      </c>
      <c r="AG328" s="25">
        <f t="shared" si="515"/>
        <v>0</v>
      </c>
      <c r="AH328" s="24">
        <f t="shared" si="516"/>
        <v>0</v>
      </c>
      <c r="AI328" s="25">
        <f t="shared" si="517"/>
        <v>0</v>
      </c>
      <c r="AJ328" s="24">
        <f t="shared" si="518"/>
        <v>0</v>
      </c>
      <c r="AK328" s="27">
        <f t="shared" ref="AK328:AK391" si="520">SUM(AB328:AJ328)</f>
        <v>23.311953477957623</v>
      </c>
      <c r="AL328" s="41">
        <v>0</v>
      </c>
      <c r="AM328" s="40">
        <v>0</v>
      </c>
      <c r="AN328" s="39">
        <v>0</v>
      </c>
      <c r="AO328" s="40">
        <v>0</v>
      </c>
      <c r="AP328" s="39">
        <v>0</v>
      </c>
      <c r="AQ328" s="40">
        <v>0</v>
      </c>
      <c r="AR328" s="39">
        <v>0</v>
      </c>
      <c r="AS328" s="40">
        <v>0</v>
      </c>
      <c r="AT328" s="39">
        <v>0</v>
      </c>
      <c r="AU328" s="38">
        <v>0</v>
      </c>
      <c r="CS328" s="54" t="s">
        <v>1562</v>
      </c>
      <c r="CT328" s="39">
        <v>0.45817210064586705</v>
      </c>
      <c r="CU328" s="40">
        <v>1.2611936451505297</v>
      </c>
      <c r="CV328" s="39">
        <v>4.612792091094299</v>
      </c>
      <c r="CW328" s="40">
        <v>3.1243537649894875</v>
      </c>
      <c r="CX328" s="39">
        <v>1.5790916189690298</v>
      </c>
      <c r="CY328" s="40">
        <v>1.3764083569277406</v>
      </c>
      <c r="CZ328" s="39">
        <v>4.7816458801870159</v>
      </c>
      <c r="DA328" s="40">
        <v>0</v>
      </c>
      <c r="DB328" s="39">
        <v>0</v>
      </c>
      <c r="DC328" s="38">
        <v>17.193657457963972</v>
      </c>
      <c r="DE328" s="37" t="s">
        <v>1561</v>
      </c>
      <c r="DF328" s="35" t="str">
        <f t="shared" ref="DF328:DF380" si="521">LEFT(DE328,5)</f>
        <v>INGPH</v>
      </c>
      <c r="DG328" s="26">
        <f t="shared" ref="DG328:DO337" si="522">GETPIVOTDATA("Sum of "&amp;DG$1&amp;" (Out)",$CS$6,"Constraint Identifier",$DE328)</f>
        <v>9.4611072603651465</v>
      </c>
      <c r="DH328" s="25">
        <f t="shared" si="522"/>
        <v>26.043245182409816</v>
      </c>
      <c r="DI328" s="24">
        <f t="shared" si="522"/>
        <v>35.821520893769851</v>
      </c>
      <c r="DJ328" s="25">
        <f t="shared" si="522"/>
        <v>24.262767855541629</v>
      </c>
      <c r="DK328" s="24">
        <f t="shared" si="522"/>
        <v>15.328423193862415</v>
      </c>
      <c r="DL328" s="25">
        <f t="shared" si="522"/>
        <v>13.360953556533961</v>
      </c>
      <c r="DM328" s="24">
        <f t="shared" si="522"/>
        <v>46.415984186242973</v>
      </c>
      <c r="DN328" s="25">
        <f t="shared" si="522"/>
        <v>16.785664291723112</v>
      </c>
      <c r="DO328" s="32">
        <f t="shared" si="522"/>
        <v>10.525376048873012</v>
      </c>
      <c r="DP328" s="26">
        <f t="shared" ref="DP328:DP380" si="523">IF(SUMIF($DF$8:$DF$380,"="&amp;$DF328,DG$8:DG$380)=0,0,DG328/SUMIF($DF$8:$DF$380,"="&amp;$DF328,DG$8:DG$380))</f>
        <v>0.9033480358087177</v>
      </c>
      <c r="DQ328" s="25">
        <f t="shared" ref="DQ328:DQ380" si="524">IF(SUMIF($DF$8:$DF$380,"="&amp;$DF328,DH$8:DH$380)=0,0,DH328/SUMIF($DF$8:$DF$380,"="&amp;$DF328,DH$8:DH$380))</f>
        <v>0.90334803580871781</v>
      </c>
      <c r="DR328" s="24">
        <f t="shared" ref="DR328:DR380" si="525">IF(SUMIF($DF$8:$DF$380,"="&amp;$DF328,DI$8:DI$380)=0,0,DI328/SUMIF($DF$8:$DF$380,"="&amp;$DF328,DI$8:DI$380))</f>
        <v>0.88068620393023167</v>
      </c>
      <c r="DS328" s="25">
        <f t="shared" ref="DS328:DS380" si="526">IF(SUMIF($DF$8:$DF$380,"="&amp;$DF328,DJ$8:DJ$380)=0,0,DJ328/SUMIF($DF$8:$DF$380,"="&amp;$DF328,DJ$8:DJ$380))</f>
        <v>0.88068620393023156</v>
      </c>
      <c r="DT328" s="24">
        <f t="shared" ref="DT328:DT380" si="527">IF(SUMIF($DF$8:$DF$380,"="&amp;$DF328,DK$8:DK$380)=0,0,DK328/SUMIF($DF$8:$DF$380,"="&amp;$DF328,DK$8:DK$380))</f>
        <v>0.8849094803011458</v>
      </c>
      <c r="DU328" s="25">
        <f t="shared" ref="DU328:DU380" si="528">IF(SUMIF($DF$8:$DF$380,"="&amp;$DF328,DL$8:DL$380)=0,0,DL328/SUMIF($DF$8:$DF$380,"="&amp;$DF328,DL$8:DL$380))</f>
        <v>0.88490948030114591</v>
      </c>
      <c r="DV328" s="24">
        <f t="shared" ref="DV328:DV380" si="529">IF(SUMIF($DF$8:$DF$380,"="&amp;$DF328,DM$8:DM$380)=0,0,DM328/SUMIF($DF$8:$DF$380,"="&amp;$DF328,DM$8:DM$380))</f>
        <v>0.88490948030114591</v>
      </c>
      <c r="DW328" s="25">
        <f t="shared" ref="DW328:DW380" si="530">IF(SUMIF($DF$8:$DF$380,"="&amp;$DF328,DN$8:DN$380)=0,0,DN328/SUMIF($DF$8:$DF$380,"="&amp;$DF328,DN$8:DN$380))</f>
        <v>0.87789301065970027</v>
      </c>
      <c r="DX328" s="32">
        <f t="shared" ref="DX328:DX380" si="531">IF(SUMIF($DF$8:$DF$380,"="&amp;$DF328,DO$8:DO$380)=0,0,DO328/SUMIF($DF$8:$DF$380,"="&amp;$DF328,DO$8:DO$380))</f>
        <v>0.87789301065970016</v>
      </c>
      <c r="DZ328" s="54" t="s">
        <v>1362</v>
      </c>
      <c r="EA328" s="39">
        <v>4.3853565430637002E-2</v>
      </c>
      <c r="EB328" s="40">
        <v>5.8600456425831358E-2</v>
      </c>
      <c r="EC328" s="39">
        <v>5.6465299528232959E-3</v>
      </c>
      <c r="ED328" s="40">
        <v>3.8843970802521824E-3</v>
      </c>
      <c r="EE328" s="39">
        <v>1.2860561649048155E-2</v>
      </c>
      <c r="EF328" s="40">
        <v>1.7194772845141232E-2</v>
      </c>
      <c r="EG328" s="39">
        <v>2.2685534502572515E-2</v>
      </c>
      <c r="EH328" s="40">
        <v>0</v>
      </c>
      <c r="EI328" s="66">
        <v>0</v>
      </c>
    </row>
    <row r="329" spans="1:139">
      <c r="A329" s="37" t="s">
        <v>1539</v>
      </c>
      <c r="B329" s="36" t="s">
        <v>1123</v>
      </c>
      <c r="C329" s="1" t="s">
        <v>1106</v>
      </c>
      <c r="D329" s="36" t="s">
        <v>1106</v>
      </c>
      <c r="E329" s="36" t="s">
        <v>1560</v>
      </c>
      <c r="F329" s="1" t="e">
        <f t="shared" ca="1" si="501"/>
        <v>#NAME?</v>
      </c>
      <c r="G329" s="35" t="s">
        <v>1121</v>
      </c>
      <c r="H329" s="43">
        <v>1</v>
      </c>
      <c r="I329" s="42">
        <v>0</v>
      </c>
      <c r="J329" s="26">
        <v>12.07171269298418</v>
      </c>
      <c r="K329" s="25">
        <v>5.3616699299285768</v>
      </c>
      <c r="L329" s="24"/>
      <c r="M329" s="25"/>
      <c r="N329" s="24"/>
      <c r="O329" s="25"/>
      <c r="P329" s="24"/>
      <c r="Q329" s="25"/>
      <c r="R329" s="32"/>
      <c r="S329" s="47">
        <v>1</v>
      </c>
      <c r="T329" s="45">
        <v>1</v>
      </c>
      <c r="U329" s="46">
        <v>1</v>
      </c>
      <c r="V329" s="45">
        <v>1</v>
      </c>
      <c r="W329" s="46">
        <v>1</v>
      </c>
      <c r="X329" s="45">
        <v>1</v>
      </c>
      <c r="Y329" s="46">
        <v>1</v>
      </c>
      <c r="Z329" s="45">
        <v>1</v>
      </c>
      <c r="AA329" s="44">
        <v>1</v>
      </c>
      <c r="AB329" s="26">
        <f t="shared" si="510"/>
        <v>12.07171269298418</v>
      </c>
      <c r="AC329" s="25">
        <f t="shared" si="511"/>
        <v>5.3616699299285768</v>
      </c>
      <c r="AD329" s="24">
        <f t="shared" si="512"/>
        <v>0</v>
      </c>
      <c r="AE329" s="25">
        <f t="shared" si="513"/>
        <v>0</v>
      </c>
      <c r="AF329" s="24">
        <f t="shared" si="514"/>
        <v>0</v>
      </c>
      <c r="AG329" s="25">
        <f t="shared" si="515"/>
        <v>0</v>
      </c>
      <c r="AH329" s="24">
        <f t="shared" si="516"/>
        <v>0</v>
      </c>
      <c r="AI329" s="25">
        <f t="shared" si="517"/>
        <v>0</v>
      </c>
      <c r="AJ329" s="24">
        <f t="shared" si="518"/>
        <v>0</v>
      </c>
      <c r="AK329" s="27">
        <f t="shared" si="520"/>
        <v>17.433382622912756</v>
      </c>
      <c r="AL329" s="41">
        <v>0</v>
      </c>
      <c r="AM329" s="40">
        <v>0</v>
      </c>
      <c r="AN329" s="39">
        <v>0</v>
      </c>
      <c r="AO329" s="40">
        <v>0</v>
      </c>
      <c r="AP329" s="39">
        <v>0</v>
      </c>
      <c r="AQ329" s="40">
        <v>0</v>
      </c>
      <c r="AR329" s="39">
        <v>0</v>
      </c>
      <c r="AS329" s="40">
        <v>0</v>
      </c>
      <c r="AT329" s="39">
        <v>0</v>
      </c>
      <c r="AU329" s="38">
        <v>0</v>
      </c>
      <c r="CS329" s="54" t="s">
        <v>1559</v>
      </c>
      <c r="CT329" s="39">
        <v>0</v>
      </c>
      <c r="CU329" s="40">
        <v>5.1304779211339309</v>
      </c>
      <c r="CV329" s="39">
        <v>2.4469827420437595</v>
      </c>
      <c r="CW329" s="40">
        <v>1.6573995948633853</v>
      </c>
      <c r="CX329" s="39">
        <v>0</v>
      </c>
      <c r="CY329" s="40">
        <v>0</v>
      </c>
      <c r="CZ329" s="39">
        <v>0</v>
      </c>
      <c r="DA329" s="40">
        <v>1.2612991517901575</v>
      </c>
      <c r="DB329" s="39">
        <v>0.79089201666341513</v>
      </c>
      <c r="DC329" s="38">
        <v>11.287051426494648</v>
      </c>
      <c r="DE329" s="37" t="s">
        <v>1558</v>
      </c>
      <c r="DF329" s="35" t="str">
        <f t="shared" si="521"/>
        <v>ICIPH</v>
      </c>
      <c r="DG329" s="26">
        <f t="shared" si="522"/>
        <v>0.2214618550518202</v>
      </c>
      <c r="DH329" s="25">
        <f t="shared" si="522"/>
        <v>0.60960997808656703</v>
      </c>
      <c r="DI329" s="24">
        <f t="shared" si="522"/>
        <v>1.0783865497884226</v>
      </c>
      <c r="DJ329" s="25">
        <f t="shared" si="522"/>
        <v>0.73041685174806725</v>
      </c>
      <c r="DK329" s="24">
        <f t="shared" si="522"/>
        <v>1.1074883470691081</v>
      </c>
      <c r="DL329" s="25">
        <f t="shared" si="522"/>
        <v>0.96533741158175757</v>
      </c>
      <c r="DM329" s="24">
        <f t="shared" si="522"/>
        <v>3.3535844459586035</v>
      </c>
      <c r="DN329" s="25">
        <f t="shared" si="522"/>
        <v>0.60092452245970507</v>
      </c>
      <c r="DO329" s="32">
        <f t="shared" si="522"/>
        <v>0.37680704593839759</v>
      </c>
      <c r="DP329" s="26">
        <f t="shared" si="523"/>
        <v>0.10198617814764696</v>
      </c>
      <c r="DQ329" s="25">
        <f t="shared" si="524"/>
        <v>0.10198617814764697</v>
      </c>
      <c r="DR329" s="24">
        <f t="shared" si="525"/>
        <v>0.34791592877879773</v>
      </c>
      <c r="DS329" s="25">
        <f t="shared" si="526"/>
        <v>0.34791592877879773</v>
      </c>
      <c r="DT329" s="24">
        <f t="shared" si="527"/>
        <v>0.12569229412014016</v>
      </c>
      <c r="DU329" s="25">
        <f t="shared" si="528"/>
        <v>0.12569229412014016</v>
      </c>
      <c r="DV329" s="24">
        <f t="shared" si="529"/>
        <v>0.12569229412014016</v>
      </c>
      <c r="DW329" s="25">
        <f t="shared" si="530"/>
        <v>0.10277565040403912</v>
      </c>
      <c r="DX329" s="32">
        <f t="shared" si="531"/>
        <v>0.1027756504040391</v>
      </c>
      <c r="DZ329" s="54" t="s">
        <v>1347</v>
      </c>
      <c r="EA329" s="39">
        <v>0</v>
      </c>
      <c r="EB329" s="40">
        <v>0</v>
      </c>
      <c r="EC329" s="39">
        <v>0</v>
      </c>
      <c r="ED329" s="40">
        <v>0</v>
      </c>
      <c r="EE329" s="39">
        <v>0.21168603614300222</v>
      </c>
      <c r="EF329" s="40">
        <v>0.21168603614300222</v>
      </c>
      <c r="EG329" s="39">
        <v>0.21168603614300216</v>
      </c>
      <c r="EH329" s="40">
        <v>0.4606132246210104</v>
      </c>
      <c r="EI329" s="66">
        <v>0.46061322462101045</v>
      </c>
    </row>
    <row r="330" spans="1:139">
      <c r="A330" s="37" t="s">
        <v>1539</v>
      </c>
      <c r="B330" s="36" t="s">
        <v>1107</v>
      </c>
      <c r="C330" s="1" t="s">
        <v>665</v>
      </c>
      <c r="D330" s="36" t="s">
        <v>665</v>
      </c>
      <c r="E330" s="36" t="s">
        <v>1557</v>
      </c>
      <c r="F330" s="1" t="e">
        <f t="shared" ca="1" si="501"/>
        <v>#NAME?</v>
      </c>
      <c r="G330" s="35" t="s">
        <v>1104</v>
      </c>
      <c r="H330" s="43">
        <v>1</v>
      </c>
      <c r="I330" s="42">
        <v>0</v>
      </c>
      <c r="J330" s="26" t="e">
        <v>#REF!</v>
      </c>
      <c r="K330" s="25" t="e">
        <v>#REF!</v>
      </c>
      <c r="L330" s="24"/>
      <c r="M330" s="25"/>
      <c r="N330" s="24"/>
      <c r="O330" s="25"/>
      <c r="P330" s="24"/>
      <c r="Q330" s="25"/>
      <c r="R330" s="32"/>
      <c r="S330" s="31" t="e">
        <v>#REF!</v>
      </c>
      <c r="T330" s="29" t="e">
        <f t="shared" ref="T330:AA336" si="532">S330</f>
        <v>#REF!</v>
      </c>
      <c r="U330" s="30" t="e">
        <f t="shared" si="532"/>
        <v>#REF!</v>
      </c>
      <c r="V330" s="29" t="e">
        <f t="shared" si="532"/>
        <v>#REF!</v>
      </c>
      <c r="W330" s="30" t="e">
        <f t="shared" si="532"/>
        <v>#REF!</v>
      </c>
      <c r="X330" s="29" t="e">
        <f t="shared" si="532"/>
        <v>#REF!</v>
      </c>
      <c r="Y330" s="30" t="e">
        <f t="shared" si="532"/>
        <v>#REF!</v>
      </c>
      <c r="Z330" s="29" t="e">
        <f t="shared" si="532"/>
        <v>#REF!</v>
      </c>
      <c r="AA330" s="28" t="e">
        <f t="shared" si="532"/>
        <v>#REF!</v>
      </c>
      <c r="AB330" s="26" t="e">
        <f t="shared" si="510"/>
        <v>#REF!</v>
      </c>
      <c r="AC330" s="25" t="e">
        <f t="shared" si="511"/>
        <v>#REF!</v>
      </c>
      <c r="AD330" s="24" t="e">
        <f t="shared" si="512"/>
        <v>#REF!</v>
      </c>
      <c r="AE330" s="25" t="e">
        <f t="shared" si="513"/>
        <v>#REF!</v>
      </c>
      <c r="AF330" s="24" t="e">
        <f t="shared" si="514"/>
        <v>#REF!</v>
      </c>
      <c r="AG330" s="25" t="e">
        <f t="shared" si="515"/>
        <v>#REF!</v>
      </c>
      <c r="AH330" s="24" t="e">
        <f t="shared" si="516"/>
        <v>#REF!</v>
      </c>
      <c r="AI330" s="25" t="e">
        <f t="shared" si="517"/>
        <v>#REF!</v>
      </c>
      <c r="AJ330" s="24" t="e">
        <f t="shared" si="518"/>
        <v>#REF!</v>
      </c>
      <c r="AK330" s="27" t="e">
        <f t="shared" si="520"/>
        <v>#REF!</v>
      </c>
      <c r="AL330" s="41">
        <v>0</v>
      </c>
      <c r="AM330" s="40">
        <v>0</v>
      </c>
      <c r="AN330" s="39">
        <v>0</v>
      </c>
      <c r="AO330" s="40">
        <v>0</v>
      </c>
      <c r="AP330" s="39">
        <v>0</v>
      </c>
      <c r="AQ330" s="40">
        <v>0</v>
      </c>
      <c r="AR330" s="39">
        <v>0</v>
      </c>
      <c r="AS330" s="40">
        <v>0</v>
      </c>
      <c r="AT330" s="39">
        <v>0</v>
      </c>
      <c r="AU330" s="38">
        <v>0</v>
      </c>
      <c r="CS330" s="54" t="s">
        <v>1556</v>
      </c>
      <c r="CT330" s="39">
        <v>0.12670424810496989</v>
      </c>
      <c r="CU330" s="40">
        <v>0.34877416651581861</v>
      </c>
      <c r="CV330" s="39">
        <v>0.22677955010753539</v>
      </c>
      <c r="CW330" s="40">
        <v>0.15360318158909533</v>
      </c>
      <c r="CX330" s="39">
        <v>0</v>
      </c>
      <c r="CY330" s="40">
        <v>0</v>
      </c>
      <c r="CZ330" s="39">
        <v>0</v>
      </c>
      <c r="DA330" s="40">
        <v>0.11689369494902337</v>
      </c>
      <c r="DB330" s="39">
        <v>7.3297670899292025E-2</v>
      </c>
      <c r="DC330" s="38">
        <v>1.0460525121657347</v>
      </c>
      <c r="DE330" s="37" t="s">
        <v>1555</v>
      </c>
      <c r="DF330" s="35" t="str">
        <f t="shared" si="521"/>
        <v>ICIPH</v>
      </c>
      <c r="DG330" s="26">
        <f t="shared" si="522"/>
        <v>0.25811483773161198</v>
      </c>
      <c r="DH330" s="25">
        <f t="shared" si="522"/>
        <v>0.71050330783406179</v>
      </c>
      <c r="DI330" s="24">
        <f t="shared" si="522"/>
        <v>2.0211741790739013</v>
      </c>
      <c r="DJ330" s="25">
        <f t="shared" si="522"/>
        <v>1.3689893304059573</v>
      </c>
      <c r="DK330" s="24">
        <f t="shared" si="522"/>
        <v>7.6109676265174144</v>
      </c>
      <c r="DL330" s="25">
        <f t="shared" si="522"/>
        <v>6.6340669025174002</v>
      </c>
      <c r="DM330" s="24">
        <f t="shared" si="522"/>
        <v>23.046764075243633</v>
      </c>
      <c r="DN330" s="25">
        <f t="shared" si="522"/>
        <v>3.5719398782848208</v>
      </c>
      <c r="DO330" s="32">
        <f t="shared" si="522"/>
        <v>2.2397689951092223</v>
      </c>
      <c r="DP330" s="26">
        <f t="shared" si="523"/>
        <v>0.11886537217566222</v>
      </c>
      <c r="DQ330" s="25">
        <f t="shared" si="524"/>
        <v>0.11886537217566222</v>
      </c>
      <c r="DR330" s="24">
        <f t="shared" si="525"/>
        <v>0.65208407122120238</v>
      </c>
      <c r="DS330" s="25">
        <f t="shared" si="526"/>
        <v>0.65208407122120227</v>
      </c>
      <c r="DT330" s="24">
        <f t="shared" si="527"/>
        <v>0.86379236764230882</v>
      </c>
      <c r="DU330" s="25">
        <f t="shared" si="528"/>
        <v>0.86379236764230882</v>
      </c>
      <c r="DV330" s="24">
        <f t="shared" si="529"/>
        <v>0.86379236764230882</v>
      </c>
      <c r="DW330" s="25">
        <f t="shared" si="530"/>
        <v>0.61090607967236543</v>
      </c>
      <c r="DX330" s="32">
        <f t="shared" si="531"/>
        <v>0.61090607967236554</v>
      </c>
      <c r="DZ330" s="54" t="s">
        <v>1345</v>
      </c>
      <c r="EA330" s="39">
        <v>0.46292613593528054</v>
      </c>
      <c r="EB330" s="40">
        <v>0.46292613593528054</v>
      </c>
      <c r="EC330" s="39">
        <v>0.4821058740589193</v>
      </c>
      <c r="ED330" s="40">
        <v>0.48210587405891936</v>
      </c>
      <c r="EE330" s="39">
        <v>0.34659829253135194</v>
      </c>
      <c r="EF330" s="40">
        <v>0.34659829253135188</v>
      </c>
      <c r="EG330" s="39">
        <v>0.34659829253135188</v>
      </c>
      <c r="EH330" s="40">
        <v>0.27424449405414203</v>
      </c>
      <c r="EI330" s="66">
        <v>0.27424449405414214</v>
      </c>
    </row>
    <row r="331" spans="1:139">
      <c r="A331" s="37" t="s">
        <v>1539</v>
      </c>
      <c r="B331" s="36" t="s">
        <v>1107</v>
      </c>
      <c r="C331" s="1" t="s">
        <v>665</v>
      </c>
      <c r="D331" s="36" t="s">
        <v>665</v>
      </c>
      <c r="E331" s="36" t="s">
        <v>1554</v>
      </c>
      <c r="F331" s="1" t="e">
        <f t="shared" ca="1" si="501"/>
        <v>#NAME?</v>
      </c>
      <c r="G331" s="35" t="s">
        <v>1104</v>
      </c>
      <c r="H331" s="43">
        <v>1</v>
      </c>
      <c r="I331" s="42">
        <v>0</v>
      </c>
      <c r="J331" s="26">
        <v>0.49905719999999998</v>
      </c>
      <c r="K331" s="25">
        <v>0</v>
      </c>
      <c r="L331" s="24"/>
      <c r="M331" s="25"/>
      <c r="N331" s="24"/>
      <c r="O331" s="25"/>
      <c r="P331" s="24"/>
      <c r="Q331" s="25"/>
      <c r="R331" s="32"/>
      <c r="S331" s="31" t="e">
        <v>#REF!</v>
      </c>
      <c r="T331" s="29" t="e">
        <f t="shared" si="532"/>
        <v>#REF!</v>
      </c>
      <c r="U331" s="30" t="e">
        <f t="shared" si="532"/>
        <v>#REF!</v>
      </c>
      <c r="V331" s="29" t="e">
        <f t="shared" si="532"/>
        <v>#REF!</v>
      </c>
      <c r="W331" s="30" t="e">
        <f t="shared" si="532"/>
        <v>#REF!</v>
      </c>
      <c r="X331" s="29" t="e">
        <f t="shared" si="532"/>
        <v>#REF!</v>
      </c>
      <c r="Y331" s="30" t="e">
        <f t="shared" si="532"/>
        <v>#REF!</v>
      </c>
      <c r="Z331" s="29" t="e">
        <f t="shared" si="532"/>
        <v>#REF!</v>
      </c>
      <c r="AA331" s="28" t="e">
        <f t="shared" si="532"/>
        <v>#REF!</v>
      </c>
      <c r="AB331" s="26" t="e">
        <f t="shared" si="510"/>
        <v>#REF!</v>
      </c>
      <c r="AC331" s="25" t="e">
        <f t="shared" si="511"/>
        <v>#REF!</v>
      </c>
      <c r="AD331" s="24" t="e">
        <f t="shared" si="512"/>
        <v>#REF!</v>
      </c>
      <c r="AE331" s="25" t="e">
        <f t="shared" si="513"/>
        <v>#REF!</v>
      </c>
      <c r="AF331" s="24" t="e">
        <f t="shared" si="514"/>
        <v>#REF!</v>
      </c>
      <c r="AG331" s="25" t="e">
        <f t="shared" si="515"/>
        <v>#REF!</v>
      </c>
      <c r="AH331" s="24" t="e">
        <f t="shared" si="516"/>
        <v>#REF!</v>
      </c>
      <c r="AI331" s="25" t="e">
        <f t="shared" si="517"/>
        <v>#REF!</v>
      </c>
      <c r="AJ331" s="24" t="e">
        <f t="shared" si="518"/>
        <v>#REF!</v>
      </c>
      <c r="AK331" s="27" t="e">
        <f t="shared" si="520"/>
        <v>#REF!</v>
      </c>
      <c r="AL331" s="41">
        <v>0</v>
      </c>
      <c r="AM331" s="40">
        <v>0</v>
      </c>
      <c r="AN331" s="39">
        <v>0</v>
      </c>
      <c r="AO331" s="40">
        <v>0</v>
      </c>
      <c r="AP331" s="39">
        <v>0</v>
      </c>
      <c r="AQ331" s="40">
        <v>0</v>
      </c>
      <c r="AR331" s="39">
        <v>0</v>
      </c>
      <c r="AS331" s="40">
        <v>0</v>
      </c>
      <c r="AT331" s="39">
        <v>0</v>
      </c>
      <c r="AU331" s="38">
        <v>0</v>
      </c>
      <c r="CS331" s="54" t="s">
        <v>1553</v>
      </c>
      <c r="CT331" s="39">
        <v>1.299650059570711</v>
      </c>
      <c r="CU331" s="40">
        <v>3.5774993582968042</v>
      </c>
      <c r="CV331" s="39">
        <v>9.7407851524281419</v>
      </c>
      <c r="CW331" s="40">
        <v>6.5976653974280346</v>
      </c>
      <c r="CX331" s="39">
        <v>3.7824761832300831</v>
      </c>
      <c r="CY331" s="40">
        <v>3.2969789503899189</v>
      </c>
      <c r="CZ331" s="39">
        <v>11.453712654276558</v>
      </c>
      <c r="DA331" s="40">
        <v>1.4987747044408273</v>
      </c>
      <c r="DB331" s="39">
        <v>0.93980000449293066</v>
      </c>
      <c r="DC331" s="38">
        <v>42.187342464554007</v>
      </c>
      <c r="DE331" s="37" t="s">
        <v>1552</v>
      </c>
      <c r="DF331" s="35" t="str">
        <f t="shared" si="521"/>
        <v>ICIPH</v>
      </c>
      <c r="DG331" s="26">
        <f t="shared" si="522"/>
        <v>1.6919122194808009</v>
      </c>
      <c r="DH331" s="25">
        <f t="shared" si="522"/>
        <v>4.6572651114149908</v>
      </c>
      <c r="DI331" s="24">
        <f t="shared" si="522"/>
        <v>0</v>
      </c>
      <c r="DJ331" s="25">
        <f t="shared" si="522"/>
        <v>0</v>
      </c>
      <c r="DK331" s="24">
        <f t="shared" si="522"/>
        <v>0</v>
      </c>
      <c r="DL331" s="25">
        <f t="shared" si="522"/>
        <v>0</v>
      </c>
      <c r="DM331" s="24">
        <f t="shared" si="522"/>
        <v>0</v>
      </c>
      <c r="DN331" s="25">
        <f t="shared" si="522"/>
        <v>0</v>
      </c>
      <c r="DO331" s="32">
        <f t="shared" si="522"/>
        <v>0</v>
      </c>
      <c r="DP331" s="26">
        <f t="shared" si="523"/>
        <v>0.77914844967669084</v>
      </c>
      <c r="DQ331" s="25">
        <f t="shared" si="524"/>
        <v>0.77914844967669084</v>
      </c>
      <c r="DR331" s="24">
        <f t="shared" si="525"/>
        <v>0</v>
      </c>
      <c r="DS331" s="25">
        <f t="shared" si="526"/>
        <v>0</v>
      </c>
      <c r="DT331" s="24">
        <f t="shared" si="527"/>
        <v>0</v>
      </c>
      <c r="DU331" s="25">
        <f t="shared" si="528"/>
        <v>0</v>
      </c>
      <c r="DV331" s="24">
        <f t="shared" si="529"/>
        <v>0</v>
      </c>
      <c r="DW331" s="25">
        <f t="shared" si="530"/>
        <v>0</v>
      </c>
      <c r="DX331" s="32">
        <f t="shared" si="531"/>
        <v>0</v>
      </c>
      <c r="DZ331" s="54" t="s">
        <v>1343</v>
      </c>
      <c r="EA331" s="39">
        <v>0.53707386406471946</v>
      </c>
      <c r="EB331" s="40">
        <v>0.53707386406471946</v>
      </c>
      <c r="EC331" s="39">
        <v>0.51789412594108064</v>
      </c>
      <c r="ED331" s="40">
        <v>0.51789412594108075</v>
      </c>
      <c r="EE331" s="39">
        <v>0.44171567132564599</v>
      </c>
      <c r="EF331" s="40">
        <v>0.44171567132564593</v>
      </c>
      <c r="EG331" s="39">
        <v>0.44171567132564588</v>
      </c>
      <c r="EH331" s="40">
        <v>0.26514228132484741</v>
      </c>
      <c r="EI331" s="66">
        <v>0.26514228132484741</v>
      </c>
    </row>
    <row r="332" spans="1:139">
      <c r="A332" s="37" t="s">
        <v>1539</v>
      </c>
      <c r="B332" s="36" t="s">
        <v>1107</v>
      </c>
      <c r="C332" s="1" t="s">
        <v>665</v>
      </c>
      <c r="D332" s="36" t="s">
        <v>665</v>
      </c>
      <c r="E332" s="36" t="s">
        <v>1551</v>
      </c>
      <c r="F332" s="1" t="e">
        <f t="shared" ca="1" si="501"/>
        <v>#NAME?</v>
      </c>
      <c r="G332" s="35" t="s">
        <v>1109</v>
      </c>
      <c r="H332" s="34">
        <f>1-I332</f>
        <v>0.91493838705923658</v>
      </c>
      <c r="I332" s="33">
        <v>8.5061612940763406E-2</v>
      </c>
      <c r="J332" s="26" t="e">
        <v>#REF!</v>
      </c>
      <c r="K332" s="25" t="e">
        <v>#REF!</v>
      </c>
      <c r="L332" s="24"/>
      <c r="M332" s="25"/>
      <c r="N332" s="24"/>
      <c r="O332" s="25"/>
      <c r="P332" s="24"/>
      <c r="Q332" s="25"/>
      <c r="R332" s="32"/>
      <c r="S332" s="31" t="e">
        <v>#REF!</v>
      </c>
      <c r="T332" s="29" t="e">
        <f t="shared" si="532"/>
        <v>#REF!</v>
      </c>
      <c r="U332" s="30" t="e">
        <f t="shared" si="532"/>
        <v>#REF!</v>
      </c>
      <c r="V332" s="29" t="e">
        <f t="shared" si="532"/>
        <v>#REF!</v>
      </c>
      <c r="W332" s="30" t="e">
        <f t="shared" si="532"/>
        <v>#REF!</v>
      </c>
      <c r="X332" s="29" t="e">
        <f t="shared" si="532"/>
        <v>#REF!</v>
      </c>
      <c r="Y332" s="30" t="e">
        <f t="shared" si="532"/>
        <v>#REF!</v>
      </c>
      <c r="Z332" s="29" t="e">
        <f t="shared" si="532"/>
        <v>#REF!</v>
      </c>
      <c r="AA332" s="28" t="e">
        <f t="shared" si="532"/>
        <v>#REF!</v>
      </c>
      <c r="AB332" s="26" t="e">
        <f t="shared" ref="AB332:AJ336" si="533">J332*31.536*$H332*S332</f>
        <v>#REF!</v>
      </c>
      <c r="AC332" s="25" t="e">
        <f t="shared" si="533"/>
        <v>#REF!</v>
      </c>
      <c r="AD332" s="24" t="e">
        <f t="shared" si="533"/>
        <v>#REF!</v>
      </c>
      <c r="AE332" s="25" t="e">
        <f t="shared" si="533"/>
        <v>#REF!</v>
      </c>
      <c r="AF332" s="24" t="e">
        <f t="shared" si="533"/>
        <v>#REF!</v>
      </c>
      <c r="AG332" s="25" t="e">
        <f t="shared" si="533"/>
        <v>#REF!</v>
      </c>
      <c r="AH332" s="24" t="e">
        <f t="shared" si="533"/>
        <v>#REF!</v>
      </c>
      <c r="AI332" s="25" t="e">
        <f t="shared" si="533"/>
        <v>#REF!</v>
      </c>
      <c r="AJ332" s="24" t="e">
        <f t="shared" si="533"/>
        <v>#REF!</v>
      </c>
      <c r="AK332" s="27" t="e">
        <f t="shared" si="520"/>
        <v>#REF!</v>
      </c>
      <c r="AL332" s="26" t="e">
        <f t="shared" ref="AL332:AT336" si="534">J332*31.536*$I332*S332</f>
        <v>#REF!</v>
      </c>
      <c r="AM332" s="25" t="e">
        <f t="shared" si="534"/>
        <v>#REF!</v>
      </c>
      <c r="AN332" s="24" t="e">
        <f t="shared" si="534"/>
        <v>#REF!</v>
      </c>
      <c r="AO332" s="25" t="e">
        <f t="shared" si="534"/>
        <v>#REF!</v>
      </c>
      <c r="AP332" s="24" t="e">
        <f t="shared" si="534"/>
        <v>#REF!</v>
      </c>
      <c r="AQ332" s="25" t="e">
        <f t="shared" si="534"/>
        <v>#REF!</v>
      </c>
      <c r="AR332" s="24" t="e">
        <f t="shared" si="534"/>
        <v>#REF!</v>
      </c>
      <c r="AS332" s="25" t="e">
        <f t="shared" si="534"/>
        <v>#REF!</v>
      </c>
      <c r="AT332" s="24" t="e">
        <f t="shared" si="534"/>
        <v>#REF!</v>
      </c>
      <c r="AU332" s="23" t="e">
        <f>SUM(AL332:AT332)</f>
        <v>#REF!</v>
      </c>
      <c r="CS332" s="54" t="s">
        <v>1550</v>
      </c>
      <c r="CT332" s="39">
        <v>0.19406652670668889</v>
      </c>
      <c r="CU332" s="40">
        <v>0.53419985606694409</v>
      </c>
      <c r="CV332" s="39">
        <v>2.4934540687741156</v>
      </c>
      <c r="CW332" s="40">
        <v>1.6888757294401773</v>
      </c>
      <c r="CX332" s="39">
        <v>0.31850043270075978</v>
      </c>
      <c r="CY332" s="40">
        <v>0.27761951997480966</v>
      </c>
      <c r="CZ332" s="39">
        <v>0.96445086755364451</v>
      </c>
      <c r="DA332" s="40">
        <v>0.16625161026305174</v>
      </c>
      <c r="DB332" s="39">
        <v>0.10424733191001197</v>
      </c>
      <c r="DC332" s="38">
        <v>6.7416659433902035</v>
      </c>
      <c r="DE332" s="37" t="s">
        <v>1549</v>
      </c>
      <c r="DF332" s="35" t="str">
        <f t="shared" si="521"/>
        <v>ICIPH</v>
      </c>
      <c r="DG332" s="26">
        <f t="shared" si="522"/>
        <v>0</v>
      </c>
      <c r="DH332" s="25">
        <f t="shared" si="522"/>
        <v>0</v>
      </c>
      <c r="DI332" s="24">
        <f t="shared" si="522"/>
        <v>0</v>
      </c>
      <c r="DJ332" s="25">
        <f t="shared" si="522"/>
        <v>0</v>
      </c>
      <c r="DK332" s="24">
        <f t="shared" si="522"/>
        <v>9.2651778258154655E-2</v>
      </c>
      <c r="DL332" s="25">
        <f t="shared" si="522"/>
        <v>8.0759520439986021E-2</v>
      </c>
      <c r="DM332" s="24">
        <f t="shared" si="522"/>
        <v>0.28055876459489654</v>
      </c>
      <c r="DN332" s="25">
        <f t="shared" si="522"/>
        <v>1.6740898155246668</v>
      </c>
      <c r="DO332" s="32">
        <f t="shared" si="522"/>
        <v>1.0497305642335566</v>
      </c>
      <c r="DP332" s="26">
        <f t="shared" si="523"/>
        <v>0</v>
      </c>
      <c r="DQ332" s="25">
        <f t="shared" si="524"/>
        <v>0</v>
      </c>
      <c r="DR332" s="24">
        <f t="shared" si="525"/>
        <v>0</v>
      </c>
      <c r="DS332" s="25">
        <f t="shared" si="526"/>
        <v>0</v>
      </c>
      <c r="DT332" s="24">
        <f t="shared" si="527"/>
        <v>1.0515338237551033E-2</v>
      </c>
      <c r="DU332" s="25">
        <f t="shared" si="528"/>
        <v>1.0515338237551032E-2</v>
      </c>
      <c r="DV332" s="24">
        <f t="shared" si="529"/>
        <v>1.0515338237551033E-2</v>
      </c>
      <c r="DW332" s="25">
        <f t="shared" si="530"/>
        <v>0.28631826992359538</v>
      </c>
      <c r="DX332" s="32">
        <f t="shared" si="531"/>
        <v>0.28631826992359538</v>
      </c>
      <c r="DZ332" s="54" t="s">
        <v>1341</v>
      </c>
      <c r="EA332" s="39">
        <v>0</v>
      </c>
      <c r="EB332" s="40">
        <v>0</v>
      </c>
      <c r="EC332" s="39">
        <v>0</v>
      </c>
      <c r="ED332" s="40">
        <v>0</v>
      </c>
      <c r="EE332" s="39">
        <v>0</v>
      </c>
      <c r="EF332" s="40">
        <v>0</v>
      </c>
      <c r="EG332" s="39">
        <v>0</v>
      </c>
      <c r="EH332" s="40">
        <v>1</v>
      </c>
      <c r="EI332" s="66">
        <v>1</v>
      </c>
    </row>
    <row r="333" spans="1:139">
      <c r="A333" s="37" t="s">
        <v>1539</v>
      </c>
      <c r="B333" s="36" t="s">
        <v>1107</v>
      </c>
      <c r="C333" s="1" t="s">
        <v>665</v>
      </c>
      <c r="D333" s="36" t="s">
        <v>665</v>
      </c>
      <c r="E333" s="36" t="s">
        <v>1548</v>
      </c>
      <c r="F333" s="1" t="e">
        <f t="shared" ca="1" si="501"/>
        <v>#NAME?</v>
      </c>
      <c r="G333" s="35" t="s">
        <v>1109</v>
      </c>
      <c r="H333" s="34">
        <f>1-I333</f>
        <v>0.52266976764140294</v>
      </c>
      <c r="I333" s="33">
        <v>0.47733023235859706</v>
      </c>
      <c r="J333" s="26">
        <v>0</v>
      </c>
      <c r="K333" s="25">
        <v>4.2082256889431721E-2</v>
      </c>
      <c r="L333" s="24"/>
      <c r="M333" s="25"/>
      <c r="N333" s="24"/>
      <c r="O333" s="25"/>
      <c r="P333" s="24"/>
      <c r="Q333" s="25"/>
      <c r="R333" s="32"/>
      <c r="S333" s="31" t="e">
        <v>#REF!</v>
      </c>
      <c r="T333" s="29" t="e">
        <f t="shared" si="532"/>
        <v>#REF!</v>
      </c>
      <c r="U333" s="30" t="e">
        <f t="shared" si="532"/>
        <v>#REF!</v>
      </c>
      <c r="V333" s="29" t="e">
        <f t="shared" si="532"/>
        <v>#REF!</v>
      </c>
      <c r="W333" s="30" t="e">
        <f t="shared" si="532"/>
        <v>#REF!</v>
      </c>
      <c r="X333" s="29" t="e">
        <f t="shared" si="532"/>
        <v>#REF!</v>
      </c>
      <c r="Y333" s="30" t="e">
        <f t="shared" si="532"/>
        <v>#REF!</v>
      </c>
      <c r="Z333" s="29" t="e">
        <f t="shared" si="532"/>
        <v>#REF!</v>
      </c>
      <c r="AA333" s="28" t="e">
        <f t="shared" si="532"/>
        <v>#REF!</v>
      </c>
      <c r="AB333" s="26" t="e">
        <f t="shared" si="533"/>
        <v>#REF!</v>
      </c>
      <c r="AC333" s="25" t="e">
        <f t="shared" si="533"/>
        <v>#REF!</v>
      </c>
      <c r="AD333" s="24" t="e">
        <f t="shared" si="533"/>
        <v>#REF!</v>
      </c>
      <c r="AE333" s="25" t="e">
        <f t="shared" si="533"/>
        <v>#REF!</v>
      </c>
      <c r="AF333" s="24" t="e">
        <f t="shared" si="533"/>
        <v>#REF!</v>
      </c>
      <c r="AG333" s="25" t="e">
        <f t="shared" si="533"/>
        <v>#REF!</v>
      </c>
      <c r="AH333" s="24" t="e">
        <f t="shared" si="533"/>
        <v>#REF!</v>
      </c>
      <c r="AI333" s="25" t="e">
        <f t="shared" si="533"/>
        <v>#REF!</v>
      </c>
      <c r="AJ333" s="24" t="e">
        <f t="shared" si="533"/>
        <v>#REF!</v>
      </c>
      <c r="AK333" s="27" t="e">
        <f t="shared" si="520"/>
        <v>#REF!</v>
      </c>
      <c r="AL333" s="26" t="e">
        <f t="shared" si="534"/>
        <v>#REF!</v>
      </c>
      <c r="AM333" s="25" t="e">
        <f t="shared" si="534"/>
        <v>#REF!</v>
      </c>
      <c r="AN333" s="24" t="e">
        <f t="shared" si="534"/>
        <v>#REF!</v>
      </c>
      <c r="AO333" s="25" t="e">
        <f t="shared" si="534"/>
        <v>#REF!</v>
      </c>
      <c r="AP333" s="24" t="e">
        <f t="shared" si="534"/>
        <v>#REF!</v>
      </c>
      <c r="AQ333" s="25" t="e">
        <f t="shared" si="534"/>
        <v>#REF!</v>
      </c>
      <c r="AR333" s="24" t="e">
        <f t="shared" si="534"/>
        <v>#REF!</v>
      </c>
      <c r="AS333" s="25" t="e">
        <f t="shared" si="534"/>
        <v>#REF!</v>
      </c>
      <c r="AT333" s="24" t="e">
        <f t="shared" si="534"/>
        <v>#REF!</v>
      </c>
      <c r="AU333" s="23" t="e">
        <f>SUM(AL333:AT333)</f>
        <v>#REF!</v>
      </c>
      <c r="CS333" s="54" t="s">
        <v>1547</v>
      </c>
      <c r="CT333" s="39">
        <v>4.0236843949557614E-2</v>
      </c>
      <c r="CU333" s="40">
        <v>0.11075849406491654</v>
      </c>
      <c r="CV333" s="39">
        <v>0.30157229574080935</v>
      </c>
      <c r="CW333" s="40">
        <v>0.20426208660767908</v>
      </c>
      <c r="CX333" s="39">
        <v>0.117104525796597</v>
      </c>
      <c r="CY333" s="40">
        <v>0.10207365171485817</v>
      </c>
      <c r="CZ333" s="39">
        <v>0.35460410694354666</v>
      </c>
      <c r="DA333" s="40">
        <v>4.640169363593892E-2</v>
      </c>
      <c r="DB333" s="39">
        <v>2.9095975371298162E-2</v>
      </c>
      <c r="DC333" s="38">
        <v>1.3061096738252016</v>
      </c>
      <c r="DE333" s="37" t="s">
        <v>1546</v>
      </c>
      <c r="DF333" s="35" t="str">
        <f t="shared" si="521"/>
        <v>ICOPH</v>
      </c>
      <c r="DG333" s="26">
        <f t="shared" si="522"/>
        <v>0.1090580969712745</v>
      </c>
      <c r="DH333" s="25">
        <f t="shared" si="522"/>
        <v>0.3002002493353309</v>
      </c>
      <c r="DI333" s="24">
        <f t="shared" si="522"/>
        <v>2.8466064634181185</v>
      </c>
      <c r="DJ333" s="25">
        <f t="shared" si="522"/>
        <v>1.9280742434922791</v>
      </c>
      <c r="DK333" s="24">
        <f t="shared" si="522"/>
        <v>1.3642655572079676</v>
      </c>
      <c r="DL333" s="25">
        <f t="shared" si="522"/>
        <v>1.1891561524692986</v>
      </c>
      <c r="DM333" s="24">
        <f t="shared" si="522"/>
        <v>4.1311312799972901</v>
      </c>
      <c r="DN333" s="25">
        <f t="shared" si="522"/>
        <v>0.16768977243919697</v>
      </c>
      <c r="DO333" s="32">
        <f t="shared" si="522"/>
        <v>0.10514912509854001</v>
      </c>
      <c r="DP333" s="26">
        <f t="shared" si="523"/>
        <v>5.553589878902114E-2</v>
      </c>
      <c r="DQ333" s="25">
        <f t="shared" si="524"/>
        <v>5.5535898789021133E-2</v>
      </c>
      <c r="DR333" s="24">
        <f t="shared" si="525"/>
        <v>5.4850729455204576E-2</v>
      </c>
      <c r="DS333" s="25">
        <f t="shared" si="526"/>
        <v>5.4850729455204583E-2</v>
      </c>
      <c r="DT333" s="24">
        <f t="shared" si="527"/>
        <v>2.8687405887175641E-2</v>
      </c>
      <c r="DU333" s="25">
        <f t="shared" si="528"/>
        <v>2.8687405887175641E-2</v>
      </c>
      <c r="DV333" s="24">
        <f t="shared" si="529"/>
        <v>2.8687405887175645E-2</v>
      </c>
      <c r="DW333" s="25">
        <f t="shared" si="530"/>
        <v>8.9255250927117169E-2</v>
      </c>
      <c r="DX333" s="32">
        <f t="shared" si="531"/>
        <v>8.9255250927117197E-2</v>
      </c>
      <c r="DZ333" s="54" t="s">
        <v>1339</v>
      </c>
      <c r="EA333" s="39">
        <v>0.93439242826121394</v>
      </c>
      <c r="EB333" s="40">
        <v>0.93439242826121405</v>
      </c>
      <c r="EC333" s="39">
        <v>0.93895558350598451</v>
      </c>
      <c r="ED333" s="40">
        <v>0.93895558350598451</v>
      </c>
      <c r="EE333" s="39">
        <v>0.92839374967080657</v>
      </c>
      <c r="EF333" s="40">
        <v>0.92839374967080646</v>
      </c>
      <c r="EG333" s="39">
        <v>0.92839374967080657</v>
      </c>
      <c r="EH333" s="40">
        <v>0.94472258741573545</v>
      </c>
      <c r="EI333" s="66">
        <v>0.94472258741573556</v>
      </c>
    </row>
    <row r="334" spans="1:139">
      <c r="A334" s="37" t="s">
        <v>1539</v>
      </c>
      <c r="B334" s="36" t="s">
        <v>1107</v>
      </c>
      <c r="C334" s="1" t="s">
        <v>665</v>
      </c>
      <c r="D334" s="36" t="s">
        <v>665</v>
      </c>
      <c r="E334" s="36" t="s">
        <v>1545</v>
      </c>
      <c r="F334" s="1" t="e">
        <f t="shared" ca="1" si="501"/>
        <v>#NAME?</v>
      </c>
      <c r="G334" s="35" t="s">
        <v>1109</v>
      </c>
      <c r="H334" s="34">
        <f>1-I334</f>
        <v>0.58444148936170215</v>
      </c>
      <c r="I334" s="33">
        <v>0.41555851063829785</v>
      </c>
      <c r="J334" s="26">
        <v>0</v>
      </c>
      <c r="K334" s="25">
        <v>0</v>
      </c>
      <c r="L334" s="24"/>
      <c r="M334" s="25"/>
      <c r="N334" s="24"/>
      <c r="O334" s="25"/>
      <c r="P334" s="24"/>
      <c r="Q334" s="25"/>
      <c r="R334" s="32"/>
      <c r="S334" s="31" t="e">
        <v>#REF!</v>
      </c>
      <c r="T334" s="29" t="e">
        <f t="shared" si="532"/>
        <v>#REF!</v>
      </c>
      <c r="U334" s="30" t="e">
        <f t="shared" si="532"/>
        <v>#REF!</v>
      </c>
      <c r="V334" s="29" t="e">
        <f t="shared" si="532"/>
        <v>#REF!</v>
      </c>
      <c r="W334" s="30" t="e">
        <f t="shared" si="532"/>
        <v>#REF!</v>
      </c>
      <c r="X334" s="29" t="e">
        <f t="shared" si="532"/>
        <v>#REF!</v>
      </c>
      <c r="Y334" s="30" t="e">
        <f t="shared" si="532"/>
        <v>#REF!</v>
      </c>
      <c r="Z334" s="29" t="e">
        <f t="shared" si="532"/>
        <v>#REF!</v>
      </c>
      <c r="AA334" s="28" t="e">
        <f t="shared" si="532"/>
        <v>#REF!</v>
      </c>
      <c r="AB334" s="26" t="e">
        <f t="shared" si="533"/>
        <v>#REF!</v>
      </c>
      <c r="AC334" s="25" t="e">
        <f t="shared" si="533"/>
        <v>#REF!</v>
      </c>
      <c r="AD334" s="24" t="e">
        <f t="shared" si="533"/>
        <v>#REF!</v>
      </c>
      <c r="AE334" s="25" t="e">
        <f t="shared" si="533"/>
        <v>#REF!</v>
      </c>
      <c r="AF334" s="24" t="e">
        <f t="shared" si="533"/>
        <v>#REF!</v>
      </c>
      <c r="AG334" s="25" t="e">
        <f t="shared" si="533"/>
        <v>#REF!</v>
      </c>
      <c r="AH334" s="24" t="e">
        <f t="shared" si="533"/>
        <v>#REF!</v>
      </c>
      <c r="AI334" s="25" t="e">
        <f t="shared" si="533"/>
        <v>#REF!</v>
      </c>
      <c r="AJ334" s="24" t="e">
        <f t="shared" si="533"/>
        <v>#REF!</v>
      </c>
      <c r="AK334" s="27" t="e">
        <f t="shared" si="520"/>
        <v>#REF!</v>
      </c>
      <c r="AL334" s="26" t="e">
        <f t="shared" si="534"/>
        <v>#REF!</v>
      </c>
      <c r="AM334" s="25" t="e">
        <f t="shared" si="534"/>
        <v>#REF!</v>
      </c>
      <c r="AN334" s="24" t="e">
        <f t="shared" si="534"/>
        <v>#REF!</v>
      </c>
      <c r="AO334" s="25" t="e">
        <f t="shared" si="534"/>
        <v>#REF!</v>
      </c>
      <c r="AP334" s="24" t="e">
        <f t="shared" si="534"/>
        <v>#REF!</v>
      </c>
      <c r="AQ334" s="25" t="e">
        <f t="shared" si="534"/>
        <v>#REF!</v>
      </c>
      <c r="AR334" s="24" t="e">
        <f t="shared" si="534"/>
        <v>#REF!</v>
      </c>
      <c r="AS334" s="25" t="e">
        <f t="shared" si="534"/>
        <v>#REF!</v>
      </c>
      <c r="AT334" s="24" t="e">
        <f t="shared" si="534"/>
        <v>#REF!</v>
      </c>
      <c r="AU334" s="23" t="e">
        <f>SUM(AL334:AT334)</f>
        <v>#REF!</v>
      </c>
      <c r="CS334" s="54" t="s">
        <v>1544</v>
      </c>
      <c r="CT334" s="39">
        <v>0</v>
      </c>
      <c r="CU334" s="40">
        <v>0</v>
      </c>
      <c r="CV334" s="39">
        <v>12.846659395729736</v>
      </c>
      <c r="CW334" s="40">
        <v>8.7013478730327734</v>
      </c>
      <c r="CX334" s="39">
        <v>0.41883634287173044</v>
      </c>
      <c r="CY334" s="40">
        <v>0.36507688064995597</v>
      </c>
      <c r="CZ334" s="39">
        <v>1.2682779449318862</v>
      </c>
      <c r="DA334" s="40">
        <v>0</v>
      </c>
      <c r="DB334" s="39">
        <v>0</v>
      </c>
      <c r="DC334" s="38">
        <v>23.600198437216083</v>
      </c>
      <c r="DE334" s="37" t="s">
        <v>1543</v>
      </c>
      <c r="DF334" s="35" t="str">
        <f t="shared" si="521"/>
        <v>ICOPH</v>
      </c>
      <c r="DG334" s="26">
        <f t="shared" si="522"/>
        <v>1.854682462726557</v>
      </c>
      <c r="DH334" s="25">
        <f t="shared" si="522"/>
        <v>5.1053168284701576</v>
      </c>
      <c r="DI334" s="24">
        <f t="shared" si="522"/>
        <v>47.511394605279506</v>
      </c>
      <c r="DJ334" s="25">
        <f t="shared" si="522"/>
        <v>32.180597278922896</v>
      </c>
      <c r="DK334" s="24">
        <f t="shared" si="522"/>
        <v>45.597472734440252</v>
      </c>
      <c r="DL334" s="25">
        <f t="shared" si="522"/>
        <v>39.744839230699036</v>
      </c>
      <c r="DM334" s="24">
        <f t="shared" si="522"/>
        <v>138.07366528227527</v>
      </c>
      <c r="DN334" s="25">
        <f t="shared" si="522"/>
        <v>1.7110766944897546</v>
      </c>
      <c r="DO334" s="32">
        <f t="shared" si="522"/>
        <v>1.0729230219889319</v>
      </c>
      <c r="DP334" s="26">
        <f t="shared" si="523"/>
        <v>0.9444641012109789</v>
      </c>
      <c r="DQ334" s="25">
        <f t="shared" si="524"/>
        <v>0.94446410121097879</v>
      </c>
      <c r="DR334" s="24">
        <f t="shared" si="525"/>
        <v>0.91548820851211199</v>
      </c>
      <c r="DS334" s="25">
        <f t="shared" si="526"/>
        <v>0.91548820851211221</v>
      </c>
      <c r="DT334" s="24">
        <f t="shared" si="527"/>
        <v>0.95881128190272891</v>
      </c>
      <c r="DU334" s="25">
        <f t="shared" si="528"/>
        <v>0.95881128190272868</v>
      </c>
      <c r="DV334" s="24">
        <f t="shared" si="529"/>
        <v>0.95881128190272891</v>
      </c>
      <c r="DW334" s="25">
        <f t="shared" si="530"/>
        <v>0.91074474907288283</v>
      </c>
      <c r="DX334" s="32">
        <f t="shared" si="531"/>
        <v>0.91074474907288294</v>
      </c>
      <c r="DZ334" s="54" t="s">
        <v>1337</v>
      </c>
      <c r="EA334" s="39">
        <v>6.5607571738786008E-2</v>
      </c>
      <c r="EB334" s="40">
        <v>6.5607571738786022E-2</v>
      </c>
      <c r="EC334" s="39">
        <v>6.1044416494015444E-2</v>
      </c>
      <c r="ED334" s="40">
        <v>6.1044416494015444E-2</v>
      </c>
      <c r="EE334" s="39">
        <v>7.1606250329193474E-2</v>
      </c>
      <c r="EF334" s="40">
        <v>7.1606250329193474E-2</v>
      </c>
      <c r="EG334" s="39">
        <v>7.1606250329193474E-2</v>
      </c>
      <c r="EH334" s="40">
        <v>5.5277412584264447E-2</v>
      </c>
      <c r="EI334" s="66">
        <v>5.527741258426444E-2</v>
      </c>
    </row>
    <row r="335" spans="1:139">
      <c r="A335" s="37" t="s">
        <v>1539</v>
      </c>
      <c r="B335" s="36" t="s">
        <v>1107</v>
      </c>
      <c r="C335" s="1" t="s">
        <v>665</v>
      </c>
      <c r="D335" s="36" t="s">
        <v>665</v>
      </c>
      <c r="E335" s="36" t="s">
        <v>1542</v>
      </c>
      <c r="F335" s="1" t="e">
        <f t="shared" ca="1" si="501"/>
        <v>#NAME?</v>
      </c>
      <c r="G335" s="35" t="s">
        <v>1109</v>
      </c>
      <c r="H335" s="34">
        <f>1-I335</f>
        <v>0.62770019637791841</v>
      </c>
      <c r="I335" s="33">
        <v>0.37229980362208159</v>
      </c>
      <c r="J335" s="26">
        <v>0</v>
      </c>
      <c r="K335" s="25">
        <v>0</v>
      </c>
      <c r="L335" s="24"/>
      <c r="M335" s="25"/>
      <c r="N335" s="24"/>
      <c r="O335" s="25"/>
      <c r="P335" s="24"/>
      <c r="Q335" s="25"/>
      <c r="R335" s="32"/>
      <c r="S335" s="31" t="e">
        <v>#REF!</v>
      </c>
      <c r="T335" s="29" t="e">
        <f t="shared" si="532"/>
        <v>#REF!</v>
      </c>
      <c r="U335" s="30" t="e">
        <f t="shared" si="532"/>
        <v>#REF!</v>
      </c>
      <c r="V335" s="29" t="e">
        <f t="shared" si="532"/>
        <v>#REF!</v>
      </c>
      <c r="W335" s="30" t="e">
        <f t="shared" si="532"/>
        <v>#REF!</v>
      </c>
      <c r="X335" s="29" t="e">
        <f t="shared" si="532"/>
        <v>#REF!</v>
      </c>
      <c r="Y335" s="30" t="e">
        <f t="shared" si="532"/>
        <v>#REF!</v>
      </c>
      <c r="Z335" s="29" t="e">
        <f t="shared" si="532"/>
        <v>#REF!</v>
      </c>
      <c r="AA335" s="28" t="e">
        <f t="shared" si="532"/>
        <v>#REF!</v>
      </c>
      <c r="AB335" s="26" t="e">
        <f t="shared" si="533"/>
        <v>#REF!</v>
      </c>
      <c r="AC335" s="25" t="e">
        <f t="shared" si="533"/>
        <v>#REF!</v>
      </c>
      <c r="AD335" s="24" t="e">
        <f t="shared" si="533"/>
        <v>#REF!</v>
      </c>
      <c r="AE335" s="25" t="e">
        <f t="shared" si="533"/>
        <v>#REF!</v>
      </c>
      <c r="AF335" s="24" t="e">
        <f t="shared" si="533"/>
        <v>#REF!</v>
      </c>
      <c r="AG335" s="25" t="e">
        <f t="shared" si="533"/>
        <v>#REF!</v>
      </c>
      <c r="AH335" s="24" t="e">
        <f t="shared" si="533"/>
        <v>#REF!</v>
      </c>
      <c r="AI335" s="25" t="e">
        <f t="shared" si="533"/>
        <v>#REF!</v>
      </c>
      <c r="AJ335" s="24" t="e">
        <f t="shared" si="533"/>
        <v>#REF!</v>
      </c>
      <c r="AK335" s="27" t="e">
        <f t="shared" si="520"/>
        <v>#REF!</v>
      </c>
      <c r="AL335" s="26" t="e">
        <f t="shared" si="534"/>
        <v>#REF!</v>
      </c>
      <c r="AM335" s="25" t="e">
        <f t="shared" si="534"/>
        <v>#REF!</v>
      </c>
      <c r="AN335" s="24" t="e">
        <f t="shared" si="534"/>
        <v>#REF!</v>
      </c>
      <c r="AO335" s="25" t="e">
        <f t="shared" si="534"/>
        <v>#REF!</v>
      </c>
      <c r="AP335" s="24" t="e">
        <f t="shared" si="534"/>
        <v>#REF!</v>
      </c>
      <c r="AQ335" s="25" t="e">
        <f t="shared" si="534"/>
        <v>#REF!</v>
      </c>
      <c r="AR335" s="24" t="e">
        <f t="shared" si="534"/>
        <v>#REF!</v>
      </c>
      <c r="AS335" s="25" t="e">
        <f t="shared" si="534"/>
        <v>#REF!</v>
      </c>
      <c r="AT335" s="24" t="e">
        <f t="shared" si="534"/>
        <v>#REF!</v>
      </c>
      <c r="AU335" s="23" t="e">
        <f>SUM(AL335:AT335)</f>
        <v>#REF!</v>
      </c>
      <c r="CS335" s="54" t="s">
        <v>1541</v>
      </c>
      <c r="CT335" s="39">
        <v>0</v>
      </c>
      <c r="CU335" s="40">
        <v>0</v>
      </c>
      <c r="CV335" s="39">
        <v>1.1905926380645611</v>
      </c>
      <c r="CW335" s="40">
        <v>0.80641670334275062</v>
      </c>
      <c r="CX335" s="39">
        <v>3.8816586555001496E-2</v>
      </c>
      <c r="CY335" s="40">
        <v>3.3834309219242888E-2</v>
      </c>
      <c r="CZ335" s="39">
        <v>0.11754047007407102</v>
      </c>
      <c r="DA335" s="40">
        <v>0</v>
      </c>
      <c r="DB335" s="39">
        <v>0</v>
      </c>
      <c r="DC335" s="38">
        <v>2.1872007072556272</v>
      </c>
      <c r="DE335" s="37" t="s">
        <v>1540</v>
      </c>
      <c r="DF335" s="35" t="str">
        <f t="shared" si="521"/>
        <v>ICOPH</v>
      </c>
      <c r="DG335" s="26">
        <f t="shared" si="522"/>
        <v>0</v>
      </c>
      <c r="DH335" s="25">
        <f t="shared" si="522"/>
        <v>0</v>
      </c>
      <c r="DI335" s="24">
        <f t="shared" si="522"/>
        <v>1.5393299548192365</v>
      </c>
      <c r="DJ335" s="25">
        <f t="shared" si="522"/>
        <v>1.0426247801599131</v>
      </c>
      <c r="DK335" s="24">
        <f t="shared" si="522"/>
        <v>0.5945155771564925</v>
      </c>
      <c r="DL335" s="25">
        <f t="shared" si="522"/>
        <v>0.51820692282324377</v>
      </c>
      <c r="DM335" s="24">
        <f t="shared" si="522"/>
        <v>1.8002520728172531</v>
      </c>
      <c r="DN335" s="25">
        <f t="shared" si="522"/>
        <v>0</v>
      </c>
      <c r="DO335" s="32">
        <f t="shared" si="522"/>
        <v>0</v>
      </c>
      <c r="DP335" s="26">
        <f t="shared" si="523"/>
        <v>0</v>
      </c>
      <c r="DQ335" s="25">
        <f t="shared" si="524"/>
        <v>0</v>
      </c>
      <c r="DR335" s="24">
        <f t="shared" si="525"/>
        <v>2.9661062032683365E-2</v>
      </c>
      <c r="DS335" s="25">
        <f t="shared" si="526"/>
        <v>2.9661062032683368E-2</v>
      </c>
      <c r="DT335" s="24">
        <f t="shared" si="527"/>
        <v>1.250131221009556E-2</v>
      </c>
      <c r="DU335" s="25">
        <f t="shared" si="528"/>
        <v>1.2501312210095556E-2</v>
      </c>
      <c r="DV335" s="24">
        <f t="shared" si="529"/>
        <v>1.2501312210095561E-2</v>
      </c>
      <c r="DW335" s="25">
        <f t="shared" si="530"/>
        <v>0</v>
      </c>
      <c r="DX335" s="32">
        <f t="shared" si="531"/>
        <v>0</v>
      </c>
      <c r="DZ335" s="54" t="s">
        <v>1318</v>
      </c>
      <c r="EA335" s="39">
        <v>0</v>
      </c>
      <c r="EB335" s="40">
        <v>0.94052004930164634</v>
      </c>
      <c r="EC335" s="39">
        <v>0.92360335201733812</v>
      </c>
      <c r="ED335" s="40">
        <v>0.13740348453439763</v>
      </c>
      <c r="EE335" s="39">
        <v>0.77705979825528948</v>
      </c>
      <c r="EF335" s="40">
        <v>0.76957841898245227</v>
      </c>
      <c r="EG335" s="39">
        <v>0.54903286525277972</v>
      </c>
      <c r="EH335" s="40">
        <v>0.3091040134351668</v>
      </c>
      <c r="EI335" s="66">
        <v>0.76321367064139434</v>
      </c>
    </row>
    <row r="336" spans="1:139">
      <c r="A336" s="22" t="s">
        <v>1539</v>
      </c>
      <c r="B336" s="20" t="s">
        <v>1107</v>
      </c>
      <c r="C336" s="21" t="s">
        <v>1106</v>
      </c>
      <c r="D336" s="20" t="s">
        <v>1106</v>
      </c>
      <c r="E336" s="20" t="s">
        <v>1538</v>
      </c>
      <c r="F336" s="21" t="e">
        <f t="shared" ca="1" si="501"/>
        <v>#NAME?</v>
      </c>
      <c r="G336" s="19" t="s">
        <v>1109</v>
      </c>
      <c r="H336" s="50">
        <f>1-I336</f>
        <v>0.88332652522877819</v>
      </c>
      <c r="I336" s="49">
        <v>0.11667347477122178</v>
      </c>
      <c r="J336" s="11" t="e">
        <v>#REF!</v>
      </c>
      <c r="K336" s="10" t="e">
        <v>#REF!</v>
      </c>
      <c r="L336" s="9"/>
      <c r="M336" s="10"/>
      <c r="N336" s="9"/>
      <c r="O336" s="10"/>
      <c r="P336" s="9"/>
      <c r="Q336" s="10"/>
      <c r="R336" s="16"/>
      <c r="S336" s="15" t="e">
        <v>#REF!</v>
      </c>
      <c r="T336" s="13" t="e">
        <f t="shared" si="532"/>
        <v>#REF!</v>
      </c>
      <c r="U336" s="14" t="e">
        <f t="shared" si="532"/>
        <v>#REF!</v>
      </c>
      <c r="V336" s="13" t="e">
        <f t="shared" si="532"/>
        <v>#REF!</v>
      </c>
      <c r="W336" s="14" t="e">
        <f t="shared" si="532"/>
        <v>#REF!</v>
      </c>
      <c r="X336" s="13" t="e">
        <f t="shared" si="532"/>
        <v>#REF!</v>
      </c>
      <c r="Y336" s="14" t="e">
        <f t="shared" si="532"/>
        <v>#REF!</v>
      </c>
      <c r="Z336" s="13" t="e">
        <f t="shared" si="532"/>
        <v>#REF!</v>
      </c>
      <c r="AA336" s="12" t="e">
        <f t="shared" si="532"/>
        <v>#REF!</v>
      </c>
      <c r="AB336" s="11" t="e">
        <f t="shared" si="533"/>
        <v>#REF!</v>
      </c>
      <c r="AC336" s="10" t="e">
        <f t="shared" si="533"/>
        <v>#REF!</v>
      </c>
      <c r="AD336" s="9" t="e">
        <f t="shared" si="533"/>
        <v>#REF!</v>
      </c>
      <c r="AE336" s="10" t="e">
        <f t="shared" si="533"/>
        <v>#REF!</v>
      </c>
      <c r="AF336" s="9" t="e">
        <f t="shared" si="533"/>
        <v>#REF!</v>
      </c>
      <c r="AG336" s="10" t="e">
        <f t="shared" si="533"/>
        <v>#REF!</v>
      </c>
      <c r="AH336" s="9" t="e">
        <f t="shared" si="533"/>
        <v>#REF!</v>
      </c>
      <c r="AI336" s="10" t="e">
        <f t="shared" si="533"/>
        <v>#REF!</v>
      </c>
      <c r="AJ336" s="9" t="e">
        <f t="shared" si="533"/>
        <v>#REF!</v>
      </c>
      <c r="AK336" s="8" t="e">
        <f t="shared" si="520"/>
        <v>#REF!</v>
      </c>
      <c r="AL336" s="11" t="e">
        <f t="shared" si="534"/>
        <v>#REF!</v>
      </c>
      <c r="AM336" s="10" t="e">
        <f t="shared" si="534"/>
        <v>#REF!</v>
      </c>
      <c r="AN336" s="9" t="e">
        <f t="shared" si="534"/>
        <v>#REF!</v>
      </c>
      <c r="AO336" s="10" t="e">
        <f t="shared" si="534"/>
        <v>#REF!</v>
      </c>
      <c r="AP336" s="9" t="e">
        <f t="shared" si="534"/>
        <v>#REF!</v>
      </c>
      <c r="AQ336" s="10" t="e">
        <f t="shared" si="534"/>
        <v>#REF!</v>
      </c>
      <c r="AR336" s="9" t="e">
        <f t="shared" si="534"/>
        <v>#REF!</v>
      </c>
      <c r="AS336" s="10" t="e">
        <f t="shared" si="534"/>
        <v>#REF!</v>
      </c>
      <c r="AT336" s="9" t="e">
        <f t="shared" si="534"/>
        <v>#REF!</v>
      </c>
      <c r="AU336" s="48" t="e">
        <f>SUM(AL336:AT336)</f>
        <v>#REF!</v>
      </c>
      <c r="CS336" s="54" t="s">
        <v>1537</v>
      </c>
      <c r="CT336" s="39">
        <v>0.44167187454661011</v>
      </c>
      <c r="CU336" s="40">
        <v>1.2157740740535667</v>
      </c>
      <c r="CV336" s="39">
        <v>2.6312998371261473</v>
      </c>
      <c r="CW336" s="40">
        <v>1.7822419460034666</v>
      </c>
      <c r="CX336" s="39">
        <v>0.45618381542217223</v>
      </c>
      <c r="CY336" s="40">
        <v>0.3976306430226037</v>
      </c>
      <c r="CZ336" s="39">
        <v>1.3813697922388917</v>
      </c>
      <c r="DA336" s="40">
        <v>0.14552634564064917</v>
      </c>
      <c r="DB336" s="39">
        <v>9.1251647016518958E-2</v>
      </c>
      <c r="DC336" s="38">
        <v>8.542949975070627</v>
      </c>
      <c r="DE336" s="37" t="s">
        <v>1536</v>
      </c>
      <c r="DF336" s="35" t="str">
        <f t="shared" si="521"/>
        <v>IOTPH</v>
      </c>
      <c r="DG336" s="26">
        <f t="shared" si="522"/>
        <v>0.29132018798458775</v>
      </c>
      <c r="DH336" s="25">
        <f t="shared" si="522"/>
        <v>0.80190646543579303</v>
      </c>
      <c r="DI336" s="24">
        <f t="shared" si="522"/>
        <v>0.55865863804166049</v>
      </c>
      <c r="DJ336" s="25">
        <f t="shared" si="522"/>
        <v>0.37839277917580866</v>
      </c>
      <c r="DK336" s="24">
        <f t="shared" si="522"/>
        <v>0.31874157624236943</v>
      </c>
      <c r="DL336" s="25">
        <f t="shared" si="522"/>
        <v>0.27782971169636878</v>
      </c>
      <c r="DM336" s="24">
        <f t="shared" si="522"/>
        <v>0.96518107409037757</v>
      </c>
      <c r="DN336" s="25">
        <f t="shared" si="522"/>
        <v>1.2478311220505631</v>
      </c>
      <c r="DO336" s="32">
        <f t="shared" si="522"/>
        <v>0.78244694858728692</v>
      </c>
      <c r="DP336" s="26">
        <f t="shared" si="523"/>
        <v>1.3400301497432066E-2</v>
      </c>
      <c r="DQ336" s="25">
        <f t="shared" si="524"/>
        <v>1.3400301497432062E-2</v>
      </c>
      <c r="DR336" s="24">
        <f t="shared" si="525"/>
        <v>3.9655951509275037E-3</v>
      </c>
      <c r="DS336" s="25">
        <f t="shared" si="526"/>
        <v>3.9655951509275046E-3</v>
      </c>
      <c r="DT336" s="24">
        <f t="shared" si="527"/>
        <v>6.6771744300516966E-3</v>
      </c>
      <c r="DU336" s="25">
        <f t="shared" si="528"/>
        <v>6.6771744300516966E-3</v>
      </c>
      <c r="DV336" s="24">
        <f t="shared" si="529"/>
        <v>6.6771744300516975E-3</v>
      </c>
      <c r="DW336" s="25">
        <f t="shared" si="530"/>
        <v>2.4899173916744521E-2</v>
      </c>
      <c r="DX336" s="32">
        <f t="shared" si="531"/>
        <v>2.4899173916744521E-2</v>
      </c>
      <c r="DZ336" s="54" t="s">
        <v>1314</v>
      </c>
      <c r="EA336" s="39">
        <v>0.94608569379462437</v>
      </c>
      <c r="EB336" s="40">
        <v>0</v>
      </c>
      <c r="EC336" s="39">
        <v>0</v>
      </c>
      <c r="ED336" s="40">
        <v>0.78200243540242287</v>
      </c>
      <c r="EE336" s="39">
        <v>0.20303693517641946</v>
      </c>
      <c r="EF336" s="40">
        <v>0.21058732871802147</v>
      </c>
      <c r="EG336" s="39">
        <v>0.43072963876752007</v>
      </c>
      <c r="EH336" s="40">
        <v>0.66397403539908539</v>
      </c>
      <c r="EI336" s="66">
        <v>0.21087809747709763</v>
      </c>
    </row>
    <row r="337" spans="1:139">
      <c r="A337" s="37" t="s">
        <v>1477</v>
      </c>
      <c r="B337" s="36" t="s">
        <v>1145</v>
      </c>
      <c r="C337" s="1" t="s">
        <v>1126</v>
      </c>
      <c r="D337" s="36" t="s">
        <v>1126</v>
      </c>
      <c r="E337" s="36" t="s">
        <v>1535</v>
      </c>
      <c r="F337" s="1" t="s">
        <v>1484</v>
      </c>
      <c r="G337" s="35" t="s">
        <v>1121</v>
      </c>
      <c r="H337" s="43">
        <v>1</v>
      </c>
      <c r="I337" s="42">
        <v>0</v>
      </c>
      <c r="J337" s="26">
        <v>0.56741161944393348</v>
      </c>
      <c r="K337" s="25">
        <v>2.4442346683738676</v>
      </c>
      <c r="L337" s="24"/>
      <c r="M337" s="25"/>
      <c r="N337" s="24"/>
      <c r="O337" s="25"/>
      <c r="P337" s="24"/>
      <c r="Q337" s="25"/>
      <c r="R337" s="32"/>
      <c r="S337" s="47">
        <v>1</v>
      </c>
      <c r="T337" s="45">
        <v>1</v>
      </c>
      <c r="U337" s="46">
        <v>1</v>
      </c>
      <c r="V337" s="45">
        <v>1</v>
      </c>
      <c r="W337" s="46">
        <v>1</v>
      </c>
      <c r="X337" s="45">
        <v>1</v>
      </c>
      <c r="Y337" s="46">
        <v>1</v>
      </c>
      <c r="Z337" s="45">
        <v>1</v>
      </c>
      <c r="AA337" s="44">
        <v>1</v>
      </c>
      <c r="AB337" s="26">
        <f t="shared" ref="AB337:AB348" si="535">J337*$H337*S337</f>
        <v>0.56741161944393348</v>
      </c>
      <c r="AC337" s="25">
        <f t="shared" ref="AC337:AC348" si="536">K337*$H337*T337</f>
        <v>2.4442346683738676</v>
      </c>
      <c r="AD337" s="24">
        <f t="shared" ref="AD337:AD348" si="537">L337*$H337*U337</f>
        <v>0</v>
      </c>
      <c r="AE337" s="25">
        <f t="shared" ref="AE337:AE348" si="538">M337*$H337*V337</f>
        <v>0</v>
      </c>
      <c r="AF337" s="24">
        <f t="shared" ref="AF337:AF348" si="539">N337*$H337*W337</f>
        <v>0</v>
      </c>
      <c r="AG337" s="25">
        <f t="shared" ref="AG337:AG348" si="540">O337*$H337*X337</f>
        <v>0</v>
      </c>
      <c r="AH337" s="24">
        <f t="shared" ref="AH337:AH348" si="541">P337*$H337*Y337</f>
        <v>0</v>
      </c>
      <c r="AI337" s="25">
        <f t="shared" ref="AI337:AI348" si="542">Q337*$H337*Z337</f>
        <v>0</v>
      </c>
      <c r="AJ337" s="24">
        <f t="shared" ref="AJ337:AJ348" si="543">R337*$H337*AA337</f>
        <v>0</v>
      </c>
      <c r="AK337" s="27">
        <f t="shared" si="520"/>
        <v>3.011646287817801</v>
      </c>
      <c r="AL337" s="41">
        <v>0</v>
      </c>
      <c r="AM337" s="40">
        <v>0</v>
      </c>
      <c r="AN337" s="39">
        <v>0</v>
      </c>
      <c r="AO337" s="40">
        <v>0</v>
      </c>
      <c r="AP337" s="39">
        <v>0</v>
      </c>
      <c r="AQ337" s="40">
        <v>0</v>
      </c>
      <c r="AR337" s="39">
        <v>0</v>
      </c>
      <c r="AS337" s="40">
        <v>0</v>
      </c>
      <c r="AT337" s="39">
        <v>0</v>
      </c>
      <c r="AU337" s="38">
        <v>0</v>
      </c>
      <c r="CS337" s="54" t="s">
        <v>1455</v>
      </c>
      <c r="CT337" s="39">
        <v>0</v>
      </c>
      <c r="CU337" s="40">
        <v>0</v>
      </c>
      <c r="CV337" s="39">
        <v>0.2852326300274754</v>
      </c>
      <c r="CW337" s="40">
        <v>0.19319484249999733</v>
      </c>
      <c r="CX337" s="39">
        <v>6.5095564195990691E-2</v>
      </c>
      <c r="CY337" s="40">
        <v>5.674026603775234E-2</v>
      </c>
      <c r="CZ337" s="39">
        <v>0.19711581811790557</v>
      </c>
      <c r="DA337" s="40">
        <v>0</v>
      </c>
      <c r="DB337" s="39">
        <v>0</v>
      </c>
      <c r="DC337" s="38">
        <v>0.79737912087912144</v>
      </c>
      <c r="DE337" s="37" t="s">
        <v>1534</v>
      </c>
      <c r="DF337" s="35" t="str">
        <f t="shared" si="521"/>
        <v>IOTPH</v>
      </c>
      <c r="DG337" s="26">
        <f t="shared" si="522"/>
        <v>6.2965690743916864</v>
      </c>
      <c r="DH337" s="25">
        <f t="shared" si="522"/>
        <v>17.33233623714705</v>
      </c>
      <c r="DI337" s="24">
        <f t="shared" si="522"/>
        <v>39.41588415316204</v>
      </c>
      <c r="DJ337" s="25">
        <f t="shared" si="522"/>
        <v>26.697315556900911</v>
      </c>
      <c r="DK337" s="24">
        <f t="shared" si="522"/>
        <v>16.903024722452194</v>
      </c>
      <c r="DL337" s="25">
        <f t="shared" si="522"/>
        <v>14.73344814566817</v>
      </c>
      <c r="DM337" s="24">
        <f t="shared" si="522"/>
        <v>51.18403362787906</v>
      </c>
      <c r="DN337" s="25">
        <f t="shared" si="522"/>
        <v>19.070059541551831</v>
      </c>
      <c r="DO337" s="32">
        <f t="shared" si="522"/>
        <v>11.957795918044496</v>
      </c>
      <c r="DP337" s="26">
        <f t="shared" si="523"/>
        <v>0.28963294504230941</v>
      </c>
      <c r="DQ337" s="25">
        <f t="shared" si="524"/>
        <v>0.28963294504230941</v>
      </c>
      <c r="DR337" s="24">
        <f t="shared" si="525"/>
        <v>0.27979060632665526</v>
      </c>
      <c r="DS337" s="25">
        <f t="shared" si="526"/>
        <v>0.27979060632665526</v>
      </c>
      <c r="DT337" s="24">
        <f t="shared" si="527"/>
        <v>0.35409388946946768</v>
      </c>
      <c r="DU337" s="25">
        <f t="shared" si="528"/>
        <v>0.35409388946946774</v>
      </c>
      <c r="DV337" s="24">
        <f t="shared" si="529"/>
        <v>0.35409388946946774</v>
      </c>
      <c r="DW337" s="25">
        <f t="shared" si="530"/>
        <v>0.38052323005655236</v>
      </c>
      <c r="DX337" s="32">
        <f t="shared" si="531"/>
        <v>0.38052323005655242</v>
      </c>
      <c r="DZ337" s="54" t="s">
        <v>1335</v>
      </c>
      <c r="EA337" s="39">
        <v>1.658559161855816E-2</v>
      </c>
      <c r="EB337" s="40">
        <v>1.3706468043442445E-2</v>
      </c>
      <c r="EC337" s="39">
        <v>2.3438193099943737E-2</v>
      </c>
      <c r="ED337" s="40">
        <v>2.4725948861811668E-2</v>
      </c>
      <c r="EE337" s="39">
        <v>1.4993509873622102E-3</v>
      </c>
      <c r="EF337" s="40">
        <v>1.4941520110203388E-3</v>
      </c>
      <c r="EG337" s="39">
        <v>1.5245291256483328E-3</v>
      </c>
      <c r="EH337" s="40">
        <v>4.599706439746244E-3</v>
      </c>
      <c r="EI337" s="66">
        <v>4.4265090703911915E-3</v>
      </c>
    </row>
    <row r="338" spans="1:139">
      <c r="A338" s="37" t="s">
        <v>1477</v>
      </c>
      <c r="B338" s="36" t="s">
        <v>1145</v>
      </c>
      <c r="C338" s="1" t="s">
        <v>456</v>
      </c>
      <c r="D338" s="36" t="s">
        <v>456</v>
      </c>
      <c r="E338" s="36" t="s">
        <v>1533</v>
      </c>
      <c r="F338" s="1" t="s">
        <v>1481</v>
      </c>
      <c r="G338" s="35" t="s">
        <v>1121</v>
      </c>
      <c r="H338" s="43">
        <v>1</v>
      </c>
      <c r="I338" s="42">
        <v>0</v>
      </c>
      <c r="J338" s="26">
        <v>0.37380687858028638</v>
      </c>
      <c r="K338" s="25">
        <v>1.1629547333608912</v>
      </c>
      <c r="L338" s="24"/>
      <c r="M338" s="25"/>
      <c r="N338" s="24"/>
      <c r="O338" s="25"/>
      <c r="P338" s="24"/>
      <c r="Q338" s="25"/>
      <c r="R338" s="32"/>
      <c r="S338" s="47">
        <v>1</v>
      </c>
      <c r="T338" s="45">
        <v>1</v>
      </c>
      <c r="U338" s="46">
        <v>1</v>
      </c>
      <c r="V338" s="45">
        <v>1</v>
      </c>
      <c r="W338" s="46">
        <v>1</v>
      </c>
      <c r="X338" s="45">
        <v>1</v>
      </c>
      <c r="Y338" s="46">
        <v>1</v>
      </c>
      <c r="Z338" s="45">
        <v>1</v>
      </c>
      <c r="AA338" s="44">
        <v>1</v>
      </c>
      <c r="AB338" s="26">
        <f t="shared" si="535"/>
        <v>0.37380687858028638</v>
      </c>
      <c r="AC338" s="25">
        <f t="shared" si="536"/>
        <v>1.1629547333608912</v>
      </c>
      <c r="AD338" s="24">
        <f t="shared" si="537"/>
        <v>0</v>
      </c>
      <c r="AE338" s="25">
        <f t="shared" si="538"/>
        <v>0</v>
      </c>
      <c r="AF338" s="24">
        <f t="shared" si="539"/>
        <v>0</v>
      </c>
      <c r="AG338" s="25">
        <f t="shared" si="540"/>
        <v>0</v>
      </c>
      <c r="AH338" s="24">
        <f t="shared" si="541"/>
        <v>0</v>
      </c>
      <c r="AI338" s="25">
        <f t="shared" si="542"/>
        <v>0</v>
      </c>
      <c r="AJ338" s="24">
        <f t="shared" si="543"/>
        <v>0</v>
      </c>
      <c r="AK338" s="27">
        <f t="shared" si="520"/>
        <v>1.5367616119411776</v>
      </c>
      <c r="AL338" s="41">
        <v>0</v>
      </c>
      <c r="AM338" s="40">
        <v>0</v>
      </c>
      <c r="AN338" s="39">
        <v>0</v>
      </c>
      <c r="AO338" s="40">
        <v>0</v>
      </c>
      <c r="AP338" s="39">
        <v>0</v>
      </c>
      <c r="AQ338" s="40">
        <v>0</v>
      </c>
      <c r="AR338" s="39">
        <v>0</v>
      </c>
      <c r="AS338" s="40">
        <v>0</v>
      </c>
      <c r="AT338" s="39">
        <v>0</v>
      </c>
      <c r="AU338" s="38">
        <v>0</v>
      </c>
      <c r="CS338" s="54" t="s">
        <v>1450</v>
      </c>
      <c r="CT338" s="39">
        <v>1.6979948146713315</v>
      </c>
      <c r="CU338" s="40">
        <v>4.6740084495394782</v>
      </c>
      <c r="CV338" s="39">
        <v>12.726350880262155</v>
      </c>
      <c r="CW338" s="40">
        <v>8.6198600548440574</v>
      </c>
      <c r="CX338" s="39">
        <v>4.9418109886163935</v>
      </c>
      <c r="CY338" s="40">
        <v>4.3075081023670148</v>
      </c>
      <c r="CZ338" s="39">
        <v>14.96429331301767</v>
      </c>
      <c r="DA338" s="40">
        <v>1.9581514714366224</v>
      </c>
      <c r="DB338" s="39">
        <v>1.2278501606687824</v>
      </c>
      <c r="DC338" s="38">
        <v>55.117828235423502</v>
      </c>
      <c r="DE338" s="37" t="s">
        <v>1532</v>
      </c>
      <c r="DF338" s="35" t="str">
        <f t="shared" si="521"/>
        <v>IOTPH</v>
      </c>
      <c r="DG338" s="26">
        <f t="shared" ref="DG338:DO347" si="544">GETPIVOTDATA("Sum of "&amp;DG$1&amp;" (Out)",$CS$6,"Constraint Identifier",$DE338)</f>
        <v>7.8290815556015719E-2</v>
      </c>
      <c r="DH338" s="25">
        <f t="shared" si="544"/>
        <v>0.21550827497726194</v>
      </c>
      <c r="DI338" s="24">
        <f t="shared" si="544"/>
        <v>2.1019132580270057</v>
      </c>
      <c r="DJ338" s="25">
        <f t="shared" si="544"/>
        <v>1.4236758283723274</v>
      </c>
      <c r="DK338" s="24">
        <f t="shared" si="544"/>
        <v>0.65958333882607112</v>
      </c>
      <c r="DL338" s="25">
        <f t="shared" si="544"/>
        <v>0.57492295490950296</v>
      </c>
      <c r="DM338" s="24">
        <f t="shared" si="544"/>
        <v>1.9972837021304815</v>
      </c>
      <c r="DN338" s="25">
        <f t="shared" si="544"/>
        <v>0.54171640934248533</v>
      </c>
      <c r="DO338" s="32">
        <f t="shared" si="544"/>
        <v>0.339680862257348</v>
      </c>
      <c r="DP338" s="26">
        <f t="shared" si="523"/>
        <v>3.6012627212294629E-3</v>
      </c>
      <c r="DQ338" s="25">
        <f t="shared" si="524"/>
        <v>3.6012627212294625E-3</v>
      </c>
      <c r="DR338" s="24">
        <f t="shared" si="525"/>
        <v>1.492026875825473E-2</v>
      </c>
      <c r="DS338" s="25">
        <f t="shared" si="526"/>
        <v>1.4920268758254732E-2</v>
      </c>
      <c r="DT338" s="24">
        <f t="shared" si="527"/>
        <v>1.3817315759110984E-2</v>
      </c>
      <c r="DU338" s="25">
        <f t="shared" si="528"/>
        <v>1.3817315759110986E-2</v>
      </c>
      <c r="DV338" s="24">
        <f t="shared" si="529"/>
        <v>1.3817315759110986E-2</v>
      </c>
      <c r="DW338" s="25">
        <f t="shared" si="530"/>
        <v>1.0809388266905522E-2</v>
      </c>
      <c r="DX338" s="32">
        <f t="shared" si="531"/>
        <v>1.0809388266905522E-2</v>
      </c>
      <c r="DZ338" s="54" t="s">
        <v>1333</v>
      </c>
      <c r="EA338" s="39">
        <v>2.8863204365362719E-2</v>
      </c>
      <c r="EB338" s="40">
        <v>2.385278724833239E-2</v>
      </c>
      <c r="EC338" s="39">
        <v>3.7767127042876956E-2</v>
      </c>
      <c r="ED338" s="40">
        <v>3.9842151992593743E-2</v>
      </c>
      <c r="EE338" s="39">
        <v>2.8662294746109912E-3</v>
      </c>
      <c r="EF338" s="40">
        <v>2.8562908682709951E-3</v>
      </c>
      <c r="EG338" s="39">
        <v>2.9143611813826505E-3</v>
      </c>
      <c r="EH338" s="40">
        <v>6.6705623192099845E-3</v>
      </c>
      <c r="EI338" s="66">
        <v>6.4193889321818654E-3</v>
      </c>
    </row>
    <row r="339" spans="1:139">
      <c r="A339" s="37" t="s">
        <v>1477</v>
      </c>
      <c r="B339" s="36" t="s">
        <v>1145</v>
      </c>
      <c r="C339" s="1" t="s">
        <v>665</v>
      </c>
      <c r="D339" s="36" t="s">
        <v>665</v>
      </c>
      <c r="E339" s="36" t="s">
        <v>1531</v>
      </c>
      <c r="F339" s="1" t="s">
        <v>1478</v>
      </c>
      <c r="G339" s="35" t="s">
        <v>1121</v>
      </c>
      <c r="H339" s="43">
        <v>1</v>
      </c>
      <c r="I339" s="42">
        <v>0</v>
      </c>
      <c r="J339" s="26">
        <v>0.64676742897335882</v>
      </c>
      <c r="K339" s="25">
        <v>1.5091240009378373</v>
      </c>
      <c r="L339" s="24"/>
      <c r="M339" s="25"/>
      <c r="N339" s="24"/>
      <c r="O339" s="25"/>
      <c r="P339" s="24"/>
      <c r="Q339" s="25"/>
      <c r="R339" s="32"/>
      <c r="S339" s="47">
        <v>1</v>
      </c>
      <c r="T339" s="45">
        <v>1</v>
      </c>
      <c r="U339" s="46">
        <v>1</v>
      </c>
      <c r="V339" s="45">
        <v>1</v>
      </c>
      <c r="W339" s="46">
        <v>1</v>
      </c>
      <c r="X339" s="45">
        <v>1</v>
      </c>
      <c r="Y339" s="46">
        <v>1</v>
      </c>
      <c r="Z339" s="45">
        <v>1</v>
      </c>
      <c r="AA339" s="44">
        <v>1</v>
      </c>
      <c r="AB339" s="26">
        <f t="shared" si="535"/>
        <v>0.64676742897335882</v>
      </c>
      <c r="AC339" s="25">
        <f t="shared" si="536"/>
        <v>1.5091240009378373</v>
      </c>
      <c r="AD339" s="24">
        <f t="shared" si="537"/>
        <v>0</v>
      </c>
      <c r="AE339" s="25">
        <f t="shared" si="538"/>
        <v>0</v>
      </c>
      <c r="AF339" s="24">
        <f t="shared" si="539"/>
        <v>0</v>
      </c>
      <c r="AG339" s="25">
        <f t="shared" si="540"/>
        <v>0</v>
      </c>
      <c r="AH339" s="24">
        <f t="shared" si="541"/>
        <v>0</v>
      </c>
      <c r="AI339" s="25">
        <f t="shared" si="542"/>
        <v>0</v>
      </c>
      <c r="AJ339" s="24">
        <f t="shared" si="543"/>
        <v>0</v>
      </c>
      <c r="AK339" s="27">
        <f t="shared" si="520"/>
        <v>2.155891429911196</v>
      </c>
      <c r="AL339" s="41">
        <v>0</v>
      </c>
      <c r="AM339" s="40">
        <v>0</v>
      </c>
      <c r="AN339" s="39">
        <v>0</v>
      </c>
      <c r="AO339" s="40">
        <v>0</v>
      </c>
      <c r="AP339" s="39">
        <v>0</v>
      </c>
      <c r="AQ339" s="40">
        <v>0</v>
      </c>
      <c r="AR339" s="39">
        <v>0</v>
      </c>
      <c r="AS339" s="40">
        <v>0</v>
      </c>
      <c r="AT339" s="39">
        <v>0</v>
      </c>
      <c r="AU339" s="38">
        <v>0</v>
      </c>
      <c r="CS339" s="54" t="s">
        <v>1445</v>
      </c>
      <c r="CT339" s="39">
        <v>6.7259372545449807</v>
      </c>
      <c r="CU339" s="40">
        <v>18.514242380004351</v>
      </c>
      <c r="CV339" s="39">
        <v>86.417868646723946</v>
      </c>
      <c r="CW339" s="40">
        <v>58.532877254545085</v>
      </c>
      <c r="CX339" s="39">
        <v>11.038554470181595</v>
      </c>
      <c r="CY339" s="40">
        <v>9.6217081001795872</v>
      </c>
      <c r="CZ339" s="39">
        <v>33.425836646530257</v>
      </c>
      <c r="DA339" s="40">
        <v>5.7619308083273459</v>
      </c>
      <c r="DB339" s="39">
        <v>3.6129930559338357</v>
      </c>
      <c r="DC339" s="38">
        <v>233.65194861697097</v>
      </c>
      <c r="DE339" s="37" t="s">
        <v>1530</v>
      </c>
      <c r="DF339" s="35" t="str">
        <f t="shared" si="521"/>
        <v>IOTPH</v>
      </c>
      <c r="DG339" s="26">
        <f t="shared" si="544"/>
        <v>14.475187673167961</v>
      </c>
      <c r="DH339" s="25">
        <f t="shared" si="544"/>
        <v>39.845321616104371</v>
      </c>
      <c r="DI339" s="24">
        <f t="shared" si="544"/>
        <v>96.154072492534439</v>
      </c>
      <c r="DJ339" s="25">
        <f t="shared" si="544"/>
        <v>65.127439624067961</v>
      </c>
      <c r="DK339" s="24">
        <f t="shared" si="544"/>
        <v>28.687477669328167</v>
      </c>
      <c r="DL339" s="25">
        <f t="shared" si="544"/>
        <v>25.005315416100402</v>
      </c>
      <c r="DM339" s="24">
        <f t="shared" si="544"/>
        <v>86.868524766193673</v>
      </c>
      <c r="DN339" s="25">
        <f t="shared" si="544"/>
        <v>29.255755236782406</v>
      </c>
      <c r="DO339" s="32">
        <f t="shared" si="544"/>
        <v>18.3446910476315</v>
      </c>
      <c r="DP339" s="26">
        <f t="shared" si="523"/>
        <v>0.66583740864064267</v>
      </c>
      <c r="DQ339" s="25">
        <f t="shared" si="524"/>
        <v>0.66583740864064267</v>
      </c>
      <c r="DR339" s="24">
        <f t="shared" si="525"/>
        <v>0.68254224969110966</v>
      </c>
      <c r="DS339" s="25">
        <f t="shared" si="526"/>
        <v>0.68254224969110966</v>
      </c>
      <c r="DT339" s="24">
        <f t="shared" si="527"/>
        <v>0.60096111280651532</v>
      </c>
      <c r="DU339" s="25">
        <f t="shared" si="528"/>
        <v>0.60096111280651532</v>
      </c>
      <c r="DV339" s="24">
        <f t="shared" si="529"/>
        <v>0.60096111280651532</v>
      </c>
      <c r="DW339" s="25">
        <f t="shared" si="530"/>
        <v>0.58376820775979754</v>
      </c>
      <c r="DX339" s="32">
        <f t="shared" si="531"/>
        <v>0.58376820775979754</v>
      </c>
      <c r="DZ339" s="54" t="s">
        <v>1331</v>
      </c>
      <c r="EA339" s="39">
        <v>8.4655102214546644E-3</v>
      </c>
      <c r="EB339" s="40">
        <v>6.9959666191208667E-3</v>
      </c>
      <c r="EC339" s="39">
        <v>7.5956639199206291E-3</v>
      </c>
      <c r="ED339" s="40">
        <v>8.0129896043870507E-3</v>
      </c>
      <c r="EE339" s="39">
        <v>7.7688430531589071E-3</v>
      </c>
      <c r="EF339" s="40">
        <v>7.7419047101174665E-3</v>
      </c>
      <c r="EG339" s="39">
        <v>7.8993028363346547E-3</v>
      </c>
      <c r="EH339" s="40">
        <v>7.8258412033958245E-3</v>
      </c>
      <c r="EI339" s="66">
        <v>7.5311669394675131E-3</v>
      </c>
    </row>
    <row r="340" spans="1:139">
      <c r="A340" s="37" t="s">
        <v>1477</v>
      </c>
      <c r="B340" s="36" t="s">
        <v>1136</v>
      </c>
      <c r="C340" s="1" t="s">
        <v>1126</v>
      </c>
      <c r="D340" s="36" t="s">
        <v>1126</v>
      </c>
      <c r="E340" s="36" t="s">
        <v>1529</v>
      </c>
      <c r="F340" s="1" t="s">
        <v>1473</v>
      </c>
      <c r="G340" s="35" t="s">
        <v>1121</v>
      </c>
      <c r="H340" s="43">
        <v>1</v>
      </c>
      <c r="I340" s="42">
        <v>0</v>
      </c>
      <c r="J340" s="26">
        <v>1.3189741008346707</v>
      </c>
      <c r="K340" s="25">
        <v>5.6817345882108903</v>
      </c>
      <c r="L340" s="24"/>
      <c r="M340" s="25"/>
      <c r="N340" s="24"/>
      <c r="O340" s="25"/>
      <c r="P340" s="24"/>
      <c r="Q340" s="25"/>
      <c r="R340" s="32"/>
      <c r="S340" s="47">
        <v>1</v>
      </c>
      <c r="T340" s="45">
        <v>1</v>
      </c>
      <c r="U340" s="46">
        <v>1</v>
      </c>
      <c r="V340" s="45">
        <v>1</v>
      </c>
      <c r="W340" s="46">
        <v>1</v>
      </c>
      <c r="X340" s="45">
        <v>1</v>
      </c>
      <c r="Y340" s="46">
        <v>1</v>
      </c>
      <c r="Z340" s="45">
        <v>1</v>
      </c>
      <c r="AA340" s="44">
        <v>1</v>
      </c>
      <c r="AB340" s="26">
        <f t="shared" si="535"/>
        <v>1.3189741008346707</v>
      </c>
      <c r="AC340" s="25">
        <f t="shared" si="536"/>
        <v>5.6817345882108903</v>
      </c>
      <c r="AD340" s="24">
        <f t="shared" si="537"/>
        <v>0</v>
      </c>
      <c r="AE340" s="25">
        <f t="shared" si="538"/>
        <v>0</v>
      </c>
      <c r="AF340" s="24">
        <f t="shared" si="539"/>
        <v>0</v>
      </c>
      <c r="AG340" s="25">
        <f t="shared" si="540"/>
        <v>0</v>
      </c>
      <c r="AH340" s="24">
        <f t="shared" si="541"/>
        <v>0</v>
      </c>
      <c r="AI340" s="25">
        <f t="shared" si="542"/>
        <v>0</v>
      </c>
      <c r="AJ340" s="24">
        <f t="shared" si="543"/>
        <v>0</v>
      </c>
      <c r="AK340" s="27">
        <f t="shared" si="520"/>
        <v>7.0007086890455614</v>
      </c>
      <c r="AL340" s="41">
        <v>0</v>
      </c>
      <c r="AM340" s="40">
        <v>0</v>
      </c>
      <c r="AN340" s="39">
        <v>0</v>
      </c>
      <c r="AO340" s="40">
        <v>0</v>
      </c>
      <c r="AP340" s="39">
        <v>0</v>
      </c>
      <c r="AQ340" s="40">
        <v>0</v>
      </c>
      <c r="AR340" s="39">
        <v>0</v>
      </c>
      <c r="AS340" s="40">
        <v>0</v>
      </c>
      <c r="AT340" s="39">
        <v>0</v>
      </c>
      <c r="AU340" s="38">
        <v>0</v>
      </c>
      <c r="CS340" s="54" t="s">
        <v>1440</v>
      </c>
      <c r="CT340" s="39">
        <v>0.50204464767555768</v>
      </c>
      <c r="CU340" s="40">
        <v>1.3819600065950928</v>
      </c>
      <c r="CV340" s="39">
        <v>20.217971167685587</v>
      </c>
      <c r="CW340" s="40">
        <v>13.694112609185886</v>
      </c>
      <c r="CX340" s="39">
        <v>1.5380431052973509</v>
      </c>
      <c r="CY340" s="40">
        <v>1.340628598123087</v>
      </c>
      <c r="CZ340" s="39">
        <v>4.6573469136621144</v>
      </c>
      <c r="DA340" s="40">
        <v>0</v>
      </c>
      <c r="DB340" s="39">
        <v>0</v>
      </c>
      <c r="DC340" s="38">
        <v>43.332107048224678</v>
      </c>
      <c r="DE340" s="37" t="s">
        <v>1528</v>
      </c>
      <c r="DF340" s="35" t="str">
        <f t="shared" si="521"/>
        <v>IOTPH</v>
      </c>
      <c r="DG340" s="26">
        <f t="shared" si="544"/>
        <v>0.16841657486860231</v>
      </c>
      <c r="DH340" s="25">
        <f t="shared" si="544"/>
        <v>0.46359416835481571</v>
      </c>
      <c r="DI340" s="24">
        <f t="shared" si="544"/>
        <v>0</v>
      </c>
      <c r="DJ340" s="25">
        <f t="shared" si="544"/>
        <v>0</v>
      </c>
      <c r="DK340" s="24">
        <f t="shared" si="544"/>
        <v>9.6741377856191191E-2</v>
      </c>
      <c r="DL340" s="25">
        <f t="shared" si="544"/>
        <v>8.4324202182075758E-2</v>
      </c>
      <c r="DM340" s="24">
        <f t="shared" si="544"/>
        <v>0.29294247737929663</v>
      </c>
      <c r="DN340" s="25">
        <f t="shared" si="544"/>
        <v>0</v>
      </c>
      <c r="DO340" s="32">
        <f t="shared" si="544"/>
        <v>0</v>
      </c>
      <c r="DP340" s="26">
        <f t="shared" si="523"/>
        <v>7.7469155022085482E-3</v>
      </c>
      <c r="DQ340" s="25">
        <f t="shared" si="524"/>
        <v>7.7469155022085482E-3</v>
      </c>
      <c r="DR340" s="24">
        <f t="shared" si="525"/>
        <v>0</v>
      </c>
      <c r="DS340" s="25">
        <f t="shared" si="526"/>
        <v>0</v>
      </c>
      <c r="DT340" s="24">
        <f t="shared" si="527"/>
        <v>2.0265917680539589E-3</v>
      </c>
      <c r="DU340" s="25">
        <f t="shared" si="528"/>
        <v>2.0265917680539593E-3</v>
      </c>
      <c r="DV340" s="24">
        <f t="shared" si="529"/>
        <v>2.0265917680539589E-3</v>
      </c>
      <c r="DW340" s="25">
        <f t="shared" si="530"/>
        <v>0</v>
      </c>
      <c r="DX340" s="32">
        <f t="shared" si="531"/>
        <v>0</v>
      </c>
      <c r="DZ340" s="54" t="s">
        <v>1329</v>
      </c>
      <c r="EA340" s="39">
        <v>0</v>
      </c>
      <c r="EB340" s="40">
        <v>1.4924728787457854E-2</v>
      </c>
      <c r="EC340" s="39">
        <v>7.59566391992063E-3</v>
      </c>
      <c r="ED340" s="40">
        <v>8.0129896043870524E-3</v>
      </c>
      <c r="EE340" s="39">
        <v>7.7688430531589088E-3</v>
      </c>
      <c r="EF340" s="40">
        <v>7.7419047101174691E-3</v>
      </c>
      <c r="EG340" s="39">
        <v>7.8993028363346564E-3</v>
      </c>
      <c r="EH340" s="40">
        <v>7.825841203395828E-3</v>
      </c>
      <c r="EI340" s="66">
        <v>7.5311669394675157E-3</v>
      </c>
    </row>
    <row r="341" spans="1:139">
      <c r="A341" s="37" t="s">
        <v>1477</v>
      </c>
      <c r="B341" s="36" t="s">
        <v>1136</v>
      </c>
      <c r="C341" s="1" t="s">
        <v>665</v>
      </c>
      <c r="D341" s="36" t="s">
        <v>665</v>
      </c>
      <c r="E341" s="36" t="s">
        <v>1527</v>
      </c>
      <c r="F341" s="1" t="s">
        <v>1468</v>
      </c>
      <c r="G341" s="35" t="s">
        <v>1121</v>
      </c>
      <c r="H341" s="43">
        <v>1</v>
      </c>
      <c r="I341" s="42">
        <v>0</v>
      </c>
      <c r="J341" s="26">
        <v>6.4676742897335882E-2</v>
      </c>
      <c r="K341" s="25">
        <v>0.15091240009378373</v>
      </c>
      <c r="L341" s="24"/>
      <c r="M341" s="25"/>
      <c r="N341" s="24"/>
      <c r="O341" s="25"/>
      <c r="P341" s="24"/>
      <c r="Q341" s="25"/>
      <c r="R341" s="32"/>
      <c r="S341" s="47">
        <v>1</v>
      </c>
      <c r="T341" s="45">
        <v>1</v>
      </c>
      <c r="U341" s="46">
        <v>1</v>
      </c>
      <c r="V341" s="45">
        <v>1</v>
      </c>
      <c r="W341" s="46">
        <v>1</v>
      </c>
      <c r="X341" s="45">
        <v>1</v>
      </c>
      <c r="Y341" s="46">
        <v>1</v>
      </c>
      <c r="Z341" s="45">
        <v>1</v>
      </c>
      <c r="AA341" s="44">
        <v>1</v>
      </c>
      <c r="AB341" s="26">
        <f t="shared" si="535"/>
        <v>6.4676742897335882E-2</v>
      </c>
      <c r="AC341" s="25">
        <f t="shared" si="536"/>
        <v>0.15091240009378373</v>
      </c>
      <c r="AD341" s="24">
        <f t="shared" si="537"/>
        <v>0</v>
      </c>
      <c r="AE341" s="25">
        <f t="shared" si="538"/>
        <v>0</v>
      </c>
      <c r="AF341" s="24">
        <f t="shared" si="539"/>
        <v>0</v>
      </c>
      <c r="AG341" s="25">
        <f t="shared" si="540"/>
        <v>0</v>
      </c>
      <c r="AH341" s="24">
        <f t="shared" si="541"/>
        <v>0</v>
      </c>
      <c r="AI341" s="25">
        <f t="shared" si="542"/>
        <v>0</v>
      </c>
      <c r="AJ341" s="24">
        <f t="shared" si="543"/>
        <v>0</v>
      </c>
      <c r="AK341" s="27">
        <f t="shared" si="520"/>
        <v>0.21558914299111961</v>
      </c>
      <c r="AL341" s="41">
        <v>0</v>
      </c>
      <c r="AM341" s="40">
        <v>0</v>
      </c>
      <c r="AN341" s="39">
        <v>0</v>
      </c>
      <c r="AO341" s="40">
        <v>0</v>
      </c>
      <c r="AP341" s="39">
        <v>0</v>
      </c>
      <c r="AQ341" s="40">
        <v>0</v>
      </c>
      <c r="AR341" s="39">
        <v>0</v>
      </c>
      <c r="AS341" s="40">
        <v>0</v>
      </c>
      <c r="AT341" s="39">
        <v>0</v>
      </c>
      <c r="AU341" s="38">
        <v>0</v>
      </c>
      <c r="CS341" s="54" t="s">
        <v>1526</v>
      </c>
      <c r="CT341" s="39">
        <v>0</v>
      </c>
      <c r="CU341" s="40">
        <v>0</v>
      </c>
      <c r="CV341" s="39">
        <v>0</v>
      </c>
      <c r="CW341" s="40">
        <v>0</v>
      </c>
      <c r="CX341" s="39">
        <v>0</v>
      </c>
      <c r="CY341" s="40">
        <v>0</v>
      </c>
      <c r="CZ341" s="39">
        <v>0</v>
      </c>
      <c r="DA341" s="40">
        <v>0</v>
      </c>
      <c r="DB341" s="39">
        <v>0</v>
      </c>
      <c r="DC341" s="38">
        <v>0</v>
      </c>
      <c r="DE341" s="37" t="s">
        <v>1525</v>
      </c>
      <c r="DF341" s="35" t="str">
        <f t="shared" si="521"/>
        <v>IOTPH</v>
      </c>
      <c r="DG341" s="26">
        <f t="shared" si="544"/>
        <v>0.43003906833419203</v>
      </c>
      <c r="DH341" s="25">
        <f t="shared" si="544"/>
        <v>1.1837528723049493</v>
      </c>
      <c r="DI341" s="24">
        <f t="shared" si="544"/>
        <v>2.6458385051829101</v>
      </c>
      <c r="DJ341" s="25">
        <f t="shared" si="544"/>
        <v>1.7920893315747297</v>
      </c>
      <c r="DK341" s="24">
        <f t="shared" si="544"/>
        <v>1.0704279679841642</v>
      </c>
      <c r="DL341" s="25">
        <f t="shared" si="544"/>
        <v>0.93303389298241823</v>
      </c>
      <c r="DM341" s="24">
        <f t="shared" si="544"/>
        <v>3.2413619461106284</v>
      </c>
      <c r="DN341" s="25">
        <f t="shared" si="544"/>
        <v>0</v>
      </c>
      <c r="DO341" s="32">
        <f t="shared" si="544"/>
        <v>0</v>
      </c>
      <c r="DP341" s="26">
        <f t="shared" si="523"/>
        <v>1.9781166596177797E-2</v>
      </c>
      <c r="DQ341" s="25">
        <f t="shared" si="524"/>
        <v>1.9781166596177801E-2</v>
      </c>
      <c r="DR341" s="24">
        <f t="shared" si="525"/>
        <v>1.8781280073052745E-2</v>
      </c>
      <c r="DS341" s="25">
        <f t="shared" si="526"/>
        <v>1.8781280073052738E-2</v>
      </c>
      <c r="DT341" s="24">
        <f t="shared" si="527"/>
        <v>2.2423915766800327E-2</v>
      </c>
      <c r="DU341" s="25">
        <f t="shared" si="528"/>
        <v>2.2423915766800334E-2</v>
      </c>
      <c r="DV341" s="24">
        <f t="shared" si="529"/>
        <v>2.2423915766800331E-2</v>
      </c>
      <c r="DW341" s="25">
        <f t="shared" si="530"/>
        <v>0</v>
      </c>
      <c r="DX341" s="32">
        <f t="shared" si="531"/>
        <v>0</v>
      </c>
      <c r="DZ341" s="54" t="s">
        <v>1312</v>
      </c>
      <c r="EA341" s="39">
        <v>6.6725776974475667E-2</v>
      </c>
      <c r="EB341" s="40">
        <v>6.6725776974475667E-2</v>
      </c>
      <c r="EC341" s="39">
        <v>7.933755826113531E-2</v>
      </c>
      <c r="ED341" s="40">
        <v>7.9337558261135338E-2</v>
      </c>
      <c r="EE341" s="39">
        <v>5.8927446308358562E-2</v>
      </c>
      <c r="EF341" s="40">
        <v>5.8927446308358548E-2</v>
      </c>
      <c r="EG341" s="39">
        <v>5.8927446308358562E-2</v>
      </c>
      <c r="EH341" s="40">
        <v>8.7382540578577153E-2</v>
      </c>
      <c r="EI341" s="66">
        <v>8.7382540578577153E-2</v>
      </c>
    </row>
    <row r="342" spans="1:139">
      <c r="A342" s="37" t="s">
        <v>1477</v>
      </c>
      <c r="B342" s="36" t="s">
        <v>1129</v>
      </c>
      <c r="C342" s="1" t="s">
        <v>1126</v>
      </c>
      <c r="D342" s="36" t="s">
        <v>1126</v>
      </c>
      <c r="E342" s="36" t="s">
        <v>1524</v>
      </c>
      <c r="F342" s="1" t="s">
        <v>1454</v>
      </c>
      <c r="G342" s="35" t="s">
        <v>1121</v>
      </c>
      <c r="H342" s="43">
        <v>1</v>
      </c>
      <c r="I342" s="42">
        <v>0</v>
      </c>
      <c r="J342" s="26">
        <v>0.15474862348470914</v>
      </c>
      <c r="K342" s="25">
        <v>0.66660945501105484</v>
      </c>
      <c r="L342" s="24"/>
      <c r="M342" s="25"/>
      <c r="N342" s="24"/>
      <c r="O342" s="25"/>
      <c r="P342" s="24"/>
      <c r="Q342" s="25"/>
      <c r="R342" s="32"/>
      <c r="S342" s="47">
        <v>1</v>
      </c>
      <c r="T342" s="45">
        <v>1</v>
      </c>
      <c r="U342" s="46">
        <v>1</v>
      </c>
      <c r="V342" s="45">
        <v>1</v>
      </c>
      <c r="W342" s="46">
        <v>1</v>
      </c>
      <c r="X342" s="45">
        <v>1</v>
      </c>
      <c r="Y342" s="46">
        <v>1</v>
      </c>
      <c r="Z342" s="45">
        <v>1</v>
      </c>
      <c r="AA342" s="44">
        <v>1</v>
      </c>
      <c r="AB342" s="26">
        <f t="shared" si="535"/>
        <v>0.15474862348470914</v>
      </c>
      <c r="AC342" s="25">
        <f t="shared" si="536"/>
        <v>0.66660945501105484</v>
      </c>
      <c r="AD342" s="24">
        <f t="shared" si="537"/>
        <v>0</v>
      </c>
      <c r="AE342" s="25">
        <f t="shared" si="538"/>
        <v>0</v>
      </c>
      <c r="AF342" s="24">
        <f t="shared" si="539"/>
        <v>0</v>
      </c>
      <c r="AG342" s="25">
        <f t="shared" si="540"/>
        <v>0</v>
      </c>
      <c r="AH342" s="24">
        <f t="shared" si="541"/>
        <v>0</v>
      </c>
      <c r="AI342" s="25">
        <f t="shared" si="542"/>
        <v>0</v>
      </c>
      <c r="AJ342" s="24">
        <f t="shared" si="543"/>
        <v>0</v>
      </c>
      <c r="AK342" s="27">
        <f t="shared" si="520"/>
        <v>0.82135807849576392</v>
      </c>
      <c r="AL342" s="41">
        <v>0</v>
      </c>
      <c r="AM342" s="40">
        <v>0</v>
      </c>
      <c r="AN342" s="39">
        <v>0</v>
      </c>
      <c r="AO342" s="40">
        <v>0</v>
      </c>
      <c r="AP342" s="39">
        <v>0</v>
      </c>
      <c r="AQ342" s="40">
        <v>0</v>
      </c>
      <c r="AR342" s="39">
        <v>0</v>
      </c>
      <c r="AS342" s="40">
        <v>0</v>
      </c>
      <c r="AT342" s="39">
        <v>0</v>
      </c>
      <c r="AU342" s="38">
        <v>0</v>
      </c>
      <c r="CS342" s="54" t="s">
        <v>1523</v>
      </c>
      <c r="CT342" s="39">
        <v>0</v>
      </c>
      <c r="CU342" s="40">
        <v>2.3312024457930116</v>
      </c>
      <c r="CV342" s="39">
        <v>5.8370650389501568</v>
      </c>
      <c r="CW342" s="40">
        <v>0</v>
      </c>
      <c r="CX342" s="39">
        <v>0.50000557126521816</v>
      </c>
      <c r="CY342" s="40">
        <v>0.76471440311151018</v>
      </c>
      <c r="CZ342" s="39">
        <v>0</v>
      </c>
      <c r="DA342" s="40">
        <v>0.21764948396250672</v>
      </c>
      <c r="DB342" s="39">
        <v>0.22235541875088524</v>
      </c>
      <c r="DC342" s="38">
        <v>9.8729923618332887</v>
      </c>
      <c r="DE342" s="37" t="s">
        <v>1522</v>
      </c>
      <c r="DF342" s="35" t="str">
        <f t="shared" si="521"/>
        <v>ICTPH</v>
      </c>
      <c r="DG342" s="26">
        <f t="shared" si="544"/>
        <v>2.0293079144161192E-2</v>
      </c>
      <c r="DH342" s="25">
        <f t="shared" si="544"/>
        <v>5.5860019457917021E-2</v>
      </c>
      <c r="DI342" s="24">
        <f t="shared" si="544"/>
        <v>4.5401549547857807E-2</v>
      </c>
      <c r="DJ342" s="25">
        <f t="shared" si="544"/>
        <v>3.0751549054220416E-2</v>
      </c>
      <c r="DK342" s="24">
        <f t="shared" si="544"/>
        <v>3.1084516693325126E-2</v>
      </c>
      <c r="DL342" s="25">
        <f t="shared" si="544"/>
        <v>2.7094684078993694E-2</v>
      </c>
      <c r="DM342" s="24">
        <f t="shared" si="544"/>
        <v>9.412699643183764E-2</v>
      </c>
      <c r="DN342" s="25">
        <f t="shared" si="544"/>
        <v>4.6804527838102579E-2</v>
      </c>
      <c r="DO342" s="32">
        <f t="shared" si="544"/>
        <v>2.9348570763975651E-2</v>
      </c>
      <c r="DP342" s="26">
        <f t="shared" si="523"/>
        <v>3.3490383350895554E-3</v>
      </c>
      <c r="DQ342" s="25">
        <f t="shared" si="524"/>
        <v>3.3490383350895559E-3</v>
      </c>
      <c r="DR342" s="24">
        <f t="shared" si="525"/>
        <v>2.8784566030521739E-3</v>
      </c>
      <c r="DS342" s="25">
        <f t="shared" si="526"/>
        <v>2.8784566030521735E-3</v>
      </c>
      <c r="DT342" s="24">
        <f t="shared" si="527"/>
        <v>2.5074577382736017E-2</v>
      </c>
      <c r="DU342" s="25">
        <f t="shared" si="528"/>
        <v>2.5074577382736014E-2</v>
      </c>
      <c r="DV342" s="24">
        <f t="shared" si="529"/>
        <v>2.5074577382736014E-2</v>
      </c>
      <c r="DW342" s="25">
        <f t="shared" si="530"/>
        <v>1.6852382131241562E-2</v>
      </c>
      <c r="DX342" s="32">
        <f t="shared" si="531"/>
        <v>1.6852382131241562E-2</v>
      </c>
      <c r="DZ342" s="54" t="s">
        <v>1310</v>
      </c>
      <c r="EA342" s="39">
        <v>0.83625550812097504</v>
      </c>
      <c r="EB342" s="40">
        <v>0.83625550812097504</v>
      </c>
      <c r="EC342" s="39">
        <v>0.92066244173886458</v>
      </c>
      <c r="ED342" s="40">
        <v>0.92066244173886458</v>
      </c>
      <c r="EE342" s="39">
        <v>0.81125435956004344</v>
      </c>
      <c r="EF342" s="40">
        <v>0.81125435956004333</v>
      </c>
      <c r="EG342" s="39">
        <v>0.81125435956004333</v>
      </c>
      <c r="EH342" s="40">
        <v>0.91261745942142292</v>
      </c>
      <c r="EI342" s="66">
        <v>0.91261745942142292</v>
      </c>
    </row>
    <row r="343" spans="1:139">
      <c r="A343" s="37" t="s">
        <v>1477</v>
      </c>
      <c r="B343" s="36" t="s">
        <v>1129</v>
      </c>
      <c r="C343" s="1" t="s">
        <v>665</v>
      </c>
      <c r="D343" s="36" t="s">
        <v>665</v>
      </c>
      <c r="E343" s="36" t="s">
        <v>1521</v>
      </c>
      <c r="F343" s="1" t="s">
        <v>1449</v>
      </c>
      <c r="G343" s="35" t="s">
        <v>1121</v>
      </c>
      <c r="H343" s="43">
        <v>1</v>
      </c>
      <c r="I343" s="42">
        <v>0</v>
      </c>
      <c r="J343" s="26">
        <v>0.12935348579467176</v>
      </c>
      <c r="K343" s="25">
        <v>0.30182480018756747</v>
      </c>
      <c r="L343" s="24"/>
      <c r="M343" s="25"/>
      <c r="N343" s="24"/>
      <c r="O343" s="25"/>
      <c r="P343" s="24"/>
      <c r="Q343" s="25"/>
      <c r="R343" s="32"/>
      <c r="S343" s="47">
        <v>1</v>
      </c>
      <c r="T343" s="45">
        <v>1</v>
      </c>
      <c r="U343" s="46">
        <v>1</v>
      </c>
      <c r="V343" s="45">
        <v>1</v>
      </c>
      <c r="W343" s="46">
        <v>1</v>
      </c>
      <c r="X343" s="45">
        <v>1</v>
      </c>
      <c r="Y343" s="46">
        <v>1</v>
      </c>
      <c r="Z343" s="45">
        <v>1</v>
      </c>
      <c r="AA343" s="44">
        <v>1</v>
      </c>
      <c r="AB343" s="26">
        <f t="shared" si="535"/>
        <v>0.12935348579467176</v>
      </c>
      <c r="AC343" s="25">
        <f t="shared" si="536"/>
        <v>0.30182480018756747</v>
      </c>
      <c r="AD343" s="24">
        <f t="shared" si="537"/>
        <v>0</v>
      </c>
      <c r="AE343" s="25">
        <f t="shared" si="538"/>
        <v>0</v>
      </c>
      <c r="AF343" s="24">
        <f t="shared" si="539"/>
        <v>0</v>
      </c>
      <c r="AG343" s="25">
        <f t="shared" si="540"/>
        <v>0</v>
      </c>
      <c r="AH343" s="24">
        <f t="shared" si="541"/>
        <v>0</v>
      </c>
      <c r="AI343" s="25">
        <f t="shared" si="542"/>
        <v>0</v>
      </c>
      <c r="AJ343" s="24">
        <f t="shared" si="543"/>
        <v>0</v>
      </c>
      <c r="AK343" s="27">
        <f t="shared" si="520"/>
        <v>0.43117828598223923</v>
      </c>
      <c r="AL343" s="41">
        <v>0</v>
      </c>
      <c r="AM343" s="40">
        <v>0</v>
      </c>
      <c r="AN343" s="39">
        <v>0</v>
      </c>
      <c r="AO343" s="40">
        <v>0</v>
      </c>
      <c r="AP343" s="39">
        <v>0</v>
      </c>
      <c r="AQ343" s="40">
        <v>0</v>
      </c>
      <c r="AR343" s="39">
        <v>0</v>
      </c>
      <c r="AS343" s="40">
        <v>0</v>
      </c>
      <c r="AT343" s="39">
        <v>0</v>
      </c>
      <c r="AU343" s="38">
        <v>0</v>
      </c>
      <c r="CS343" s="54" t="s">
        <v>1520</v>
      </c>
      <c r="CT343" s="39">
        <v>5.8014724722938614E-3</v>
      </c>
      <c r="CU343" s="40">
        <v>2.6548758415557597E-2</v>
      </c>
      <c r="CV343" s="39">
        <v>2.6666779347924692</v>
      </c>
      <c r="CW343" s="40">
        <v>0</v>
      </c>
      <c r="CX343" s="39">
        <v>4.1130854727981669E-2</v>
      </c>
      <c r="CY343" s="40">
        <v>0</v>
      </c>
      <c r="CZ343" s="39">
        <v>0</v>
      </c>
      <c r="DA343" s="40">
        <v>0</v>
      </c>
      <c r="DB343" s="39">
        <v>2.5511734695160007</v>
      </c>
      <c r="DC343" s="38">
        <v>5.2913324899243035</v>
      </c>
      <c r="DE343" s="37" t="s">
        <v>1519</v>
      </c>
      <c r="DF343" s="35" t="str">
        <f t="shared" si="521"/>
        <v>ICTPH</v>
      </c>
      <c r="DG343" s="26">
        <f t="shared" si="544"/>
        <v>1.0924834721244641</v>
      </c>
      <c r="DH343" s="25">
        <f t="shared" si="544"/>
        <v>3.0072394424127591</v>
      </c>
      <c r="DI343" s="24">
        <f t="shared" si="544"/>
        <v>3.9378855935944626</v>
      </c>
      <c r="DJ343" s="25">
        <f t="shared" si="544"/>
        <v>2.6672235464932874</v>
      </c>
      <c r="DK343" s="24">
        <f t="shared" si="544"/>
        <v>1.2085980597606647</v>
      </c>
      <c r="DL343" s="25">
        <f t="shared" si="544"/>
        <v>1.0534692538659201</v>
      </c>
      <c r="DM343" s="24">
        <f t="shared" si="544"/>
        <v>3.6597546740382936</v>
      </c>
      <c r="DN343" s="25">
        <f t="shared" si="544"/>
        <v>0.83991152386598555</v>
      </c>
      <c r="DO343" s="32">
        <f t="shared" si="544"/>
        <v>0.52666278097975572</v>
      </c>
      <c r="DP343" s="26">
        <f t="shared" si="523"/>
        <v>0.18029639576157117</v>
      </c>
      <c r="DQ343" s="25">
        <f t="shared" si="524"/>
        <v>0.18029639576157114</v>
      </c>
      <c r="DR343" s="24">
        <f t="shared" si="525"/>
        <v>0.24966180453814121</v>
      </c>
      <c r="DS343" s="25">
        <f t="shared" si="526"/>
        <v>0.24966180453814124</v>
      </c>
      <c r="DT343" s="24">
        <f t="shared" si="527"/>
        <v>0.974925422617264</v>
      </c>
      <c r="DU343" s="25">
        <f t="shared" si="528"/>
        <v>0.974925422617264</v>
      </c>
      <c r="DV343" s="24">
        <f t="shared" si="529"/>
        <v>0.974925422617264</v>
      </c>
      <c r="DW343" s="25">
        <f t="shared" si="530"/>
        <v>0.30241753544835714</v>
      </c>
      <c r="DX343" s="32">
        <f t="shared" si="531"/>
        <v>0.30241753544835709</v>
      </c>
      <c r="DZ343" s="54" t="s">
        <v>1308</v>
      </c>
      <c r="EA343" s="39">
        <v>9.7018714904549205E-2</v>
      </c>
      <c r="EB343" s="40">
        <v>9.7018714904549219E-2</v>
      </c>
      <c r="EC343" s="39">
        <v>0</v>
      </c>
      <c r="ED343" s="40">
        <v>0</v>
      </c>
      <c r="EE343" s="39">
        <v>0.12981819413159809</v>
      </c>
      <c r="EF343" s="40">
        <v>0.12981819413159804</v>
      </c>
      <c r="EG343" s="39">
        <v>0.12981819413159804</v>
      </c>
      <c r="EH343" s="40">
        <v>0</v>
      </c>
      <c r="EI343" s="66">
        <v>0</v>
      </c>
    </row>
    <row r="344" spans="1:139">
      <c r="A344" s="37" t="s">
        <v>1477</v>
      </c>
      <c r="B344" s="36" t="s">
        <v>1129</v>
      </c>
      <c r="C344" s="1" t="s">
        <v>1197</v>
      </c>
      <c r="D344" s="36" t="s">
        <v>1197</v>
      </c>
      <c r="E344" s="36" t="s">
        <v>1518</v>
      </c>
      <c r="F344" s="1" t="s">
        <v>1444</v>
      </c>
      <c r="G344" s="35" t="s">
        <v>1121</v>
      </c>
      <c r="H344" s="43">
        <v>1</v>
      </c>
      <c r="I344" s="42">
        <v>0</v>
      </c>
      <c r="J344" s="26">
        <v>1.0543207806815536E-3</v>
      </c>
      <c r="K344" s="25">
        <v>4.5921527336352116E-2</v>
      </c>
      <c r="L344" s="24"/>
      <c r="M344" s="25"/>
      <c r="N344" s="24"/>
      <c r="O344" s="25"/>
      <c r="P344" s="24"/>
      <c r="Q344" s="25"/>
      <c r="R344" s="32"/>
      <c r="S344" s="47">
        <v>1</v>
      </c>
      <c r="T344" s="45">
        <v>1</v>
      </c>
      <c r="U344" s="46">
        <v>1</v>
      </c>
      <c r="V344" s="45">
        <v>1</v>
      </c>
      <c r="W344" s="46">
        <v>1</v>
      </c>
      <c r="X344" s="45">
        <v>1</v>
      </c>
      <c r="Y344" s="46">
        <v>1</v>
      </c>
      <c r="Z344" s="45">
        <v>1</v>
      </c>
      <c r="AA344" s="44">
        <v>1</v>
      </c>
      <c r="AB344" s="26">
        <f t="shared" si="535"/>
        <v>1.0543207806815536E-3</v>
      </c>
      <c r="AC344" s="25">
        <f t="shared" si="536"/>
        <v>4.5921527336352116E-2</v>
      </c>
      <c r="AD344" s="24">
        <f t="shared" si="537"/>
        <v>0</v>
      </c>
      <c r="AE344" s="25">
        <f t="shared" si="538"/>
        <v>0</v>
      </c>
      <c r="AF344" s="24">
        <f t="shared" si="539"/>
        <v>0</v>
      </c>
      <c r="AG344" s="25">
        <f t="shared" si="540"/>
        <v>0</v>
      </c>
      <c r="AH344" s="24">
        <f t="shared" si="541"/>
        <v>0</v>
      </c>
      <c r="AI344" s="25">
        <f t="shared" si="542"/>
        <v>0</v>
      </c>
      <c r="AJ344" s="24">
        <f t="shared" si="543"/>
        <v>0</v>
      </c>
      <c r="AK344" s="27">
        <f t="shared" si="520"/>
        <v>4.6975848117033668E-2</v>
      </c>
      <c r="AL344" s="41">
        <v>0</v>
      </c>
      <c r="AM344" s="40">
        <v>0</v>
      </c>
      <c r="AN344" s="39">
        <v>0</v>
      </c>
      <c r="AO344" s="40">
        <v>0</v>
      </c>
      <c r="AP344" s="39">
        <v>0</v>
      </c>
      <c r="AQ344" s="40">
        <v>0</v>
      </c>
      <c r="AR344" s="39">
        <v>0</v>
      </c>
      <c r="AS344" s="40">
        <v>0</v>
      </c>
      <c r="AT344" s="39">
        <v>0</v>
      </c>
      <c r="AU344" s="38">
        <v>0</v>
      </c>
      <c r="CS344" s="54" t="s">
        <v>1517</v>
      </c>
      <c r="CT344" s="39">
        <v>0</v>
      </c>
      <c r="CU344" s="40">
        <v>0</v>
      </c>
      <c r="CV344" s="39">
        <v>-7.111500999108398E-16</v>
      </c>
      <c r="CW344" s="40">
        <v>0</v>
      </c>
      <c r="CX344" s="39">
        <v>-4.4113348367226244E-16</v>
      </c>
      <c r="CY344" s="40">
        <v>0</v>
      </c>
      <c r="CZ344" s="39">
        <v>0</v>
      </c>
      <c r="DA344" s="40">
        <v>0</v>
      </c>
      <c r="DB344" s="39">
        <v>0</v>
      </c>
      <c r="DC344" s="38">
        <v>-1.1522835835831023E-15</v>
      </c>
      <c r="DE344" s="37" t="s">
        <v>1516</v>
      </c>
      <c r="DF344" s="35" t="str">
        <f t="shared" si="521"/>
        <v>ICTPH</v>
      </c>
      <c r="DG344" s="26">
        <f t="shared" si="544"/>
        <v>4.9182754096559949</v>
      </c>
      <c r="DH344" s="25">
        <f t="shared" si="544"/>
        <v>13.538357492772432</v>
      </c>
      <c r="DI344" s="24">
        <f t="shared" si="544"/>
        <v>11.789592496493809</v>
      </c>
      <c r="DJ344" s="25">
        <f t="shared" si="544"/>
        <v>7.98537132753665</v>
      </c>
      <c r="DK344" s="24">
        <f t="shared" si="544"/>
        <v>0</v>
      </c>
      <c r="DL344" s="25">
        <f t="shared" si="544"/>
        <v>0</v>
      </c>
      <c r="DM344" s="24">
        <f t="shared" si="544"/>
        <v>0</v>
      </c>
      <c r="DN344" s="25">
        <f t="shared" si="544"/>
        <v>1.8906080959209908</v>
      </c>
      <c r="DO344" s="32">
        <f t="shared" si="544"/>
        <v>1.1854973878170811</v>
      </c>
      <c r="DP344" s="26">
        <f t="shared" si="523"/>
        <v>0.81168031585810185</v>
      </c>
      <c r="DQ344" s="25">
        <f t="shared" si="524"/>
        <v>0.81168031585810174</v>
      </c>
      <c r="DR344" s="24">
        <f t="shared" si="525"/>
        <v>0.74745973885880668</v>
      </c>
      <c r="DS344" s="25">
        <f t="shared" si="526"/>
        <v>0.74745973885880657</v>
      </c>
      <c r="DT344" s="24">
        <f t="shared" si="527"/>
        <v>0</v>
      </c>
      <c r="DU344" s="25">
        <f t="shared" si="528"/>
        <v>0</v>
      </c>
      <c r="DV344" s="24">
        <f t="shared" si="529"/>
        <v>0</v>
      </c>
      <c r="DW344" s="25">
        <f t="shared" si="530"/>
        <v>0.68073008242040134</v>
      </c>
      <c r="DX344" s="32">
        <f t="shared" si="531"/>
        <v>0.68073008242040123</v>
      </c>
      <c r="DZ344" s="54" t="s">
        <v>1280</v>
      </c>
      <c r="EA344" s="39">
        <v>0.86580317311953237</v>
      </c>
      <c r="EB344" s="40">
        <v>0.96367958858446068</v>
      </c>
      <c r="EC344" s="39">
        <v>0.81697879434169107</v>
      </c>
      <c r="ED344" s="40">
        <v>0.97739071928783605</v>
      </c>
      <c r="EE344" s="39">
        <v>0.91343297847944971</v>
      </c>
      <c r="EF344" s="40">
        <v>0.95010894958043479</v>
      </c>
      <c r="EG344" s="39">
        <v>0.87921858785336238</v>
      </c>
      <c r="EH344" s="40">
        <v>0</v>
      </c>
      <c r="EI344" s="66">
        <v>0.53943414831018976</v>
      </c>
    </row>
    <row r="345" spans="1:139">
      <c r="A345" s="37" t="s">
        <v>1477</v>
      </c>
      <c r="B345" s="36" t="s">
        <v>1129</v>
      </c>
      <c r="C345" s="1" t="s">
        <v>468</v>
      </c>
      <c r="D345" s="36" t="s">
        <v>468</v>
      </c>
      <c r="E345" s="36" t="s">
        <v>1515</v>
      </c>
      <c r="F345" s="1" t="s">
        <v>1439</v>
      </c>
      <c r="G345" s="35" t="s">
        <v>1121</v>
      </c>
      <c r="H345" s="43">
        <v>1</v>
      </c>
      <c r="I345" s="42">
        <v>0</v>
      </c>
      <c r="J345" s="26">
        <v>1.0543207806815538E-3</v>
      </c>
      <c r="K345" s="25">
        <v>4.5921527336352123E-2</v>
      </c>
      <c r="L345" s="24"/>
      <c r="M345" s="25"/>
      <c r="N345" s="24"/>
      <c r="O345" s="25"/>
      <c r="P345" s="24"/>
      <c r="Q345" s="25"/>
      <c r="R345" s="32"/>
      <c r="S345" s="47">
        <v>1</v>
      </c>
      <c r="T345" s="45">
        <v>1</v>
      </c>
      <c r="U345" s="46">
        <v>1</v>
      </c>
      <c r="V345" s="45">
        <v>1</v>
      </c>
      <c r="W345" s="46">
        <v>1</v>
      </c>
      <c r="X345" s="45">
        <v>1</v>
      </c>
      <c r="Y345" s="46">
        <v>1</v>
      </c>
      <c r="Z345" s="45">
        <v>1</v>
      </c>
      <c r="AA345" s="44">
        <v>1</v>
      </c>
      <c r="AB345" s="26">
        <f t="shared" si="535"/>
        <v>1.0543207806815538E-3</v>
      </c>
      <c r="AC345" s="25">
        <f t="shared" si="536"/>
        <v>4.5921527336352123E-2</v>
      </c>
      <c r="AD345" s="24">
        <f t="shared" si="537"/>
        <v>0</v>
      </c>
      <c r="AE345" s="25">
        <f t="shared" si="538"/>
        <v>0</v>
      </c>
      <c r="AF345" s="24">
        <f t="shared" si="539"/>
        <v>0</v>
      </c>
      <c r="AG345" s="25">
        <f t="shared" si="540"/>
        <v>0</v>
      </c>
      <c r="AH345" s="24">
        <f t="shared" si="541"/>
        <v>0</v>
      </c>
      <c r="AI345" s="25">
        <f t="shared" si="542"/>
        <v>0</v>
      </c>
      <c r="AJ345" s="24">
        <f t="shared" si="543"/>
        <v>0</v>
      </c>
      <c r="AK345" s="27">
        <f t="shared" si="520"/>
        <v>4.6975848117033675E-2</v>
      </c>
      <c r="AL345" s="41">
        <v>0</v>
      </c>
      <c r="AM345" s="40">
        <v>0</v>
      </c>
      <c r="AN345" s="39">
        <v>0</v>
      </c>
      <c r="AO345" s="40">
        <v>0</v>
      </c>
      <c r="AP345" s="39">
        <v>0</v>
      </c>
      <c r="AQ345" s="40">
        <v>0</v>
      </c>
      <c r="AR345" s="39">
        <v>0</v>
      </c>
      <c r="AS345" s="40">
        <v>0</v>
      </c>
      <c r="AT345" s="39">
        <v>0</v>
      </c>
      <c r="AU345" s="38">
        <v>0</v>
      </c>
      <c r="CS345" s="54" t="s">
        <v>1514</v>
      </c>
      <c r="CT345" s="39">
        <v>0</v>
      </c>
      <c r="CU345" s="40">
        <v>0</v>
      </c>
      <c r="CV345" s="39">
        <v>3.6928411495384947E-16</v>
      </c>
      <c r="CW345" s="40">
        <v>0</v>
      </c>
      <c r="CX345" s="39">
        <v>0</v>
      </c>
      <c r="CY345" s="40">
        <v>0</v>
      </c>
      <c r="CZ345" s="39">
        <v>0</v>
      </c>
      <c r="DA345" s="40">
        <v>0</v>
      </c>
      <c r="DB345" s="39">
        <v>0</v>
      </c>
      <c r="DC345" s="38">
        <v>3.6928411495384947E-16</v>
      </c>
      <c r="DE345" s="37" t="s">
        <v>1513</v>
      </c>
      <c r="DF345" s="35" t="str">
        <f t="shared" si="521"/>
        <v>ICTPH</v>
      </c>
      <c r="DG345" s="26">
        <f t="shared" si="544"/>
        <v>2.8323033843405607E-2</v>
      </c>
      <c r="DH345" s="25">
        <f t="shared" si="544"/>
        <v>7.7963783138109657E-2</v>
      </c>
      <c r="DI345" s="24">
        <f t="shared" si="544"/>
        <v>0</v>
      </c>
      <c r="DJ345" s="25">
        <f t="shared" si="544"/>
        <v>0</v>
      </c>
      <c r="DK345" s="24">
        <f t="shared" si="544"/>
        <v>0</v>
      </c>
      <c r="DL345" s="25">
        <f t="shared" si="544"/>
        <v>0</v>
      </c>
      <c r="DM345" s="24">
        <f t="shared" si="544"/>
        <v>0</v>
      </c>
      <c r="DN345" s="25">
        <f t="shared" si="544"/>
        <v>0</v>
      </c>
      <c r="DO345" s="32">
        <f t="shared" si="544"/>
        <v>0</v>
      </c>
      <c r="DP345" s="26">
        <f t="shared" si="523"/>
        <v>4.6742500452375312E-3</v>
      </c>
      <c r="DQ345" s="25">
        <f t="shared" si="524"/>
        <v>4.6742500452375303E-3</v>
      </c>
      <c r="DR345" s="24">
        <f t="shared" si="525"/>
        <v>0</v>
      </c>
      <c r="DS345" s="25">
        <f t="shared" si="526"/>
        <v>0</v>
      </c>
      <c r="DT345" s="24">
        <f t="shared" si="527"/>
        <v>0</v>
      </c>
      <c r="DU345" s="25">
        <f t="shared" si="528"/>
        <v>0</v>
      </c>
      <c r="DV345" s="24">
        <f t="shared" si="529"/>
        <v>0</v>
      </c>
      <c r="DW345" s="25">
        <f t="shared" si="530"/>
        <v>0</v>
      </c>
      <c r="DX345" s="32">
        <f t="shared" si="531"/>
        <v>0</v>
      </c>
      <c r="DZ345" s="54" t="s">
        <v>1286</v>
      </c>
      <c r="EA345" s="39">
        <v>0</v>
      </c>
      <c r="EB345" s="40">
        <v>0</v>
      </c>
      <c r="EC345" s="39">
        <v>1.1029390965419987E-2</v>
      </c>
      <c r="ED345" s="40">
        <v>0</v>
      </c>
      <c r="EE345" s="39">
        <v>1.7440458456431007E-2</v>
      </c>
      <c r="EF345" s="40">
        <v>0</v>
      </c>
      <c r="EG345" s="39">
        <v>0</v>
      </c>
      <c r="EH345" s="40">
        <v>0</v>
      </c>
      <c r="EI345" s="66">
        <v>0</v>
      </c>
    </row>
    <row r="346" spans="1:139">
      <c r="A346" s="37" t="s">
        <v>1477</v>
      </c>
      <c r="B346" s="36" t="s">
        <v>1129</v>
      </c>
      <c r="C346" s="1" t="s">
        <v>1132</v>
      </c>
      <c r="D346" s="36" t="s">
        <v>1131</v>
      </c>
      <c r="E346" s="36" t="s">
        <v>1512</v>
      </c>
      <c r="F346" s="1" t="s">
        <v>1463</v>
      </c>
      <c r="G346" s="35" t="s">
        <v>1121</v>
      </c>
      <c r="H346" s="43">
        <v>1</v>
      </c>
      <c r="I346" s="42">
        <v>0</v>
      </c>
      <c r="J346" s="26">
        <v>0</v>
      </c>
      <c r="K346" s="25">
        <v>4.1766030774732057</v>
      </c>
      <c r="L346" s="24"/>
      <c r="M346" s="25"/>
      <c r="N346" s="24"/>
      <c r="O346" s="25"/>
      <c r="P346" s="24"/>
      <c r="Q346" s="25"/>
      <c r="R346" s="32"/>
      <c r="S346" s="47">
        <v>1</v>
      </c>
      <c r="T346" s="45">
        <v>1</v>
      </c>
      <c r="U346" s="46">
        <v>1</v>
      </c>
      <c r="V346" s="45">
        <v>1</v>
      </c>
      <c r="W346" s="46">
        <v>1</v>
      </c>
      <c r="X346" s="45">
        <v>1</v>
      </c>
      <c r="Y346" s="46">
        <v>1</v>
      </c>
      <c r="Z346" s="45">
        <v>1</v>
      </c>
      <c r="AA346" s="44">
        <v>1</v>
      </c>
      <c r="AB346" s="26">
        <f t="shared" si="535"/>
        <v>0</v>
      </c>
      <c r="AC346" s="25">
        <f t="shared" si="536"/>
        <v>4.1766030774732057</v>
      </c>
      <c r="AD346" s="24">
        <f t="shared" si="537"/>
        <v>0</v>
      </c>
      <c r="AE346" s="25">
        <f t="shared" si="538"/>
        <v>0</v>
      </c>
      <c r="AF346" s="24">
        <f t="shared" si="539"/>
        <v>0</v>
      </c>
      <c r="AG346" s="25">
        <f t="shared" si="540"/>
        <v>0</v>
      </c>
      <c r="AH346" s="24">
        <f t="shared" si="541"/>
        <v>0</v>
      </c>
      <c r="AI346" s="25">
        <f t="shared" si="542"/>
        <v>0</v>
      </c>
      <c r="AJ346" s="24">
        <f t="shared" si="543"/>
        <v>0</v>
      </c>
      <c r="AK346" s="27">
        <f t="shared" si="520"/>
        <v>4.1766030774732057</v>
      </c>
      <c r="AL346" s="41">
        <v>0</v>
      </c>
      <c r="AM346" s="40">
        <v>0</v>
      </c>
      <c r="AN346" s="39">
        <v>0</v>
      </c>
      <c r="AO346" s="40">
        <v>0</v>
      </c>
      <c r="AP346" s="39">
        <v>0</v>
      </c>
      <c r="AQ346" s="40">
        <v>0</v>
      </c>
      <c r="AR346" s="39">
        <v>0</v>
      </c>
      <c r="AS346" s="40">
        <v>0</v>
      </c>
      <c r="AT346" s="39">
        <v>0</v>
      </c>
      <c r="AU346" s="38">
        <v>0</v>
      </c>
      <c r="CS346" s="54" t="s">
        <v>1198</v>
      </c>
      <c r="CT346" s="39">
        <v>0.46999567092311051</v>
      </c>
      <c r="CU346" s="40">
        <v>0.41470206257921516</v>
      </c>
      <c r="CV346" s="39">
        <v>0.7425141691894519</v>
      </c>
      <c r="CW346" s="40">
        <v>0.14218356431287374</v>
      </c>
      <c r="CX346" s="39">
        <v>1.7693954670046512</v>
      </c>
      <c r="CY346" s="40">
        <v>1.0273909163252815</v>
      </c>
      <c r="CZ346" s="39">
        <v>0.74200455067936988</v>
      </c>
      <c r="DA346" s="40">
        <v>0.10110831240026578</v>
      </c>
      <c r="DB346" s="39">
        <v>0.78358942110205987</v>
      </c>
      <c r="DC346" s="38">
        <v>6.1928841345162793</v>
      </c>
      <c r="DE346" s="37" t="s">
        <v>1511</v>
      </c>
      <c r="DF346" s="35" t="str">
        <f t="shared" si="521"/>
        <v>IMOPH</v>
      </c>
      <c r="DG346" s="26">
        <f t="shared" si="544"/>
        <v>2.0952542688800033</v>
      </c>
      <c r="DH346" s="25">
        <f t="shared" si="544"/>
        <v>5.7675300725664469</v>
      </c>
      <c r="DI346" s="24">
        <f t="shared" si="544"/>
        <v>15.737265899240867</v>
      </c>
      <c r="DJ346" s="25">
        <f t="shared" si="544"/>
        <v>10.659224389900803</v>
      </c>
      <c r="DK346" s="24">
        <f t="shared" si="544"/>
        <v>4.0118336549052405</v>
      </c>
      <c r="DL346" s="25">
        <f t="shared" si="544"/>
        <v>3.4968973952383653</v>
      </c>
      <c r="DM346" s="24">
        <f t="shared" si="544"/>
        <v>12.148229803472532</v>
      </c>
      <c r="DN346" s="25">
        <f t="shared" si="544"/>
        <v>5.1777356875692213</v>
      </c>
      <c r="DO346" s="32">
        <f t="shared" si="544"/>
        <v>3.2466761068376955</v>
      </c>
      <c r="DP346" s="26">
        <f t="shared" si="523"/>
        <v>0.30726360058145297</v>
      </c>
      <c r="DQ346" s="25">
        <f t="shared" si="524"/>
        <v>0.30726360058145297</v>
      </c>
      <c r="DR346" s="24">
        <f t="shared" si="525"/>
        <v>0.39325590261246485</v>
      </c>
      <c r="DS346" s="25">
        <f t="shared" si="526"/>
        <v>0.39325590261246479</v>
      </c>
      <c r="DT346" s="24">
        <f t="shared" si="527"/>
        <v>0.43349544085826425</v>
      </c>
      <c r="DU346" s="25">
        <f t="shared" si="528"/>
        <v>0.4334954408582643</v>
      </c>
      <c r="DV346" s="24">
        <f t="shared" si="529"/>
        <v>0.43349544085826436</v>
      </c>
      <c r="DW346" s="25">
        <f t="shared" si="530"/>
        <v>0.30210672351963019</v>
      </c>
      <c r="DX346" s="32">
        <f t="shared" si="531"/>
        <v>0.30210672351963019</v>
      </c>
      <c r="DZ346" s="54" t="s">
        <v>1306</v>
      </c>
      <c r="EA346" s="39">
        <v>0</v>
      </c>
      <c r="EB346" s="40">
        <v>0</v>
      </c>
      <c r="EC346" s="39">
        <v>0</v>
      </c>
      <c r="ED346" s="40">
        <v>0</v>
      </c>
      <c r="EE346" s="39">
        <v>0</v>
      </c>
      <c r="EF346" s="40">
        <v>0</v>
      </c>
      <c r="EG346" s="39">
        <v>0</v>
      </c>
      <c r="EH346" s="40">
        <v>0</v>
      </c>
      <c r="EI346" s="66">
        <v>0</v>
      </c>
    </row>
    <row r="347" spans="1:139">
      <c r="A347" s="37" t="s">
        <v>1477</v>
      </c>
      <c r="B347" s="36" t="s">
        <v>1129</v>
      </c>
      <c r="C347" s="1" t="s">
        <v>1132</v>
      </c>
      <c r="D347" s="36" t="s">
        <v>1189</v>
      </c>
      <c r="E347" s="36" t="s">
        <v>1510</v>
      </c>
      <c r="F347" s="1" t="s">
        <v>1463</v>
      </c>
      <c r="G347" s="35" t="s">
        <v>1179</v>
      </c>
      <c r="H347" s="43">
        <v>1</v>
      </c>
      <c r="I347" s="42">
        <v>0</v>
      </c>
      <c r="J347" s="26" t="e">
        <v>#REF!</v>
      </c>
      <c r="K347" s="25" t="e">
        <v>#REF!</v>
      </c>
      <c r="L347" s="24"/>
      <c r="M347" s="25"/>
      <c r="N347" s="24"/>
      <c r="O347" s="25"/>
      <c r="P347" s="24"/>
      <c r="Q347" s="25"/>
      <c r="R347" s="32"/>
      <c r="S347" s="47" t="e">
        <v>#REF!</v>
      </c>
      <c r="T347" s="45" t="e">
        <v>#REF!</v>
      </c>
      <c r="U347" s="46" t="e">
        <v>#REF!</v>
      </c>
      <c r="V347" s="45" t="e">
        <v>#REF!</v>
      </c>
      <c r="W347" s="46" t="e">
        <v>#REF!</v>
      </c>
      <c r="X347" s="45" t="e">
        <v>#REF!</v>
      </c>
      <c r="Y347" s="46" t="e">
        <v>#REF!</v>
      </c>
      <c r="Z347" s="45" t="e">
        <v>#REF!</v>
      </c>
      <c r="AA347" s="44" t="e">
        <v>#REF!</v>
      </c>
      <c r="AB347" s="26" t="e">
        <f t="shared" si="535"/>
        <v>#REF!</v>
      </c>
      <c r="AC347" s="25" t="e">
        <f t="shared" si="536"/>
        <v>#REF!</v>
      </c>
      <c r="AD347" s="24" t="e">
        <f t="shared" si="537"/>
        <v>#REF!</v>
      </c>
      <c r="AE347" s="25" t="e">
        <f t="shared" si="538"/>
        <v>#REF!</v>
      </c>
      <c r="AF347" s="24" t="e">
        <f t="shared" si="539"/>
        <v>#REF!</v>
      </c>
      <c r="AG347" s="25" t="e">
        <f t="shared" si="540"/>
        <v>#REF!</v>
      </c>
      <c r="AH347" s="24" t="e">
        <f t="shared" si="541"/>
        <v>#REF!</v>
      </c>
      <c r="AI347" s="25" t="e">
        <f t="shared" si="542"/>
        <v>#REF!</v>
      </c>
      <c r="AJ347" s="24" t="e">
        <f t="shared" si="543"/>
        <v>#REF!</v>
      </c>
      <c r="AK347" s="27" t="e">
        <f t="shared" si="520"/>
        <v>#REF!</v>
      </c>
      <c r="AL347" s="41">
        <v>0</v>
      </c>
      <c r="AM347" s="40">
        <v>0</v>
      </c>
      <c r="AN347" s="39">
        <v>0</v>
      </c>
      <c r="AO347" s="40">
        <v>0</v>
      </c>
      <c r="AP347" s="39">
        <v>0</v>
      </c>
      <c r="AQ347" s="40">
        <v>0</v>
      </c>
      <c r="AR347" s="39">
        <v>0</v>
      </c>
      <c r="AS347" s="40">
        <v>0</v>
      </c>
      <c r="AT347" s="39">
        <v>0</v>
      </c>
      <c r="AU347" s="38">
        <v>0</v>
      </c>
      <c r="CS347" s="54" t="s">
        <v>1195</v>
      </c>
      <c r="CT347" s="39">
        <v>0</v>
      </c>
      <c r="CU347" s="40">
        <v>0</v>
      </c>
      <c r="CV347" s="39">
        <v>0</v>
      </c>
      <c r="CW347" s="40">
        <v>0</v>
      </c>
      <c r="CX347" s="39">
        <v>0.61010029175439262</v>
      </c>
      <c r="CY347" s="40">
        <v>0.35425178230900217</v>
      </c>
      <c r="CZ347" s="39">
        <v>0.25584850944539045</v>
      </c>
      <c r="DA347" s="40">
        <v>3.7486961090899694E-3</v>
      </c>
      <c r="DB347" s="39">
        <v>2.9052394845447263E-2</v>
      </c>
      <c r="DC347" s="38">
        <v>1.2530016744633226</v>
      </c>
      <c r="DE347" s="37" t="s">
        <v>1509</v>
      </c>
      <c r="DF347" s="35" t="str">
        <f t="shared" si="521"/>
        <v>IMOPH</v>
      </c>
      <c r="DG347" s="26">
        <f t="shared" si="544"/>
        <v>9.3203351852399682E-3</v>
      </c>
      <c r="DH347" s="25">
        <f t="shared" si="544"/>
        <v>2.5655747021102616E-2</v>
      </c>
      <c r="DI347" s="24">
        <f t="shared" si="544"/>
        <v>2.085231406772823E-2</v>
      </c>
      <c r="DJ347" s="25">
        <f t="shared" si="544"/>
        <v>1.4123768138614358E-2</v>
      </c>
      <c r="DK347" s="24">
        <f t="shared" si="544"/>
        <v>7.1383478227929767E-3</v>
      </c>
      <c r="DL347" s="25">
        <f t="shared" si="544"/>
        <v>6.2221099016179972E-3</v>
      </c>
      <c r="DM347" s="24">
        <f t="shared" si="544"/>
        <v>2.1615624481931616E-2</v>
      </c>
      <c r="DN347" s="25">
        <f t="shared" si="544"/>
        <v>0</v>
      </c>
      <c r="DO347" s="32">
        <f t="shared" si="544"/>
        <v>0</v>
      </c>
      <c r="DP347" s="26">
        <f t="shared" si="523"/>
        <v>1.3668029652428061E-3</v>
      </c>
      <c r="DQ347" s="25">
        <f t="shared" si="524"/>
        <v>1.3668029652428061E-3</v>
      </c>
      <c r="DR347" s="24">
        <f t="shared" si="525"/>
        <v>5.2107498486497761E-4</v>
      </c>
      <c r="DS347" s="25">
        <f t="shared" si="526"/>
        <v>5.2107498486497761E-4</v>
      </c>
      <c r="DT347" s="24">
        <f t="shared" si="527"/>
        <v>7.7132840058254191E-4</v>
      </c>
      <c r="DU347" s="25">
        <f t="shared" si="528"/>
        <v>7.7132840058254191E-4</v>
      </c>
      <c r="DV347" s="24">
        <f t="shared" si="529"/>
        <v>7.7132840058254212E-4</v>
      </c>
      <c r="DW347" s="25">
        <f t="shared" si="530"/>
        <v>0</v>
      </c>
      <c r="DX347" s="32">
        <f t="shared" si="531"/>
        <v>0</v>
      </c>
      <c r="DZ347" s="54" t="s">
        <v>1300</v>
      </c>
      <c r="EA347" s="39">
        <v>1.3388080235040969E-2</v>
      </c>
      <c r="EB347" s="40">
        <v>1.8593670848024178E-2</v>
      </c>
      <c r="EC347" s="39">
        <v>3.1490158932247825E-2</v>
      </c>
      <c r="ED347" s="40">
        <v>2.2609280712163834E-2</v>
      </c>
      <c r="EE347" s="39">
        <v>1.2612550453981415E-2</v>
      </c>
      <c r="EF347" s="40">
        <v>2.0409448324766811E-2</v>
      </c>
      <c r="EG347" s="39">
        <v>1.080103525557918E-2</v>
      </c>
      <c r="EH347" s="40">
        <v>3.1173716151014497E-2</v>
      </c>
      <c r="EI347" s="66">
        <v>4.3927960254597352E-2</v>
      </c>
    </row>
    <row r="348" spans="1:139">
      <c r="A348" s="37" t="s">
        <v>1477</v>
      </c>
      <c r="B348" s="36" t="s">
        <v>1129</v>
      </c>
      <c r="C348" s="1" t="s">
        <v>1132</v>
      </c>
      <c r="D348" s="36" t="s">
        <v>1189</v>
      </c>
      <c r="E348" s="36" t="s">
        <v>1508</v>
      </c>
      <c r="F348" s="1" t="s">
        <v>1463</v>
      </c>
      <c r="G348" s="35" t="s">
        <v>1179</v>
      </c>
      <c r="H348" s="43">
        <v>1</v>
      </c>
      <c r="I348" s="42">
        <v>0</v>
      </c>
      <c r="J348" s="26" t="e">
        <v>#REF!</v>
      </c>
      <c r="K348" s="25" t="e">
        <v>#REF!</v>
      </c>
      <c r="L348" s="24"/>
      <c r="M348" s="25"/>
      <c r="N348" s="24"/>
      <c r="O348" s="25"/>
      <c r="P348" s="24"/>
      <c r="Q348" s="25"/>
      <c r="R348" s="32"/>
      <c r="S348" s="31" t="e">
        <v>#REF!</v>
      </c>
      <c r="T348" s="29" t="e">
        <v>#REF!</v>
      </c>
      <c r="U348" s="30" t="e">
        <v>#REF!</v>
      </c>
      <c r="V348" s="29" t="e">
        <v>#REF!</v>
      </c>
      <c r="W348" s="30" t="e">
        <v>#REF!</v>
      </c>
      <c r="X348" s="29" t="e">
        <v>#REF!</v>
      </c>
      <c r="Y348" s="30" t="e">
        <v>#REF!</v>
      </c>
      <c r="Z348" s="29" t="e">
        <v>#REF!</v>
      </c>
      <c r="AA348" s="28" t="e">
        <v>#REF!</v>
      </c>
      <c r="AB348" s="26" t="e">
        <f t="shared" si="535"/>
        <v>#REF!</v>
      </c>
      <c r="AC348" s="25" t="e">
        <f t="shared" si="536"/>
        <v>#REF!</v>
      </c>
      <c r="AD348" s="24" t="e">
        <f t="shared" si="537"/>
        <v>#REF!</v>
      </c>
      <c r="AE348" s="25" t="e">
        <f t="shared" si="538"/>
        <v>#REF!</v>
      </c>
      <c r="AF348" s="24" t="e">
        <f t="shared" si="539"/>
        <v>#REF!</v>
      </c>
      <c r="AG348" s="25" t="e">
        <f t="shared" si="540"/>
        <v>#REF!</v>
      </c>
      <c r="AH348" s="24" t="e">
        <f t="shared" si="541"/>
        <v>#REF!</v>
      </c>
      <c r="AI348" s="25" t="e">
        <f t="shared" si="542"/>
        <v>#REF!</v>
      </c>
      <c r="AJ348" s="24" t="e">
        <f t="shared" si="543"/>
        <v>#REF!</v>
      </c>
      <c r="AK348" s="27" t="e">
        <f t="shared" si="520"/>
        <v>#REF!</v>
      </c>
      <c r="AL348" s="41">
        <v>0</v>
      </c>
      <c r="AM348" s="40">
        <v>0</v>
      </c>
      <c r="AN348" s="39">
        <v>0</v>
      </c>
      <c r="AO348" s="40">
        <v>0</v>
      </c>
      <c r="AP348" s="39">
        <v>0</v>
      </c>
      <c r="AQ348" s="40">
        <v>0</v>
      </c>
      <c r="AR348" s="39">
        <v>0</v>
      </c>
      <c r="AS348" s="40">
        <v>0</v>
      </c>
      <c r="AT348" s="39">
        <v>0</v>
      </c>
      <c r="AU348" s="38">
        <v>0</v>
      </c>
      <c r="CS348" s="54" t="s">
        <v>1193</v>
      </c>
      <c r="CT348" s="39">
        <v>0</v>
      </c>
      <c r="CU348" s="40">
        <v>0</v>
      </c>
      <c r="CV348" s="39">
        <v>0</v>
      </c>
      <c r="CW348" s="40">
        <v>0</v>
      </c>
      <c r="CX348" s="39">
        <v>0.61010029175439262</v>
      </c>
      <c r="CY348" s="40">
        <v>0.35425178230900217</v>
      </c>
      <c r="CZ348" s="39">
        <v>0.25584850944539045</v>
      </c>
      <c r="DA348" s="40">
        <v>3.7486961090899694E-3</v>
      </c>
      <c r="DB348" s="39">
        <v>2.9052394845447263E-2</v>
      </c>
      <c r="DC348" s="38">
        <v>1.2530016744633226</v>
      </c>
      <c r="DE348" s="37" t="s">
        <v>1507</v>
      </c>
      <c r="DF348" s="35" t="str">
        <f t="shared" si="521"/>
        <v>IMOPH</v>
      </c>
      <c r="DG348" s="26">
        <f t="shared" ref="DG348:DO357" si="545">GETPIVOTDATA("Sum of "&amp;DG$1&amp;" (Out)",$CS$6,"Constraint Identifier",$DE348)</f>
        <v>4.7145027774242356</v>
      </c>
      <c r="DH348" s="25">
        <f t="shared" si="545"/>
        <v>12.977439993727829</v>
      </c>
      <c r="DI348" s="24">
        <f t="shared" si="545"/>
        <v>24.259757665211154</v>
      </c>
      <c r="DJ348" s="25">
        <f t="shared" si="545"/>
        <v>16.431710708438597</v>
      </c>
      <c r="DK348" s="24">
        <f t="shared" si="545"/>
        <v>5.2356435636141052</v>
      </c>
      <c r="DL348" s="25">
        <f t="shared" si="545"/>
        <v>4.5636259912254813</v>
      </c>
      <c r="DM348" s="24">
        <f t="shared" si="545"/>
        <v>15.854047463330909</v>
      </c>
      <c r="DN348" s="25">
        <f t="shared" si="545"/>
        <v>11.961027817086059</v>
      </c>
      <c r="DO348" s="32">
        <f t="shared" si="545"/>
        <v>7.5001092311812174</v>
      </c>
      <c r="DP348" s="26">
        <f t="shared" si="523"/>
        <v>0.69136959645330431</v>
      </c>
      <c r="DQ348" s="25">
        <f t="shared" si="524"/>
        <v>0.69136959645330431</v>
      </c>
      <c r="DR348" s="24">
        <f t="shared" si="525"/>
        <v>0.60622302240267023</v>
      </c>
      <c r="DS348" s="25">
        <f t="shared" si="526"/>
        <v>0.60622302240267023</v>
      </c>
      <c r="DT348" s="24">
        <f t="shared" si="527"/>
        <v>0.56573323074115323</v>
      </c>
      <c r="DU348" s="25">
        <f t="shared" si="528"/>
        <v>0.56573323074115311</v>
      </c>
      <c r="DV348" s="24">
        <f t="shared" si="529"/>
        <v>0.56573323074115323</v>
      </c>
      <c r="DW348" s="25">
        <f t="shared" si="530"/>
        <v>0.69789327648036981</v>
      </c>
      <c r="DX348" s="32">
        <f t="shared" si="531"/>
        <v>0.69789327648036981</v>
      </c>
      <c r="DZ348" s="54" t="s">
        <v>1298</v>
      </c>
      <c r="EA348" s="39">
        <v>0.1080448859229558</v>
      </c>
      <c r="EB348" s="40">
        <v>0</v>
      </c>
      <c r="EC348" s="39">
        <v>0.14050165576064119</v>
      </c>
      <c r="ED348" s="40">
        <v>0</v>
      </c>
      <c r="EE348" s="39">
        <v>3.8295088317430698E-2</v>
      </c>
      <c r="EF348" s="40">
        <v>0</v>
      </c>
      <c r="EG348" s="39">
        <v>9.4378199970359511E-2</v>
      </c>
      <c r="EH348" s="40">
        <v>0.9688262838489855</v>
      </c>
      <c r="EI348" s="66">
        <v>0.41663789143521274</v>
      </c>
    </row>
    <row r="349" spans="1:139">
      <c r="A349" s="37" t="s">
        <v>1477</v>
      </c>
      <c r="B349" s="36" t="s">
        <v>1129</v>
      </c>
      <c r="C349" s="1" t="s">
        <v>1132</v>
      </c>
      <c r="D349" s="36" t="s">
        <v>1189</v>
      </c>
      <c r="E349" s="36" t="s">
        <v>1506</v>
      </c>
      <c r="F349" s="1" t="s">
        <v>1387</v>
      </c>
      <c r="G349" s="35" t="s">
        <v>1179</v>
      </c>
      <c r="H349" s="34">
        <f>1-I349</f>
        <v>0.88409973573943335</v>
      </c>
      <c r="I349" s="33">
        <v>0.11590026426056661</v>
      </c>
      <c r="J349" s="26" t="e">
        <v>#REF!</v>
      </c>
      <c r="K349" s="25" t="e">
        <v>#REF!</v>
      </c>
      <c r="L349" s="24"/>
      <c r="M349" s="25"/>
      <c r="N349" s="24"/>
      <c r="O349" s="25"/>
      <c r="P349" s="24"/>
      <c r="Q349" s="25"/>
      <c r="R349" s="32"/>
      <c r="S349" s="31" t="e">
        <v>#REF!</v>
      </c>
      <c r="T349" s="29" t="e">
        <v>#REF!</v>
      </c>
      <c r="U349" s="30" t="e">
        <v>#REF!</v>
      </c>
      <c r="V349" s="29" t="e">
        <v>#REF!</v>
      </c>
      <c r="W349" s="30" t="e">
        <v>#REF!</v>
      </c>
      <c r="X349" s="29" t="e">
        <v>#REF!</v>
      </c>
      <c r="Y349" s="30" t="e">
        <v>#REF!</v>
      </c>
      <c r="Z349" s="29" t="e">
        <v>#REF!</v>
      </c>
      <c r="AA349" s="28" t="e">
        <v>#REF!</v>
      </c>
      <c r="AB349" s="26" t="e">
        <f t="shared" ref="AB349:AJ349" si="546">J349*31.536*$H349*S349</f>
        <v>#REF!</v>
      </c>
      <c r="AC349" s="25" t="e">
        <f t="shared" si="546"/>
        <v>#REF!</v>
      </c>
      <c r="AD349" s="24" t="e">
        <f t="shared" si="546"/>
        <v>#REF!</v>
      </c>
      <c r="AE349" s="25" t="e">
        <f t="shared" si="546"/>
        <v>#REF!</v>
      </c>
      <c r="AF349" s="24" t="e">
        <f t="shared" si="546"/>
        <v>#REF!</v>
      </c>
      <c r="AG349" s="25" t="e">
        <f t="shared" si="546"/>
        <v>#REF!</v>
      </c>
      <c r="AH349" s="24" t="e">
        <f t="shared" si="546"/>
        <v>#REF!</v>
      </c>
      <c r="AI349" s="25" t="e">
        <f t="shared" si="546"/>
        <v>#REF!</v>
      </c>
      <c r="AJ349" s="24" t="e">
        <f t="shared" si="546"/>
        <v>#REF!</v>
      </c>
      <c r="AK349" s="27" t="e">
        <f t="shared" si="520"/>
        <v>#REF!</v>
      </c>
      <c r="AL349" s="26" t="e">
        <f t="shared" ref="AL349:AT349" si="547">J349*31.536*$I349*S349</f>
        <v>#REF!</v>
      </c>
      <c r="AM349" s="25" t="e">
        <f t="shared" si="547"/>
        <v>#REF!</v>
      </c>
      <c r="AN349" s="24" t="e">
        <f t="shared" si="547"/>
        <v>#REF!</v>
      </c>
      <c r="AO349" s="25" t="e">
        <f t="shared" si="547"/>
        <v>#REF!</v>
      </c>
      <c r="AP349" s="24" t="e">
        <f t="shared" si="547"/>
        <v>#REF!</v>
      </c>
      <c r="AQ349" s="25" t="e">
        <f t="shared" si="547"/>
        <v>#REF!</v>
      </c>
      <c r="AR349" s="24" t="e">
        <f t="shared" si="547"/>
        <v>#REF!</v>
      </c>
      <c r="AS349" s="25" t="e">
        <f t="shared" si="547"/>
        <v>#REF!</v>
      </c>
      <c r="AT349" s="24" t="e">
        <f t="shared" si="547"/>
        <v>#REF!</v>
      </c>
      <c r="AU349" s="23" t="e">
        <f>SUM(AL349:AT349)</f>
        <v>#REF!</v>
      </c>
      <c r="CS349" s="54" t="s">
        <v>1184</v>
      </c>
      <c r="CT349" s="39">
        <v>5.6207975420737117</v>
      </c>
      <c r="CU349" s="40">
        <v>4.6402930034413856</v>
      </c>
      <c r="CV349" s="39">
        <v>0</v>
      </c>
      <c r="CW349" s="40">
        <v>0</v>
      </c>
      <c r="CX349" s="39">
        <v>57.925374950459165</v>
      </c>
      <c r="CY349" s="40">
        <v>39.632008969944955</v>
      </c>
      <c r="CZ349" s="39">
        <v>31.043295642516075</v>
      </c>
      <c r="DA349" s="40">
        <v>0.52361483564978228</v>
      </c>
      <c r="DB349" s="39">
        <v>4.0580149762858113</v>
      </c>
      <c r="DC349" s="38">
        <v>143.44339992037087</v>
      </c>
      <c r="DE349" s="37" t="s">
        <v>1505</v>
      </c>
      <c r="DF349" s="35" t="str">
        <f t="shared" si="521"/>
        <v>INOPH</v>
      </c>
      <c r="DG349" s="26">
        <f t="shared" si="545"/>
        <v>3.1781401544899446E-2</v>
      </c>
      <c r="DH349" s="25">
        <f t="shared" si="545"/>
        <v>8.7483505883273319E-2</v>
      </c>
      <c r="DI349" s="24">
        <f t="shared" si="545"/>
        <v>0.10665642705259056</v>
      </c>
      <c r="DJ349" s="25">
        <f t="shared" si="545"/>
        <v>7.2240934089668626E-2</v>
      </c>
      <c r="DK349" s="24">
        <f t="shared" si="545"/>
        <v>0.12170522519545056</v>
      </c>
      <c r="DL349" s="25">
        <f t="shared" si="545"/>
        <v>0.10608383138032232</v>
      </c>
      <c r="DM349" s="24">
        <f t="shared" si="545"/>
        <v>0.36853548056509111</v>
      </c>
      <c r="DN349" s="25">
        <f t="shared" si="545"/>
        <v>0.21990455210492127</v>
      </c>
      <c r="DO349" s="32">
        <f t="shared" si="545"/>
        <v>0.13789017017959707</v>
      </c>
      <c r="DP349" s="26">
        <f t="shared" si="523"/>
        <v>5.7823849235497018E-3</v>
      </c>
      <c r="DQ349" s="25">
        <f t="shared" si="524"/>
        <v>5.7823849235497018E-3</v>
      </c>
      <c r="DR349" s="24">
        <f t="shared" si="525"/>
        <v>3.12756635336023E-3</v>
      </c>
      <c r="DS349" s="25">
        <f t="shared" si="526"/>
        <v>3.1275663533602296E-3</v>
      </c>
      <c r="DT349" s="24">
        <f t="shared" si="527"/>
        <v>6.3714101220672557E-3</v>
      </c>
      <c r="DU349" s="25">
        <f t="shared" si="528"/>
        <v>6.3714101220672548E-3</v>
      </c>
      <c r="DV349" s="24">
        <f t="shared" si="529"/>
        <v>6.3714101220672557E-3</v>
      </c>
      <c r="DW349" s="25">
        <f t="shared" si="530"/>
        <v>1.122304962992471E-2</v>
      </c>
      <c r="DX349" s="32">
        <f t="shared" si="531"/>
        <v>1.1223049629924714E-2</v>
      </c>
      <c r="DZ349" s="54" t="s">
        <v>1293</v>
      </c>
      <c r="EA349" s="39">
        <v>1.2763860722470875E-2</v>
      </c>
      <c r="EB349" s="40">
        <v>1.7726740567515078E-2</v>
      </c>
      <c r="EC349" s="39">
        <v>0</v>
      </c>
      <c r="ED349" s="40">
        <v>0</v>
      </c>
      <c r="EE349" s="39">
        <v>1.8218924292707307E-2</v>
      </c>
      <c r="EF349" s="40">
        <v>2.9481602094798356E-2</v>
      </c>
      <c r="EG349" s="39">
        <v>1.5602176920698924E-2</v>
      </c>
      <c r="EH349" s="40">
        <v>0</v>
      </c>
      <c r="EI349" s="66">
        <v>0</v>
      </c>
    </row>
    <row r="350" spans="1:139">
      <c r="A350" s="37" t="s">
        <v>1477</v>
      </c>
      <c r="B350" s="36" t="s">
        <v>1129</v>
      </c>
      <c r="C350" s="1" t="s">
        <v>1132</v>
      </c>
      <c r="D350" s="36" t="s">
        <v>1182</v>
      </c>
      <c r="E350" s="36" t="s">
        <v>1504</v>
      </c>
      <c r="F350" s="1" t="s">
        <v>1463</v>
      </c>
      <c r="G350" s="35" t="s">
        <v>1179</v>
      </c>
      <c r="H350" s="43">
        <v>1</v>
      </c>
      <c r="I350" s="42">
        <v>0</v>
      </c>
      <c r="J350" s="26" t="e">
        <v>#REF!</v>
      </c>
      <c r="K350" s="25" t="e">
        <v>#REF!</v>
      </c>
      <c r="L350" s="24"/>
      <c r="M350" s="25"/>
      <c r="N350" s="24"/>
      <c r="O350" s="25"/>
      <c r="P350" s="24"/>
      <c r="Q350" s="25"/>
      <c r="R350" s="32"/>
      <c r="S350" s="31" t="e">
        <v>#REF!</v>
      </c>
      <c r="T350" s="29" t="e">
        <v>#REF!</v>
      </c>
      <c r="U350" s="30" t="e">
        <v>#REF!</v>
      </c>
      <c r="V350" s="29" t="e">
        <v>#REF!</v>
      </c>
      <c r="W350" s="30" t="e">
        <v>#REF!</v>
      </c>
      <c r="X350" s="29" t="e">
        <v>#REF!</v>
      </c>
      <c r="Y350" s="30" t="e">
        <v>#REF!</v>
      </c>
      <c r="Z350" s="29" t="e">
        <v>#REF!</v>
      </c>
      <c r="AA350" s="28" t="e">
        <v>#REF!</v>
      </c>
      <c r="AB350" s="26" t="e">
        <f t="shared" ref="AB350:AJ350" si="548">J350*$H350*S350</f>
        <v>#REF!</v>
      </c>
      <c r="AC350" s="25" t="e">
        <f t="shared" si="548"/>
        <v>#REF!</v>
      </c>
      <c r="AD350" s="24" t="e">
        <f t="shared" si="548"/>
        <v>#REF!</v>
      </c>
      <c r="AE350" s="25" t="e">
        <f t="shared" si="548"/>
        <v>#REF!</v>
      </c>
      <c r="AF350" s="24" t="e">
        <f t="shared" si="548"/>
        <v>#REF!</v>
      </c>
      <c r="AG350" s="25" t="e">
        <f t="shared" si="548"/>
        <v>#REF!</v>
      </c>
      <c r="AH350" s="24" t="e">
        <f t="shared" si="548"/>
        <v>#REF!</v>
      </c>
      <c r="AI350" s="25" t="e">
        <f t="shared" si="548"/>
        <v>#REF!</v>
      </c>
      <c r="AJ350" s="24" t="e">
        <f t="shared" si="548"/>
        <v>#REF!</v>
      </c>
      <c r="AK350" s="27" t="e">
        <f t="shared" si="520"/>
        <v>#REF!</v>
      </c>
      <c r="AL350" s="41">
        <v>0</v>
      </c>
      <c r="AM350" s="40">
        <v>0</v>
      </c>
      <c r="AN350" s="39">
        <v>0</v>
      </c>
      <c r="AO350" s="40">
        <v>0</v>
      </c>
      <c r="AP350" s="39">
        <v>0</v>
      </c>
      <c r="AQ350" s="40">
        <v>0</v>
      </c>
      <c r="AR350" s="39">
        <v>0</v>
      </c>
      <c r="AS350" s="40">
        <v>0</v>
      </c>
      <c r="AT350" s="39">
        <v>0</v>
      </c>
      <c r="AU350" s="38">
        <v>0</v>
      </c>
      <c r="CS350" s="54" t="s">
        <v>1177</v>
      </c>
      <c r="CT350" s="39">
        <v>9.3999134184622093E-2</v>
      </c>
      <c r="CU350" s="40">
        <v>8.2940412515843026E-2</v>
      </c>
      <c r="CV350" s="39">
        <v>0.14850283383789037</v>
      </c>
      <c r="CW350" s="40">
        <v>2.8436712862574744E-2</v>
      </c>
      <c r="CX350" s="39">
        <v>0.35387909340093021</v>
      </c>
      <c r="CY350" s="40">
        <v>0.20547818326505629</v>
      </c>
      <c r="CZ350" s="39">
        <v>0.14840091013587398</v>
      </c>
      <c r="DA350" s="40">
        <v>2.0221662480053155E-2</v>
      </c>
      <c r="DB350" s="39">
        <v>0.15671788422041194</v>
      </c>
      <c r="DC350" s="38">
        <v>1.238576826903256</v>
      </c>
      <c r="DE350" s="37" t="s">
        <v>1503</v>
      </c>
      <c r="DF350" s="35" t="str">
        <f t="shared" si="521"/>
        <v>INOPH</v>
      </c>
      <c r="DG350" s="26">
        <f t="shared" si="545"/>
        <v>0.22674778103881332</v>
      </c>
      <c r="DH350" s="25">
        <f t="shared" si="545"/>
        <v>0.62416035392598213</v>
      </c>
      <c r="DI350" s="24">
        <f t="shared" si="545"/>
        <v>0.76095159408047697</v>
      </c>
      <c r="DJ350" s="25">
        <f t="shared" si="545"/>
        <v>0.51541060836671637</v>
      </c>
      <c r="DK350" s="24">
        <f t="shared" si="545"/>
        <v>0.73807101482525506</v>
      </c>
      <c r="DL350" s="25">
        <f t="shared" si="545"/>
        <v>0.64333639708307733</v>
      </c>
      <c r="DM350" s="24">
        <f t="shared" si="545"/>
        <v>2.2349521616920489</v>
      </c>
      <c r="DN350" s="25">
        <f t="shared" si="545"/>
        <v>0.65372181535796459</v>
      </c>
      <c r="DO350" s="32">
        <f t="shared" si="545"/>
        <v>0.40991335334802997</v>
      </c>
      <c r="DP350" s="26">
        <f t="shared" si="523"/>
        <v>4.1255038695346864E-2</v>
      </c>
      <c r="DQ350" s="25">
        <f t="shared" si="524"/>
        <v>4.125503869534685E-2</v>
      </c>
      <c r="DR350" s="24">
        <f t="shared" si="525"/>
        <v>2.231395395430252E-2</v>
      </c>
      <c r="DS350" s="25">
        <f t="shared" si="526"/>
        <v>2.2313953954302513E-2</v>
      </c>
      <c r="DT350" s="24">
        <f t="shared" si="527"/>
        <v>3.8638876244714154E-2</v>
      </c>
      <c r="DU350" s="25">
        <f t="shared" si="528"/>
        <v>3.8638876244714154E-2</v>
      </c>
      <c r="DV350" s="24">
        <f t="shared" si="529"/>
        <v>3.8638876244714154E-2</v>
      </c>
      <c r="DW350" s="25">
        <f t="shared" si="530"/>
        <v>3.3363349269943214E-2</v>
      </c>
      <c r="DX350" s="32">
        <f t="shared" si="531"/>
        <v>3.3363349269943221E-2</v>
      </c>
      <c r="DZ350" s="54" t="s">
        <v>1198</v>
      </c>
      <c r="EA350" s="39">
        <v>1</v>
      </c>
      <c r="EB350" s="40">
        <v>1</v>
      </c>
      <c r="EC350" s="39">
        <v>1</v>
      </c>
      <c r="ED350" s="40">
        <v>1</v>
      </c>
      <c r="EE350" s="39">
        <v>1</v>
      </c>
      <c r="EF350" s="40">
        <v>1</v>
      </c>
      <c r="EG350" s="39">
        <v>1</v>
      </c>
      <c r="EH350" s="40">
        <v>1</v>
      </c>
      <c r="EI350" s="66">
        <v>1</v>
      </c>
    </row>
    <row r="351" spans="1:139">
      <c r="A351" s="37" t="s">
        <v>1477</v>
      </c>
      <c r="B351" s="36" t="s">
        <v>1129</v>
      </c>
      <c r="C351" s="1" t="s">
        <v>1132</v>
      </c>
      <c r="D351" s="36" t="s">
        <v>1182</v>
      </c>
      <c r="E351" s="36" t="s">
        <v>1502</v>
      </c>
      <c r="F351" s="1" t="s">
        <v>1387</v>
      </c>
      <c r="G351" s="35" t="s">
        <v>1179</v>
      </c>
      <c r="H351" s="34">
        <f>1-I351</f>
        <v>0.89681264547140893</v>
      </c>
      <c r="I351" s="33">
        <v>0.10318735452859105</v>
      </c>
      <c r="J351" s="26" t="e">
        <v>#REF!</v>
      </c>
      <c r="K351" s="25" t="e">
        <v>#REF!</v>
      </c>
      <c r="L351" s="24"/>
      <c r="M351" s="25"/>
      <c r="N351" s="24"/>
      <c r="O351" s="25"/>
      <c r="P351" s="24"/>
      <c r="Q351" s="25"/>
      <c r="R351" s="32"/>
      <c r="S351" s="31" t="e">
        <v>#REF!</v>
      </c>
      <c r="T351" s="29" t="e">
        <v>#REF!</v>
      </c>
      <c r="U351" s="30" t="e">
        <v>#REF!</v>
      </c>
      <c r="V351" s="29" t="e">
        <v>#REF!</v>
      </c>
      <c r="W351" s="30" t="e">
        <v>#REF!</v>
      </c>
      <c r="X351" s="29" t="e">
        <v>#REF!</v>
      </c>
      <c r="Y351" s="30" t="e">
        <v>#REF!</v>
      </c>
      <c r="Z351" s="29" t="e">
        <v>#REF!</v>
      </c>
      <c r="AA351" s="28" t="e">
        <v>#REF!</v>
      </c>
      <c r="AB351" s="26" t="e">
        <f t="shared" ref="AB351:AJ351" si="549">J351*31.536*$H351*S351</f>
        <v>#REF!</v>
      </c>
      <c r="AC351" s="25" t="e">
        <f t="shared" si="549"/>
        <v>#REF!</v>
      </c>
      <c r="AD351" s="24" t="e">
        <f t="shared" si="549"/>
        <v>#REF!</v>
      </c>
      <c r="AE351" s="25" t="e">
        <f t="shared" si="549"/>
        <v>#REF!</v>
      </c>
      <c r="AF351" s="24" t="e">
        <f t="shared" si="549"/>
        <v>#REF!</v>
      </c>
      <c r="AG351" s="25" t="e">
        <f t="shared" si="549"/>
        <v>#REF!</v>
      </c>
      <c r="AH351" s="24" t="e">
        <f t="shared" si="549"/>
        <v>#REF!</v>
      </c>
      <c r="AI351" s="25" t="e">
        <f t="shared" si="549"/>
        <v>#REF!</v>
      </c>
      <c r="AJ351" s="24" t="e">
        <f t="shared" si="549"/>
        <v>#REF!</v>
      </c>
      <c r="AK351" s="27" t="e">
        <f t="shared" si="520"/>
        <v>#REF!</v>
      </c>
      <c r="AL351" s="26" t="e">
        <f t="shared" ref="AL351:AT351" si="550">J351*31.536*$I351*S351</f>
        <v>#REF!</v>
      </c>
      <c r="AM351" s="25" t="e">
        <f t="shared" si="550"/>
        <v>#REF!</v>
      </c>
      <c r="AN351" s="24" t="e">
        <f t="shared" si="550"/>
        <v>#REF!</v>
      </c>
      <c r="AO351" s="25" t="e">
        <f t="shared" si="550"/>
        <v>#REF!</v>
      </c>
      <c r="AP351" s="24" t="e">
        <f t="shared" si="550"/>
        <v>#REF!</v>
      </c>
      <c r="AQ351" s="25" t="e">
        <f t="shared" si="550"/>
        <v>#REF!</v>
      </c>
      <c r="AR351" s="24" t="e">
        <f t="shared" si="550"/>
        <v>#REF!</v>
      </c>
      <c r="AS351" s="25" t="e">
        <f t="shared" si="550"/>
        <v>#REF!</v>
      </c>
      <c r="AT351" s="24" t="e">
        <f t="shared" si="550"/>
        <v>#REF!</v>
      </c>
      <c r="AU351" s="23" t="e">
        <f>SUM(AL351:AT351)</f>
        <v>#REF!</v>
      </c>
      <c r="CS351" s="54" t="s">
        <v>1175</v>
      </c>
      <c r="CT351" s="39">
        <v>0.21718609960586868</v>
      </c>
      <c r="CU351" s="40">
        <v>0.19163479376988415</v>
      </c>
      <c r="CV351" s="39">
        <v>0.34311753551179258</v>
      </c>
      <c r="CW351" s="40">
        <v>6.5703357863960268E-2</v>
      </c>
      <c r="CX351" s="39">
        <v>3.6793880403817751</v>
      </c>
      <c r="CY351" s="40">
        <v>2.1364188621571598</v>
      </c>
      <c r="CZ351" s="39">
        <v>1.5429691782246153</v>
      </c>
      <c r="DA351" s="40">
        <v>0</v>
      </c>
      <c r="DB351" s="39">
        <v>0</v>
      </c>
      <c r="DC351" s="38">
        <v>8.1764178675150561</v>
      </c>
      <c r="DE351" s="37" t="s">
        <v>1501</v>
      </c>
      <c r="DF351" s="35" t="str">
        <f t="shared" si="521"/>
        <v>INOPH</v>
      </c>
      <c r="DG351" s="26">
        <f t="shared" si="545"/>
        <v>0</v>
      </c>
      <c r="DH351" s="25">
        <f t="shared" si="545"/>
        <v>0</v>
      </c>
      <c r="DI351" s="24">
        <f t="shared" si="545"/>
        <v>0</v>
      </c>
      <c r="DJ351" s="25">
        <f t="shared" si="545"/>
        <v>0</v>
      </c>
      <c r="DK351" s="24">
        <f t="shared" si="545"/>
        <v>7.1383478227929767E-3</v>
      </c>
      <c r="DL351" s="25">
        <f t="shared" si="545"/>
        <v>6.2221099016179972E-3</v>
      </c>
      <c r="DM351" s="24">
        <f t="shared" si="545"/>
        <v>2.1615624481931616E-2</v>
      </c>
      <c r="DN351" s="25">
        <f t="shared" si="545"/>
        <v>4.2993365820832165E-2</v>
      </c>
      <c r="DO351" s="32">
        <f t="shared" si="545"/>
        <v>2.695879859185301E-2</v>
      </c>
      <c r="DP351" s="26">
        <f t="shared" si="523"/>
        <v>0</v>
      </c>
      <c r="DQ351" s="25">
        <f t="shared" si="524"/>
        <v>0</v>
      </c>
      <c r="DR351" s="24">
        <f t="shared" si="525"/>
        <v>0</v>
      </c>
      <c r="DS351" s="25">
        <f t="shared" si="526"/>
        <v>0</v>
      </c>
      <c r="DT351" s="24">
        <f t="shared" si="527"/>
        <v>3.7370081276247503E-4</v>
      </c>
      <c r="DU351" s="25">
        <f t="shared" si="528"/>
        <v>3.7370081276247503E-4</v>
      </c>
      <c r="DV351" s="24">
        <f t="shared" si="529"/>
        <v>3.7370081276247508E-4</v>
      </c>
      <c r="DW351" s="25">
        <f t="shared" si="530"/>
        <v>2.1942095956908108E-3</v>
      </c>
      <c r="DX351" s="32">
        <f t="shared" si="531"/>
        <v>2.1942095956908113E-3</v>
      </c>
      <c r="DZ351" s="54" t="s">
        <v>1184</v>
      </c>
      <c r="EA351" s="39">
        <v>1</v>
      </c>
      <c r="EB351" s="40">
        <v>1</v>
      </c>
      <c r="EC351" s="39">
        <v>0</v>
      </c>
      <c r="ED351" s="40">
        <v>0</v>
      </c>
      <c r="EE351" s="39">
        <v>0.7267580927859576</v>
      </c>
      <c r="EF351" s="40">
        <v>0.82936194967863497</v>
      </c>
      <c r="EG351" s="39">
        <v>0.90520799314162437</v>
      </c>
      <c r="EH351" s="40">
        <v>0.98588360081959214</v>
      </c>
      <c r="EI351" s="66">
        <v>0.98588360081959214</v>
      </c>
    </row>
    <row r="352" spans="1:139">
      <c r="A352" s="37" t="s">
        <v>1477</v>
      </c>
      <c r="B352" s="36" t="s">
        <v>1129</v>
      </c>
      <c r="C352" s="1" t="s">
        <v>1132</v>
      </c>
      <c r="D352" s="36" t="s">
        <v>1182</v>
      </c>
      <c r="E352" s="36" t="s">
        <v>1500</v>
      </c>
      <c r="F352" s="1" t="s">
        <v>1463</v>
      </c>
      <c r="G352" s="35" t="s">
        <v>1179</v>
      </c>
      <c r="H352" s="43">
        <v>1</v>
      </c>
      <c r="I352" s="42">
        <v>0</v>
      </c>
      <c r="J352" s="26" t="e">
        <v>#REF!</v>
      </c>
      <c r="K352" s="25" t="e">
        <v>#REF!</v>
      </c>
      <c r="L352" s="24"/>
      <c r="M352" s="25"/>
      <c r="N352" s="24"/>
      <c r="O352" s="25"/>
      <c r="P352" s="24"/>
      <c r="Q352" s="25"/>
      <c r="R352" s="32"/>
      <c r="S352" s="31" t="e">
        <v>#REF!</v>
      </c>
      <c r="T352" s="29" t="e">
        <v>#REF!</v>
      </c>
      <c r="U352" s="30" t="e">
        <v>#REF!</v>
      </c>
      <c r="V352" s="29" t="e">
        <v>#REF!</v>
      </c>
      <c r="W352" s="30" t="e">
        <v>#REF!</v>
      </c>
      <c r="X352" s="29" t="e">
        <v>#REF!</v>
      </c>
      <c r="Y352" s="30" t="e">
        <v>#REF!</v>
      </c>
      <c r="Z352" s="29" t="e">
        <v>#REF!</v>
      </c>
      <c r="AA352" s="28" t="e">
        <v>#REF!</v>
      </c>
      <c r="AB352" s="26" t="e">
        <f t="shared" ref="AB352:AJ359" si="551">J352*$H352*S352</f>
        <v>#REF!</v>
      </c>
      <c r="AC352" s="25" t="e">
        <f t="shared" si="551"/>
        <v>#REF!</v>
      </c>
      <c r="AD352" s="24" t="e">
        <f t="shared" si="551"/>
        <v>#REF!</v>
      </c>
      <c r="AE352" s="25" t="e">
        <f t="shared" si="551"/>
        <v>#REF!</v>
      </c>
      <c r="AF352" s="24" t="e">
        <f t="shared" si="551"/>
        <v>#REF!</v>
      </c>
      <c r="AG352" s="25" t="e">
        <f t="shared" si="551"/>
        <v>#REF!</v>
      </c>
      <c r="AH352" s="24" t="e">
        <f t="shared" si="551"/>
        <v>#REF!</v>
      </c>
      <c r="AI352" s="25" t="e">
        <f t="shared" si="551"/>
        <v>#REF!</v>
      </c>
      <c r="AJ352" s="24" t="e">
        <f t="shared" si="551"/>
        <v>#REF!</v>
      </c>
      <c r="AK352" s="27" t="e">
        <f t="shared" si="520"/>
        <v>#REF!</v>
      </c>
      <c r="AL352" s="41">
        <v>0</v>
      </c>
      <c r="AM352" s="40">
        <v>0</v>
      </c>
      <c r="AN352" s="39">
        <v>0</v>
      </c>
      <c r="AO352" s="40">
        <v>0</v>
      </c>
      <c r="AP352" s="39">
        <v>0</v>
      </c>
      <c r="AQ352" s="40">
        <v>0</v>
      </c>
      <c r="AR352" s="39">
        <v>0</v>
      </c>
      <c r="AS352" s="40">
        <v>0</v>
      </c>
      <c r="AT352" s="39">
        <v>0</v>
      </c>
      <c r="AU352" s="38">
        <v>0</v>
      </c>
      <c r="CS352" s="54" t="s">
        <v>1173</v>
      </c>
      <c r="CT352" s="39">
        <v>0.28145566727605104</v>
      </c>
      <c r="CU352" s="40">
        <v>0.24834323583180976</v>
      </c>
      <c r="CV352" s="39">
        <v>0</v>
      </c>
      <c r="CW352" s="40">
        <v>0</v>
      </c>
      <c r="CX352" s="39">
        <v>0.52979890310786082</v>
      </c>
      <c r="CY352" s="40">
        <v>0.30762516954649988</v>
      </c>
      <c r="CZ352" s="39">
        <v>0.222173733561361</v>
      </c>
      <c r="DA352" s="40">
        <v>3.0274223034734902E-2</v>
      </c>
      <c r="DB352" s="39">
        <v>0.23462522851919548</v>
      </c>
      <c r="DC352" s="38">
        <v>1.8542961608775128</v>
      </c>
      <c r="DE352" s="37" t="s">
        <v>1499</v>
      </c>
      <c r="DF352" s="35" t="str">
        <f t="shared" si="521"/>
        <v>INOPH</v>
      </c>
      <c r="DG352" s="26">
        <f t="shared" si="545"/>
        <v>3.3065214162758512</v>
      </c>
      <c r="DH352" s="25">
        <f t="shared" si="545"/>
        <v>9.1017410092904356</v>
      </c>
      <c r="DI352" s="24">
        <f t="shared" si="545"/>
        <v>15.411780994976811</v>
      </c>
      <c r="DJ352" s="25">
        <f t="shared" si="545"/>
        <v>10.438765724952955</v>
      </c>
      <c r="DK352" s="24">
        <f t="shared" si="545"/>
        <v>12.873187753004666</v>
      </c>
      <c r="DL352" s="25">
        <f t="shared" si="545"/>
        <v>11.220858239437579</v>
      </c>
      <c r="DM352" s="24">
        <f t="shared" si="545"/>
        <v>38.981288004186389</v>
      </c>
      <c r="DN352" s="25">
        <f t="shared" si="545"/>
        <v>11.439380828504801</v>
      </c>
      <c r="DO352" s="32">
        <f t="shared" si="545"/>
        <v>7.1730128098446322</v>
      </c>
      <c r="DP352" s="26">
        <f t="shared" si="523"/>
        <v>0.60159648906157714</v>
      </c>
      <c r="DQ352" s="25">
        <f t="shared" si="524"/>
        <v>0.60159648906157714</v>
      </c>
      <c r="DR352" s="24">
        <f t="shared" si="525"/>
        <v>0.45193120580983653</v>
      </c>
      <c r="DS352" s="25">
        <f t="shared" si="526"/>
        <v>0.45193120580983648</v>
      </c>
      <c r="DT352" s="24">
        <f t="shared" si="527"/>
        <v>0.67392635460841455</v>
      </c>
      <c r="DU352" s="25">
        <f t="shared" si="528"/>
        <v>0.67392635460841455</v>
      </c>
      <c r="DV352" s="24">
        <f t="shared" si="529"/>
        <v>0.67392635460841455</v>
      </c>
      <c r="DW352" s="25">
        <f t="shared" si="530"/>
        <v>0.58382028723381529</v>
      </c>
      <c r="DX352" s="32">
        <f t="shared" si="531"/>
        <v>0.58382028723381529</v>
      </c>
      <c r="DZ352" s="54" t="s">
        <v>1180</v>
      </c>
      <c r="EA352" s="39">
        <v>0</v>
      </c>
      <c r="EB352" s="40">
        <v>0</v>
      </c>
      <c r="EC352" s="39">
        <v>0</v>
      </c>
      <c r="ED352" s="40">
        <v>0</v>
      </c>
      <c r="EE352" s="39">
        <v>0.25793271586835681</v>
      </c>
      <c r="EF352" s="40">
        <v>0.15581150195861457</v>
      </c>
      <c r="EG352" s="39">
        <v>7.9871160924340878E-2</v>
      </c>
      <c r="EH352" s="40">
        <v>0</v>
      </c>
      <c r="EI352" s="66">
        <v>0</v>
      </c>
    </row>
    <row r="353" spans="1:139">
      <c r="A353" s="37" t="s">
        <v>1477</v>
      </c>
      <c r="B353" s="36" t="s">
        <v>1123</v>
      </c>
      <c r="C353" s="1" t="s">
        <v>1120</v>
      </c>
      <c r="D353" s="36" t="s">
        <v>1120</v>
      </c>
      <c r="E353" s="36" t="s">
        <v>1498</v>
      </c>
      <c r="F353" s="1" t="s">
        <v>1435</v>
      </c>
      <c r="G353" s="35" t="s">
        <v>1121</v>
      </c>
      <c r="H353" s="43">
        <v>1</v>
      </c>
      <c r="I353" s="42">
        <v>0</v>
      </c>
      <c r="J353" s="26">
        <v>0.34971125812962567</v>
      </c>
      <c r="K353" s="25">
        <v>1.0879905808477244</v>
      </c>
      <c r="L353" s="24"/>
      <c r="M353" s="25"/>
      <c r="N353" s="24"/>
      <c r="O353" s="25"/>
      <c r="P353" s="24"/>
      <c r="Q353" s="25"/>
      <c r="R353" s="32"/>
      <c r="S353" s="47">
        <v>1</v>
      </c>
      <c r="T353" s="45">
        <v>1</v>
      </c>
      <c r="U353" s="46">
        <v>1</v>
      </c>
      <c r="V353" s="45">
        <v>1</v>
      </c>
      <c r="W353" s="46">
        <v>1</v>
      </c>
      <c r="X353" s="45">
        <v>1</v>
      </c>
      <c r="Y353" s="46">
        <v>1</v>
      </c>
      <c r="Z353" s="45">
        <v>1</v>
      </c>
      <c r="AA353" s="44">
        <v>1</v>
      </c>
      <c r="AB353" s="26">
        <f t="shared" si="551"/>
        <v>0.34971125812962567</v>
      </c>
      <c r="AC353" s="25">
        <f t="shared" si="551"/>
        <v>1.0879905808477244</v>
      </c>
      <c r="AD353" s="24">
        <f t="shared" si="551"/>
        <v>0</v>
      </c>
      <c r="AE353" s="25">
        <f t="shared" si="551"/>
        <v>0</v>
      </c>
      <c r="AF353" s="24">
        <f t="shared" si="551"/>
        <v>0</v>
      </c>
      <c r="AG353" s="25">
        <f t="shared" si="551"/>
        <v>0</v>
      </c>
      <c r="AH353" s="24">
        <f t="shared" si="551"/>
        <v>0</v>
      </c>
      <c r="AI353" s="25">
        <f t="shared" si="551"/>
        <v>0</v>
      </c>
      <c r="AJ353" s="24">
        <f t="shared" si="551"/>
        <v>0</v>
      </c>
      <c r="AK353" s="27">
        <f t="shared" si="520"/>
        <v>1.4377018389773499</v>
      </c>
      <c r="AL353" s="41">
        <v>0</v>
      </c>
      <c r="AM353" s="40">
        <v>0</v>
      </c>
      <c r="AN353" s="39">
        <v>0</v>
      </c>
      <c r="AO353" s="40">
        <v>0</v>
      </c>
      <c r="AP353" s="39">
        <v>0</v>
      </c>
      <c r="AQ353" s="40">
        <v>0</v>
      </c>
      <c r="AR353" s="39">
        <v>0</v>
      </c>
      <c r="AS353" s="40">
        <v>0</v>
      </c>
      <c r="AT353" s="39">
        <v>0</v>
      </c>
      <c r="AU353" s="38">
        <v>0</v>
      </c>
      <c r="CS353" s="54" t="s">
        <v>1171</v>
      </c>
      <c r="CT353" s="39">
        <v>0</v>
      </c>
      <c r="CU353" s="40">
        <v>0</v>
      </c>
      <c r="CV353" s="39">
        <v>0</v>
      </c>
      <c r="CW353" s="40">
        <v>0</v>
      </c>
      <c r="CX353" s="39">
        <v>0</v>
      </c>
      <c r="CY353" s="40">
        <v>0</v>
      </c>
      <c r="CZ353" s="39">
        <v>0</v>
      </c>
      <c r="DA353" s="40">
        <v>0</v>
      </c>
      <c r="DB353" s="39">
        <v>0</v>
      </c>
      <c r="DC353" s="38">
        <v>0</v>
      </c>
      <c r="DE353" s="37" t="s">
        <v>1497</v>
      </c>
      <c r="DF353" s="35" t="str">
        <f t="shared" si="521"/>
        <v>INOPH</v>
      </c>
      <c r="DG353" s="26">
        <f t="shared" si="545"/>
        <v>1.9311939377959821</v>
      </c>
      <c r="DH353" s="25">
        <f t="shared" si="545"/>
        <v>5.3159271777311146</v>
      </c>
      <c r="DI353" s="24">
        <f t="shared" si="545"/>
        <v>17.822661908565095</v>
      </c>
      <c r="DJ353" s="25">
        <f t="shared" si="545"/>
        <v>12.07171269298418</v>
      </c>
      <c r="DK353" s="24">
        <f t="shared" si="545"/>
        <v>5.3616699299285768</v>
      </c>
      <c r="DL353" s="25">
        <f t="shared" si="545"/>
        <v>4.6734763265098449</v>
      </c>
      <c r="DM353" s="24">
        <f t="shared" si="545"/>
        <v>16.235667787347307</v>
      </c>
      <c r="DN353" s="25">
        <f t="shared" si="545"/>
        <v>7.2380099216522877</v>
      </c>
      <c r="DO353" s="32">
        <f t="shared" si="545"/>
        <v>4.5385618910792447</v>
      </c>
      <c r="DP353" s="26">
        <f t="shared" si="523"/>
        <v>0.35136608731952634</v>
      </c>
      <c r="DQ353" s="25">
        <f t="shared" si="524"/>
        <v>0.35136608731952634</v>
      </c>
      <c r="DR353" s="24">
        <f t="shared" si="525"/>
        <v>0.52262727388250085</v>
      </c>
      <c r="DS353" s="25">
        <f t="shared" si="526"/>
        <v>0.52262727388250074</v>
      </c>
      <c r="DT353" s="24">
        <f t="shared" si="527"/>
        <v>0.28068965821204156</v>
      </c>
      <c r="DU353" s="25">
        <f t="shared" si="528"/>
        <v>0.28068965821204156</v>
      </c>
      <c r="DV353" s="24">
        <f t="shared" si="529"/>
        <v>0.28068965821204156</v>
      </c>
      <c r="DW353" s="25">
        <f t="shared" si="530"/>
        <v>0.36939910427062589</v>
      </c>
      <c r="DX353" s="32">
        <f t="shared" si="531"/>
        <v>0.36939910427062594</v>
      </c>
      <c r="DZ353" s="54" t="s">
        <v>1195</v>
      </c>
      <c r="EA353" s="39">
        <v>0</v>
      </c>
      <c r="EB353" s="40">
        <v>0</v>
      </c>
      <c r="EC353" s="39">
        <v>0</v>
      </c>
      <c r="ED353" s="40">
        <v>0</v>
      </c>
      <c r="EE353" s="39">
        <v>7.6545956728427521E-3</v>
      </c>
      <c r="EF353" s="40">
        <v>7.4132741813752534E-3</v>
      </c>
      <c r="EG353" s="39">
        <v>7.460422967017391E-3</v>
      </c>
      <c r="EH353" s="40">
        <v>7.0581995902039719E-3</v>
      </c>
      <c r="EI353" s="66">
        <v>7.0581995902039745E-3</v>
      </c>
    </row>
    <row r="354" spans="1:139">
      <c r="A354" s="37" t="s">
        <v>1477</v>
      </c>
      <c r="B354" s="36" t="s">
        <v>1123</v>
      </c>
      <c r="C354" s="1" t="s">
        <v>1126</v>
      </c>
      <c r="D354" s="36" t="s">
        <v>1126</v>
      </c>
      <c r="E354" s="36" t="s">
        <v>1496</v>
      </c>
      <c r="F354" s="1" t="s">
        <v>1431</v>
      </c>
      <c r="G354" s="35" t="s">
        <v>1121</v>
      </c>
      <c r="H354" s="43">
        <v>1</v>
      </c>
      <c r="I354" s="42">
        <v>0</v>
      </c>
      <c r="J354" s="26">
        <v>0.12534638502261441</v>
      </c>
      <c r="K354" s="25">
        <v>0.53995365855895439</v>
      </c>
      <c r="L354" s="24"/>
      <c r="M354" s="25"/>
      <c r="N354" s="24"/>
      <c r="O354" s="25"/>
      <c r="P354" s="24"/>
      <c r="Q354" s="25"/>
      <c r="R354" s="32"/>
      <c r="S354" s="47">
        <v>1</v>
      </c>
      <c r="T354" s="45">
        <v>1</v>
      </c>
      <c r="U354" s="46">
        <v>1</v>
      </c>
      <c r="V354" s="45">
        <v>1</v>
      </c>
      <c r="W354" s="46">
        <v>1</v>
      </c>
      <c r="X354" s="45">
        <v>1</v>
      </c>
      <c r="Y354" s="46">
        <v>1</v>
      </c>
      <c r="Z354" s="45">
        <v>1</v>
      </c>
      <c r="AA354" s="44">
        <v>1</v>
      </c>
      <c r="AB354" s="26">
        <f t="shared" si="551"/>
        <v>0.12534638502261441</v>
      </c>
      <c r="AC354" s="25">
        <f t="shared" si="551"/>
        <v>0.53995365855895439</v>
      </c>
      <c r="AD354" s="24">
        <f t="shared" si="551"/>
        <v>0</v>
      </c>
      <c r="AE354" s="25">
        <f t="shared" si="551"/>
        <v>0</v>
      </c>
      <c r="AF354" s="24">
        <f t="shared" si="551"/>
        <v>0</v>
      </c>
      <c r="AG354" s="25">
        <f t="shared" si="551"/>
        <v>0</v>
      </c>
      <c r="AH354" s="24">
        <f t="shared" si="551"/>
        <v>0</v>
      </c>
      <c r="AI354" s="25">
        <f t="shared" si="551"/>
        <v>0</v>
      </c>
      <c r="AJ354" s="24">
        <f t="shared" si="551"/>
        <v>0</v>
      </c>
      <c r="AK354" s="27">
        <f t="shared" si="520"/>
        <v>0.6653000435815688</v>
      </c>
      <c r="AL354" s="41">
        <v>0</v>
      </c>
      <c r="AM354" s="40">
        <v>0</v>
      </c>
      <c r="AN354" s="39">
        <v>0</v>
      </c>
      <c r="AO354" s="40">
        <v>0</v>
      </c>
      <c r="AP354" s="39">
        <v>0</v>
      </c>
      <c r="AQ354" s="40">
        <v>0</v>
      </c>
      <c r="AR354" s="39">
        <v>0</v>
      </c>
      <c r="AS354" s="40">
        <v>0</v>
      </c>
      <c r="AT354" s="39">
        <v>0</v>
      </c>
      <c r="AU354" s="38">
        <v>0</v>
      </c>
      <c r="CS354" s="54" t="s">
        <v>1162</v>
      </c>
      <c r="CT354" s="39">
        <v>0.68093370485576654</v>
      </c>
      <c r="CU354" s="40">
        <v>0.52510028453236013</v>
      </c>
      <c r="CV354" s="39">
        <v>0</v>
      </c>
      <c r="CW354" s="40">
        <v>0</v>
      </c>
      <c r="CX354" s="39">
        <v>3.1725078976564047</v>
      </c>
      <c r="CY354" s="40">
        <v>1.0956975032870886</v>
      </c>
      <c r="CZ354" s="39">
        <v>0.79133708570734185</v>
      </c>
      <c r="DA354" s="40">
        <v>6.4012225162040096E-2</v>
      </c>
      <c r="DB354" s="39">
        <v>3.0622622806358617</v>
      </c>
      <c r="DC354" s="38">
        <v>9.3918509818368641</v>
      </c>
      <c r="DE354" s="37" t="s">
        <v>1435</v>
      </c>
      <c r="DF354" s="35" t="str">
        <f t="shared" si="521"/>
        <v>IPOPH</v>
      </c>
      <c r="DG354" s="26">
        <f t="shared" si="545"/>
        <v>0</v>
      </c>
      <c r="DH354" s="25">
        <f t="shared" si="545"/>
        <v>0</v>
      </c>
      <c r="DI354" s="24">
        <f t="shared" si="545"/>
        <v>1.8262699035658232</v>
      </c>
      <c r="DJ354" s="25">
        <f t="shared" si="545"/>
        <v>0.34971125812962567</v>
      </c>
      <c r="DK354" s="24">
        <f t="shared" si="545"/>
        <v>1.0879905808477244</v>
      </c>
      <c r="DL354" s="25">
        <f t="shared" si="545"/>
        <v>0.63173646629867874</v>
      </c>
      <c r="DM354" s="24">
        <f t="shared" si="545"/>
        <v>0.45625411454904574</v>
      </c>
      <c r="DN354" s="25">
        <f t="shared" si="545"/>
        <v>0</v>
      </c>
      <c r="DO354" s="32">
        <f t="shared" si="545"/>
        <v>0</v>
      </c>
      <c r="DP354" s="26">
        <f t="shared" si="523"/>
        <v>0</v>
      </c>
      <c r="DQ354" s="25">
        <f t="shared" si="524"/>
        <v>0</v>
      </c>
      <c r="DR354" s="24">
        <f t="shared" si="525"/>
        <v>0.18425775050743068</v>
      </c>
      <c r="DS354" s="25">
        <f t="shared" si="526"/>
        <v>0.18425775050743068</v>
      </c>
      <c r="DT354" s="24">
        <f t="shared" si="527"/>
        <v>0.21988416202473549</v>
      </c>
      <c r="DU354" s="25">
        <f t="shared" si="528"/>
        <v>0.21988416202473549</v>
      </c>
      <c r="DV354" s="24">
        <f t="shared" si="529"/>
        <v>0.21988416202473549</v>
      </c>
      <c r="DW354" s="25">
        <f t="shared" si="530"/>
        <v>0</v>
      </c>
      <c r="DX354" s="32">
        <f t="shared" si="531"/>
        <v>0</v>
      </c>
      <c r="DZ354" s="54" t="s">
        <v>1193</v>
      </c>
      <c r="EA354" s="39">
        <v>0</v>
      </c>
      <c r="EB354" s="40">
        <v>0</v>
      </c>
      <c r="EC354" s="39">
        <v>0</v>
      </c>
      <c r="ED354" s="40">
        <v>0</v>
      </c>
      <c r="EE354" s="39">
        <v>7.6545956728427521E-3</v>
      </c>
      <c r="EF354" s="40">
        <v>7.4132741813752534E-3</v>
      </c>
      <c r="EG354" s="39">
        <v>7.460422967017391E-3</v>
      </c>
      <c r="EH354" s="40">
        <v>7.0581995902039719E-3</v>
      </c>
      <c r="EI354" s="66">
        <v>7.0581995902039745E-3</v>
      </c>
    </row>
    <row r="355" spans="1:139">
      <c r="A355" s="37" t="s">
        <v>1477</v>
      </c>
      <c r="B355" s="36" t="s">
        <v>1123</v>
      </c>
      <c r="C355" s="1" t="s">
        <v>665</v>
      </c>
      <c r="D355" s="36" t="s">
        <v>665</v>
      </c>
      <c r="E355" s="36" t="s">
        <v>1495</v>
      </c>
      <c r="F355" s="1" t="s">
        <v>1427</v>
      </c>
      <c r="G355" s="35" t="s">
        <v>1121</v>
      </c>
      <c r="H355" s="43">
        <v>1</v>
      </c>
      <c r="I355" s="42">
        <v>0</v>
      </c>
      <c r="J355" s="26">
        <v>1.4228883437413895</v>
      </c>
      <c r="K355" s="25">
        <v>3.3200728020632422</v>
      </c>
      <c r="L355" s="24"/>
      <c r="M355" s="25"/>
      <c r="N355" s="24"/>
      <c r="O355" s="25"/>
      <c r="P355" s="24"/>
      <c r="Q355" s="25"/>
      <c r="R355" s="32"/>
      <c r="S355" s="47">
        <v>1</v>
      </c>
      <c r="T355" s="45">
        <v>1</v>
      </c>
      <c r="U355" s="46">
        <v>1</v>
      </c>
      <c r="V355" s="45">
        <v>1</v>
      </c>
      <c r="W355" s="46">
        <v>1</v>
      </c>
      <c r="X355" s="45">
        <v>1</v>
      </c>
      <c r="Y355" s="46">
        <v>1</v>
      </c>
      <c r="Z355" s="45">
        <v>1</v>
      </c>
      <c r="AA355" s="44">
        <v>1</v>
      </c>
      <c r="AB355" s="26">
        <f t="shared" si="551"/>
        <v>1.4228883437413895</v>
      </c>
      <c r="AC355" s="25">
        <f t="shared" si="551"/>
        <v>3.3200728020632422</v>
      </c>
      <c r="AD355" s="24">
        <f t="shared" si="551"/>
        <v>0</v>
      </c>
      <c r="AE355" s="25">
        <f t="shared" si="551"/>
        <v>0</v>
      </c>
      <c r="AF355" s="24">
        <f t="shared" si="551"/>
        <v>0</v>
      </c>
      <c r="AG355" s="25">
        <f t="shared" si="551"/>
        <v>0</v>
      </c>
      <c r="AH355" s="24">
        <f t="shared" si="551"/>
        <v>0</v>
      </c>
      <c r="AI355" s="25">
        <f t="shared" si="551"/>
        <v>0</v>
      </c>
      <c r="AJ355" s="24">
        <f t="shared" si="551"/>
        <v>0</v>
      </c>
      <c r="AK355" s="27">
        <f t="shared" si="520"/>
        <v>4.7429611458046317</v>
      </c>
      <c r="AL355" s="41">
        <v>0</v>
      </c>
      <c r="AM355" s="40">
        <v>0</v>
      </c>
      <c r="AN355" s="39">
        <v>0</v>
      </c>
      <c r="AO355" s="40">
        <v>0</v>
      </c>
      <c r="AP355" s="39">
        <v>0</v>
      </c>
      <c r="AQ355" s="40">
        <v>0</v>
      </c>
      <c r="AR355" s="39">
        <v>0</v>
      </c>
      <c r="AS355" s="40">
        <v>0</v>
      </c>
      <c r="AT355" s="39">
        <v>0</v>
      </c>
      <c r="AU355" s="38">
        <v>0</v>
      </c>
      <c r="CS355" s="54" t="s">
        <v>1168</v>
      </c>
      <c r="CT355" s="39">
        <v>0</v>
      </c>
      <c r="CU355" s="40">
        <v>0</v>
      </c>
      <c r="CV355" s="39">
        <v>0</v>
      </c>
      <c r="CW355" s="40">
        <v>0</v>
      </c>
      <c r="CX355" s="39">
        <v>0.17803312880978034</v>
      </c>
      <c r="CY355" s="40">
        <v>0.17511455292765277</v>
      </c>
      <c r="CZ355" s="39">
        <v>0.45938384384687581</v>
      </c>
      <c r="DA355" s="40">
        <v>0</v>
      </c>
      <c r="DB355" s="39">
        <v>0</v>
      </c>
      <c r="DC355" s="38">
        <v>0.81253152558430886</v>
      </c>
      <c r="DE355" s="37" t="s">
        <v>1431</v>
      </c>
      <c r="DF355" s="35" t="str">
        <f t="shared" si="521"/>
        <v>IPOPH</v>
      </c>
      <c r="DG355" s="26">
        <f t="shared" si="545"/>
        <v>0.19123358740629634</v>
      </c>
      <c r="DH355" s="25">
        <f t="shared" si="545"/>
        <v>0.16873551829967323</v>
      </c>
      <c r="DI355" s="24">
        <f t="shared" si="545"/>
        <v>0.65458667734031972</v>
      </c>
      <c r="DJ355" s="25">
        <f t="shared" si="545"/>
        <v>0.12534638502261441</v>
      </c>
      <c r="DK355" s="24">
        <f t="shared" si="545"/>
        <v>0.53995365855895439</v>
      </c>
      <c r="DL355" s="25">
        <f t="shared" si="545"/>
        <v>0.31352147916326389</v>
      </c>
      <c r="DM355" s="24">
        <f t="shared" si="545"/>
        <v>0.22643217939569057</v>
      </c>
      <c r="DN355" s="25">
        <f t="shared" si="545"/>
        <v>2.0569663183198261E-2</v>
      </c>
      <c r="DO355" s="32">
        <f t="shared" si="545"/>
        <v>0.15941488966978654</v>
      </c>
      <c r="DP355" s="26">
        <f t="shared" si="523"/>
        <v>0.13988340858987777</v>
      </c>
      <c r="DQ355" s="25">
        <f t="shared" si="524"/>
        <v>0.13988340858987774</v>
      </c>
      <c r="DR355" s="24">
        <f t="shared" si="525"/>
        <v>6.6043178198010255E-2</v>
      </c>
      <c r="DS355" s="25">
        <f t="shared" si="526"/>
        <v>6.6043178198010255E-2</v>
      </c>
      <c r="DT355" s="24">
        <f t="shared" si="527"/>
        <v>0.1091252625109288</v>
      </c>
      <c r="DU355" s="25">
        <f t="shared" si="528"/>
        <v>0.1091252625109288</v>
      </c>
      <c r="DV355" s="24">
        <f t="shared" si="529"/>
        <v>0.1091252625109288</v>
      </c>
      <c r="DW355" s="25">
        <f t="shared" si="530"/>
        <v>0.10220752719937166</v>
      </c>
      <c r="DX355" s="32">
        <f t="shared" si="531"/>
        <v>0.10220752719937168</v>
      </c>
      <c r="DZ355" s="54" t="s">
        <v>1177</v>
      </c>
      <c r="EA355" s="39">
        <v>0.1586106089125088</v>
      </c>
      <c r="EB355" s="40">
        <v>0.1586106089125088</v>
      </c>
      <c r="EC355" s="39">
        <v>0.3020681059947341</v>
      </c>
      <c r="ED355" s="40">
        <v>0.3020681059947341</v>
      </c>
      <c r="EE355" s="39">
        <v>7.755291958081674E-2</v>
      </c>
      <c r="EF355" s="40">
        <v>7.7552919580816754E-2</v>
      </c>
      <c r="EG355" s="39">
        <v>7.7552919580816754E-2</v>
      </c>
      <c r="EH355" s="40">
        <v>0.4004615875907574</v>
      </c>
      <c r="EI355" s="66">
        <v>0.4004615875907574</v>
      </c>
    </row>
    <row r="356" spans="1:139">
      <c r="A356" s="37" t="s">
        <v>1477</v>
      </c>
      <c r="B356" s="36" t="s">
        <v>1107</v>
      </c>
      <c r="C356" s="1" t="s">
        <v>1120</v>
      </c>
      <c r="D356" s="36" t="s">
        <v>1120</v>
      </c>
      <c r="E356" s="36" t="s">
        <v>1494</v>
      </c>
      <c r="F356" s="1" t="s">
        <v>1415</v>
      </c>
      <c r="G356" s="35" t="s">
        <v>1104</v>
      </c>
      <c r="H356" s="43">
        <v>1</v>
      </c>
      <c r="I356" s="42">
        <v>0</v>
      </c>
      <c r="J356" s="26">
        <v>1.7282165999999999</v>
      </c>
      <c r="K356" s="25">
        <v>0</v>
      </c>
      <c r="L356" s="24"/>
      <c r="M356" s="25"/>
      <c r="N356" s="24"/>
      <c r="O356" s="25"/>
      <c r="P356" s="24"/>
      <c r="Q356" s="25"/>
      <c r="R356" s="32"/>
      <c r="S356" s="31" t="e">
        <v>#REF!</v>
      </c>
      <c r="T356" s="29" t="e">
        <f t="shared" ref="T356:AA364" si="552">S356</f>
        <v>#REF!</v>
      </c>
      <c r="U356" s="30" t="e">
        <f t="shared" si="552"/>
        <v>#REF!</v>
      </c>
      <c r="V356" s="29" t="e">
        <f t="shared" si="552"/>
        <v>#REF!</v>
      </c>
      <c r="W356" s="30" t="e">
        <f t="shared" si="552"/>
        <v>#REF!</v>
      </c>
      <c r="X356" s="29" t="e">
        <f t="shared" si="552"/>
        <v>#REF!</v>
      </c>
      <c r="Y356" s="30" t="e">
        <f t="shared" si="552"/>
        <v>#REF!</v>
      </c>
      <c r="Z356" s="29" t="e">
        <f t="shared" si="552"/>
        <v>#REF!</v>
      </c>
      <c r="AA356" s="28" t="e">
        <f t="shared" si="552"/>
        <v>#REF!</v>
      </c>
      <c r="AB356" s="26" t="e">
        <f t="shared" si="551"/>
        <v>#REF!</v>
      </c>
      <c r="AC356" s="25" t="e">
        <f t="shared" si="551"/>
        <v>#REF!</v>
      </c>
      <c r="AD356" s="24" t="e">
        <f t="shared" si="551"/>
        <v>#REF!</v>
      </c>
      <c r="AE356" s="25" t="e">
        <f t="shared" si="551"/>
        <v>#REF!</v>
      </c>
      <c r="AF356" s="24" t="e">
        <f t="shared" si="551"/>
        <v>#REF!</v>
      </c>
      <c r="AG356" s="25" t="e">
        <f t="shared" si="551"/>
        <v>#REF!</v>
      </c>
      <c r="AH356" s="24" t="e">
        <f t="shared" si="551"/>
        <v>#REF!</v>
      </c>
      <c r="AI356" s="25" t="e">
        <f t="shared" si="551"/>
        <v>#REF!</v>
      </c>
      <c r="AJ356" s="24" t="e">
        <f t="shared" si="551"/>
        <v>#REF!</v>
      </c>
      <c r="AK356" s="27" t="e">
        <f t="shared" si="520"/>
        <v>#REF!</v>
      </c>
      <c r="AL356" s="41">
        <v>0</v>
      </c>
      <c r="AM356" s="40">
        <v>0</v>
      </c>
      <c r="AN356" s="39">
        <v>0</v>
      </c>
      <c r="AO356" s="40">
        <v>0</v>
      </c>
      <c r="AP356" s="39">
        <v>0</v>
      </c>
      <c r="AQ356" s="40">
        <v>0</v>
      </c>
      <c r="AR356" s="39">
        <v>0</v>
      </c>
      <c r="AS356" s="40">
        <v>0</v>
      </c>
      <c r="AT356" s="39">
        <v>0</v>
      </c>
      <c r="AU356" s="38">
        <v>0</v>
      </c>
      <c r="CS356" s="54" t="s">
        <v>1493</v>
      </c>
      <c r="CT356" s="39">
        <v>2.3413992000138952</v>
      </c>
      <c r="CU356" s="40">
        <v>6.4450842547055816</v>
      </c>
      <c r="CV356" s="39">
        <v>0.7483420546311963</v>
      </c>
      <c r="CW356" s="40">
        <v>0.50686986747158602</v>
      </c>
      <c r="CX356" s="39">
        <v>0.25617904367977912</v>
      </c>
      <c r="CY356" s="40">
        <v>0.22329735168933235</v>
      </c>
      <c r="CZ356" s="39">
        <v>0.77573552673367085</v>
      </c>
      <c r="DA356" s="40">
        <v>0</v>
      </c>
      <c r="DB356" s="39">
        <v>0</v>
      </c>
      <c r="DC356" s="38">
        <v>11.296907298925042</v>
      </c>
      <c r="DE356" s="37" t="s">
        <v>1427</v>
      </c>
      <c r="DF356" s="35" t="str">
        <f t="shared" si="521"/>
        <v>IPOPH</v>
      </c>
      <c r="DG356" s="26">
        <f t="shared" si="545"/>
        <v>1.1758591173973982</v>
      </c>
      <c r="DH356" s="25">
        <f t="shared" si="545"/>
        <v>1.0375227506447631</v>
      </c>
      <c r="DI356" s="24">
        <f t="shared" si="545"/>
        <v>7.4306391284272566</v>
      </c>
      <c r="DJ356" s="25">
        <f t="shared" si="545"/>
        <v>1.4228883437413895</v>
      </c>
      <c r="DK356" s="24">
        <f t="shared" si="545"/>
        <v>3.3200728020632422</v>
      </c>
      <c r="DL356" s="25">
        <f t="shared" si="545"/>
        <v>1.9277842076496248</v>
      </c>
      <c r="DM356" s="24">
        <f t="shared" si="545"/>
        <v>1.3922885944136176</v>
      </c>
      <c r="DN356" s="25">
        <f t="shared" si="545"/>
        <v>0.18068423412589069</v>
      </c>
      <c r="DO356" s="32">
        <f t="shared" si="545"/>
        <v>1.4003028144756529</v>
      </c>
      <c r="DP356" s="26">
        <f t="shared" si="523"/>
        <v>0.86011659141012231</v>
      </c>
      <c r="DQ356" s="25">
        <f t="shared" si="524"/>
        <v>0.8601165914101222</v>
      </c>
      <c r="DR356" s="24">
        <f t="shared" si="525"/>
        <v>0.74969907129455904</v>
      </c>
      <c r="DS356" s="25">
        <f t="shared" si="526"/>
        <v>0.74969907129455915</v>
      </c>
      <c r="DT356" s="24">
        <f t="shared" si="527"/>
        <v>0.67099057546433571</v>
      </c>
      <c r="DU356" s="25">
        <f t="shared" si="528"/>
        <v>0.67099057546433571</v>
      </c>
      <c r="DV356" s="24">
        <f t="shared" si="529"/>
        <v>0.6709905754643356</v>
      </c>
      <c r="DW356" s="25">
        <f t="shared" si="530"/>
        <v>0.89779247280062835</v>
      </c>
      <c r="DX356" s="32">
        <f t="shared" si="531"/>
        <v>0.89779247280062835</v>
      </c>
      <c r="DZ356" s="54" t="s">
        <v>1175</v>
      </c>
      <c r="EA356" s="39">
        <v>0.36647166811303655</v>
      </c>
      <c r="EB356" s="40">
        <v>0.36647166811303666</v>
      </c>
      <c r="EC356" s="39">
        <v>0.6979318940052659</v>
      </c>
      <c r="ED356" s="40">
        <v>0.69793189400526578</v>
      </c>
      <c r="EE356" s="39">
        <v>0.80634117732143096</v>
      </c>
      <c r="EF356" s="40">
        <v>0.80634117732143096</v>
      </c>
      <c r="EG356" s="39">
        <v>0.80634117732143096</v>
      </c>
      <c r="EH356" s="40">
        <v>0</v>
      </c>
      <c r="EI356" s="66">
        <v>0</v>
      </c>
    </row>
    <row r="357" spans="1:139" ht="15.75" thickBot="1">
      <c r="A357" s="37" t="s">
        <v>1477</v>
      </c>
      <c r="B357" s="36" t="s">
        <v>1107</v>
      </c>
      <c r="C357" s="1" t="s">
        <v>1120</v>
      </c>
      <c r="D357" s="36" t="s">
        <v>1120</v>
      </c>
      <c r="E357" s="36" t="s">
        <v>1492</v>
      </c>
      <c r="F357" s="1" t="s">
        <v>1415</v>
      </c>
      <c r="G357" s="35" t="s">
        <v>1104</v>
      </c>
      <c r="H357" s="43">
        <v>1</v>
      </c>
      <c r="I357" s="42">
        <v>0</v>
      </c>
      <c r="J357" s="26">
        <v>0</v>
      </c>
      <c r="K357" s="25">
        <v>0</v>
      </c>
      <c r="L357" s="24"/>
      <c r="M357" s="25"/>
      <c r="N357" s="24"/>
      <c r="O357" s="25"/>
      <c r="P357" s="24"/>
      <c r="Q357" s="25"/>
      <c r="R357" s="32"/>
      <c r="S357" s="31" t="e">
        <v>#REF!</v>
      </c>
      <c r="T357" s="29" t="e">
        <f t="shared" si="552"/>
        <v>#REF!</v>
      </c>
      <c r="U357" s="30" t="e">
        <f t="shared" si="552"/>
        <v>#REF!</v>
      </c>
      <c r="V357" s="29" t="e">
        <f t="shared" si="552"/>
        <v>#REF!</v>
      </c>
      <c r="W357" s="30" t="e">
        <f t="shared" si="552"/>
        <v>#REF!</v>
      </c>
      <c r="X357" s="29" t="e">
        <f t="shared" si="552"/>
        <v>#REF!</v>
      </c>
      <c r="Y357" s="30" t="e">
        <f t="shared" si="552"/>
        <v>#REF!</v>
      </c>
      <c r="Z357" s="29" t="e">
        <f t="shared" si="552"/>
        <v>#REF!</v>
      </c>
      <c r="AA357" s="28" t="e">
        <f t="shared" si="552"/>
        <v>#REF!</v>
      </c>
      <c r="AB357" s="26" t="e">
        <f t="shared" si="551"/>
        <v>#REF!</v>
      </c>
      <c r="AC357" s="25" t="e">
        <f t="shared" si="551"/>
        <v>#REF!</v>
      </c>
      <c r="AD357" s="24" t="e">
        <f t="shared" si="551"/>
        <v>#REF!</v>
      </c>
      <c r="AE357" s="25" t="e">
        <f t="shared" si="551"/>
        <v>#REF!</v>
      </c>
      <c r="AF357" s="24" t="e">
        <f t="shared" si="551"/>
        <v>#REF!</v>
      </c>
      <c r="AG357" s="25" t="e">
        <f t="shared" si="551"/>
        <v>#REF!</v>
      </c>
      <c r="AH357" s="24" t="e">
        <f t="shared" si="551"/>
        <v>#REF!</v>
      </c>
      <c r="AI357" s="25" t="e">
        <f t="shared" si="551"/>
        <v>#REF!</v>
      </c>
      <c r="AJ357" s="24" t="e">
        <f t="shared" si="551"/>
        <v>#REF!</v>
      </c>
      <c r="AK357" s="27" t="e">
        <f t="shared" si="520"/>
        <v>#REF!</v>
      </c>
      <c r="AL357" s="41">
        <v>0</v>
      </c>
      <c r="AM357" s="40">
        <v>0</v>
      </c>
      <c r="AN357" s="39">
        <v>0</v>
      </c>
      <c r="AO357" s="40">
        <v>0</v>
      </c>
      <c r="AP357" s="39">
        <v>0</v>
      </c>
      <c r="AQ357" s="40">
        <v>0</v>
      </c>
      <c r="AR357" s="39">
        <v>0</v>
      </c>
      <c r="AS357" s="40">
        <v>0</v>
      </c>
      <c r="AT357" s="39">
        <v>0</v>
      </c>
      <c r="AU357" s="38">
        <v>0</v>
      </c>
      <c r="CS357" s="53" t="s">
        <v>1491</v>
      </c>
      <c r="CT357" s="39">
        <v>0.33448560000198496</v>
      </c>
      <c r="CU357" s="40">
        <v>0.9207263221007973</v>
      </c>
      <c r="CV357" s="39">
        <v>0.10690600780445661</v>
      </c>
      <c r="CW357" s="40">
        <v>7.2409981067369414E-2</v>
      </c>
      <c r="CX357" s="39">
        <v>3.6597006239968442E-2</v>
      </c>
      <c r="CY357" s="40">
        <v>3.1899621669904621E-2</v>
      </c>
      <c r="CZ357" s="39">
        <v>0.11081936096195298</v>
      </c>
      <c r="DA357" s="40">
        <v>0</v>
      </c>
      <c r="DB357" s="39">
        <v>0</v>
      </c>
      <c r="DC357" s="38">
        <v>1.6138438998464344</v>
      </c>
      <c r="DE357" s="37" t="s">
        <v>1385</v>
      </c>
      <c r="DF357" s="35" t="str">
        <f t="shared" si="521"/>
        <v>IPAPH</v>
      </c>
      <c r="DG357" s="26">
        <f t="shared" si="545"/>
        <v>0.29709423319563899</v>
      </c>
      <c r="DH357" s="25">
        <f t="shared" si="545"/>
        <v>0.26214197046674026</v>
      </c>
      <c r="DI357" s="24">
        <f t="shared" si="545"/>
        <v>2.6284101572131831</v>
      </c>
      <c r="DJ357" s="25">
        <f t="shared" si="545"/>
        <v>0.50331258329614137</v>
      </c>
      <c r="DK357" s="24">
        <f t="shared" si="545"/>
        <v>2.236944814649517</v>
      </c>
      <c r="DL357" s="25">
        <f t="shared" si="545"/>
        <v>1.2988711826997197</v>
      </c>
      <c r="DM357" s="24">
        <f t="shared" si="545"/>
        <v>0.93807363194979754</v>
      </c>
      <c r="DN357" s="25">
        <f t="shared" si="545"/>
        <v>0.35791117034392272</v>
      </c>
      <c r="DO357" s="32">
        <f t="shared" si="545"/>
        <v>2.7738115701654009</v>
      </c>
      <c r="DP357" s="26">
        <f t="shared" si="523"/>
        <v>2.9082321648500751E-2</v>
      </c>
      <c r="DQ357" s="25">
        <f t="shared" si="524"/>
        <v>2.908232164850074E-2</v>
      </c>
      <c r="DR357" s="24">
        <f t="shared" si="525"/>
        <v>0.18376762831692692</v>
      </c>
      <c r="DS357" s="25">
        <f t="shared" si="526"/>
        <v>0.18376762831692695</v>
      </c>
      <c r="DT357" s="24">
        <f t="shared" si="527"/>
        <v>0.17255970084153813</v>
      </c>
      <c r="DU357" s="25">
        <f t="shared" si="528"/>
        <v>0.17255970084153813</v>
      </c>
      <c r="DV357" s="24">
        <f t="shared" si="529"/>
        <v>0.17255970084153813</v>
      </c>
      <c r="DW357" s="25">
        <f t="shared" si="530"/>
        <v>0.25976355982138016</v>
      </c>
      <c r="DX357" s="32">
        <f t="shared" si="531"/>
        <v>0.25976355982138016</v>
      </c>
      <c r="DZ357" s="53" t="s">
        <v>1173</v>
      </c>
      <c r="EA357" s="39">
        <v>0.4749177229744545</v>
      </c>
      <c r="EB357" s="40">
        <v>0.47491772297445456</v>
      </c>
      <c r="EC357" s="39">
        <v>0</v>
      </c>
      <c r="ED357" s="40">
        <v>0</v>
      </c>
      <c r="EE357" s="39">
        <v>0.11610590309775233</v>
      </c>
      <c r="EF357" s="40">
        <v>0.11610590309775234</v>
      </c>
      <c r="EG357" s="39">
        <v>0.11610590309775234</v>
      </c>
      <c r="EH357" s="40">
        <v>0.59953841240924266</v>
      </c>
      <c r="EI357" s="66">
        <v>0.59953841240924266</v>
      </c>
    </row>
    <row r="358" spans="1:139">
      <c r="A358" s="37" t="s">
        <v>1477</v>
      </c>
      <c r="B358" s="36" t="s">
        <v>1107</v>
      </c>
      <c r="C358" s="1" t="s">
        <v>1126</v>
      </c>
      <c r="D358" s="36" t="s">
        <v>1126</v>
      </c>
      <c r="E358" s="36" t="s">
        <v>1490</v>
      </c>
      <c r="F358" s="1" t="s">
        <v>1412</v>
      </c>
      <c r="G358" s="35" t="s">
        <v>1104</v>
      </c>
      <c r="H358" s="43">
        <v>1</v>
      </c>
      <c r="I358" s="42">
        <v>0</v>
      </c>
      <c r="J358" s="26">
        <v>0.2222031516703516</v>
      </c>
      <c r="K358" s="25">
        <v>0.12902118484084932</v>
      </c>
      <c r="L358" s="24"/>
      <c r="M358" s="25"/>
      <c r="N358" s="24"/>
      <c r="O358" s="25"/>
      <c r="P358" s="24"/>
      <c r="Q358" s="25"/>
      <c r="R358" s="32"/>
      <c r="S358" s="31" t="e">
        <v>#REF!</v>
      </c>
      <c r="T358" s="29" t="e">
        <f t="shared" si="552"/>
        <v>#REF!</v>
      </c>
      <c r="U358" s="30" t="e">
        <f t="shared" si="552"/>
        <v>#REF!</v>
      </c>
      <c r="V358" s="29" t="e">
        <f t="shared" si="552"/>
        <v>#REF!</v>
      </c>
      <c r="W358" s="30" t="e">
        <f t="shared" si="552"/>
        <v>#REF!</v>
      </c>
      <c r="X358" s="29" t="e">
        <f t="shared" si="552"/>
        <v>#REF!</v>
      </c>
      <c r="Y358" s="30" t="e">
        <f t="shared" si="552"/>
        <v>#REF!</v>
      </c>
      <c r="Z358" s="29" t="e">
        <f t="shared" si="552"/>
        <v>#REF!</v>
      </c>
      <c r="AA358" s="28" t="e">
        <f t="shared" si="552"/>
        <v>#REF!</v>
      </c>
      <c r="AB358" s="26" t="e">
        <f t="shared" si="551"/>
        <v>#REF!</v>
      </c>
      <c r="AC358" s="25" t="e">
        <f t="shared" si="551"/>
        <v>#REF!</v>
      </c>
      <c r="AD358" s="24" t="e">
        <f t="shared" si="551"/>
        <v>#REF!</v>
      </c>
      <c r="AE358" s="25" t="e">
        <f t="shared" si="551"/>
        <v>#REF!</v>
      </c>
      <c r="AF358" s="24" t="e">
        <f t="shared" si="551"/>
        <v>#REF!</v>
      </c>
      <c r="AG358" s="25" t="e">
        <f t="shared" si="551"/>
        <v>#REF!</v>
      </c>
      <c r="AH358" s="24" t="e">
        <f t="shared" si="551"/>
        <v>#REF!</v>
      </c>
      <c r="AI358" s="25" t="e">
        <f t="shared" si="551"/>
        <v>#REF!</v>
      </c>
      <c r="AJ358" s="24" t="e">
        <f t="shared" si="551"/>
        <v>#REF!</v>
      </c>
      <c r="AK358" s="27" t="e">
        <f t="shared" si="520"/>
        <v>#REF!</v>
      </c>
      <c r="AL358" s="41">
        <v>0</v>
      </c>
      <c r="AM358" s="40">
        <v>0</v>
      </c>
      <c r="AN358" s="39">
        <v>0</v>
      </c>
      <c r="AO358" s="40">
        <v>0</v>
      </c>
      <c r="AP358" s="39">
        <v>0</v>
      </c>
      <c r="AQ358" s="40">
        <v>0</v>
      </c>
      <c r="AR358" s="39">
        <v>0</v>
      </c>
      <c r="AS358" s="40">
        <v>0</v>
      </c>
      <c r="AT358" s="39">
        <v>0</v>
      </c>
      <c r="AU358" s="38">
        <v>0</v>
      </c>
      <c r="CS358" s="67" t="s">
        <v>1489</v>
      </c>
      <c r="CT358" s="39">
        <v>1.5848343229962696E-2</v>
      </c>
      <c r="CU358" s="40">
        <v>4.362515687798825E-2</v>
      </c>
      <c r="CV358" s="39">
        <v>3.1517667686714733E-2</v>
      </c>
      <c r="CW358" s="40">
        <v>2.1347665742575003E-2</v>
      </c>
      <c r="CX358" s="39">
        <v>8.0920542120730098E-3</v>
      </c>
      <c r="CY358" s="40">
        <v>7.053403937056839E-3</v>
      </c>
      <c r="CZ358" s="39">
        <v>2.4503541922837456E-2</v>
      </c>
      <c r="DA358" s="40">
        <v>4.0614515620219314E-3</v>
      </c>
      <c r="DB358" s="39">
        <v>2.5467151166392856E-3</v>
      </c>
      <c r="DC358" s="38">
        <v>0.15859600028786922</v>
      </c>
      <c r="DE358" s="37" t="s">
        <v>1382</v>
      </c>
      <c r="DF358" s="35" t="str">
        <f t="shared" si="521"/>
        <v>IPAPH</v>
      </c>
      <c r="DG358" s="26">
        <f t="shared" ref="DG358:DO367" si="553">GETPIVOTDATA("Sum of "&amp;DG$1&amp;" (Out)",$CS$6,"Constraint Identifier",$DE358)</f>
        <v>8.1174856056976328</v>
      </c>
      <c r="DH358" s="25">
        <f t="shared" si="553"/>
        <v>7.1624872991449697</v>
      </c>
      <c r="DI358" s="24">
        <f t="shared" si="553"/>
        <v>9.8067893328349065</v>
      </c>
      <c r="DJ358" s="25">
        <f t="shared" si="553"/>
        <v>1.8778958296917907</v>
      </c>
      <c r="DK358" s="24">
        <f t="shared" si="553"/>
        <v>8.5388083880002785</v>
      </c>
      <c r="DL358" s="25">
        <f t="shared" si="553"/>
        <v>4.9580177736775815</v>
      </c>
      <c r="DM358" s="24">
        <f t="shared" si="553"/>
        <v>3.580790614322698</v>
      </c>
      <c r="DN358" s="25">
        <f t="shared" si="553"/>
        <v>0.95874339795090846</v>
      </c>
      <c r="DO358" s="32">
        <f t="shared" si="553"/>
        <v>7.4302613341195398</v>
      </c>
      <c r="DP358" s="26">
        <f t="shared" si="523"/>
        <v>0.79461430409696288</v>
      </c>
      <c r="DQ358" s="25">
        <f t="shared" si="524"/>
        <v>0.79461430409696265</v>
      </c>
      <c r="DR358" s="24">
        <f t="shared" si="525"/>
        <v>0.68565037772095316</v>
      </c>
      <c r="DS358" s="25">
        <f t="shared" si="526"/>
        <v>0.68565037772095339</v>
      </c>
      <c r="DT358" s="24">
        <f t="shared" si="527"/>
        <v>0.65869046537359666</v>
      </c>
      <c r="DU358" s="25">
        <f t="shared" si="528"/>
        <v>0.65869046537359677</v>
      </c>
      <c r="DV358" s="24">
        <f t="shared" si="529"/>
        <v>0.65869046537359677</v>
      </c>
      <c r="DW358" s="25">
        <f t="shared" si="530"/>
        <v>0.69583354374679363</v>
      </c>
      <c r="DX358" s="32">
        <f t="shared" si="531"/>
        <v>0.69583354374679363</v>
      </c>
      <c r="DZ358" s="67" t="s">
        <v>1162</v>
      </c>
      <c r="EA358" s="39">
        <v>1</v>
      </c>
      <c r="EB358" s="40">
        <v>1</v>
      </c>
      <c r="EC358" s="39">
        <v>0</v>
      </c>
      <c r="ED358" s="40">
        <v>0</v>
      </c>
      <c r="EE358" s="39">
        <v>0.94686436387333184</v>
      </c>
      <c r="EF358" s="40">
        <v>0.86220263486541715</v>
      </c>
      <c r="EG358" s="39">
        <v>0.63270476011734322</v>
      </c>
      <c r="EH358" s="40">
        <v>1</v>
      </c>
      <c r="EI358" s="66">
        <v>1</v>
      </c>
    </row>
    <row r="359" spans="1:139">
      <c r="A359" s="37" t="s">
        <v>1477</v>
      </c>
      <c r="B359" s="36" t="s">
        <v>1107</v>
      </c>
      <c r="C359" s="1" t="s">
        <v>665</v>
      </c>
      <c r="D359" s="36" t="s">
        <v>665</v>
      </c>
      <c r="E359" s="36" t="s">
        <v>1488</v>
      </c>
      <c r="F359" s="1" t="s">
        <v>1409</v>
      </c>
      <c r="G359" s="35" t="s">
        <v>1104</v>
      </c>
      <c r="H359" s="43">
        <v>1</v>
      </c>
      <c r="I359" s="42">
        <v>0</v>
      </c>
      <c r="J359" s="26">
        <v>2.5188063810000001</v>
      </c>
      <c r="K359" s="25">
        <v>4.2950341319999996</v>
      </c>
      <c r="L359" s="24"/>
      <c r="M359" s="25"/>
      <c r="N359" s="24"/>
      <c r="O359" s="25"/>
      <c r="P359" s="24"/>
      <c r="Q359" s="25"/>
      <c r="R359" s="32"/>
      <c r="S359" s="31" t="e">
        <v>#REF!</v>
      </c>
      <c r="T359" s="29" t="e">
        <f t="shared" si="552"/>
        <v>#REF!</v>
      </c>
      <c r="U359" s="30" t="e">
        <f t="shared" si="552"/>
        <v>#REF!</v>
      </c>
      <c r="V359" s="29" t="e">
        <f t="shared" si="552"/>
        <v>#REF!</v>
      </c>
      <c r="W359" s="30" t="e">
        <f t="shared" si="552"/>
        <v>#REF!</v>
      </c>
      <c r="X359" s="29" t="e">
        <f t="shared" si="552"/>
        <v>#REF!</v>
      </c>
      <c r="Y359" s="30" t="e">
        <f t="shared" si="552"/>
        <v>#REF!</v>
      </c>
      <c r="Z359" s="29" t="e">
        <f t="shared" si="552"/>
        <v>#REF!</v>
      </c>
      <c r="AA359" s="28" t="e">
        <f t="shared" si="552"/>
        <v>#REF!</v>
      </c>
      <c r="AB359" s="26" t="e">
        <f t="shared" si="551"/>
        <v>#REF!</v>
      </c>
      <c r="AC359" s="25" t="e">
        <f t="shared" si="551"/>
        <v>#REF!</v>
      </c>
      <c r="AD359" s="24" t="e">
        <f t="shared" si="551"/>
        <v>#REF!</v>
      </c>
      <c r="AE359" s="25" t="e">
        <f t="shared" si="551"/>
        <v>#REF!</v>
      </c>
      <c r="AF359" s="24" t="e">
        <f t="shared" si="551"/>
        <v>#REF!</v>
      </c>
      <c r="AG359" s="25" t="e">
        <f t="shared" si="551"/>
        <v>#REF!</v>
      </c>
      <c r="AH359" s="24" t="e">
        <f t="shared" si="551"/>
        <v>#REF!</v>
      </c>
      <c r="AI359" s="25" t="e">
        <f t="shared" si="551"/>
        <v>#REF!</v>
      </c>
      <c r="AJ359" s="24" t="e">
        <f t="shared" si="551"/>
        <v>#REF!</v>
      </c>
      <c r="AK359" s="27" t="e">
        <f t="shared" si="520"/>
        <v>#REF!</v>
      </c>
      <c r="AL359" s="41">
        <v>0</v>
      </c>
      <c r="AM359" s="40">
        <v>0</v>
      </c>
      <c r="AN359" s="39">
        <v>0</v>
      </c>
      <c r="AO359" s="40">
        <v>0</v>
      </c>
      <c r="AP359" s="39">
        <v>0</v>
      </c>
      <c r="AQ359" s="40">
        <v>0</v>
      </c>
      <c r="AR359" s="39">
        <v>0</v>
      </c>
      <c r="AS359" s="40">
        <v>0</v>
      </c>
      <c r="AT359" s="39">
        <v>0</v>
      </c>
      <c r="AU359" s="38">
        <v>0</v>
      </c>
      <c r="CS359" s="54" t="s">
        <v>1487</v>
      </c>
      <c r="CT359" s="39">
        <v>0.44946352079487939</v>
      </c>
      <c r="CU359" s="40">
        <v>1.2372218547449834</v>
      </c>
      <c r="CV359" s="39">
        <v>0.8938500182739384</v>
      </c>
      <c r="CW359" s="40">
        <v>0.60542587109482859</v>
      </c>
      <c r="CX359" s="39">
        <v>0.22949295859173094</v>
      </c>
      <c r="CY359" s="40">
        <v>0.2000365414313085</v>
      </c>
      <c r="CZ359" s="39">
        <v>0.69492741700353589</v>
      </c>
      <c r="DA359" s="40">
        <v>0.11518392125386449</v>
      </c>
      <c r="DB359" s="39">
        <v>7.222556491723138E-2</v>
      </c>
      <c r="DC359" s="38">
        <v>4.497827668106301</v>
      </c>
      <c r="DE359" s="37" t="s">
        <v>1379</v>
      </c>
      <c r="DF359" s="35" t="str">
        <f t="shared" si="521"/>
        <v>IPAPH</v>
      </c>
      <c r="DG359" s="26">
        <f t="shared" si="553"/>
        <v>1.4072783363802552</v>
      </c>
      <c r="DH359" s="25">
        <f t="shared" si="553"/>
        <v>1.2417161791590487</v>
      </c>
      <c r="DI359" s="24">
        <f t="shared" si="553"/>
        <v>0.2779079067641681</v>
      </c>
      <c r="DJ359" s="25">
        <f t="shared" si="553"/>
        <v>5.321640767824494E-2</v>
      </c>
      <c r="DK359" s="24">
        <f t="shared" si="553"/>
        <v>0.99337294332723924</v>
      </c>
      <c r="DL359" s="25">
        <f t="shared" si="553"/>
        <v>0.57679719289968734</v>
      </c>
      <c r="DM359" s="24">
        <f t="shared" si="553"/>
        <v>0.41657575042755196</v>
      </c>
      <c r="DN359" s="25">
        <f t="shared" si="553"/>
        <v>0</v>
      </c>
      <c r="DO359" s="32">
        <f t="shared" si="553"/>
        <v>0</v>
      </c>
      <c r="DP359" s="26">
        <f t="shared" si="523"/>
        <v>0.13775737343453215</v>
      </c>
      <c r="DQ359" s="25">
        <f t="shared" si="524"/>
        <v>0.13775737343453212</v>
      </c>
      <c r="DR359" s="24">
        <f t="shared" si="525"/>
        <v>1.9430177887731638E-2</v>
      </c>
      <c r="DS359" s="25">
        <f t="shared" si="526"/>
        <v>1.9430177887731635E-2</v>
      </c>
      <c r="DT359" s="24">
        <f t="shared" si="527"/>
        <v>7.6629578343658855E-2</v>
      </c>
      <c r="DU359" s="25">
        <f t="shared" si="528"/>
        <v>7.6629578343658869E-2</v>
      </c>
      <c r="DV359" s="24">
        <f t="shared" si="529"/>
        <v>7.6629578343658855E-2</v>
      </c>
      <c r="DW359" s="25">
        <f t="shared" si="530"/>
        <v>0</v>
      </c>
      <c r="DX359" s="32">
        <f t="shared" si="531"/>
        <v>0</v>
      </c>
      <c r="DZ359" s="54" t="s">
        <v>1171</v>
      </c>
      <c r="EA359" s="39">
        <v>0</v>
      </c>
      <c r="EB359" s="40">
        <v>0</v>
      </c>
      <c r="EC359" s="39">
        <v>0</v>
      </c>
      <c r="ED359" s="40">
        <v>0</v>
      </c>
      <c r="EE359" s="39">
        <v>0</v>
      </c>
      <c r="EF359" s="40">
        <v>0</v>
      </c>
      <c r="EG359" s="39">
        <v>0</v>
      </c>
      <c r="EH359" s="40">
        <v>0</v>
      </c>
      <c r="EI359" s="66">
        <v>0</v>
      </c>
    </row>
    <row r="360" spans="1:139">
      <c r="A360" s="37" t="s">
        <v>1477</v>
      </c>
      <c r="B360" s="36" t="s">
        <v>1107</v>
      </c>
      <c r="C360" s="1" t="s">
        <v>665</v>
      </c>
      <c r="D360" s="36" t="s">
        <v>665</v>
      </c>
      <c r="E360" s="36" t="s">
        <v>1486</v>
      </c>
      <c r="F360" s="1" t="s">
        <v>1423</v>
      </c>
      <c r="G360" s="35" t="s">
        <v>1109</v>
      </c>
      <c r="H360" s="34">
        <f>1-I360</f>
        <v>0.88395054508992521</v>
      </c>
      <c r="I360" s="33">
        <v>0.11604945491007485</v>
      </c>
      <c r="J360" s="26" t="e">
        <v>#REF!</v>
      </c>
      <c r="K360" s="25" t="e">
        <v>#REF!</v>
      </c>
      <c r="L360" s="24"/>
      <c r="M360" s="25"/>
      <c r="N360" s="24"/>
      <c r="O360" s="25"/>
      <c r="P360" s="24"/>
      <c r="Q360" s="25"/>
      <c r="R360" s="32"/>
      <c r="S360" s="31" t="e">
        <v>#REF!</v>
      </c>
      <c r="T360" s="29" t="e">
        <f t="shared" si="552"/>
        <v>#REF!</v>
      </c>
      <c r="U360" s="30" t="e">
        <f t="shared" si="552"/>
        <v>#REF!</v>
      </c>
      <c r="V360" s="29" t="e">
        <f t="shared" si="552"/>
        <v>#REF!</v>
      </c>
      <c r="W360" s="30" t="e">
        <f t="shared" si="552"/>
        <v>#REF!</v>
      </c>
      <c r="X360" s="29" t="e">
        <f t="shared" si="552"/>
        <v>#REF!</v>
      </c>
      <c r="Y360" s="30" t="e">
        <f t="shared" si="552"/>
        <v>#REF!</v>
      </c>
      <c r="Z360" s="29" t="e">
        <f t="shared" si="552"/>
        <v>#REF!</v>
      </c>
      <c r="AA360" s="28" t="e">
        <f t="shared" si="552"/>
        <v>#REF!</v>
      </c>
      <c r="AB360" s="26" t="e">
        <f t="shared" ref="AB360:AJ361" si="554">J360*31.536*$H360*S360</f>
        <v>#REF!</v>
      </c>
      <c r="AC360" s="25" t="e">
        <f t="shared" si="554"/>
        <v>#REF!</v>
      </c>
      <c r="AD360" s="24" t="e">
        <f t="shared" si="554"/>
        <v>#REF!</v>
      </c>
      <c r="AE360" s="25" t="e">
        <f t="shared" si="554"/>
        <v>#REF!</v>
      </c>
      <c r="AF360" s="24" t="e">
        <f t="shared" si="554"/>
        <v>#REF!</v>
      </c>
      <c r="AG360" s="25" t="e">
        <f t="shared" si="554"/>
        <v>#REF!</v>
      </c>
      <c r="AH360" s="24" t="e">
        <f t="shared" si="554"/>
        <v>#REF!</v>
      </c>
      <c r="AI360" s="25" t="e">
        <f t="shared" si="554"/>
        <v>#REF!</v>
      </c>
      <c r="AJ360" s="24" t="e">
        <f t="shared" si="554"/>
        <v>#REF!</v>
      </c>
      <c r="AK360" s="27" t="e">
        <f t="shared" si="520"/>
        <v>#REF!</v>
      </c>
      <c r="AL360" s="26" t="e">
        <f t="shared" ref="AL360:AT361" si="555">J360*31.536*$I360*S360</f>
        <v>#REF!</v>
      </c>
      <c r="AM360" s="25" t="e">
        <f t="shared" si="555"/>
        <v>#REF!</v>
      </c>
      <c r="AN360" s="24" t="e">
        <f t="shared" si="555"/>
        <v>#REF!</v>
      </c>
      <c r="AO360" s="25" t="e">
        <f t="shared" si="555"/>
        <v>#REF!</v>
      </c>
      <c r="AP360" s="24" t="e">
        <f t="shared" si="555"/>
        <v>#REF!</v>
      </c>
      <c r="AQ360" s="25" t="e">
        <f t="shared" si="555"/>
        <v>#REF!</v>
      </c>
      <c r="AR360" s="24" t="e">
        <f t="shared" si="555"/>
        <v>#REF!</v>
      </c>
      <c r="AS360" s="25" t="e">
        <f t="shared" si="555"/>
        <v>#REF!</v>
      </c>
      <c r="AT360" s="24" t="e">
        <f t="shared" si="555"/>
        <v>#REF!</v>
      </c>
      <c r="AU360" s="23" t="e">
        <f>SUM(AL360:AT360)</f>
        <v>#REF!</v>
      </c>
      <c r="CS360" s="54" t="s">
        <v>1424</v>
      </c>
      <c r="CT360" s="39">
        <v>0.33448560000198496</v>
      </c>
      <c r="CU360" s="40">
        <v>0.9207263221007973</v>
      </c>
      <c r="CV360" s="39">
        <v>0.10690600780445661</v>
      </c>
      <c r="CW360" s="40">
        <v>7.2409981067369414E-2</v>
      </c>
      <c r="CX360" s="39">
        <v>3.6597006239968442E-2</v>
      </c>
      <c r="CY360" s="40">
        <v>3.1899621669904621E-2</v>
      </c>
      <c r="CZ360" s="39">
        <v>0.11081936096195298</v>
      </c>
      <c r="DA360" s="40">
        <v>0</v>
      </c>
      <c r="DB360" s="39">
        <v>0</v>
      </c>
      <c r="DC360" s="38">
        <v>1.6138438998464344</v>
      </c>
      <c r="DE360" s="37" t="s">
        <v>1376</v>
      </c>
      <c r="DF360" s="35" t="str">
        <f t="shared" si="521"/>
        <v>IPAPH</v>
      </c>
      <c r="DG360" s="26">
        <f t="shared" si="553"/>
        <v>0.39377167664906915</v>
      </c>
      <c r="DH360" s="25">
        <f t="shared" si="553"/>
        <v>0.34744559704329631</v>
      </c>
      <c r="DI360" s="24">
        <f t="shared" si="553"/>
        <v>1.5897933985346173</v>
      </c>
      <c r="DJ360" s="25">
        <f t="shared" si="553"/>
        <v>0.3044285231236501</v>
      </c>
      <c r="DK360" s="24">
        <f t="shared" si="553"/>
        <v>1.1941833853932555</v>
      </c>
      <c r="DL360" s="25">
        <f t="shared" si="553"/>
        <v>0.69339680442189033</v>
      </c>
      <c r="DM360" s="24">
        <f t="shared" si="553"/>
        <v>0.50078658097136519</v>
      </c>
      <c r="DN360" s="25">
        <f t="shared" si="553"/>
        <v>6.1179838463496831E-2</v>
      </c>
      <c r="DO360" s="32">
        <f t="shared" si="553"/>
        <v>0.47414374809210041</v>
      </c>
      <c r="DP360" s="26">
        <f t="shared" si="523"/>
        <v>3.8546000820004339E-2</v>
      </c>
      <c r="DQ360" s="25">
        <f t="shared" si="524"/>
        <v>3.8546000820004332E-2</v>
      </c>
      <c r="DR360" s="24">
        <f t="shared" si="525"/>
        <v>0.11115181607438825</v>
      </c>
      <c r="DS360" s="25">
        <f t="shared" si="526"/>
        <v>0.11115181607438826</v>
      </c>
      <c r="DT360" s="24">
        <f t="shared" si="527"/>
        <v>9.2120255441206306E-2</v>
      </c>
      <c r="DU360" s="25">
        <f t="shared" si="528"/>
        <v>9.2120255441206306E-2</v>
      </c>
      <c r="DV360" s="24">
        <f t="shared" si="529"/>
        <v>9.2120255441206292E-2</v>
      </c>
      <c r="DW360" s="25">
        <f t="shared" si="530"/>
        <v>4.4402896431826273E-2</v>
      </c>
      <c r="DX360" s="32">
        <f t="shared" si="531"/>
        <v>4.4402896431826273E-2</v>
      </c>
      <c r="DZ360" s="54" t="s">
        <v>1168</v>
      </c>
      <c r="EA360" s="39">
        <v>0</v>
      </c>
      <c r="EB360" s="40">
        <v>0</v>
      </c>
      <c r="EC360" s="39">
        <v>0</v>
      </c>
      <c r="ED360" s="40">
        <v>0</v>
      </c>
      <c r="EE360" s="39">
        <v>5.3135636126668127E-2</v>
      </c>
      <c r="EF360" s="40">
        <v>0.13779736513458288</v>
      </c>
      <c r="EG360" s="39">
        <v>0.36729523988265672</v>
      </c>
      <c r="EH360" s="40">
        <v>0</v>
      </c>
      <c r="EI360" s="66">
        <v>0</v>
      </c>
    </row>
    <row r="361" spans="1:139">
      <c r="A361" s="37" t="s">
        <v>1477</v>
      </c>
      <c r="B361" s="36" t="s">
        <v>1107</v>
      </c>
      <c r="C361" s="1" t="s">
        <v>665</v>
      </c>
      <c r="D361" s="36" t="s">
        <v>665</v>
      </c>
      <c r="E361" s="36" t="s">
        <v>1485</v>
      </c>
      <c r="F361" s="1" t="s">
        <v>1423</v>
      </c>
      <c r="G361" s="35" t="s">
        <v>1109</v>
      </c>
      <c r="H361" s="34">
        <f>1-I361</f>
        <v>0.50866278947655541</v>
      </c>
      <c r="I361" s="33">
        <v>0.49133721052344465</v>
      </c>
      <c r="J361" s="26">
        <v>8.6465217391304364E-3</v>
      </c>
      <c r="K361" s="25">
        <v>5.1193890580493076E-2</v>
      </c>
      <c r="L361" s="24"/>
      <c r="M361" s="25"/>
      <c r="N361" s="24"/>
      <c r="O361" s="25"/>
      <c r="P361" s="24"/>
      <c r="Q361" s="25"/>
      <c r="R361" s="32"/>
      <c r="S361" s="31" t="e">
        <v>#REF!</v>
      </c>
      <c r="T361" s="29" t="e">
        <f t="shared" si="552"/>
        <v>#REF!</v>
      </c>
      <c r="U361" s="30" t="e">
        <f t="shared" si="552"/>
        <v>#REF!</v>
      </c>
      <c r="V361" s="29" t="e">
        <f t="shared" si="552"/>
        <v>#REF!</v>
      </c>
      <c r="W361" s="30" t="e">
        <f t="shared" si="552"/>
        <v>#REF!</v>
      </c>
      <c r="X361" s="29" t="e">
        <f t="shared" si="552"/>
        <v>#REF!</v>
      </c>
      <c r="Y361" s="30" t="e">
        <f t="shared" si="552"/>
        <v>#REF!</v>
      </c>
      <c r="Z361" s="29" t="e">
        <f t="shared" si="552"/>
        <v>#REF!</v>
      </c>
      <c r="AA361" s="28" t="e">
        <f t="shared" si="552"/>
        <v>#REF!</v>
      </c>
      <c r="AB361" s="26" t="e">
        <f t="shared" si="554"/>
        <v>#REF!</v>
      </c>
      <c r="AC361" s="25" t="e">
        <f t="shared" si="554"/>
        <v>#REF!</v>
      </c>
      <c r="AD361" s="24" t="e">
        <f t="shared" si="554"/>
        <v>#REF!</v>
      </c>
      <c r="AE361" s="25" t="e">
        <f t="shared" si="554"/>
        <v>#REF!</v>
      </c>
      <c r="AF361" s="24" t="e">
        <f t="shared" si="554"/>
        <v>#REF!</v>
      </c>
      <c r="AG361" s="25" t="e">
        <f t="shared" si="554"/>
        <v>#REF!</v>
      </c>
      <c r="AH361" s="24" t="e">
        <f t="shared" si="554"/>
        <v>#REF!</v>
      </c>
      <c r="AI361" s="25" t="e">
        <f t="shared" si="554"/>
        <v>#REF!</v>
      </c>
      <c r="AJ361" s="24" t="e">
        <f t="shared" si="554"/>
        <v>#REF!</v>
      </c>
      <c r="AK361" s="27" t="e">
        <f t="shared" si="520"/>
        <v>#REF!</v>
      </c>
      <c r="AL361" s="26" t="e">
        <f t="shared" si="555"/>
        <v>#REF!</v>
      </c>
      <c r="AM361" s="25" t="e">
        <f t="shared" si="555"/>
        <v>#REF!</v>
      </c>
      <c r="AN361" s="24" t="e">
        <f t="shared" si="555"/>
        <v>#REF!</v>
      </c>
      <c r="AO361" s="25" t="e">
        <f t="shared" si="555"/>
        <v>#REF!</v>
      </c>
      <c r="AP361" s="24" t="e">
        <f t="shared" si="555"/>
        <v>#REF!</v>
      </c>
      <c r="AQ361" s="25" t="e">
        <f t="shared" si="555"/>
        <v>#REF!</v>
      </c>
      <c r="AR361" s="24" t="e">
        <f t="shared" si="555"/>
        <v>#REF!</v>
      </c>
      <c r="AS361" s="25" t="e">
        <f t="shared" si="555"/>
        <v>#REF!</v>
      </c>
      <c r="AT361" s="24" t="e">
        <f t="shared" si="555"/>
        <v>#REF!</v>
      </c>
      <c r="AU361" s="23" t="e">
        <f>SUM(AL361:AT361)</f>
        <v>#REF!</v>
      </c>
      <c r="CS361" s="54" t="s">
        <v>1419</v>
      </c>
      <c r="CT361" s="39">
        <v>0.50566826796549391</v>
      </c>
      <c r="CU361" s="40">
        <v>1.3919346141184752</v>
      </c>
      <c r="CV361" s="39">
        <v>3.9596470135963298</v>
      </c>
      <c r="CW361" s="40">
        <v>2.6819630736975628</v>
      </c>
      <c r="CX361" s="39">
        <v>0.96821517358177578</v>
      </c>
      <c r="CY361" s="40">
        <v>0.84394055431202697</v>
      </c>
      <c r="CZ361" s="39">
        <v>2.9318514773161208</v>
      </c>
      <c r="DA361" s="40">
        <v>0.5831437495685764</v>
      </c>
      <c r="DB361" s="39">
        <v>0.36565769147340821</v>
      </c>
      <c r="DC361" s="38">
        <v>14.232021615629771</v>
      </c>
      <c r="DE361" s="37" t="s">
        <v>1312</v>
      </c>
      <c r="DF361" s="35" t="str">
        <f t="shared" si="521"/>
        <v>IPBPH</v>
      </c>
      <c r="DG361" s="26">
        <f t="shared" si="553"/>
        <v>0.11614469291625341</v>
      </c>
      <c r="DH361" s="25">
        <f t="shared" si="553"/>
        <v>0.10248061139669419</v>
      </c>
      <c r="DI361" s="24">
        <f t="shared" si="553"/>
        <v>0.330280370444203</v>
      </c>
      <c r="DJ361" s="25">
        <f t="shared" si="553"/>
        <v>6.3245177319102702E-2</v>
      </c>
      <c r="DK361" s="24">
        <f t="shared" si="553"/>
        <v>0.72146350423272698</v>
      </c>
      <c r="DL361" s="25">
        <f t="shared" si="553"/>
        <v>0.41891429278029313</v>
      </c>
      <c r="DM361" s="24">
        <f t="shared" si="553"/>
        <v>0.30254921145243396</v>
      </c>
      <c r="DN361" s="25">
        <f t="shared" si="553"/>
        <v>5.9965797754408481E-2</v>
      </c>
      <c r="DO361" s="32">
        <f t="shared" si="553"/>
        <v>0.46473493259666576</v>
      </c>
      <c r="DP361" s="26">
        <f t="shared" si="523"/>
        <v>6.6725776974475667E-2</v>
      </c>
      <c r="DQ361" s="25">
        <f t="shared" si="524"/>
        <v>6.6725776974475667E-2</v>
      </c>
      <c r="DR361" s="24">
        <f t="shared" si="525"/>
        <v>7.933755826113531E-2</v>
      </c>
      <c r="DS361" s="25">
        <f t="shared" si="526"/>
        <v>7.9337558261135338E-2</v>
      </c>
      <c r="DT361" s="24">
        <f t="shared" si="527"/>
        <v>5.8927446308358562E-2</v>
      </c>
      <c r="DU361" s="25">
        <f t="shared" si="528"/>
        <v>5.8927446308358548E-2</v>
      </c>
      <c r="DV361" s="24">
        <f t="shared" si="529"/>
        <v>5.8927446308358562E-2</v>
      </c>
      <c r="DW361" s="25">
        <f t="shared" si="530"/>
        <v>8.7382540578577153E-2</v>
      </c>
      <c r="DX361" s="32">
        <f t="shared" si="531"/>
        <v>8.7382540578577153E-2</v>
      </c>
      <c r="DZ361" s="54" t="s">
        <v>1484</v>
      </c>
      <c r="EA361" s="39">
        <v>0.32842803974946944</v>
      </c>
      <c r="EB361" s="40">
        <v>0.32842803974946949</v>
      </c>
      <c r="EC361" s="39">
        <v>0.35731526948525572</v>
      </c>
      <c r="ED361" s="40">
        <v>0.35731526948525577</v>
      </c>
      <c r="EE361" s="39">
        <v>0.47773357024944541</v>
      </c>
      <c r="EF361" s="40">
        <v>0.47773357024944541</v>
      </c>
      <c r="EG361" s="39">
        <v>0.47773357024944541</v>
      </c>
      <c r="EH361" s="40">
        <v>0.21111291981610286</v>
      </c>
      <c r="EI361" s="66">
        <v>0.21111291981610289</v>
      </c>
    </row>
    <row r="362" spans="1:139">
      <c r="A362" s="37" t="s">
        <v>1477</v>
      </c>
      <c r="B362" s="36" t="s">
        <v>1107</v>
      </c>
      <c r="C362" s="1" t="s">
        <v>1111</v>
      </c>
      <c r="D362" s="36" t="s">
        <v>1111</v>
      </c>
      <c r="E362" s="36" t="s">
        <v>1483</v>
      </c>
      <c r="F362" s="1" t="s">
        <v>1406</v>
      </c>
      <c r="G362" s="35" t="s">
        <v>1104</v>
      </c>
      <c r="H362" s="43">
        <v>1</v>
      </c>
      <c r="I362" s="42">
        <v>0</v>
      </c>
      <c r="J362" s="26">
        <v>0</v>
      </c>
      <c r="K362" s="25">
        <v>0</v>
      </c>
      <c r="L362" s="24"/>
      <c r="M362" s="25"/>
      <c r="N362" s="24"/>
      <c r="O362" s="25"/>
      <c r="P362" s="24"/>
      <c r="Q362" s="25"/>
      <c r="R362" s="32"/>
      <c r="S362" s="31" t="e">
        <v>#REF!</v>
      </c>
      <c r="T362" s="29" t="e">
        <f t="shared" si="552"/>
        <v>#REF!</v>
      </c>
      <c r="U362" s="30" t="e">
        <f t="shared" si="552"/>
        <v>#REF!</v>
      </c>
      <c r="V362" s="29" t="e">
        <f t="shared" si="552"/>
        <v>#REF!</v>
      </c>
      <c r="W362" s="30" t="e">
        <f t="shared" si="552"/>
        <v>#REF!</v>
      </c>
      <c r="X362" s="29" t="e">
        <f t="shared" si="552"/>
        <v>#REF!</v>
      </c>
      <c r="Y362" s="30" t="e">
        <f t="shared" si="552"/>
        <v>#REF!</v>
      </c>
      <c r="Z362" s="29" t="e">
        <f t="shared" si="552"/>
        <v>#REF!</v>
      </c>
      <c r="AA362" s="28" t="e">
        <f t="shared" si="552"/>
        <v>#REF!</v>
      </c>
      <c r="AB362" s="26" t="e">
        <f t="shared" ref="AB362:AJ363" si="556">J362*$H362*S362</f>
        <v>#REF!</v>
      </c>
      <c r="AC362" s="25" t="e">
        <f t="shared" si="556"/>
        <v>#REF!</v>
      </c>
      <c r="AD362" s="24" t="e">
        <f t="shared" si="556"/>
        <v>#REF!</v>
      </c>
      <c r="AE362" s="25" t="e">
        <f t="shared" si="556"/>
        <v>#REF!</v>
      </c>
      <c r="AF362" s="24" t="e">
        <f t="shared" si="556"/>
        <v>#REF!</v>
      </c>
      <c r="AG362" s="25" t="e">
        <f t="shared" si="556"/>
        <v>#REF!</v>
      </c>
      <c r="AH362" s="24" t="e">
        <f t="shared" si="556"/>
        <v>#REF!</v>
      </c>
      <c r="AI362" s="25" t="e">
        <f t="shared" si="556"/>
        <v>#REF!</v>
      </c>
      <c r="AJ362" s="24" t="e">
        <f t="shared" si="556"/>
        <v>#REF!</v>
      </c>
      <c r="AK362" s="27" t="e">
        <f t="shared" si="520"/>
        <v>#REF!</v>
      </c>
      <c r="AL362" s="41">
        <v>0</v>
      </c>
      <c r="AM362" s="40">
        <v>0</v>
      </c>
      <c r="AN362" s="39">
        <v>0</v>
      </c>
      <c r="AO362" s="40">
        <v>0</v>
      </c>
      <c r="AP362" s="39">
        <v>0</v>
      </c>
      <c r="AQ362" s="40">
        <v>0</v>
      </c>
      <c r="AR362" s="39">
        <v>0</v>
      </c>
      <c r="AS362" s="40">
        <v>0</v>
      </c>
      <c r="AT362" s="39">
        <v>0</v>
      </c>
      <c r="AU362" s="38">
        <v>0</v>
      </c>
      <c r="CS362" s="54" t="s">
        <v>1482</v>
      </c>
      <c r="CT362" s="39">
        <v>0</v>
      </c>
      <c r="CU362" s="40">
        <v>0.3344675004435278</v>
      </c>
      <c r="CV362" s="39">
        <v>9.0782356205638647E-3</v>
      </c>
      <c r="CW362" s="40">
        <v>0</v>
      </c>
      <c r="CX362" s="39">
        <v>0</v>
      </c>
      <c r="CY362" s="40">
        <v>0</v>
      </c>
      <c r="CZ362" s="39">
        <v>0</v>
      </c>
      <c r="DA362" s="40">
        <v>0</v>
      </c>
      <c r="DB362" s="39">
        <v>4.556278158642952E-2</v>
      </c>
      <c r="DC362" s="38">
        <v>0.38910851765052112</v>
      </c>
      <c r="DE362" s="37" t="s">
        <v>1310</v>
      </c>
      <c r="DF362" s="35" t="str">
        <f t="shared" si="521"/>
        <v>IPBPH</v>
      </c>
      <c r="DG362" s="26">
        <f t="shared" si="553"/>
        <v>1.455608965443588</v>
      </c>
      <c r="DH362" s="25">
        <f t="shared" si="553"/>
        <v>1.2843608518619896</v>
      </c>
      <c r="DI362" s="24">
        <f t="shared" si="553"/>
        <v>3.8326958753976825</v>
      </c>
      <c r="DJ362" s="25">
        <f t="shared" si="553"/>
        <v>0.73392048677827948</v>
      </c>
      <c r="DK362" s="24">
        <f t="shared" si="553"/>
        <v>9.9323905877327174</v>
      </c>
      <c r="DL362" s="25">
        <f t="shared" si="553"/>
        <v>5.7671945348125462</v>
      </c>
      <c r="DM362" s="24">
        <f t="shared" si="553"/>
        <v>4.1651960529201721</v>
      </c>
      <c r="DN362" s="25">
        <f t="shared" si="553"/>
        <v>0.62627881538413188</v>
      </c>
      <c r="DO362" s="32">
        <f t="shared" si="553"/>
        <v>4.8536608192270227</v>
      </c>
      <c r="DP362" s="26">
        <f t="shared" si="523"/>
        <v>0.83625550812097504</v>
      </c>
      <c r="DQ362" s="25">
        <f t="shared" si="524"/>
        <v>0.83625550812097504</v>
      </c>
      <c r="DR362" s="24">
        <f t="shared" si="525"/>
        <v>0.92066244173886458</v>
      </c>
      <c r="DS362" s="25">
        <f t="shared" si="526"/>
        <v>0.92066244173886458</v>
      </c>
      <c r="DT362" s="24">
        <f t="shared" si="527"/>
        <v>0.81125435956004344</v>
      </c>
      <c r="DU362" s="25">
        <f t="shared" si="528"/>
        <v>0.81125435956004333</v>
      </c>
      <c r="DV362" s="24">
        <f t="shared" si="529"/>
        <v>0.81125435956004333</v>
      </c>
      <c r="DW362" s="25">
        <f t="shared" si="530"/>
        <v>0.91261745942142292</v>
      </c>
      <c r="DX362" s="32">
        <f t="shared" si="531"/>
        <v>0.91261745942142292</v>
      </c>
      <c r="DZ362" s="54" t="s">
        <v>1481</v>
      </c>
      <c r="EA362" s="39">
        <v>0.46879329755500648</v>
      </c>
      <c r="EB362" s="40">
        <v>0.46879329755500659</v>
      </c>
      <c r="EC362" s="39">
        <v>0.23539684591981672</v>
      </c>
      <c r="ED362" s="40">
        <v>0.23539684591981674</v>
      </c>
      <c r="EE362" s="39">
        <v>0.22730326346963059</v>
      </c>
      <c r="EF362" s="40">
        <v>0.22730326346963056</v>
      </c>
      <c r="EG362" s="39">
        <v>0.22730326346963053</v>
      </c>
      <c r="EH362" s="40">
        <v>0.60267888157510119</v>
      </c>
      <c r="EI362" s="66">
        <v>0.60267888157510108</v>
      </c>
    </row>
    <row r="363" spans="1:139">
      <c r="A363" s="37" t="s">
        <v>1477</v>
      </c>
      <c r="B363" s="36" t="s">
        <v>1107</v>
      </c>
      <c r="C363" s="1" t="s">
        <v>1106</v>
      </c>
      <c r="D363" s="36" t="s">
        <v>1106</v>
      </c>
      <c r="E363" s="36" t="s">
        <v>1480</v>
      </c>
      <c r="F363" s="1" t="s">
        <v>1418</v>
      </c>
      <c r="G363" s="35" t="s">
        <v>1104</v>
      </c>
      <c r="H363" s="43">
        <v>1</v>
      </c>
      <c r="I363" s="42">
        <v>0</v>
      </c>
      <c r="J363" s="26">
        <v>0</v>
      </c>
      <c r="K363" s="25">
        <v>0</v>
      </c>
      <c r="L363" s="24"/>
      <c r="M363" s="25"/>
      <c r="N363" s="24"/>
      <c r="O363" s="25"/>
      <c r="P363" s="24"/>
      <c r="Q363" s="25"/>
      <c r="R363" s="32"/>
      <c r="S363" s="31" t="e">
        <v>#REF!</v>
      </c>
      <c r="T363" s="29" t="e">
        <f t="shared" si="552"/>
        <v>#REF!</v>
      </c>
      <c r="U363" s="30" t="e">
        <f t="shared" si="552"/>
        <v>#REF!</v>
      </c>
      <c r="V363" s="29" t="e">
        <f t="shared" si="552"/>
        <v>#REF!</v>
      </c>
      <c r="W363" s="30" t="e">
        <f t="shared" si="552"/>
        <v>#REF!</v>
      </c>
      <c r="X363" s="29" t="e">
        <f t="shared" si="552"/>
        <v>#REF!</v>
      </c>
      <c r="Y363" s="30" t="e">
        <f t="shared" si="552"/>
        <v>#REF!</v>
      </c>
      <c r="Z363" s="29" t="e">
        <f t="shared" si="552"/>
        <v>#REF!</v>
      </c>
      <c r="AA363" s="28" t="e">
        <f t="shared" si="552"/>
        <v>#REF!</v>
      </c>
      <c r="AB363" s="26" t="e">
        <f t="shared" si="556"/>
        <v>#REF!</v>
      </c>
      <c r="AC363" s="25" t="e">
        <f t="shared" si="556"/>
        <v>#REF!</v>
      </c>
      <c r="AD363" s="24" t="e">
        <f t="shared" si="556"/>
        <v>#REF!</v>
      </c>
      <c r="AE363" s="25" t="e">
        <f t="shared" si="556"/>
        <v>#REF!</v>
      </c>
      <c r="AF363" s="24" t="e">
        <f t="shared" si="556"/>
        <v>#REF!</v>
      </c>
      <c r="AG363" s="25" t="e">
        <f t="shared" si="556"/>
        <v>#REF!</v>
      </c>
      <c r="AH363" s="24" t="e">
        <f t="shared" si="556"/>
        <v>#REF!</v>
      </c>
      <c r="AI363" s="25" t="e">
        <f t="shared" si="556"/>
        <v>#REF!</v>
      </c>
      <c r="AJ363" s="24" t="e">
        <f t="shared" si="556"/>
        <v>#REF!</v>
      </c>
      <c r="AK363" s="27" t="e">
        <f t="shared" si="520"/>
        <v>#REF!</v>
      </c>
      <c r="AL363" s="41">
        <v>0</v>
      </c>
      <c r="AM363" s="40">
        <v>0</v>
      </c>
      <c r="AN363" s="39">
        <v>0</v>
      </c>
      <c r="AO363" s="40">
        <v>0</v>
      </c>
      <c r="AP363" s="39">
        <v>0</v>
      </c>
      <c r="AQ363" s="40">
        <v>0</v>
      </c>
      <c r="AR363" s="39">
        <v>0</v>
      </c>
      <c r="AS363" s="40">
        <v>0</v>
      </c>
      <c r="AT363" s="39">
        <v>0</v>
      </c>
      <c r="AU363" s="38">
        <v>0</v>
      </c>
      <c r="CS363" s="54" t="s">
        <v>1479</v>
      </c>
      <c r="CT363" s="39">
        <v>2.1391739821283791E-2</v>
      </c>
      <c r="CU363" s="40">
        <v>5.888426266742397E-2</v>
      </c>
      <c r="CV363" s="39">
        <v>0.16032957495081002</v>
      </c>
      <c r="CW363" s="40">
        <v>0.10859503338636103</v>
      </c>
      <c r="CX363" s="39">
        <v>6.2258102322241424E-2</v>
      </c>
      <c r="CY363" s="40">
        <v>5.4267004709165095E-2</v>
      </c>
      <c r="CZ363" s="39">
        <v>0.188523702425683</v>
      </c>
      <c r="DA363" s="40">
        <v>2.466925484442322E-2</v>
      </c>
      <c r="DB363" s="39">
        <v>1.5468746399930667E-2</v>
      </c>
      <c r="DC363" s="38">
        <v>0.69438742152732214</v>
      </c>
      <c r="DE363" s="37" t="s">
        <v>1308</v>
      </c>
      <c r="DF363" s="35" t="str">
        <f t="shared" si="521"/>
        <v>IPBPH</v>
      </c>
      <c r="DG363" s="26">
        <f t="shared" si="553"/>
        <v>0.16887340036563062</v>
      </c>
      <c r="DH363" s="25">
        <f t="shared" si="553"/>
        <v>0.14900594149908586</v>
      </c>
      <c r="DI363" s="24">
        <f t="shared" si="553"/>
        <v>0</v>
      </c>
      <c r="DJ363" s="25">
        <f t="shared" si="553"/>
        <v>0</v>
      </c>
      <c r="DK363" s="24">
        <f t="shared" si="553"/>
        <v>1.5893967093235826</v>
      </c>
      <c r="DL363" s="25">
        <f t="shared" si="553"/>
        <v>0.92287550863949952</v>
      </c>
      <c r="DM363" s="24">
        <f t="shared" si="553"/>
        <v>0.66652120068408294</v>
      </c>
      <c r="DN363" s="25">
        <f t="shared" si="553"/>
        <v>0</v>
      </c>
      <c r="DO363" s="32">
        <f t="shared" si="553"/>
        <v>0</v>
      </c>
      <c r="DP363" s="26">
        <f t="shared" si="523"/>
        <v>9.7018714904549205E-2</v>
      </c>
      <c r="DQ363" s="25">
        <f t="shared" si="524"/>
        <v>9.7018714904549219E-2</v>
      </c>
      <c r="DR363" s="24">
        <f t="shared" si="525"/>
        <v>0</v>
      </c>
      <c r="DS363" s="25">
        <f t="shared" si="526"/>
        <v>0</v>
      </c>
      <c r="DT363" s="24">
        <f t="shared" si="527"/>
        <v>0.12981819413159809</v>
      </c>
      <c r="DU363" s="25">
        <f t="shared" si="528"/>
        <v>0.12981819413159804</v>
      </c>
      <c r="DV363" s="24">
        <f t="shared" si="529"/>
        <v>0.12981819413159804</v>
      </c>
      <c r="DW363" s="25">
        <f t="shared" si="530"/>
        <v>0</v>
      </c>
      <c r="DX363" s="32">
        <f t="shared" si="531"/>
        <v>0</v>
      </c>
      <c r="DZ363" s="54" t="s">
        <v>1478</v>
      </c>
      <c r="EA363" s="39">
        <v>0.202778662695524</v>
      </c>
      <c r="EB363" s="40">
        <v>0.202778662695524</v>
      </c>
      <c r="EC363" s="39">
        <v>0.40728788459492743</v>
      </c>
      <c r="ED363" s="40">
        <v>0.40728788459492754</v>
      </c>
      <c r="EE363" s="39">
        <v>0.29496316628092406</v>
      </c>
      <c r="EF363" s="40">
        <v>0.29496316628092406</v>
      </c>
      <c r="EG363" s="39">
        <v>0.29496316628092401</v>
      </c>
      <c r="EH363" s="40">
        <v>0.18620819860879598</v>
      </c>
      <c r="EI363" s="66">
        <v>0.18620819860879598</v>
      </c>
    </row>
    <row r="364" spans="1:139">
      <c r="A364" s="22" t="s">
        <v>1477</v>
      </c>
      <c r="B364" s="20" t="s">
        <v>1107</v>
      </c>
      <c r="C364" s="21" t="s">
        <v>1106</v>
      </c>
      <c r="D364" s="20" t="s">
        <v>1106</v>
      </c>
      <c r="E364" s="20" t="s">
        <v>1476</v>
      </c>
      <c r="F364" s="21" t="s">
        <v>1423</v>
      </c>
      <c r="G364" s="19" t="s">
        <v>1109</v>
      </c>
      <c r="H364" s="50">
        <f>1-I364</f>
        <v>0.88332652522877819</v>
      </c>
      <c r="I364" s="49">
        <v>0.11667347477122178</v>
      </c>
      <c r="J364" s="11" t="e">
        <v>#REF!</v>
      </c>
      <c r="K364" s="10" t="e">
        <v>#REF!</v>
      </c>
      <c r="L364" s="9"/>
      <c r="M364" s="10"/>
      <c r="N364" s="9"/>
      <c r="O364" s="10"/>
      <c r="P364" s="9"/>
      <c r="Q364" s="10"/>
      <c r="R364" s="16"/>
      <c r="S364" s="15" t="e">
        <v>#REF!</v>
      </c>
      <c r="T364" s="13" t="e">
        <f t="shared" si="552"/>
        <v>#REF!</v>
      </c>
      <c r="U364" s="14" t="e">
        <f t="shared" si="552"/>
        <v>#REF!</v>
      </c>
      <c r="V364" s="13" t="e">
        <f t="shared" si="552"/>
        <v>#REF!</v>
      </c>
      <c r="W364" s="14" t="e">
        <f t="shared" si="552"/>
        <v>#REF!</v>
      </c>
      <c r="X364" s="13" t="e">
        <f t="shared" si="552"/>
        <v>#REF!</v>
      </c>
      <c r="Y364" s="14" t="e">
        <f t="shared" si="552"/>
        <v>#REF!</v>
      </c>
      <c r="Z364" s="13" t="e">
        <f t="shared" si="552"/>
        <v>#REF!</v>
      </c>
      <c r="AA364" s="12" t="e">
        <f t="shared" si="552"/>
        <v>#REF!</v>
      </c>
      <c r="AB364" s="11" t="e">
        <f t="shared" ref="AB364:AJ364" si="557">J364*31.536*$H364*S364</f>
        <v>#REF!</v>
      </c>
      <c r="AC364" s="10" t="e">
        <f t="shared" si="557"/>
        <v>#REF!</v>
      </c>
      <c r="AD364" s="9" t="e">
        <f t="shared" si="557"/>
        <v>#REF!</v>
      </c>
      <c r="AE364" s="10" t="e">
        <f t="shared" si="557"/>
        <v>#REF!</v>
      </c>
      <c r="AF364" s="9" t="e">
        <f t="shared" si="557"/>
        <v>#REF!</v>
      </c>
      <c r="AG364" s="10" t="e">
        <f t="shared" si="557"/>
        <v>#REF!</v>
      </c>
      <c r="AH364" s="9" t="e">
        <f t="shared" si="557"/>
        <v>#REF!</v>
      </c>
      <c r="AI364" s="10" t="e">
        <f t="shared" si="557"/>
        <v>#REF!</v>
      </c>
      <c r="AJ364" s="9" t="e">
        <f t="shared" si="557"/>
        <v>#REF!</v>
      </c>
      <c r="AK364" s="8" t="e">
        <f t="shared" si="520"/>
        <v>#REF!</v>
      </c>
      <c r="AL364" s="11" t="e">
        <f t="shared" ref="AL364:AT364" si="558">J364*31.536*$I364*S364</f>
        <v>#REF!</v>
      </c>
      <c r="AM364" s="10" t="e">
        <f t="shared" si="558"/>
        <v>#REF!</v>
      </c>
      <c r="AN364" s="9" t="e">
        <f t="shared" si="558"/>
        <v>#REF!</v>
      </c>
      <c r="AO364" s="10" t="e">
        <f t="shared" si="558"/>
        <v>#REF!</v>
      </c>
      <c r="AP364" s="9" t="e">
        <f t="shared" si="558"/>
        <v>#REF!</v>
      </c>
      <c r="AQ364" s="10" t="e">
        <f t="shared" si="558"/>
        <v>#REF!</v>
      </c>
      <c r="AR364" s="9" t="e">
        <f t="shared" si="558"/>
        <v>#REF!</v>
      </c>
      <c r="AS364" s="10" t="e">
        <f t="shared" si="558"/>
        <v>#REF!</v>
      </c>
      <c r="AT364" s="9" t="e">
        <f t="shared" si="558"/>
        <v>#REF!</v>
      </c>
      <c r="AU364" s="48" t="e">
        <f>SUM(AL364:AT364)</f>
        <v>#REF!</v>
      </c>
      <c r="CS364" s="54" t="s">
        <v>1475</v>
      </c>
      <c r="CT364" s="39">
        <v>0</v>
      </c>
      <c r="CU364" s="40">
        <v>0</v>
      </c>
      <c r="CV364" s="39">
        <v>0.22746399609786019</v>
      </c>
      <c r="CW364" s="40">
        <v>0.15406677313290928</v>
      </c>
      <c r="CX364" s="39">
        <v>5.1911652460093834E-2</v>
      </c>
      <c r="CY364" s="40">
        <v>4.5248566587068315E-2</v>
      </c>
      <c r="CZ364" s="39">
        <v>0.15719362710668416</v>
      </c>
      <c r="DA364" s="40">
        <v>0</v>
      </c>
      <c r="DB364" s="39">
        <v>0</v>
      </c>
      <c r="DC364" s="38">
        <v>0.63588461538461583</v>
      </c>
      <c r="DE364" s="37" t="s">
        <v>1474</v>
      </c>
      <c r="DF364" s="35" t="str">
        <f t="shared" si="521"/>
        <v>ICPPH</v>
      </c>
      <c r="DG364" s="26">
        <f t="shared" si="553"/>
        <v>9.3448369356002203E-2</v>
      </c>
      <c r="DH364" s="25">
        <f t="shared" si="553"/>
        <v>0.25723192096448444</v>
      </c>
      <c r="DI364" s="24">
        <f t="shared" si="553"/>
        <v>0.83628526579787732</v>
      </c>
      <c r="DJ364" s="25">
        <f t="shared" si="553"/>
        <v>0.56643589548406936</v>
      </c>
      <c r="DK364" s="24">
        <f t="shared" si="553"/>
        <v>1.5507079160451831</v>
      </c>
      <c r="DL364" s="25">
        <f t="shared" si="553"/>
        <v>1.351667825450255</v>
      </c>
      <c r="DM364" s="24">
        <f t="shared" si="553"/>
        <v>4.6956972154484404</v>
      </c>
      <c r="DN364" s="25">
        <f t="shared" si="553"/>
        <v>7.1843981452608466E-2</v>
      </c>
      <c r="DO364" s="32">
        <f t="shared" si="553"/>
        <v>4.5049448654220448E-2</v>
      </c>
      <c r="DP364" s="26">
        <f t="shared" si="523"/>
        <v>0.28000464694404414</v>
      </c>
      <c r="DQ364" s="25">
        <f t="shared" si="524"/>
        <v>0.28000464694404414</v>
      </c>
      <c r="DR364" s="24">
        <f t="shared" si="525"/>
        <v>0.31390630957206933</v>
      </c>
      <c r="DS364" s="25">
        <f t="shared" si="526"/>
        <v>0.31390630957206928</v>
      </c>
      <c r="DT364" s="24">
        <f t="shared" si="527"/>
        <v>0.11863410432607509</v>
      </c>
      <c r="DU364" s="25">
        <f t="shared" si="528"/>
        <v>0.11863410432607512</v>
      </c>
      <c r="DV364" s="24">
        <f t="shared" si="529"/>
        <v>0.11863410432607512</v>
      </c>
      <c r="DW364" s="25">
        <f t="shared" si="530"/>
        <v>0.39326392690148743</v>
      </c>
      <c r="DX364" s="32">
        <f t="shared" si="531"/>
        <v>0.39326392690148743</v>
      </c>
      <c r="DZ364" s="54" t="s">
        <v>1473</v>
      </c>
      <c r="EA364" s="39">
        <v>0.97412625855869817</v>
      </c>
      <c r="EB364" s="40">
        <v>0.97412625855869805</v>
      </c>
      <c r="EC364" s="39">
        <v>0.95325645686531102</v>
      </c>
      <c r="ED364" s="40">
        <v>0.95325645686531102</v>
      </c>
      <c r="EE364" s="39">
        <v>0.97412625855869805</v>
      </c>
      <c r="EF364" s="40">
        <v>0.97412625855869794</v>
      </c>
      <c r="EG364" s="39">
        <v>0.97412625855869805</v>
      </c>
      <c r="EH364" s="40">
        <v>0.96344288480375184</v>
      </c>
      <c r="EI364" s="66">
        <v>0.96344288480375184</v>
      </c>
    </row>
    <row r="365" spans="1:139">
      <c r="A365" s="37" t="s">
        <v>1353</v>
      </c>
      <c r="B365" s="36" t="s">
        <v>1145</v>
      </c>
      <c r="C365" s="1" t="s">
        <v>1120</v>
      </c>
      <c r="D365" s="36" t="s">
        <v>1120</v>
      </c>
      <c r="E365" s="36" t="s">
        <v>1472</v>
      </c>
      <c r="F365" s="1" t="s">
        <v>1471</v>
      </c>
      <c r="G365" s="35" t="s">
        <v>1121</v>
      </c>
      <c r="H365" s="43">
        <v>1</v>
      </c>
      <c r="I365" s="42">
        <v>0</v>
      </c>
      <c r="J365" s="26">
        <v>0</v>
      </c>
      <c r="K365" s="25">
        <v>0.54399529042386219</v>
      </c>
      <c r="L365" s="24"/>
      <c r="M365" s="25"/>
      <c r="N365" s="24"/>
      <c r="O365" s="25"/>
      <c r="P365" s="24"/>
      <c r="Q365" s="25"/>
      <c r="R365" s="32"/>
      <c r="S365" s="47">
        <v>1</v>
      </c>
      <c r="T365" s="45">
        <v>1</v>
      </c>
      <c r="U365" s="46">
        <v>1</v>
      </c>
      <c r="V365" s="45">
        <v>1</v>
      </c>
      <c r="W365" s="46">
        <v>1</v>
      </c>
      <c r="X365" s="45">
        <v>1</v>
      </c>
      <c r="Y365" s="46">
        <v>1</v>
      </c>
      <c r="Z365" s="45">
        <v>1</v>
      </c>
      <c r="AA365" s="44">
        <v>1</v>
      </c>
      <c r="AB365" s="26">
        <f t="shared" ref="AB365:AB375" si="559">J365*$H365*S365</f>
        <v>0</v>
      </c>
      <c r="AC365" s="25">
        <f t="shared" ref="AC365:AC375" si="560">K365*$H365*T365</f>
        <v>0.54399529042386219</v>
      </c>
      <c r="AD365" s="24">
        <f t="shared" ref="AD365:AD375" si="561">L365*$H365*U365</f>
        <v>0</v>
      </c>
      <c r="AE365" s="25">
        <f t="shared" ref="AE365:AE375" si="562">M365*$H365*V365</f>
        <v>0</v>
      </c>
      <c r="AF365" s="24">
        <f t="shared" ref="AF365:AF375" si="563">N365*$H365*W365</f>
        <v>0</v>
      </c>
      <c r="AG365" s="25">
        <f t="shared" ref="AG365:AG375" si="564">O365*$H365*X365</f>
        <v>0</v>
      </c>
      <c r="AH365" s="24">
        <f t="shared" ref="AH365:AH375" si="565">P365*$H365*Y365</f>
        <v>0</v>
      </c>
      <c r="AI365" s="25">
        <f t="shared" ref="AI365:AI375" si="566">Q365*$H365*Z365</f>
        <v>0</v>
      </c>
      <c r="AJ365" s="24">
        <f t="shared" ref="AJ365:AJ375" si="567">R365*$H365*AA365</f>
        <v>0</v>
      </c>
      <c r="AK365" s="27">
        <f t="shared" si="520"/>
        <v>0.54399529042386219</v>
      </c>
      <c r="AL365" s="41">
        <v>0</v>
      </c>
      <c r="AM365" s="40">
        <v>0</v>
      </c>
      <c r="AN365" s="39">
        <v>0</v>
      </c>
      <c r="AO365" s="40">
        <v>0</v>
      </c>
      <c r="AP365" s="39">
        <v>0</v>
      </c>
      <c r="AQ365" s="40">
        <v>0</v>
      </c>
      <c r="AR365" s="39">
        <v>0</v>
      </c>
      <c r="AS365" s="40">
        <v>0</v>
      </c>
      <c r="AT365" s="39">
        <v>0</v>
      </c>
      <c r="AU365" s="38">
        <v>0</v>
      </c>
      <c r="CS365" s="54" t="s">
        <v>1470</v>
      </c>
      <c r="CT365" s="39">
        <v>8.5566959285135163E-2</v>
      </c>
      <c r="CU365" s="40">
        <v>0.23553705066969588</v>
      </c>
      <c r="CV365" s="39">
        <v>0.64131829980324007</v>
      </c>
      <c r="CW365" s="40">
        <v>0.43438013354544414</v>
      </c>
      <c r="CX365" s="39">
        <v>0.24903240928896569</v>
      </c>
      <c r="CY365" s="40">
        <v>0.21706801883666038</v>
      </c>
      <c r="CZ365" s="39">
        <v>0.75409480970273202</v>
      </c>
      <c r="DA365" s="40">
        <v>9.8677019377692882E-2</v>
      </c>
      <c r="DB365" s="39">
        <v>6.1874985599722668E-2</v>
      </c>
      <c r="DC365" s="38">
        <v>2.7775496861092885</v>
      </c>
      <c r="DE365" s="37" t="s">
        <v>1469</v>
      </c>
      <c r="DF365" s="35" t="str">
        <f t="shared" si="521"/>
        <v>ICPPH</v>
      </c>
      <c r="DG365" s="26">
        <f t="shared" si="553"/>
        <v>0.24029026811267107</v>
      </c>
      <c r="DH365" s="25">
        <f t="shared" si="553"/>
        <v>0.6614382645910053</v>
      </c>
      <c r="DI365" s="24">
        <f t="shared" si="553"/>
        <v>1.8278385198563125</v>
      </c>
      <c r="DJ365" s="25">
        <f t="shared" si="553"/>
        <v>1.2380384913361873</v>
      </c>
      <c r="DK365" s="24">
        <f t="shared" si="553"/>
        <v>11.520642222722177</v>
      </c>
      <c r="DL365" s="25">
        <f t="shared" si="553"/>
        <v>10.041917797576748</v>
      </c>
      <c r="DM365" s="24">
        <f t="shared" si="553"/>
        <v>34.885646126951222</v>
      </c>
      <c r="DN365" s="25">
        <f t="shared" si="553"/>
        <v>0.11084244498539376</v>
      </c>
      <c r="DO365" s="32">
        <f t="shared" si="553"/>
        <v>6.950326155534152E-2</v>
      </c>
      <c r="DP365" s="26">
        <f t="shared" si="523"/>
        <v>0.71999535305595586</v>
      </c>
      <c r="DQ365" s="25">
        <f t="shared" si="524"/>
        <v>0.71999535305595586</v>
      </c>
      <c r="DR365" s="24">
        <f t="shared" si="525"/>
        <v>0.68609369042793078</v>
      </c>
      <c r="DS365" s="25">
        <f t="shared" si="526"/>
        <v>0.68609369042793067</v>
      </c>
      <c r="DT365" s="24">
        <f t="shared" si="527"/>
        <v>0.88136589567392487</v>
      </c>
      <c r="DU365" s="25">
        <f t="shared" si="528"/>
        <v>0.88136589567392487</v>
      </c>
      <c r="DV365" s="24">
        <f t="shared" si="529"/>
        <v>0.88136589567392487</v>
      </c>
      <c r="DW365" s="25">
        <f t="shared" si="530"/>
        <v>0.60673607309851263</v>
      </c>
      <c r="DX365" s="32">
        <f t="shared" si="531"/>
        <v>0.60673607309851263</v>
      </c>
      <c r="DZ365" s="54" t="s">
        <v>1468</v>
      </c>
      <c r="EA365" s="39">
        <v>2.5873741441301969E-2</v>
      </c>
      <c r="EB365" s="40">
        <v>2.5873741441301966E-2</v>
      </c>
      <c r="EC365" s="39">
        <v>4.6743543134688995E-2</v>
      </c>
      <c r="ED365" s="40">
        <v>4.6743543134689002E-2</v>
      </c>
      <c r="EE365" s="39">
        <v>2.5873741441301962E-2</v>
      </c>
      <c r="EF365" s="40">
        <v>2.5873741441301962E-2</v>
      </c>
      <c r="EG365" s="39">
        <v>2.5873741441301966E-2</v>
      </c>
      <c r="EH365" s="40">
        <v>3.6557115196248116E-2</v>
      </c>
      <c r="EI365" s="66">
        <v>3.6557115196248109E-2</v>
      </c>
    </row>
    <row r="366" spans="1:139">
      <c r="A366" s="37" t="s">
        <v>1353</v>
      </c>
      <c r="B366" s="36" t="s">
        <v>1145</v>
      </c>
      <c r="C366" s="1" t="s">
        <v>1126</v>
      </c>
      <c r="D366" s="36" t="s">
        <v>1126</v>
      </c>
      <c r="E366" s="36" t="s">
        <v>1467</v>
      </c>
      <c r="F366" s="1" t="s">
        <v>1466</v>
      </c>
      <c r="G366" s="35" t="s">
        <v>1121</v>
      </c>
      <c r="H366" s="43">
        <v>1</v>
      </c>
      <c r="I366" s="42">
        <v>0</v>
      </c>
      <c r="J366" s="26">
        <v>0.28953744005530663</v>
      </c>
      <c r="K366" s="25">
        <v>1.2868330669124739</v>
      </c>
      <c r="L366" s="24"/>
      <c r="M366" s="25"/>
      <c r="N366" s="24"/>
      <c r="O366" s="25"/>
      <c r="P366" s="24"/>
      <c r="Q366" s="25"/>
      <c r="R366" s="32"/>
      <c r="S366" s="47">
        <v>1</v>
      </c>
      <c r="T366" s="45">
        <v>1</v>
      </c>
      <c r="U366" s="46">
        <v>1</v>
      </c>
      <c r="V366" s="45">
        <v>1</v>
      </c>
      <c r="W366" s="46">
        <v>1</v>
      </c>
      <c r="X366" s="45">
        <v>1</v>
      </c>
      <c r="Y366" s="46">
        <v>1</v>
      </c>
      <c r="Z366" s="45">
        <v>1</v>
      </c>
      <c r="AA366" s="44">
        <v>1</v>
      </c>
      <c r="AB366" s="26">
        <f t="shared" si="559"/>
        <v>0.28953744005530663</v>
      </c>
      <c r="AC366" s="25">
        <f t="shared" si="560"/>
        <v>1.2868330669124739</v>
      </c>
      <c r="AD366" s="24">
        <f t="shared" si="561"/>
        <v>0</v>
      </c>
      <c r="AE366" s="25">
        <f t="shared" si="562"/>
        <v>0</v>
      </c>
      <c r="AF366" s="24">
        <f t="shared" si="563"/>
        <v>0</v>
      </c>
      <c r="AG366" s="25">
        <f t="shared" si="564"/>
        <v>0</v>
      </c>
      <c r="AH366" s="24">
        <f t="shared" si="565"/>
        <v>0</v>
      </c>
      <c r="AI366" s="25">
        <f t="shared" si="566"/>
        <v>0</v>
      </c>
      <c r="AJ366" s="24">
        <f t="shared" si="567"/>
        <v>0</v>
      </c>
      <c r="AK366" s="27">
        <f t="shared" si="520"/>
        <v>1.5763705069677805</v>
      </c>
      <c r="AL366" s="41">
        <v>0</v>
      </c>
      <c r="AM366" s="40">
        <v>0</v>
      </c>
      <c r="AN366" s="39">
        <v>0</v>
      </c>
      <c r="AO366" s="40">
        <v>0</v>
      </c>
      <c r="AP366" s="39">
        <v>0</v>
      </c>
      <c r="AQ366" s="40">
        <v>0</v>
      </c>
      <c r="AR366" s="39">
        <v>0</v>
      </c>
      <c r="AS366" s="40">
        <v>0</v>
      </c>
      <c r="AT366" s="39">
        <v>0</v>
      </c>
      <c r="AU366" s="38">
        <v>0</v>
      </c>
      <c r="CS366" s="54" t="s">
        <v>1465</v>
      </c>
      <c r="CT366" s="39">
        <v>0.1086048517212649</v>
      </c>
      <c r="CU366" s="40">
        <v>0.29895261765238695</v>
      </c>
      <c r="CV366" s="39">
        <v>1.3954040091740549</v>
      </c>
      <c r="CW366" s="40">
        <v>0.9451403149432035</v>
      </c>
      <c r="CX366" s="39">
        <v>0.17824141470262364</v>
      </c>
      <c r="CY366" s="40">
        <v>0.15536335561548303</v>
      </c>
      <c r="CZ366" s="39">
        <v>0.53973266405400466</v>
      </c>
      <c r="DA366" s="40">
        <v>9.303887583008888E-2</v>
      </c>
      <c r="DB366" s="39">
        <v>5.8339612794410398E-2</v>
      </c>
      <c r="DC366" s="38">
        <v>3.7728177164875212</v>
      </c>
      <c r="DE366" s="37" t="s">
        <v>1464</v>
      </c>
      <c r="DF366" s="35" t="str">
        <f t="shared" si="521"/>
        <v>IMAPH</v>
      </c>
      <c r="DG366" s="26">
        <f t="shared" si="553"/>
        <v>3.8584186702498677E-2</v>
      </c>
      <c r="DH366" s="25">
        <f t="shared" si="553"/>
        <v>0.10620928468559264</v>
      </c>
      <c r="DI366" s="24">
        <f t="shared" si="553"/>
        <v>1.2660868513066115</v>
      </c>
      <c r="DJ366" s="25">
        <f t="shared" si="553"/>
        <v>0.85755072905206098</v>
      </c>
      <c r="DK366" s="24">
        <f t="shared" si="553"/>
        <v>0.42356759371567221</v>
      </c>
      <c r="DL366" s="25">
        <f t="shared" si="553"/>
        <v>0.36920085491598026</v>
      </c>
      <c r="DM366" s="24">
        <f t="shared" si="553"/>
        <v>1.2826046412643233</v>
      </c>
      <c r="DN366" s="25">
        <f t="shared" si="553"/>
        <v>0.50428602895556252</v>
      </c>
      <c r="DO366" s="32">
        <f t="shared" si="553"/>
        <v>0.31621030891028823</v>
      </c>
      <c r="DP366" s="26">
        <f t="shared" si="523"/>
        <v>2.5041093375784675E-2</v>
      </c>
      <c r="DQ366" s="25">
        <f t="shared" si="524"/>
        <v>2.5041093375784671E-2</v>
      </c>
      <c r="DR366" s="24">
        <f t="shared" si="525"/>
        <v>0.17712981750771081</v>
      </c>
      <c r="DS366" s="25">
        <f t="shared" si="526"/>
        <v>0.17712981750771081</v>
      </c>
      <c r="DT366" s="24">
        <f t="shared" si="527"/>
        <v>5.3601257136457636E-2</v>
      </c>
      <c r="DU366" s="25">
        <f t="shared" si="528"/>
        <v>5.3601257136457636E-2</v>
      </c>
      <c r="DV366" s="24">
        <f t="shared" si="529"/>
        <v>5.3601257136457643E-2</v>
      </c>
      <c r="DW366" s="25">
        <f t="shared" si="530"/>
        <v>0.16252031671169145</v>
      </c>
      <c r="DX366" s="32">
        <f t="shared" si="531"/>
        <v>0.16252031671169145</v>
      </c>
      <c r="DZ366" s="54" t="s">
        <v>1463</v>
      </c>
      <c r="EA366" s="39">
        <v>0.9748177395867883</v>
      </c>
      <c r="EB366" s="40">
        <v>0.94860483455681821</v>
      </c>
      <c r="EC366" s="39">
        <v>0</v>
      </c>
      <c r="ED366" s="40">
        <v>0</v>
      </c>
      <c r="EE366" s="39">
        <v>0.81115093198505439</v>
      </c>
      <c r="EF366" s="40">
        <v>0.87172079712423478</v>
      </c>
      <c r="EG366" s="39">
        <v>0.85144333970783459</v>
      </c>
      <c r="EH366" s="40">
        <v>0</v>
      </c>
      <c r="EI366" s="66">
        <v>0</v>
      </c>
    </row>
    <row r="367" spans="1:139">
      <c r="A367" s="37" t="s">
        <v>1353</v>
      </c>
      <c r="B367" s="36" t="s">
        <v>1145</v>
      </c>
      <c r="C367" s="1" t="s">
        <v>665</v>
      </c>
      <c r="D367" s="36" t="s">
        <v>665</v>
      </c>
      <c r="E367" s="36" t="s">
        <v>1462</v>
      </c>
      <c r="F367" s="1" t="s">
        <v>1461</v>
      </c>
      <c r="G367" s="35" t="s">
        <v>1121</v>
      </c>
      <c r="H367" s="43">
        <v>1</v>
      </c>
      <c r="I367" s="42">
        <v>0</v>
      </c>
      <c r="J367" s="26">
        <v>9.8836622615357403E-2</v>
      </c>
      <c r="K367" s="25">
        <v>0.44941096778948836</v>
      </c>
      <c r="L367" s="24"/>
      <c r="M367" s="25"/>
      <c r="N367" s="24"/>
      <c r="O367" s="25"/>
      <c r="P367" s="24"/>
      <c r="Q367" s="25"/>
      <c r="R367" s="32"/>
      <c r="S367" s="47">
        <v>1</v>
      </c>
      <c r="T367" s="45">
        <v>1</v>
      </c>
      <c r="U367" s="46">
        <v>1</v>
      </c>
      <c r="V367" s="45">
        <v>1</v>
      </c>
      <c r="W367" s="46">
        <v>1</v>
      </c>
      <c r="X367" s="45">
        <v>1</v>
      </c>
      <c r="Y367" s="46">
        <v>1</v>
      </c>
      <c r="Z367" s="45">
        <v>1</v>
      </c>
      <c r="AA367" s="44">
        <v>1</v>
      </c>
      <c r="AB367" s="26">
        <f t="shared" si="559"/>
        <v>9.8836622615357403E-2</v>
      </c>
      <c r="AC367" s="25">
        <f t="shared" si="560"/>
        <v>0.44941096778948836</v>
      </c>
      <c r="AD367" s="24">
        <f t="shared" si="561"/>
        <v>0</v>
      </c>
      <c r="AE367" s="25">
        <f t="shared" si="562"/>
        <v>0</v>
      </c>
      <c r="AF367" s="24">
        <f t="shared" si="563"/>
        <v>0</v>
      </c>
      <c r="AG367" s="25">
        <f t="shared" si="564"/>
        <v>0</v>
      </c>
      <c r="AH367" s="24">
        <f t="shared" si="565"/>
        <v>0</v>
      </c>
      <c r="AI367" s="25">
        <f t="shared" si="566"/>
        <v>0</v>
      </c>
      <c r="AJ367" s="24">
        <f t="shared" si="567"/>
        <v>0</v>
      </c>
      <c r="AK367" s="27">
        <f t="shared" si="520"/>
        <v>0.54824759040484572</v>
      </c>
      <c r="AL367" s="41">
        <v>0</v>
      </c>
      <c r="AM367" s="40">
        <v>0</v>
      </c>
      <c r="AN367" s="39">
        <v>0</v>
      </c>
      <c r="AO367" s="40">
        <v>0</v>
      </c>
      <c r="AP367" s="39">
        <v>0</v>
      </c>
      <c r="AQ367" s="40">
        <v>0</v>
      </c>
      <c r="AR367" s="39">
        <v>0</v>
      </c>
      <c r="AS367" s="40">
        <v>0</v>
      </c>
      <c r="AT367" s="39">
        <v>0</v>
      </c>
      <c r="AU367" s="38">
        <v>0</v>
      </c>
      <c r="CS367" s="54" t="s">
        <v>1460</v>
      </c>
      <c r="CT367" s="39">
        <v>6.0661321065515941E-3</v>
      </c>
      <c r="CU367" s="40">
        <v>1.669802079315123E-2</v>
      </c>
      <c r="CV367" s="39">
        <v>0.24429079086386504</v>
      </c>
      <c r="CW367" s="40">
        <v>0.16546396133078464</v>
      </c>
      <c r="CX367" s="39">
        <v>1.8583950064007093E-2</v>
      </c>
      <c r="CY367" s="40">
        <v>1.6198619424962483E-2</v>
      </c>
      <c r="CZ367" s="39">
        <v>5.6274042109841355E-2</v>
      </c>
      <c r="DA367" s="40">
        <v>0</v>
      </c>
      <c r="DB367" s="39">
        <v>0</v>
      </c>
      <c r="DC367" s="38">
        <v>0.52357551669316349</v>
      </c>
      <c r="DE367" s="37" t="s">
        <v>1459</v>
      </c>
      <c r="DF367" s="35" t="str">
        <f t="shared" si="521"/>
        <v>IMAPH</v>
      </c>
      <c r="DG367" s="26">
        <f t="shared" si="553"/>
        <v>1.5022505573510694</v>
      </c>
      <c r="DH367" s="25">
        <f t="shared" si="553"/>
        <v>4.1351903655509075</v>
      </c>
      <c r="DI367" s="24">
        <f t="shared" si="553"/>
        <v>5.8817037867743895</v>
      </c>
      <c r="DJ367" s="25">
        <f t="shared" si="553"/>
        <v>3.9838178283040722</v>
      </c>
      <c r="DK367" s="24">
        <f t="shared" si="553"/>
        <v>7.4786275476661306</v>
      </c>
      <c r="DL367" s="25">
        <f t="shared" si="553"/>
        <v>6.5187132470997948</v>
      </c>
      <c r="DM367" s="24">
        <f t="shared" si="553"/>
        <v>22.646025204096929</v>
      </c>
      <c r="DN367" s="25">
        <f t="shared" si="553"/>
        <v>2.5986246665124888</v>
      </c>
      <c r="DO367" s="32">
        <f t="shared" si="553"/>
        <v>1.6294560256639943</v>
      </c>
      <c r="DP367" s="26">
        <f t="shared" si="523"/>
        <v>0.97495890662421525</v>
      </c>
      <c r="DQ367" s="25">
        <f t="shared" si="524"/>
        <v>0.97495890662421547</v>
      </c>
      <c r="DR367" s="24">
        <f t="shared" si="525"/>
        <v>0.82287018249228916</v>
      </c>
      <c r="DS367" s="25">
        <f t="shared" si="526"/>
        <v>0.82287018249228927</v>
      </c>
      <c r="DT367" s="24">
        <f t="shared" si="527"/>
        <v>0.94639874286354231</v>
      </c>
      <c r="DU367" s="25">
        <f t="shared" si="528"/>
        <v>0.94639874286354242</v>
      </c>
      <c r="DV367" s="24">
        <f t="shared" si="529"/>
        <v>0.94639874286354231</v>
      </c>
      <c r="DW367" s="25">
        <f t="shared" si="530"/>
        <v>0.83747968328830857</v>
      </c>
      <c r="DX367" s="32">
        <f t="shared" si="531"/>
        <v>0.83747968328830846</v>
      </c>
      <c r="DZ367" s="54" t="s">
        <v>1387</v>
      </c>
      <c r="EA367" s="39">
        <v>0</v>
      </c>
      <c r="EB367" s="40">
        <v>1.3392779842248768E-2</v>
      </c>
      <c r="EC367" s="39">
        <v>0.20359624739590637</v>
      </c>
      <c r="ED367" s="40">
        <v>0.24754730375603404</v>
      </c>
      <c r="EE367" s="39">
        <v>4.8938034977610685E-2</v>
      </c>
      <c r="EF367" s="40">
        <v>0</v>
      </c>
      <c r="EG367" s="39">
        <v>0</v>
      </c>
      <c r="EH367" s="40">
        <v>0</v>
      </c>
      <c r="EI367" s="66">
        <v>0</v>
      </c>
    </row>
    <row r="368" spans="1:139">
      <c r="A368" s="37" t="s">
        <v>1353</v>
      </c>
      <c r="B368" s="36" t="s">
        <v>1145</v>
      </c>
      <c r="C368" s="1" t="s">
        <v>1111</v>
      </c>
      <c r="D368" s="36" t="s">
        <v>1111</v>
      </c>
      <c r="E368" s="36" t="s">
        <v>1458</v>
      </c>
      <c r="F368" s="1" t="s">
        <v>1457</v>
      </c>
      <c r="G368" s="35" t="s">
        <v>1121</v>
      </c>
      <c r="H368" s="43">
        <v>1</v>
      </c>
      <c r="I368" s="42">
        <v>0</v>
      </c>
      <c r="J368" s="26">
        <v>1.0643281535648988E-2</v>
      </c>
      <c r="K368" s="25">
        <v>0.19867458866544785</v>
      </c>
      <c r="L368" s="24"/>
      <c r="M368" s="25"/>
      <c r="N368" s="24"/>
      <c r="O368" s="25"/>
      <c r="P368" s="24"/>
      <c r="Q368" s="25"/>
      <c r="R368" s="32"/>
      <c r="S368" s="47">
        <v>1</v>
      </c>
      <c r="T368" s="45">
        <v>1</v>
      </c>
      <c r="U368" s="46">
        <v>1</v>
      </c>
      <c r="V368" s="45">
        <v>1</v>
      </c>
      <c r="W368" s="46">
        <v>1</v>
      </c>
      <c r="X368" s="45">
        <v>1</v>
      </c>
      <c r="Y368" s="46">
        <v>1</v>
      </c>
      <c r="Z368" s="45">
        <v>1</v>
      </c>
      <c r="AA368" s="44">
        <v>1</v>
      </c>
      <c r="AB368" s="26">
        <f t="shared" si="559"/>
        <v>1.0643281535648988E-2</v>
      </c>
      <c r="AC368" s="25">
        <f t="shared" si="560"/>
        <v>0.19867458866544785</v>
      </c>
      <c r="AD368" s="24">
        <f t="shared" si="561"/>
        <v>0</v>
      </c>
      <c r="AE368" s="25">
        <f t="shared" si="562"/>
        <v>0</v>
      </c>
      <c r="AF368" s="24">
        <f t="shared" si="563"/>
        <v>0</v>
      </c>
      <c r="AG368" s="25">
        <f t="shared" si="564"/>
        <v>0</v>
      </c>
      <c r="AH368" s="24">
        <f t="shared" si="565"/>
        <v>0</v>
      </c>
      <c r="AI368" s="25">
        <f t="shared" si="566"/>
        <v>0</v>
      </c>
      <c r="AJ368" s="24">
        <f t="shared" si="567"/>
        <v>0</v>
      </c>
      <c r="AK368" s="27">
        <f t="shared" si="520"/>
        <v>0.20931787020109682</v>
      </c>
      <c r="AL368" s="41">
        <v>0</v>
      </c>
      <c r="AM368" s="40">
        <v>0</v>
      </c>
      <c r="AN368" s="39">
        <v>0</v>
      </c>
      <c r="AO368" s="40">
        <v>0</v>
      </c>
      <c r="AP368" s="39">
        <v>0</v>
      </c>
      <c r="AQ368" s="40">
        <v>0</v>
      </c>
      <c r="AR368" s="39">
        <v>0</v>
      </c>
      <c r="AS368" s="40">
        <v>0</v>
      </c>
      <c r="AT368" s="39">
        <v>0</v>
      </c>
      <c r="AU368" s="38">
        <v>0</v>
      </c>
      <c r="CS368" s="54" t="s">
        <v>1456</v>
      </c>
      <c r="CT368" s="39">
        <v>8.6377437614399657</v>
      </c>
      <c r="CU368" s="40">
        <v>23.776802483193681</v>
      </c>
      <c r="CV368" s="39">
        <v>24.674085069247404</v>
      </c>
      <c r="CW368" s="40">
        <v>16.712344510954477</v>
      </c>
      <c r="CX368" s="39">
        <v>4.0165888753442944</v>
      </c>
      <c r="CY368" s="40">
        <v>3.5010422624979487</v>
      </c>
      <c r="CZ368" s="39">
        <v>12.162629082113899</v>
      </c>
      <c r="DA368" s="40">
        <v>0</v>
      </c>
      <c r="DB368" s="39">
        <v>0</v>
      </c>
      <c r="DC368" s="38">
        <v>93.481236044791672</v>
      </c>
      <c r="DE368" s="37" t="s">
        <v>1455</v>
      </c>
      <c r="DF368" s="35" t="str">
        <f t="shared" si="521"/>
        <v>IMSPH</v>
      </c>
      <c r="DG368" s="26">
        <f t="shared" ref="DG368:DO380" si="568">GETPIVOTDATA("Sum of "&amp;DG$1&amp;" (Out)",$CS$6,"Constraint Identifier",$DE368)</f>
        <v>0</v>
      </c>
      <c r="DH368" s="25">
        <f t="shared" si="568"/>
        <v>0</v>
      </c>
      <c r="DI368" s="24">
        <f t="shared" si="568"/>
        <v>0.2852326300274754</v>
      </c>
      <c r="DJ368" s="25">
        <f t="shared" si="568"/>
        <v>0.19319484249999733</v>
      </c>
      <c r="DK368" s="24">
        <f t="shared" si="568"/>
        <v>6.5095564195990691E-2</v>
      </c>
      <c r="DL368" s="25">
        <f t="shared" si="568"/>
        <v>5.674026603775234E-2</v>
      </c>
      <c r="DM368" s="24">
        <f t="shared" si="568"/>
        <v>0.19711581811790557</v>
      </c>
      <c r="DN368" s="25">
        <f t="shared" si="568"/>
        <v>0</v>
      </c>
      <c r="DO368" s="32">
        <f t="shared" si="568"/>
        <v>0</v>
      </c>
      <c r="DP368" s="26">
        <f t="shared" si="523"/>
        <v>0</v>
      </c>
      <c r="DQ368" s="25">
        <f t="shared" si="524"/>
        <v>0</v>
      </c>
      <c r="DR368" s="24">
        <f t="shared" si="525"/>
        <v>2.3839429391923563E-3</v>
      </c>
      <c r="DS368" s="25">
        <f t="shared" si="526"/>
        <v>2.3839429391923567E-3</v>
      </c>
      <c r="DT368" s="24">
        <f t="shared" si="527"/>
        <v>3.7020814350226063E-3</v>
      </c>
      <c r="DU368" s="25">
        <f t="shared" si="528"/>
        <v>3.7020814350226063E-3</v>
      </c>
      <c r="DV368" s="24">
        <f t="shared" si="529"/>
        <v>3.7020814350226063E-3</v>
      </c>
      <c r="DW368" s="25">
        <f t="shared" si="530"/>
        <v>0</v>
      </c>
      <c r="DX368" s="32">
        <f t="shared" si="531"/>
        <v>0</v>
      </c>
      <c r="DZ368" s="54" t="s">
        <v>1454</v>
      </c>
      <c r="EA368" s="39">
        <v>1.3080658791186365E-2</v>
      </c>
      <c r="EB368" s="40">
        <v>1.2957324560927474E-2</v>
      </c>
      <c r="EC368" s="39">
        <v>0.43060012278195647</v>
      </c>
      <c r="ED368" s="40">
        <v>0.40683663572757567</v>
      </c>
      <c r="EE368" s="39">
        <v>8.7963796466011462E-2</v>
      </c>
      <c r="EF368" s="40">
        <v>8.0650721016225474E-2</v>
      </c>
      <c r="EG368" s="39">
        <v>9.3399409224027313E-2</v>
      </c>
      <c r="EH368" s="40">
        <v>0.60722982241348145</v>
      </c>
      <c r="EI368" s="66">
        <v>0.60722982241348145</v>
      </c>
    </row>
    <row r="369" spans="1:139">
      <c r="A369" s="37" t="s">
        <v>1353</v>
      </c>
      <c r="B369" s="36" t="s">
        <v>1136</v>
      </c>
      <c r="C369" s="1" t="s">
        <v>1126</v>
      </c>
      <c r="D369" s="36" t="s">
        <v>1126</v>
      </c>
      <c r="E369" s="36" t="s">
        <v>1453</v>
      </c>
      <c r="F369" s="1" t="s">
        <v>1452</v>
      </c>
      <c r="G369" s="35" t="s">
        <v>1121</v>
      </c>
      <c r="H369" s="43">
        <v>1</v>
      </c>
      <c r="I369" s="42">
        <v>0</v>
      </c>
      <c r="J369" s="26">
        <v>3.6949802975058046</v>
      </c>
      <c r="K369" s="25">
        <v>16.422134655581353</v>
      </c>
      <c r="L369" s="24"/>
      <c r="M369" s="25"/>
      <c r="N369" s="24"/>
      <c r="O369" s="25"/>
      <c r="P369" s="24"/>
      <c r="Q369" s="25"/>
      <c r="R369" s="32"/>
      <c r="S369" s="47">
        <v>1</v>
      </c>
      <c r="T369" s="45">
        <v>1</v>
      </c>
      <c r="U369" s="46">
        <v>1</v>
      </c>
      <c r="V369" s="45">
        <v>1</v>
      </c>
      <c r="W369" s="46">
        <v>1</v>
      </c>
      <c r="X369" s="45">
        <v>1</v>
      </c>
      <c r="Y369" s="46">
        <v>1</v>
      </c>
      <c r="Z369" s="45">
        <v>1</v>
      </c>
      <c r="AA369" s="44">
        <v>1</v>
      </c>
      <c r="AB369" s="26">
        <f t="shared" si="559"/>
        <v>3.6949802975058046</v>
      </c>
      <c r="AC369" s="25">
        <f t="shared" si="560"/>
        <v>16.422134655581353</v>
      </c>
      <c r="AD369" s="24">
        <f t="shared" si="561"/>
        <v>0</v>
      </c>
      <c r="AE369" s="25">
        <f t="shared" si="562"/>
        <v>0</v>
      </c>
      <c r="AF369" s="24">
        <f t="shared" si="563"/>
        <v>0</v>
      </c>
      <c r="AG369" s="25">
        <f t="shared" si="564"/>
        <v>0</v>
      </c>
      <c r="AH369" s="24">
        <f t="shared" si="565"/>
        <v>0</v>
      </c>
      <c r="AI369" s="25">
        <f t="shared" si="566"/>
        <v>0</v>
      </c>
      <c r="AJ369" s="24">
        <f t="shared" si="567"/>
        <v>0</v>
      </c>
      <c r="AK369" s="27">
        <f t="shared" si="520"/>
        <v>20.117114953087157</v>
      </c>
      <c r="AL369" s="41">
        <v>0</v>
      </c>
      <c r="AM369" s="40">
        <v>0</v>
      </c>
      <c r="AN369" s="39">
        <v>0</v>
      </c>
      <c r="AO369" s="40">
        <v>0</v>
      </c>
      <c r="AP369" s="39">
        <v>0</v>
      </c>
      <c r="AQ369" s="40">
        <v>0</v>
      </c>
      <c r="AR369" s="39">
        <v>0</v>
      </c>
      <c r="AS369" s="40">
        <v>0</v>
      </c>
      <c r="AT369" s="39">
        <v>0</v>
      </c>
      <c r="AU369" s="38">
        <v>0</v>
      </c>
      <c r="CS369" s="54" t="s">
        <v>1451</v>
      </c>
      <c r="CT369" s="39">
        <v>0.12179258371598996</v>
      </c>
      <c r="CU369" s="40">
        <v>0.33525400693874829</v>
      </c>
      <c r="CV369" s="39">
        <v>1.2261852394048132</v>
      </c>
      <c r="CW369" s="40">
        <v>0.83052441854150905</v>
      </c>
      <c r="CX369" s="39">
        <v>0.4197585316246788</v>
      </c>
      <c r="CY369" s="40">
        <v>0.36588070247446264</v>
      </c>
      <c r="CZ369" s="39">
        <v>1.2710704238471813</v>
      </c>
      <c r="DA369" s="40">
        <v>0</v>
      </c>
      <c r="DB369" s="39">
        <v>0</v>
      </c>
      <c r="DC369" s="38">
        <v>4.5704659065473834</v>
      </c>
      <c r="DE369" s="37" t="s">
        <v>1450</v>
      </c>
      <c r="DF369" s="35" t="str">
        <f t="shared" si="521"/>
        <v>IMSPH</v>
      </c>
      <c r="DG369" s="26">
        <f t="shared" si="568"/>
        <v>1.6979948146713315</v>
      </c>
      <c r="DH369" s="25">
        <f t="shared" si="568"/>
        <v>4.6740084495394782</v>
      </c>
      <c r="DI369" s="24">
        <f t="shared" si="568"/>
        <v>12.726350880262155</v>
      </c>
      <c r="DJ369" s="25">
        <f t="shared" si="568"/>
        <v>8.6198600548440574</v>
      </c>
      <c r="DK369" s="24">
        <f t="shared" si="568"/>
        <v>4.9418109886163935</v>
      </c>
      <c r="DL369" s="25">
        <f t="shared" si="568"/>
        <v>4.3075081023670148</v>
      </c>
      <c r="DM369" s="24">
        <f t="shared" si="568"/>
        <v>14.96429331301767</v>
      </c>
      <c r="DN369" s="25">
        <f t="shared" si="568"/>
        <v>1.9581514714366224</v>
      </c>
      <c r="DO369" s="32">
        <f t="shared" si="568"/>
        <v>1.2278501606687824</v>
      </c>
      <c r="DP369" s="26">
        <f t="shared" si="523"/>
        <v>0.19023070175143741</v>
      </c>
      <c r="DQ369" s="25">
        <f t="shared" si="524"/>
        <v>0.19023070175143739</v>
      </c>
      <c r="DR369" s="24">
        <f t="shared" si="525"/>
        <v>0.10636544044684845</v>
      </c>
      <c r="DS369" s="25">
        <f t="shared" si="526"/>
        <v>0.10636544044684844</v>
      </c>
      <c r="DT369" s="24">
        <f t="shared" si="527"/>
        <v>0.28104813196279621</v>
      </c>
      <c r="DU369" s="25">
        <f t="shared" si="528"/>
        <v>0.28104813196279621</v>
      </c>
      <c r="DV369" s="24">
        <f t="shared" si="529"/>
        <v>0.28104813196279615</v>
      </c>
      <c r="DW369" s="25">
        <f t="shared" si="530"/>
        <v>0.2536438603211999</v>
      </c>
      <c r="DX369" s="32">
        <f t="shared" si="531"/>
        <v>0.2536438603211999</v>
      </c>
      <c r="DZ369" s="54" t="s">
        <v>1449</v>
      </c>
      <c r="EA369" s="39">
        <v>5.9226091023657917E-3</v>
      </c>
      <c r="EB369" s="40">
        <v>5.8667663159721302E-3</v>
      </c>
      <c r="EC369" s="39">
        <v>0.35993617010081813</v>
      </c>
      <c r="ED369" s="40">
        <v>0.34007240772347813</v>
      </c>
      <c r="EE369" s="39">
        <v>3.9827900868362978E-2</v>
      </c>
      <c r="EF369" s="40">
        <v>3.6516715406177097E-2</v>
      </c>
      <c r="EG369" s="39">
        <v>4.2289016176962853E-2</v>
      </c>
      <c r="EH369" s="40">
        <v>0.39277017758651867</v>
      </c>
      <c r="EI369" s="66">
        <v>0.39277017758651861</v>
      </c>
    </row>
    <row r="370" spans="1:139">
      <c r="A370" s="37" t="s">
        <v>1353</v>
      </c>
      <c r="B370" s="36" t="s">
        <v>1136</v>
      </c>
      <c r="C370" s="1" t="s">
        <v>665</v>
      </c>
      <c r="D370" s="36" t="s">
        <v>665</v>
      </c>
      <c r="E370" s="36" t="s">
        <v>1448</v>
      </c>
      <c r="F370" s="1" t="s">
        <v>1447</v>
      </c>
      <c r="G370" s="35" t="s">
        <v>1121</v>
      </c>
      <c r="H370" s="43">
        <v>1</v>
      </c>
      <c r="I370" s="42">
        <v>0</v>
      </c>
      <c r="J370" s="26">
        <v>0.16472770435892897</v>
      </c>
      <c r="K370" s="25">
        <v>0.74901827964914725</v>
      </c>
      <c r="L370" s="24"/>
      <c r="M370" s="25"/>
      <c r="N370" s="24"/>
      <c r="O370" s="25"/>
      <c r="P370" s="24"/>
      <c r="Q370" s="25"/>
      <c r="R370" s="32"/>
      <c r="S370" s="47">
        <v>1</v>
      </c>
      <c r="T370" s="45">
        <v>1</v>
      </c>
      <c r="U370" s="46">
        <v>1</v>
      </c>
      <c r="V370" s="45">
        <v>1</v>
      </c>
      <c r="W370" s="46">
        <v>1</v>
      </c>
      <c r="X370" s="45">
        <v>1</v>
      </c>
      <c r="Y370" s="46">
        <v>1</v>
      </c>
      <c r="Z370" s="45">
        <v>1</v>
      </c>
      <c r="AA370" s="44">
        <v>1</v>
      </c>
      <c r="AB370" s="26">
        <f t="shared" si="559"/>
        <v>0.16472770435892897</v>
      </c>
      <c r="AC370" s="25">
        <f t="shared" si="560"/>
        <v>0.74901827964914725</v>
      </c>
      <c r="AD370" s="24">
        <f t="shared" si="561"/>
        <v>0</v>
      </c>
      <c r="AE370" s="25">
        <f t="shared" si="562"/>
        <v>0</v>
      </c>
      <c r="AF370" s="24">
        <f t="shared" si="563"/>
        <v>0</v>
      </c>
      <c r="AG370" s="25">
        <f t="shared" si="564"/>
        <v>0</v>
      </c>
      <c r="AH370" s="24">
        <f t="shared" si="565"/>
        <v>0</v>
      </c>
      <c r="AI370" s="25">
        <f t="shared" si="566"/>
        <v>0</v>
      </c>
      <c r="AJ370" s="24">
        <f t="shared" si="567"/>
        <v>0</v>
      </c>
      <c r="AK370" s="27">
        <f t="shared" si="520"/>
        <v>0.91374598400807616</v>
      </c>
      <c r="AL370" s="41">
        <v>0</v>
      </c>
      <c r="AM370" s="40">
        <v>0</v>
      </c>
      <c r="AN370" s="39">
        <v>0</v>
      </c>
      <c r="AO370" s="40">
        <v>0</v>
      </c>
      <c r="AP370" s="39">
        <v>0</v>
      </c>
      <c r="AQ370" s="40">
        <v>0</v>
      </c>
      <c r="AR370" s="39">
        <v>0</v>
      </c>
      <c r="AS370" s="40">
        <v>0</v>
      </c>
      <c r="AT370" s="39">
        <v>0</v>
      </c>
      <c r="AU370" s="38">
        <v>0</v>
      </c>
      <c r="CS370" s="54" t="s">
        <v>1446</v>
      </c>
      <c r="CT370" s="39">
        <v>0</v>
      </c>
      <c r="CU370" s="40">
        <v>1.3637979284026902</v>
      </c>
      <c r="CV370" s="39">
        <v>0.6504637668723916</v>
      </c>
      <c r="CW370" s="40">
        <v>0.44057457584976062</v>
      </c>
      <c r="CX370" s="39">
        <v>0</v>
      </c>
      <c r="CY370" s="40">
        <v>0</v>
      </c>
      <c r="CZ370" s="39">
        <v>0</v>
      </c>
      <c r="DA370" s="40">
        <v>0.33528205300751013</v>
      </c>
      <c r="DB370" s="39">
        <v>0.21023711835356598</v>
      </c>
      <c r="DC370" s="38">
        <v>3.0003554424859185</v>
      </c>
      <c r="DE370" s="37" t="s">
        <v>1445</v>
      </c>
      <c r="DF370" s="35" t="str">
        <f t="shared" si="521"/>
        <v>IMSPH</v>
      </c>
      <c r="DG370" s="26">
        <f t="shared" si="568"/>
        <v>6.7259372545449807</v>
      </c>
      <c r="DH370" s="25">
        <f t="shared" si="568"/>
        <v>18.514242380004351</v>
      </c>
      <c r="DI370" s="24">
        <f t="shared" si="568"/>
        <v>86.417868646723946</v>
      </c>
      <c r="DJ370" s="25">
        <f t="shared" si="568"/>
        <v>58.532877254545085</v>
      </c>
      <c r="DK370" s="24">
        <f t="shared" si="568"/>
        <v>11.038554470181595</v>
      </c>
      <c r="DL370" s="25">
        <f t="shared" si="568"/>
        <v>9.6217081001795872</v>
      </c>
      <c r="DM370" s="24">
        <f t="shared" si="568"/>
        <v>33.425836646530257</v>
      </c>
      <c r="DN370" s="25">
        <f t="shared" si="568"/>
        <v>5.7619308083273459</v>
      </c>
      <c r="DO370" s="32">
        <f t="shared" si="568"/>
        <v>3.6129930559338357</v>
      </c>
      <c r="DP370" s="26">
        <f t="shared" si="523"/>
        <v>0.75352395237784486</v>
      </c>
      <c r="DQ370" s="25">
        <f t="shared" si="524"/>
        <v>0.75352395237784475</v>
      </c>
      <c r="DR370" s="24">
        <f t="shared" si="525"/>
        <v>0.72227103806659632</v>
      </c>
      <c r="DS370" s="25">
        <f t="shared" si="526"/>
        <v>0.72227103806659632</v>
      </c>
      <c r="DT370" s="24">
        <f t="shared" si="527"/>
        <v>0.62777899044712548</v>
      </c>
      <c r="DU370" s="25">
        <f t="shared" si="528"/>
        <v>0.62777899044712548</v>
      </c>
      <c r="DV370" s="24">
        <f t="shared" si="529"/>
        <v>0.62777899044712548</v>
      </c>
      <c r="DW370" s="25">
        <f t="shared" si="530"/>
        <v>0.7463561396788001</v>
      </c>
      <c r="DX370" s="32">
        <f t="shared" si="531"/>
        <v>0.7463561396788001</v>
      </c>
      <c r="DZ370" s="54" t="s">
        <v>1444</v>
      </c>
      <c r="EA370" s="39">
        <v>6.1789925196596759E-3</v>
      </c>
      <c r="EB370" s="40">
        <v>6.120732358734054E-3</v>
      </c>
      <c r="EC370" s="39">
        <v>2.9337298606595002E-3</v>
      </c>
      <c r="ED370" s="40">
        <v>2.7718263964560436E-3</v>
      </c>
      <c r="EE370" s="39">
        <v>6.0596678514802495E-3</v>
      </c>
      <c r="EF370" s="40">
        <v>5.5558832266813362E-3</v>
      </c>
      <c r="EG370" s="39">
        <v>6.4341174455876567E-3</v>
      </c>
      <c r="EH370" s="40">
        <v>0</v>
      </c>
      <c r="EI370" s="66">
        <v>0</v>
      </c>
    </row>
    <row r="371" spans="1:139">
      <c r="A371" s="37" t="s">
        <v>1353</v>
      </c>
      <c r="B371" s="36" t="s">
        <v>1129</v>
      </c>
      <c r="C371" s="1" t="s">
        <v>1126</v>
      </c>
      <c r="D371" s="36" t="s">
        <v>1126</v>
      </c>
      <c r="E371" s="36" t="s">
        <v>1443</v>
      </c>
      <c r="F371" s="1" t="s">
        <v>1442</v>
      </c>
      <c r="G371" s="35" t="s">
        <v>1121</v>
      </c>
      <c r="H371" s="43">
        <v>1</v>
      </c>
      <c r="I371" s="42">
        <v>0</v>
      </c>
      <c r="J371" s="26">
        <v>0.24128120004608886</v>
      </c>
      <c r="K371" s="25">
        <v>1.0723608890937282</v>
      </c>
      <c r="L371" s="24"/>
      <c r="M371" s="25"/>
      <c r="N371" s="24"/>
      <c r="O371" s="25"/>
      <c r="P371" s="24"/>
      <c r="Q371" s="25"/>
      <c r="R371" s="32"/>
      <c r="S371" s="47">
        <v>1</v>
      </c>
      <c r="T371" s="45">
        <v>1</v>
      </c>
      <c r="U371" s="46">
        <v>1</v>
      </c>
      <c r="V371" s="45">
        <v>1</v>
      </c>
      <c r="W371" s="46">
        <v>1</v>
      </c>
      <c r="X371" s="45">
        <v>1</v>
      </c>
      <c r="Y371" s="46">
        <v>1</v>
      </c>
      <c r="Z371" s="45">
        <v>1</v>
      </c>
      <c r="AA371" s="44">
        <v>1</v>
      </c>
      <c r="AB371" s="26">
        <f t="shared" si="559"/>
        <v>0.24128120004608886</v>
      </c>
      <c r="AC371" s="25">
        <f t="shared" si="560"/>
        <v>1.0723608890937282</v>
      </c>
      <c r="AD371" s="24">
        <f t="shared" si="561"/>
        <v>0</v>
      </c>
      <c r="AE371" s="25">
        <f t="shared" si="562"/>
        <v>0</v>
      </c>
      <c r="AF371" s="24">
        <f t="shared" si="563"/>
        <v>0</v>
      </c>
      <c r="AG371" s="25">
        <f t="shared" si="564"/>
        <v>0</v>
      </c>
      <c r="AH371" s="24">
        <f t="shared" si="565"/>
        <v>0</v>
      </c>
      <c r="AI371" s="25">
        <f t="shared" si="566"/>
        <v>0</v>
      </c>
      <c r="AJ371" s="24">
        <f t="shared" si="567"/>
        <v>0</v>
      </c>
      <c r="AK371" s="27">
        <f t="shared" si="520"/>
        <v>1.3136420891398171</v>
      </c>
      <c r="AL371" s="41">
        <v>0</v>
      </c>
      <c r="AM371" s="40">
        <v>0</v>
      </c>
      <c r="AN371" s="39">
        <v>0</v>
      </c>
      <c r="AO371" s="40">
        <v>0</v>
      </c>
      <c r="AP371" s="39">
        <v>0</v>
      </c>
      <c r="AQ371" s="40">
        <v>0</v>
      </c>
      <c r="AR371" s="39">
        <v>0</v>
      </c>
      <c r="AS371" s="40">
        <v>0</v>
      </c>
      <c r="AT371" s="39">
        <v>0</v>
      </c>
      <c r="AU371" s="38">
        <v>0</v>
      </c>
      <c r="CS371" s="54" t="s">
        <v>1441</v>
      </c>
      <c r="CT371" s="39">
        <v>3.3680876078536287E-2</v>
      </c>
      <c r="CU371" s="40">
        <v>9.2712120213065699E-2</v>
      </c>
      <c r="CV371" s="39">
        <v>6.0283171547572699E-2</v>
      </c>
      <c r="CW371" s="40">
        <v>4.0831225485708882E-2</v>
      </c>
      <c r="CX371" s="39">
        <v>0</v>
      </c>
      <c r="CY371" s="40">
        <v>0</v>
      </c>
      <c r="CZ371" s="39">
        <v>0</v>
      </c>
      <c r="DA371" s="40">
        <v>3.1073007518094817E-2</v>
      </c>
      <c r="DB371" s="39">
        <v>1.948419099854598E-2</v>
      </c>
      <c r="DC371" s="38">
        <v>0.27806459184152438</v>
      </c>
      <c r="DE371" s="37" t="s">
        <v>1440</v>
      </c>
      <c r="DF371" s="35" t="str">
        <f t="shared" si="521"/>
        <v>IMSPH</v>
      </c>
      <c r="DG371" s="26">
        <f t="shared" si="568"/>
        <v>0.50204464767555768</v>
      </c>
      <c r="DH371" s="25">
        <f t="shared" si="568"/>
        <v>1.3819600065950928</v>
      </c>
      <c r="DI371" s="24">
        <f t="shared" si="568"/>
        <v>20.217971167685587</v>
      </c>
      <c r="DJ371" s="25">
        <f t="shared" si="568"/>
        <v>13.694112609185886</v>
      </c>
      <c r="DK371" s="24">
        <f t="shared" si="568"/>
        <v>1.5380431052973509</v>
      </c>
      <c r="DL371" s="25">
        <f t="shared" si="568"/>
        <v>1.340628598123087</v>
      </c>
      <c r="DM371" s="24">
        <f t="shared" si="568"/>
        <v>4.6573469136621144</v>
      </c>
      <c r="DN371" s="25">
        <f t="shared" si="568"/>
        <v>0</v>
      </c>
      <c r="DO371" s="32">
        <f t="shared" si="568"/>
        <v>0</v>
      </c>
      <c r="DP371" s="26">
        <f t="shared" si="523"/>
        <v>5.624534587071784E-2</v>
      </c>
      <c r="DQ371" s="25">
        <f t="shared" si="524"/>
        <v>5.6245345870717826E-2</v>
      </c>
      <c r="DR371" s="24">
        <f t="shared" si="525"/>
        <v>0.16897957854736295</v>
      </c>
      <c r="DS371" s="25">
        <f t="shared" si="526"/>
        <v>0.16897957854736295</v>
      </c>
      <c r="DT371" s="24">
        <f t="shared" si="527"/>
        <v>8.7470796155055666E-2</v>
      </c>
      <c r="DU371" s="25">
        <f t="shared" si="528"/>
        <v>8.7470796155055666E-2</v>
      </c>
      <c r="DV371" s="24">
        <f t="shared" si="529"/>
        <v>8.7470796155055666E-2</v>
      </c>
      <c r="DW371" s="25">
        <f t="shared" si="530"/>
        <v>0</v>
      </c>
      <c r="DX371" s="32">
        <f t="shared" si="531"/>
        <v>0</v>
      </c>
      <c r="DZ371" s="54" t="s">
        <v>1439</v>
      </c>
      <c r="EA371" s="39">
        <v>0</v>
      </c>
      <c r="EB371" s="40">
        <v>1.3057562365299319E-2</v>
      </c>
      <c r="EC371" s="39">
        <v>2.9337298606595006E-3</v>
      </c>
      <c r="ED371" s="40">
        <v>2.771826396456044E-3</v>
      </c>
      <c r="EE371" s="39">
        <v>6.0596678514802504E-3</v>
      </c>
      <c r="EF371" s="40">
        <v>5.5558832266813371E-3</v>
      </c>
      <c r="EG371" s="39">
        <v>6.4341174455876567E-3</v>
      </c>
      <c r="EH371" s="40">
        <v>0</v>
      </c>
      <c r="EI371" s="66">
        <v>0</v>
      </c>
    </row>
    <row r="372" spans="1:139">
      <c r="A372" s="37" t="s">
        <v>1353</v>
      </c>
      <c r="B372" s="36" t="s">
        <v>1129</v>
      </c>
      <c r="C372" s="1" t="s">
        <v>665</v>
      </c>
      <c r="D372" s="36" t="s">
        <v>665</v>
      </c>
      <c r="E372" s="36" t="s">
        <v>1438</v>
      </c>
      <c r="F372" s="1" t="s">
        <v>1437</v>
      </c>
      <c r="G372" s="35" t="s">
        <v>1121</v>
      </c>
      <c r="H372" s="43">
        <v>1</v>
      </c>
      <c r="I372" s="42">
        <v>0</v>
      </c>
      <c r="J372" s="26">
        <v>0.16472770435892897</v>
      </c>
      <c r="K372" s="25">
        <v>0.74901827964914725</v>
      </c>
      <c r="L372" s="24"/>
      <c r="M372" s="25"/>
      <c r="N372" s="24"/>
      <c r="O372" s="25"/>
      <c r="P372" s="24"/>
      <c r="Q372" s="25"/>
      <c r="R372" s="32"/>
      <c r="S372" s="47">
        <v>1</v>
      </c>
      <c r="T372" s="45">
        <v>1</v>
      </c>
      <c r="U372" s="46">
        <v>1</v>
      </c>
      <c r="V372" s="45">
        <v>1</v>
      </c>
      <c r="W372" s="46">
        <v>1</v>
      </c>
      <c r="X372" s="45">
        <v>1</v>
      </c>
      <c r="Y372" s="46">
        <v>1</v>
      </c>
      <c r="Z372" s="45">
        <v>1</v>
      </c>
      <c r="AA372" s="44">
        <v>1</v>
      </c>
      <c r="AB372" s="26">
        <f t="shared" si="559"/>
        <v>0.16472770435892897</v>
      </c>
      <c r="AC372" s="25">
        <f t="shared" si="560"/>
        <v>0.74901827964914725</v>
      </c>
      <c r="AD372" s="24">
        <f t="shared" si="561"/>
        <v>0</v>
      </c>
      <c r="AE372" s="25">
        <f t="shared" si="562"/>
        <v>0</v>
      </c>
      <c r="AF372" s="24">
        <f t="shared" si="563"/>
        <v>0</v>
      </c>
      <c r="AG372" s="25">
        <f t="shared" si="564"/>
        <v>0</v>
      </c>
      <c r="AH372" s="24">
        <f t="shared" si="565"/>
        <v>0</v>
      </c>
      <c r="AI372" s="25">
        <f t="shared" si="566"/>
        <v>0</v>
      </c>
      <c r="AJ372" s="24">
        <f t="shared" si="567"/>
        <v>0</v>
      </c>
      <c r="AK372" s="27">
        <f t="shared" si="520"/>
        <v>0.91374598400807616</v>
      </c>
      <c r="AL372" s="41">
        <v>0</v>
      </c>
      <c r="AM372" s="40">
        <v>0</v>
      </c>
      <c r="AN372" s="39">
        <v>0</v>
      </c>
      <c r="AO372" s="40">
        <v>0</v>
      </c>
      <c r="AP372" s="39">
        <v>0</v>
      </c>
      <c r="AQ372" s="40">
        <v>0</v>
      </c>
      <c r="AR372" s="39">
        <v>0</v>
      </c>
      <c r="AS372" s="40">
        <v>0</v>
      </c>
      <c r="AT372" s="39">
        <v>0</v>
      </c>
      <c r="AU372" s="38">
        <v>0</v>
      </c>
      <c r="CS372" s="54" t="s">
        <v>1436</v>
      </c>
      <c r="CT372" s="39">
        <v>0.34547659811373327</v>
      </c>
      <c r="CU372" s="40">
        <v>0.95098084207889733</v>
      </c>
      <c r="CV372" s="39">
        <v>2.5893226354555821</v>
      </c>
      <c r="CW372" s="40">
        <v>1.7538097891897311</v>
      </c>
      <c r="CX372" s="39">
        <v>1.0054683525041992</v>
      </c>
      <c r="CY372" s="40">
        <v>0.87641212605301644</v>
      </c>
      <c r="CZ372" s="39">
        <v>3.044657794174781</v>
      </c>
      <c r="DA372" s="40">
        <v>0.39840846573743505</v>
      </c>
      <c r="DB372" s="39">
        <v>0.24982025435888031</v>
      </c>
      <c r="DC372" s="38">
        <v>11.214356857666255</v>
      </c>
      <c r="DE372" s="37" t="s">
        <v>1177</v>
      </c>
      <c r="DF372" s="35" t="str">
        <f t="shared" si="521"/>
        <v>IPLPH</v>
      </c>
      <c r="DG372" s="26">
        <f t="shared" si="568"/>
        <v>9.3999134184622093E-2</v>
      </c>
      <c r="DH372" s="25">
        <f t="shared" si="568"/>
        <v>8.2940412515843026E-2</v>
      </c>
      <c r="DI372" s="24">
        <f t="shared" si="568"/>
        <v>0.14850283383789037</v>
      </c>
      <c r="DJ372" s="25">
        <f t="shared" si="568"/>
        <v>2.8436712862574744E-2</v>
      </c>
      <c r="DK372" s="24">
        <f t="shared" si="568"/>
        <v>0.35387909340093021</v>
      </c>
      <c r="DL372" s="25">
        <f t="shared" si="568"/>
        <v>0.20547818326505629</v>
      </c>
      <c r="DM372" s="24">
        <f t="shared" si="568"/>
        <v>0.14840091013587398</v>
      </c>
      <c r="DN372" s="25">
        <f t="shared" si="568"/>
        <v>2.0221662480053155E-2</v>
      </c>
      <c r="DO372" s="32">
        <f t="shared" si="568"/>
        <v>0.15671788422041194</v>
      </c>
      <c r="DP372" s="26">
        <f t="shared" si="523"/>
        <v>0.1586106089125088</v>
      </c>
      <c r="DQ372" s="25">
        <f t="shared" si="524"/>
        <v>0.1586106089125088</v>
      </c>
      <c r="DR372" s="24">
        <f t="shared" si="525"/>
        <v>0.3020681059947341</v>
      </c>
      <c r="DS372" s="25">
        <f t="shared" si="526"/>
        <v>0.3020681059947341</v>
      </c>
      <c r="DT372" s="24">
        <f t="shared" si="527"/>
        <v>7.755291958081674E-2</v>
      </c>
      <c r="DU372" s="25">
        <f t="shared" si="528"/>
        <v>7.7552919580816754E-2</v>
      </c>
      <c r="DV372" s="24">
        <f t="shared" si="529"/>
        <v>7.7552919580816754E-2</v>
      </c>
      <c r="DW372" s="25">
        <f t="shared" si="530"/>
        <v>0.4004615875907574</v>
      </c>
      <c r="DX372" s="32">
        <f t="shared" si="531"/>
        <v>0.4004615875907574</v>
      </c>
      <c r="DZ372" s="54" t="s">
        <v>1435</v>
      </c>
      <c r="EA372" s="39">
        <v>0</v>
      </c>
      <c r="EB372" s="40">
        <v>0</v>
      </c>
      <c r="EC372" s="39">
        <v>0.18425775050743068</v>
      </c>
      <c r="ED372" s="40">
        <v>0.18425775050743068</v>
      </c>
      <c r="EE372" s="39">
        <v>0.21988416202473549</v>
      </c>
      <c r="EF372" s="40">
        <v>0.21988416202473549</v>
      </c>
      <c r="EG372" s="39">
        <v>0.21988416202473549</v>
      </c>
      <c r="EH372" s="40">
        <v>0</v>
      </c>
      <c r="EI372" s="66">
        <v>0</v>
      </c>
    </row>
    <row r="373" spans="1:139">
      <c r="A373" s="37" t="s">
        <v>1353</v>
      </c>
      <c r="B373" s="36" t="s">
        <v>1129</v>
      </c>
      <c r="C373" s="1" t="s">
        <v>1197</v>
      </c>
      <c r="D373" s="36" t="s">
        <v>1197</v>
      </c>
      <c r="E373" s="36" t="s">
        <v>1434</v>
      </c>
      <c r="F373" s="1" t="s">
        <v>1433</v>
      </c>
      <c r="G373" s="35" t="s">
        <v>1121</v>
      </c>
      <c r="H373" s="43">
        <v>1</v>
      </c>
      <c r="I373" s="42">
        <v>0</v>
      </c>
      <c r="J373" s="26">
        <v>8.9617266357932074E-2</v>
      </c>
      <c r="K373" s="25">
        <v>0.82658749205433812</v>
      </c>
      <c r="L373" s="24"/>
      <c r="M373" s="25"/>
      <c r="N373" s="24"/>
      <c r="O373" s="25"/>
      <c r="P373" s="24"/>
      <c r="Q373" s="25"/>
      <c r="R373" s="32"/>
      <c r="S373" s="47">
        <v>1</v>
      </c>
      <c r="T373" s="45">
        <v>1</v>
      </c>
      <c r="U373" s="46">
        <v>1</v>
      </c>
      <c r="V373" s="45">
        <v>1</v>
      </c>
      <c r="W373" s="46">
        <v>1</v>
      </c>
      <c r="X373" s="45">
        <v>1</v>
      </c>
      <c r="Y373" s="46">
        <v>1</v>
      </c>
      <c r="Z373" s="45">
        <v>1</v>
      </c>
      <c r="AA373" s="44">
        <v>1</v>
      </c>
      <c r="AB373" s="26">
        <f t="shared" si="559"/>
        <v>8.9617266357932074E-2</v>
      </c>
      <c r="AC373" s="25">
        <f t="shared" si="560"/>
        <v>0.82658749205433812</v>
      </c>
      <c r="AD373" s="24">
        <f t="shared" si="561"/>
        <v>0</v>
      </c>
      <c r="AE373" s="25">
        <f t="shared" si="562"/>
        <v>0</v>
      </c>
      <c r="AF373" s="24">
        <f t="shared" si="563"/>
        <v>0</v>
      </c>
      <c r="AG373" s="25">
        <f t="shared" si="564"/>
        <v>0</v>
      </c>
      <c r="AH373" s="24">
        <f t="shared" si="565"/>
        <v>0</v>
      </c>
      <c r="AI373" s="25">
        <f t="shared" si="566"/>
        <v>0</v>
      </c>
      <c r="AJ373" s="24">
        <f t="shared" si="567"/>
        <v>0</v>
      </c>
      <c r="AK373" s="27">
        <f t="shared" si="520"/>
        <v>0.91620475841227023</v>
      </c>
      <c r="AL373" s="41">
        <v>0</v>
      </c>
      <c r="AM373" s="40">
        <v>0</v>
      </c>
      <c r="AN373" s="39">
        <v>0</v>
      </c>
      <c r="AO373" s="40">
        <v>0</v>
      </c>
      <c r="AP373" s="39">
        <v>0</v>
      </c>
      <c r="AQ373" s="40">
        <v>0</v>
      </c>
      <c r="AR373" s="39">
        <v>0</v>
      </c>
      <c r="AS373" s="40">
        <v>0</v>
      </c>
      <c r="AT373" s="39">
        <v>0</v>
      </c>
      <c r="AU373" s="38">
        <v>0</v>
      </c>
      <c r="CS373" s="54" t="s">
        <v>1432</v>
      </c>
      <c r="CT373" s="39">
        <v>5.1587304567600835E-2</v>
      </c>
      <c r="CU373" s="40">
        <v>0.14200249338488383</v>
      </c>
      <c r="CV373" s="39">
        <v>0.66281690435767615</v>
      </c>
      <c r="CW373" s="40">
        <v>0.44894164959802169</v>
      </c>
      <c r="CX373" s="39">
        <v>8.4664671983746248E-2</v>
      </c>
      <c r="CY373" s="40">
        <v>7.3797593917354451E-2</v>
      </c>
      <c r="CZ373" s="39">
        <v>0.25637301542565227</v>
      </c>
      <c r="DA373" s="40">
        <v>4.4193466019292221E-2</v>
      </c>
      <c r="DB373" s="39">
        <v>2.7711316077344943E-2</v>
      </c>
      <c r="DC373" s="38">
        <v>1.7920884153315728</v>
      </c>
      <c r="DE373" s="37" t="s">
        <v>1175</v>
      </c>
      <c r="DF373" s="35" t="str">
        <f t="shared" si="521"/>
        <v>IPLPH</v>
      </c>
      <c r="DG373" s="26">
        <f t="shared" si="568"/>
        <v>0.21718609960586868</v>
      </c>
      <c r="DH373" s="25">
        <f t="shared" si="568"/>
        <v>0.19163479376988415</v>
      </c>
      <c r="DI373" s="24">
        <f t="shared" si="568"/>
        <v>0.34311753551179258</v>
      </c>
      <c r="DJ373" s="25">
        <f t="shared" si="568"/>
        <v>6.5703357863960268E-2</v>
      </c>
      <c r="DK373" s="24">
        <f t="shared" si="568"/>
        <v>3.6793880403817751</v>
      </c>
      <c r="DL373" s="25">
        <f t="shared" si="568"/>
        <v>2.1364188621571598</v>
      </c>
      <c r="DM373" s="24">
        <f t="shared" si="568"/>
        <v>1.5429691782246153</v>
      </c>
      <c r="DN373" s="25">
        <f t="shared" si="568"/>
        <v>0</v>
      </c>
      <c r="DO373" s="32">
        <f t="shared" si="568"/>
        <v>0</v>
      </c>
      <c r="DP373" s="26">
        <f t="shared" si="523"/>
        <v>0.36647166811303655</v>
      </c>
      <c r="DQ373" s="25">
        <f t="shared" si="524"/>
        <v>0.36647166811303666</v>
      </c>
      <c r="DR373" s="24">
        <f t="shared" si="525"/>
        <v>0.6979318940052659</v>
      </c>
      <c r="DS373" s="25">
        <f t="shared" si="526"/>
        <v>0.69793189400526578</v>
      </c>
      <c r="DT373" s="24">
        <f t="shared" si="527"/>
        <v>0.80634117732143096</v>
      </c>
      <c r="DU373" s="25">
        <f t="shared" si="528"/>
        <v>0.80634117732143096</v>
      </c>
      <c r="DV373" s="24">
        <f t="shared" si="529"/>
        <v>0.80634117732143096</v>
      </c>
      <c r="DW373" s="25">
        <f t="shared" si="530"/>
        <v>0</v>
      </c>
      <c r="DX373" s="32">
        <f t="shared" si="531"/>
        <v>0</v>
      </c>
      <c r="DZ373" s="54" t="s">
        <v>1431</v>
      </c>
      <c r="EA373" s="39">
        <v>0.13988340858987777</v>
      </c>
      <c r="EB373" s="40">
        <v>0.13988340858987774</v>
      </c>
      <c r="EC373" s="39">
        <v>6.6043178198010255E-2</v>
      </c>
      <c r="ED373" s="40">
        <v>6.6043178198010255E-2</v>
      </c>
      <c r="EE373" s="39">
        <v>0.1091252625109288</v>
      </c>
      <c r="EF373" s="40">
        <v>0.1091252625109288</v>
      </c>
      <c r="EG373" s="39">
        <v>0.1091252625109288</v>
      </c>
      <c r="EH373" s="40">
        <v>0.10220752719937166</v>
      </c>
      <c r="EI373" s="66">
        <v>0.10220752719937168</v>
      </c>
    </row>
    <row r="374" spans="1:139">
      <c r="A374" s="37" t="s">
        <v>1353</v>
      </c>
      <c r="B374" s="36" t="s">
        <v>1129</v>
      </c>
      <c r="C374" s="1" t="s">
        <v>468</v>
      </c>
      <c r="D374" s="36" t="s">
        <v>468</v>
      </c>
      <c r="E374" s="36" t="s">
        <v>1430</v>
      </c>
      <c r="F374" s="1" t="s">
        <v>1429</v>
      </c>
      <c r="G374" s="35" t="s">
        <v>1121</v>
      </c>
      <c r="H374" s="43">
        <v>1</v>
      </c>
      <c r="I374" s="42">
        <v>0</v>
      </c>
      <c r="J374" s="26">
        <v>8.9617266357932088E-2</v>
      </c>
      <c r="K374" s="25">
        <v>0.82658749205433835</v>
      </c>
      <c r="L374" s="24"/>
      <c r="M374" s="25"/>
      <c r="N374" s="24"/>
      <c r="O374" s="25"/>
      <c r="P374" s="24"/>
      <c r="Q374" s="25"/>
      <c r="R374" s="32"/>
      <c r="S374" s="47">
        <v>1</v>
      </c>
      <c r="T374" s="45">
        <v>1</v>
      </c>
      <c r="U374" s="46">
        <v>1</v>
      </c>
      <c r="V374" s="45">
        <v>1</v>
      </c>
      <c r="W374" s="46">
        <v>1</v>
      </c>
      <c r="X374" s="45">
        <v>1</v>
      </c>
      <c r="Y374" s="46">
        <v>1</v>
      </c>
      <c r="Z374" s="45">
        <v>1</v>
      </c>
      <c r="AA374" s="44">
        <v>1</v>
      </c>
      <c r="AB374" s="26">
        <f t="shared" si="559"/>
        <v>8.9617266357932088E-2</v>
      </c>
      <c r="AC374" s="25">
        <f t="shared" si="560"/>
        <v>0.82658749205433835</v>
      </c>
      <c r="AD374" s="24">
        <f t="shared" si="561"/>
        <v>0</v>
      </c>
      <c r="AE374" s="25">
        <f t="shared" si="562"/>
        <v>0</v>
      </c>
      <c r="AF374" s="24">
        <f t="shared" si="563"/>
        <v>0</v>
      </c>
      <c r="AG374" s="25">
        <f t="shared" si="564"/>
        <v>0</v>
      </c>
      <c r="AH374" s="24">
        <f t="shared" si="565"/>
        <v>0</v>
      </c>
      <c r="AI374" s="25">
        <f t="shared" si="566"/>
        <v>0</v>
      </c>
      <c r="AJ374" s="24">
        <f t="shared" si="567"/>
        <v>0</v>
      </c>
      <c r="AK374" s="27">
        <f t="shared" si="520"/>
        <v>0.91620475841227045</v>
      </c>
      <c r="AL374" s="41">
        <v>0</v>
      </c>
      <c r="AM374" s="40">
        <v>0</v>
      </c>
      <c r="AN374" s="39">
        <v>0</v>
      </c>
      <c r="AO374" s="40">
        <v>0</v>
      </c>
      <c r="AP374" s="39">
        <v>0</v>
      </c>
      <c r="AQ374" s="40">
        <v>0</v>
      </c>
      <c r="AR374" s="39">
        <v>0</v>
      </c>
      <c r="AS374" s="40">
        <v>0</v>
      </c>
      <c r="AT374" s="39">
        <v>0</v>
      </c>
      <c r="AU374" s="38">
        <v>0</v>
      </c>
      <c r="CS374" s="54" t="s">
        <v>1428</v>
      </c>
      <c r="CT374" s="39">
        <v>1.0695869910641895E-2</v>
      </c>
      <c r="CU374" s="40">
        <v>2.9442131333711985E-2</v>
      </c>
      <c r="CV374" s="39">
        <v>8.0164787475405008E-2</v>
      </c>
      <c r="CW374" s="40">
        <v>5.4297516693180517E-2</v>
      </c>
      <c r="CX374" s="39">
        <v>3.1129051161120712E-2</v>
      </c>
      <c r="CY374" s="40">
        <v>2.7133502354582548E-2</v>
      </c>
      <c r="CZ374" s="39">
        <v>9.4261851212841502E-2</v>
      </c>
      <c r="DA374" s="40">
        <v>1.233462742221161E-2</v>
      </c>
      <c r="DB374" s="39">
        <v>7.7343731999653335E-3</v>
      </c>
      <c r="DC374" s="38">
        <v>0.34719371076366107</v>
      </c>
      <c r="DE374" s="37" t="s">
        <v>1173</v>
      </c>
      <c r="DF374" s="35" t="str">
        <f t="shared" si="521"/>
        <v>IPLPH</v>
      </c>
      <c r="DG374" s="26">
        <f t="shared" si="568"/>
        <v>0.28145566727605104</v>
      </c>
      <c r="DH374" s="25">
        <f t="shared" si="568"/>
        <v>0.24834323583180976</v>
      </c>
      <c r="DI374" s="24">
        <f t="shared" si="568"/>
        <v>0</v>
      </c>
      <c r="DJ374" s="25">
        <f t="shared" si="568"/>
        <v>0</v>
      </c>
      <c r="DK374" s="24">
        <f t="shared" si="568"/>
        <v>0.52979890310786082</v>
      </c>
      <c r="DL374" s="25">
        <f t="shared" si="568"/>
        <v>0.30762516954649988</v>
      </c>
      <c r="DM374" s="24">
        <f t="shared" si="568"/>
        <v>0.222173733561361</v>
      </c>
      <c r="DN374" s="25">
        <f t="shared" si="568"/>
        <v>3.0274223034734902E-2</v>
      </c>
      <c r="DO374" s="32">
        <f t="shared" si="568"/>
        <v>0.23462522851919548</v>
      </c>
      <c r="DP374" s="26">
        <f t="shared" si="523"/>
        <v>0.4749177229744545</v>
      </c>
      <c r="DQ374" s="25">
        <f t="shared" si="524"/>
        <v>0.47491772297445456</v>
      </c>
      <c r="DR374" s="24">
        <f t="shared" si="525"/>
        <v>0</v>
      </c>
      <c r="DS374" s="25">
        <f t="shared" si="526"/>
        <v>0</v>
      </c>
      <c r="DT374" s="24">
        <f t="shared" si="527"/>
        <v>0.11610590309775233</v>
      </c>
      <c r="DU374" s="25">
        <f t="shared" si="528"/>
        <v>0.11610590309775234</v>
      </c>
      <c r="DV374" s="24">
        <f t="shared" si="529"/>
        <v>0.11610590309775234</v>
      </c>
      <c r="DW374" s="25">
        <f t="shared" si="530"/>
        <v>0.59953841240924266</v>
      </c>
      <c r="DX374" s="32">
        <f t="shared" si="531"/>
        <v>0.59953841240924266</v>
      </c>
      <c r="DZ374" s="54" t="s">
        <v>1427</v>
      </c>
      <c r="EA374" s="39">
        <v>0.86011659141012231</v>
      </c>
      <c r="EB374" s="40">
        <v>0.8601165914101222</v>
      </c>
      <c r="EC374" s="39">
        <v>0.74969907129455904</v>
      </c>
      <c r="ED374" s="40">
        <v>0.74969907129455915</v>
      </c>
      <c r="EE374" s="39">
        <v>0.67099057546433571</v>
      </c>
      <c r="EF374" s="40">
        <v>0.67099057546433571</v>
      </c>
      <c r="EG374" s="39">
        <v>0.6709905754643356</v>
      </c>
      <c r="EH374" s="40">
        <v>0.89779247280062835</v>
      </c>
      <c r="EI374" s="66">
        <v>0.89779247280062835</v>
      </c>
    </row>
    <row r="375" spans="1:139">
      <c r="A375" s="37" t="s">
        <v>1353</v>
      </c>
      <c r="B375" s="36" t="s">
        <v>1129</v>
      </c>
      <c r="C375" s="1" t="s">
        <v>1132</v>
      </c>
      <c r="D375" s="36" t="s">
        <v>1131</v>
      </c>
      <c r="E375" s="36" t="s">
        <v>1426</v>
      </c>
      <c r="F375" s="1" t="s">
        <v>1396</v>
      </c>
      <c r="G375" s="35" t="s">
        <v>1121</v>
      </c>
      <c r="H375" s="43">
        <v>1</v>
      </c>
      <c r="I375" s="42">
        <v>0</v>
      </c>
      <c r="J375" s="26">
        <v>0</v>
      </c>
      <c r="K375" s="25">
        <v>0</v>
      </c>
      <c r="L375" s="24"/>
      <c r="M375" s="25"/>
      <c r="N375" s="24"/>
      <c r="O375" s="25"/>
      <c r="P375" s="24"/>
      <c r="Q375" s="25"/>
      <c r="R375" s="32"/>
      <c r="S375" s="47">
        <v>1</v>
      </c>
      <c r="T375" s="45">
        <v>1</v>
      </c>
      <c r="U375" s="46">
        <v>1</v>
      </c>
      <c r="V375" s="45">
        <v>1</v>
      </c>
      <c r="W375" s="46">
        <v>1</v>
      </c>
      <c r="X375" s="45">
        <v>1</v>
      </c>
      <c r="Y375" s="46">
        <v>1</v>
      </c>
      <c r="Z375" s="45">
        <v>1</v>
      </c>
      <c r="AA375" s="44">
        <v>1</v>
      </c>
      <c r="AB375" s="26">
        <f t="shared" si="559"/>
        <v>0</v>
      </c>
      <c r="AC375" s="25">
        <f t="shared" si="560"/>
        <v>0</v>
      </c>
      <c r="AD375" s="24">
        <f t="shared" si="561"/>
        <v>0</v>
      </c>
      <c r="AE375" s="25">
        <f t="shared" si="562"/>
        <v>0</v>
      </c>
      <c r="AF375" s="24">
        <f t="shared" si="563"/>
        <v>0</v>
      </c>
      <c r="AG375" s="25">
        <f t="shared" si="564"/>
        <v>0</v>
      </c>
      <c r="AH375" s="24">
        <f t="shared" si="565"/>
        <v>0</v>
      </c>
      <c r="AI375" s="25">
        <f t="shared" si="566"/>
        <v>0</v>
      </c>
      <c r="AJ375" s="24">
        <f t="shared" si="567"/>
        <v>0</v>
      </c>
      <c r="AK375" s="27">
        <f t="shared" si="520"/>
        <v>0</v>
      </c>
      <c r="AL375" s="41">
        <v>0</v>
      </c>
      <c r="AM375" s="40">
        <v>0</v>
      </c>
      <c r="AN375" s="39">
        <v>0</v>
      </c>
      <c r="AO375" s="40">
        <v>0</v>
      </c>
      <c r="AP375" s="39">
        <v>0</v>
      </c>
      <c r="AQ375" s="40">
        <v>0</v>
      </c>
      <c r="AR375" s="39">
        <v>0</v>
      </c>
      <c r="AS375" s="40">
        <v>0</v>
      </c>
      <c r="AT375" s="39">
        <v>0</v>
      </c>
      <c r="AU375" s="38">
        <v>0</v>
      </c>
      <c r="CS375" s="54" t="s">
        <v>1425</v>
      </c>
      <c r="CT375" s="39">
        <v>0</v>
      </c>
      <c r="CU375" s="40">
        <v>0</v>
      </c>
      <c r="CV375" s="39">
        <v>3.4149347760800559</v>
      </c>
      <c r="CW375" s="40">
        <v>2.3130165232112434</v>
      </c>
      <c r="CX375" s="39">
        <v>0.11133624304185237</v>
      </c>
      <c r="CY375" s="40">
        <v>9.7045753084165479E-2</v>
      </c>
      <c r="CZ375" s="39">
        <v>0.33713717523505826</v>
      </c>
      <c r="DA375" s="40">
        <v>0</v>
      </c>
      <c r="DB375" s="39">
        <v>0</v>
      </c>
      <c r="DC375" s="38">
        <v>6.2734704706523754</v>
      </c>
      <c r="DE375" s="37" t="s">
        <v>1424</v>
      </c>
      <c r="DF375" s="35" t="str">
        <f t="shared" si="521"/>
        <v>IMLPH</v>
      </c>
      <c r="DG375" s="26">
        <f t="shared" si="568"/>
        <v>0.33448560000198496</v>
      </c>
      <c r="DH375" s="25">
        <f t="shared" si="568"/>
        <v>0.9207263221007973</v>
      </c>
      <c r="DI375" s="24">
        <f t="shared" si="568"/>
        <v>0.10690600780445661</v>
      </c>
      <c r="DJ375" s="25">
        <f t="shared" si="568"/>
        <v>7.2409981067369414E-2</v>
      </c>
      <c r="DK375" s="24">
        <f t="shared" si="568"/>
        <v>3.6597006239968442E-2</v>
      </c>
      <c r="DL375" s="25">
        <f t="shared" si="568"/>
        <v>3.1899621669904621E-2</v>
      </c>
      <c r="DM375" s="24">
        <f t="shared" si="568"/>
        <v>0.11081936096195298</v>
      </c>
      <c r="DN375" s="25">
        <f t="shared" si="568"/>
        <v>0</v>
      </c>
      <c r="DO375" s="32">
        <f t="shared" si="568"/>
        <v>0</v>
      </c>
      <c r="DP375" s="26">
        <f t="shared" si="523"/>
        <v>0.39812421599769671</v>
      </c>
      <c r="DQ375" s="25">
        <f t="shared" si="524"/>
        <v>0.39812421599769676</v>
      </c>
      <c r="DR375" s="24">
        <f t="shared" si="525"/>
        <v>2.628909723833656E-2</v>
      </c>
      <c r="DS375" s="25">
        <f t="shared" si="526"/>
        <v>2.628909723833656E-2</v>
      </c>
      <c r="DT375" s="24">
        <f t="shared" si="527"/>
        <v>3.6421738285916105E-2</v>
      </c>
      <c r="DU375" s="25">
        <f t="shared" si="528"/>
        <v>3.6421738285916105E-2</v>
      </c>
      <c r="DV375" s="24">
        <f t="shared" si="529"/>
        <v>3.6421738285916105E-2</v>
      </c>
      <c r="DW375" s="25">
        <f t="shared" si="530"/>
        <v>0</v>
      </c>
      <c r="DX375" s="32">
        <f t="shared" si="531"/>
        <v>0</v>
      </c>
      <c r="DZ375" s="54" t="s">
        <v>1423</v>
      </c>
      <c r="EA375" s="39">
        <v>0.89745305527974828</v>
      </c>
      <c r="EB375" s="40">
        <v>0.86473584872913689</v>
      </c>
      <c r="EC375" s="39">
        <v>0</v>
      </c>
      <c r="ED375" s="40">
        <v>4.6370112931394827E-2</v>
      </c>
      <c r="EE375" s="39">
        <v>9.0352760458959763E-2</v>
      </c>
      <c r="EF375" s="40">
        <v>0</v>
      </c>
      <c r="EG375" s="39">
        <v>0</v>
      </c>
      <c r="EH375" s="40">
        <v>0</v>
      </c>
      <c r="EI375" s="66">
        <v>0.36461635664353659</v>
      </c>
    </row>
    <row r="376" spans="1:139">
      <c r="A376" s="37" t="s">
        <v>1353</v>
      </c>
      <c r="B376" s="36" t="s">
        <v>1129</v>
      </c>
      <c r="C376" s="1" t="s">
        <v>1132</v>
      </c>
      <c r="D376" s="36" t="s">
        <v>1422</v>
      </c>
      <c r="E376" s="36" t="s">
        <v>1421</v>
      </c>
      <c r="F376" s="1" t="s">
        <v>1388</v>
      </c>
      <c r="G376" s="35" t="s">
        <v>1179</v>
      </c>
      <c r="H376" s="34">
        <f>1-I376</f>
        <v>0.49060269678639434</v>
      </c>
      <c r="I376" s="33">
        <v>0.50939730321360566</v>
      </c>
      <c r="J376" s="26">
        <v>0</v>
      </c>
      <c r="K376" s="25">
        <v>0</v>
      </c>
      <c r="L376" s="24"/>
      <c r="M376" s="25"/>
      <c r="N376" s="24"/>
      <c r="O376" s="25"/>
      <c r="P376" s="24"/>
      <c r="Q376" s="25"/>
      <c r="R376" s="32"/>
      <c r="S376" s="31" t="e">
        <v>#REF!</v>
      </c>
      <c r="T376" s="29" t="e">
        <v>#REF!</v>
      </c>
      <c r="U376" s="30" t="e">
        <v>#REF!</v>
      </c>
      <c r="V376" s="29" t="e">
        <v>#REF!</v>
      </c>
      <c r="W376" s="30" t="e">
        <v>#REF!</v>
      </c>
      <c r="X376" s="29" t="e">
        <v>#REF!</v>
      </c>
      <c r="Y376" s="30" t="e">
        <v>#REF!</v>
      </c>
      <c r="Z376" s="29" t="e">
        <v>#REF!</v>
      </c>
      <c r="AA376" s="28" t="e">
        <v>#REF!</v>
      </c>
      <c r="AB376" s="26" t="e">
        <f t="shared" ref="AB376:AJ376" si="569">J376*31.536*$H376*S376</f>
        <v>#REF!</v>
      </c>
      <c r="AC376" s="25" t="e">
        <f t="shared" si="569"/>
        <v>#REF!</v>
      </c>
      <c r="AD376" s="24" t="e">
        <f t="shared" si="569"/>
        <v>#REF!</v>
      </c>
      <c r="AE376" s="25" t="e">
        <f t="shared" si="569"/>
        <v>#REF!</v>
      </c>
      <c r="AF376" s="24" t="e">
        <f t="shared" si="569"/>
        <v>#REF!</v>
      </c>
      <c r="AG376" s="25" t="e">
        <f t="shared" si="569"/>
        <v>#REF!</v>
      </c>
      <c r="AH376" s="24" t="e">
        <f t="shared" si="569"/>
        <v>#REF!</v>
      </c>
      <c r="AI376" s="25" t="e">
        <f t="shared" si="569"/>
        <v>#REF!</v>
      </c>
      <c r="AJ376" s="24" t="e">
        <f t="shared" si="569"/>
        <v>#REF!</v>
      </c>
      <c r="AK376" s="27" t="e">
        <f t="shared" si="520"/>
        <v>#REF!</v>
      </c>
      <c r="AL376" s="26" t="e">
        <f t="shared" ref="AL376:AT376" si="570">J376*31.536*$I376*S376</f>
        <v>#REF!</v>
      </c>
      <c r="AM376" s="25" t="e">
        <f t="shared" si="570"/>
        <v>#REF!</v>
      </c>
      <c r="AN376" s="24" t="e">
        <f t="shared" si="570"/>
        <v>#REF!</v>
      </c>
      <c r="AO376" s="25" t="e">
        <f t="shared" si="570"/>
        <v>#REF!</v>
      </c>
      <c r="AP376" s="24" t="e">
        <f t="shared" si="570"/>
        <v>#REF!</v>
      </c>
      <c r="AQ376" s="25" t="e">
        <f t="shared" si="570"/>
        <v>#REF!</v>
      </c>
      <c r="AR376" s="24" t="e">
        <f t="shared" si="570"/>
        <v>#REF!</v>
      </c>
      <c r="AS376" s="25" t="e">
        <f t="shared" si="570"/>
        <v>#REF!</v>
      </c>
      <c r="AT376" s="24" t="e">
        <f t="shared" si="570"/>
        <v>#REF!</v>
      </c>
      <c r="AU376" s="23" t="e">
        <f>SUM(AL376:AT376)</f>
        <v>#REF!</v>
      </c>
      <c r="CS376" s="54" t="s">
        <v>1420</v>
      </c>
      <c r="CT376" s="39">
        <v>0</v>
      </c>
      <c r="CU376" s="40">
        <v>0</v>
      </c>
      <c r="CV376" s="39">
        <v>0.31648665062475667</v>
      </c>
      <c r="CW376" s="40">
        <v>0.2143639337999716</v>
      </c>
      <c r="CX376" s="39">
        <v>1.0318333134873814E-2</v>
      </c>
      <c r="CY376" s="40">
        <v>8.9939302987860851E-3</v>
      </c>
      <c r="CZ376" s="39">
        <v>3.1244935082980901E-2</v>
      </c>
      <c r="DA376" s="40">
        <v>0</v>
      </c>
      <c r="DB376" s="39">
        <v>0</v>
      </c>
      <c r="DC376" s="38">
        <v>0.58140778294136897</v>
      </c>
      <c r="DE376" s="37" t="s">
        <v>1419</v>
      </c>
      <c r="DF376" s="35" t="str">
        <f t="shared" si="521"/>
        <v>IMLPH</v>
      </c>
      <c r="DG376" s="26">
        <f t="shared" si="568"/>
        <v>0.50566826796549391</v>
      </c>
      <c r="DH376" s="25">
        <f t="shared" si="568"/>
        <v>1.3919346141184752</v>
      </c>
      <c r="DI376" s="24">
        <f t="shared" si="568"/>
        <v>3.9596470135963298</v>
      </c>
      <c r="DJ376" s="25">
        <f t="shared" si="568"/>
        <v>2.6819630736975628</v>
      </c>
      <c r="DK376" s="24">
        <f t="shared" si="568"/>
        <v>0.96821517358177578</v>
      </c>
      <c r="DL376" s="25">
        <f t="shared" si="568"/>
        <v>0.84394055431202697</v>
      </c>
      <c r="DM376" s="24">
        <f t="shared" si="568"/>
        <v>2.9318514773161208</v>
      </c>
      <c r="DN376" s="25">
        <f t="shared" si="568"/>
        <v>0.5831437495685764</v>
      </c>
      <c r="DO376" s="32">
        <f t="shared" si="568"/>
        <v>0.36565769147340821</v>
      </c>
      <c r="DP376" s="26">
        <f t="shared" si="523"/>
        <v>0.60187578400230324</v>
      </c>
      <c r="DQ376" s="25">
        <f t="shared" si="524"/>
        <v>0.60187578400230324</v>
      </c>
      <c r="DR376" s="24">
        <f t="shared" si="525"/>
        <v>0.97371090276166339</v>
      </c>
      <c r="DS376" s="25">
        <f t="shared" si="526"/>
        <v>0.97371090276166339</v>
      </c>
      <c r="DT376" s="24">
        <f t="shared" si="527"/>
        <v>0.96357826171408389</v>
      </c>
      <c r="DU376" s="25">
        <f t="shared" si="528"/>
        <v>0.96357826171408378</v>
      </c>
      <c r="DV376" s="24">
        <f t="shared" si="529"/>
        <v>0.96357826171408389</v>
      </c>
      <c r="DW376" s="25">
        <f t="shared" si="530"/>
        <v>1</v>
      </c>
      <c r="DX376" s="32">
        <f t="shared" si="531"/>
        <v>1</v>
      </c>
      <c r="DZ376" s="54" t="s">
        <v>1418</v>
      </c>
      <c r="EA376" s="39">
        <v>0</v>
      </c>
      <c r="EB376" s="40">
        <v>0</v>
      </c>
      <c r="EC376" s="39">
        <v>0.54828328663438541</v>
      </c>
      <c r="ED376" s="40">
        <v>0</v>
      </c>
      <c r="EE376" s="39">
        <v>0</v>
      </c>
      <c r="EF376" s="40">
        <v>0</v>
      </c>
      <c r="EG376" s="39">
        <v>0</v>
      </c>
      <c r="EH376" s="40">
        <v>0</v>
      </c>
      <c r="EI376" s="66">
        <v>0</v>
      </c>
    </row>
    <row r="377" spans="1:139">
      <c r="A377" s="37" t="s">
        <v>1353</v>
      </c>
      <c r="B377" s="36" t="s">
        <v>1129</v>
      </c>
      <c r="C377" s="1" t="s">
        <v>1132</v>
      </c>
      <c r="D377" s="36" t="s">
        <v>1189</v>
      </c>
      <c r="E377" s="36" t="s">
        <v>1417</v>
      </c>
      <c r="F377" s="1" t="s">
        <v>1396</v>
      </c>
      <c r="G377" s="35" t="s">
        <v>1179</v>
      </c>
      <c r="H377" s="43">
        <v>1</v>
      </c>
      <c r="I377" s="42">
        <v>0</v>
      </c>
      <c r="J377" s="26" t="e">
        <v>#REF!</v>
      </c>
      <c r="K377" s="25" t="e">
        <v>#REF!</v>
      </c>
      <c r="L377" s="24"/>
      <c r="M377" s="25"/>
      <c r="N377" s="24"/>
      <c r="O377" s="25"/>
      <c r="P377" s="24"/>
      <c r="Q377" s="25"/>
      <c r="R377" s="32"/>
      <c r="S377" s="47" t="e">
        <v>#REF!</v>
      </c>
      <c r="T377" s="45" t="e">
        <v>#REF!</v>
      </c>
      <c r="U377" s="46" t="e">
        <v>#REF!</v>
      </c>
      <c r="V377" s="45" t="e">
        <v>#REF!</v>
      </c>
      <c r="W377" s="46" t="e">
        <v>#REF!</v>
      </c>
      <c r="X377" s="45" t="e">
        <v>#REF!</v>
      </c>
      <c r="Y377" s="46" t="e">
        <v>#REF!</v>
      </c>
      <c r="Z377" s="45" t="e">
        <v>#REF!</v>
      </c>
      <c r="AA377" s="44" t="e">
        <v>#REF!</v>
      </c>
      <c r="AB377" s="26" t="e">
        <f t="shared" ref="AB377:AJ379" si="571">J377*$H377*S377</f>
        <v>#REF!</v>
      </c>
      <c r="AC377" s="25" t="e">
        <f t="shared" si="571"/>
        <v>#REF!</v>
      </c>
      <c r="AD377" s="24" t="e">
        <f t="shared" si="571"/>
        <v>#REF!</v>
      </c>
      <c r="AE377" s="25" t="e">
        <f t="shared" si="571"/>
        <v>#REF!</v>
      </c>
      <c r="AF377" s="24" t="e">
        <f t="shared" si="571"/>
        <v>#REF!</v>
      </c>
      <c r="AG377" s="25" t="e">
        <f t="shared" si="571"/>
        <v>#REF!</v>
      </c>
      <c r="AH377" s="24" t="e">
        <f t="shared" si="571"/>
        <v>#REF!</v>
      </c>
      <c r="AI377" s="25" t="e">
        <f t="shared" si="571"/>
        <v>#REF!</v>
      </c>
      <c r="AJ377" s="24" t="e">
        <f t="shared" si="571"/>
        <v>#REF!</v>
      </c>
      <c r="AK377" s="27" t="e">
        <f t="shared" si="520"/>
        <v>#REF!</v>
      </c>
      <c r="AL377" s="41">
        <v>0</v>
      </c>
      <c r="AM377" s="40">
        <v>0</v>
      </c>
      <c r="AN377" s="39">
        <v>0</v>
      </c>
      <c r="AO377" s="40">
        <v>0</v>
      </c>
      <c r="AP377" s="39">
        <v>0</v>
      </c>
      <c r="AQ377" s="40">
        <v>0</v>
      </c>
      <c r="AR377" s="39">
        <v>0</v>
      </c>
      <c r="AS377" s="40">
        <v>0</v>
      </c>
      <c r="AT377" s="39">
        <v>0</v>
      </c>
      <c r="AU377" s="38">
        <v>0</v>
      </c>
      <c r="CS377" s="54" t="s">
        <v>1416</v>
      </c>
      <c r="CT377" s="39">
        <v>0.11740644766428876</v>
      </c>
      <c r="CU377" s="40">
        <v>0.32318045006487217</v>
      </c>
      <c r="CV377" s="39">
        <v>0.69945945037530499</v>
      </c>
      <c r="CW377" s="40">
        <v>0.47376051729206081</v>
      </c>
      <c r="CX377" s="39">
        <v>0.12126405220083059</v>
      </c>
      <c r="CY377" s="40">
        <v>0.10569928485410984</v>
      </c>
      <c r="CZ377" s="39">
        <v>0.36719956502552814</v>
      </c>
      <c r="DA377" s="40">
        <v>3.8684218461438387E-2</v>
      </c>
      <c r="DB377" s="39">
        <v>2.4256766928441746E-2</v>
      </c>
      <c r="DC377" s="38">
        <v>2.2709107528668753</v>
      </c>
      <c r="DE377" s="37" t="s">
        <v>1413</v>
      </c>
      <c r="DF377" s="35" t="str">
        <f t="shared" si="521"/>
        <v>IMTPH</v>
      </c>
      <c r="DG377" s="26">
        <f t="shared" si="568"/>
        <v>0</v>
      </c>
      <c r="DH377" s="25">
        <f t="shared" si="568"/>
        <v>0</v>
      </c>
      <c r="DI377" s="24">
        <f t="shared" si="568"/>
        <v>7.5821332032620065E-2</v>
      </c>
      <c r="DJ377" s="25">
        <f t="shared" si="568"/>
        <v>5.1355591044303095E-2</v>
      </c>
      <c r="DK377" s="24">
        <f t="shared" si="568"/>
        <v>1.7303884153364611E-2</v>
      </c>
      <c r="DL377" s="25">
        <f t="shared" si="568"/>
        <v>1.5082855529022771E-2</v>
      </c>
      <c r="DM377" s="24">
        <f t="shared" si="568"/>
        <v>5.239787570222805E-2</v>
      </c>
      <c r="DN377" s="25">
        <f t="shared" si="568"/>
        <v>0</v>
      </c>
      <c r="DO377" s="32">
        <f t="shared" si="568"/>
        <v>0</v>
      </c>
      <c r="DP377" s="26">
        <f t="shared" si="523"/>
        <v>0</v>
      </c>
      <c r="DQ377" s="25">
        <f t="shared" si="524"/>
        <v>0</v>
      </c>
      <c r="DR377" s="24">
        <f t="shared" si="525"/>
        <v>2.3839429391923571E-3</v>
      </c>
      <c r="DS377" s="25">
        <f t="shared" si="526"/>
        <v>2.3839429391923567E-3</v>
      </c>
      <c r="DT377" s="24">
        <f t="shared" si="527"/>
        <v>3.7020814350226072E-3</v>
      </c>
      <c r="DU377" s="25">
        <f t="shared" si="528"/>
        <v>3.7020814350226068E-3</v>
      </c>
      <c r="DV377" s="24">
        <f t="shared" si="529"/>
        <v>3.7020814350226072E-3</v>
      </c>
      <c r="DW377" s="25">
        <f t="shared" si="530"/>
        <v>0</v>
      </c>
      <c r="DX377" s="32">
        <f t="shared" si="531"/>
        <v>0</v>
      </c>
      <c r="DZ377" s="54" t="s">
        <v>1415</v>
      </c>
      <c r="EA377" s="39">
        <v>0</v>
      </c>
      <c r="EB377" s="40">
        <v>0</v>
      </c>
      <c r="EC377" s="39">
        <v>0</v>
      </c>
      <c r="ED377" s="40">
        <v>0</v>
      </c>
      <c r="EE377" s="39">
        <v>0</v>
      </c>
      <c r="EF377" s="40">
        <v>0</v>
      </c>
      <c r="EG377" s="39">
        <v>0</v>
      </c>
      <c r="EH377" s="40">
        <v>0</v>
      </c>
      <c r="EI377" s="66">
        <v>0</v>
      </c>
    </row>
    <row r="378" spans="1:139">
      <c r="A378" s="37" t="s">
        <v>1353</v>
      </c>
      <c r="B378" s="36" t="s">
        <v>1129</v>
      </c>
      <c r="C378" s="1" t="s">
        <v>1132</v>
      </c>
      <c r="D378" s="36" t="s">
        <v>1189</v>
      </c>
      <c r="E378" s="36" t="s">
        <v>1414</v>
      </c>
      <c r="F378" s="1" t="s">
        <v>1396</v>
      </c>
      <c r="G378" s="35" t="s">
        <v>1179</v>
      </c>
      <c r="H378" s="43">
        <v>1</v>
      </c>
      <c r="I378" s="42">
        <v>0</v>
      </c>
      <c r="J378" s="26" t="e">
        <v>#REF!</v>
      </c>
      <c r="K378" s="25" t="e">
        <v>#REF!</v>
      </c>
      <c r="L378" s="24"/>
      <c r="M378" s="25"/>
      <c r="N378" s="24"/>
      <c r="O378" s="25"/>
      <c r="P378" s="24"/>
      <c r="Q378" s="25"/>
      <c r="R378" s="32"/>
      <c r="S378" s="31" t="e">
        <v>#REF!</v>
      </c>
      <c r="T378" s="29" t="e">
        <v>#REF!</v>
      </c>
      <c r="U378" s="30" t="e">
        <v>#REF!</v>
      </c>
      <c r="V378" s="29" t="e">
        <v>#REF!</v>
      </c>
      <c r="W378" s="30" t="e">
        <v>#REF!</v>
      </c>
      <c r="X378" s="29" t="e">
        <v>#REF!</v>
      </c>
      <c r="Y378" s="30" t="e">
        <v>#REF!</v>
      </c>
      <c r="Z378" s="29" t="e">
        <v>#REF!</v>
      </c>
      <c r="AA378" s="28" t="e">
        <v>#REF!</v>
      </c>
      <c r="AB378" s="26" t="e">
        <f t="shared" si="571"/>
        <v>#REF!</v>
      </c>
      <c r="AC378" s="25" t="e">
        <f t="shared" si="571"/>
        <v>#REF!</v>
      </c>
      <c r="AD378" s="24" t="e">
        <f t="shared" si="571"/>
        <v>#REF!</v>
      </c>
      <c r="AE378" s="25" t="e">
        <f t="shared" si="571"/>
        <v>#REF!</v>
      </c>
      <c r="AF378" s="24" t="e">
        <f t="shared" si="571"/>
        <v>#REF!</v>
      </c>
      <c r="AG378" s="25" t="e">
        <f t="shared" si="571"/>
        <v>#REF!</v>
      </c>
      <c r="AH378" s="24" t="e">
        <f t="shared" si="571"/>
        <v>#REF!</v>
      </c>
      <c r="AI378" s="25" t="e">
        <f t="shared" si="571"/>
        <v>#REF!</v>
      </c>
      <c r="AJ378" s="24" t="e">
        <f t="shared" si="571"/>
        <v>#REF!</v>
      </c>
      <c r="AK378" s="27" t="e">
        <f t="shared" si="520"/>
        <v>#REF!</v>
      </c>
      <c r="AL378" s="41">
        <v>0</v>
      </c>
      <c r="AM378" s="40">
        <v>0</v>
      </c>
      <c r="AN378" s="39">
        <v>0</v>
      </c>
      <c r="AO378" s="40">
        <v>0</v>
      </c>
      <c r="AP378" s="39">
        <v>0</v>
      </c>
      <c r="AQ378" s="40">
        <v>0</v>
      </c>
      <c r="AR378" s="39">
        <v>0</v>
      </c>
      <c r="AS378" s="40">
        <v>0</v>
      </c>
      <c r="AT378" s="39">
        <v>0</v>
      </c>
      <c r="AU378" s="38">
        <v>0</v>
      </c>
      <c r="CS378" s="54" t="s">
        <v>1413</v>
      </c>
      <c r="CT378" s="39">
        <v>0</v>
      </c>
      <c r="CU378" s="40">
        <v>0</v>
      </c>
      <c r="CV378" s="39">
        <v>7.5821332032620065E-2</v>
      </c>
      <c r="CW378" s="40">
        <v>5.1355591044303095E-2</v>
      </c>
      <c r="CX378" s="39">
        <v>1.7303884153364611E-2</v>
      </c>
      <c r="CY378" s="40">
        <v>1.5082855529022771E-2</v>
      </c>
      <c r="CZ378" s="39">
        <v>5.239787570222805E-2</v>
      </c>
      <c r="DA378" s="40">
        <v>0</v>
      </c>
      <c r="DB378" s="39">
        <v>0</v>
      </c>
      <c r="DC378" s="38">
        <v>0.21196153846153859</v>
      </c>
      <c r="DE378" s="37" t="s">
        <v>1410</v>
      </c>
      <c r="DF378" s="35" t="str">
        <f t="shared" si="521"/>
        <v>IMTPH</v>
      </c>
      <c r="DG378" s="26">
        <f t="shared" si="568"/>
        <v>0.45136571022908806</v>
      </c>
      <c r="DH378" s="25">
        <f t="shared" si="568"/>
        <v>1.2424579422826458</v>
      </c>
      <c r="DI378" s="24">
        <f t="shared" si="568"/>
        <v>3.3829540314620914</v>
      </c>
      <c r="DJ378" s="25">
        <f t="shared" si="568"/>
        <v>2.2913552044522181</v>
      </c>
      <c r="DK378" s="24">
        <f t="shared" si="568"/>
        <v>1.3136459589992941</v>
      </c>
      <c r="DL378" s="25">
        <f t="shared" si="568"/>
        <v>1.1450337993633837</v>
      </c>
      <c r="DM378" s="24">
        <f t="shared" si="568"/>
        <v>3.9778501211819122</v>
      </c>
      <c r="DN378" s="25">
        <f t="shared" si="568"/>
        <v>0.52052127721732999</v>
      </c>
      <c r="DO378" s="32">
        <f t="shared" si="568"/>
        <v>0.32639054903853709</v>
      </c>
      <c r="DP378" s="26">
        <f t="shared" si="523"/>
        <v>0.19023070175143741</v>
      </c>
      <c r="DQ378" s="25">
        <f t="shared" si="524"/>
        <v>0.19023070175143744</v>
      </c>
      <c r="DR378" s="24">
        <f t="shared" si="525"/>
        <v>0.10636544044684844</v>
      </c>
      <c r="DS378" s="25">
        <f t="shared" si="526"/>
        <v>0.10636544044684844</v>
      </c>
      <c r="DT378" s="24">
        <f t="shared" si="527"/>
        <v>0.28104813196279627</v>
      </c>
      <c r="DU378" s="25">
        <f t="shared" si="528"/>
        <v>0.28104813196279627</v>
      </c>
      <c r="DV378" s="24">
        <f t="shared" si="529"/>
        <v>0.28104813196279627</v>
      </c>
      <c r="DW378" s="25">
        <f t="shared" si="530"/>
        <v>0.25364386032119995</v>
      </c>
      <c r="DX378" s="32">
        <f t="shared" si="531"/>
        <v>0.2536438603211999</v>
      </c>
      <c r="DZ378" s="54" t="s">
        <v>1412</v>
      </c>
      <c r="EA378" s="39">
        <v>6.8331663640588862E-3</v>
      </c>
      <c r="EB378" s="40">
        <v>1.790936841360536E-2</v>
      </c>
      <c r="EC378" s="39">
        <v>0.10255280968714472</v>
      </c>
      <c r="ED378" s="40">
        <v>0.1042715403344594</v>
      </c>
      <c r="EE378" s="39">
        <v>0.14782130695798915</v>
      </c>
      <c r="EF378" s="40">
        <v>6.1977428274291674E-2</v>
      </c>
      <c r="EG378" s="39">
        <v>0.21704429278562601</v>
      </c>
      <c r="EH378" s="40">
        <v>7.9487821564267674E-2</v>
      </c>
      <c r="EI378" s="66">
        <v>4.4802899170169358E-2</v>
      </c>
    </row>
    <row r="379" spans="1:139">
      <c r="A379" s="37" t="s">
        <v>1353</v>
      </c>
      <c r="B379" s="36" t="s">
        <v>1129</v>
      </c>
      <c r="C379" s="1" t="s">
        <v>1132</v>
      </c>
      <c r="D379" s="36" t="s">
        <v>1189</v>
      </c>
      <c r="E379" s="36" t="s">
        <v>1411</v>
      </c>
      <c r="F379" s="1" t="s">
        <v>1396</v>
      </c>
      <c r="G379" s="35" t="s">
        <v>1179</v>
      </c>
      <c r="H379" s="43">
        <v>1</v>
      </c>
      <c r="I379" s="42">
        <v>0</v>
      </c>
      <c r="J379" s="26" t="e">
        <v>#REF!</v>
      </c>
      <c r="K379" s="25" t="e">
        <v>#REF!</v>
      </c>
      <c r="L379" s="24"/>
      <c r="M379" s="25"/>
      <c r="N379" s="24"/>
      <c r="O379" s="25"/>
      <c r="P379" s="24"/>
      <c r="Q379" s="25"/>
      <c r="R379" s="32"/>
      <c r="S379" s="31" t="e">
        <v>#REF!</v>
      </c>
      <c r="T379" s="29" t="e">
        <v>#REF!</v>
      </c>
      <c r="U379" s="30" t="e">
        <v>#REF!</v>
      </c>
      <c r="V379" s="29" t="e">
        <v>#REF!</v>
      </c>
      <c r="W379" s="30" t="e">
        <v>#REF!</v>
      </c>
      <c r="X379" s="29" t="e">
        <v>#REF!</v>
      </c>
      <c r="Y379" s="30" t="e">
        <v>#REF!</v>
      </c>
      <c r="Z379" s="29" t="e">
        <v>#REF!</v>
      </c>
      <c r="AA379" s="28" t="e">
        <v>#REF!</v>
      </c>
      <c r="AB379" s="26" t="e">
        <f t="shared" si="571"/>
        <v>#REF!</v>
      </c>
      <c r="AC379" s="25" t="e">
        <f t="shared" si="571"/>
        <v>#REF!</v>
      </c>
      <c r="AD379" s="24" t="e">
        <f t="shared" si="571"/>
        <v>#REF!</v>
      </c>
      <c r="AE379" s="25" t="e">
        <f t="shared" si="571"/>
        <v>#REF!</v>
      </c>
      <c r="AF379" s="24" t="e">
        <f t="shared" si="571"/>
        <v>#REF!</v>
      </c>
      <c r="AG379" s="25" t="e">
        <f t="shared" si="571"/>
        <v>#REF!</v>
      </c>
      <c r="AH379" s="24" t="e">
        <f t="shared" si="571"/>
        <v>#REF!</v>
      </c>
      <c r="AI379" s="25" t="e">
        <f t="shared" si="571"/>
        <v>#REF!</v>
      </c>
      <c r="AJ379" s="24" t="e">
        <f t="shared" si="571"/>
        <v>#REF!</v>
      </c>
      <c r="AK379" s="27" t="e">
        <f t="shared" si="520"/>
        <v>#REF!</v>
      </c>
      <c r="AL379" s="41">
        <v>0</v>
      </c>
      <c r="AM379" s="40">
        <v>0</v>
      </c>
      <c r="AN379" s="39">
        <v>0</v>
      </c>
      <c r="AO379" s="40">
        <v>0</v>
      </c>
      <c r="AP379" s="39">
        <v>0</v>
      </c>
      <c r="AQ379" s="40">
        <v>0</v>
      </c>
      <c r="AR379" s="39">
        <v>0</v>
      </c>
      <c r="AS379" s="40">
        <v>0</v>
      </c>
      <c r="AT379" s="39">
        <v>0</v>
      </c>
      <c r="AU379" s="38">
        <v>0</v>
      </c>
      <c r="CS379" s="54" t="s">
        <v>1410</v>
      </c>
      <c r="CT379" s="39">
        <v>0.45136571022908806</v>
      </c>
      <c r="CU379" s="40">
        <v>1.2424579422826458</v>
      </c>
      <c r="CV379" s="39">
        <v>3.3829540314620914</v>
      </c>
      <c r="CW379" s="40">
        <v>2.2913552044522181</v>
      </c>
      <c r="CX379" s="39">
        <v>1.3136459589992941</v>
      </c>
      <c r="CY379" s="40">
        <v>1.1450337993633837</v>
      </c>
      <c r="CZ379" s="39">
        <v>3.9778501211819122</v>
      </c>
      <c r="DA379" s="40">
        <v>0.52052127721732999</v>
      </c>
      <c r="DB379" s="39">
        <v>0.32639054903853709</v>
      </c>
      <c r="DC379" s="38">
        <v>14.651574594226501</v>
      </c>
      <c r="DE379" s="37" t="s">
        <v>1407</v>
      </c>
      <c r="DF379" s="35" t="str">
        <f t="shared" si="521"/>
        <v>IMTPH</v>
      </c>
      <c r="DG379" s="26">
        <f t="shared" si="568"/>
        <v>1.7879073714613236</v>
      </c>
      <c r="DH379" s="25">
        <f t="shared" si="568"/>
        <v>4.9215074681024209</v>
      </c>
      <c r="DI379" s="24">
        <f t="shared" si="568"/>
        <v>22.971838501027882</v>
      </c>
      <c r="DJ379" s="25">
        <f t="shared" si="568"/>
        <v>15.55937243475249</v>
      </c>
      <c r="DK379" s="24">
        <f t="shared" si="568"/>
        <v>2.9342992895419422</v>
      </c>
      <c r="DL379" s="25">
        <f t="shared" si="568"/>
        <v>2.5576692418198901</v>
      </c>
      <c r="DM379" s="24">
        <f t="shared" si="568"/>
        <v>8.8853489819890541</v>
      </c>
      <c r="DN379" s="25">
        <f t="shared" si="568"/>
        <v>1.5316524933528384</v>
      </c>
      <c r="DO379" s="32">
        <f t="shared" si="568"/>
        <v>0.96041587562798136</v>
      </c>
      <c r="DP379" s="26">
        <f t="shared" si="523"/>
        <v>0.75352395237784486</v>
      </c>
      <c r="DQ379" s="25">
        <f t="shared" si="524"/>
        <v>0.75352395237784486</v>
      </c>
      <c r="DR379" s="24">
        <f t="shared" si="525"/>
        <v>0.7222710380665962</v>
      </c>
      <c r="DS379" s="25">
        <f t="shared" si="526"/>
        <v>0.72227103806659609</v>
      </c>
      <c r="DT379" s="24">
        <f t="shared" si="527"/>
        <v>0.6277789904471256</v>
      </c>
      <c r="DU379" s="25">
        <f t="shared" si="528"/>
        <v>0.6277789904471256</v>
      </c>
      <c r="DV379" s="24">
        <f t="shared" si="529"/>
        <v>0.6277789904471256</v>
      </c>
      <c r="DW379" s="25">
        <f t="shared" si="530"/>
        <v>0.7463561396788001</v>
      </c>
      <c r="DX379" s="32">
        <f t="shared" si="531"/>
        <v>0.74635613967879999</v>
      </c>
      <c r="DZ379" s="54" t="s">
        <v>1409</v>
      </c>
      <c r="EA379" s="39">
        <v>5.6147888062495405E-2</v>
      </c>
      <c r="EB379" s="40">
        <v>1.3654672523457463E-2</v>
      </c>
      <c r="EC379" s="39">
        <v>0.34916390367846989</v>
      </c>
      <c r="ED379" s="40">
        <v>0.84935834673414579</v>
      </c>
      <c r="EE379" s="39">
        <v>0.76182593258305109</v>
      </c>
      <c r="EF379" s="40">
        <v>0.93802257172570846</v>
      </c>
      <c r="EG379" s="39">
        <v>0.78295570721437402</v>
      </c>
      <c r="EH379" s="40">
        <v>0</v>
      </c>
      <c r="EI379" s="66">
        <v>7.1738819678093771E-2</v>
      </c>
    </row>
    <row r="380" spans="1:139" ht="15.75" thickBot="1">
      <c r="A380" s="37" t="s">
        <v>1353</v>
      </c>
      <c r="B380" s="36" t="s">
        <v>1129</v>
      </c>
      <c r="C380" s="1" t="s">
        <v>1132</v>
      </c>
      <c r="D380" s="36" t="s">
        <v>1189</v>
      </c>
      <c r="E380" s="36" t="s">
        <v>1408</v>
      </c>
      <c r="F380" s="1" t="s">
        <v>1388</v>
      </c>
      <c r="G380" s="35" t="s">
        <v>1179</v>
      </c>
      <c r="H380" s="34">
        <f>1-I380</f>
        <v>0.88409136956060996</v>
      </c>
      <c r="I380" s="33">
        <v>0.11590863043939006</v>
      </c>
      <c r="J380" s="26" t="e">
        <v>#REF!</v>
      </c>
      <c r="K380" s="25" t="e">
        <v>#REF!</v>
      </c>
      <c r="L380" s="24"/>
      <c r="M380" s="25"/>
      <c r="N380" s="24"/>
      <c r="O380" s="25"/>
      <c r="P380" s="24"/>
      <c r="Q380" s="25"/>
      <c r="R380" s="32"/>
      <c r="S380" s="31" t="e">
        <v>#REF!</v>
      </c>
      <c r="T380" s="29" t="e">
        <v>#REF!</v>
      </c>
      <c r="U380" s="30" t="e">
        <v>#REF!</v>
      </c>
      <c r="V380" s="29" t="e">
        <v>#REF!</v>
      </c>
      <c r="W380" s="30" t="e">
        <v>#REF!</v>
      </c>
      <c r="X380" s="29" t="e">
        <v>#REF!</v>
      </c>
      <c r="Y380" s="30" t="e">
        <v>#REF!</v>
      </c>
      <c r="Z380" s="29" t="e">
        <v>#REF!</v>
      </c>
      <c r="AA380" s="28" t="e">
        <v>#REF!</v>
      </c>
      <c r="AB380" s="26" t="e">
        <f t="shared" ref="AB380:AJ381" si="572">J380*31.536*$H380*S380</f>
        <v>#REF!</v>
      </c>
      <c r="AC380" s="25" t="e">
        <f t="shared" si="572"/>
        <v>#REF!</v>
      </c>
      <c r="AD380" s="24" t="e">
        <f t="shared" si="572"/>
        <v>#REF!</v>
      </c>
      <c r="AE380" s="25" t="e">
        <f t="shared" si="572"/>
        <v>#REF!</v>
      </c>
      <c r="AF380" s="24" t="e">
        <f t="shared" si="572"/>
        <v>#REF!</v>
      </c>
      <c r="AG380" s="25" t="e">
        <f t="shared" si="572"/>
        <v>#REF!</v>
      </c>
      <c r="AH380" s="24" t="e">
        <f t="shared" si="572"/>
        <v>#REF!</v>
      </c>
      <c r="AI380" s="25" t="e">
        <f t="shared" si="572"/>
        <v>#REF!</v>
      </c>
      <c r="AJ380" s="24" t="e">
        <f t="shared" si="572"/>
        <v>#REF!</v>
      </c>
      <c r="AK380" s="27" t="e">
        <f t="shared" si="520"/>
        <v>#REF!</v>
      </c>
      <c r="AL380" s="26" t="e">
        <f t="shared" ref="AL380:AT381" si="573">J380*31.536*$I380*S380</f>
        <v>#REF!</v>
      </c>
      <c r="AM380" s="25" t="e">
        <f t="shared" si="573"/>
        <v>#REF!</v>
      </c>
      <c r="AN380" s="24" t="e">
        <f t="shared" si="573"/>
        <v>#REF!</v>
      </c>
      <c r="AO380" s="25" t="e">
        <f t="shared" si="573"/>
        <v>#REF!</v>
      </c>
      <c r="AP380" s="24" t="e">
        <f t="shared" si="573"/>
        <v>#REF!</v>
      </c>
      <c r="AQ380" s="25" t="e">
        <f t="shared" si="573"/>
        <v>#REF!</v>
      </c>
      <c r="AR380" s="24" t="e">
        <f t="shared" si="573"/>
        <v>#REF!</v>
      </c>
      <c r="AS380" s="25" t="e">
        <f t="shared" si="573"/>
        <v>#REF!</v>
      </c>
      <c r="AT380" s="24" t="e">
        <f t="shared" si="573"/>
        <v>#REF!</v>
      </c>
      <c r="AU380" s="23" t="e">
        <f>SUM(AL380:AT380)</f>
        <v>#REF!</v>
      </c>
      <c r="CS380" s="54" t="s">
        <v>1407</v>
      </c>
      <c r="CT380" s="39">
        <v>1.7879073714613236</v>
      </c>
      <c r="CU380" s="40">
        <v>4.9215074681024209</v>
      </c>
      <c r="CV380" s="39">
        <v>22.971838501027882</v>
      </c>
      <c r="CW380" s="40">
        <v>15.55937243475249</v>
      </c>
      <c r="CX380" s="39">
        <v>2.9342992895419422</v>
      </c>
      <c r="CY380" s="40">
        <v>2.5576692418198901</v>
      </c>
      <c r="CZ380" s="39">
        <v>8.8853489819890541</v>
      </c>
      <c r="DA380" s="40">
        <v>1.5316524933528384</v>
      </c>
      <c r="DB380" s="39">
        <v>0.96041587562798136</v>
      </c>
      <c r="DC380" s="38">
        <v>62.110011657675813</v>
      </c>
      <c r="DE380" s="65" t="s">
        <v>1404</v>
      </c>
      <c r="DF380" s="64" t="str">
        <f t="shared" si="521"/>
        <v>IMTPH</v>
      </c>
      <c r="DG380" s="63">
        <f t="shared" si="568"/>
        <v>0.13345490634413507</v>
      </c>
      <c r="DH380" s="61">
        <f t="shared" si="568"/>
        <v>0.3673564574493271</v>
      </c>
      <c r="DI380" s="62">
        <f t="shared" si="568"/>
        <v>5.3743973990050318</v>
      </c>
      <c r="DJ380" s="61">
        <f t="shared" si="568"/>
        <v>3.6402071492772623</v>
      </c>
      <c r="DK380" s="62">
        <f t="shared" si="568"/>
        <v>0.40884690140815605</v>
      </c>
      <c r="DL380" s="61">
        <f t="shared" si="568"/>
        <v>0.3563696273491746</v>
      </c>
      <c r="DM380" s="62">
        <f t="shared" si="568"/>
        <v>1.2380289264165099</v>
      </c>
      <c r="DN380" s="61">
        <f t="shared" si="568"/>
        <v>0</v>
      </c>
      <c r="DO380" s="60">
        <f t="shared" si="568"/>
        <v>0</v>
      </c>
      <c r="DP380" s="63">
        <f t="shared" si="523"/>
        <v>5.6245345870717639E-2</v>
      </c>
      <c r="DQ380" s="61">
        <f t="shared" si="524"/>
        <v>5.6245345870717646E-2</v>
      </c>
      <c r="DR380" s="62">
        <f t="shared" si="525"/>
        <v>0.16897957854736301</v>
      </c>
      <c r="DS380" s="61">
        <f t="shared" si="526"/>
        <v>0.16897957854736298</v>
      </c>
      <c r="DT380" s="62">
        <f t="shared" si="527"/>
        <v>8.7470796155055597E-2</v>
      </c>
      <c r="DU380" s="61">
        <f t="shared" si="528"/>
        <v>8.7470796155055597E-2</v>
      </c>
      <c r="DV380" s="62">
        <f t="shared" si="529"/>
        <v>8.7470796155055597E-2</v>
      </c>
      <c r="DW380" s="61">
        <f t="shared" si="530"/>
        <v>0</v>
      </c>
      <c r="DX380" s="60">
        <f t="shared" si="531"/>
        <v>0</v>
      </c>
      <c r="DZ380" s="53" t="s">
        <v>1406</v>
      </c>
      <c r="EA380" s="5">
        <v>3.9565890293697399E-2</v>
      </c>
      <c r="EB380" s="6">
        <v>0.10370011033380025</v>
      </c>
      <c r="EC380" s="5">
        <v>0</v>
      </c>
      <c r="ED380" s="6">
        <v>0</v>
      </c>
      <c r="EE380" s="5">
        <v>0</v>
      </c>
      <c r="EF380" s="6">
        <v>0</v>
      </c>
      <c r="EG380" s="5">
        <v>0</v>
      </c>
      <c r="EH380" s="6">
        <v>0.9205121784357323</v>
      </c>
      <c r="EI380" s="59">
        <v>0.51884192450820033</v>
      </c>
    </row>
    <row r="381" spans="1:139">
      <c r="A381" s="37" t="s">
        <v>1353</v>
      </c>
      <c r="B381" s="36" t="s">
        <v>1129</v>
      </c>
      <c r="C381" s="1" t="s">
        <v>1132</v>
      </c>
      <c r="D381" s="36" t="s">
        <v>1189</v>
      </c>
      <c r="E381" s="36" t="s">
        <v>1405</v>
      </c>
      <c r="F381" s="1" t="s">
        <v>1388</v>
      </c>
      <c r="G381" s="35" t="s">
        <v>1179</v>
      </c>
      <c r="H381" s="34">
        <f>1-I381</f>
        <v>0.90075442277083106</v>
      </c>
      <c r="I381" s="33">
        <v>9.9245577229168963E-2</v>
      </c>
      <c r="J381" s="26" t="e">
        <v>#REF!</v>
      </c>
      <c r="K381" s="25" t="e">
        <v>#REF!</v>
      </c>
      <c r="L381" s="24"/>
      <c r="M381" s="25"/>
      <c r="N381" s="24"/>
      <c r="O381" s="25"/>
      <c r="P381" s="24"/>
      <c r="Q381" s="25"/>
      <c r="R381" s="32"/>
      <c r="S381" s="31" t="e">
        <v>#REF!</v>
      </c>
      <c r="T381" s="29" t="e">
        <v>#REF!</v>
      </c>
      <c r="U381" s="30" t="e">
        <v>#REF!</v>
      </c>
      <c r="V381" s="29" t="e">
        <v>#REF!</v>
      </c>
      <c r="W381" s="30" t="e">
        <v>#REF!</v>
      </c>
      <c r="X381" s="29" t="e">
        <v>#REF!</v>
      </c>
      <c r="Y381" s="30" t="e">
        <v>#REF!</v>
      </c>
      <c r="Z381" s="29" t="e">
        <v>#REF!</v>
      </c>
      <c r="AA381" s="28" t="e">
        <v>#REF!</v>
      </c>
      <c r="AB381" s="26" t="e">
        <f t="shared" si="572"/>
        <v>#REF!</v>
      </c>
      <c r="AC381" s="25" t="e">
        <f t="shared" si="572"/>
        <v>#REF!</v>
      </c>
      <c r="AD381" s="24" t="e">
        <f t="shared" si="572"/>
        <v>#REF!</v>
      </c>
      <c r="AE381" s="25" t="e">
        <f t="shared" si="572"/>
        <v>#REF!</v>
      </c>
      <c r="AF381" s="24" t="e">
        <f t="shared" si="572"/>
        <v>#REF!</v>
      </c>
      <c r="AG381" s="25" t="e">
        <f t="shared" si="572"/>
        <v>#REF!</v>
      </c>
      <c r="AH381" s="24" t="e">
        <f t="shared" si="572"/>
        <v>#REF!</v>
      </c>
      <c r="AI381" s="25" t="e">
        <f t="shared" si="572"/>
        <v>#REF!</v>
      </c>
      <c r="AJ381" s="24" t="e">
        <f t="shared" si="572"/>
        <v>#REF!</v>
      </c>
      <c r="AK381" s="27" t="e">
        <f t="shared" si="520"/>
        <v>#REF!</v>
      </c>
      <c r="AL381" s="26" t="e">
        <f t="shared" si="573"/>
        <v>#REF!</v>
      </c>
      <c r="AM381" s="25" t="e">
        <f t="shared" si="573"/>
        <v>#REF!</v>
      </c>
      <c r="AN381" s="24" t="e">
        <f t="shared" si="573"/>
        <v>#REF!</v>
      </c>
      <c r="AO381" s="25" t="e">
        <f t="shared" si="573"/>
        <v>#REF!</v>
      </c>
      <c r="AP381" s="24" t="e">
        <f t="shared" si="573"/>
        <v>#REF!</v>
      </c>
      <c r="AQ381" s="25" t="e">
        <f t="shared" si="573"/>
        <v>#REF!</v>
      </c>
      <c r="AR381" s="24" t="e">
        <f t="shared" si="573"/>
        <v>#REF!</v>
      </c>
      <c r="AS381" s="25" t="e">
        <f t="shared" si="573"/>
        <v>#REF!</v>
      </c>
      <c r="AT381" s="24" t="e">
        <f t="shared" si="573"/>
        <v>#REF!</v>
      </c>
      <c r="AU381" s="23" t="e">
        <f>SUM(AL381:AT381)</f>
        <v>#REF!</v>
      </c>
      <c r="CS381" s="54" t="s">
        <v>1404</v>
      </c>
      <c r="CT381" s="39">
        <v>0.13345490634413507</v>
      </c>
      <c r="CU381" s="40">
        <v>0.3673564574493271</v>
      </c>
      <c r="CV381" s="39">
        <v>5.3743973990050318</v>
      </c>
      <c r="CW381" s="40">
        <v>3.6402071492772623</v>
      </c>
      <c r="CX381" s="39">
        <v>0.40884690140815605</v>
      </c>
      <c r="CY381" s="40">
        <v>0.3563696273491746</v>
      </c>
      <c r="CZ381" s="39">
        <v>1.2380289264165099</v>
      </c>
      <c r="DA381" s="40">
        <v>0</v>
      </c>
      <c r="DB381" s="39">
        <v>0</v>
      </c>
      <c r="DC381" s="38">
        <v>11.518661367249596</v>
      </c>
      <c r="DZ381" s="58" t="s">
        <v>1378</v>
      </c>
      <c r="EA381" s="57">
        <v>87.000000000000014</v>
      </c>
      <c r="EB381" s="56">
        <v>92.000000000000014</v>
      </c>
      <c r="EC381" s="57">
        <v>101</v>
      </c>
      <c r="ED381" s="56">
        <v>95.999999999999957</v>
      </c>
      <c r="EE381" s="57">
        <v>97.999999999999929</v>
      </c>
      <c r="EF381" s="56">
        <v>98.999999999999943</v>
      </c>
      <c r="EG381" s="57">
        <v>97.000000000000014</v>
      </c>
      <c r="EH381" s="56">
        <v>93.000000000000014</v>
      </c>
      <c r="EI381" s="55">
        <v>93.000000000000014</v>
      </c>
    </row>
    <row r="382" spans="1:139">
      <c r="A382" s="37" t="s">
        <v>1353</v>
      </c>
      <c r="B382" s="36" t="s">
        <v>1129</v>
      </c>
      <c r="C382" s="1" t="s">
        <v>1132</v>
      </c>
      <c r="D382" s="36" t="s">
        <v>1182</v>
      </c>
      <c r="E382" s="36" t="s">
        <v>1403</v>
      </c>
      <c r="F382" s="1" t="s">
        <v>1396</v>
      </c>
      <c r="G382" s="35" t="s">
        <v>1179</v>
      </c>
      <c r="H382" s="43">
        <v>1</v>
      </c>
      <c r="I382" s="42">
        <v>0</v>
      </c>
      <c r="J382" s="26" t="e">
        <v>#REF!</v>
      </c>
      <c r="K382" s="25" t="e">
        <v>#REF!</v>
      </c>
      <c r="L382" s="24"/>
      <c r="M382" s="25"/>
      <c r="N382" s="24"/>
      <c r="O382" s="25"/>
      <c r="P382" s="24"/>
      <c r="Q382" s="25"/>
      <c r="R382" s="32"/>
      <c r="S382" s="31" t="e">
        <v>#REF!</v>
      </c>
      <c r="T382" s="29" t="e">
        <v>#REF!</v>
      </c>
      <c r="U382" s="30" t="e">
        <v>#REF!</v>
      </c>
      <c r="V382" s="29" t="e">
        <v>#REF!</v>
      </c>
      <c r="W382" s="30" t="e">
        <v>#REF!</v>
      </c>
      <c r="X382" s="29" t="e">
        <v>#REF!</v>
      </c>
      <c r="Y382" s="30" t="e">
        <v>#REF!</v>
      </c>
      <c r="Z382" s="29" t="e">
        <v>#REF!</v>
      </c>
      <c r="AA382" s="28" t="e">
        <v>#REF!</v>
      </c>
      <c r="AB382" s="26" t="e">
        <f t="shared" ref="AB382:AJ383" si="574">J382*$H382*S382</f>
        <v>#REF!</v>
      </c>
      <c r="AC382" s="25" t="e">
        <f t="shared" si="574"/>
        <v>#REF!</v>
      </c>
      <c r="AD382" s="24" t="e">
        <f t="shared" si="574"/>
        <v>#REF!</v>
      </c>
      <c r="AE382" s="25" t="e">
        <f t="shared" si="574"/>
        <v>#REF!</v>
      </c>
      <c r="AF382" s="24" t="e">
        <f t="shared" si="574"/>
        <v>#REF!</v>
      </c>
      <c r="AG382" s="25" t="e">
        <f t="shared" si="574"/>
        <v>#REF!</v>
      </c>
      <c r="AH382" s="24" t="e">
        <f t="shared" si="574"/>
        <v>#REF!</v>
      </c>
      <c r="AI382" s="25" t="e">
        <f t="shared" si="574"/>
        <v>#REF!</v>
      </c>
      <c r="AJ382" s="24" t="e">
        <f t="shared" si="574"/>
        <v>#REF!</v>
      </c>
      <c r="AK382" s="27" t="e">
        <f t="shared" si="520"/>
        <v>#REF!</v>
      </c>
      <c r="AL382" s="41">
        <v>0</v>
      </c>
      <c r="AM382" s="40">
        <v>0</v>
      </c>
      <c r="AN382" s="39">
        <v>0</v>
      </c>
      <c r="AO382" s="40">
        <v>0</v>
      </c>
      <c r="AP382" s="39">
        <v>0</v>
      </c>
      <c r="AQ382" s="40">
        <v>0</v>
      </c>
      <c r="AR382" s="39">
        <v>0</v>
      </c>
      <c r="AS382" s="40">
        <v>0</v>
      </c>
      <c r="AT382" s="39">
        <v>0</v>
      </c>
      <c r="AU382" s="38">
        <v>0</v>
      </c>
      <c r="CS382" s="54" t="s">
        <v>1402</v>
      </c>
      <c r="CT382" s="39">
        <v>0</v>
      </c>
      <c r="CU382" s="40">
        <v>0</v>
      </c>
      <c r="CV382" s="39">
        <v>0</v>
      </c>
      <c r="CW382" s="40">
        <v>0</v>
      </c>
      <c r="CX382" s="39">
        <v>0</v>
      </c>
      <c r="CY382" s="40">
        <v>0</v>
      </c>
      <c r="CZ382" s="39">
        <v>0</v>
      </c>
      <c r="DA382" s="40">
        <v>0</v>
      </c>
      <c r="DB382" s="39">
        <v>0</v>
      </c>
      <c r="DC382" s="38">
        <v>0</v>
      </c>
    </row>
    <row r="383" spans="1:139">
      <c r="A383" s="37" t="s">
        <v>1353</v>
      </c>
      <c r="B383" s="36" t="s">
        <v>1129</v>
      </c>
      <c r="C383" s="1" t="s">
        <v>1132</v>
      </c>
      <c r="D383" s="36" t="s">
        <v>1182</v>
      </c>
      <c r="E383" s="36" t="s">
        <v>1401</v>
      </c>
      <c r="F383" s="1" t="s">
        <v>1396</v>
      </c>
      <c r="G383" s="35" t="s">
        <v>1179</v>
      </c>
      <c r="H383" s="43">
        <v>1</v>
      </c>
      <c r="I383" s="42">
        <v>0</v>
      </c>
      <c r="J383" s="26" t="e">
        <v>#REF!</v>
      </c>
      <c r="K383" s="25" t="e">
        <v>#REF!</v>
      </c>
      <c r="L383" s="24"/>
      <c r="M383" s="25"/>
      <c r="N383" s="24"/>
      <c r="O383" s="25"/>
      <c r="P383" s="24"/>
      <c r="Q383" s="25"/>
      <c r="R383" s="32"/>
      <c r="S383" s="31" t="e">
        <v>#REF!</v>
      </c>
      <c r="T383" s="29" t="e">
        <v>#REF!</v>
      </c>
      <c r="U383" s="30" t="e">
        <v>#REF!</v>
      </c>
      <c r="V383" s="29" t="e">
        <v>#REF!</v>
      </c>
      <c r="W383" s="30" t="e">
        <v>#REF!</v>
      </c>
      <c r="X383" s="29" t="e">
        <v>#REF!</v>
      </c>
      <c r="Y383" s="30" t="e">
        <v>#REF!</v>
      </c>
      <c r="Z383" s="29" t="e">
        <v>#REF!</v>
      </c>
      <c r="AA383" s="28" t="e">
        <v>#REF!</v>
      </c>
      <c r="AB383" s="26" t="e">
        <f t="shared" si="574"/>
        <v>#REF!</v>
      </c>
      <c r="AC383" s="25" t="e">
        <f t="shared" si="574"/>
        <v>#REF!</v>
      </c>
      <c r="AD383" s="24" t="e">
        <f t="shared" si="574"/>
        <v>#REF!</v>
      </c>
      <c r="AE383" s="25" t="e">
        <f t="shared" si="574"/>
        <v>#REF!</v>
      </c>
      <c r="AF383" s="24" t="e">
        <f t="shared" si="574"/>
        <v>#REF!</v>
      </c>
      <c r="AG383" s="25" t="e">
        <f t="shared" si="574"/>
        <v>#REF!</v>
      </c>
      <c r="AH383" s="24" t="e">
        <f t="shared" si="574"/>
        <v>#REF!</v>
      </c>
      <c r="AI383" s="25" t="e">
        <f t="shared" si="574"/>
        <v>#REF!</v>
      </c>
      <c r="AJ383" s="24" t="e">
        <f t="shared" si="574"/>
        <v>#REF!</v>
      </c>
      <c r="AK383" s="27" t="e">
        <f t="shared" si="520"/>
        <v>#REF!</v>
      </c>
      <c r="AL383" s="41">
        <v>0</v>
      </c>
      <c r="AM383" s="40">
        <v>0</v>
      </c>
      <c r="AN383" s="39">
        <v>0</v>
      </c>
      <c r="AO383" s="40">
        <v>0</v>
      </c>
      <c r="AP383" s="39">
        <v>0</v>
      </c>
      <c r="AQ383" s="40">
        <v>0</v>
      </c>
      <c r="AR383" s="39">
        <v>0</v>
      </c>
      <c r="AS383" s="40">
        <v>0</v>
      </c>
      <c r="AT383" s="39">
        <v>0</v>
      </c>
      <c r="AU383" s="38">
        <v>0</v>
      </c>
      <c r="CS383" s="54" t="s">
        <v>1400</v>
      </c>
      <c r="CT383" s="39">
        <v>0</v>
      </c>
      <c r="CU383" s="40">
        <v>0.61968672609687625</v>
      </c>
      <c r="CV383" s="39">
        <v>1.55162488377156</v>
      </c>
      <c r="CW383" s="40">
        <v>0</v>
      </c>
      <c r="CX383" s="39">
        <v>0.13291287337429847</v>
      </c>
      <c r="CY383" s="40">
        <v>0.20327851221951532</v>
      </c>
      <c r="CZ383" s="39">
        <v>0</v>
      </c>
      <c r="DA383" s="40">
        <v>5.7856191939400517E-2</v>
      </c>
      <c r="DB383" s="39">
        <v>5.9107136629982147E-2</v>
      </c>
      <c r="DC383" s="38">
        <v>2.6244663240316326</v>
      </c>
    </row>
    <row r="384" spans="1:139">
      <c r="A384" s="37" t="s">
        <v>1353</v>
      </c>
      <c r="B384" s="36" t="s">
        <v>1129</v>
      </c>
      <c r="C384" s="1" t="s">
        <v>1132</v>
      </c>
      <c r="D384" s="36" t="s">
        <v>1182</v>
      </c>
      <c r="E384" s="36" t="s">
        <v>1399</v>
      </c>
      <c r="F384" s="1" t="s">
        <v>1388</v>
      </c>
      <c r="G384" s="35" t="s">
        <v>1179</v>
      </c>
      <c r="H384" s="34">
        <f>1-I384</f>
        <v>0.88401681665336018</v>
      </c>
      <c r="I384" s="33">
        <v>0.11598318334663978</v>
      </c>
      <c r="J384" s="26" t="e">
        <v>#REF!</v>
      </c>
      <c r="K384" s="25" t="e">
        <v>#REF!</v>
      </c>
      <c r="L384" s="24"/>
      <c r="M384" s="25"/>
      <c r="N384" s="24"/>
      <c r="O384" s="25"/>
      <c r="P384" s="24"/>
      <c r="Q384" s="25"/>
      <c r="R384" s="32"/>
      <c r="S384" s="31" t="e">
        <v>#REF!</v>
      </c>
      <c r="T384" s="29" t="e">
        <v>#REF!</v>
      </c>
      <c r="U384" s="30" t="e">
        <v>#REF!</v>
      </c>
      <c r="V384" s="29" t="e">
        <v>#REF!</v>
      </c>
      <c r="W384" s="30" t="e">
        <v>#REF!</v>
      </c>
      <c r="X384" s="29" t="e">
        <v>#REF!</v>
      </c>
      <c r="Y384" s="30" t="e">
        <v>#REF!</v>
      </c>
      <c r="Z384" s="29" t="e">
        <v>#REF!</v>
      </c>
      <c r="AA384" s="28" t="e">
        <v>#REF!</v>
      </c>
      <c r="AB384" s="26" t="e">
        <f t="shared" ref="AB384:AJ384" si="575">J384*31.536*$H384*S384</f>
        <v>#REF!</v>
      </c>
      <c r="AC384" s="25" t="e">
        <f t="shared" si="575"/>
        <v>#REF!</v>
      </c>
      <c r="AD384" s="24" t="e">
        <f t="shared" si="575"/>
        <v>#REF!</v>
      </c>
      <c r="AE384" s="25" t="e">
        <f t="shared" si="575"/>
        <v>#REF!</v>
      </c>
      <c r="AF384" s="24" t="e">
        <f t="shared" si="575"/>
        <v>#REF!</v>
      </c>
      <c r="AG384" s="25" t="e">
        <f t="shared" si="575"/>
        <v>#REF!</v>
      </c>
      <c r="AH384" s="24" t="e">
        <f t="shared" si="575"/>
        <v>#REF!</v>
      </c>
      <c r="AI384" s="25" t="e">
        <f t="shared" si="575"/>
        <v>#REF!</v>
      </c>
      <c r="AJ384" s="24" t="e">
        <f t="shared" si="575"/>
        <v>#REF!</v>
      </c>
      <c r="AK384" s="27" t="e">
        <f t="shared" si="520"/>
        <v>#REF!</v>
      </c>
      <c r="AL384" s="26" t="e">
        <f t="shared" ref="AL384:AT384" si="576">J384*31.536*$I384*S384</f>
        <v>#REF!</v>
      </c>
      <c r="AM384" s="25" t="e">
        <f t="shared" si="576"/>
        <v>#REF!</v>
      </c>
      <c r="AN384" s="24" t="e">
        <f t="shared" si="576"/>
        <v>#REF!</v>
      </c>
      <c r="AO384" s="25" t="e">
        <f t="shared" si="576"/>
        <v>#REF!</v>
      </c>
      <c r="AP384" s="24" t="e">
        <f t="shared" si="576"/>
        <v>#REF!</v>
      </c>
      <c r="AQ384" s="25" t="e">
        <f t="shared" si="576"/>
        <v>#REF!</v>
      </c>
      <c r="AR384" s="24" t="e">
        <f t="shared" si="576"/>
        <v>#REF!</v>
      </c>
      <c r="AS384" s="25" t="e">
        <f t="shared" si="576"/>
        <v>#REF!</v>
      </c>
      <c r="AT384" s="24" t="e">
        <f t="shared" si="576"/>
        <v>#REF!</v>
      </c>
      <c r="AU384" s="23" t="e">
        <f>SUM(AL384:AT384)</f>
        <v>#REF!</v>
      </c>
      <c r="CS384" s="54" t="s">
        <v>1398</v>
      </c>
      <c r="CT384" s="39">
        <v>1.5421635685844439E-3</v>
      </c>
      <c r="CU384" s="40">
        <v>7.0572648952748019E-3</v>
      </c>
      <c r="CV384" s="39">
        <v>0.70886375481825148</v>
      </c>
      <c r="CW384" s="40">
        <v>0</v>
      </c>
      <c r="CX384" s="39">
        <v>1.0933518345412844E-2</v>
      </c>
      <c r="CY384" s="40">
        <v>0</v>
      </c>
      <c r="CZ384" s="39">
        <v>0</v>
      </c>
      <c r="DA384" s="40">
        <v>0</v>
      </c>
      <c r="DB384" s="39">
        <v>0.67816003620045562</v>
      </c>
      <c r="DC384" s="38">
        <v>1.4065567378279791</v>
      </c>
    </row>
    <row r="385" spans="1:107">
      <c r="A385" s="37" t="s">
        <v>1353</v>
      </c>
      <c r="B385" s="36" t="s">
        <v>1129</v>
      </c>
      <c r="C385" s="1" t="s">
        <v>1132</v>
      </c>
      <c r="D385" s="36" t="s">
        <v>1182</v>
      </c>
      <c r="E385" s="36" t="s">
        <v>1397</v>
      </c>
      <c r="F385" s="1" t="s">
        <v>1396</v>
      </c>
      <c r="G385" s="35" t="s">
        <v>1179</v>
      </c>
      <c r="H385" s="43">
        <v>1</v>
      </c>
      <c r="I385" s="42">
        <v>0</v>
      </c>
      <c r="J385" s="26" t="e">
        <v>#REF!</v>
      </c>
      <c r="K385" s="25" t="e">
        <v>#REF!</v>
      </c>
      <c r="L385" s="24"/>
      <c r="M385" s="25"/>
      <c r="N385" s="24"/>
      <c r="O385" s="25"/>
      <c r="P385" s="24"/>
      <c r="Q385" s="25"/>
      <c r="R385" s="32"/>
      <c r="S385" s="31" t="e">
        <v>#REF!</v>
      </c>
      <c r="T385" s="29" t="e">
        <v>#REF!</v>
      </c>
      <c r="U385" s="30" t="e">
        <v>#REF!</v>
      </c>
      <c r="V385" s="29" t="e">
        <v>#REF!</v>
      </c>
      <c r="W385" s="30" t="e">
        <v>#REF!</v>
      </c>
      <c r="X385" s="29" t="e">
        <v>#REF!</v>
      </c>
      <c r="Y385" s="30" t="e">
        <v>#REF!</v>
      </c>
      <c r="Z385" s="29" t="e">
        <v>#REF!</v>
      </c>
      <c r="AA385" s="28" t="e">
        <v>#REF!</v>
      </c>
      <c r="AB385" s="26" t="e">
        <f t="shared" ref="AB385:AJ385" si="577">J385*$H385*S385</f>
        <v>#REF!</v>
      </c>
      <c r="AC385" s="25" t="e">
        <f t="shared" si="577"/>
        <v>#REF!</v>
      </c>
      <c r="AD385" s="24" t="e">
        <f t="shared" si="577"/>
        <v>#REF!</v>
      </c>
      <c r="AE385" s="25" t="e">
        <f t="shared" si="577"/>
        <v>#REF!</v>
      </c>
      <c r="AF385" s="24" t="e">
        <f t="shared" si="577"/>
        <v>#REF!</v>
      </c>
      <c r="AG385" s="25" t="e">
        <f t="shared" si="577"/>
        <v>#REF!</v>
      </c>
      <c r="AH385" s="24" t="e">
        <f t="shared" si="577"/>
        <v>#REF!</v>
      </c>
      <c r="AI385" s="25" t="e">
        <f t="shared" si="577"/>
        <v>#REF!</v>
      </c>
      <c r="AJ385" s="24" t="e">
        <f t="shared" si="577"/>
        <v>#REF!</v>
      </c>
      <c r="AK385" s="27" t="e">
        <f t="shared" si="520"/>
        <v>#REF!</v>
      </c>
      <c r="AL385" s="41">
        <v>0</v>
      </c>
      <c r="AM385" s="40">
        <v>0</v>
      </c>
      <c r="AN385" s="39">
        <v>0</v>
      </c>
      <c r="AO385" s="40">
        <v>0</v>
      </c>
      <c r="AP385" s="39">
        <v>0</v>
      </c>
      <c r="AQ385" s="40">
        <v>0</v>
      </c>
      <c r="AR385" s="39">
        <v>0</v>
      </c>
      <c r="AS385" s="40">
        <v>0</v>
      </c>
      <c r="AT385" s="39">
        <v>0</v>
      </c>
      <c r="AU385" s="38">
        <v>0</v>
      </c>
      <c r="CS385" s="54" t="s">
        <v>1395</v>
      </c>
      <c r="CT385" s="39">
        <v>0</v>
      </c>
      <c r="CU385" s="40">
        <v>0</v>
      </c>
      <c r="CV385" s="39">
        <v>1.8903989997629917E-16</v>
      </c>
      <c r="CW385" s="40">
        <v>0</v>
      </c>
      <c r="CX385" s="39">
        <v>1.1726333110275329E-16</v>
      </c>
      <c r="CY385" s="40">
        <v>0</v>
      </c>
      <c r="CZ385" s="39">
        <v>0</v>
      </c>
      <c r="DA385" s="40">
        <v>0</v>
      </c>
      <c r="DB385" s="39">
        <v>0</v>
      </c>
      <c r="DC385" s="38">
        <v>3.0630323107905244E-16</v>
      </c>
    </row>
    <row r="386" spans="1:107">
      <c r="A386" s="37" t="s">
        <v>1353</v>
      </c>
      <c r="B386" s="36" t="s">
        <v>1129</v>
      </c>
      <c r="C386" s="1" t="s">
        <v>1132</v>
      </c>
      <c r="D386" s="36" t="s">
        <v>1182</v>
      </c>
      <c r="E386" s="36" t="s">
        <v>1394</v>
      </c>
      <c r="F386" s="1" t="s">
        <v>1388</v>
      </c>
      <c r="G386" s="35" t="s">
        <v>1179</v>
      </c>
      <c r="H386" s="34">
        <f>1-I386</f>
        <v>0.91317837324206397</v>
      </c>
      <c r="I386" s="33">
        <v>8.6821626757936074E-2</v>
      </c>
      <c r="J386" s="26" t="e">
        <v>#REF!</v>
      </c>
      <c r="K386" s="25" t="e">
        <v>#REF!</v>
      </c>
      <c r="L386" s="24"/>
      <c r="M386" s="25"/>
      <c r="N386" s="24"/>
      <c r="O386" s="25"/>
      <c r="P386" s="24"/>
      <c r="Q386" s="25"/>
      <c r="R386" s="32"/>
      <c r="S386" s="31" t="e">
        <v>#REF!</v>
      </c>
      <c r="T386" s="29" t="e">
        <v>#REF!</v>
      </c>
      <c r="U386" s="30" t="e">
        <v>#REF!</v>
      </c>
      <c r="V386" s="29" t="e">
        <v>#REF!</v>
      </c>
      <c r="W386" s="30" t="e">
        <v>#REF!</v>
      </c>
      <c r="X386" s="29" t="e">
        <v>#REF!</v>
      </c>
      <c r="Y386" s="30" t="e">
        <v>#REF!</v>
      </c>
      <c r="Z386" s="29" t="e">
        <v>#REF!</v>
      </c>
      <c r="AA386" s="28" t="e">
        <v>#REF!</v>
      </c>
      <c r="AB386" s="26" t="e">
        <f t="shared" ref="AB386:AJ390" si="578">J386*31.536*$H386*S386</f>
        <v>#REF!</v>
      </c>
      <c r="AC386" s="25" t="e">
        <f t="shared" si="578"/>
        <v>#REF!</v>
      </c>
      <c r="AD386" s="24" t="e">
        <f t="shared" si="578"/>
        <v>#REF!</v>
      </c>
      <c r="AE386" s="25" t="e">
        <f t="shared" si="578"/>
        <v>#REF!</v>
      </c>
      <c r="AF386" s="24" t="e">
        <f t="shared" si="578"/>
        <v>#REF!</v>
      </c>
      <c r="AG386" s="25" t="e">
        <f t="shared" si="578"/>
        <v>#REF!</v>
      </c>
      <c r="AH386" s="24" t="e">
        <f t="shared" si="578"/>
        <v>#REF!</v>
      </c>
      <c r="AI386" s="25" t="e">
        <f t="shared" si="578"/>
        <v>#REF!</v>
      </c>
      <c r="AJ386" s="24" t="e">
        <f t="shared" si="578"/>
        <v>#REF!</v>
      </c>
      <c r="AK386" s="27" t="e">
        <f t="shared" si="520"/>
        <v>#REF!</v>
      </c>
      <c r="AL386" s="26" t="e">
        <f t="shared" ref="AL386:AT390" si="579">J386*31.536*$I386*S386</f>
        <v>#REF!</v>
      </c>
      <c r="AM386" s="25" t="e">
        <f t="shared" si="579"/>
        <v>#REF!</v>
      </c>
      <c r="AN386" s="24" t="e">
        <f t="shared" si="579"/>
        <v>#REF!</v>
      </c>
      <c r="AO386" s="25" t="e">
        <f t="shared" si="579"/>
        <v>#REF!</v>
      </c>
      <c r="AP386" s="24" t="e">
        <f t="shared" si="579"/>
        <v>#REF!</v>
      </c>
      <c r="AQ386" s="25" t="e">
        <f t="shared" si="579"/>
        <v>#REF!</v>
      </c>
      <c r="AR386" s="24" t="e">
        <f t="shared" si="579"/>
        <v>#REF!</v>
      </c>
      <c r="AS386" s="25" t="e">
        <f t="shared" si="579"/>
        <v>#REF!</v>
      </c>
      <c r="AT386" s="24" t="e">
        <f t="shared" si="579"/>
        <v>#REF!</v>
      </c>
      <c r="AU386" s="23" t="e">
        <f>SUM(AL386:AT386)</f>
        <v>#REF!</v>
      </c>
      <c r="CS386" s="54" t="s">
        <v>1393</v>
      </c>
      <c r="CT386" s="39">
        <v>0</v>
      </c>
      <c r="CU386" s="40">
        <v>0</v>
      </c>
      <c r="CV386" s="39">
        <v>0</v>
      </c>
      <c r="CW386" s="40">
        <v>0</v>
      </c>
      <c r="CX386" s="39">
        <v>0</v>
      </c>
      <c r="CY386" s="40">
        <v>0</v>
      </c>
      <c r="CZ386" s="39">
        <v>0</v>
      </c>
      <c r="DA386" s="40">
        <v>0</v>
      </c>
      <c r="DB386" s="39">
        <v>0</v>
      </c>
      <c r="DC386" s="38">
        <v>0</v>
      </c>
    </row>
    <row r="387" spans="1:107">
      <c r="A387" s="37" t="s">
        <v>1353</v>
      </c>
      <c r="B387" s="36" t="s">
        <v>1129</v>
      </c>
      <c r="C387" s="1" t="s">
        <v>1132</v>
      </c>
      <c r="D387" s="36" t="s">
        <v>1182</v>
      </c>
      <c r="E387" s="36" t="s">
        <v>1392</v>
      </c>
      <c r="F387" s="1" t="s">
        <v>1388</v>
      </c>
      <c r="G387" s="35" t="s">
        <v>1179</v>
      </c>
      <c r="H387" s="34">
        <f>1-I387</f>
        <v>0.88439645766743169</v>
      </c>
      <c r="I387" s="33">
        <v>0.11560354233256834</v>
      </c>
      <c r="J387" s="26" t="e">
        <v>#REF!</v>
      </c>
      <c r="K387" s="25" t="e">
        <v>#REF!</v>
      </c>
      <c r="L387" s="24"/>
      <c r="M387" s="25"/>
      <c r="N387" s="24"/>
      <c r="O387" s="25"/>
      <c r="P387" s="24"/>
      <c r="Q387" s="25"/>
      <c r="R387" s="32"/>
      <c r="S387" s="31" t="e">
        <v>#REF!</v>
      </c>
      <c r="T387" s="29" t="e">
        <v>#REF!</v>
      </c>
      <c r="U387" s="30" t="e">
        <v>#REF!</v>
      </c>
      <c r="V387" s="29" t="e">
        <v>#REF!</v>
      </c>
      <c r="W387" s="30" t="e">
        <v>#REF!</v>
      </c>
      <c r="X387" s="29" t="e">
        <v>#REF!</v>
      </c>
      <c r="Y387" s="30" t="e">
        <v>#REF!</v>
      </c>
      <c r="Z387" s="29" t="e">
        <v>#REF!</v>
      </c>
      <c r="AA387" s="28" t="e">
        <v>#REF!</v>
      </c>
      <c r="AB387" s="26" t="e">
        <f t="shared" si="578"/>
        <v>#REF!</v>
      </c>
      <c r="AC387" s="25" t="e">
        <f t="shared" si="578"/>
        <v>#REF!</v>
      </c>
      <c r="AD387" s="24" t="e">
        <f t="shared" si="578"/>
        <v>#REF!</v>
      </c>
      <c r="AE387" s="25" t="e">
        <f t="shared" si="578"/>
        <v>#REF!</v>
      </c>
      <c r="AF387" s="24" t="e">
        <f t="shared" si="578"/>
        <v>#REF!</v>
      </c>
      <c r="AG387" s="25" t="e">
        <f t="shared" si="578"/>
        <v>#REF!</v>
      </c>
      <c r="AH387" s="24" t="e">
        <f t="shared" si="578"/>
        <v>#REF!</v>
      </c>
      <c r="AI387" s="25" t="e">
        <f t="shared" si="578"/>
        <v>#REF!</v>
      </c>
      <c r="AJ387" s="24" t="e">
        <f t="shared" si="578"/>
        <v>#REF!</v>
      </c>
      <c r="AK387" s="27" t="e">
        <f t="shared" si="520"/>
        <v>#REF!</v>
      </c>
      <c r="AL387" s="26" t="e">
        <f t="shared" si="579"/>
        <v>#REF!</v>
      </c>
      <c r="AM387" s="25" t="e">
        <f t="shared" si="579"/>
        <v>#REF!</v>
      </c>
      <c r="AN387" s="24" t="e">
        <f t="shared" si="579"/>
        <v>#REF!</v>
      </c>
      <c r="AO387" s="25" t="e">
        <f t="shared" si="579"/>
        <v>#REF!</v>
      </c>
      <c r="AP387" s="24" t="e">
        <f t="shared" si="579"/>
        <v>#REF!</v>
      </c>
      <c r="AQ387" s="25" t="e">
        <f t="shared" si="579"/>
        <v>#REF!</v>
      </c>
      <c r="AR387" s="24" t="e">
        <f t="shared" si="579"/>
        <v>#REF!</v>
      </c>
      <c r="AS387" s="25" t="e">
        <f t="shared" si="579"/>
        <v>#REF!</v>
      </c>
      <c r="AT387" s="24" t="e">
        <f t="shared" si="579"/>
        <v>#REF!</v>
      </c>
      <c r="AU387" s="23" t="e">
        <f>SUM(AL387:AT387)</f>
        <v>#REF!</v>
      </c>
      <c r="CS387" s="54" t="s">
        <v>1180</v>
      </c>
      <c r="CT387" s="39">
        <v>0</v>
      </c>
      <c r="CU387" s="40">
        <v>0</v>
      </c>
      <c r="CV387" s="39">
        <v>0</v>
      </c>
      <c r="CW387" s="40">
        <v>0</v>
      </c>
      <c r="CX387" s="39">
        <v>20.558215212149207</v>
      </c>
      <c r="CY387" s="40">
        <v>7.4456307594496876</v>
      </c>
      <c r="CZ387" s="39">
        <v>2.7391097744066943</v>
      </c>
      <c r="DA387" s="40">
        <v>0</v>
      </c>
      <c r="DB387" s="39">
        <v>0</v>
      </c>
      <c r="DC387" s="38">
        <v>30.742955746005592</v>
      </c>
    </row>
    <row r="388" spans="1:107">
      <c r="A388" s="37" t="s">
        <v>1353</v>
      </c>
      <c r="B388" s="36" t="s">
        <v>1129</v>
      </c>
      <c r="C388" s="1" t="s">
        <v>1132</v>
      </c>
      <c r="D388" s="36" t="s">
        <v>1182</v>
      </c>
      <c r="E388" s="36" t="s">
        <v>1391</v>
      </c>
      <c r="F388" s="1" t="s">
        <v>1388</v>
      </c>
      <c r="G388" s="35" t="s">
        <v>1179</v>
      </c>
      <c r="H388" s="34">
        <f>1-I388</f>
        <v>0.88332652522877819</v>
      </c>
      <c r="I388" s="33">
        <v>0.11667347477122177</v>
      </c>
      <c r="J388" s="26" t="e">
        <v>#REF!</v>
      </c>
      <c r="K388" s="25" t="e">
        <v>#REF!</v>
      </c>
      <c r="L388" s="24"/>
      <c r="M388" s="25"/>
      <c r="N388" s="24"/>
      <c r="O388" s="25"/>
      <c r="P388" s="24"/>
      <c r="Q388" s="25"/>
      <c r="R388" s="32"/>
      <c r="S388" s="31" t="e">
        <v>#REF!</v>
      </c>
      <c r="T388" s="29" t="e">
        <v>#REF!</v>
      </c>
      <c r="U388" s="30" t="e">
        <v>#REF!</v>
      </c>
      <c r="V388" s="29" t="e">
        <v>#REF!</v>
      </c>
      <c r="W388" s="30" t="e">
        <v>#REF!</v>
      </c>
      <c r="X388" s="29" t="e">
        <v>#REF!</v>
      </c>
      <c r="Y388" s="30" t="e">
        <v>#REF!</v>
      </c>
      <c r="Z388" s="29" t="e">
        <v>#REF!</v>
      </c>
      <c r="AA388" s="28" t="e">
        <v>#REF!</v>
      </c>
      <c r="AB388" s="26" t="e">
        <f t="shared" si="578"/>
        <v>#REF!</v>
      </c>
      <c r="AC388" s="25" t="e">
        <f t="shared" si="578"/>
        <v>#REF!</v>
      </c>
      <c r="AD388" s="24" t="e">
        <f t="shared" si="578"/>
        <v>#REF!</v>
      </c>
      <c r="AE388" s="25" t="e">
        <f t="shared" si="578"/>
        <v>#REF!</v>
      </c>
      <c r="AF388" s="24" t="e">
        <f t="shared" si="578"/>
        <v>#REF!</v>
      </c>
      <c r="AG388" s="25" t="e">
        <f t="shared" si="578"/>
        <v>#REF!</v>
      </c>
      <c r="AH388" s="24" t="e">
        <f t="shared" si="578"/>
        <v>#REF!</v>
      </c>
      <c r="AI388" s="25" t="e">
        <f t="shared" si="578"/>
        <v>#REF!</v>
      </c>
      <c r="AJ388" s="24" t="e">
        <f t="shared" si="578"/>
        <v>#REF!</v>
      </c>
      <c r="AK388" s="27" t="e">
        <f t="shared" si="520"/>
        <v>#REF!</v>
      </c>
      <c r="AL388" s="26" t="e">
        <f t="shared" si="579"/>
        <v>#REF!</v>
      </c>
      <c r="AM388" s="25" t="e">
        <f t="shared" si="579"/>
        <v>#REF!</v>
      </c>
      <c r="AN388" s="24" t="e">
        <f t="shared" si="579"/>
        <v>#REF!</v>
      </c>
      <c r="AO388" s="25" t="e">
        <f t="shared" si="579"/>
        <v>#REF!</v>
      </c>
      <c r="AP388" s="24" t="e">
        <f t="shared" si="579"/>
        <v>#REF!</v>
      </c>
      <c r="AQ388" s="25" t="e">
        <f t="shared" si="579"/>
        <v>#REF!</v>
      </c>
      <c r="AR388" s="24" t="e">
        <f t="shared" si="579"/>
        <v>#REF!</v>
      </c>
      <c r="AS388" s="25" t="e">
        <f t="shared" si="579"/>
        <v>#REF!</v>
      </c>
      <c r="AT388" s="24" t="e">
        <f t="shared" si="579"/>
        <v>#REF!</v>
      </c>
      <c r="AU388" s="23" t="e">
        <f>SUM(AL388:AT388)</f>
        <v>#REF!</v>
      </c>
      <c r="CS388" s="54" t="s">
        <v>1388</v>
      </c>
      <c r="CT388" s="39">
        <v>22.077983953364551</v>
      </c>
      <c r="CU388" s="40">
        <v>23.0559234954248</v>
      </c>
      <c r="CV388" s="39">
        <v>38.613625411261651</v>
      </c>
      <c r="CW388" s="40">
        <v>1.9461845440020347</v>
      </c>
      <c r="CX388" s="39">
        <v>49.357014936953838</v>
      </c>
      <c r="CY388" s="40">
        <v>43.138120150766028</v>
      </c>
      <c r="CZ388" s="39">
        <v>30.91940409329062</v>
      </c>
      <c r="DA388" s="40">
        <v>2.0344316609430511</v>
      </c>
      <c r="DB388" s="39">
        <v>15.668057324285744</v>
      </c>
      <c r="DC388" s="38">
        <v>226.81074557029234</v>
      </c>
    </row>
    <row r="389" spans="1:107">
      <c r="A389" s="37" t="s">
        <v>1353</v>
      </c>
      <c r="B389" s="36" t="s">
        <v>1129</v>
      </c>
      <c r="C389" s="1" t="s">
        <v>1132</v>
      </c>
      <c r="D389" s="36" t="s">
        <v>1182</v>
      </c>
      <c r="E389" s="36" t="s">
        <v>1390</v>
      </c>
      <c r="F389" s="1" t="s">
        <v>1388</v>
      </c>
      <c r="G389" s="35" t="s">
        <v>1179</v>
      </c>
      <c r="H389" s="34">
        <f>1-I389</f>
        <v>0.88448056774625738</v>
      </c>
      <c r="I389" s="33">
        <v>0.11551943225374266</v>
      </c>
      <c r="J389" s="26" t="e">
        <v>#REF!</v>
      </c>
      <c r="K389" s="25" t="e">
        <v>#REF!</v>
      </c>
      <c r="L389" s="24"/>
      <c r="M389" s="25"/>
      <c r="N389" s="24"/>
      <c r="O389" s="25"/>
      <c r="P389" s="24"/>
      <c r="Q389" s="25"/>
      <c r="R389" s="32"/>
      <c r="S389" s="31" t="e">
        <v>#REF!</v>
      </c>
      <c r="T389" s="29" t="e">
        <v>#REF!</v>
      </c>
      <c r="U389" s="30" t="e">
        <v>#REF!</v>
      </c>
      <c r="V389" s="29" t="e">
        <v>#REF!</v>
      </c>
      <c r="W389" s="30" t="e">
        <v>#REF!</v>
      </c>
      <c r="X389" s="29" t="e">
        <v>#REF!</v>
      </c>
      <c r="Y389" s="30" t="e">
        <v>#REF!</v>
      </c>
      <c r="Z389" s="29" t="e">
        <v>#REF!</v>
      </c>
      <c r="AA389" s="28" t="e">
        <v>#REF!</v>
      </c>
      <c r="AB389" s="26" t="e">
        <f t="shared" si="578"/>
        <v>#REF!</v>
      </c>
      <c r="AC389" s="25" t="e">
        <f t="shared" si="578"/>
        <v>#REF!</v>
      </c>
      <c r="AD389" s="24" t="e">
        <f t="shared" si="578"/>
        <v>#REF!</v>
      </c>
      <c r="AE389" s="25" t="e">
        <f t="shared" si="578"/>
        <v>#REF!</v>
      </c>
      <c r="AF389" s="24" t="e">
        <f t="shared" si="578"/>
        <v>#REF!</v>
      </c>
      <c r="AG389" s="25" t="e">
        <f t="shared" si="578"/>
        <v>#REF!</v>
      </c>
      <c r="AH389" s="24" t="e">
        <f t="shared" si="578"/>
        <v>#REF!</v>
      </c>
      <c r="AI389" s="25" t="e">
        <f t="shared" si="578"/>
        <v>#REF!</v>
      </c>
      <c r="AJ389" s="24" t="e">
        <f t="shared" si="578"/>
        <v>#REF!</v>
      </c>
      <c r="AK389" s="27" t="e">
        <f t="shared" si="520"/>
        <v>#REF!</v>
      </c>
      <c r="AL389" s="26" t="e">
        <f t="shared" si="579"/>
        <v>#REF!</v>
      </c>
      <c r="AM389" s="25" t="e">
        <f t="shared" si="579"/>
        <v>#REF!</v>
      </c>
      <c r="AN389" s="24" t="e">
        <f t="shared" si="579"/>
        <v>#REF!</v>
      </c>
      <c r="AO389" s="25" t="e">
        <f t="shared" si="579"/>
        <v>#REF!</v>
      </c>
      <c r="AP389" s="24" t="e">
        <f t="shared" si="579"/>
        <v>#REF!</v>
      </c>
      <c r="AQ389" s="25" t="e">
        <f t="shared" si="579"/>
        <v>#REF!</v>
      </c>
      <c r="AR389" s="24" t="e">
        <f t="shared" si="579"/>
        <v>#REF!</v>
      </c>
      <c r="AS389" s="25" t="e">
        <f t="shared" si="579"/>
        <v>#REF!</v>
      </c>
      <c r="AT389" s="24" t="e">
        <f t="shared" si="579"/>
        <v>#REF!</v>
      </c>
      <c r="AU389" s="23" t="e">
        <f>SUM(AL389:AT389)</f>
        <v>#REF!</v>
      </c>
      <c r="CS389" s="54" t="s">
        <v>1314</v>
      </c>
      <c r="CT389" s="39">
        <v>2.7264190282509664</v>
      </c>
      <c r="CU389" s="40">
        <v>0</v>
      </c>
      <c r="CV389" s="39">
        <v>0</v>
      </c>
      <c r="CW389" s="40">
        <v>0.8231448773995278</v>
      </c>
      <c r="CX389" s="39">
        <v>40.204978337703068</v>
      </c>
      <c r="CY389" s="40">
        <v>24.29720715820757</v>
      </c>
      <c r="CZ389" s="39">
        <v>35.176998704229632</v>
      </c>
      <c r="DA389" s="40">
        <v>3.5622001987366336</v>
      </c>
      <c r="DB389" s="39">
        <v>9.1110653336624488</v>
      </c>
      <c r="DC389" s="38">
        <v>115.90201363818986</v>
      </c>
    </row>
    <row r="390" spans="1:107">
      <c r="A390" s="37" t="s">
        <v>1353</v>
      </c>
      <c r="B390" s="36" t="s">
        <v>1129</v>
      </c>
      <c r="C390" s="1" t="s">
        <v>1132</v>
      </c>
      <c r="D390" s="36" t="s">
        <v>1182</v>
      </c>
      <c r="E390" s="36" t="s">
        <v>1389</v>
      </c>
      <c r="F390" s="1" t="s">
        <v>1388</v>
      </c>
      <c r="G390" s="35" t="s">
        <v>1179</v>
      </c>
      <c r="H390" s="34">
        <f>1-I390</f>
        <v>0.61165048543689315</v>
      </c>
      <c r="I390" s="33">
        <v>0.38834951456310679</v>
      </c>
      <c r="J390" s="26">
        <v>1.5449999999999999E-3</v>
      </c>
      <c r="K390" s="25">
        <v>0</v>
      </c>
      <c r="L390" s="24"/>
      <c r="M390" s="25"/>
      <c r="N390" s="24"/>
      <c r="O390" s="25"/>
      <c r="P390" s="24"/>
      <c r="Q390" s="25"/>
      <c r="R390" s="32"/>
      <c r="S390" s="31" t="e">
        <v>#REF!</v>
      </c>
      <c r="T390" s="29" t="e">
        <v>#REF!</v>
      </c>
      <c r="U390" s="30" t="e">
        <v>#REF!</v>
      </c>
      <c r="V390" s="29" t="e">
        <v>#REF!</v>
      </c>
      <c r="W390" s="30" t="e">
        <v>#REF!</v>
      </c>
      <c r="X390" s="29" t="e">
        <v>#REF!</v>
      </c>
      <c r="Y390" s="30" t="e">
        <v>#REF!</v>
      </c>
      <c r="Z390" s="29" t="e">
        <v>#REF!</v>
      </c>
      <c r="AA390" s="28" t="e">
        <v>#REF!</v>
      </c>
      <c r="AB390" s="26" t="e">
        <f t="shared" si="578"/>
        <v>#REF!</v>
      </c>
      <c r="AC390" s="25" t="e">
        <f t="shared" si="578"/>
        <v>#REF!</v>
      </c>
      <c r="AD390" s="24" t="e">
        <f t="shared" si="578"/>
        <v>#REF!</v>
      </c>
      <c r="AE390" s="25" t="e">
        <f t="shared" si="578"/>
        <v>#REF!</v>
      </c>
      <c r="AF390" s="24" t="e">
        <f t="shared" si="578"/>
        <v>#REF!</v>
      </c>
      <c r="AG390" s="25" t="e">
        <f t="shared" si="578"/>
        <v>#REF!</v>
      </c>
      <c r="AH390" s="24" t="e">
        <f t="shared" si="578"/>
        <v>#REF!</v>
      </c>
      <c r="AI390" s="25" t="e">
        <f t="shared" si="578"/>
        <v>#REF!</v>
      </c>
      <c r="AJ390" s="24" t="e">
        <f t="shared" si="578"/>
        <v>#REF!</v>
      </c>
      <c r="AK390" s="27" t="e">
        <f t="shared" si="520"/>
        <v>#REF!</v>
      </c>
      <c r="AL390" s="26" t="e">
        <f t="shared" si="579"/>
        <v>#REF!</v>
      </c>
      <c r="AM390" s="25" t="e">
        <f t="shared" si="579"/>
        <v>#REF!</v>
      </c>
      <c r="AN390" s="24" t="e">
        <f t="shared" si="579"/>
        <v>#REF!</v>
      </c>
      <c r="AO390" s="25" t="e">
        <f t="shared" si="579"/>
        <v>#REF!</v>
      </c>
      <c r="AP390" s="24" t="e">
        <f t="shared" si="579"/>
        <v>#REF!</v>
      </c>
      <c r="AQ390" s="25" t="e">
        <f t="shared" si="579"/>
        <v>#REF!</v>
      </c>
      <c r="AR390" s="24" t="e">
        <f t="shared" si="579"/>
        <v>#REF!</v>
      </c>
      <c r="AS390" s="25" t="e">
        <f t="shared" si="579"/>
        <v>#REF!</v>
      </c>
      <c r="AT390" s="24" t="e">
        <f t="shared" si="579"/>
        <v>#REF!</v>
      </c>
      <c r="AU390" s="23" t="e">
        <f>SUM(AL390:AT390)</f>
        <v>#REF!</v>
      </c>
      <c r="CS390" s="54" t="s">
        <v>1387</v>
      </c>
      <c r="CT390" s="39">
        <v>0</v>
      </c>
      <c r="CU390" s="40">
        <v>0.21531628765608407</v>
      </c>
      <c r="CV390" s="39">
        <v>0.3821006379288226</v>
      </c>
      <c r="CW390" s="40">
        <v>9.4159672801071972E-2</v>
      </c>
      <c r="CX390" s="39">
        <v>0.37086344764964874</v>
      </c>
      <c r="CY390" s="40">
        <v>0</v>
      </c>
      <c r="CZ390" s="39">
        <v>0</v>
      </c>
      <c r="DA390" s="40">
        <v>0</v>
      </c>
      <c r="DB390" s="39">
        <v>0</v>
      </c>
      <c r="DC390" s="38">
        <v>1.0624400460356274</v>
      </c>
    </row>
    <row r="391" spans="1:107">
      <c r="A391" s="37" t="s">
        <v>1353</v>
      </c>
      <c r="B391" s="36" t="s">
        <v>1123</v>
      </c>
      <c r="C391" s="1" t="s">
        <v>1126</v>
      </c>
      <c r="D391" s="36" t="s">
        <v>1126</v>
      </c>
      <c r="E391" s="36" t="s">
        <v>1386</v>
      </c>
      <c r="F391" s="1" t="s">
        <v>1385</v>
      </c>
      <c r="G391" s="35" t="s">
        <v>1121</v>
      </c>
      <c r="H391" s="43">
        <v>1</v>
      </c>
      <c r="I391" s="42">
        <v>0</v>
      </c>
      <c r="J391" s="26">
        <v>0.50331258329614137</v>
      </c>
      <c r="K391" s="25">
        <v>2.236944814649517</v>
      </c>
      <c r="L391" s="24"/>
      <c r="M391" s="25"/>
      <c r="N391" s="24"/>
      <c r="O391" s="25"/>
      <c r="P391" s="24"/>
      <c r="Q391" s="25"/>
      <c r="R391" s="32"/>
      <c r="S391" s="47">
        <v>1</v>
      </c>
      <c r="T391" s="45">
        <v>1</v>
      </c>
      <c r="U391" s="46">
        <v>1</v>
      </c>
      <c r="V391" s="45">
        <v>1</v>
      </c>
      <c r="W391" s="46">
        <v>1</v>
      </c>
      <c r="X391" s="45">
        <v>1</v>
      </c>
      <c r="Y391" s="46">
        <v>1</v>
      </c>
      <c r="Z391" s="45">
        <v>1</v>
      </c>
      <c r="AA391" s="44">
        <v>1</v>
      </c>
      <c r="AB391" s="26">
        <f t="shared" ref="AB391:AJ396" si="580">J391*$H391*S391</f>
        <v>0.50331258329614137</v>
      </c>
      <c r="AC391" s="25">
        <f t="shared" si="580"/>
        <v>2.236944814649517</v>
      </c>
      <c r="AD391" s="24">
        <f t="shared" si="580"/>
        <v>0</v>
      </c>
      <c r="AE391" s="25">
        <f t="shared" si="580"/>
        <v>0</v>
      </c>
      <c r="AF391" s="24">
        <f t="shared" si="580"/>
        <v>0</v>
      </c>
      <c r="AG391" s="25">
        <f t="shared" si="580"/>
        <v>0</v>
      </c>
      <c r="AH391" s="24">
        <f t="shared" si="580"/>
        <v>0</v>
      </c>
      <c r="AI391" s="25">
        <f t="shared" si="580"/>
        <v>0</v>
      </c>
      <c r="AJ391" s="24">
        <f t="shared" si="580"/>
        <v>0</v>
      </c>
      <c r="AK391" s="27">
        <f t="shared" si="520"/>
        <v>2.7402573979456584</v>
      </c>
      <c r="AL391" s="41">
        <v>0</v>
      </c>
      <c r="AM391" s="40">
        <v>0</v>
      </c>
      <c r="AN391" s="39">
        <v>0</v>
      </c>
      <c r="AO391" s="40">
        <v>0</v>
      </c>
      <c r="AP391" s="39">
        <v>0</v>
      </c>
      <c r="AQ391" s="40">
        <v>0</v>
      </c>
      <c r="AR391" s="39">
        <v>0</v>
      </c>
      <c r="AS391" s="40">
        <v>0</v>
      </c>
      <c r="AT391" s="39">
        <v>0</v>
      </c>
      <c r="AU391" s="38">
        <v>0</v>
      </c>
      <c r="CS391" s="53" t="s">
        <v>1384</v>
      </c>
      <c r="CT391" s="5">
        <v>0</v>
      </c>
      <c r="CU391" s="6">
        <v>1.046432719108054</v>
      </c>
      <c r="CV391" s="5">
        <v>2.8013142162609643</v>
      </c>
      <c r="CW391" s="6">
        <v>0</v>
      </c>
      <c r="CX391" s="5">
        <v>2.7036106377753084</v>
      </c>
      <c r="CY391" s="6">
        <v>2.0684721549359772</v>
      </c>
      <c r="CZ391" s="5">
        <v>3.286727508999046</v>
      </c>
      <c r="DA391" s="6">
        <v>0</v>
      </c>
      <c r="DB391" s="5">
        <v>8.0445656678376554E-2</v>
      </c>
      <c r="DC391" s="4">
        <v>11.987002893757728</v>
      </c>
    </row>
    <row r="392" spans="1:107" ht="15.75" thickBot="1">
      <c r="A392" s="37" t="s">
        <v>1353</v>
      </c>
      <c r="B392" s="36" t="s">
        <v>1123</v>
      </c>
      <c r="C392" s="1" t="s">
        <v>665</v>
      </c>
      <c r="D392" s="36" t="s">
        <v>665</v>
      </c>
      <c r="E392" s="36" t="s">
        <v>1383</v>
      </c>
      <c r="F392" s="1" t="s">
        <v>1382</v>
      </c>
      <c r="G392" s="35" t="s">
        <v>1121</v>
      </c>
      <c r="H392" s="43">
        <v>1</v>
      </c>
      <c r="I392" s="42">
        <v>0</v>
      </c>
      <c r="J392" s="26">
        <v>1.8778958296917907</v>
      </c>
      <c r="K392" s="25">
        <v>8.5388083880002785</v>
      </c>
      <c r="L392" s="24"/>
      <c r="M392" s="25"/>
      <c r="N392" s="24"/>
      <c r="O392" s="25"/>
      <c r="P392" s="24"/>
      <c r="Q392" s="25"/>
      <c r="R392" s="32"/>
      <c r="S392" s="47">
        <v>1</v>
      </c>
      <c r="T392" s="45">
        <v>1</v>
      </c>
      <c r="U392" s="46">
        <v>1</v>
      </c>
      <c r="V392" s="45">
        <v>1</v>
      </c>
      <c r="W392" s="46">
        <v>1</v>
      </c>
      <c r="X392" s="45">
        <v>1</v>
      </c>
      <c r="Y392" s="46">
        <v>1</v>
      </c>
      <c r="Z392" s="45">
        <v>1</v>
      </c>
      <c r="AA392" s="44">
        <v>1</v>
      </c>
      <c r="AB392" s="26">
        <f t="shared" si="580"/>
        <v>1.8778958296917907</v>
      </c>
      <c r="AC392" s="25">
        <f t="shared" si="580"/>
        <v>8.5388083880002785</v>
      </c>
      <c r="AD392" s="24">
        <f t="shared" si="580"/>
        <v>0</v>
      </c>
      <c r="AE392" s="25">
        <f t="shared" si="580"/>
        <v>0</v>
      </c>
      <c r="AF392" s="24">
        <f t="shared" si="580"/>
        <v>0</v>
      </c>
      <c r="AG392" s="25">
        <f t="shared" si="580"/>
        <v>0</v>
      </c>
      <c r="AH392" s="24">
        <f t="shared" si="580"/>
        <v>0</v>
      </c>
      <c r="AI392" s="25">
        <f t="shared" si="580"/>
        <v>0</v>
      </c>
      <c r="AJ392" s="24">
        <f t="shared" si="580"/>
        <v>0</v>
      </c>
      <c r="AK392" s="27">
        <f t="shared" ref="AK392:AK455" si="581">SUM(AB392:AJ392)</f>
        <v>10.41670421769207</v>
      </c>
      <c r="AL392" s="41">
        <v>0</v>
      </c>
      <c r="AM392" s="40">
        <v>0</v>
      </c>
      <c r="AN392" s="39">
        <v>0</v>
      </c>
      <c r="AO392" s="40">
        <v>0</v>
      </c>
      <c r="AP392" s="39">
        <v>0</v>
      </c>
      <c r="AQ392" s="40">
        <v>0</v>
      </c>
      <c r="AR392" s="39">
        <v>0</v>
      </c>
      <c r="AS392" s="40">
        <v>0</v>
      </c>
      <c r="AT392" s="39">
        <v>0</v>
      </c>
      <c r="AU392" s="38">
        <v>0</v>
      </c>
      <c r="CS392" s="52" t="s">
        <v>1381</v>
      </c>
      <c r="CT392" s="39">
        <v>0</v>
      </c>
      <c r="CU392" s="40">
        <v>0</v>
      </c>
      <c r="CV392" s="39">
        <v>0</v>
      </c>
      <c r="CW392" s="40">
        <v>14.995584313298927</v>
      </c>
      <c r="CX392" s="39">
        <v>0</v>
      </c>
      <c r="CY392" s="40">
        <v>0</v>
      </c>
      <c r="CZ392" s="39">
        <v>0</v>
      </c>
      <c r="DA392" s="40">
        <v>0</v>
      </c>
      <c r="DB392" s="39">
        <v>0</v>
      </c>
      <c r="DC392" s="38">
        <v>14.995584313298927</v>
      </c>
    </row>
    <row r="393" spans="1:107">
      <c r="A393" s="37" t="s">
        <v>1353</v>
      </c>
      <c r="B393" s="36" t="s">
        <v>1123</v>
      </c>
      <c r="C393" s="1" t="s">
        <v>1111</v>
      </c>
      <c r="D393" s="36" t="s">
        <v>1111</v>
      </c>
      <c r="E393" s="36" t="s">
        <v>1380</v>
      </c>
      <c r="F393" s="1" t="s">
        <v>1379</v>
      </c>
      <c r="G393" s="35" t="s">
        <v>1121</v>
      </c>
      <c r="H393" s="43">
        <v>1</v>
      </c>
      <c r="I393" s="42">
        <v>0</v>
      </c>
      <c r="J393" s="26">
        <v>5.321640767824494E-2</v>
      </c>
      <c r="K393" s="25">
        <v>0.99337294332723924</v>
      </c>
      <c r="L393" s="24"/>
      <c r="M393" s="25"/>
      <c r="N393" s="24"/>
      <c r="O393" s="25"/>
      <c r="P393" s="24"/>
      <c r="Q393" s="25"/>
      <c r="R393" s="32"/>
      <c r="S393" s="47">
        <v>1</v>
      </c>
      <c r="T393" s="45">
        <v>1</v>
      </c>
      <c r="U393" s="46">
        <v>1</v>
      </c>
      <c r="V393" s="45">
        <v>1</v>
      </c>
      <c r="W393" s="46">
        <v>1</v>
      </c>
      <c r="X393" s="45">
        <v>1</v>
      </c>
      <c r="Y393" s="46">
        <v>1</v>
      </c>
      <c r="Z393" s="45">
        <v>1</v>
      </c>
      <c r="AA393" s="44">
        <v>1</v>
      </c>
      <c r="AB393" s="26">
        <f t="shared" si="580"/>
        <v>5.321640767824494E-2</v>
      </c>
      <c r="AC393" s="25">
        <f t="shared" si="580"/>
        <v>0.99337294332723924</v>
      </c>
      <c r="AD393" s="24">
        <f t="shared" si="580"/>
        <v>0</v>
      </c>
      <c r="AE393" s="25">
        <f t="shared" si="580"/>
        <v>0</v>
      </c>
      <c r="AF393" s="24">
        <f t="shared" si="580"/>
        <v>0</v>
      </c>
      <c r="AG393" s="25">
        <f t="shared" si="580"/>
        <v>0</v>
      </c>
      <c r="AH393" s="24">
        <f t="shared" si="580"/>
        <v>0</v>
      </c>
      <c r="AI393" s="25">
        <f t="shared" si="580"/>
        <v>0</v>
      </c>
      <c r="AJ393" s="24">
        <f t="shared" si="580"/>
        <v>0</v>
      </c>
      <c r="AK393" s="27">
        <f t="shared" si="581"/>
        <v>1.0465893510054842</v>
      </c>
      <c r="AL393" s="41">
        <v>0</v>
      </c>
      <c r="AM393" s="40">
        <v>0</v>
      </c>
      <c r="AN393" s="39">
        <v>0</v>
      </c>
      <c r="AO393" s="40">
        <v>0</v>
      </c>
      <c r="AP393" s="39">
        <v>0</v>
      </c>
      <c r="AQ393" s="40">
        <v>0</v>
      </c>
      <c r="AR393" s="39">
        <v>0</v>
      </c>
      <c r="AS393" s="40">
        <v>0</v>
      </c>
      <c r="AT393" s="39">
        <v>0</v>
      </c>
      <c r="AU393" s="38">
        <v>0</v>
      </c>
      <c r="CS393" s="51" t="s">
        <v>1378</v>
      </c>
      <c r="CT393" s="5">
        <v>366.35765829387202</v>
      </c>
      <c r="CU393" s="6">
        <v>823.69350645367149</v>
      </c>
      <c r="CV393" s="5">
        <v>1935.8281337207411</v>
      </c>
      <c r="CW393" s="6">
        <v>1248.7588135324474</v>
      </c>
      <c r="CX393" s="5">
        <v>2007.517809511045</v>
      </c>
      <c r="CY393" s="6">
        <v>1494.3686864959791</v>
      </c>
      <c r="CZ393" s="5">
        <v>4351.6345120059923</v>
      </c>
      <c r="DA393" s="6">
        <v>508.47586442064693</v>
      </c>
      <c r="DB393" s="5">
        <v>516.18440136112804</v>
      </c>
      <c r="DC393" s="4">
        <v>13252.819385795528</v>
      </c>
    </row>
    <row r="394" spans="1:107">
      <c r="A394" s="37" t="s">
        <v>1353</v>
      </c>
      <c r="B394" s="36" t="s">
        <v>1123</v>
      </c>
      <c r="C394" s="1" t="s">
        <v>1106</v>
      </c>
      <c r="D394" s="36" t="s">
        <v>1106</v>
      </c>
      <c r="E394" s="36" t="s">
        <v>1377</v>
      </c>
      <c r="F394" s="1" t="s">
        <v>1376</v>
      </c>
      <c r="G394" s="35" t="s">
        <v>1121</v>
      </c>
      <c r="H394" s="43">
        <v>1</v>
      </c>
      <c r="I394" s="42">
        <v>0</v>
      </c>
      <c r="J394" s="26">
        <v>0.3044285231236501</v>
      </c>
      <c r="K394" s="25">
        <v>1.1941833853932555</v>
      </c>
      <c r="L394" s="24"/>
      <c r="M394" s="25"/>
      <c r="N394" s="24"/>
      <c r="O394" s="25"/>
      <c r="P394" s="24"/>
      <c r="Q394" s="25"/>
      <c r="R394" s="32"/>
      <c r="S394" s="47">
        <v>1</v>
      </c>
      <c r="T394" s="45">
        <v>1</v>
      </c>
      <c r="U394" s="46">
        <v>1</v>
      </c>
      <c r="V394" s="45">
        <v>1</v>
      </c>
      <c r="W394" s="46">
        <v>1</v>
      </c>
      <c r="X394" s="45">
        <v>1</v>
      </c>
      <c r="Y394" s="46">
        <v>1</v>
      </c>
      <c r="Z394" s="45">
        <v>1</v>
      </c>
      <c r="AA394" s="44">
        <v>1</v>
      </c>
      <c r="AB394" s="26">
        <f t="shared" si="580"/>
        <v>0.3044285231236501</v>
      </c>
      <c r="AC394" s="25">
        <f t="shared" si="580"/>
        <v>1.1941833853932555</v>
      </c>
      <c r="AD394" s="24">
        <f t="shared" si="580"/>
        <v>0</v>
      </c>
      <c r="AE394" s="25">
        <f t="shared" si="580"/>
        <v>0</v>
      </c>
      <c r="AF394" s="24">
        <f t="shared" si="580"/>
        <v>0</v>
      </c>
      <c r="AG394" s="25">
        <f t="shared" si="580"/>
        <v>0</v>
      </c>
      <c r="AH394" s="24">
        <f t="shared" si="580"/>
        <v>0</v>
      </c>
      <c r="AI394" s="25">
        <f t="shared" si="580"/>
        <v>0</v>
      </c>
      <c r="AJ394" s="24">
        <f t="shared" si="580"/>
        <v>0</v>
      </c>
      <c r="AK394" s="27">
        <f t="shared" si="581"/>
        <v>1.4986119085169056</v>
      </c>
      <c r="AL394" s="41">
        <v>0</v>
      </c>
      <c r="AM394" s="40">
        <v>0</v>
      </c>
      <c r="AN394" s="39">
        <v>0</v>
      </c>
      <c r="AO394" s="40">
        <v>0</v>
      </c>
      <c r="AP394" s="39">
        <v>0</v>
      </c>
      <c r="AQ394" s="40">
        <v>0</v>
      </c>
      <c r="AR394" s="39">
        <v>0</v>
      </c>
      <c r="AS394" s="40">
        <v>0</v>
      </c>
      <c r="AT394" s="39">
        <v>0</v>
      </c>
      <c r="AU394" s="38">
        <v>0</v>
      </c>
    </row>
    <row r="395" spans="1:107">
      <c r="A395" s="37" t="s">
        <v>1353</v>
      </c>
      <c r="B395" s="36" t="s">
        <v>1107</v>
      </c>
      <c r="C395" s="1" t="s">
        <v>1120</v>
      </c>
      <c r="D395" s="36" t="s">
        <v>1120</v>
      </c>
      <c r="E395" s="36" t="s">
        <v>1375</v>
      </c>
      <c r="F395" s="1" t="s">
        <v>1373</v>
      </c>
      <c r="G395" s="35" t="s">
        <v>1104</v>
      </c>
      <c r="H395" s="43">
        <v>1</v>
      </c>
      <c r="I395" s="42">
        <v>0</v>
      </c>
      <c r="J395" s="26">
        <v>0</v>
      </c>
      <c r="K395" s="25">
        <v>0</v>
      </c>
      <c r="L395" s="24"/>
      <c r="M395" s="25"/>
      <c r="N395" s="24"/>
      <c r="O395" s="25"/>
      <c r="P395" s="24"/>
      <c r="Q395" s="25"/>
      <c r="R395" s="32"/>
      <c r="S395" s="31" t="e">
        <v>#REF!</v>
      </c>
      <c r="T395" s="29" t="e">
        <f t="shared" ref="T395:AA404" si="582">S395</f>
        <v>#REF!</v>
      </c>
      <c r="U395" s="30" t="e">
        <f t="shared" si="582"/>
        <v>#REF!</v>
      </c>
      <c r="V395" s="29" t="e">
        <f t="shared" si="582"/>
        <v>#REF!</v>
      </c>
      <c r="W395" s="30" t="e">
        <f t="shared" si="582"/>
        <v>#REF!</v>
      </c>
      <c r="X395" s="29" t="e">
        <f t="shared" si="582"/>
        <v>#REF!</v>
      </c>
      <c r="Y395" s="30" t="e">
        <f t="shared" si="582"/>
        <v>#REF!</v>
      </c>
      <c r="Z395" s="29" t="e">
        <f t="shared" si="582"/>
        <v>#REF!</v>
      </c>
      <c r="AA395" s="28" t="e">
        <f t="shared" si="582"/>
        <v>#REF!</v>
      </c>
      <c r="AB395" s="26" t="e">
        <f t="shared" si="580"/>
        <v>#REF!</v>
      </c>
      <c r="AC395" s="25" t="e">
        <f t="shared" si="580"/>
        <v>#REF!</v>
      </c>
      <c r="AD395" s="24" t="e">
        <f t="shared" si="580"/>
        <v>#REF!</v>
      </c>
      <c r="AE395" s="25" t="e">
        <f t="shared" si="580"/>
        <v>#REF!</v>
      </c>
      <c r="AF395" s="24" t="e">
        <f t="shared" si="580"/>
        <v>#REF!</v>
      </c>
      <c r="AG395" s="25" t="e">
        <f t="shared" si="580"/>
        <v>#REF!</v>
      </c>
      <c r="AH395" s="24" t="e">
        <f t="shared" si="580"/>
        <v>#REF!</v>
      </c>
      <c r="AI395" s="25" t="e">
        <f t="shared" si="580"/>
        <v>#REF!</v>
      </c>
      <c r="AJ395" s="24" t="e">
        <f t="shared" si="580"/>
        <v>#REF!</v>
      </c>
      <c r="AK395" s="27" t="e">
        <f t="shared" si="581"/>
        <v>#REF!</v>
      </c>
      <c r="AL395" s="41">
        <v>0</v>
      </c>
      <c r="AM395" s="40">
        <v>0</v>
      </c>
      <c r="AN395" s="39">
        <v>0</v>
      </c>
      <c r="AO395" s="40">
        <v>0</v>
      </c>
      <c r="AP395" s="39">
        <v>0</v>
      </c>
      <c r="AQ395" s="40">
        <v>0</v>
      </c>
      <c r="AR395" s="39">
        <v>0</v>
      </c>
      <c r="AS395" s="40">
        <v>0</v>
      </c>
      <c r="AT395" s="39">
        <v>0</v>
      </c>
      <c r="AU395" s="38">
        <v>0</v>
      </c>
    </row>
    <row r="396" spans="1:107">
      <c r="A396" s="37" t="s">
        <v>1353</v>
      </c>
      <c r="B396" s="36" t="s">
        <v>1107</v>
      </c>
      <c r="C396" s="1" t="s">
        <v>1120</v>
      </c>
      <c r="D396" s="36" t="s">
        <v>1120</v>
      </c>
      <c r="E396" s="36" t="s">
        <v>1374</v>
      </c>
      <c r="F396" s="1" t="s">
        <v>1373</v>
      </c>
      <c r="G396" s="35" t="s">
        <v>1104</v>
      </c>
      <c r="H396" s="43">
        <v>1</v>
      </c>
      <c r="I396" s="42">
        <v>0</v>
      </c>
      <c r="J396" s="26">
        <v>8.6780501999999995</v>
      </c>
      <c r="K396" s="25">
        <v>0</v>
      </c>
      <c r="L396" s="24"/>
      <c r="M396" s="25"/>
      <c r="N396" s="24"/>
      <c r="O396" s="25"/>
      <c r="P396" s="24"/>
      <c r="Q396" s="25"/>
      <c r="R396" s="32"/>
      <c r="S396" s="31" t="e">
        <v>#REF!</v>
      </c>
      <c r="T396" s="29" t="e">
        <f t="shared" si="582"/>
        <v>#REF!</v>
      </c>
      <c r="U396" s="30" t="e">
        <f t="shared" si="582"/>
        <v>#REF!</v>
      </c>
      <c r="V396" s="29" t="e">
        <f t="shared" si="582"/>
        <v>#REF!</v>
      </c>
      <c r="W396" s="30" t="e">
        <f t="shared" si="582"/>
        <v>#REF!</v>
      </c>
      <c r="X396" s="29" t="e">
        <f t="shared" si="582"/>
        <v>#REF!</v>
      </c>
      <c r="Y396" s="30" t="e">
        <f t="shared" si="582"/>
        <v>#REF!</v>
      </c>
      <c r="Z396" s="29" t="e">
        <f t="shared" si="582"/>
        <v>#REF!</v>
      </c>
      <c r="AA396" s="28" t="e">
        <f t="shared" si="582"/>
        <v>#REF!</v>
      </c>
      <c r="AB396" s="26" t="e">
        <f t="shared" si="580"/>
        <v>#REF!</v>
      </c>
      <c r="AC396" s="25" t="e">
        <f t="shared" si="580"/>
        <v>#REF!</v>
      </c>
      <c r="AD396" s="24" t="e">
        <f t="shared" si="580"/>
        <v>#REF!</v>
      </c>
      <c r="AE396" s="25" t="e">
        <f t="shared" si="580"/>
        <v>#REF!</v>
      </c>
      <c r="AF396" s="24" t="e">
        <f t="shared" si="580"/>
        <v>#REF!</v>
      </c>
      <c r="AG396" s="25" t="e">
        <f t="shared" si="580"/>
        <v>#REF!</v>
      </c>
      <c r="AH396" s="24" t="e">
        <f t="shared" si="580"/>
        <v>#REF!</v>
      </c>
      <c r="AI396" s="25" t="e">
        <f t="shared" si="580"/>
        <v>#REF!</v>
      </c>
      <c r="AJ396" s="24" t="e">
        <f t="shared" si="580"/>
        <v>#REF!</v>
      </c>
      <c r="AK396" s="27" t="e">
        <f t="shared" si="581"/>
        <v>#REF!</v>
      </c>
      <c r="AL396" s="41">
        <v>0</v>
      </c>
      <c r="AM396" s="40">
        <v>0</v>
      </c>
      <c r="AN396" s="39">
        <v>0</v>
      </c>
      <c r="AO396" s="40">
        <v>0</v>
      </c>
      <c r="AP396" s="39">
        <v>0</v>
      </c>
      <c r="AQ396" s="40">
        <v>0</v>
      </c>
      <c r="AR396" s="39">
        <v>0</v>
      </c>
      <c r="AS396" s="40">
        <v>0</v>
      </c>
      <c r="AT396" s="39">
        <v>0</v>
      </c>
      <c r="AU396" s="38">
        <v>0</v>
      </c>
    </row>
    <row r="397" spans="1:107">
      <c r="A397" s="37" t="s">
        <v>1353</v>
      </c>
      <c r="B397" s="36" t="s">
        <v>1107</v>
      </c>
      <c r="C397" s="1" t="s">
        <v>1120</v>
      </c>
      <c r="D397" s="36" t="s">
        <v>1120</v>
      </c>
      <c r="E397" s="36" t="s">
        <v>1372</v>
      </c>
      <c r="F397" s="1" t="s">
        <v>1351</v>
      </c>
      <c r="G397" s="35" t="s">
        <v>1109</v>
      </c>
      <c r="H397" s="34">
        <f>1-I397</f>
        <v>0.89463782370728173</v>
      </c>
      <c r="I397" s="33">
        <v>0.10536217629271824</v>
      </c>
      <c r="J397" s="26" t="e">
        <v>#REF!</v>
      </c>
      <c r="K397" s="25" t="e">
        <v>#REF!</v>
      </c>
      <c r="L397" s="24"/>
      <c r="M397" s="25"/>
      <c r="N397" s="24"/>
      <c r="O397" s="25"/>
      <c r="P397" s="24"/>
      <c r="Q397" s="25"/>
      <c r="R397" s="32"/>
      <c r="S397" s="31" t="e">
        <v>#REF!</v>
      </c>
      <c r="T397" s="29" t="e">
        <f t="shared" si="582"/>
        <v>#REF!</v>
      </c>
      <c r="U397" s="30" t="e">
        <f t="shared" si="582"/>
        <v>#REF!</v>
      </c>
      <c r="V397" s="29" t="e">
        <f t="shared" si="582"/>
        <v>#REF!</v>
      </c>
      <c r="W397" s="30" t="e">
        <f t="shared" si="582"/>
        <v>#REF!</v>
      </c>
      <c r="X397" s="29" t="e">
        <f t="shared" si="582"/>
        <v>#REF!</v>
      </c>
      <c r="Y397" s="30" t="e">
        <f t="shared" si="582"/>
        <v>#REF!</v>
      </c>
      <c r="Z397" s="29" t="e">
        <f t="shared" si="582"/>
        <v>#REF!</v>
      </c>
      <c r="AA397" s="28" t="e">
        <f t="shared" si="582"/>
        <v>#REF!</v>
      </c>
      <c r="AB397" s="26" t="e">
        <f t="shared" ref="AB397:AJ398" si="583">J397*31.536*$H397*S397</f>
        <v>#REF!</v>
      </c>
      <c r="AC397" s="25" t="e">
        <f t="shared" si="583"/>
        <v>#REF!</v>
      </c>
      <c r="AD397" s="24" t="e">
        <f t="shared" si="583"/>
        <v>#REF!</v>
      </c>
      <c r="AE397" s="25" t="e">
        <f t="shared" si="583"/>
        <v>#REF!</v>
      </c>
      <c r="AF397" s="24" t="e">
        <f t="shared" si="583"/>
        <v>#REF!</v>
      </c>
      <c r="AG397" s="25" t="e">
        <f t="shared" si="583"/>
        <v>#REF!</v>
      </c>
      <c r="AH397" s="24" t="e">
        <f t="shared" si="583"/>
        <v>#REF!</v>
      </c>
      <c r="AI397" s="25" t="e">
        <f t="shared" si="583"/>
        <v>#REF!</v>
      </c>
      <c r="AJ397" s="24" t="e">
        <f t="shared" si="583"/>
        <v>#REF!</v>
      </c>
      <c r="AK397" s="27" t="e">
        <f t="shared" si="581"/>
        <v>#REF!</v>
      </c>
      <c r="AL397" s="26" t="e">
        <f t="shared" ref="AL397:AT398" si="584">J397*31.536*$I397*S397</f>
        <v>#REF!</v>
      </c>
      <c r="AM397" s="25" t="e">
        <f t="shared" si="584"/>
        <v>#REF!</v>
      </c>
      <c r="AN397" s="24" t="e">
        <f t="shared" si="584"/>
        <v>#REF!</v>
      </c>
      <c r="AO397" s="25" t="e">
        <f t="shared" si="584"/>
        <v>#REF!</v>
      </c>
      <c r="AP397" s="24" t="e">
        <f t="shared" si="584"/>
        <v>#REF!</v>
      </c>
      <c r="AQ397" s="25" t="e">
        <f t="shared" si="584"/>
        <v>#REF!</v>
      </c>
      <c r="AR397" s="24" t="e">
        <f t="shared" si="584"/>
        <v>#REF!</v>
      </c>
      <c r="AS397" s="25" t="e">
        <f t="shared" si="584"/>
        <v>#REF!</v>
      </c>
      <c r="AT397" s="24" t="e">
        <f t="shared" si="584"/>
        <v>#REF!</v>
      </c>
      <c r="AU397" s="23" t="e">
        <f>SUM(AL397:AT397)</f>
        <v>#REF!</v>
      </c>
    </row>
    <row r="398" spans="1:107">
      <c r="A398" s="37" t="s">
        <v>1353</v>
      </c>
      <c r="B398" s="36" t="s">
        <v>1107</v>
      </c>
      <c r="C398" s="1" t="s">
        <v>1120</v>
      </c>
      <c r="D398" s="36" t="s">
        <v>1120</v>
      </c>
      <c r="E398" s="36" t="s">
        <v>1371</v>
      </c>
      <c r="F398" s="1" t="s">
        <v>1351</v>
      </c>
      <c r="G398" s="35" t="s">
        <v>1109</v>
      </c>
      <c r="H398" s="34">
        <f>1-I398</f>
        <v>0.88332652522877819</v>
      </c>
      <c r="I398" s="33">
        <v>0.11667347477122177</v>
      </c>
      <c r="J398" s="26" t="e">
        <v>#REF!</v>
      </c>
      <c r="K398" s="25" t="e">
        <v>#REF!</v>
      </c>
      <c r="L398" s="24"/>
      <c r="M398" s="25"/>
      <c r="N398" s="24"/>
      <c r="O398" s="25"/>
      <c r="P398" s="24"/>
      <c r="Q398" s="25"/>
      <c r="R398" s="32"/>
      <c r="S398" s="31" t="e">
        <v>#REF!</v>
      </c>
      <c r="T398" s="29" t="e">
        <f t="shared" si="582"/>
        <v>#REF!</v>
      </c>
      <c r="U398" s="30" t="e">
        <f t="shared" si="582"/>
        <v>#REF!</v>
      </c>
      <c r="V398" s="29" t="e">
        <f t="shared" si="582"/>
        <v>#REF!</v>
      </c>
      <c r="W398" s="30" t="e">
        <f t="shared" si="582"/>
        <v>#REF!</v>
      </c>
      <c r="X398" s="29" t="e">
        <f t="shared" si="582"/>
        <v>#REF!</v>
      </c>
      <c r="Y398" s="30" t="e">
        <f t="shared" si="582"/>
        <v>#REF!</v>
      </c>
      <c r="Z398" s="29" t="e">
        <f t="shared" si="582"/>
        <v>#REF!</v>
      </c>
      <c r="AA398" s="28" t="e">
        <f t="shared" si="582"/>
        <v>#REF!</v>
      </c>
      <c r="AB398" s="26" t="e">
        <f t="shared" si="583"/>
        <v>#REF!</v>
      </c>
      <c r="AC398" s="25" t="e">
        <f t="shared" si="583"/>
        <v>#REF!</v>
      </c>
      <c r="AD398" s="24" t="e">
        <f t="shared" si="583"/>
        <v>#REF!</v>
      </c>
      <c r="AE398" s="25" t="e">
        <f t="shared" si="583"/>
        <v>#REF!</v>
      </c>
      <c r="AF398" s="24" t="e">
        <f t="shared" si="583"/>
        <v>#REF!</v>
      </c>
      <c r="AG398" s="25" t="e">
        <f t="shared" si="583"/>
        <v>#REF!</v>
      </c>
      <c r="AH398" s="24" t="e">
        <f t="shared" si="583"/>
        <v>#REF!</v>
      </c>
      <c r="AI398" s="25" t="e">
        <f t="shared" si="583"/>
        <v>#REF!</v>
      </c>
      <c r="AJ398" s="24" t="e">
        <f t="shared" si="583"/>
        <v>#REF!</v>
      </c>
      <c r="AK398" s="27" t="e">
        <f t="shared" si="581"/>
        <v>#REF!</v>
      </c>
      <c r="AL398" s="26" t="e">
        <f t="shared" si="584"/>
        <v>#REF!</v>
      </c>
      <c r="AM398" s="25" t="e">
        <f t="shared" si="584"/>
        <v>#REF!</v>
      </c>
      <c r="AN398" s="24" t="e">
        <f t="shared" si="584"/>
        <v>#REF!</v>
      </c>
      <c r="AO398" s="25" t="e">
        <f t="shared" si="584"/>
        <v>#REF!</v>
      </c>
      <c r="AP398" s="24" t="e">
        <f t="shared" si="584"/>
        <v>#REF!</v>
      </c>
      <c r="AQ398" s="25" t="e">
        <f t="shared" si="584"/>
        <v>#REF!</v>
      </c>
      <c r="AR398" s="24" t="e">
        <f t="shared" si="584"/>
        <v>#REF!</v>
      </c>
      <c r="AS398" s="25" t="e">
        <f t="shared" si="584"/>
        <v>#REF!</v>
      </c>
      <c r="AT398" s="24" t="e">
        <f t="shared" si="584"/>
        <v>#REF!</v>
      </c>
      <c r="AU398" s="23" t="e">
        <f>SUM(AL398:AT398)</f>
        <v>#REF!</v>
      </c>
    </row>
    <row r="399" spans="1:107">
      <c r="A399" s="37" t="s">
        <v>1353</v>
      </c>
      <c r="B399" s="36" t="s">
        <v>1107</v>
      </c>
      <c r="C399" s="1" t="s">
        <v>1126</v>
      </c>
      <c r="D399" s="36" t="s">
        <v>1126</v>
      </c>
      <c r="E399" s="36" t="s">
        <v>1370</v>
      </c>
      <c r="F399" s="1" t="s">
        <v>1369</v>
      </c>
      <c r="G399" s="35" t="s">
        <v>1104</v>
      </c>
      <c r="H399" s="43">
        <v>1</v>
      </c>
      <c r="I399" s="42">
        <v>0</v>
      </c>
      <c r="J399" s="26">
        <v>0.21447217781874567</v>
      </c>
      <c r="K399" s="25">
        <v>0.12453223228185233</v>
      </c>
      <c r="L399" s="24"/>
      <c r="M399" s="25"/>
      <c r="N399" s="24"/>
      <c r="O399" s="25"/>
      <c r="P399" s="24"/>
      <c r="Q399" s="25"/>
      <c r="R399" s="32"/>
      <c r="S399" s="31" t="e">
        <v>#REF!</v>
      </c>
      <c r="T399" s="29" t="e">
        <f t="shared" si="582"/>
        <v>#REF!</v>
      </c>
      <c r="U399" s="30" t="e">
        <f t="shared" si="582"/>
        <v>#REF!</v>
      </c>
      <c r="V399" s="29" t="e">
        <f t="shared" si="582"/>
        <v>#REF!</v>
      </c>
      <c r="W399" s="30" t="e">
        <f t="shared" si="582"/>
        <v>#REF!</v>
      </c>
      <c r="X399" s="29" t="e">
        <f t="shared" si="582"/>
        <v>#REF!</v>
      </c>
      <c r="Y399" s="30" t="e">
        <f t="shared" si="582"/>
        <v>#REF!</v>
      </c>
      <c r="Z399" s="29" t="e">
        <f t="shared" si="582"/>
        <v>#REF!</v>
      </c>
      <c r="AA399" s="28" t="e">
        <f t="shared" si="582"/>
        <v>#REF!</v>
      </c>
      <c r="AB399" s="26" t="e">
        <f t="shared" ref="AB399:AJ400" si="585">J399*$H399*S399</f>
        <v>#REF!</v>
      </c>
      <c r="AC399" s="25" t="e">
        <f t="shared" si="585"/>
        <v>#REF!</v>
      </c>
      <c r="AD399" s="24" t="e">
        <f t="shared" si="585"/>
        <v>#REF!</v>
      </c>
      <c r="AE399" s="25" t="e">
        <f t="shared" si="585"/>
        <v>#REF!</v>
      </c>
      <c r="AF399" s="24" t="e">
        <f t="shared" si="585"/>
        <v>#REF!</v>
      </c>
      <c r="AG399" s="25" t="e">
        <f t="shared" si="585"/>
        <v>#REF!</v>
      </c>
      <c r="AH399" s="24" t="e">
        <f t="shared" si="585"/>
        <v>#REF!</v>
      </c>
      <c r="AI399" s="25" t="e">
        <f t="shared" si="585"/>
        <v>#REF!</v>
      </c>
      <c r="AJ399" s="24" t="e">
        <f t="shared" si="585"/>
        <v>#REF!</v>
      </c>
      <c r="AK399" s="27" t="e">
        <f t="shared" si="581"/>
        <v>#REF!</v>
      </c>
      <c r="AL399" s="41">
        <v>0</v>
      </c>
      <c r="AM399" s="40">
        <v>0</v>
      </c>
      <c r="AN399" s="39">
        <v>0</v>
      </c>
      <c r="AO399" s="40">
        <v>0</v>
      </c>
      <c r="AP399" s="39">
        <v>0</v>
      </c>
      <c r="AQ399" s="40">
        <v>0</v>
      </c>
      <c r="AR399" s="39">
        <v>0</v>
      </c>
      <c r="AS399" s="40">
        <v>0</v>
      </c>
      <c r="AT399" s="39">
        <v>0</v>
      </c>
      <c r="AU399" s="38">
        <v>0</v>
      </c>
    </row>
    <row r="400" spans="1:107">
      <c r="A400" s="37" t="s">
        <v>1353</v>
      </c>
      <c r="B400" s="36" t="s">
        <v>1107</v>
      </c>
      <c r="C400" s="1" t="s">
        <v>665</v>
      </c>
      <c r="D400" s="36" t="s">
        <v>665</v>
      </c>
      <c r="E400" s="36" t="s">
        <v>1368</v>
      </c>
      <c r="F400" s="1" t="s">
        <v>1367</v>
      </c>
      <c r="G400" s="35" t="s">
        <v>1104</v>
      </c>
      <c r="H400" s="43">
        <v>1</v>
      </c>
      <c r="I400" s="42">
        <v>0</v>
      </c>
      <c r="J400" s="26">
        <v>9.3342179999999999</v>
      </c>
      <c r="K400" s="25">
        <v>18.746991299999998</v>
      </c>
      <c r="L400" s="24"/>
      <c r="M400" s="25"/>
      <c r="N400" s="24"/>
      <c r="O400" s="25"/>
      <c r="P400" s="24"/>
      <c r="Q400" s="25"/>
      <c r="R400" s="32"/>
      <c r="S400" s="31" t="e">
        <v>#REF!</v>
      </c>
      <c r="T400" s="29" t="e">
        <f t="shared" si="582"/>
        <v>#REF!</v>
      </c>
      <c r="U400" s="30" t="e">
        <f t="shared" si="582"/>
        <v>#REF!</v>
      </c>
      <c r="V400" s="29" t="e">
        <f t="shared" si="582"/>
        <v>#REF!</v>
      </c>
      <c r="W400" s="30" t="e">
        <f t="shared" si="582"/>
        <v>#REF!</v>
      </c>
      <c r="X400" s="29" t="e">
        <f t="shared" si="582"/>
        <v>#REF!</v>
      </c>
      <c r="Y400" s="30" t="e">
        <f t="shared" si="582"/>
        <v>#REF!</v>
      </c>
      <c r="Z400" s="29" t="e">
        <f t="shared" si="582"/>
        <v>#REF!</v>
      </c>
      <c r="AA400" s="28" t="e">
        <f t="shared" si="582"/>
        <v>#REF!</v>
      </c>
      <c r="AB400" s="26" t="e">
        <f t="shared" si="585"/>
        <v>#REF!</v>
      </c>
      <c r="AC400" s="25" t="e">
        <f t="shared" si="585"/>
        <v>#REF!</v>
      </c>
      <c r="AD400" s="24" t="e">
        <f t="shared" si="585"/>
        <v>#REF!</v>
      </c>
      <c r="AE400" s="25" t="e">
        <f t="shared" si="585"/>
        <v>#REF!</v>
      </c>
      <c r="AF400" s="24" t="e">
        <f t="shared" si="585"/>
        <v>#REF!</v>
      </c>
      <c r="AG400" s="25" t="e">
        <f t="shared" si="585"/>
        <v>#REF!</v>
      </c>
      <c r="AH400" s="24" t="e">
        <f t="shared" si="585"/>
        <v>#REF!</v>
      </c>
      <c r="AI400" s="25" t="e">
        <f t="shared" si="585"/>
        <v>#REF!</v>
      </c>
      <c r="AJ400" s="24" t="e">
        <f t="shared" si="585"/>
        <v>#REF!</v>
      </c>
      <c r="AK400" s="27" t="e">
        <f t="shared" si="581"/>
        <v>#REF!</v>
      </c>
      <c r="AL400" s="41">
        <v>0</v>
      </c>
      <c r="AM400" s="40">
        <v>0</v>
      </c>
      <c r="AN400" s="39">
        <v>0</v>
      </c>
      <c r="AO400" s="40">
        <v>0</v>
      </c>
      <c r="AP400" s="39">
        <v>0</v>
      </c>
      <c r="AQ400" s="40">
        <v>0</v>
      </c>
      <c r="AR400" s="39">
        <v>0</v>
      </c>
      <c r="AS400" s="40">
        <v>0</v>
      </c>
      <c r="AT400" s="39">
        <v>0</v>
      </c>
      <c r="AU400" s="38">
        <v>0</v>
      </c>
    </row>
    <row r="401" spans="1:47">
      <c r="A401" s="37" t="s">
        <v>1353</v>
      </c>
      <c r="B401" s="36" t="s">
        <v>1107</v>
      </c>
      <c r="C401" s="1" t="s">
        <v>665</v>
      </c>
      <c r="D401" s="36" t="s">
        <v>665</v>
      </c>
      <c r="E401" s="36" t="s">
        <v>1366</v>
      </c>
      <c r="F401" s="1" t="s">
        <v>1351</v>
      </c>
      <c r="G401" s="35" t="s">
        <v>1109</v>
      </c>
      <c r="H401" s="34">
        <f>1-I401</f>
        <v>0.88937522362842969</v>
      </c>
      <c r="I401" s="33">
        <v>0.11062477637157035</v>
      </c>
      <c r="J401" s="26" t="e">
        <v>#REF!</v>
      </c>
      <c r="K401" s="25" t="e">
        <v>#REF!</v>
      </c>
      <c r="L401" s="24"/>
      <c r="M401" s="25"/>
      <c r="N401" s="24"/>
      <c r="O401" s="25"/>
      <c r="P401" s="24"/>
      <c r="Q401" s="25"/>
      <c r="R401" s="32"/>
      <c r="S401" s="31" t="e">
        <v>#REF!</v>
      </c>
      <c r="T401" s="29" t="e">
        <f t="shared" si="582"/>
        <v>#REF!</v>
      </c>
      <c r="U401" s="30" t="e">
        <f t="shared" si="582"/>
        <v>#REF!</v>
      </c>
      <c r="V401" s="29" t="e">
        <f t="shared" si="582"/>
        <v>#REF!</v>
      </c>
      <c r="W401" s="30" t="e">
        <f t="shared" si="582"/>
        <v>#REF!</v>
      </c>
      <c r="X401" s="29" t="e">
        <f t="shared" si="582"/>
        <v>#REF!</v>
      </c>
      <c r="Y401" s="30" t="e">
        <f t="shared" si="582"/>
        <v>#REF!</v>
      </c>
      <c r="Z401" s="29" t="e">
        <f t="shared" si="582"/>
        <v>#REF!</v>
      </c>
      <c r="AA401" s="28" t="e">
        <f t="shared" si="582"/>
        <v>#REF!</v>
      </c>
      <c r="AB401" s="26" t="e">
        <f t="shared" ref="AB401:AJ403" si="586">J401*31.536*$H401*S401</f>
        <v>#REF!</v>
      </c>
      <c r="AC401" s="25" t="e">
        <f t="shared" si="586"/>
        <v>#REF!</v>
      </c>
      <c r="AD401" s="24" t="e">
        <f t="shared" si="586"/>
        <v>#REF!</v>
      </c>
      <c r="AE401" s="25" t="e">
        <f t="shared" si="586"/>
        <v>#REF!</v>
      </c>
      <c r="AF401" s="24" t="e">
        <f t="shared" si="586"/>
        <v>#REF!</v>
      </c>
      <c r="AG401" s="25" t="e">
        <f t="shared" si="586"/>
        <v>#REF!</v>
      </c>
      <c r="AH401" s="24" t="e">
        <f t="shared" si="586"/>
        <v>#REF!</v>
      </c>
      <c r="AI401" s="25" t="e">
        <f t="shared" si="586"/>
        <v>#REF!</v>
      </c>
      <c r="AJ401" s="24" t="e">
        <f t="shared" si="586"/>
        <v>#REF!</v>
      </c>
      <c r="AK401" s="27" t="e">
        <f t="shared" si="581"/>
        <v>#REF!</v>
      </c>
      <c r="AL401" s="26" t="e">
        <f t="shared" ref="AL401:AT403" si="587">J401*31.536*$I401*S401</f>
        <v>#REF!</v>
      </c>
      <c r="AM401" s="25" t="e">
        <f t="shared" si="587"/>
        <v>#REF!</v>
      </c>
      <c r="AN401" s="24" t="e">
        <f t="shared" si="587"/>
        <v>#REF!</v>
      </c>
      <c r="AO401" s="25" t="e">
        <f t="shared" si="587"/>
        <v>#REF!</v>
      </c>
      <c r="AP401" s="24" t="e">
        <f t="shared" si="587"/>
        <v>#REF!</v>
      </c>
      <c r="AQ401" s="25" t="e">
        <f t="shared" si="587"/>
        <v>#REF!</v>
      </c>
      <c r="AR401" s="24" t="e">
        <f t="shared" si="587"/>
        <v>#REF!</v>
      </c>
      <c r="AS401" s="25" t="e">
        <f t="shared" si="587"/>
        <v>#REF!</v>
      </c>
      <c r="AT401" s="24" t="e">
        <f t="shared" si="587"/>
        <v>#REF!</v>
      </c>
      <c r="AU401" s="23" t="e">
        <f>SUM(AL401:AT401)</f>
        <v>#REF!</v>
      </c>
    </row>
    <row r="402" spans="1:47">
      <c r="A402" s="37" t="s">
        <v>1353</v>
      </c>
      <c r="B402" s="36" t="s">
        <v>1107</v>
      </c>
      <c r="C402" s="1" t="s">
        <v>665</v>
      </c>
      <c r="D402" s="36" t="s">
        <v>665</v>
      </c>
      <c r="E402" s="36" t="s">
        <v>1365</v>
      </c>
      <c r="F402" s="1" t="s">
        <v>1351</v>
      </c>
      <c r="G402" s="35" t="s">
        <v>1109</v>
      </c>
      <c r="H402" s="34">
        <f>1-I402</f>
        <v>0.49246102816989945</v>
      </c>
      <c r="I402" s="33">
        <v>0.50753897183010055</v>
      </c>
      <c r="J402" s="26">
        <v>0</v>
      </c>
      <c r="K402" s="25">
        <v>0</v>
      </c>
      <c r="L402" s="24"/>
      <c r="M402" s="25"/>
      <c r="N402" s="24"/>
      <c r="O402" s="25"/>
      <c r="P402" s="24"/>
      <c r="Q402" s="25"/>
      <c r="R402" s="32"/>
      <c r="S402" s="31" t="e">
        <v>#REF!</v>
      </c>
      <c r="T402" s="29" t="e">
        <f t="shared" si="582"/>
        <v>#REF!</v>
      </c>
      <c r="U402" s="30" t="e">
        <f t="shared" si="582"/>
        <v>#REF!</v>
      </c>
      <c r="V402" s="29" t="e">
        <f t="shared" si="582"/>
        <v>#REF!</v>
      </c>
      <c r="W402" s="30" t="e">
        <f t="shared" si="582"/>
        <v>#REF!</v>
      </c>
      <c r="X402" s="29" t="e">
        <f t="shared" si="582"/>
        <v>#REF!</v>
      </c>
      <c r="Y402" s="30" t="e">
        <f t="shared" si="582"/>
        <v>#REF!</v>
      </c>
      <c r="Z402" s="29" t="e">
        <f t="shared" si="582"/>
        <v>#REF!</v>
      </c>
      <c r="AA402" s="28" t="e">
        <f t="shared" si="582"/>
        <v>#REF!</v>
      </c>
      <c r="AB402" s="26" t="e">
        <f t="shared" si="586"/>
        <v>#REF!</v>
      </c>
      <c r="AC402" s="25" t="e">
        <f t="shared" si="586"/>
        <v>#REF!</v>
      </c>
      <c r="AD402" s="24" t="e">
        <f t="shared" si="586"/>
        <v>#REF!</v>
      </c>
      <c r="AE402" s="25" t="e">
        <f t="shared" si="586"/>
        <v>#REF!</v>
      </c>
      <c r="AF402" s="24" t="e">
        <f t="shared" si="586"/>
        <v>#REF!</v>
      </c>
      <c r="AG402" s="25" t="e">
        <f t="shared" si="586"/>
        <v>#REF!</v>
      </c>
      <c r="AH402" s="24" t="e">
        <f t="shared" si="586"/>
        <v>#REF!</v>
      </c>
      <c r="AI402" s="25" t="e">
        <f t="shared" si="586"/>
        <v>#REF!</v>
      </c>
      <c r="AJ402" s="24" t="e">
        <f t="shared" si="586"/>
        <v>#REF!</v>
      </c>
      <c r="AK402" s="27" t="e">
        <f t="shared" si="581"/>
        <v>#REF!</v>
      </c>
      <c r="AL402" s="26" t="e">
        <f t="shared" si="587"/>
        <v>#REF!</v>
      </c>
      <c r="AM402" s="25" t="e">
        <f t="shared" si="587"/>
        <v>#REF!</v>
      </c>
      <c r="AN402" s="24" t="e">
        <f t="shared" si="587"/>
        <v>#REF!</v>
      </c>
      <c r="AO402" s="25" t="e">
        <f t="shared" si="587"/>
        <v>#REF!</v>
      </c>
      <c r="AP402" s="24" t="e">
        <f t="shared" si="587"/>
        <v>#REF!</v>
      </c>
      <c r="AQ402" s="25" t="e">
        <f t="shared" si="587"/>
        <v>#REF!</v>
      </c>
      <c r="AR402" s="24" t="e">
        <f t="shared" si="587"/>
        <v>#REF!</v>
      </c>
      <c r="AS402" s="25" t="e">
        <f t="shared" si="587"/>
        <v>#REF!</v>
      </c>
      <c r="AT402" s="24" t="e">
        <f t="shared" si="587"/>
        <v>#REF!</v>
      </c>
      <c r="AU402" s="23" t="e">
        <f>SUM(AL402:AT402)</f>
        <v>#REF!</v>
      </c>
    </row>
    <row r="403" spans="1:47">
      <c r="A403" s="37" t="s">
        <v>1353</v>
      </c>
      <c r="B403" s="36" t="s">
        <v>1107</v>
      </c>
      <c r="C403" s="1" t="s">
        <v>665</v>
      </c>
      <c r="D403" s="36" t="s">
        <v>665</v>
      </c>
      <c r="E403" s="36" t="s">
        <v>1364</v>
      </c>
      <c r="F403" s="1" t="s">
        <v>1351</v>
      </c>
      <c r="G403" s="35" t="s">
        <v>1109</v>
      </c>
      <c r="H403" s="34">
        <f>1-I403</f>
        <v>0.61165048543689315</v>
      </c>
      <c r="I403" s="33">
        <v>0.38834951456310679</v>
      </c>
      <c r="J403" s="26">
        <v>0</v>
      </c>
      <c r="K403" s="25">
        <v>0</v>
      </c>
      <c r="L403" s="24"/>
      <c r="M403" s="25"/>
      <c r="N403" s="24"/>
      <c r="O403" s="25"/>
      <c r="P403" s="24"/>
      <c r="Q403" s="25"/>
      <c r="R403" s="32"/>
      <c r="S403" s="31" t="e">
        <v>#REF!</v>
      </c>
      <c r="T403" s="29" t="e">
        <f t="shared" si="582"/>
        <v>#REF!</v>
      </c>
      <c r="U403" s="30" t="e">
        <f t="shared" si="582"/>
        <v>#REF!</v>
      </c>
      <c r="V403" s="29" t="e">
        <f t="shared" si="582"/>
        <v>#REF!</v>
      </c>
      <c r="W403" s="30" t="e">
        <f t="shared" si="582"/>
        <v>#REF!</v>
      </c>
      <c r="X403" s="29" t="e">
        <f t="shared" si="582"/>
        <v>#REF!</v>
      </c>
      <c r="Y403" s="30" t="e">
        <f t="shared" si="582"/>
        <v>#REF!</v>
      </c>
      <c r="Z403" s="29" t="e">
        <f t="shared" si="582"/>
        <v>#REF!</v>
      </c>
      <c r="AA403" s="28" t="e">
        <f t="shared" si="582"/>
        <v>#REF!</v>
      </c>
      <c r="AB403" s="26" t="e">
        <f t="shared" si="586"/>
        <v>#REF!</v>
      </c>
      <c r="AC403" s="25" t="e">
        <f t="shared" si="586"/>
        <v>#REF!</v>
      </c>
      <c r="AD403" s="24" t="e">
        <f t="shared" si="586"/>
        <v>#REF!</v>
      </c>
      <c r="AE403" s="25" t="e">
        <f t="shared" si="586"/>
        <v>#REF!</v>
      </c>
      <c r="AF403" s="24" t="e">
        <f t="shared" si="586"/>
        <v>#REF!</v>
      </c>
      <c r="AG403" s="25" t="e">
        <f t="shared" si="586"/>
        <v>#REF!</v>
      </c>
      <c r="AH403" s="24" t="e">
        <f t="shared" si="586"/>
        <v>#REF!</v>
      </c>
      <c r="AI403" s="25" t="e">
        <f t="shared" si="586"/>
        <v>#REF!</v>
      </c>
      <c r="AJ403" s="24" t="e">
        <f t="shared" si="586"/>
        <v>#REF!</v>
      </c>
      <c r="AK403" s="27" t="e">
        <f t="shared" si="581"/>
        <v>#REF!</v>
      </c>
      <c r="AL403" s="26" t="e">
        <f t="shared" si="587"/>
        <v>#REF!</v>
      </c>
      <c r="AM403" s="25" t="e">
        <f t="shared" si="587"/>
        <v>#REF!</v>
      </c>
      <c r="AN403" s="24" t="e">
        <f t="shared" si="587"/>
        <v>#REF!</v>
      </c>
      <c r="AO403" s="25" t="e">
        <f t="shared" si="587"/>
        <v>#REF!</v>
      </c>
      <c r="AP403" s="24" t="e">
        <f t="shared" si="587"/>
        <v>#REF!</v>
      </c>
      <c r="AQ403" s="25" t="e">
        <f t="shared" si="587"/>
        <v>#REF!</v>
      </c>
      <c r="AR403" s="24" t="e">
        <f t="shared" si="587"/>
        <v>#REF!</v>
      </c>
      <c r="AS403" s="25" t="e">
        <f t="shared" si="587"/>
        <v>#REF!</v>
      </c>
      <c r="AT403" s="24" t="e">
        <f t="shared" si="587"/>
        <v>#REF!</v>
      </c>
      <c r="AU403" s="23" t="e">
        <f>SUM(AL403:AT403)</f>
        <v>#REF!</v>
      </c>
    </row>
    <row r="404" spans="1:47">
      <c r="A404" s="37" t="s">
        <v>1353</v>
      </c>
      <c r="B404" s="36" t="s">
        <v>1107</v>
      </c>
      <c r="C404" s="1" t="s">
        <v>1111</v>
      </c>
      <c r="D404" s="36" t="s">
        <v>1111</v>
      </c>
      <c r="E404" s="36" t="s">
        <v>1363</v>
      </c>
      <c r="F404" s="1" t="s">
        <v>1362</v>
      </c>
      <c r="G404" s="35" t="s">
        <v>1104</v>
      </c>
      <c r="H404" s="43">
        <v>1</v>
      </c>
      <c r="I404" s="42">
        <v>0</v>
      </c>
      <c r="J404" s="26">
        <v>0.64330831809872013</v>
      </c>
      <c r="K404" s="25">
        <v>0.37353386212183748</v>
      </c>
      <c r="L404" s="24"/>
      <c r="M404" s="25"/>
      <c r="N404" s="24"/>
      <c r="O404" s="25"/>
      <c r="P404" s="24"/>
      <c r="Q404" s="25"/>
      <c r="R404" s="32"/>
      <c r="S404" s="31" t="e">
        <v>#REF!</v>
      </c>
      <c r="T404" s="29" t="e">
        <f t="shared" si="582"/>
        <v>#REF!</v>
      </c>
      <c r="U404" s="30" t="e">
        <f t="shared" si="582"/>
        <v>#REF!</v>
      </c>
      <c r="V404" s="29" t="e">
        <f t="shared" si="582"/>
        <v>#REF!</v>
      </c>
      <c r="W404" s="30" t="e">
        <f t="shared" si="582"/>
        <v>#REF!</v>
      </c>
      <c r="X404" s="29" t="e">
        <f t="shared" si="582"/>
        <v>#REF!</v>
      </c>
      <c r="Y404" s="30" t="e">
        <f t="shared" si="582"/>
        <v>#REF!</v>
      </c>
      <c r="Z404" s="29" t="e">
        <f t="shared" si="582"/>
        <v>#REF!</v>
      </c>
      <c r="AA404" s="28" t="e">
        <f t="shared" si="582"/>
        <v>#REF!</v>
      </c>
      <c r="AB404" s="26" t="e">
        <f t="shared" ref="AB404:AJ404" si="588">J404*$H404*S404</f>
        <v>#REF!</v>
      </c>
      <c r="AC404" s="25" t="e">
        <f t="shared" si="588"/>
        <v>#REF!</v>
      </c>
      <c r="AD404" s="24" t="e">
        <f t="shared" si="588"/>
        <v>#REF!</v>
      </c>
      <c r="AE404" s="25" t="e">
        <f t="shared" si="588"/>
        <v>#REF!</v>
      </c>
      <c r="AF404" s="24" t="e">
        <f t="shared" si="588"/>
        <v>#REF!</v>
      </c>
      <c r="AG404" s="25" t="e">
        <f t="shared" si="588"/>
        <v>#REF!</v>
      </c>
      <c r="AH404" s="24" t="e">
        <f t="shared" si="588"/>
        <v>#REF!</v>
      </c>
      <c r="AI404" s="25" t="e">
        <f t="shared" si="588"/>
        <v>#REF!</v>
      </c>
      <c r="AJ404" s="24" t="e">
        <f t="shared" si="588"/>
        <v>#REF!</v>
      </c>
      <c r="AK404" s="27" t="e">
        <f t="shared" si="581"/>
        <v>#REF!</v>
      </c>
      <c r="AL404" s="41">
        <v>0</v>
      </c>
      <c r="AM404" s="40">
        <v>0</v>
      </c>
      <c r="AN404" s="39">
        <v>0</v>
      </c>
      <c r="AO404" s="40">
        <v>0</v>
      </c>
      <c r="AP404" s="39">
        <v>0</v>
      </c>
      <c r="AQ404" s="40">
        <v>0</v>
      </c>
      <c r="AR404" s="39">
        <v>0</v>
      </c>
      <c r="AS404" s="40">
        <v>0</v>
      </c>
      <c r="AT404" s="39">
        <v>0</v>
      </c>
      <c r="AU404" s="38">
        <v>0</v>
      </c>
    </row>
    <row r="405" spans="1:47">
      <c r="A405" s="37" t="s">
        <v>1353</v>
      </c>
      <c r="B405" s="36" t="s">
        <v>1107</v>
      </c>
      <c r="C405" s="1" t="s">
        <v>1111</v>
      </c>
      <c r="D405" s="36" t="s">
        <v>1111</v>
      </c>
      <c r="E405" s="36" t="s">
        <v>1361</v>
      </c>
      <c r="F405" s="1" t="s">
        <v>1351</v>
      </c>
      <c r="G405" s="35" t="s">
        <v>1109</v>
      </c>
      <c r="H405" s="34">
        <f>1-I405</f>
        <v>0.89142537820271084</v>
      </c>
      <c r="I405" s="33">
        <v>0.10857462179728912</v>
      </c>
      <c r="J405" s="26" t="e">
        <v>#REF!</v>
      </c>
      <c r="K405" s="25" t="e">
        <v>#REF!</v>
      </c>
      <c r="L405" s="24"/>
      <c r="M405" s="25"/>
      <c r="N405" s="24"/>
      <c r="O405" s="25"/>
      <c r="P405" s="24"/>
      <c r="Q405" s="25"/>
      <c r="R405" s="32"/>
      <c r="S405" s="31" t="e">
        <v>#REF!</v>
      </c>
      <c r="T405" s="29" t="e">
        <f t="shared" ref="T405:AA412" si="589">S405</f>
        <v>#REF!</v>
      </c>
      <c r="U405" s="30" t="e">
        <f t="shared" si="589"/>
        <v>#REF!</v>
      </c>
      <c r="V405" s="29" t="e">
        <f t="shared" si="589"/>
        <v>#REF!</v>
      </c>
      <c r="W405" s="30" t="e">
        <f t="shared" si="589"/>
        <v>#REF!</v>
      </c>
      <c r="X405" s="29" t="e">
        <f t="shared" si="589"/>
        <v>#REF!</v>
      </c>
      <c r="Y405" s="30" t="e">
        <f t="shared" si="589"/>
        <v>#REF!</v>
      </c>
      <c r="Z405" s="29" t="e">
        <f t="shared" si="589"/>
        <v>#REF!</v>
      </c>
      <c r="AA405" s="28" t="e">
        <f t="shared" si="589"/>
        <v>#REF!</v>
      </c>
      <c r="AB405" s="26" t="e">
        <f t="shared" ref="AB405:AJ405" si="590">J405*31.536*$H405*S405</f>
        <v>#REF!</v>
      </c>
      <c r="AC405" s="25" t="e">
        <f t="shared" si="590"/>
        <v>#REF!</v>
      </c>
      <c r="AD405" s="24" t="e">
        <f t="shared" si="590"/>
        <v>#REF!</v>
      </c>
      <c r="AE405" s="25" t="e">
        <f t="shared" si="590"/>
        <v>#REF!</v>
      </c>
      <c r="AF405" s="24" t="e">
        <f t="shared" si="590"/>
        <v>#REF!</v>
      </c>
      <c r="AG405" s="25" t="e">
        <f t="shared" si="590"/>
        <v>#REF!</v>
      </c>
      <c r="AH405" s="24" t="e">
        <f t="shared" si="590"/>
        <v>#REF!</v>
      </c>
      <c r="AI405" s="25" t="e">
        <f t="shared" si="590"/>
        <v>#REF!</v>
      </c>
      <c r="AJ405" s="24" t="e">
        <f t="shared" si="590"/>
        <v>#REF!</v>
      </c>
      <c r="AK405" s="27" t="e">
        <f t="shared" si="581"/>
        <v>#REF!</v>
      </c>
      <c r="AL405" s="26" t="e">
        <f t="shared" ref="AL405:AT405" si="591">J405*31.536*$I405*S405</f>
        <v>#REF!</v>
      </c>
      <c r="AM405" s="25" t="e">
        <f t="shared" si="591"/>
        <v>#REF!</v>
      </c>
      <c r="AN405" s="24" t="e">
        <f t="shared" si="591"/>
        <v>#REF!</v>
      </c>
      <c r="AO405" s="25" t="e">
        <f t="shared" si="591"/>
        <v>#REF!</v>
      </c>
      <c r="AP405" s="24" t="e">
        <f t="shared" si="591"/>
        <v>#REF!</v>
      </c>
      <c r="AQ405" s="25" t="e">
        <f t="shared" si="591"/>
        <v>#REF!</v>
      </c>
      <c r="AR405" s="24" t="e">
        <f t="shared" si="591"/>
        <v>#REF!</v>
      </c>
      <c r="AS405" s="25" t="e">
        <f t="shared" si="591"/>
        <v>#REF!</v>
      </c>
      <c r="AT405" s="24" t="e">
        <f t="shared" si="591"/>
        <v>#REF!</v>
      </c>
      <c r="AU405" s="23" t="e">
        <f>SUM(AL405:AT405)</f>
        <v>#REF!</v>
      </c>
    </row>
    <row r="406" spans="1:47">
      <c r="A406" s="37" t="s">
        <v>1353</v>
      </c>
      <c r="B406" s="36" t="s">
        <v>1107</v>
      </c>
      <c r="C406" s="1" t="s">
        <v>1106</v>
      </c>
      <c r="D406" s="36" t="s">
        <v>1106</v>
      </c>
      <c r="E406" s="36" t="s">
        <v>1360</v>
      </c>
      <c r="F406" s="1" t="s">
        <v>1357</v>
      </c>
      <c r="G406" s="35" t="s">
        <v>1104</v>
      </c>
      <c r="H406" s="43">
        <v>1</v>
      </c>
      <c r="I406" s="42">
        <v>0</v>
      </c>
      <c r="J406" s="26">
        <v>0</v>
      </c>
      <c r="K406" s="25">
        <v>0</v>
      </c>
      <c r="L406" s="24"/>
      <c r="M406" s="25"/>
      <c r="N406" s="24"/>
      <c r="O406" s="25"/>
      <c r="P406" s="24"/>
      <c r="Q406" s="25"/>
      <c r="R406" s="32"/>
      <c r="S406" s="31" t="e">
        <v>#REF!</v>
      </c>
      <c r="T406" s="29" t="e">
        <f t="shared" si="589"/>
        <v>#REF!</v>
      </c>
      <c r="U406" s="30" t="e">
        <f t="shared" si="589"/>
        <v>#REF!</v>
      </c>
      <c r="V406" s="29" t="e">
        <f t="shared" si="589"/>
        <v>#REF!</v>
      </c>
      <c r="W406" s="30" t="e">
        <f t="shared" si="589"/>
        <v>#REF!</v>
      </c>
      <c r="X406" s="29" t="e">
        <f t="shared" si="589"/>
        <v>#REF!</v>
      </c>
      <c r="Y406" s="30" t="e">
        <f t="shared" si="589"/>
        <v>#REF!</v>
      </c>
      <c r="Z406" s="29" t="e">
        <f t="shared" si="589"/>
        <v>#REF!</v>
      </c>
      <c r="AA406" s="28" t="e">
        <f t="shared" si="589"/>
        <v>#REF!</v>
      </c>
      <c r="AB406" s="26" t="e">
        <f t="shared" ref="AB406:AJ408" si="592">J406*$H406*S406</f>
        <v>#REF!</v>
      </c>
      <c r="AC406" s="25" t="e">
        <f t="shared" si="592"/>
        <v>#REF!</v>
      </c>
      <c r="AD406" s="24" t="e">
        <f t="shared" si="592"/>
        <v>#REF!</v>
      </c>
      <c r="AE406" s="25" t="e">
        <f t="shared" si="592"/>
        <v>#REF!</v>
      </c>
      <c r="AF406" s="24" t="e">
        <f t="shared" si="592"/>
        <v>#REF!</v>
      </c>
      <c r="AG406" s="25" t="e">
        <f t="shared" si="592"/>
        <v>#REF!</v>
      </c>
      <c r="AH406" s="24" t="e">
        <f t="shared" si="592"/>
        <v>#REF!</v>
      </c>
      <c r="AI406" s="25" t="e">
        <f t="shared" si="592"/>
        <v>#REF!</v>
      </c>
      <c r="AJ406" s="24" t="e">
        <f t="shared" si="592"/>
        <v>#REF!</v>
      </c>
      <c r="AK406" s="27" t="e">
        <f t="shared" si="581"/>
        <v>#REF!</v>
      </c>
      <c r="AL406" s="41">
        <v>0</v>
      </c>
      <c r="AM406" s="40">
        <v>0</v>
      </c>
      <c r="AN406" s="39">
        <v>0</v>
      </c>
      <c r="AO406" s="40">
        <v>0</v>
      </c>
      <c r="AP406" s="39">
        <v>0</v>
      </c>
      <c r="AQ406" s="40">
        <v>0</v>
      </c>
      <c r="AR406" s="39">
        <v>0</v>
      </c>
      <c r="AS406" s="40">
        <v>0</v>
      </c>
      <c r="AT406" s="39">
        <v>0</v>
      </c>
      <c r="AU406" s="38">
        <v>0</v>
      </c>
    </row>
    <row r="407" spans="1:47">
      <c r="A407" s="37" t="s">
        <v>1353</v>
      </c>
      <c r="B407" s="36" t="s">
        <v>1107</v>
      </c>
      <c r="C407" s="1" t="s">
        <v>1106</v>
      </c>
      <c r="D407" s="36" t="s">
        <v>1106</v>
      </c>
      <c r="E407" s="36" t="s">
        <v>1359</v>
      </c>
      <c r="F407" s="1" t="s">
        <v>1357</v>
      </c>
      <c r="G407" s="35" t="s">
        <v>1104</v>
      </c>
      <c r="H407" s="43">
        <v>1</v>
      </c>
      <c r="I407" s="42">
        <v>0</v>
      </c>
      <c r="J407" s="26">
        <v>5.0829899999999997</v>
      </c>
      <c r="K407" s="25">
        <v>18.160136999999999</v>
      </c>
      <c r="L407" s="24"/>
      <c r="M407" s="25"/>
      <c r="N407" s="24"/>
      <c r="O407" s="25"/>
      <c r="P407" s="24"/>
      <c r="Q407" s="25"/>
      <c r="R407" s="32"/>
      <c r="S407" s="31" t="e">
        <v>#REF!</v>
      </c>
      <c r="T407" s="29" t="e">
        <f t="shared" si="589"/>
        <v>#REF!</v>
      </c>
      <c r="U407" s="30" t="e">
        <f t="shared" si="589"/>
        <v>#REF!</v>
      </c>
      <c r="V407" s="29" t="e">
        <f t="shared" si="589"/>
        <v>#REF!</v>
      </c>
      <c r="W407" s="30" t="e">
        <f t="shared" si="589"/>
        <v>#REF!</v>
      </c>
      <c r="X407" s="29" t="e">
        <f t="shared" si="589"/>
        <v>#REF!</v>
      </c>
      <c r="Y407" s="30" t="e">
        <f t="shared" si="589"/>
        <v>#REF!</v>
      </c>
      <c r="Z407" s="29" t="e">
        <f t="shared" si="589"/>
        <v>#REF!</v>
      </c>
      <c r="AA407" s="28" t="e">
        <f t="shared" si="589"/>
        <v>#REF!</v>
      </c>
      <c r="AB407" s="26" t="e">
        <f t="shared" si="592"/>
        <v>#REF!</v>
      </c>
      <c r="AC407" s="25" t="e">
        <f t="shared" si="592"/>
        <v>#REF!</v>
      </c>
      <c r="AD407" s="24" t="e">
        <f t="shared" si="592"/>
        <v>#REF!</v>
      </c>
      <c r="AE407" s="25" t="e">
        <f t="shared" si="592"/>
        <v>#REF!</v>
      </c>
      <c r="AF407" s="24" t="e">
        <f t="shared" si="592"/>
        <v>#REF!</v>
      </c>
      <c r="AG407" s="25" t="e">
        <f t="shared" si="592"/>
        <v>#REF!</v>
      </c>
      <c r="AH407" s="24" t="e">
        <f t="shared" si="592"/>
        <v>#REF!</v>
      </c>
      <c r="AI407" s="25" t="e">
        <f t="shared" si="592"/>
        <v>#REF!</v>
      </c>
      <c r="AJ407" s="24" t="e">
        <f t="shared" si="592"/>
        <v>#REF!</v>
      </c>
      <c r="AK407" s="27" t="e">
        <f t="shared" si="581"/>
        <v>#REF!</v>
      </c>
      <c r="AL407" s="41">
        <v>0</v>
      </c>
      <c r="AM407" s="40">
        <v>0</v>
      </c>
      <c r="AN407" s="39">
        <v>0</v>
      </c>
      <c r="AO407" s="40">
        <v>0</v>
      </c>
      <c r="AP407" s="39">
        <v>0</v>
      </c>
      <c r="AQ407" s="40">
        <v>0</v>
      </c>
      <c r="AR407" s="39">
        <v>0</v>
      </c>
      <c r="AS407" s="40">
        <v>0</v>
      </c>
      <c r="AT407" s="39">
        <v>0</v>
      </c>
      <c r="AU407" s="38">
        <v>0</v>
      </c>
    </row>
    <row r="408" spans="1:47">
      <c r="A408" s="37" t="s">
        <v>1353</v>
      </c>
      <c r="B408" s="36" t="s">
        <v>1107</v>
      </c>
      <c r="C408" s="1" t="s">
        <v>1106</v>
      </c>
      <c r="D408" s="36" t="s">
        <v>1106</v>
      </c>
      <c r="E408" s="36" t="s">
        <v>1358</v>
      </c>
      <c r="F408" s="1" t="s">
        <v>1357</v>
      </c>
      <c r="G408" s="35" t="s">
        <v>1104</v>
      </c>
      <c r="H408" s="43">
        <v>1</v>
      </c>
      <c r="I408" s="42">
        <v>0</v>
      </c>
      <c r="J408" s="26">
        <v>16.884768599999997</v>
      </c>
      <c r="K408" s="25">
        <v>6.9313499999999992</v>
      </c>
      <c r="L408" s="24"/>
      <c r="M408" s="25"/>
      <c r="N408" s="24"/>
      <c r="O408" s="25"/>
      <c r="P408" s="24"/>
      <c r="Q408" s="25"/>
      <c r="R408" s="32"/>
      <c r="S408" s="31" t="e">
        <v>#REF!</v>
      </c>
      <c r="T408" s="29" t="e">
        <f t="shared" si="589"/>
        <v>#REF!</v>
      </c>
      <c r="U408" s="30" t="e">
        <f t="shared" si="589"/>
        <v>#REF!</v>
      </c>
      <c r="V408" s="29" t="e">
        <f t="shared" si="589"/>
        <v>#REF!</v>
      </c>
      <c r="W408" s="30" t="e">
        <f t="shared" si="589"/>
        <v>#REF!</v>
      </c>
      <c r="X408" s="29" t="e">
        <f t="shared" si="589"/>
        <v>#REF!</v>
      </c>
      <c r="Y408" s="30" t="e">
        <f t="shared" si="589"/>
        <v>#REF!</v>
      </c>
      <c r="Z408" s="29" t="e">
        <f t="shared" si="589"/>
        <v>#REF!</v>
      </c>
      <c r="AA408" s="28" t="e">
        <f t="shared" si="589"/>
        <v>#REF!</v>
      </c>
      <c r="AB408" s="26" t="e">
        <f t="shared" si="592"/>
        <v>#REF!</v>
      </c>
      <c r="AC408" s="25" t="e">
        <f t="shared" si="592"/>
        <v>#REF!</v>
      </c>
      <c r="AD408" s="24" t="e">
        <f t="shared" si="592"/>
        <v>#REF!</v>
      </c>
      <c r="AE408" s="25" t="e">
        <f t="shared" si="592"/>
        <v>#REF!</v>
      </c>
      <c r="AF408" s="24" t="e">
        <f t="shared" si="592"/>
        <v>#REF!</v>
      </c>
      <c r="AG408" s="25" t="e">
        <f t="shared" si="592"/>
        <v>#REF!</v>
      </c>
      <c r="AH408" s="24" t="e">
        <f t="shared" si="592"/>
        <v>#REF!</v>
      </c>
      <c r="AI408" s="25" t="e">
        <f t="shared" si="592"/>
        <v>#REF!</v>
      </c>
      <c r="AJ408" s="24" t="e">
        <f t="shared" si="592"/>
        <v>#REF!</v>
      </c>
      <c r="AK408" s="27" t="e">
        <f t="shared" si="581"/>
        <v>#REF!</v>
      </c>
      <c r="AL408" s="41">
        <v>0</v>
      </c>
      <c r="AM408" s="40">
        <v>0</v>
      </c>
      <c r="AN408" s="39">
        <v>0</v>
      </c>
      <c r="AO408" s="40">
        <v>0</v>
      </c>
      <c r="AP408" s="39">
        <v>0</v>
      </c>
      <c r="AQ408" s="40">
        <v>0</v>
      </c>
      <c r="AR408" s="39">
        <v>0</v>
      </c>
      <c r="AS408" s="40">
        <v>0</v>
      </c>
      <c r="AT408" s="39">
        <v>0</v>
      </c>
      <c r="AU408" s="38">
        <v>0</v>
      </c>
    </row>
    <row r="409" spans="1:47">
      <c r="A409" s="37" t="s">
        <v>1353</v>
      </c>
      <c r="B409" s="36" t="s">
        <v>1107</v>
      </c>
      <c r="C409" s="1" t="s">
        <v>1106</v>
      </c>
      <c r="D409" s="36" t="s">
        <v>1106</v>
      </c>
      <c r="E409" s="36" t="s">
        <v>1356</v>
      </c>
      <c r="F409" s="1" t="s">
        <v>1351</v>
      </c>
      <c r="G409" s="35" t="s">
        <v>1109</v>
      </c>
      <c r="H409" s="34">
        <f>1-I409</f>
        <v>0.88389728314030935</v>
      </c>
      <c r="I409" s="33">
        <v>0.11610271685969059</v>
      </c>
      <c r="J409" s="26" t="e">
        <v>#REF!</v>
      </c>
      <c r="K409" s="25" t="e">
        <v>#REF!</v>
      </c>
      <c r="L409" s="24"/>
      <c r="M409" s="25"/>
      <c r="N409" s="24"/>
      <c r="O409" s="25"/>
      <c r="P409" s="24"/>
      <c r="Q409" s="25"/>
      <c r="R409" s="32"/>
      <c r="S409" s="31" t="e">
        <v>#REF!</v>
      </c>
      <c r="T409" s="29" t="e">
        <f t="shared" si="589"/>
        <v>#REF!</v>
      </c>
      <c r="U409" s="30" t="e">
        <f t="shared" si="589"/>
        <v>#REF!</v>
      </c>
      <c r="V409" s="29" t="e">
        <f t="shared" si="589"/>
        <v>#REF!</v>
      </c>
      <c r="W409" s="30" t="e">
        <f t="shared" si="589"/>
        <v>#REF!</v>
      </c>
      <c r="X409" s="29" t="e">
        <f t="shared" si="589"/>
        <v>#REF!</v>
      </c>
      <c r="Y409" s="30" t="e">
        <f t="shared" si="589"/>
        <v>#REF!</v>
      </c>
      <c r="Z409" s="29" t="e">
        <f t="shared" si="589"/>
        <v>#REF!</v>
      </c>
      <c r="AA409" s="28" t="e">
        <f t="shared" si="589"/>
        <v>#REF!</v>
      </c>
      <c r="AB409" s="26" t="e">
        <f t="shared" ref="AB409:AJ412" si="593">J409*31.536*$H409*S409</f>
        <v>#REF!</v>
      </c>
      <c r="AC409" s="25" t="e">
        <f t="shared" si="593"/>
        <v>#REF!</v>
      </c>
      <c r="AD409" s="24" t="e">
        <f t="shared" si="593"/>
        <v>#REF!</v>
      </c>
      <c r="AE409" s="25" t="e">
        <f t="shared" si="593"/>
        <v>#REF!</v>
      </c>
      <c r="AF409" s="24" t="e">
        <f t="shared" si="593"/>
        <v>#REF!</v>
      </c>
      <c r="AG409" s="25" t="e">
        <f t="shared" si="593"/>
        <v>#REF!</v>
      </c>
      <c r="AH409" s="24" t="e">
        <f t="shared" si="593"/>
        <v>#REF!</v>
      </c>
      <c r="AI409" s="25" t="e">
        <f t="shared" si="593"/>
        <v>#REF!</v>
      </c>
      <c r="AJ409" s="24" t="e">
        <f t="shared" si="593"/>
        <v>#REF!</v>
      </c>
      <c r="AK409" s="27" t="e">
        <f t="shared" si="581"/>
        <v>#REF!</v>
      </c>
      <c r="AL409" s="26" t="e">
        <f t="shared" ref="AL409:AT412" si="594">J409*31.536*$I409*S409</f>
        <v>#REF!</v>
      </c>
      <c r="AM409" s="25" t="e">
        <f t="shared" si="594"/>
        <v>#REF!</v>
      </c>
      <c r="AN409" s="24" t="e">
        <f t="shared" si="594"/>
        <v>#REF!</v>
      </c>
      <c r="AO409" s="25" t="e">
        <f t="shared" si="594"/>
        <v>#REF!</v>
      </c>
      <c r="AP409" s="24" t="e">
        <f t="shared" si="594"/>
        <v>#REF!</v>
      </c>
      <c r="AQ409" s="25" t="e">
        <f t="shared" si="594"/>
        <v>#REF!</v>
      </c>
      <c r="AR409" s="24" t="e">
        <f t="shared" si="594"/>
        <v>#REF!</v>
      </c>
      <c r="AS409" s="25" t="e">
        <f t="shared" si="594"/>
        <v>#REF!</v>
      </c>
      <c r="AT409" s="24" t="e">
        <f t="shared" si="594"/>
        <v>#REF!</v>
      </c>
      <c r="AU409" s="23" t="e">
        <f>SUM(AL409:AT409)</f>
        <v>#REF!</v>
      </c>
    </row>
    <row r="410" spans="1:47">
      <c r="A410" s="37" t="s">
        <v>1353</v>
      </c>
      <c r="B410" s="36" t="s">
        <v>1107</v>
      </c>
      <c r="C410" s="1" t="s">
        <v>1106</v>
      </c>
      <c r="D410" s="36" t="s">
        <v>1106</v>
      </c>
      <c r="E410" s="36" t="s">
        <v>1355</v>
      </c>
      <c r="F410" s="1" t="s">
        <v>1351</v>
      </c>
      <c r="G410" s="35" t="s">
        <v>1109</v>
      </c>
      <c r="H410" s="34">
        <f>1-I410</f>
        <v>0.88332652522877819</v>
      </c>
      <c r="I410" s="33">
        <v>0.11667347477122179</v>
      </c>
      <c r="J410" s="26" t="e">
        <v>#REF!</v>
      </c>
      <c r="K410" s="25" t="e">
        <v>#REF!</v>
      </c>
      <c r="L410" s="24"/>
      <c r="M410" s="25"/>
      <c r="N410" s="24"/>
      <c r="O410" s="25"/>
      <c r="P410" s="24"/>
      <c r="Q410" s="25"/>
      <c r="R410" s="32"/>
      <c r="S410" s="31" t="e">
        <v>#REF!</v>
      </c>
      <c r="T410" s="29" t="e">
        <f t="shared" si="589"/>
        <v>#REF!</v>
      </c>
      <c r="U410" s="30" t="e">
        <f t="shared" si="589"/>
        <v>#REF!</v>
      </c>
      <c r="V410" s="29" t="e">
        <f t="shared" si="589"/>
        <v>#REF!</v>
      </c>
      <c r="W410" s="30" t="e">
        <f t="shared" si="589"/>
        <v>#REF!</v>
      </c>
      <c r="X410" s="29" t="e">
        <f t="shared" si="589"/>
        <v>#REF!</v>
      </c>
      <c r="Y410" s="30" t="e">
        <f t="shared" si="589"/>
        <v>#REF!</v>
      </c>
      <c r="Z410" s="29" t="e">
        <f t="shared" si="589"/>
        <v>#REF!</v>
      </c>
      <c r="AA410" s="28" t="e">
        <f t="shared" si="589"/>
        <v>#REF!</v>
      </c>
      <c r="AB410" s="26" t="e">
        <f t="shared" si="593"/>
        <v>#REF!</v>
      </c>
      <c r="AC410" s="25" t="e">
        <f t="shared" si="593"/>
        <v>#REF!</v>
      </c>
      <c r="AD410" s="24" t="e">
        <f t="shared" si="593"/>
        <v>#REF!</v>
      </c>
      <c r="AE410" s="25" t="e">
        <f t="shared" si="593"/>
        <v>#REF!</v>
      </c>
      <c r="AF410" s="24" t="e">
        <f t="shared" si="593"/>
        <v>#REF!</v>
      </c>
      <c r="AG410" s="25" t="e">
        <f t="shared" si="593"/>
        <v>#REF!</v>
      </c>
      <c r="AH410" s="24" t="e">
        <f t="shared" si="593"/>
        <v>#REF!</v>
      </c>
      <c r="AI410" s="25" t="e">
        <f t="shared" si="593"/>
        <v>#REF!</v>
      </c>
      <c r="AJ410" s="24" t="e">
        <f t="shared" si="593"/>
        <v>#REF!</v>
      </c>
      <c r="AK410" s="27" t="e">
        <f t="shared" si="581"/>
        <v>#REF!</v>
      </c>
      <c r="AL410" s="26" t="e">
        <f t="shared" si="594"/>
        <v>#REF!</v>
      </c>
      <c r="AM410" s="25" t="e">
        <f t="shared" si="594"/>
        <v>#REF!</v>
      </c>
      <c r="AN410" s="24" t="e">
        <f t="shared" si="594"/>
        <v>#REF!</v>
      </c>
      <c r="AO410" s="25" t="e">
        <f t="shared" si="594"/>
        <v>#REF!</v>
      </c>
      <c r="AP410" s="24" t="e">
        <f t="shared" si="594"/>
        <v>#REF!</v>
      </c>
      <c r="AQ410" s="25" t="e">
        <f t="shared" si="594"/>
        <v>#REF!</v>
      </c>
      <c r="AR410" s="24" t="e">
        <f t="shared" si="594"/>
        <v>#REF!</v>
      </c>
      <c r="AS410" s="25" t="e">
        <f t="shared" si="594"/>
        <v>#REF!</v>
      </c>
      <c r="AT410" s="24" t="e">
        <f t="shared" si="594"/>
        <v>#REF!</v>
      </c>
      <c r="AU410" s="23" t="e">
        <f>SUM(AL410:AT410)</f>
        <v>#REF!</v>
      </c>
    </row>
    <row r="411" spans="1:47">
      <c r="A411" s="37" t="s">
        <v>1353</v>
      </c>
      <c r="B411" s="36" t="s">
        <v>1107</v>
      </c>
      <c r="C411" s="1" t="s">
        <v>1106</v>
      </c>
      <c r="D411" s="36" t="s">
        <v>1106</v>
      </c>
      <c r="E411" s="36" t="s">
        <v>1354</v>
      </c>
      <c r="F411" s="1" t="s">
        <v>1351</v>
      </c>
      <c r="G411" s="35" t="s">
        <v>1109</v>
      </c>
      <c r="H411" s="34">
        <f>1-I411</f>
        <v>0.88682859308694595</v>
      </c>
      <c r="I411" s="33">
        <v>0.11317140691305411</v>
      </c>
      <c r="J411" s="26" t="e">
        <v>#REF!</v>
      </c>
      <c r="K411" s="25" t="e">
        <v>#REF!</v>
      </c>
      <c r="L411" s="24"/>
      <c r="M411" s="25"/>
      <c r="N411" s="24"/>
      <c r="O411" s="25"/>
      <c r="P411" s="24"/>
      <c r="Q411" s="25"/>
      <c r="R411" s="32"/>
      <c r="S411" s="31" t="e">
        <v>#REF!</v>
      </c>
      <c r="T411" s="29" t="e">
        <f t="shared" si="589"/>
        <v>#REF!</v>
      </c>
      <c r="U411" s="30" t="e">
        <f t="shared" si="589"/>
        <v>#REF!</v>
      </c>
      <c r="V411" s="29" t="e">
        <f t="shared" si="589"/>
        <v>#REF!</v>
      </c>
      <c r="W411" s="30" t="e">
        <f t="shared" si="589"/>
        <v>#REF!</v>
      </c>
      <c r="X411" s="29" t="e">
        <f t="shared" si="589"/>
        <v>#REF!</v>
      </c>
      <c r="Y411" s="30" t="e">
        <f t="shared" si="589"/>
        <v>#REF!</v>
      </c>
      <c r="Z411" s="29" t="e">
        <f t="shared" si="589"/>
        <v>#REF!</v>
      </c>
      <c r="AA411" s="28" t="e">
        <f t="shared" si="589"/>
        <v>#REF!</v>
      </c>
      <c r="AB411" s="26" t="e">
        <f t="shared" si="593"/>
        <v>#REF!</v>
      </c>
      <c r="AC411" s="25" t="e">
        <f t="shared" si="593"/>
        <v>#REF!</v>
      </c>
      <c r="AD411" s="24" t="e">
        <f t="shared" si="593"/>
        <v>#REF!</v>
      </c>
      <c r="AE411" s="25" t="e">
        <f t="shared" si="593"/>
        <v>#REF!</v>
      </c>
      <c r="AF411" s="24" t="e">
        <f t="shared" si="593"/>
        <v>#REF!</v>
      </c>
      <c r="AG411" s="25" t="e">
        <f t="shared" si="593"/>
        <v>#REF!</v>
      </c>
      <c r="AH411" s="24" t="e">
        <f t="shared" si="593"/>
        <v>#REF!</v>
      </c>
      <c r="AI411" s="25" t="e">
        <f t="shared" si="593"/>
        <v>#REF!</v>
      </c>
      <c r="AJ411" s="24" t="e">
        <f t="shared" si="593"/>
        <v>#REF!</v>
      </c>
      <c r="AK411" s="27" t="e">
        <f t="shared" si="581"/>
        <v>#REF!</v>
      </c>
      <c r="AL411" s="26" t="e">
        <f t="shared" si="594"/>
        <v>#REF!</v>
      </c>
      <c r="AM411" s="25" t="e">
        <f t="shared" si="594"/>
        <v>#REF!</v>
      </c>
      <c r="AN411" s="24" t="e">
        <f t="shared" si="594"/>
        <v>#REF!</v>
      </c>
      <c r="AO411" s="25" t="e">
        <f t="shared" si="594"/>
        <v>#REF!</v>
      </c>
      <c r="AP411" s="24" t="e">
        <f t="shared" si="594"/>
        <v>#REF!</v>
      </c>
      <c r="AQ411" s="25" t="e">
        <f t="shared" si="594"/>
        <v>#REF!</v>
      </c>
      <c r="AR411" s="24" t="e">
        <f t="shared" si="594"/>
        <v>#REF!</v>
      </c>
      <c r="AS411" s="25" t="e">
        <f t="shared" si="594"/>
        <v>#REF!</v>
      </c>
      <c r="AT411" s="24" t="e">
        <f t="shared" si="594"/>
        <v>#REF!</v>
      </c>
      <c r="AU411" s="23" t="e">
        <f>SUM(AL411:AT411)</f>
        <v>#REF!</v>
      </c>
    </row>
    <row r="412" spans="1:47">
      <c r="A412" s="22" t="s">
        <v>1353</v>
      </c>
      <c r="B412" s="20" t="s">
        <v>1107</v>
      </c>
      <c r="C412" s="21" t="s">
        <v>1106</v>
      </c>
      <c r="D412" s="20" t="s">
        <v>1106</v>
      </c>
      <c r="E412" s="20" t="s">
        <v>1352</v>
      </c>
      <c r="F412" s="21" t="s">
        <v>1351</v>
      </c>
      <c r="G412" s="19" t="s">
        <v>1109</v>
      </c>
      <c r="H412" s="50">
        <f>1-I412</f>
        <v>0.89487158308527293</v>
      </c>
      <c r="I412" s="49">
        <v>0.10512841691472706</v>
      </c>
      <c r="J412" s="11" t="e">
        <v>#REF!</v>
      </c>
      <c r="K412" s="10" t="e">
        <v>#REF!</v>
      </c>
      <c r="L412" s="9"/>
      <c r="M412" s="10"/>
      <c r="N412" s="9"/>
      <c r="O412" s="10"/>
      <c r="P412" s="9"/>
      <c r="Q412" s="10"/>
      <c r="R412" s="16"/>
      <c r="S412" s="15" t="e">
        <v>#REF!</v>
      </c>
      <c r="T412" s="13" t="e">
        <f t="shared" si="589"/>
        <v>#REF!</v>
      </c>
      <c r="U412" s="14" t="e">
        <f t="shared" si="589"/>
        <v>#REF!</v>
      </c>
      <c r="V412" s="13" t="e">
        <f t="shared" si="589"/>
        <v>#REF!</v>
      </c>
      <c r="W412" s="14" t="e">
        <f t="shared" si="589"/>
        <v>#REF!</v>
      </c>
      <c r="X412" s="13" t="e">
        <f t="shared" si="589"/>
        <v>#REF!</v>
      </c>
      <c r="Y412" s="14" t="e">
        <f t="shared" si="589"/>
        <v>#REF!</v>
      </c>
      <c r="Z412" s="13" t="e">
        <f t="shared" si="589"/>
        <v>#REF!</v>
      </c>
      <c r="AA412" s="12" t="e">
        <f t="shared" si="589"/>
        <v>#REF!</v>
      </c>
      <c r="AB412" s="11" t="e">
        <f t="shared" si="593"/>
        <v>#REF!</v>
      </c>
      <c r="AC412" s="10" t="e">
        <f t="shared" si="593"/>
        <v>#REF!</v>
      </c>
      <c r="AD412" s="9" t="e">
        <f t="shared" si="593"/>
        <v>#REF!</v>
      </c>
      <c r="AE412" s="10" t="e">
        <f t="shared" si="593"/>
        <v>#REF!</v>
      </c>
      <c r="AF412" s="9" t="e">
        <f t="shared" si="593"/>
        <v>#REF!</v>
      </c>
      <c r="AG412" s="10" t="e">
        <f t="shared" si="593"/>
        <v>#REF!</v>
      </c>
      <c r="AH412" s="9" t="e">
        <f t="shared" si="593"/>
        <v>#REF!</v>
      </c>
      <c r="AI412" s="10" t="e">
        <f t="shared" si="593"/>
        <v>#REF!</v>
      </c>
      <c r="AJ412" s="9" t="e">
        <f t="shared" si="593"/>
        <v>#REF!</v>
      </c>
      <c r="AK412" s="8" t="e">
        <f t="shared" si="581"/>
        <v>#REF!</v>
      </c>
      <c r="AL412" s="11" t="e">
        <f t="shared" si="594"/>
        <v>#REF!</v>
      </c>
      <c r="AM412" s="10" t="e">
        <f t="shared" si="594"/>
        <v>#REF!</v>
      </c>
      <c r="AN412" s="9" t="e">
        <f t="shared" si="594"/>
        <v>#REF!</v>
      </c>
      <c r="AO412" s="10" t="e">
        <f t="shared" si="594"/>
        <v>#REF!</v>
      </c>
      <c r="AP412" s="9" t="e">
        <f t="shared" si="594"/>
        <v>#REF!</v>
      </c>
      <c r="AQ412" s="10" t="e">
        <f t="shared" si="594"/>
        <v>#REF!</v>
      </c>
      <c r="AR412" s="9" t="e">
        <f t="shared" si="594"/>
        <v>#REF!</v>
      </c>
      <c r="AS412" s="10" t="e">
        <f t="shared" si="594"/>
        <v>#REF!</v>
      </c>
      <c r="AT412" s="9" t="e">
        <f t="shared" si="594"/>
        <v>#REF!</v>
      </c>
      <c r="AU412" s="48" t="e">
        <f>SUM(AL412:AT412)</f>
        <v>#REF!</v>
      </c>
    </row>
    <row r="413" spans="1:47">
      <c r="A413" s="37" t="s">
        <v>1282</v>
      </c>
      <c r="B413" s="36" t="s">
        <v>1150</v>
      </c>
      <c r="C413" s="1" t="s">
        <v>1126</v>
      </c>
      <c r="D413" s="36" t="s">
        <v>1126</v>
      </c>
      <c r="E413" s="36" t="s">
        <v>1350</v>
      </c>
      <c r="F413" s="1" t="s">
        <v>1349</v>
      </c>
      <c r="G413" s="35" t="s">
        <v>1121</v>
      </c>
      <c r="H413" s="43">
        <v>1</v>
      </c>
      <c r="I413" s="42">
        <v>0</v>
      </c>
      <c r="J413" s="26">
        <v>2.6026821942017574E-2</v>
      </c>
      <c r="K413" s="25">
        <v>0.29689856141264487</v>
      </c>
      <c r="L413" s="24"/>
      <c r="M413" s="25"/>
      <c r="N413" s="24"/>
      <c r="O413" s="25"/>
      <c r="P413" s="24"/>
      <c r="Q413" s="25"/>
      <c r="R413" s="32"/>
      <c r="S413" s="47">
        <v>1</v>
      </c>
      <c r="T413" s="45">
        <v>1</v>
      </c>
      <c r="U413" s="46">
        <v>1</v>
      </c>
      <c r="V413" s="45">
        <v>1</v>
      </c>
      <c r="W413" s="46">
        <v>1</v>
      </c>
      <c r="X413" s="45">
        <v>1</v>
      </c>
      <c r="Y413" s="46">
        <v>1</v>
      </c>
      <c r="Z413" s="45">
        <v>1</v>
      </c>
      <c r="AA413" s="44">
        <v>1</v>
      </c>
      <c r="AB413" s="26">
        <f t="shared" ref="AB413:AB426" si="595">J413*$H413*S413</f>
        <v>2.6026821942017574E-2</v>
      </c>
      <c r="AC413" s="25">
        <f t="shared" ref="AC413:AC426" si="596">K413*$H413*T413</f>
        <v>0.29689856141264487</v>
      </c>
      <c r="AD413" s="24">
        <f t="shared" ref="AD413:AD426" si="597">L413*$H413*U413</f>
        <v>0</v>
      </c>
      <c r="AE413" s="25">
        <f t="shared" ref="AE413:AE426" si="598">M413*$H413*V413</f>
        <v>0</v>
      </c>
      <c r="AF413" s="24">
        <f t="shared" ref="AF413:AF426" si="599">N413*$H413*W413</f>
        <v>0</v>
      </c>
      <c r="AG413" s="25">
        <f t="shared" ref="AG413:AG426" si="600">O413*$H413*X413</f>
        <v>0</v>
      </c>
      <c r="AH413" s="24">
        <f t="shared" ref="AH413:AH426" si="601">P413*$H413*Y413</f>
        <v>0</v>
      </c>
      <c r="AI413" s="25">
        <f t="shared" ref="AI413:AI426" si="602">Q413*$H413*Z413</f>
        <v>0</v>
      </c>
      <c r="AJ413" s="24">
        <f t="shared" ref="AJ413:AJ426" si="603">R413*$H413*AA413</f>
        <v>0</v>
      </c>
      <c r="AK413" s="27">
        <f t="shared" si="581"/>
        <v>0.32292538335466242</v>
      </c>
      <c r="AL413" s="41">
        <v>0</v>
      </c>
      <c r="AM413" s="40">
        <v>0</v>
      </c>
      <c r="AN413" s="39">
        <v>0</v>
      </c>
      <c r="AO413" s="40">
        <v>0</v>
      </c>
      <c r="AP413" s="39">
        <v>0</v>
      </c>
      <c r="AQ413" s="40">
        <v>0</v>
      </c>
      <c r="AR413" s="39">
        <v>0</v>
      </c>
      <c r="AS413" s="40">
        <v>0</v>
      </c>
      <c r="AT413" s="39">
        <v>0</v>
      </c>
      <c r="AU413" s="38">
        <v>0</v>
      </c>
    </row>
    <row r="414" spans="1:47">
      <c r="A414" s="37" t="s">
        <v>1282</v>
      </c>
      <c r="B414" s="36" t="s">
        <v>1145</v>
      </c>
      <c r="C414" s="1" t="s">
        <v>1120</v>
      </c>
      <c r="D414" s="36" t="s">
        <v>1120</v>
      </c>
      <c r="E414" s="36" t="s">
        <v>1348</v>
      </c>
      <c r="F414" s="1" t="s">
        <v>1347</v>
      </c>
      <c r="G414" s="35" t="s">
        <v>1121</v>
      </c>
      <c r="H414" s="43">
        <v>1</v>
      </c>
      <c r="I414" s="42">
        <v>0</v>
      </c>
      <c r="J414" s="26">
        <v>0</v>
      </c>
      <c r="K414" s="25">
        <v>0.54399529042386219</v>
      </c>
      <c r="L414" s="24"/>
      <c r="M414" s="25"/>
      <c r="N414" s="24"/>
      <c r="O414" s="25"/>
      <c r="P414" s="24"/>
      <c r="Q414" s="25"/>
      <c r="R414" s="32"/>
      <c r="S414" s="47">
        <v>1</v>
      </c>
      <c r="T414" s="45">
        <v>1</v>
      </c>
      <c r="U414" s="46">
        <v>1</v>
      </c>
      <c r="V414" s="45">
        <v>1</v>
      </c>
      <c r="W414" s="46">
        <v>1</v>
      </c>
      <c r="X414" s="45">
        <v>1</v>
      </c>
      <c r="Y414" s="46">
        <v>1</v>
      </c>
      <c r="Z414" s="45">
        <v>1</v>
      </c>
      <c r="AA414" s="44">
        <v>1</v>
      </c>
      <c r="AB414" s="26">
        <f t="shared" si="595"/>
        <v>0</v>
      </c>
      <c r="AC414" s="25">
        <f t="shared" si="596"/>
        <v>0.54399529042386219</v>
      </c>
      <c r="AD414" s="24">
        <f t="shared" si="597"/>
        <v>0</v>
      </c>
      <c r="AE414" s="25">
        <f t="shared" si="598"/>
        <v>0</v>
      </c>
      <c r="AF414" s="24">
        <f t="shared" si="599"/>
        <v>0</v>
      </c>
      <c r="AG414" s="25">
        <f t="shared" si="600"/>
        <v>0</v>
      </c>
      <c r="AH414" s="24">
        <f t="shared" si="601"/>
        <v>0</v>
      </c>
      <c r="AI414" s="25">
        <f t="shared" si="602"/>
        <v>0</v>
      </c>
      <c r="AJ414" s="24">
        <f t="shared" si="603"/>
        <v>0</v>
      </c>
      <c r="AK414" s="27">
        <f t="shared" si="581"/>
        <v>0.54399529042386219</v>
      </c>
      <c r="AL414" s="41">
        <v>0</v>
      </c>
      <c r="AM414" s="40">
        <v>0</v>
      </c>
      <c r="AN414" s="39">
        <v>0</v>
      </c>
      <c r="AO414" s="40">
        <v>0</v>
      </c>
      <c r="AP414" s="39">
        <v>0</v>
      </c>
      <c r="AQ414" s="40">
        <v>0</v>
      </c>
      <c r="AR414" s="39">
        <v>0</v>
      </c>
      <c r="AS414" s="40">
        <v>0</v>
      </c>
      <c r="AT414" s="39">
        <v>0</v>
      </c>
      <c r="AU414" s="38">
        <v>0</v>
      </c>
    </row>
    <row r="415" spans="1:47">
      <c r="A415" s="37" t="s">
        <v>1282</v>
      </c>
      <c r="B415" s="36" t="s">
        <v>1145</v>
      </c>
      <c r="C415" s="1" t="s">
        <v>1126</v>
      </c>
      <c r="D415" s="36" t="s">
        <v>1126</v>
      </c>
      <c r="E415" s="36" t="s">
        <v>1346</v>
      </c>
      <c r="F415" s="1" t="s">
        <v>1345</v>
      </c>
      <c r="G415" s="35" t="s">
        <v>1121</v>
      </c>
      <c r="H415" s="43">
        <v>1</v>
      </c>
      <c r="I415" s="42">
        <v>0</v>
      </c>
      <c r="J415" s="26">
        <v>7.8080465826052728E-2</v>
      </c>
      <c r="K415" s="25">
        <v>0.89069568423793477</v>
      </c>
      <c r="L415" s="24"/>
      <c r="M415" s="25"/>
      <c r="N415" s="24"/>
      <c r="O415" s="25"/>
      <c r="P415" s="24"/>
      <c r="Q415" s="25"/>
      <c r="R415" s="32"/>
      <c r="S415" s="47">
        <v>1</v>
      </c>
      <c r="T415" s="45">
        <v>1</v>
      </c>
      <c r="U415" s="46">
        <v>1</v>
      </c>
      <c r="V415" s="45">
        <v>1</v>
      </c>
      <c r="W415" s="46">
        <v>1</v>
      </c>
      <c r="X415" s="45">
        <v>1</v>
      </c>
      <c r="Y415" s="46">
        <v>1</v>
      </c>
      <c r="Z415" s="45">
        <v>1</v>
      </c>
      <c r="AA415" s="44">
        <v>1</v>
      </c>
      <c r="AB415" s="26">
        <f t="shared" si="595"/>
        <v>7.8080465826052728E-2</v>
      </c>
      <c r="AC415" s="25">
        <f t="shared" si="596"/>
        <v>0.89069568423793477</v>
      </c>
      <c r="AD415" s="24">
        <f t="shared" si="597"/>
        <v>0</v>
      </c>
      <c r="AE415" s="25">
        <f t="shared" si="598"/>
        <v>0</v>
      </c>
      <c r="AF415" s="24">
        <f t="shared" si="599"/>
        <v>0</v>
      </c>
      <c r="AG415" s="25">
        <f t="shared" si="600"/>
        <v>0</v>
      </c>
      <c r="AH415" s="24">
        <f t="shared" si="601"/>
        <v>0</v>
      </c>
      <c r="AI415" s="25">
        <f t="shared" si="602"/>
        <v>0</v>
      </c>
      <c r="AJ415" s="24">
        <f t="shared" si="603"/>
        <v>0</v>
      </c>
      <c r="AK415" s="27">
        <f t="shared" si="581"/>
        <v>0.96877615006398754</v>
      </c>
      <c r="AL415" s="41">
        <v>0</v>
      </c>
      <c r="AM415" s="40">
        <v>0</v>
      </c>
      <c r="AN415" s="39">
        <v>0</v>
      </c>
      <c r="AO415" s="40">
        <v>0</v>
      </c>
      <c r="AP415" s="39">
        <v>0</v>
      </c>
      <c r="AQ415" s="40">
        <v>0</v>
      </c>
      <c r="AR415" s="39">
        <v>0</v>
      </c>
      <c r="AS415" s="40">
        <v>0</v>
      </c>
      <c r="AT415" s="39">
        <v>0</v>
      </c>
      <c r="AU415" s="38">
        <v>0</v>
      </c>
    </row>
    <row r="416" spans="1:47">
      <c r="A416" s="37" t="s">
        <v>1282</v>
      </c>
      <c r="B416" s="36" t="s">
        <v>1145</v>
      </c>
      <c r="C416" s="1" t="s">
        <v>665</v>
      </c>
      <c r="D416" s="36" t="s">
        <v>665</v>
      </c>
      <c r="E416" s="36" t="s">
        <v>1344</v>
      </c>
      <c r="F416" s="1" t="s">
        <v>1343</v>
      </c>
      <c r="G416" s="35" t="s">
        <v>1121</v>
      </c>
      <c r="H416" s="43">
        <v>1</v>
      </c>
      <c r="I416" s="42">
        <v>0</v>
      </c>
      <c r="J416" s="26">
        <v>8.3876627060374798E-2</v>
      </c>
      <c r="K416" s="25">
        <v>1.1351303528837391</v>
      </c>
      <c r="L416" s="24"/>
      <c r="M416" s="25"/>
      <c r="N416" s="24"/>
      <c r="O416" s="25"/>
      <c r="P416" s="24"/>
      <c r="Q416" s="25"/>
      <c r="R416" s="32"/>
      <c r="S416" s="47">
        <v>1</v>
      </c>
      <c r="T416" s="45">
        <v>1</v>
      </c>
      <c r="U416" s="46">
        <v>1</v>
      </c>
      <c r="V416" s="45">
        <v>1</v>
      </c>
      <c r="W416" s="46">
        <v>1</v>
      </c>
      <c r="X416" s="45">
        <v>1</v>
      </c>
      <c r="Y416" s="46">
        <v>1</v>
      </c>
      <c r="Z416" s="45">
        <v>1</v>
      </c>
      <c r="AA416" s="44">
        <v>1</v>
      </c>
      <c r="AB416" s="26">
        <f t="shared" si="595"/>
        <v>8.3876627060374798E-2</v>
      </c>
      <c r="AC416" s="25">
        <f t="shared" si="596"/>
        <v>1.1351303528837391</v>
      </c>
      <c r="AD416" s="24">
        <f t="shared" si="597"/>
        <v>0</v>
      </c>
      <c r="AE416" s="25">
        <f t="shared" si="598"/>
        <v>0</v>
      </c>
      <c r="AF416" s="24">
        <f t="shared" si="599"/>
        <v>0</v>
      </c>
      <c r="AG416" s="25">
        <f t="shared" si="600"/>
        <v>0</v>
      </c>
      <c r="AH416" s="24">
        <f t="shared" si="601"/>
        <v>0</v>
      </c>
      <c r="AI416" s="25">
        <f t="shared" si="602"/>
        <v>0</v>
      </c>
      <c r="AJ416" s="24">
        <f t="shared" si="603"/>
        <v>0</v>
      </c>
      <c r="AK416" s="27">
        <f t="shared" si="581"/>
        <v>1.2190069799441139</v>
      </c>
      <c r="AL416" s="41">
        <v>0</v>
      </c>
      <c r="AM416" s="40">
        <v>0</v>
      </c>
      <c r="AN416" s="39">
        <v>0</v>
      </c>
      <c r="AO416" s="40">
        <v>0</v>
      </c>
      <c r="AP416" s="39">
        <v>0</v>
      </c>
      <c r="AQ416" s="40">
        <v>0</v>
      </c>
      <c r="AR416" s="39">
        <v>0</v>
      </c>
      <c r="AS416" s="40">
        <v>0</v>
      </c>
      <c r="AT416" s="39">
        <v>0</v>
      </c>
      <c r="AU416" s="38">
        <v>0</v>
      </c>
    </row>
    <row r="417" spans="1:47">
      <c r="A417" s="37" t="s">
        <v>1282</v>
      </c>
      <c r="B417" s="36" t="s">
        <v>1139</v>
      </c>
      <c r="C417" s="1" t="s">
        <v>665</v>
      </c>
      <c r="D417" s="36" t="s">
        <v>665</v>
      </c>
      <c r="E417" s="36" t="s">
        <v>1342</v>
      </c>
      <c r="F417" s="1" t="s">
        <v>1341</v>
      </c>
      <c r="G417" s="35" t="s">
        <v>1121</v>
      </c>
      <c r="H417" s="43">
        <v>1</v>
      </c>
      <c r="I417" s="42">
        <v>0</v>
      </c>
      <c r="J417" s="26">
        <v>0</v>
      </c>
      <c r="K417" s="25">
        <v>0</v>
      </c>
      <c r="L417" s="24"/>
      <c r="M417" s="25"/>
      <c r="N417" s="24"/>
      <c r="O417" s="25"/>
      <c r="P417" s="24"/>
      <c r="Q417" s="25"/>
      <c r="R417" s="32"/>
      <c r="S417" s="47">
        <v>1</v>
      </c>
      <c r="T417" s="45">
        <v>1</v>
      </c>
      <c r="U417" s="46">
        <v>1</v>
      </c>
      <c r="V417" s="45">
        <v>1</v>
      </c>
      <c r="W417" s="46">
        <v>1</v>
      </c>
      <c r="X417" s="45">
        <v>1</v>
      </c>
      <c r="Y417" s="46">
        <v>1</v>
      </c>
      <c r="Z417" s="45">
        <v>1</v>
      </c>
      <c r="AA417" s="44">
        <v>1</v>
      </c>
      <c r="AB417" s="26">
        <f t="shared" si="595"/>
        <v>0</v>
      </c>
      <c r="AC417" s="25">
        <f t="shared" si="596"/>
        <v>0</v>
      </c>
      <c r="AD417" s="24">
        <f t="shared" si="597"/>
        <v>0</v>
      </c>
      <c r="AE417" s="25">
        <f t="shared" si="598"/>
        <v>0</v>
      </c>
      <c r="AF417" s="24">
        <f t="shared" si="599"/>
        <v>0</v>
      </c>
      <c r="AG417" s="25">
        <f t="shared" si="600"/>
        <v>0</v>
      </c>
      <c r="AH417" s="24">
        <f t="shared" si="601"/>
        <v>0</v>
      </c>
      <c r="AI417" s="25">
        <f t="shared" si="602"/>
        <v>0</v>
      </c>
      <c r="AJ417" s="24">
        <f t="shared" si="603"/>
        <v>0</v>
      </c>
      <c r="AK417" s="27">
        <f t="shared" si="581"/>
        <v>0</v>
      </c>
      <c r="AL417" s="41">
        <v>0</v>
      </c>
      <c r="AM417" s="40">
        <v>0</v>
      </c>
      <c r="AN417" s="39">
        <v>0</v>
      </c>
      <c r="AO417" s="40">
        <v>0</v>
      </c>
      <c r="AP417" s="39">
        <v>0</v>
      </c>
      <c r="AQ417" s="40">
        <v>0</v>
      </c>
      <c r="AR417" s="39">
        <v>0</v>
      </c>
      <c r="AS417" s="40">
        <v>0</v>
      </c>
      <c r="AT417" s="39">
        <v>0</v>
      </c>
      <c r="AU417" s="38">
        <v>0</v>
      </c>
    </row>
    <row r="418" spans="1:47">
      <c r="A418" s="37" t="s">
        <v>1282</v>
      </c>
      <c r="B418" s="36" t="s">
        <v>1136</v>
      </c>
      <c r="C418" s="1" t="s">
        <v>1126</v>
      </c>
      <c r="D418" s="36" t="s">
        <v>1126</v>
      </c>
      <c r="E418" s="36" t="s">
        <v>1340</v>
      </c>
      <c r="F418" s="1" t="s">
        <v>1339</v>
      </c>
      <c r="G418" s="35" t="s">
        <v>1121</v>
      </c>
      <c r="H418" s="43">
        <v>1</v>
      </c>
      <c r="I418" s="42">
        <v>0</v>
      </c>
      <c r="J418" s="26">
        <v>1.2901495636658111</v>
      </c>
      <c r="K418" s="25">
        <v>14.717261689224808</v>
      </c>
      <c r="L418" s="24"/>
      <c r="M418" s="25"/>
      <c r="N418" s="24"/>
      <c r="O418" s="25"/>
      <c r="P418" s="24"/>
      <c r="Q418" s="25"/>
      <c r="R418" s="32"/>
      <c r="S418" s="47">
        <v>1</v>
      </c>
      <c r="T418" s="45">
        <v>1</v>
      </c>
      <c r="U418" s="46">
        <v>1</v>
      </c>
      <c r="V418" s="45">
        <v>1</v>
      </c>
      <c r="W418" s="46">
        <v>1</v>
      </c>
      <c r="X418" s="45">
        <v>1</v>
      </c>
      <c r="Y418" s="46">
        <v>1</v>
      </c>
      <c r="Z418" s="45">
        <v>1</v>
      </c>
      <c r="AA418" s="44">
        <v>1</v>
      </c>
      <c r="AB418" s="26">
        <f t="shared" si="595"/>
        <v>1.2901495636658111</v>
      </c>
      <c r="AC418" s="25">
        <f t="shared" si="596"/>
        <v>14.717261689224808</v>
      </c>
      <c r="AD418" s="24">
        <f t="shared" si="597"/>
        <v>0</v>
      </c>
      <c r="AE418" s="25">
        <f t="shared" si="598"/>
        <v>0</v>
      </c>
      <c r="AF418" s="24">
        <f t="shared" si="599"/>
        <v>0</v>
      </c>
      <c r="AG418" s="25">
        <f t="shared" si="600"/>
        <v>0</v>
      </c>
      <c r="AH418" s="24">
        <f t="shared" si="601"/>
        <v>0</v>
      </c>
      <c r="AI418" s="25">
        <f t="shared" si="602"/>
        <v>0</v>
      </c>
      <c r="AJ418" s="24">
        <f t="shared" si="603"/>
        <v>0</v>
      </c>
      <c r="AK418" s="27">
        <f t="shared" si="581"/>
        <v>16.00741125289062</v>
      </c>
      <c r="AL418" s="41">
        <v>0</v>
      </c>
      <c r="AM418" s="40">
        <v>0</v>
      </c>
      <c r="AN418" s="39">
        <v>0</v>
      </c>
      <c r="AO418" s="40">
        <v>0</v>
      </c>
      <c r="AP418" s="39">
        <v>0</v>
      </c>
      <c r="AQ418" s="40">
        <v>0</v>
      </c>
      <c r="AR418" s="39">
        <v>0</v>
      </c>
      <c r="AS418" s="40">
        <v>0</v>
      </c>
      <c r="AT418" s="39">
        <v>0</v>
      </c>
      <c r="AU418" s="38">
        <v>0</v>
      </c>
    </row>
    <row r="419" spans="1:47">
      <c r="A419" s="37" t="s">
        <v>1282</v>
      </c>
      <c r="B419" s="36" t="s">
        <v>1136</v>
      </c>
      <c r="C419" s="1" t="s">
        <v>665</v>
      </c>
      <c r="D419" s="36" t="s">
        <v>665</v>
      </c>
      <c r="E419" s="36" t="s">
        <v>1338</v>
      </c>
      <c r="F419" s="1" t="s">
        <v>1337</v>
      </c>
      <c r="G419" s="35" t="s">
        <v>1121</v>
      </c>
      <c r="H419" s="43">
        <v>1</v>
      </c>
      <c r="I419" s="42">
        <v>0</v>
      </c>
      <c r="J419" s="26">
        <v>8.3876627060374798E-2</v>
      </c>
      <c r="K419" s="25">
        <v>1.1351303528837391</v>
      </c>
      <c r="L419" s="24"/>
      <c r="M419" s="25"/>
      <c r="N419" s="24"/>
      <c r="O419" s="25"/>
      <c r="P419" s="24"/>
      <c r="Q419" s="25"/>
      <c r="R419" s="32"/>
      <c r="S419" s="47">
        <v>1</v>
      </c>
      <c r="T419" s="45">
        <v>1</v>
      </c>
      <c r="U419" s="46">
        <v>1</v>
      </c>
      <c r="V419" s="45">
        <v>1</v>
      </c>
      <c r="W419" s="46">
        <v>1</v>
      </c>
      <c r="X419" s="45">
        <v>1</v>
      </c>
      <c r="Y419" s="46">
        <v>1</v>
      </c>
      <c r="Z419" s="45">
        <v>1</v>
      </c>
      <c r="AA419" s="44">
        <v>1</v>
      </c>
      <c r="AB419" s="26">
        <f t="shared" si="595"/>
        <v>8.3876627060374798E-2</v>
      </c>
      <c r="AC419" s="25">
        <f t="shared" si="596"/>
        <v>1.1351303528837391</v>
      </c>
      <c r="AD419" s="24">
        <f t="shared" si="597"/>
        <v>0</v>
      </c>
      <c r="AE419" s="25">
        <f t="shared" si="598"/>
        <v>0</v>
      </c>
      <c r="AF419" s="24">
        <f t="shared" si="599"/>
        <v>0</v>
      </c>
      <c r="AG419" s="25">
        <f t="shared" si="600"/>
        <v>0</v>
      </c>
      <c r="AH419" s="24">
        <f t="shared" si="601"/>
        <v>0</v>
      </c>
      <c r="AI419" s="25">
        <f t="shared" si="602"/>
        <v>0</v>
      </c>
      <c r="AJ419" s="24">
        <f t="shared" si="603"/>
        <v>0</v>
      </c>
      <c r="AK419" s="27">
        <f t="shared" si="581"/>
        <v>1.2190069799441139</v>
      </c>
      <c r="AL419" s="41">
        <v>0</v>
      </c>
      <c r="AM419" s="40">
        <v>0</v>
      </c>
      <c r="AN419" s="39">
        <v>0</v>
      </c>
      <c r="AO419" s="40">
        <v>0</v>
      </c>
      <c r="AP419" s="39">
        <v>0</v>
      </c>
      <c r="AQ419" s="40">
        <v>0</v>
      </c>
      <c r="AR419" s="39">
        <v>0</v>
      </c>
      <c r="AS419" s="40">
        <v>0</v>
      </c>
      <c r="AT419" s="39">
        <v>0</v>
      </c>
      <c r="AU419" s="38">
        <v>0</v>
      </c>
    </row>
    <row r="420" spans="1:47">
      <c r="A420" s="37" t="s">
        <v>1282</v>
      </c>
      <c r="B420" s="36" t="s">
        <v>1129</v>
      </c>
      <c r="C420" s="1" t="s">
        <v>1126</v>
      </c>
      <c r="D420" s="36" t="s">
        <v>1126</v>
      </c>
      <c r="E420" s="36" t="s">
        <v>1336</v>
      </c>
      <c r="F420" s="1" t="s">
        <v>1335</v>
      </c>
      <c r="G420" s="35" t="s">
        <v>1121</v>
      </c>
      <c r="H420" s="43">
        <v>1</v>
      </c>
      <c r="I420" s="42">
        <v>0</v>
      </c>
      <c r="J420" s="26">
        <v>2.6026821942017574E-2</v>
      </c>
      <c r="K420" s="25">
        <v>0.29689856141264487</v>
      </c>
      <c r="L420" s="24"/>
      <c r="M420" s="25"/>
      <c r="N420" s="24"/>
      <c r="O420" s="25"/>
      <c r="P420" s="24"/>
      <c r="Q420" s="25"/>
      <c r="R420" s="32"/>
      <c r="S420" s="47">
        <v>1</v>
      </c>
      <c r="T420" s="45">
        <v>1</v>
      </c>
      <c r="U420" s="46">
        <v>1</v>
      </c>
      <c r="V420" s="45">
        <v>1</v>
      </c>
      <c r="W420" s="46">
        <v>1</v>
      </c>
      <c r="X420" s="45">
        <v>1</v>
      </c>
      <c r="Y420" s="46">
        <v>1</v>
      </c>
      <c r="Z420" s="45">
        <v>1</v>
      </c>
      <c r="AA420" s="44">
        <v>1</v>
      </c>
      <c r="AB420" s="26">
        <f t="shared" si="595"/>
        <v>2.6026821942017574E-2</v>
      </c>
      <c r="AC420" s="25">
        <f t="shared" si="596"/>
        <v>0.29689856141264487</v>
      </c>
      <c r="AD420" s="24">
        <f t="shared" si="597"/>
        <v>0</v>
      </c>
      <c r="AE420" s="25">
        <f t="shared" si="598"/>
        <v>0</v>
      </c>
      <c r="AF420" s="24">
        <f t="shared" si="599"/>
        <v>0</v>
      </c>
      <c r="AG420" s="25">
        <f t="shared" si="600"/>
        <v>0</v>
      </c>
      <c r="AH420" s="24">
        <f t="shared" si="601"/>
        <v>0</v>
      </c>
      <c r="AI420" s="25">
        <f t="shared" si="602"/>
        <v>0</v>
      </c>
      <c r="AJ420" s="24">
        <f t="shared" si="603"/>
        <v>0</v>
      </c>
      <c r="AK420" s="27">
        <f t="shared" si="581"/>
        <v>0.32292538335466242</v>
      </c>
      <c r="AL420" s="41">
        <v>0</v>
      </c>
      <c r="AM420" s="40">
        <v>0</v>
      </c>
      <c r="AN420" s="39">
        <v>0</v>
      </c>
      <c r="AO420" s="40">
        <v>0</v>
      </c>
      <c r="AP420" s="39">
        <v>0</v>
      </c>
      <c r="AQ420" s="40">
        <v>0</v>
      </c>
      <c r="AR420" s="39">
        <v>0</v>
      </c>
      <c r="AS420" s="40">
        <v>0</v>
      </c>
      <c r="AT420" s="39">
        <v>0</v>
      </c>
      <c r="AU420" s="38">
        <v>0</v>
      </c>
    </row>
    <row r="421" spans="1:47">
      <c r="A421" s="37" t="s">
        <v>1282</v>
      </c>
      <c r="B421" s="36" t="s">
        <v>1129</v>
      </c>
      <c r="C421" s="1" t="s">
        <v>665</v>
      </c>
      <c r="D421" s="36" t="s">
        <v>665</v>
      </c>
      <c r="E421" s="36" t="s">
        <v>1334</v>
      </c>
      <c r="F421" s="1" t="s">
        <v>1333</v>
      </c>
      <c r="G421" s="35" t="s">
        <v>1121</v>
      </c>
      <c r="H421" s="43">
        <v>1</v>
      </c>
      <c r="I421" s="42">
        <v>0</v>
      </c>
      <c r="J421" s="26">
        <v>4.1938313530187399E-2</v>
      </c>
      <c r="K421" s="25">
        <v>0.56756517644186955</v>
      </c>
      <c r="L421" s="24"/>
      <c r="M421" s="25"/>
      <c r="N421" s="24"/>
      <c r="O421" s="25"/>
      <c r="P421" s="24"/>
      <c r="Q421" s="25"/>
      <c r="R421" s="32"/>
      <c r="S421" s="47">
        <v>1</v>
      </c>
      <c r="T421" s="45">
        <v>1</v>
      </c>
      <c r="U421" s="46">
        <v>1</v>
      </c>
      <c r="V421" s="45">
        <v>1</v>
      </c>
      <c r="W421" s="46">
        <v>1</v>
      </c>
      <c r="X421" s="45">
        <v>1</v>
      </c>
      <c r="Y421" s="46">
        <v>1</v>
      </c>
      <c r="Z421" s="45">
        <v>1</v>
      </c>
      <c r="AA421" s="44">
        <v>1</v>
      </c>
      <c r="AB421" s="26">
        <f t="shared" si="595"/>
        <v>4.1938313530187399E-2</v>
      </c>
      <c r="AC421" s="25">
        <f t="shared" si="596"/>
        <v>0.56756517644186955</v>
      </c>
      <c r="AD421" s="24">
        <f t="shared" si="597"/>
        <v>0</v>
      </c>
      <c r="AE421" s="25">
        <f t="shared" si="598"/>
        <v>0</v>
      </c>
      <c r="AF421" s="24">
        <f t="shared" si="599"/>
        <v>0</v>
      </c>
      <c r="AG421" s="25">
        <f t="shared" si="600"/>
        <v>0</v>
      </c>
      <c r="AH421" s="24">
        <f t="shared" si="601"/>
        <v>0</v>
      </c>
      <c r="AI421" s="25">
        <f t="shared" si="602"/>
        <v>0</v>
      </c>
      <c r="AJ421" s="24">
        <f t="shared" si="603"/>
        <v>0</v>
      </c>
      <c r="AK421" s="27">
        <f t="shared" si="581"/>
        <v>0.60950348997205694</v>
      </c>
      <c r="AL421" s="41">
        <v>0</v>
      </c>
      <c r="AM421" s="40">
        <v>0</v>
      </c>
      <c r="AN421" s="39">
        <v>0</v>
      </c>
      <c r="AO421" s="40">
        <v>0</v>
      </c>
      <c r="AP421" s="39">
        <v>0</v>
      </c>
      <c r="AQ421" s="40">
        <v>0</v>
      </c>
      <c r="AR421" s="39">
        <v>0</v>
      </c>
      <c r="AS421" s="40">
        <v>0</v>
      </c>
      <c r="AT421" s="39">
        <v>0</v>
      </c>
      <c r="AU421" s="38">
        <v>0</v>
      </c>
    </row>
    <row r="422" spans="1:47">
      <c r="A422" s="37" t="s">
        <v>1282</v>
      </c>
      <c r="B422" s="36" t="s">
        <v>1129</v>
      </c>
      <c r="C422" s="1" t="s">
        <v>1197</v>
      </c>
      <c r="D422" s="36" t="s">
        <v>1197</v>
      </c>
      <c r="E422" s="36" t="s">
        <v>1332</v>
      </c>
      <c r="F422" s="1" t="s">
        <v>1331</v>
      </c>
      <c r="G422" s="35" t="s">
        <v>1121</v>
      </c>
      <c r="H422" s="43">
        <v>1</v>
      </c>
      <c r="I422" s="42">
        <v>0</v>
      </c>
      <c r="J422" s="26">
        <v>8.4345662454524285E-3</v>
      </c>
      <c r="K422" s="25">
        <v>1.5383711657677959</v>
      </c>
      <c r="L422" s="24"/>
      <c r="M422" s="25"/>
      <c r="N422" s="24"/>
      <c r="O422" s="25"/>
      <c r="P422" s="24"/>
      <c r="Q422" s="25"/>
      <c r="R422" s="32"/>
      <c r="S422" s="47">
        <v>1</v>
      </c>
      <c r="T422" s="45">
        <v>1</v>
      </c>
      <c r="U422" s="46">
        <v>1</v>
      </c>
      <c r="V422" s="45">
        <v>1</v>
      </c>
      <c r="W422" s="46">
        <v>1</v>
      </c>
      <c r="X422" s="45">
        <v>1</v>
      </c>
      <c r="Y422" s="46">
        <v>1</v>
      </c>
      <c r="Z422" s="45">
        <v>1</v>
      </c>
      <c r="AA422" s="44">
        <v>1</v>
      </c>
      <c r="AB422" s="26">
        <f t="shared" si="595"/>
        <v>8.4345662454524285E-3</v>
      </c>
      <c r="AC422" s="25">
        <f t="shared" si="596"/>
        <v>1.5383711657677959</v>
      </c>
      <c r="AD422" s="24">
        <f t="shared" si="597"/>
        <v>0</v>
      </c>
      <c r="AE422" s="25">
        <f t="shared" si="598"/>
        <v>0</v>
      </c>
      <c r="AF422" s="24">
        <f t="shared" si="599"/>
        <v>0</v>
      </c>
      <c r="AG422" s="25">
        <f t="shared" si="600"/>
        <v>0</v>
      </c>
      <c r="AH422" s="24">
        <f t="shared" si="601"/>
        <v>0</v>
      </c>
      <c r="AI422" s="25">
        <f t="shared" si="602"/>
        <v>0</v>
      </c>
      <c r="AJ422" s="24">
        <f t="shared" si="603"/>
        <v>0</v>
      </c>
      <c r="AK422" s="27">
        <f t="shared" si="581"/>
        <v>1.5468057320132482</v>
      </c>
      <c r="AL422" s="41">
        <v>0</v>
      </c>
      <c r="AM422" s="40">
        <v>0</v>
      </c>
      <c r="AN422" s="39">
        <v>0</v>
      </c>
      <c r="AO422" s="40">
        <v>0</v>
      </c>
      <c r="AP422" s="39">
        <v>0</v>
      </c>
      <c r="AQ422" s="40">
        <v>0</v>
      </c>
      <c r="AR422" s="39">
        <v>0</v>
      </c>
      <c r="AS422" s="40">
        <v>0</v>
      </c>
      <c r="AT422" s="39">
        <v>0</v>
      </c>
      <c r="AU422" s="38">
        <v>0</v>
      </c>
    </row>
    <row r="423" spans="1:47">
      <c r="A423" s="37" t="s">
        <v>1282</v>
      </c>
      <c r="B423" s="36" t="s">
        <v>1129</v>
      </c>
      <c r="C423" s="1" t="s">
        <v>468</v>
      </c>
      <c r="D423" s="36" t="s">
        <v>468</v>
      </c>
      <c r="E423" s="36" t="s">
        <v>1330</v>
      </c>
      <c r="F423" s="1" t="s">
        <v>1329</v>
      </c>
      <c r="G423" s="35" t="s">
        <v>1121</v>
      </c>
      <c r="H423" s="43">
        <v>1</v>
      </c>
      <c r="I423" s="42">
        <v>0</v>
      </c>
      <c r="J423" s="26">
        <v>8.4345662454524302E-3</v>
      </c>
      <c r="K423" s="25">
        <v>1.5383711657677963</v>
      </c>
      <c r="L423" s="24"/>
      <c r="M423" s="25"/>
      <c r="N423" s="24"/>
      <c r="O423" s="25"/>
      <c r="P423" s="24"/>
      <c r="Q423" s="25"/>
      <c r="R423" s="32"/>
      <c r="S423" s="47">
        <v>1</v>
      </c>
      <c r="T423" s="45">
        <v>1</v>
      </c>
      <c r="U423" s="46">
        <v>1</v>
      </c>
      <c r="V423" s="45">
        <v>1</v>
      </c>
      <c r="W423" s="46">
        <v>1</v>
      </c>
      <c r="X423" s="45">
        <v>1</v>
      </c>
      <c r="Y423" s="46">
        <v>1</v>
      </c>
      <c r="Z423" s="45">
        <v>1</v>
      </c>
      <c r="AA423" s="44">
        <v>1</v>
      </c>
      <c r="AB423" s="26">
        <f t="shared" si="595"/>
        <v>8.4345662454524302E-3</v>
      </c>
      <c r="AC423" s="25">
        <f t="shared" si="596"/>
        <v>1.5383711657677963</v>
      </c>
      <c r="AD423" s="24">
        <f t="shared" si="597"/>
        <v>0</v>
      </c>
      <c r="AE423" s="25">
        <f t="shared" si="598"/>
        <v>0</v>
      </c>
      <c r="AF423" s="24">
        <f t="shared" si="599"/>
        <v>0</v>
      </c>
      <c r="AG423" s="25">
        <f t="shared" si="600"/>
        <v>0</v>
      </c>
      <c r="AH423" s="24">
        <f t="shared" si="601"/>
        <v>0</v>
      </c>
      <c r="AI423" s="25">
        <f t="shared" si="602"/>
        <v>0</v>
      </c>
      <c r="AJ423" s="24">
        <f t="shared" si="603"/>
        <v>0</v>
      </c>
      <c r="AK423" s="27">
        <f t="shared" si="581"/>
        <v>1.5468057320132487</v>
      </c>
      <c r="AL423" s="41">
        <v>0</v>
      </c>
      <c r="AM423" s="40">
        <v>0</v>
      </c>
      <c r="AN423" s="39">
        <v>0</v>
      </c>
      <c r="AO423" s="40">
        <v>0</v>
      </c>
      <c r="AP423" s="39">
        <v>0</v>
      </c>
      <c r="AQ423" s="40">
        <v>0</v>
      </c>
      <c r="AR423" s="39">
        <v>0</v>
      </c>
      <c r="AS423" s="40">
        <v>0</v>
      </c>
      <c r="AT423" s="39">
        <v>0</v>
      </c>
      <c r="AU423" s="38">
        <v>0</v>
      </c>
    </row>
    <row r="424" spans="1:47">
      <c r="A424" s="37" t="s">
        <v>1282</v>
      </c>
      <c r="B424" s="36" t="s">
        <v>1129</v>
      </c>
      <c r="C424" s="1" t="s">
        <v>1132</v>
      </c>
      <c r="D424" s="36" t="s">
        <v>1131</v>
      </c>
      <c r="E424" s="36" t="s">
        <v>1328</v>
      </c>
      <c r="F424" s="1" t="s">
        <v>1318</v>
      </c>
      <c r="G424" s="35" t="s">
        <v>1121</v>
      </c>
      <c r="H424" s="43">
        <v>1</v>
      </c>
      <c r="I424" s="42">
        <v>0</v>
      </c>
      <c r="J424" s="26">
        <v>0</v>
      </c>
      <c r="K424" s="25">
        <v>0</v>
      </c>
      <c r="L424" s="24"/>
      <c r="M424" s="25"/>
      <c r="N424" s="24"/>
      <c r="O424" s="25"/>
      <c r="P424" s="24"/>
      <c r="Q424" s="25"/>
      <c r="R424" s="32"/>
      <c r="S424" s="47">
        <v>1</v>
      </c>
      <c r="T424" s="45">
        <v>1</v>
      </c>
      <c r="U424" s="46">
        <v>1</v>
      </c>
      <c r="V424" s="45">
        <v>1</v>
      </c>
      <c r="W424" s="46">
        <v>1</v>
      </c>
      <c r="X424" s="45">
        <v>1</v>
      </c>
      <c r="Y424" s="46">
        <v>1</v>
      </c>
      <c r="Z424" s="45">
        <v>1</v>
      </c>
      <c r="AA424" s="44">
        <v>1</v>
      </c>
      <c r="AB424" s="26">
        <f t="shared" si="595"/>
        <v>0</v>
      </c>
      <c r="AC424" s="25">
        <f t="shared" si="596"/>
        <v>0</v>
      </c>
      <c r="AD424" s="24">
        <f t="shared" si="597"/>
        <v>0</v>
      </c>
      <c r="AE424" s="25">
        <f t="shared" si="598"/>
        <v>0</v>
      </c>
      <c r="AF424" s="24">
        <f t="shared" si="599"/>
        <v>0</v>
      </c>
      <c r="AG424" s="25">
        <f t="shared" si="600"/>
        <v>0</v>
      </c>
      <c r="AH424" s="24">
        <f t="shared" si="601"/>
        <v>0</v>
      </c>
      <c r="AI424" s="25">
        <f t="shared" si="602"/>
        <v>0</v>
      </c>
      <c r="AJ424" s="24">
        <f t="shared" si="603"/>
        <v>0</v>
      </c>
      <c r="AK424" s="27">
        <f t="shared" si="581"/>
        <v>0</v>
      </c>
      <c r="AL424" s="41">
        <v>0</v>
      </c>
      <c r="AM424" s="40">
        <v>0</v>
      </c>
      <c r="AN424" s="39">
        <v>0</v>
      </c>
      <c r="AO424" s="40">
        <v>0</v>
      </c>
      <c r="AP424" s="39">
        <v>0</v>
      </c>
      <c r="AQ424" s="40">
        <v>0</v>
      </c>
      <c r="AR424" s="39">
        <v>0</v>
      </c>
      <c r="AS424" s="40">
        <v>0</v>
      </c>
      <c r="AT424" s="39">
        <v>0</v>
      </c>
      <c r="AU424" s="38">
        <v>0</v>
      </c>
    </row>
    <row r="425" spans="1:47">
      <c r="A425" s="37" t="s">
        <v>1282</v>
      </c>
      <c r="B425" s="36" t="s">
        <v>1129</v>
      </c>
      <c r="C425" s="1" t="s">
        <v>1132</v>
      </c>
      <c r="D425" s="36" t="s">
        <v>1189</v>
      </c>
      <c r="E425" s="36" t="s">
        <v>1327</v>
      </c>
      <c r="F425" s="1" t="s">
        <v>1318</v>
      </c>
      <c r="G425" s="35" t="s">
        <v>1179</v>
      </c>
      <c r="H425" s="43">
        <v>1</v>
      </c>
      <c r="I425" s="42">
        <v>0</v>
      </c>
      <c r="J425" s="26" t="e">
        <v>#REF!</v>
      </c>
      <c r="K425" s="25" t="e">
        <v>#REF!</v>
      </c>
      <c r="L425" s="24"/>
      <c r="M425" s="25"/>
      <c r="N425" s="24"/>
      <c r="O425" s="25"/>
      <c r="P425" s="24"/>
      <c r="Q425" s="25"/>
      <c r="R425" s="32"/>
      <c r="S425" s="47" t="e">
        <v>#REF!</v>
      </c>
      <c r="T425" s="45" t="e">
        <v>#REF!</v>
      </c>
      <c r="U425" s="46" t="e">
        <v>#REF!</v>
      </c>
      <c r="V425" s="45" t="e">
        <v>#REF!</v>
      </c>
      <c r="W425" s="46" t="e">
        <v>#REF!</v>
      </c>
      <c r="X425" s="45" t="e">
        <v>#REF!</v>
      </c>
      <c r="Y425" s="46" t="e">
        <v>#REF!</v>
      </c>
      <c r="Z425" s="45" t="e">
        <v>#REF!</v>
      </c>
      <c r="AA425" s="44" t="e">
        <v>#REF!</v>
      </c>
      <c r="AB425" s="26" t="e">
        <f t="shared" si="595"/>
        <v>#REF!</v>
      </c>
      <c r="AC425" s="25" t="e">
        <f t="shared" si="596"/>
        <v>#REF!</v>
      </c>
      <c r="AD425" s="24" t="e">
        <f t="shared" si="597"/>
        <v>#REF!</v>
      </c>
      <c r="AE425" s="25" t="e">
        <f t="shared" si="598"/>
        <v>#REF!</v>
      </c>
      <c r="AF425" s="24" t="e">
        <f t="shared" si="599"/>
        <v>#REF!</v>
      </c>
      <c r="AG425" s="25" t="e">
        <f t="shared" si="600"/>
        <v>#REF!</v>
      </c>
      <c r="AH425" s="24" t="e">
        <f t="shared" si="601"/>
        <v>#REF!</v>
      </c>
      <c r="AI425" s="25" t="e">
        <f t="shared" si="602"/>
        <v>#REF!</v>
      </c>
      <c r="AJ425" s="24" t="e">
        <f t="shared" si="603"/>
        <v>#REF!</v>
      </c>
      <c r="AK425" s="27" t="e">
        <f t="shared" si="581"/>
        <v>#REF!</v>
      </c>
      <c r="AL425" s="41">
        <v>0</v>
      </c>
      <c r="AM425" s="40">
        <v>0</v>
      </c>
      <c r="AN425" s="39">
        <v>0</v>
      </c>
      <c r="AO425" s="40">
        <v>0</v>
      </c>
      <c r="AP425" s="39">
        <v>0</v>
      </c>
      <c r="AQ425" s="40">
        <v>0</v>
      </c>
      <c r="AR425" s="39">
        <v>0</v>
      </c>
      <c r="AS425" s="40">
        <v>0</v>
      </c>
      <c r="AT425" s="39">
        <v>0</v>
      </c>
      <c r="AU425" s="38">
        <v>0</v>
      </c>
    </row>
    <row r="426" spans="1:47">
      <c r="A426" s="37" t="s">
        <v>1282</v>
      </c>
      <c r="B426" s="36" t="s">
        <v>1129</v>
      </c>
      <c r="C426" s="1" t="s">
        <v>1132</v>
      </c>
      <c r="D426" s="36" t="s">
        <v>1189</v>
      </c>
      <c r="E426" s="36" t="s">
        <v>1326</v>
      </c>
      <c r="F426" s="1" t="s">
        <v>1318</v>
      </c>
      <c r="G426" s="35" t="s">
        <v>1179</v>
      </c>
      <c r="H426" s="43">
        <v>1</v>
      </c>
      <c r="I426" s="42">
        <v>0</v>
      </c>
      <c r="J426" s="26" t="e">
        <v>#REF!</v>
      </c>
      <c r="K426" s="25" t="e">
        <v>#REF!</v>
      </c>
      <c r="L426" s="24"/>
      <c r="M426" s="25"/>
      <c r="N426" s="24"/>
      <c r="O426" s="25"/>
      <c r="P426" s="24"/>
      <c r="Q426" s="25"/>
      <c r="R426" s="32"/>
      <c r="S426" s="31" t="e">
        <v>#REF!</v>
      </c>
      <c r="T426" s="29" t="e">
        <v>#REF!</v>
      </c>
      <c r="U426" s="30" t="e">
        <v>#REF!</v>
      </c>
      <c r="V426" s="29" t="e">
        <v>#REF!</v>
      </c>
      <c r="W426" s="30" t="e">
        <v>#REF!</v>
      </c>
      <c r="X426" s="29" t="e">
        <v>#REF!</v>
      </c>
      <c r="Y426" s="30" t="e">
        <v>#REF!</v>
      </c>
      <c r="Z426" s="29" t="e">
        <v>#REF!</v>
      </c>
      <c r="AA426" s="28" t="e">
        <v>#REF!</v>
      </c>
      <c r="AB426" s="26" t="e">
        <f t="shared" si="595"/>
        <v>#REF!</v>
      </c>
      <c r="AC426" s="25" t="e">
        <f t="shared" si="596"/>
        <v>#REF!</v>
      </c>
      <c r="AD426" s="24" t="e">
        <f t="shared" si="597"/>
        <v>#REF!</v>
      </c>
      <c r="AE426" s="25" t="e">
        <f t="shared" si="598"/>
        <v>#REF!</v>
      </c>
      <c r="AF426" s="24" t="e">
        <f t="shared" si="599"/>
        <v>#REF!</v>
      </c>
      <c r="AG426" s="25" t="e">
        <f t="shared" si="600"/>
        <v>#REF!</v>
      </c>
      <c r="AH426" s="24" t="e">
        <f t="shared" si="601"/>
        <v>#REF!</v>
      </c>
      <c r="AI426" s="25" t="e">
        <f t="shared" si="602"/>
        <v>#REF!</v>
      </c>
      <c r="AJ426" s="24" t="e">
        <f t="shared" si="603"/>
        <v>#REF!</v>
      </c>
      <c r="AK426" s="27" t="e">
        <f t="shared" si="581"/>
        <v>#REF!</v>
      </c>
      <c r="AL426" s="41">
        <v>0</v>
      </c>
      <c r="AM426" s="40">
        <v>0</v>
      </c>
      <c r="AN426" s="39">
        <v>0</v>
      </c>
      <c r="AO426" s="40">
        <v>0</v>
      </c>
      <c r="AP426" s="39">
        <v>0</v>
      </c>
      <c r="AQ426" s="40">
        <v>0</v>
      </c>
      <c r="AR426" s="39">
        <v>0</v>
      </c>
      <c r="AS426" s="40">
        <v>0</v>
      </c>
      <c r="AT426" s="39">
        <v>0</v>
      </c>
      <c r="AU426" s="38">
        <v>0</v>
      </c>
    </row>
    <row r="427" spans="1:47">
      <c r="A427" s="37" t="s">
        <v>1282</v>
      </c>
      <c r="B427" s="36" t="s">
        <v>1129</v>
      </c>
      <c r="C427" s="1" t="s">
        <v>1132</v>
      </c>
      <c r="D427" s="36" t="s">
        <v>1189</v>
      </c>
      <c r="E427" s="36" t="s">
        <v>1325</v>
      </c>
      <c r="F427" s="1" t="s">
        <v>1314</v>
      </c>
      <c r="G427" s="35" t="s">
        <v>1179</v>
      </c>
      <c r="H427" s="34">
        <f>1-I427</f>
        <v>0.8845743051095234</v>
      </c>
      <c r="I427" s="33">
        <v>0.11542569489047663</v>
      </c>
      <c r="J427" s="26" t="e">
        <v>#REF!</v>
      </c>
      <c r="K427" s="25" t="e">
        <v>#REF!</v>
      </c>
      <c r="L427" s="24"/>
      <c r="M427" s="25"/>
      <c r="N427" s="24"/>
      <c r="O427" s="25"/>
      <c r="P427" s="24"/>
      <c r="Q427" s="25"/>
      <c r="R427" s="32"/>
      <c r="S427" s="31" t="e">
        <v>#REF!</v>
      </c>
      <c r="T427" s="29" t="e">
        <v>#REF!</v>
      </c>
      <c r="U427" s="30" t="e">
        <v>#REF!</v>
      </c>
      <c r="V427" s="29" t="e">
        <v>#REF!</v>
      </c>
      <c r="W427" s="30" t="e">
        <v>#REF!</v>
      </c>
      <c r="X427" s="29" t="e">
        <v>#REF!</v>
      </c>
      <c r="Y427" s="30" t="e">
        <v>#REF!</v>
      </c>
      <c r="Z427" s="29" t="e">
        <v>#REF!</v>
      </c>
      <c r="AA427" s="28" t="e">
        <v>#REF!</v>
      </c>
      <c r="AB427" s="26" t="e">
        <f t="shared" ref="AB427:AJ428" si="604">J427*31.536*$H427*S427</f>
        <v>#REF!</v>
      </c>
      <c r="AC427" s="25" t="e">
        <f t="shared" si="604"/>
        <v>#REF!</v>
      </c>
      <c r="AD427" s="24" t="e">
        <f t="shared" si="604"/>
        <v>#REF!</v>
      </c>
      <c r="AE427" s="25" t="e">
        <f t="shared" si="604"/>
        <v>#REF!</v>
      </c>
      <c r="AF427" s="24" t="e">
        <f t="shared" si="604"/>
        <v>#REF!</v>
      </c>
      <c r="AG427" s="25" t="e">
        <f t="shared" si="604"/>
        <v>#REF!</v>
      </c>
      <c r="AH427" s="24" t="e">
        <f t="shared" si="604"/>
        <v>#REF!</v>
      </c>
      <c r="AI427" s="25" t="e">
        <f t="shared" si="604"/>
        <v>#REF!</v>
      </c>
      <c r="AJ427" s="24" t="e">
        <f t="shared" si="604"/>
        <v>#REF!</v>
      </c>
      <c r="AK427" s="27" t="e">
        <f t="shared" si="581"/>
        <v>#REF!</v>
      </c>
      <c r="AL427" s="26" t="e">
        <f t="shared" ref="AL427:AT428" si="605">J427*31.536*$I427*S427</f>
        <v>#REF!</v>
      </c>
      <c r="AM427" s="25" t="e">
        <f t="shared" si="605"/>
        <v>#REF!</v>
      </c>
      <c r="AN427" s="24" t="e">
        <f t="shared" si="605"/>
        <v>#REF!</v>
      </c>
      <c r="AO427" s="25" t="e">
        <f t="shared" si="605"/>
        <v>#REF!</v>
      </c>
      <c r="AP427" s="24" t="e">
        <f t="shared" si="605"/>
        <v>#REF!</v>
      </c>
      <c r="AQ427" s="25" t="e">
        <f t="shared" si="605"/>
        <v>#REF!</v>
      </c>
      <c r="AR427" s="24" t="e">
        <f t="shared" si="605"/>
        <v>#REF!</v>
      </c>
      <c r="AS427" s="25" t="e">
        <f t="shared" si="605"/>
        <v>#REF!</v>
      </c>
      <c r="AT427" s="24" t="e">
        <f t="shared" si="605"/>
        <v>#REF!</v>
      </c>
      <c r="AU427" s="23" t="e">
        <f>SUM(AL427:AT427)</f>
        <v>#REF!</v>
      </c>
    </row>
    <row r="428" spans="1:47">
      <c r="A428" s="37" t="s">
        <v>1282</v>
      </c>
      <c r="B428" s="36" t="s">
        <v>1129</v>
      </c>
      <c r="C428" s="1" t="s">
        <v>1132</v>
      </c>
      <c r="D428" s="36" t="s">
        <v>1189</v>
      </c>
      <c r="E428" s="36" t="s">
        <v>1324</v>
      </c>
      <c r="F428" s="1" t="s">
        <v>1314</v>
      </c>
      <c r="G428" s="35" t="s">
        <v>1179</v>
      </c>
      <c r="H428" s="34">
        <f>1-I428</f>
        <v>0.88332652522877819</v>
      </c>
      <c r="I428" s="33">
        <v>0.11667347477122178</v>
      </c>
      <c r="J428" s="26" t="e">
        <v>#REF!</v>
      </c>
      <c r="K428" s="25" t="e">
        <v>#REF!</v>
      </c>
      <c r="L428" s="24"/>
      <c r="M428" s="25"/>
      <c r="N428" s="24"/>
      <c r="O428" s="25"/>
      <c r="P428" s="24"/>
      <c r="Q428" s="25"/>
      <c r="R428" s="32"/>
      <c r="S428" s="31" t="e">
        <v>#REF!</v>
      </c>
      <c r="T428" s="29" t="e">
        <v>#REF!</v>
      </c>
      <c r="U428" s="30" t="e">
        <v>#REF!</v>
      </c>
      <c r="V428" s="29" t="e">
        <v>#REF!</v>
      </c>
      <c r="W428" s="30" t="e">
        <v>#REF!</v>
      </c>
      <c r="X428" s="29" t="e">
        <v>#REF!</v>
      </c>
      <c r="Y428" s="30" t="e">
        <v>#REF!</v>
      </c>
      <c r="Z428" s="29" t="e">
        <v>#REF!</v>
      </c>
      <c r="AA428" s="28" t="e">
        <v>#REF!</v>
      </c>
      <c r="AB428" s="26" t="e">
        <f t="shared" si="604"/>
        <v>#REF!</v>
      </c>
      <c r="AC428" s="25" t="e">
        <f t="shared" si="604"/>
        <v>#REF!</v>
      </c>
      <c r="AD428" s="24" t="e">
        <f t="shared" si="604"/>
        <v>#REF!</v>
      </c>
      <c r="AE428" s="25" t="e">
        <f t="shared" si="604"/>
        <v>#REF!</v>
      </c>
      <c r="AF428" s="24" t="e">
        <f t="shared" si="604"/>
        <v>#REF!</v>
      </c>
      <c r="AG428" s="25" t="e">
        <f t="shared" si="604"/>
        <v>#REF!</v>
      </c>
      <c r="AH428" s="24" t="e">
        <f t="shared" si="604"/>
        <v>#REF!</v>
      </c>
      <c r="AI428" s="25" t="e">
        <f t="shared" si="604"/>
        <v>#REF!</v>
      </c>
      <c r="AJ428" s="24" t="e">
        <f t="shared" si="604"/>
        <v>#REF!</v>
      </c>
      <c r="AK428" s="27" t="e">
        <f t="shared" si="581"/>
        <v>#REF!</v>
      </c>
      <c r="AL428" s="26" t="e">
        <f t="shared" si="605"/>
        <v>#REF!</v>
      </c>
      <c r="AM428" s="25" t="e">
        <f t="shared" si="605"/>
        <v>#REF!</v>
      </c>
      <c r="AN428" s="24" t="e">
        <f t="shared" si="605"/>
        <v>#REF!</v>
      </c>
      <c r="AO428" s="25" t="e">
        <f t="shared" si="605"/>
        <v>#REF!</v>
      </c>
      <c r="AP428" s="24" t="e">
        <f t="shared" si="605"/>
        <v>#REF!</v>
      </c>
      <c r="AQ428" s="25" t="e">
        <f t="shared" si="605"/>
        <v>#REF!</v>
      </c>
      <c r="AR428" s="24" t="e">
        <f t="shared" si="605"/>
        <v>#REF!</v>
      </c>
      <c r="AS428" s="25" t="e">
        <f t="shared" si="605"/>
        <v>#REF!</v>
      </c>
      <c r="AT428" s="24" t="e">
        <f t="shared" si="605"/>
        <v>#REF!</v>
      </c>
      <c r="AU428" s="23" t="e">
        <f>SUM(AL428:AT428)</f>
        <v>#REF!</v>
      </c>
    </row>
    <row r="429" spans="1:47">
      <c r="A429" s="37" t="s">
        <v>1282</v>
      </c>
      <c r="B429" s="36" t="s">
        <v>1129</v>
      </c>
      <c r="C429" s="1" t="s">
        <v>1132</v>
      </c>
      <c r="D429" s="36" t="s">
        <v>1182</v>
      </c>
      <c r="E429" s="36" t="s">
        <v>1323</v>
      </c>
      <c r="F429" s="1" t="s">
        <v>1318</v>
      </c>
      <c r="G429" s="35" t="s">
        <v>1179</v>
      </c>
      <c r="H429" s="43">
        <v>1</v>
      </c>
      <c r="I429" s="42">
        <v>0</v>
      </c>
      <c r="J429" s="26" t="e">
        <v>#REF!</v>
      </c>
      <c r="K429" s="25" t="e">
        <v>#REF!</v>
      </c>
      <c r="L429" s="24"/>
      <c r="M429" s="25"/>
      <c r="N429" s="24"/>
      <c r="O429" s="25"/>
      <c r="P429" s="24"/>
      <c r="Q429" s="25"/>
      <c r="R429" s="32"/>
      <c r="S429" s="31" t="e">
        <v>#REF!</v>
      </c>
      <c r="T429" s="29" t="e">
        <v>#REF!</v>
      </c>
      <c r="U429" s="30" t="e">
        <v>#REF!</v>
      </c>
      <c r="V429" s="29" t="e">
        <v>#REF!</v>
      </c>
      <c r="W429" s="30" t="e">
        <v>#REF!</v>
      </c>
      <c r="X429" s="29" t="e">
        <v>#REF!</v>
      </c>
      <c r="Y429" s="30" t="e">
        <v>#REF!</v>
      </c>
      <c r="Z429" s="29" t="e">
        <v>#REF!</v>
      </c>
      <c r="AA429" s="28" t="e">
        <v>#REF!</v>
      </c>
      <c r="AB429" s="26" t="e">
        <f t="shared" ref="AB429:AJ431" si="606">J429*$H429*S429</f>
        <v>#REF!</v>
      </c>
      <c r="AC429" s="25" t="e">
        <f t="shared" si="606"/>
        <v>#REF!</v>
      </c>
      <c r="AD429" s="24" t="e">
        <f t="shared" si="606"/>
        <v>#REF!</v>
      </c>
      <c r="AE429" s="25" t="e">
        <f t="shared" si="606"/>
        <v>#REF!</v>
      </c>
      <c r="AF429" s="24" t="e">
        <f t="shared" si="606"/>
        <v>#REF!</v>
      </c>
      <c r="AG429" s="25" t="e">
        <f t="shared" si="606"/>
        <v>#REF!</v>
      </c>
      <c r="AH429" s="24" t="e">
        <f t="shared" si="606"/>
        <v>#REF!</v>
      </c>
      <c r="AI429" s="25" t="e">
        <f t="shared" si="606"/>
        <v>#REF!</v>
      </c>
      <c r="AJ429" s="24" t="e">
        <f t="shared" si="606"/>
        <v>#REF!</v>
      </c>
      <c r="AK429" s="27" t="e">
        <f t="shared" si="581"/>
        <v>#REF!</v>
      </c>
      <c r="AL429" s="41">
        <v>0</v>
      </c>
      <c r="AM429" s="40">
        <v>0</v>
      </c>
      <c r="AN429" s="39">
        <v>0</v>
      </c>
      <c r="AO429" s="40">
        <v>0</v>
      </c>
      <c r="AP429" s="39">
        <v>0</v>
      </c>
      <c r="AQ429" s="40">
        <v>0</v>
      </c>
      <c r="AR429" s="39">
        <v>0</v>
      </c>
      <c r="AS429" s="40">
        <v>0</v>
      </c>
      <c r="AT429" s="39">
        <v>0</v>
      </c>
      <c r="AU429" s="38">
        <v>0</v>
      </c>
    </row>
    <row r="430" spans="1:47">
      <c r="A430" s="37" t="s">
        <v>1282</v>
      </c>
      <c r="B430" s="36" t="s">
        <v>1129</v>
      </c>
      <c r="C430" s="1" t="s">
        <v>1132</v>
      </c>
      <c r="D430" s="36" t="s">
        <v>1182</v>
      </c>
      <c r="E430" s="36" t="s">
        <v>1322</v>
      </c>
      <c r="F430" s="1" t="s">
        <v>1318</v>
      </c>
      <c r="G430" s="35" t="s">
        <v>1179</v>
      </c>
      <c r="H430" s="43">
        <v>1</v>
      </c>
      <c r="I430" s="42">
        <v>0</v>
      </c>
      <c r="J430" s="26" t="e">
        <v>#REF!</v>
      </c>
      <c r="K430" s="25" t="e">
        <v>#REF!</v>
      </c>
      <c r="L430" s="24"/>
      <c r="M430" s="25"/>
      <c r="N430" s="24"/>
      <c r="O430" s="25"/>
      <c r="P430" s="24"/>
      <c r="Q430" s="25"/>
      <c r="R430" s="32"/>
      <c r="S430" s="31" t="e">
        <v>#REF!</v>
      </c>
      <c r="T430" s="29" t="e">
        <v>#REF!</v>
      </c>
      <c r="U430" s="30" t="e">
        <v>#REF!</v>
      </c>
      <c r="V430" s="29" t="e">
        <v>#REF!</v>
      </c>
      <c r="W430" s="30" t="e">
        <v>#REF!</v>
      </c>
      <c r="X430" s="29" t="e">
        <v>#REF!</v>
      </c>
      <c r="Y430" s="30" t="e">
        <v>#REF!</v>
      </c>
      <c r="Z430" s="29" t="e">
        <v>#REF!</v>
      </c>
      <c r="AA430" s="28" t="e">
        <v>#REF!</v>
      </c>
      <c r="AB430" s="26" t="e">
        <f t="shared" si="606"/>
        <v>#REF!</v>
      </c>
      <c r="AC430" s="25" t="e">
        <f t="shared" si="606"/>
        <v>#REF!</v>
      </c>
      <c r="AD430" s="24" t="e">
        <f t="shared" si="606"/>
        <v>#REF!</v>
      </c>
      <c r="AE430" s="25" t="e">
        <f t="shared" si="606"/>
        <v>#REF!</v>
      </c>
      <c r="AF430" s="24" t="e">
        <f t="shared" si="606"/>
        <v>#REF!</v>
      </c>
      <c r="AG430" s="25" t="e">
        <f t="shared" si="606"/>
        <v>#REF!</v>
      </c>
      <c r="AH430" s="24" t="e">
        <f t="shared" si="606"/>
        <v>#REF!</v>
      </c>
      <c r="AI430" s="25" t="e">
        <f t="shared" si="606"/>
        <v>#REF!</v>
      </c>
      <c r="AJ430" s="24" t="e">
        <f t="shared" si="606"/>
        <v>#REF!</v>
      </c>
      <c r="AK430" s="27" t="e">
        <f t="shared" si="581"/>
        <v>#REF!</v>
      </c>
      <c r="AL430" s="41">
        <v>0</v>
      </c>
      <c r="AM430" s="40">
        <v>0</v>
      </c>
      <c r="AN430" s="39">
        <v>0</v>
      </c>
      <c r="AO430" s="40">
        <v>0</v>
      </c>
      <c r="AP430" s="39">
        <v>0</v>
      </c>
      <c r="AQ430" s="40">
        <v>0</v>
      </c>
      <c r="AR430" s="39">
        <v>0</v>
      </c>
      <c r="AS430" s="40">
        <v>0</v>
      </c>
      <c r="AT430" s="39">
        <v>0</v>
      </c>
      <c r="AU430" s="38">
        <v>0</v>
      </c>
    </row>
    <row r="431" spans="1:47">
      <c r="A431" s="37" t="s">
        <v>1282</v>
      </c>
      <c r="B431" s="36" t="s">
        <v>1129</v>
      </c>
      <c r="C431" s="1" t="s">
        <v>1132</v>
      </c>
      <c r="D431" s="36" t="s">
        <v>1182</v>
      </c>
      <c r="E431" s="36" t="s">
        <v>1321</v>
      </c>
      <c r="F431" s="1" t="s">
        <v>1318</v>
      </c>
      <c r="G431" s="35" t="s">
        <v>1179</v>
      </c>
      <c r="H431" s="43">
        <v>1</v>
      </c>
      <c r="I431" s="42">
        <v>0</v>
      </c>
      <c r="J431" s="26" t="e">
        <v>#REF!</v>
      </c>
      <c r="K431" s="25" t="e">
        <v>#REF!</v>
      </c>
      <c r="L431" s="24"/>
      <c r="M431" s="25"/>
      <c r="N431" s="24"/>
      <c r="O431" s="25"/>
      <c r="P431" s="24"/>
      <c r="Q431" s="25"/>
      <c r="R431" s="32"/>
      <c r="S431" s="31" t="e">
        <v>#REF!</v>
      </c>
      <c r="T431" s="29" t="e">
        <v>#REF!</v>
      </c>
      <c r="U431" s="30" t="e">
        <v>#REF!</v>
      </c>
      <c r="V431" s="29" t="e">
        <v>#REF!</v>
      </c>
      <c r="W431" s="30" t="e">
        <v>#REF!</v>
      </c>
      <c r="X431" s="29" t="e">
        <v>#REF!</v>
      </c>
      <c r="Y431" s="30" t="e">
        <v>#REF!</v>
      </c>
      <c r="Z431" s="29" t="e">
        <v>#REF!</v>
      </c>
      <c r="AA431" s="28" t="e">
        <v>#REF!</v>
      </c>
      <c r="AB431" s="26" t="e">
        <f t="shared" si="606"/>
        <v>#REF!</v>
      </c>
      <c r="AC431" s="25" t="e">
        <f t="shared" si="606"/>
        <v>#REF!</v>
      </c>
      <c r="AD431" s="24" t="e">
        <f t="shared" si="606"/>
        <v>#REF!</v>
      </c>
      <c r="AE431" s="25" t="e">
        <f t="shared" si="606"/>
        <v>#REF!</v>
      </c>
      <c r="AF431" s="24" t="e">
        <f t="shared" si="606"/>
        <v>#REF!</v>
      </c>
      <c r="AG431" s="25" t="e">
        <f t="shared" si="606"/>
        <v>#REF!</v>
      </c>
      <c r="AH431" s="24" t="e">
        <f t="shared" si="606"/>
        <v>#REF!</v>
      </c>
      <c r="AI431" s="25" t="e">
        <f t="shared" si="606"/>
        <v>#REF!</v>
      </c>
      <c r="AJ431" s="24" t="e">
        <f t="shared" si="606"/>
        <v>#REF!</v>
      </c>
      <c r="AK431" s="27" t="e">
        <f t="shared" si="581"/>
        <v>#REF!</v>
      </c>
      <c r="AL431" s="41">
        <v>0</v>
      </c>
      <c r="AM431" s="40">
        <v>0</v>
      </c>
      <c r="AN431" s="39">
        <v>0</v>
      </c>
      <c r="AO431" s="40">
        <v>0</v>
      </c>
      <c r="AP431" s="39">
        <v>0</v>
      </c>
      <c r="AQ431" s="40">
        <v>0</v>
      </c>
      <c r="AR431" s="39">
        <v>0</v>
      </c>
      <c r="AS431" s="40">
        <v>0</v>
      </c>
      <c r="AT431" s="39">
        <v>0</v>
      </c>
      <c r="AU431" s="38">
        <v>0</v>
      </c>
    </row>
    <row r="432" spans="1:47">
      <c r="A432" s="37" t="s">
        <v>1282</v>
      </c>
      <c r="B432" s="36" t="s">
        <v>1129</v>
      </c>
      <c r="C432" s="1" t="s">
        <v>1132</v>
      </c>
      <c r="D432" s="36" t="s">
        <v>1182</v>
      </c>
      <c r="E432" s="36" t="s">
        <v>1320</v>
      </c>
      <c r="F432" s="1" t="s">
        <v>1314</v>
      </c>
      <c r="G432" s="35" t="s">
        <v>1179</v>
      </c>
      <c r="H432" s="34">
        <f>1-I432</f>
        <v>0.88332652522877819</v>
      </c>
      <c r="I432" s="33">
        <v>0.11667347477122179</v>
      </c>
      <c r="J432" s="26" t="e">
        <v>#REF!</v>
      </c>
      <c r="K432" s="25" t="e">
        <v>#REF!</v>
      </c>
      <c r="L432" s="24"/>
      <c r="M432" s="25"/>
      <c r="N432" s="24"/>
      <c r="O432" s="25"/>
      <c r="P432" s="24"/>
      <c r="Q432" s="25"/>
      <c r="R432" s="32"/>
      <c r="S432" s="31" t="e">
        <v>#REF!</v>
      </c>
      <c r="T432" s="29" t="e">
        <v>#REF!</v>
      </c>
      <c r="U432" s="30" t="e">
        <v>#REF!</v>
      </c>
      <c r="V432" s="29" t="e">
        <v>#REF!</v>
      </c>
      <c r="W432" s="30" t="e">
        <v>#REF!</v>
      </c>
      <c r="X432" s="29" t="e">
        <v>#REF!</v>
      </c>
      <c r="Y432" s="30" t="e">
        <v>#REF!</v>
      </c>
      <c r="Z432" s="29" t="e">
        <v>#REF!</v>
      </c>
      <c r="AA432" s="28" t="e">
        <v>#REF!</v>
      </c>
      <c r="AB432" s="26" t="e">
        <f t="shared" ref="AB432:AJ432" si="607">J432*31.536*$H432*S432</f>
        <v>#REF!</v>
      </c>
      <c r="AC432" s="25" t="e">
        <f t="shared" si="607"/>
        <v>#REF!</v>
      </c>
      <c r="AD432" s="24" t="e">
        <f t="shared" si="607"/>
        <v>#REF!</v>
      </c>
      <c r="AE432" s="25" t="e">
        <f t="shared" si="607"/>
        <v>#REF!</v>
      </c>
      <c r="AF432" s="24" t="e">
        <f t="shared" si="607"/>
        <v>#REF!</v>
      </c>
      <c r="AG432" s="25" t="e">
        <f t="shared" si="607"/>
        <v>#REF!</v>
      </c>
      <c r="AH432" s="24" t="e">
        <f t="shared" si="607"/>
        <v>#REF!</v>
      </c>
      <c r="AI432" s="25" t="e">
        <f t="shared" si="607"/>
        <v>#REF!</v>
      </c>
      <c r="AJ432" s="24" t="e">
        <f t="shared" si="607"/>
        <v>#REF!</v>
      </c>
      <c r="AK432" s="27" t="e">
        <f t="shared" si="581"/>
        <v>#REF!</v>
      </c>
      <c r="AL432" s="26" t="e">
        <f t="shared" ref="AL432:AT432" si="608">J432*31.536*$I432*S432</f>
        <v>#REF!</v>
      </c>
      <c r="AM432" s="25" t="e">
        <f t="shared" si="608"/>
        <v>#REF!</v>
      </c>
      <c r="AN432" s="24" t="e">
        <f t="shared" si="608"/>
        <v>#REF!</v>
      </c>
      <c r="AO432" s="25" t="e">
        <f t="shared" si="608"/>
        <v>#REF!</v>
      </c>
      <c r="AP432" s="24" t="e">
        <f t="shared" si="608"/>
        <v>#REF!</v>
      </c>
      <c r="AQ432" s="25" t="e">
        <f t="shared" si="608"/>
        <v>#REF!</v>
      </c>
      <c r="AR432" s="24" t="e">
        <f t="shared" si="608"/>
        <v>#REF!</v>
      </c>
      <c r="AS432" s="25" t="e">
        <f t="shared" si="608"/>
        <v>#REF!</v>
      </c>
      <c r="AT432" s="24" t="e">
        <f t="shared" si="608"/>
        <v>#REF!</v>
      </c>
      <c r="AU432" s="23" t="e">
        <f>SUM(AL432:AT432)</f>
        <v>#REF!</v>
      </c>
    </row>
    <row r="433" spans="1:47">
      <c r="A433" s="37" t="s">
        <v>1282</v>
      </c>
      <c r="B433" s="36" t="s">
        <v>1129</v>
      </c>
      <c r="C433" s="1" t="s">
        <v>1132</v>
      </c>
      <c r="D433" s="36" t="s">
        <v>1182</v>
      </c>
      <c r="E433" s="36" t="s">
        <v>1319</v>
      </c>
      <c r="F433" s="1" t="s">
        <v>1318</v>
      </c>
      <c r="G433" s="35" t="s">
        <v>1179</v>
      </c>
      <c r="H433" s="43">
        <v>1</v>
      </c>
      <c r="I433" s="42">
        <v>0</v>
      </c>
      <c r="J433" s="26" t="e">
        <v>#REF!</v>
      </c>
      <c r="K433" s="25" t="e">
        <v>#REF!</v>
      </c>
      <c r="L433" s="24"/>
      <c r="M433" s="25"/>
      <c r="N433" s="24"/>
      <c r="O433" s="25"/>
      <c r="P433" s="24"/>
      <c r="Q433" s="25"/>
      <c r="R433" s="32"/>
      <c r="S433" s="31" t="e">
        <v>#REF!</v>
      </c>
      <c r="T433" s="29" t="e">
        <v>#REF!</v>
      </c>
      <c r="U433" s="30" t="e">
        <v>#REF!</v>
      </c>
      <c r="V433" s="29" t="e">
        <v>#REF!</v>
      </c>
      <c r="W433" s="30" t="e">
        <v>#REF!</v>
      </c>
      <c r="X433" s="29" t="e">
        <v>#REF!</v>
      </c>
      <c r="Y433" s="30" t="e">
        <v>#REF!</v>
      </c>
      <c r="Z433" s="29" t="e">
        <v>#REF!</v>
      </c>
      <c r="AA433" s="28" t="e">
        <v>#REF!</v>
      </c>
      <c r="AB433" s="26" t="e">
        <f t="shared" ref="AB433:AJ433" si="609">J433*$H433*S433</f>
        <v>#REF!</v>
      </c>
      <c r="AC433" s="25" t="e">
        <f t="shared" si="609"/>
        <v>#REF!</v>
      </c>
      <c r="AD433" s="24" t="e">
        <f t="shared" si="609"/>
        <v>#REF!</v>
      </c>
      <c r="AE433" s="25" t="e">
        <f t="shared" si="609"/>
        <v>#REF!</v>
      </c>
      <c r="AF433" s="24" t="e">
        <f t="shared" si="609"/>
        <v>#REF!</v>
      </c>
      <c r="AG433" s="25" t="e">
        <f t="shared" si="609"/>
        <v>#REF!</v>
      </c>
      <c r="AH433" s="24" t="e">
        <f t="shared" si="609"/>
        <v>#REF!</v>
      </c>
      <c r="AI433" s="25" t="e">
        <f t="shared" si="609"/>
        <v>#REF!</v>
      </c>
      <c r="AJ433" s="24" t="e">
        <f t="shared" si="609"/>
        <v>#REF!</v>
      </c>
      <c r="AK433" s="27" t="e">
        <f t="shared" si="581"/>
        <v>#REF!</v>
      </c>
      <c r="AL433" s="41">
        <v>0</v>
      </c>
      <c r="AM433" s="40">
        <v>0</v>
      </c>
      <c r="AN433" s="39">
        <v>0</v>
      </c>
      <c r="AO433" s="40">
        <v>0</v>
      </c>
      <c r="AP433" s="39">
        <v>0</v>
      </c>
      <c r="AQ433" s="40">
        <v>0</v>
      </c>
      <c r="AR433" s="39">
        <v>0</v>
      </c>
      <c r="AS433" s="40">
        <v>0</v>
      </c>
      <c r="AT433" s="39">
        <v>0</v>
      </c>
      <c r="AU433" s="38">
        <v>0</v>
      </c>
    </row>
    <row r="434" spans="1:47">
      <c r="A434" s="37" t="s">
        <v>1282</v>
      </c>
      <c r="B434" s="36" t="s">
        <v>1129</v>
      </c>
      <c r="C434" s="1" t="s">
        <v>1132</v>
      </c>
      <c r="D434" s="36" t="s">
        <v>1182</v>
      </c>
      <c r="E434" s="36" t="s">
        <v>1317</v>
      </c>
      <c r="F434" s="1" t="s">
        <v>1314</v>
      </c>
      <c r="G434" s="35" t="s">
        <v>1179</v>
      </c>
      <c r="H434" s="34">
        <f>1-I434</f>
        <v>0.88332652522877819</v>
      </c>
      <c r="I434" s="33">
        <v>0.11667347477122177</v>
      </c>
      <c r="J434" s="26" t="e">
        <v>#REF!</v>
      </c>
      <c r="K434" s="25" t="e">
        <v>#REF!</v>
      </c>
      <c r="L434" s="24"/>
      <c r="M434" s="25"/>
      <c r="N434" s="24"/>
      <c r="O434" s="25"/>
      <c r="P434" s="24"/>
      <c r="Q434" s="25"/>
      <c r="R434" s="32"/>
      <c r="S434" s="31" t="e">
        <v>#REF!</v>
      </c>
      <c r="T434" s="29" t="e">
        <v>#REF!</v>
      </c>
      <c r="U434" s="30" t="e">
        <v>#REF!</v>
      </c>
      <c r="V434" s="29" t="e">
        <v>#REF!</v>
      </c>
      <c r="W434" s="30" t="e">
        <v>#REF!</v>
      </c>
      <c r="X434" s="29" t="e">
        <v>#REF!</v>
      </c>
      <c r="Y434" s="30" t="e">
        <v>#REF!</v>
      </c>
      <c r="Z434" s="29" t="e">
        <v>#REF!</v>
      </c>
      <c r="AA434" s="28" t="e">
        <v>#REF!</v>
      </c>
      <c r="AB434" s="26" t="e">
        <f t="shared" ref="AB434:AJ436" si="610">J434*31.536*$H434*S434</f>
        <v>#REF!</v>
      </c>
      <c r="AC434" s="25" t="e">
        <f t="shared" si="610"/>
        <v>#REF!</v>
      </c>
      <c r="AD434" s="24" t="e">
        <f t="shared" si="610"/>
        <v>#REF!</v>
      </c>
      <c r="AE434" s="25" t="e">
        <f t="shared" si="610"/>
        <v>#REF!</v>
      </c>
      <c r="AF434" s="24" t="e">
        <f t="shared" si="610"/>
        <v>#REF!</v>
      </c>
      <c r="AG434" s="25" t="e">
        <f t="shared" si="610"/>
        <v>#REF!</v>
      </c>
      <c r="AH434" s="24" t="e">
        <f t="shared" si="610"/>
        <v>#REF!</v>
      </c>
      <c r="AI434" s="25" t="e">
        <f t="shared" si="610"/>
        <v>#REF!</v>
      </c>
      <c r="AJ434" s="24" t="e">
        <f t="shared" si="610"/>
        <v>#REF!</v>
      </c>
      <c r="AK434" s="27" t="e">
        <f t="shared" si="581"/>
        <v>#REF!</v>
      </c>
      <c r="AL434" s="26" t="e">
        <f t="shared" ref="AL434:AT436" si="611">J434*31.536*$I434*S434</f>
        <v>#REF!</v>
      </c>
      <c r="AM434" s="25" t="e">
        <f t="shared" si="611"/>
        <v>#REF!</v>
      </c>
      <c r="AN434" s="24" t="e">
        <f t="shared" si="611"/>
        <v>#REF!</v>
      </c>
      <c r="AO434" s="25" t="e">
        <f t="shared" si="611"/>
        <v>#REF!</v>
      </c>
      <c r="AP434" s="24" t="e">
        <f t="shared" si="611"/>
        <v>#REF!</v>
      </c>
      <c r="AQ434" s="25" t="e">
        <f t="shared" si="611"/>
        <v>#REF!</v>
      </c>
      <c r="AR434" s="24" t="e">
        <f t="shared" si="611"/>
        <v>#REF!</v>
      </c>
      <c r="AS434" s="25" t="e">
        <f t="shared" si="611"/>
        <v>#REF!</v>
      </c>
      <c r="AT434" s="24" t="e">
        <f t="shared" si="611"/>
        <v>#REF!</v>
      </c>
      <c r="AU434" s="23" t="e">
        <f>SUM(AL434:AT434)</f>
        <v>#REF!</v>
      </c>
    </row>
    <row r="435" spans="1:47">
      <c r="A435" s="37" t="s">
        <v>1282</v>
      </c>
      <c r="B435" s="36" t="s">
        <v>1129</v>
      </c>
      <c r="C435" s="1" t="s">
        <v>1132</v>
      </c>
      <c r="D435" s="36" t="s">
        <v>1182</v>
      </c>
      <c r="E435" s="36" t="s">
        <v>1316</v>
      </c>
      <c r="F435" s="1" t="s">
        <v>1314</v>
      </c>
      <c r="G435" s="35" t="s">
        <v>1179</v>
      </c>
      <c r="H435" s="34">
        <f>1-I435</f>
        <v>0.88775375895900943</v>
      </c>
      <c r="I435" s="33">
        <v>0.11224624104099054</v>
      </c>
      <c r="J435" s="26" t="e">
        <v>#REF!</v>
      </c>
      <c r="K435" s="25" t="e">
        <v>#REF!</v>
      </c>
      <c r="L435" s="24"/>
      <c r="M435" s="25"/>
      <c r="N435" s="24"/>
      <c r="O435" s="25"/>
      <c r="P435" s="24"/>
      <c r="Q435" s="25"/>
      <c r="R435" s="32"/>
      <c r="S435" s="31" t="e">
        <v>#REF!</v>
      </c>
      <c r="T435" s="29" t="e">
        <v>#REF!</v>
      </c>
      <c r="U435" s="30" t="e">
        <v>#REF!</v>
      </c>
      <c r="V435" s="29" t="e">
        <v>#REF!</v>
      </c>
      <c r="W435" s="30" t="e">
        <v>#REF!</v>
      </c>
      <c r="X435" s="29" t="e">
        <v>#REF!</v>
      </c>
      <c r="Y435" s="30" t="e">
        <v>#REF!</v>
      </c>
      <c r="Z435" s="29" t="e">
        <v>#REF!</v>
      </c>
      <c r="AA435" s="28" t="e">
        <v>#REF!</v>
      </c>
      <c r="AB435" s="26" t="e">
        <f t="shared" si="610"/>
        <v>#REF!</v>
      </c>
      <c r="AC435" s="25" t="e">
        <f t="shared" si="610"/>
        <v>#REF!</v>
      </c>
      <c r="AD435" s="24" t="e">
        <f t="shared" si="610"/>
        <v>#REF!</v>
      </c>
      <c r="AE435" s="25" t="e">
        <f t="shared" si="610"/>
        <v>#REF!</v>
      </c>
      <c r="AF435" s="24" t="e">
        <f t="shared" si="610"/>
        <v>#REF!</v>
      </c>
      <c r="AG435" s="25" t="e">
        <f t="shared" si="610"/>
        <v>#REF!</v>
      </c>
      <c r="AH435" s="24" t="e">
        <f t="shared" si="610"/>
        <v>#REF!</v>
      </c>
      <c r="AI435" s="25" t="e">
        <f t="shared" si="610"/>
        <v>#REF!</v>
      </c>
      <c r="AJ435" s="24" t="e">
        <f t="shared" si="610"/>
        <v>#REF!</v>
      </c>
      <c r="AK435" s="27" t="e">
        <f t="shared" si="581"/>
        <v>#REF!</v>
      </c>
      <c r="AL435" s="26" t="e">
        <f t="shared" si="611"/>
        <v>#REF!</v>
      </c>
      <c r="AM435" s="25" t="e">
        <f t="shared" si="611"/>
        <v>#REF!</v>
      </c>
      <c r="AN435" s="24" t="e">
        <f t="shared" si="611"/>
        <v>#REF!</v>
      </c>
      <c r="AO435" s="25" t="e">
        <f t="shared" si="611"/>
        <v>#REF!</v>
      </c>
      <c r="AP435" s="24" t="e">
        <f t="shared" si="611"/>
        <v>#REF!</v>
      </c>
      <c r="AQ435" s="25" t="e">
        <f t="shared" si="611"/>
        <v>#REF!</v>
      </c>
      <c r="AR435" s="24" t="e">
        <f t="shared" si="611"/>
        <v>#REF!</v>
      </c>
      <c r="AS435" s="25" t="e">
        <f t="shared" si="611"/>
        <v>#REF!</v>
      </c>
      <c r="AT435" s="24" t="e">
        <f t="shared" si="611"/>
        <v>#REF!</v>
      </c>
      <c r="AU435" s="23" t="e">
        <f>SUM(AL435:AT435)</f>
        <v>#REF!</v>
      </c>
    </row>
    <row r="436" spans="1:47">
      <c r="A436" s="37" t="s">
        <v>1282</v>
      </c>
      <c r="B436" s="36" t="s">
        <v>1129</v>
      </c>
      <c r="C436" s="1" t="s">
        <v>1132</v>
      </c>
      <c r="D436" s="36" t="s">
        <v>1182</v>
      </c>
      <c r="E436" s="36" t="s">
        <v>1315</v>
      </c>
      <c r="F436" s="1" t="s">
        <v>1314</v>
      </c>
      <c r="G436" s="35" t="s">
        <v>1179</v>
      </c>
      <c r="H436" s="34">
        <f>1-I436</f>
        <v>0.88439615508910219</v>
      </c>
      <c r="I436" s="33">
        <v>0.1156038449108978</v>
      </c>
      <c r="J436" s="26" t="e">
        <v>#REF!</v>
      </c>
      <c r="K436" s="25" t="e">
        <v>#REF!</v>
      </c>
      <c r="L436" s="24"/>
      <c r="M436" s="25"/>
      <c r="N436" s="24"/>
      <c r="O436" s="25"/>
      <c r="P436" s="24"/>
      <c r="Q436" s="25"/>
      <c r="R436" s="32"/>
      <c r="S436" s="31" t="e">
        <v>#REF!</v>
      </c>
      <c r="T436" s="29" t="e">
        <v>#REF!</v>
      </c>
      <c r="U436" s="30" t="e">
        <v>#REF!</v>
      </c>
      <c r="V436" s="29" t="e">
        <v>#REF!</v>
      </c>
      <c r="W436" s="30" t="e">
        <v>#REF!</v>
      </c>
      <c r="X436" s="29" t="e">
        <v>#REF!</v>
      </c>
      <c r="Y436" s="30" t="e">
        <v>#REF!</v>
      </c>
      <c r="Z436" s="29" t="e">
        <v>#REF!</v>
      </c>
      <c r="AA436" s="28" t="e">
        <v>#REF!</v>
      </c>
      <c r="AB436" s="26" t="e">
        <f t="shared" si="610"/>
        <v>#REF!</v>
      </c>
      <c r="AC436" s="25" t="e">
        <f t="shared" si="610"/>
        <v>#REF!</v>
      </c>
      <c r="AD436" s="24" t="e">
        <f t="shared" si="610"/>
        <v>#REF!</v>
      </c>
      <c r="AE436" s="25" t="e">
        <f t="shared" si="610"/>
        <v>#REF!</v>
      </c>
      <c r="AF436" s="24" t="e">
        <f t="shared" si="610"/>
        <v>#REF!</v>
      </c>
      <c r="AG436" s="25" t="e">
        <f t="shared" si="610"/>
        <v>#REF!</v>
      </c>
      <c r="AH436" s="24" t="e">
        <f t="shared" si="610"/>
        <v>#REF!</v>
      </c>
      <c r="AI436" s="25" t="e">
        <f t="shared" si="610"/>
        <v>#REF!</v>
      </c>
      <c r="AJ436" s="24" t="e">
        <f t="shared" si="610"/>
        <v>#REF!</v>
      </c>
      <c r="AK436" s="27" t="e">
        <f t="shared" si="581"/>
        <v>#REF!</v>
      </c>
      <c r="AL436" s="26" t="e">
        <f t="shared" si="611"/>
        <v>#REF!</v>
      </c>
      <c r="AM436" s="25" t="e">
        <f t="shared" si="611"/>
        <v>#REF!</v>
      </c>
      <c r="AN436" s="24" t="e">
        <f t="shared" si="611"/>
        <v>#REF!</v>
      </c>
      <c r="AO436" s="25" t="e">
        <f t="shared" si="611"/>
        <v>#REF!</v>
      </c>
      <c r="AP436" s="24" t="e">
        <f t="shared" si="611"/>
        <v>#REF!</v>
      </c>
      <c r="AQ436" s="25" t="e">
        <f t="shared" si="611"/>
        <v>#REF!</v>
      </c>
      <c r="AR436" s="24" t="e">
        <f t="shared" si="611"/>
        <v>#REF!</v>
      </c>
      <c r="AS436" s="25" t="e">
        <f t="shared" si="611"/>
        <v>#REF!</v>
      </c>
      <c r="AT436" s="24" t="e">
        <f t="shared" si="611"/>
        <v>#REF!</v>
      </c>
      <c r="AU436" s="23" t="e">
        <f>SUM(AL436:AT436)</f>
        <v>#REF!</v>
      </c>
    </row>
    <row r="437" spans="1:47">
      <c r="A437" s="37" t="s">
        <v>1282</v>
      </c>
      <c r="B437" s="36" t="s">
        <v>1123</v>
      </c>
      <c r="C437" s="1" t="s">
        <v>1126</v>
      </c>
      <c r="D437" s="36" t="s">
        <v>1126</v>
      </c>
      <c r="E437" s="36" t="s">
        <v>1313</v>
      </c>
      <c r="F437" s="1" t="s">
        <v>1312</v>
      </c>
      <c r="G437" s="35" t="s">
        <v>1121</v>
      </c>
      <c r="H437" s="43">
        <v>1</v>
      </c>
      <c r="I437" s="42">
        <v>0</v>
      </c>
      <c r="J437" s="26">
        <v>6.3245177319102702E-2</v>
      </c>
      <c r="K437" s="25">
        <v>0.72146350423272698</v>
      </c>
      <c r="L437" s="24"/>
      <c r="M437" s="25"/>
      <c r="N437" s="24"/>
      <c r="O437" s="25"/>
      <c r="P437" s="24"/>
      <c r="Q437" s="25"/>
      <c r="R437" s="32"/>
      <c r="S437" s="47">
        <v>1</v>
      </c>
      <c r="T437" s="45">
        <v>1</v>
      </c>
      <c r="U437" s="46">
        <v>1</v>
      </c>
      <c r="V437" s="45">
        <v>1</v>
      </c>
      <c r="W437" s="46">
        <v>1</v>
      </c>
      <c r="X437" s="45">
        <v>1</v>
      </c>
      <c r="Y437" s="46">
        <v>1</v>
      </c>
      <c r="Z437" s="45">
        <v>1</v>
      </c>
      <c r="AA437" s="44">
        <v>1</v>
      </c>
      <c r="AB437" s="26">
        <f t="shared" ref="AB437:AJ440" si="612">J437*$H437*S437</f>
        <v>6.3245177319102702E-2</v>
      </c>
      <c r="AC437" s="25">
        <f t="shared" si="612"/>
        <v>0.72146350423272698</v>
      </c>
      <c r="AD437" s="24">
        <f t="shared" si="612"/>
        <v>0</v>
      </c>
      <c r="AE437" s="25">
        <f t="shared" si="612"/>
        <v>0</v>
      </c>
      <c r="AF437" s="24">
        <f t="shared" si="612"/>
        <v>0</v>
      </c>
      <c r="AG437" s="25">
        <f t="shared" si="612"/>
        <v>0</v>
      </c>
      <c r="AH437" s="24">
        <f t="shared" si="612"/>
        <v>0</v>
      </c>
      <c r="AI437" s="25">
        <f t="shared" si="612"/>
        <v>0</v>
      </c>
      <c r="AJ437" s="24">
        <f t="shared" si="612"/>
        <v>0</v>
      </c>
      <c r="AK437" s="27">
        <f t="shared" si="581"/>
        <v>0.78470868155182971</v>
      </c>
      <c r="AL437" s="41">
        <v>0</v>
      </c>
      <c r="AM437" s="40">
        <v>0</v>
      </c>
      <c r="AN437" s="39">
        <v>0</v>
      </c>
      <c r="AO437" s="40">
        <v>0</v>
      </c>
      <c r="AP437" s="39">
        <v>0</v>
      </c>
      <c r="AQ437" s="40">
        <v>0</v>
      </c>
      <c r="AR437" s="39">
        <v>0</v>
      </c>
      <c r="AS437" s="40">
        <v>0</v>
      </c>
      <c r="AT437" s="39">
        <v>0</v>
      </c>
      <c r="AU437" s="38">
        <v>0</v>
      </c>
    </row>
    <row r="438" spans="1:47">
      <c r="A438" s="37" t="s">
        <v>1282</v>
      </c>
      <c r="B438" s="36" t="s">
        <v>1123</v>
      </c>
      <c r="C438" s="1" t="s">
        <v>665</v>
      </c>
      <c r="D438" s="36" t="s">
        <v>665</v>
      </c>
      <c r="E438" s="36" t="s">
        <v>1311</v>
      </c>
      <c r="F438" s="1" t="s">
        <v>1310</v>
      </c>
      <c r="G438" s="35" t="s">
        <v>1121</v>
      </c>
      <c r="H438" s="43">
        <v>1</v>
      </c>
      <c r="I438" s="42">
        <v>0</v>
      </c>
      <c r="J438" s="26">
        <v>0.73392048677827948</v>
      </c>
      <c r="K438" s="25">
        <v>9.9323905877327174</v>
      </c>
      <c r="L438" s="24"/>
      <c r="M438" s="25"/>
      <c r="N438" s="24"/>
      <c r="O438" s="25"/>
      <c r="P438" s="24"/>
      <c r="Q438" s="25"/>
      <c r="R438" s="32"/>
      <c r="S438" s="47">
        <v>1</v>
      </c>
      <c r="T438" s="45">
        <v>1</v>
      </c>
      <c r="U438" s="46">
        <v>1</v>
      </c>
      <c r="V438" s="45">
        <v>1</v>
      </c>
      <c r="W438" s="46">
        <v>1</v>
      </c>
      <c r="X438" s="45">
        <v>1</v>
      </c>
      <c r="Y438" s="46">
        <v>1</v>
      </c>
      <c r="Z438" s="45">
        <v>1</v>
      </c>
      <c r="AA438" s="44">
        <v>1</v>
      </c>
      <c r="AB438" s="26">
        <f t="shared" si="612"/>
        <v>0.73392048677827948</v>
      </c>
      <c r="AC438" s="25">
        <f t="shared" si="612"/>
        <v>9.9323905877327174</v>
      </c>
      <c r="AD438" s="24">
        <f t="shared" si="612"/>
        <v>0</v>
      </c>
      <c r="AE438" s="25">
        <f t="shared" si="612"/>
        <v>0</v>
      </c>
      <c r="AF438" s="24">
        <f t="shared" si="612"/>
        <v>0</v>
      </c>
      <c r="AG438" s="25">
        <f t="shared" si="612"/>
        <v>0</v>
      </c>
      <c r="AH438" s="24">
        <f t="shared" si="612"/>
        <v>0</v>
      </c>
      <c r="AI438" s="25">
        <f t="shared" si="612"/>
        <v>0</v>
      </c>
      <c r="AJ438" s="24">
        <f t="shared" si="612"/>
        <v>0</v>
      </c>
      <c r="AK438" s="27">
        <f t="shared" si="581"/>
        <v>10.666311074510997</v>
      </c>
      <c r="AL438" s="41">
        <v>0</v>
      </c>
      <c r="AM438" s="40">
        <v>0</v>
      </c>
      <c r="AN438" s="39">
        <v>0</v>
      </c>
      <c r="AO438" s="40">
        <v>0</v>
      </c>
      <c r="AP438" s="39">
        <v>0</v>
      </c>
      <c r="AQ438" s="40">
        <v>0</v>
      </c>
      <c r="AR438" s="39">
        <v>0</v>
      </c>
      <c r="AS438" s="40">
        <v>0</v>
      </c>
      <c r="AT438" s="39">
        <v>0</v>
      </c>
      <c r="AU438" s="38">
        <v>0</v>
      </c>
    </row>
    <row r="439" spans="1:47">
      <c r="A439" s="37" t="s">
        <v>1282</v>
      </c>
      <c r="B439" s="36" t="s">
        <v>1123</v>
      </c>
      <c r="C439" s="1" t="s">
        <v>1111</v>
      </c>
      <c r="D439" s="36" t="s">
        <v>1111</v>
      </c>
      <c r="E439" s="36" t="s">
        <v>1309</v>
      </c>
      <c r="F439" s="1" t="s">
        <v>1308</v>
      </c>
      <c r="G439" s="35" t="s">
        <v>1121</v>
      </c>
      <c r="H439" s="43">
        <v>1</v>
      </c>
      <c r="I439" s="42">
        <v>0</v>
      </c>
      <c r="J439" s="26">
        <v>0</v>
      </c>
      <c r="K439" s="25">
        <v>1.5893967093235826</v>
      </c>
      <c r="L439" s="24"/>
      <c r="M439" s="25"/>
      <c r="N439" s="24"/>
      <c r="O439" s="25"/>
      <c r="P439" s="24"/>
      <c r="Q439" s="25"/>
      <c r="R439" s="32"/>
      <c r="S439" s="47">
        <v>1</v>
      </c>
      <c r="T439" s="45">
        <v>1</v>
      </c>
      <c r="U439" s="46">
        <v>1</v>
      </c>
      <c r="V439" s="45">
        <v>1</v>
      </c>
      <c r="W439" s="46">
        <v>1</v>
      </c>
      <c r="X439" s="45">
        <v>1</v>
      </c>
      <c r="Y439" s="46">
        <v>1</v>
      </c>
      <c r="Z439" s="45">
        <v>1</v>
      </c>
      <c r="AA439" s="44">
        <v>1</v>
      </c>
      <c r="AB439" s="26">
        <f t="shared" si="612"/>
        <v>0</v>
      </c>
      <c r="AC439" s="25">
        <f t="shared" si="612"/>
        <v>1.5893967093235826</v>
      </c>
      <c r="AD439" s="24">
        <f t="shared" si="612"/>
        <v>0</v>
      </c>
      <c r="AE439" s="25">
        <f t="shared" si="612"/>
        <v>0</v>
      </c>
      <c r="AF439" s="24">
        <f t="shared" si="612"/>
        <v>0</v>
      </c>
      <c r="AG439" s="25">
        <f t="shared" si="612"/>
        <v>0</v>
      </c>
      <c r="AH439" s="24">
        <f t="shared" si="612"/>
        <v>0</v>
      </c>
      <c r="AI439" s="25">
        <f t="shared" si="612"/>
        <v>0</v>
      </c>
      <c r="AJ439" s="24">
        <f t="shared" si="612"/>
        <v>0</v>
      </c>
      <c r="AK439" s="27">
        <f t="shared" si="581"/>
        <v>1.5893967093235826</v>
      </c>
      <c r="AL439" s="41">
        <v>0</v>
      </c>
      <c r="AM439" s="40">
        <v>0</v>
      </c>
      <c r="AN439" s="39">
        <v>0</v>
      </c>
      <c r="AO439" s="40">
        <v>0</v>
      </c>
      <c r="AP439" s="39">
        <v>0</v>
      </c>
      <c r="AQ439" s="40">
        <v>0</v>
      </c>
      <c r="AR439" s="39">
        <v>0</v>
      </c>
      <c r="AS439" s="40">
        <v>0</v>
      </c>
      <c r="AT439" s="39">
        <v>0</v>
      </c>
      <c r="AU439" s="38">
        <v>0</v>
      </c>
    </row>
    <row r="440" spans="1:47">
      <c r="A440" s="37" t="s">
        <v>1282</v>
      </c>
      <c r="B440" s="36" t="s">
        <v>1107</v>
      </c>
      <c r="C440" s="1" t="s">
        <v>1120</v>
      </c>
      <c r="D440" s="36" t="s">
        <v>1120</v>
      </c>
      <c r="E440" s="36" t="s">
        <v>1307</v>
      </c>
      <c r="F440" s="1" t="s">
        <v>1306</v>
      </c>
      <c r="G440" s="35" t="s">
        <v>1104</v>
      </c>
      <c r="H440" s="43">
        <v>1</v>
      </c>
      <c r="I440" s="42">
        <v>0</v>
      </c>
      <c r="J440" s="26">
        <v>5.3417603999999992</v>
      </c>
      <c r="K440" s="25">
        <v>0</v>
      </c>
      <c r="L440" s="24"/>
      <c r="M440" s="25"/>
      <c r="N440" s="24"/>
      <c r="O440" s="25"/>
      <c r="P440" s="24"/>
      <c r="Q440" s="25"/>
      <c r="R440" s="32"/>
      <c r="S440" s="31" t="e">
        <v>#REF!</v>
      </c>
      <c r="T440" s="29" t="e">
        <f t="shared" ref="T440:AA449" si="613">S440</f>
        <v>#REF!</v>
      </c>
      <c r="U440" s="30" t="e">
        <f t="shared" si="613"/>
        <v>#REF!</v>
      </c>
      <c r="V440" s="29" t="e">
        <f t="shared" si="613"/>
        <v>#REF!</v>
      </c>
      <c r="W440" s="30" t="e">
        <f t="shared" si="613"/>
        <v>#REF!</v>
      </c>
      <c r="X440" s="29" t="e">
        <f t="shared" si="613"/>
        <v>#REF!</v>
      </c>
      <c r="Y440" s="30" t="e">
        <f t="shared" si="613"/>
        <v>#REF!</v>
      </c>
      <c r="Z440" s="29" t="e">
        <f t="shared" si="613"/>
        <v>#REF!</v>
      </c>
      <c r="AA440" s="28" t="e">
        <f t="shared" si="613"/>
        <v>#REF!</v>
      </c>
      <c r="AB440" s="26" t="e">
        <f t="shared" si="612"/>
        <v>#REF!</v>
      </c>
      <c r="AC440" s="25" t="e">
        <f t="shared" si="612"/>
        <v>#REF!</v>
      </c>
      <c r="AD440" s="24" t="e">
        <f t="shared" si="612"/>
        <v>#REF!</v>
      </c>
      <c r="AE440" s="25" t="e">
        <f t="shared" si="612"/>
        <v>#REF!</v>
      </c>
      <c r="AF440" s="24" t="e">
        <f t="shared" si="612"/>
        <v>#REF!</v>
      </c>
      <c r="AG440" s="25" t="e">
        <f t="shared" si="612"/>
        <v>#REF!</v>
      </c>
      <c r="AH440" s="24" t="e">
        <f t="shared" si="612"/>
        <v>#REF!</v>
      </c>
      <c r="AI440" s="25" t="e">
        <f t="shared" si="612"/>
        <v>#REF!</v>
      </c>
      <c r="AJ440" s="24" t="e">
        <f t="shared" si="612"/>
        <v>#REF!</v>
      </c>
      <c r="AK440" s="27" t="e">
        <f t="shared" si="581"/>
        <v>#REF!</v>
      </c>
      <c r="AL440" s="41">
        <v>0</v>
      </c>
      <c r="AM440" s="40">
        <v>0</v>
      </c>
      <c r="AN440" s="39">
        <v>0</v>
      </c>
      <c r="AO440" s="40">
        <v>0</v>
      </c>
      <c r="AP440" s="39">
        <v>0</v>
      </c>
      <c r="AQ440" s="40">
        <v>0</v>
      </c>
      <c r="AR440" s="39">
        <v>0</v>
      </c>
      <c r="AS440" s="40">
        <v>0</v>
      </c>
      <c r="AT440" s="39">
        <v>0</v>
      </c>
      <c r="AU440" s="38">
        <v>0</v>
      </c>
    </row>
    <row r="441" spans="1:47">
      <c r="A441" s="37" t="s">
        <v>1282</v>
      </c>
      <c r="B441" s="36" t="s">
        <v>1107</v>
      </c>
      <c r="C441" s="1" t="s">
        <v>1120</v>
      </c>
      <c r="D441" s="36" t="s">
        <v>1120</v>
      </c>
      <c r="E441" s="36" t="s">
        <v>1305</v>
      </c>
      <c r="F441" s="1" t="s">
        <v>1280</v>
      </c>
      <c r="G441" s="35" t="s">
        <v>1109</v>
      </c>
      <c r="H441" s="34">
        <f>1-I441</f>
        <v>0.91368193925741348</v>
      </c>
      <c r="I441" s="33">
        <v>8.6318060742586522E-2</v>
      </c>
      <c r="J441" s="26" t="e">
        <v>#REF!</v>
      </c>
      <c r="K441" s="25" t="e">
        <v>#REF!</v>
      </c>
      <c r="L441" s="24"/>
      <c r="M441" s="25"/>
      <c r="N441" s="24"/>
      <c r="O441" s="25"/>
      <c r="P441" s="24"/>
      <c r="Q441" s="25"/>
      <c r="R441" s="32"/>
      <c r="S441" s="31" t="e">
        <v>#REF!</v>
      </c>
      <c r="T441" s="29" t="e">
        <f t="shared" si="613"/>
        <v>#REF!</v>
      </c>
      <c r="U441" s="30" t="e">
        <f t="shared" si="613"/>
        <v>#REF!</v>
      </c>
      <c r="V441" s="29" t="e">
        <f t="shared" si="613"/>
        <v>#REF!</v>
      </c>
      <c r="W441" s="30" t="e">
        <f t="shared" si="613"/>
        <v>#REF!</v>
      </c>
      <c r="X441" s="29" t="e">
        <f t="shared" si="613"/>
        <v>#REF!</v>
      </c>
      <c r="Y441" s="30" t="e">
        <f t="shared" si="613"/>
        <v>#REF!</v>
      </c>
      <c r="Z441" s="29" t="e">
        <f t="shared" si="613"/>
        <v>#REF!</v>
      </c>
      <c r="AA441" s="28" t="e">
        <f t="shared" si="613"/>
        <v>#REF!</v>
      </c>
      <c r="AB441" s="26" t="e">
        <f t="shared" ref="AB441:AJ444" si="614">J441*31.536*$H441*S441</f>
        <v>#REF!</v>
      </c>
      <c r="AC441" s="25" t="e">
        <f t="shared" si="614"/>
        <v>#REF!</v>
      </c>
      <c r="AD441" s="24" t="e">
        <f t="shared" si="614"/>
        <v>#REF!</v>
      </c>
      <c r="AE441" s="25" t="e">
        <f t="shared" si="614"/>
        <v>#REF!</v>
      </c>
      <c r="AF441" s="24" t="e">
        <f t="shared" si="614"/>
        <v>#REF!</v>
      </c>
      <c r="AG441" s="25" t="e">
        <f t="shared" si="614"/>
        <v>#REF!</v>
      </c>
      <c r="AH441" s="24" t="e">
        <f t="shared" si="614"/>
        <v>#REF!</v>
      </c>
      <c r="AI441" s="25" t="e">
        <f t="shared" si="614"/>
        <v>#REF!</v>
      </c>
      <c r="AJ441" s="24" t="e">
        <f t="shared" si="614"/>
        <v>#REF!</v>
      </c>
      <c r="AK441" s="27" t="e">
        <f t="shared" si="581"/>
        <v>#REF!</v>
      </c>
      <c r="AL441" s="26" t="e">
        <f t="shared" ref="AL441:AT444" si="615">J441*31.536*$I441*S441</f>
        <v>#REF!</v>
      </c>
      <c r="AM441" s="25" t="e">
        <f t="shared" si="615"/>
        <v>#REF!</v>
      </c>
      <c r="AN441" s="24" t="e">
        <f t="shared" si="615"/>
        <v>#REF!</v>
      </c>
      <c r="AO441" s="25" t="e">
        <f t="shared" si="615"/>
        <v>#REF!</v>
      </c>
      <c r="AP441" s="24" t="e">
        <f t="shared" si="615"/>
        <v>#REF!</v>
      </c>
      <c r="AQ441" s="25" t="e">
        <f t="shared" si="615"/>
        <v>#REF!</v>
      </c>
      <c r="AR441" s="24" t="e">
        <f t="shared" si="615"/>
        <v>#REF!</v>
      </c>
      <c r="AS441" s="25" t="e">
        <f t="shared" si="615"/>
        <v>#REF!</v>
      </c>
      <c r="AT441" s="24" t="e">
        <f t="shared" si="615"/>
        <v>#REF!</v>
      </c>
      <c r="AU441" s="23" t="e">
        <f>SUM(AL441:AT441)</f>
        <v>#REF!</v>
      </c>
    </row>
    <row r="442" spans="1:47">
      <c r="A442" s="37" t="s">
        <v>1282</v>
      </c>
      <c r="B442" s="36" t="s">
        <v>1107</v>
      </c>
      <c r="C442" s="1" t="s">
        <v>1120</v>
      </c>
      <c r="D442" s="36" t="s">
        <v>1120</v>
      </c>
      <c r="E442" s="36" t="s">
        <v>1304</v>
      </c>
      <c r="F442" s="1" t="s">
        <v>1280</v>
      </c>
      <c r="G442" s="35" t="s">
        <v>1109</v>
      </c>
      <c r="H442" s="34">
        <f>1-I442</f>
        <v>0.91368193925741348</v>
      </c>
      <c r="I442" s="33">
        <v>8.6318060742586522E-2</v>
      </c>
      <c r="J442" s="26" t="e">
        <v>#REF!</v>
      </c>
      <c r="K442" s="25" t="e">
        <v>#REF!</v>
      </c>
      <c r="L442" s="24"/>
      <c r="M442" s="25"/>
      <c r="N442" s="24"/>
      <c r="O442" s="25"/>
      <c r="P442" s="24"/>
      <c r="Q442" s="25"/>
      <c r="R442" s="32"/>
      <c r="S442" s="31" t="e">
        <v>#REF!</v>
      </c>
      <c r="T442" s="29" t="e">
        <f t="shared" si="613"/>
        <v>#REF!</v>
      </c>
      <c r="U442" s="30" t="e">
        <f t="shared" si="613"/>
        <v>#REF!</v>
      </c>
      <c r="V442" s="29" t="e">
        <f t="shared" si="613"/>
        <v>#REF!</v>
      </c>
      <c r="W442" s="30" t="e">
        <f t="shared" si="613"/>
        <v>#REF!</v>
      </c>
      <c r="X442" s="29" t="e">
        <f t="shared" si="613"/>
        <v>#REF!</v>
      </c>
      <c r="Y442" s="30" t="e">
        <f t="shared" si="613"/>
        <v>#REF!</v>
      </c>
      <c r="Z442" s="29" t="e">
        <f t="shared" si="613"/>
        <v>#REF!</v>
      </c>
      <c r="AA442" s="28" t="e">
        <f t="shared" si="613"/>
        <v>#REF!</v>
      </c>
      <c r="AB442" s="26" t="e">
        <f t="shared" si="614"/>
        <v>#REF!</v>
      </c>
      <c r="AC442" s="25" t="e">
        <f t="shared" si="614"/>
        <v>#REF!</v>
      </c>
      <c r="AD442" s="24" t="e">
        <f t="shared" si="614"/>
        <v>#REF!</v>
      </c>
      <c r="AE442" s="25" t="e">
        <f t="shared" si="614"/>
        <v>#REF!</v>
      </c>
      <c r="AF442" s="24" t="e">
        <f t="shared" si="614"/>
        <v>#REF!</v>
      </c>
      <c r="AG442" s="25" t="e">
        <f t="shared" si="614"/>
        <v>#REF!</v>
      </c>
      <c r="AH442" s="24" t="e">
        <f t="shared" si="614"/>
        <v>#REF!</v>
      </c>
      <c r="AI442" s="25" t="e">
        <f t="shared" si="614"/>
        <v>#REF!</v>
      </c>
      <c r="AJ442" s="24" t="e">
        <f t="shared" si="614"/>
        <v>#REF!</v>
      </c>
      <c r="AK442" s="27" t="e">
        <f t="shared" si="581"/>
        <v>#REF!</v>
      </c>
      <c r="AL442" s="26" t="e">
        <f t="shared" si="615"/>
        <v>#REF!</v>
      </c>
      <c r="AM442" s="25" t="e">
        <f t="shared" si="615"/>
        <v>#REF!</v>
      </c>
      <c r="AN442" s="24" t="e">
        <f t="shared" si="615"/>
        <v>#REF!</v>
      </c>
      <c r="AO442" s="25" t="e">
        <f t="shared" si="615"/>
        <v>#REF!</v>
      </c>
      <c r="AP442" s="24" t="e">
        <f t="shared" si="615"/>
        <v>#REF!</v>
      </c>
      <c r="AQ442" s="25" t="e">
        <f t="shared" si="615"/>
        <v>#REF!</v>
      </c>
      <c r="AR442" s="24" t="e">
        <f t="shared" si="615"/>
        <v>#REF!</v>
      </c>
      <c r="AS442" s="25" t="e">
        <f t="shared" si="615"/>
        <v>#REF!</v>
      </c>
      <c r="AT442" s="24" t="e">
        <f t="shared" si="615"/>
        <v>#REF!</v>
      </c>
      <c r="AU442" s="23" t="e">
        <f>SUM(AL442:AT442)</f>
        <v>#REF!</v>
      </c>
    </row>
    <row r="443" spans="1:47">
      <c r="A443" s="37" t="s">
        <v>1282</v>
      </c>
      <c r="B443" s="36" t="s">
        <v>1107</v>
      </c>
      <c r="C443" s="1" t="s">
        <v>1120</v>
      </c>
      <c r="D443" s="36" t="s">
        <v>1120</v>
      </c>
      <c r="E443" s="36" t="s">
        <v>1303</v>
      </c>
      <c r="F443" s="1" t="s">
        <v>1280</v>
      </c>
      <c r="G443" s="35" t="s">
        <v>1109</v>
      </c>
      <c r="H443" s="34">
        <f>1-I443</f>
        <v>0.88332652522877819</v>
      </c>
      <c r="I443" s="33">
        <v>0.11667347477122178</v>
      </c>
      <c r="J443" s="26" t="e">
        <v>#REF!</v>
      </c>
      <c r="K443" s="25" t="e">
        <v>#REF!</v>
      </c>
      <c r="L443" s="24"/>
      <c r="M443" s="25"/>
      <c r="N443" s="24"/>
      <c r="O443" s="25"/>
      <c r="P443" s="24"/>
      <c r="Q443" s="25"/>
      <c r="R443" s="32"/>
      <c r="S443" s="31" t="e">
        <v>#REF!</v>
      </c>
      <c r="T443" s="29" t="e">
        <f t="shared" si="613"/>
        <v>#REF!</v>
      </c>
      <c r="U443" s="30" t="e">
        <f t="shared" si="613"/>
        <v>#REF!</v>
      </c>
      <c r="V443" s="29" t="e">
        <f t="shared" si="613"/>
        <v>#REF!</v>
      </c>
      <c r="W443" s="30" t="e">
        <f t="shared" si="613"/>
        <v>#REF!</v>
      </c>
      <c r="X443" s="29" t="e">
        <f t="shared" si="613"/>
        <v>#REF!</v>
      </c>
      <c r="Y443" s="30" t="e">
        <f t="shared" si="613"/>
        <v>#REF!</v>
      </c>
      <c r="Z443" s="29" t="e">
        <f t="shared" si="613"/>
        <v>#REF!</v>
      </c>
      <c r="AA443" s="28" t="e">
        <f t="shared" si="613"/>
        <v>#REF!</v>
      </c>
      <c r="AB443" s="26" t="e">
        <f t="shared" si="614"/>
        <v>#REF!</v>
      </c>
      <c r="AC443" s="25" t="e">
        <f t="shared" si="614"/>
        <v>#REF!</v>
      </c>
      <c r="AD443" s="24" t="e">
        <f t="shared" si="614"/>
        <v>#REF!</v>
      </c>
      <c r="AE443" s="25" t="e">
        <f t="shared" si="614"/>
        <v>#REF!</v>
      </c>
      <c r="AF443" s="24" t="e">
        <f t="shared" si="614"/>
        <v>#REF!</v>
      </c>
      <c r="AG443" s="25" t="e">
        <f t="shared" si="614"/>
        <v>#REF!</v>
      </c>
      <c r="AH443" s="24" t="e">
        <f t="shared" si="614"/>
        <v>#REF!</v>
      </c>
      <c r="AI443" s="25" t="e">
        <f t="shared" si="614"/>
        <v>#REF!</v>
      </c>
      <c r="AJ443" s="24" t="e">
        <f t="shared" si="614"/>
        <v>#REF!</v>
      </c>
      <c r="AK443" s="27" t="e">
        <f t="shared" si="581"/>
        <v>#REF!</v>
      </c>
      <c r="AL443" s="26" t="e">
        <f t="shared" si="615"/>
        <v>#REF!</v>
      </c>
      <c r="AM443" s="25" t="e">
        <f t="shared" si="615"/>
        <v>#REF!</v>
      </c>
      <c r="AN443" s="24" t="e">
        <f t="shared" si="615"/>
        <v>#REF!</v>
      </c>
      <c r="AO443" s="25" t="e">
        <f t="shared" si="615"/>
        <v>#REF!</v>
      </c>
      <c r="AP443" s="24" t="e">
        <f t="shared" si="615"/>
        <v>#REF!</v>
      </c>
      <c r="AQ443" s="25" t="e">
        <f t="shared" si="615"/>
        <v>#REF!</v>
      </c>
      <c r="AR443" s="24" t="e">
        <f t="shared" si="615"/>
        <v>#REF!</v>
      </c>
      <c r="AS443" s="25" t="e">
        <f t="shared" si="615"/>
        <v>#REF!</v>
      </c>
      <c r="AT443" s="24" t="e">
        <f t="shared" si="615"/>
        <v>#REF!</v>
      </c>
      <c r="AU443" s="23" t="e">
        <f>SUM(AL443:AT443)</f>
        <v>#REF!</v>
      </c>
    </row>
    <row r="444" spans="1:47">
      <c r="A444" s="37" t="s">
        <v>1282</v>
      </c>
      <c r="B444" s="36" t="s">
        <v>1107</v>
      </c>
      <c r="C444" s="1" t="s">
        <v>1120</v>
      </c>
      <c r="D444" s="36" t="s">
        <v>1120</v>
      </c>
      <c r="E444" s="36" t="s">
        <v>1302</v>
      </c>
      <c r="F444" s="1" t="s">
        <v>1280</v>
      </c>
      <c r="G444" s="35" t="s">
        <v>1109</v>
      </c>
      <c r="H444" s="34">
        <f>1-I444</f>
        <v>0.67811158798283255</v>
      </c>
      <c r="I444" s="33">
        <v>0.32188841201716739</v>
      </c>
      <c r="J444" s="26">
        <v>0</v>
      </c>
      <c r="K444" s="25">
        <v>0</v>
      </c>
      <c r="L444" s="24"/>
      <c r="M444" s="25"/>
      <c r="N444" s="24"/>
      <c r="O444" s="25"/>
      <c r="P444" s="24"/>
      <c r="Q444" s="25"/>
      <c r="R444" s="32"/>
      <c r="S444" s="31" t="e">
        <v>#REF!</v>
      </c>
      <c r="T444" s="29" t="e">
        <f t="shared" si="613"/>
        <v>#REF!</v>
      </c>
      <c r="U444" s="30" t="e">
        <f t="shared" si="613"/>
        <v>#REF!</v>
      </c>
      <c r="V444" s="29" t="e">
        <f t="shared" si="613"/>
        <v>#REF!</v>
      </c>
      <c r="W444" s="30" t="e">
        <f t="shared" si="613"/>
        <v>#REF!</v>
      </c>
      <c r="X444" s="29" t="e">
        <f t="shared" si="613"/>
        <v>#REF!</v>
      </c>
      <c r="Y444" s="30" t="e">
        <f t="shared" si="613"/>
        <v>#REF!</v>
      </c>
      <c r="Z444" s="29" t="e">
        <f t="shared" si="613"/>
        <v>#REF!</v>
      </c>
      <c r="AA444" s="28" t="e">
        <f t="shared" si="613"/>
        <v>#REF!</v>
      </c>
      <c r="AB444" s="26" t="e">
        <f t="shared" si="614"/>
        <v>#REF!</v>
      </c>
      <c r="AC444" s="25" t="e">
        <f t="shared" si="614"/>
        <v>#REF!</v>
      </c>
      <c r="AD444" s="24" t="e">
        <f t="shared" si="614"/>
        <v>#REF!</v>
      </c>
      <c r="AE444" s="25" t="e">
        <f t="shared" si="614"/>
        <v>#REF!</v>
      </c>
      <c r="AF444" s="24" t="e">
        <f t="shared" si="614"/>
        <v>#REF!</v>
      </c>
      <c r="AG444" s="25" t="e">
        <f t="shared" si="614"/>
        <v>#REF!</v>
      </c>
      <c r="AH444" s="24" t="e">
        <f t="shared" si="614"/>
        <v>#REF!</v>
      </c>
      <c r="AI444" s="25" t="e">
        <f t="shared" si="614"/>
        <v>#REF!</v>
      </c>
      <c r="AJ444" s="24" t="e">
        <f t="shared" si="614"/>
        <v>#REF!</v>
      </c>
      <c r="AK444" s="27" t="e">
        <f t="shared" si="581"/>
        <v>#REF!</v>
      </c>
      <c r="AL444" s="26" t="e">
        <f t="shared" si="615"/>
        <v>#REF!</v>
      </c>
      <c r="AM444" s="25" t="e">
        <f t="shared" si="615"/>
        <v>#REF!</v>
      </c>
      <c r="AN444" s="24" t="e">
        <f t="shared" si="615"/>
        <v>#REF!</v>
      </c>
      <c r="AO444" s="25" t="e">
        <f t="shared" si="615"/>
        <v>#REF!</v>
      </c>
      <c r="AP444" s="24" t="e">
        <f t="shared" si="615"/>
        <v>#REF!</v>
      </c>
      <c r="AQ444" s="25" t="e">
        <f t="shared" si="615"/>
        <v>#REF!</v>
      </c>
      <c r="AR444" s="24" t="e">
        <f t="shared" si="615"/>
        <v>#REF!</v>
      </c>
      <c r="AS444" s="25" t="e">
        <f t="shared" si="615"/>
        <v>#REF!</v>
      </c>
      <c r="AT444" s="24" t="e">
        <f t="shared" si="615"/>
        <v>#REF!</v>
      </c>
      <c r="AU444" s="23" t="e">
        <f>SUM(AL444:AT444)</f>
        <v>#REF!</v>
      </c>
    </row>
    <row r="445" spans="1:47">
      <c r="A445" s="37" t="s">
        <v>1282</v>
      </c>
      <c r="B445" s="36" t="s">
        <v>1107</v>
      </c>
      <c r="C445" s="1" t="s">
        <v>1126</v>
      </c>
      <c r="D445" s="36" t="s">
        <v>1126</v>
      </c>
      <c r="E445" s="36" t="s">
        <v>1301</v>
      </c>
      <c r="F445" s="1" t="s">
        <v>1300</v>
      </c>
      <c r="G445" s="35" t="s">
        <v>1104</v>
      </c>
      <c r="H445" s="43">
        <v>1</v>
      </c>
      <c r="I445" s="42">
        <v>0</v>
      </c>
      <c r="J445" s="26">
        <v>0.59379712282528974</v>
      </c>
      <c r="K445" s="25">
        <v>0.34478542615661989</v>
      </c>
      <c r="L445" s="24"/>
      <c r="M445" s="25"/>
      <c r="N445" s="24"/>
      <c r="O445" s="25"/>
      <c r="P445" s="24"/>
      <c r="Q445" s="25"/>
      <c r="R445" s="32"/>
      <c r="S445" s="31" t="e">
        <v>#REF!</v>
      </c>
      <c r="T445" s="29" t="e">
        <f t="shared" si="613"/>
        <v>#REF!</v>
      </c>
      <c r="U445" s="30" t="e">
        <f t="shared" si="613"/>
        <v>#REF!</v>
      </c>
      <c r="V445" s="29" t="e">
        <f t="shared" si="613"/>
        <v>#REF!</v>
      </c>
      <c r="W445" s="30" t="e">
        <f t="shared" si="613"/>
        <v>#REF!</v>
      </c>
      <c r="X445" s="29" t="e">
        <f t="shared" si="613"/>
        <v>#REF!</v>
      </c>
      <c r="Y445" s="30" t="e">
        <f t="shared" si="613"/>
        <v>#REF!</v>
      </c>
      <c r="Z445" s="29" t="e">
        <f t="shared" si="613"/>
        <v>#REF!</v>
      </c>
      <c r="AA445" s="28" t="e">
        <f t="shared" si="613"/>
        <v>#REF!</v>
      </c>
      <c r="AB445" s="26" t="e">
        <f t="shared" ref="AB445:AJ446" si="616">J445*$H445*S445</f>
        <v>#REF!</v>
      </c>
      <c r="AC445" s="25" t="e">
        <f t="shared" si="616"/>
        <v>#REF!</v>
      </c>
      <c r="AD445" s="24" t="e">
        <f t="shared" si="616"/>
        <v>#REF!</v>
      </c>
      <c r="AE445" s="25" t="e">
        <f t="shared" si="616"/>
        <v>#REF!</v>
      </c>
      <c r="AF445" s="24" t="e">
        <f t="shared" si="616"/>
        <v>#REF!</v>
      </c>
      <c r="AG445" s="25" t="e">
        <f t="shared" si="616"/>
        <v>#REF!</v>
      </c>
      <c r="AH445" s="24" t="e">
        <f t="shared" si="616"/>
        <v>#REF!</v>
      </c>
      <c r="AI445" s="25" t="e">
        <f t="shared" si="616"/>
        <v>#REF!</v>
      </c>
      <c r="AJ445" s="24" t="e">
        <f t="shared" si="616"/>
        <v>#REF!</v>
      </c>
      <c r="AK445" s="27" t="e">
        <f t="shared" si="581"/>
        <v>#REF!</v>
      </c>
      <c r="AL445" s="41">
        <v>0</v>
      </c>
      <c r="AM445" s="40">
        <v>0</v>
      </c>
      <c r="AN445" s="39">
        <v>0</v>
      </c>
      <c r="AO445" s="40">
        <v>0</v>
      </c>
      <c r="AP445" s="39">
        <v>0</v>
      </c>
      <c r="AQ445" s="40">
        <v>0</v>
      </c>
      <c r="AR445" s="39">
        <v>0</v>
      </c>
      <c r="AS445" s="40">
        <v>0</v>
      </c>
      <c r="AT445" s="39">
        <v>0</v>
      </c>
      <c r="AU445" s="38">
        <v>0</v>
      </c>
    </row>
    <row r="446" spans="1:47">
      <c r="A446" s="37" t="s">
        <v>1282</v>
      </c>
      <c r="B446" s="36" t="s">
        <v>1107</v>
      </c>
      <c r="C446" s="1" t="s">
        <v>665</v>
      </c>
      <c r="D446" s="36" t="s">
        <v>665</v>
      </c>
      <c r="E446" s="36" t="s">
        <v>1299</v>
      </c>
      <c r="F446" s="1" t="s">
        <v>1298</v>
      </c>
      <c r="G446" s="35" t="s">
        <v>1104</v>
      </c>
      <c r="H446" s="43">
        <v>1</v>
      </c>
      <c r="I446" s="42">
        <v>0</v>
      </c>
      <c r="J446" s="26">
        <v>7.734462419999999</v>
      </c>
      <c r="K446" s="25">
        <v>0</v>
      </c>
      <c r="L446" s="24"/>
      <c r="M446" s="25"/>
      <c r="N446" s="24"/>
      <c r="O446" s="25"/>
      <c r="P446" s="24"/>
      <c r="Q446" s="25"/>
      <c r="R446" s="32"/>
      <c r="S446" s="31" t="e">
        <v>#REF!</v>
      </c>
      <c r="T446" s="29" t="e">
        <f t="shared" si="613"/>
        <v>#REF!</v>
      </c>
      <c r="U446" s="30" t="e">
        <f t="shared" si="613"/>
        <v>#REF!</v>
      </c>
      <c r="V446" s="29" t="e">
        <f t="shared" si="613"/>
        <v>#REF!</v>
      </c>
      <c r="W446" s="30" t="e">
        <f t="shared" si="613"/>
        <v>#REF!</v>
      </c>
      <c r="X446" s="29" t="e">
        <f t="shared" si="613"/>
        <v>#REF!</v>
      </c>
      <c r="Y446" s="30" t="e">
        <f t="shared" si="613"/>
        <v>#REF!</v>
      </c>
      <c r="Z446" s="29" t="e">
        <f t="shared" si="613"/>
        <v>#REF!</v>
      </c>
      <c r="AA446" s="28" t="e">
        <f t="shared" si="613"/>
        <v>#REF!</v>
      </c>
      <c r="AB446" s="26" t="e">
        <f t="shared" si="616"/>
        <v>#REF!</v>
      </c>
      <c r="AC446" s="25" t="e">
        <f t="shared" si="616"/>
        <v>#REF!</v>
      </c>
      <c r="AD446" s="24" t="e">
        <f t="shared" si="616"/>
        <v>#REF!</v>
      </c>
      <c r="AE446" s="25" t="e">
        <f t="shared" si="616"/>
        <v>#REF!</v>
      </c>
      <c r="AF446" s="24" t="e">
        <f t="shared" si="616"/>
        <v>#REF!</v>
      </c>
      <c r="AG446" s="25" t="e">
        <f t="shared" si="616"/>
        <v>#REF!</v>
      </c>
      <c r="AH446" s="24" t="e">
        <f t="shared" si="616"/>
        <v>#REF!</v>
      </c>
      <c r="AI446" s="25" t="e">
        <f t="shared" si="616"/>
        <v>#REF!</v>
      </c>
      <c r="AJ446" s="24" t="e">
        <f t="shared" si="616"/>
        <v>#REF!</v>
      </c>
      <c r="AK446" s="27" t="e">
        <f t="shared" si="581"/>
        <v>#REF!</v>
      </c>
      <c r="AL446" s="41">
        <v>0</v>
      </c>
      <c r="AM446" s="40">
        <v>0</v>
      </c>
      <c r="AN446" s="39">
        <v>0</v>
      </c>
      <c r="AO446" s="40">
        <v>0</v>
      </c>
      <c r="AP446" s="39">
        <v>0</v>
      </c>
      <c r="AQ446" s="40">
        <v>0</v>
      </c>
      <c r="AR446" s="39">
        <v>0</v>
      </c>
      <c r="AS446" s="40">
        <v>0</v>
      </c>
      <c r="AT446" s="39">
        <v>0</v>
      </c>
      <c r="AU446" s="38">
        <v>0</v>
      </c>
    </row>
    <row r="447" spans="1:47">
      <c r="A447" s="37" t="s">
        <v>1282</v>
      </c>
      <c r="B447" s="36" t="s">
        <v>1107</v>
      </c>
      <c r="C447" s="1" t="s">
        <v>665</v>
      </c>
      <c r="D447" s="36" t="s">
        <v>665</v>
      </c>
      <c r="E447" s="36" t="s">
        <v>1297</v>
      </c>
      <c r="F447" s="1" t="s">
        <v>1280</v>
      </c>
      <c r="G447" s="35" t="s">
        <v>1109</v>
      </c>
      <c r="H447" s="34">
        <f>1-I447</f>
        <v>0.88893182556592765</v>
      </c>
      <c r="I447" s="33">
        <v>0.11106817443407239</v>
      </c>
      <c r="J447" s="26" t="e">
        <v>#REF!</v>
      </c>
      <c r="K447" s="25" t="e">
        <v>#REF!</v>
      </c>
      <c r="L447" s="24"/>
      <c r="M447" s="25"/>
      <c r="N447" s="24"/>
      <c r="O447" s="25"/>
      <c r="P447" s="24"/>
      <c r="Q447" s="25"/>
      <c r="R447" s="32"/>
      <c r="S447" s="31" t="e">
        <v>#REF!</v>
      </c>
      <c r="T447" s="29" t="e">
        <f t="shared" si="613"/>
        <v>#REF!</v>
      </c>
      <c r="U447" s="30" t="e">
        <f t="shared" si="613"/>
        <v>#REF!</v>
      </c>
      <c r="V447" s="29" t="e">
        <f t="shared" si="613"/>
        <v>#REF!</v>
      </c>
      <c r="W447" s="30" t="e">
        <f t="shared" si="613"/>
        <v>#REF!</v>
      </c>
      <c r="X447" s="29" t="e">
        <f t="shared" si="613"/>
        <v>#REF!</v>
      </c>
      <c r="Y447" s="30" t="e">
        <f t="shared" si="613"/>
        <v>#REF!</v>
      </c>
      <c r="Z447" s="29" t="e">
        <f t="shared" si="613"/>
        <v>#REF!</v>
      </c>
      <c r="AA447" s="28" t="e">
        <f t="shared" si="613"/>
        <v>#REF!</v>
      </c>
      <c r="AB447" s="26" t="e">
        <f t="shared" ref="AB447:AJ449" si="617">J447*31.536*$H447*S447</f>
        <v>#REF!</v>
      </c>
      <c r="AC447" s="25" t="e">
        <f t="shared" si="617"/>
        <v>#REF!</v>
      </c>
      <c r="AD447" s="24" t="e">
        <f t="shared" si="617"/>
        <v>#REF!</v>
      </c>
      <c r="AE447" s="25" t="e">
        <f t="shared" si="617"/>
        <v>#REF!</v>
      </c>
      <c r="AF447" s="24" t="e">
        <f t="shared" si="617"/>
        <v>#REF!</v>
      </c>
      <c r="AG447" s="25" t="e">
        <f t="shared" si="617"/>
        <v>#REF!</v>
      </c>
      <c r="AH447" s="24" t="e">
        <f t="shared" si="617"/>
        <v>#REF!</v>
      </c>
      <c r="AI447" s="25" t="e">
        <f t="shared" si="617"/>
        <v>#REF!</v>
      </c>
      <c r="AJ447" s="24" t="e">
        <f t="shared" si="617"/>
        <v>#REF!</v>
      </c>
      <c r="AK447" s="27" t="e">
        <f t="shared" si="581"/>
        <v>#REF!</v>
      </c>
      <c r="AL447" s="26" t="e">
        <f t="shared" ref="AL447:AT449" si="618">J447*31.536*$I447*S447</f>
        <v>#REF!</v>
      </c>
      <c r="AM447" s="25" t="e">
        <f t="shared" si="618"/>
        <v>#REF!</v>
      </c>
      <c r="AN447" s="24" t="e">
        <f t="shared" si="618"/>
        <v>#REF!</v>
      </c>
      <c r="AO447" s="25" t="e">
        <f t="shared" si="618"/>
        <v>#REF!</v>
      </c>
      <c r="AP447" s="24" t="e">
        <f t="shared" si="618"/>
        <v>#REF!</v>
      </c>
      <c r="AQ447" s="25" t="e">
        <f t="shared" si="618"/>
        <v>#REF!</v>
      </c>
      <c r="AR447" s="24" t="e">
        <f t="shared" si="618"/>
        <v>#REF!</v>
      </c>
      <c r="AS447" s="25" t="e">
        <f t="shared" si="618"/>
        <v>#REF!</v>
      </c>
      <c r="AT447" s="24" t="e">
        <f t="shared" si="618"/>
        <v>#REF!</v>
      </c>
      <c r="AU447" s="23" t="e">
        <f>SUM(AL447:AT447)</f>
        <v>#REF!</v>
      </c>
    </row>
    <row r="448" spans="1:47">
      <c r="A448" s="37" t="s">
        <v>1282</v>
      </c>
      <c r="B448" s="36" t="s">
        <v>1107</v>
      </c>
      <c r="C448" s="1" t="s">
        <v>665</v>
      </c>
      <c r="D448" s="36" t="s">
        <v>665</v>
      </c>
      <c r="E448" s="36" t="s">
        <v>1296</v>
      </c>
      <c r="F448" s="1" t="s">
        <v>1280</v>
      </c>
      <c r="G448" s="35" t="s">
        <v>1109</v>
      </c>
      <c r="H448" s="34">
        <f>1-I448</f>
        <v>0.50539450518968465</v>
      </c>
      <c r="I448" s="33">
        <v>0.49460549481031535</v>
      </c>
      <c r="J448" s="26">
        <v>0</v>
      </c>
      <c r="K448" s="25">
        <v>0</v>
      </c>
      <c r="L448" s="24"/>
      <c r="M448" s="25"/>
      <c r="N448" s="24"/>
      <c r="O448" s="25"/>
      <c r="P448" s="24"/>
      <c r="Q448" s="25"/>
      <c r="R448" s="32"/>
      <c r="S448" s="31" t="e">
        <v>#REF!</v>
      </c>
      <c r="T448" s="29" t="e">
        <f t="shared" si="613"/>
        <v>#REF!</v>
      </c>
      <c r="U448" s="30" t="e">
        <f t="shared" si="613"/>
        <v>#REF!</v>
      </c>
      <c r="V448" s="29" t="e">
        <f t="shared" si="613"/>
        <v>#REF!</v>
      </c>
      <c r="W448" s="30" t="e">
        <f t="shared" si="613"/>
        <v>#REF!</v>
      </c>
      <c r="X448" s="29" t="e">
        <f t="shared" si="613"/>
        <v>#REF!</v>
      </c>
      <c r="Y448" s="30" t="e">
        <f t="shared" si="613"/>
        <v>#REF!</v>
      </c>
      <c r="Z448" s="29" t="e">
        <f t="shared" si="613"/>
        <v>#REF!</v>
      </c>
      <c r="AA448" s="28" t="e">
        <f t="shared" si="613"/>
        <v>#REF!</v>
      </c>
      <c r="AB448" s="26" t="e">
        <f t="shared" si="617"/>
        <v>#REF!</v>
      </c>
      <c r="AC448" s="25" t="e">
        <f t="shared" si="617"/>
        <v>#REF!</v>
      </c>
      <c r="AD448" s="24" t="e">
        <f t="shared" si="617"/>
        <v>#REF!</v>
      </c>
      <c r="AE448" s="25" t="e">
        <f t="shared" si="617"/>
        <v>#REF!</v>
      </c>
      <c r="AF448" s="24" t="e">
        <f t="shared" si="617"/>
        <v>#REF!</v>
      </c>
      <c r="AG448" s="25" t="e">
        <f t="shared" si="617"/>
        <v>#REF!</v>
      </c>
      <c r="AH448" s="24" t="e">
        <f t="shared" si="617"/>
        <v>#REF!</v>
      </c>
      <c r="AI448" s="25" t="e">
        <f t="shared" si="617"/>
        <v>#REF!</v>
      </c>
      <c r="AJ448" s="24" t="e">
        <f t="shared" si="617"/>
        <v>#REF!</v>
      </c>
      <c r="AK448" s="27" t="e">
        <f t="shared" si="581"/>
        <v>#REF!</v>
      </c>
      <c r="AL448" s="26" t="e">
        <f t="shared" si="618"/>
        <v>#REF!</v>
      </c>
      <c r="AM448" s="25" t="e">
        <f t="shared" si="618"/>
        <v>#REF!</v>
      </c>
      <c r="AN448" s="24" t="e">
        <f t="shared" si="618"/>
        <v>#REF!</v>
      </c>
      <c r="AO448" s="25" t="e">
        <f t="shared" si="618"/>
        <v>#REF!</v>
      </c>
      <c r="AP448" s="24" t="e">
        <f t="shared" si="618"/>
        <v>#REF!</v>
      </c>
      <c r="AQ448" s="25" t="e">
        <f t="shared" si="618"/>
        <v>#REF!</v>
      </c>
      <c r="AR448" s="24" t="e">
        <f t="shared" si="618"/>
        <v>#REF!</v>
      </c>
      <c r="AS448" s="25" t="e">
        <f t="shared" si="618"/>
        <v>#REF!</v>
      </c>
      <c r="AT448" s="24" t="e">
        <f t="shared" si="618"/>
        <v>#REF!</v>
      </c>
      <c r="AU448" s="23" t="e">
        <f>SUM(AL448:AT448)</f>
        <v>#REF!</v>
      </c>
    </row>
    <row r="449" spans="1:47">
      <c r="A449" s="37" t="s">
        <v>1282</v>
      </c>
      <c r="B449" s="36" t="s">
        <v>1107</v>
      </c>
      <c r="C449" s="1" t="s">
        <v>665</v>
      </c>
      <c r="D449" s="36" t="s">
        <v>665</v>
      </c>
      <c r="E449" s="36" t="s">
        <v>1295</v>
      </c>
      <c r="F449" s="1" t="s">
        <v>1280</v>
      </c>
      <c r="G449" s="35" t="s">
        <v>1109</v>
      </c>
      <c r="H449" s="34">
        <f>1-I449</f>
        <v>0.50690335305719914</v>
      </c>
      <c r="I449" s="33">
        <v>0.49309664694280081</v>
      </c>
      <c r="J449" s="26">
        <v>0</v>
      </c>
      <c r="K449" s="25">
        <v>0</v>
      </c>
      <c r="L449" s="24"/>
      <c r="M449" s="25"/>
      <c r="N449" s="24"/>
      <c r="O449" s="25"/>
      <c r="P449" s="24"/>
      <c r="Q449" s="25"/>
      <c r="R449" s="32"/>
      <c r="S449" s="31" t="e">
        <v>#REF!</v>
      </c>
      <c r="T449" s="29" t="e">
        <f t="shared" si="613"/>
        <v>#REF!</v>
      </c>
      <c r="U449" s="30" t="e">
        <f t="shared" si="613"/>
        <v>#REF!</v>
      </c>
      <c r="V449" s="29" t="e">
        <f t="shared" si="613"/>
        <v>#REF!</v>
      </c>
      <c r="W449" s="30" t="e">
        <f t="shared" si="613"/>
        <v>#REF!</v>
      </c>
      <c r="X449" s="29" t="e">
        <f t="shared" si="613"/>
        <v>#REF!</v>
      </c>
      <c r="Y449" s="30" t="e">
        <f t="shared" si="613"/>
        <v>#REF!</v>
      </c>
      <c r="Z449" s="29" t="e">
        <f t="shared" si="613"/>
        <v>#REF!</v>
      </c>
      <c r="AA449" s="28" t="e">
        <f t="shared" si="613"/>
        <v>#REF!</v>
      </c>
      <c r="AB449" s="26" t="e">
        <f t="shared" si="617"/>
        <v>#REF!</v>
      </c>
      <c r="AC449" s="25" t="e">
        <f t="shared" si="617"/>
        <v>#REF!</v>
      </c>
      <c r="AD449" s="24" t="e">
        <f t="shared" si="617"/>
        <v>#REF!</v>
      </c>
      <c r="AE449" s="25" t="e">
        <f t="shared" si="617"/>
        <v>#REF!</v>
      </c>
      <c r="AF449" s="24" t="e">
        <f t="shared" si="617"/>
        <v>#REF!</v>
      </c>
      <c r="AG449" s="25" t="e">
        <f t="shared" si="617"/>
        <v>#REF!</v>
      </c>
      <c r="AH449" s="24" t="e">
        <f t="shared" si="617"/>
        <v>#REF!</v>
      </c>
      <c r="AI449" s="25" t="e">
        <f t="shared" si="617"/>
        <v>#REF!</v>
      </c>
      <c r="AJ449" s="24" t="e">
        <f t="shared" si="617"/>
        <v>#REF!</v>
      </c>
      <c r="AK449" s="27" t="e">
        <f t="shared" si="581"/>
        <v>#REF!</v>
      </c>
      <c r="AL449" s="26" t="e">
        <f t="shared" si="618"/>
        <v>#REF!</v>
      </c>
      <c r="AM449" s="25" t="e">
        <f t="shared" si="618"/>
        <v>#REF!</v>
      </c>
      <c r="AN449" s="24" t="e">
        <f t="shared" si="618"/>
        <v>#REF!</v>
      </c>
      <c r="AO449" s="25" t="e">
        <f t="shared" si="618"/>
        <v>#REF!</v>
      </c>
      <c r="AP449" s="24" t="e">
        <f t="shared" si="618"/>
        <v>#REF!</v>
      </c>
      <c r="AQ449" s="25" t="e">
        <f t="shared" si="618"/>
        <v>#REF!</v>
      </c>
      <c r="AR449" s="24" t="e">
        <f t="shared" si="618"/>
        <v>#REF!</v>
      </c>
      <c r="AS449" s="25" t="e">
        <f t="shared" si="618"/>
        <v>#REF!</v>
      </c>
      <c r="AT449" s="24" t="e">
        <f t="shared" si="618"/>
        <v>#REF!</v>
      </c>
      <c r="AU449" s="23" t="e">
        <f>SUM(AL449:AT449)</f>
        <v>#REF!</v>
      </c>
    </row>
    <row r="450" spans="1:47">
      <c r="A450" s="37" t="s">
        <v>1282</v>
      </c>
      <c r="B450" s="36" t="s">
        <v>1107</v>
      </c>
      <c r="C450" s="1" t="s">
        <v>1111</v>
      </c>
      <c r="D450" s="36" t="s">
        <v>1111</v>
      </c>
      <c r="E450" s="36" t="s">
        <v>1294</v>
      </c>
      <c r="F450" s="1" t="s">
        <v>1293</v>
      </c>
      <c r="G450" s="35" t="s">
        <v>1104</v>
      </c>
      <c r="H450" s="43">
        <v>1</v>
      </c>
      <c r="I450" s="42">
        <v>0</v>
      </c>
      <c r="J450" s="26">
        <v>0.85774442413162666</v>
      </c>
      <c r="K450" s="25">
        <v>0.49804514949578327</v>
      </c>
      <c r="L450" s="24"/>
      <c r="M450" s="25"/>
      <c r="N450" s="24"/>
      <c r="O450" s="25"/>
      <c r="P450" s="24"/>
      <c r="Q450" s="25"/>
      <c r="R450" s="32"/>
      <c r="S450" s="31" t="e">
        <v>#REF!</v>
      </c>
      <c r="T450" s="29" t="e">
        <f t="shared" ref="T450:AA459" si="619">S450</f>
        <v>#REF!</v>
      </c>
      <c r="U450" s="30" t="e">
        <f t="shared" si="619"/>
        <v>#REF!</v>
      </c>
      <c r="V450" s="29" t="e">
        <f t="shared" si="619"/>
        <v>#REF!</v>
      </c>
      <c r="W450" s="30" t="e">
        <f t="shared" si="619"/>
        <v>#REF!</v>
      </c>
      <c r="X450" s="29" t="e">
        <f t="shared" si="619"/>
        <v>#REF!</v>
      </c>
      <c r="Y450" s="30" t="e">
        <f t="shared" si="619"/>
        <v>#REF!</v>
      </c>
      <c r="Z450" s="29" t="e">
        <f t="shared" si="619"/>
        <v>#REF!</v>
      </c>
      <c r="AA450" s="28" t="e">
        <f t="shared" si="619"/>
        <v>#REF!</v>
      </c>
      <c r="AB450" s="26" t="e">
        <f t="shared" ref="AB450:AJ450" si="620">J450*$H450*S450</f>
        <v>#REF!</v>
      </c>
      <c r="AC450" s="25" t="e">
        <f t="shared" si="620"/>
        <v>#REF!</v>
      </c>
      <c r="AD450" s="24" t="e">
        <f t="shared" si="620"/>
        <v>#REF!</v>
      </c>
      <c r="AE450" s="25" t="e">
        <f t="shared" si="620"/>
        <v>#REF!</v>
      </c>
      <c r="AF450" s="24" t="e">
        <f t="shared" si="620"/>
        <v>#REF!</v>
      </c>
      <c r="AG450" s="25" t="e">
        <f t="shared" si="620"/>
        <v>#REF!</v>
      </c>
      <c r="AH450" s="24" t="e">
        <f t="shared" si="620"/>
        <v>#REF!</v>
      </c>
      <c r="AI450" s="25" t="e">
        <f t="shared" si="620"/>
        <v>#REF!</v>
      </c>
      <c r="AJ450" s="24" t="e">
        <f t="shared" si="620"/>
        <v>#REF!</v>
      </c>
      <c r="AK450" s="27" t="e">
        <f t="shared" si="581"/>
        <v>#REF!</v>
      </c>
      <c r="AL450" s="41">
        <v>0</v>
      </c>
      <c r="AM450" s="40">
        <v>0</v>
      </c>
      <c r="AN450" s="39">
        <v>0</v>
      </c>
      <c r="AO450" s="40">
        <v>0</v>
      </c>
      <c r="AP450" s="39">
        <v>0</v>
      </c>
      <c r="AQ450" s="40">
        <v>0</v>
      </c>
      <c r="AR450" s="39">
        <v>0</v>
      </c>
      <c r="AS450" s="40">
        <v>0</v>
      </c>
      <c r="AT450" s="39">
        <v>0</v>
      </c>
      <c r="AU450" s="38">
        <v>0</v>
      </c>
    </row>
    <row r="451" spans="1:47">
      <c r="A451" s="37" t="s">
        <v>1282</v>
      </c>
      <c r="B451" s="36" t="s">
        <v>1107</v>
      </c>
      <c r="C451" s="1" t="s">
        <v>1111</v>
      </c>
      <c r="D451" s="36" t="s">
        <v>1111</v>
      </c>
      <c r="E451" s="36" t="s">
        <v>1292</v>
      </c>
      <c r="F451" s="1" t="s">
        <v>1280</v>
      </c>
      <c r="G451" s="35" t="s">
        <v>1109</v>
      </c>
      <c r="H451" s="34">
        <f>1-I451</f>
        <v>0.91317837324206397</v>
      </c>
      <c r="I451" s="33">
        <v>8.6821626757936074E-2</v>
      </c>
      <c r="J451" s="26" t="e">
        <v>#REF!</v>
      </c>
      <c r="K451" s="25" t="e">
        <v>#REF!</v>
      </c>
      <c r="L451" s="24"/>
      <c r="M451" s="25"/>
      <c r="N451" s="24"/>
      <c r="O451" s="25"/>
      <c r="P451" s="24"/>
      <c r="Q451" s="25"/>
      <c r="R451" s="32"/>
      <c r="S451" s="31" t="e">
        <v>#REF!</v>
      </c>
      <c r="T451" s="29" t="e">
        <f t="shared" si="619"/>
        <v>#REF!</v>
      </c>
      <c r="U451" s="30" t="e">
        <f t="shared" si="619"/>
        <v>#REF!</v>
      </c>
      <c r="V451" s="29" t="e">
        <f t="shared" si="619"/>
        <v>#REF!</v>
      </c>
      <c r="W451" s="30" t="e">
        <f t="shared" si="619"/>
        <v>#REF!</v>
      </c>
      <c r="X451" s="29" t="e">
        <f t="shared" si="619"/>
        <v>#REF!</v>
      </c>
      <c r="Y451" s="30" t="e">
        <f t="shared" si="619"/>
        <v>#REF!</v>
      </c>
      <c r="Z451" s="29" t="e">
        <f t="shared" si="619"/>
        <v>#REF!</v>
      </c>
      <c r="AA451" s="28" t="e">
        <f t="shared" si="619"/>
        <v>#REF!</v>
      </c>
      <c r="AB451" s="26" t="e">
        <f t="shared" ref="AB451:AJ453" si="621">J451*31.536*$H451*S451</f>
        <v>#REF!</v>
      </c>
      <c r="AC451" s="25" t="e">
        <f t="shared" si="621"/>
        <v>#REF!</v>
      </c>
      <c r="AD451" s="24" t="e">
        <f t="shared" si="621"/>
        <v>#REF!</v>
      </c>
      <c r="AE451" s="25" t="e">
        <f t="shared" si="621"/>
        <v>#REF!</v>
      </c>
      <c r="AF451" s="24" t="e">
        <f t="shared" si="621"/>
        <v>#REF!</v>
      </c>
      <c r="AG451" s="25" t="e">
        <f t="shared" si="621"/>
        <v>#REF!</v>
      </c>
      <c r="AH451" s="24" t="e">
        <f t="shared" si="621"/>
        <v>#REF!</v>
      </c>
      <c r="AI451" s="25" t="e">
        <f t="shared" si="621"/>
        <v>#REF!</v>
      </c>
      <c r="AJ451" s="24" t="e">
        <f t="shared" si="621"/>
        <v>#REF!</v>
      </c>
      <c r="AK451" s="27" t="e">
        <f t="shared" si="581"/>
        <v>#REF!</v>
      </c>
      <c r="AL451" s="26" t="e">
        <f t="shared" ref="AL451:AT453" si="622">J451*31.536*$I451*S451</f>
        <v>#REF!</v>
      </c>
      <c r="AM451" s="25" t="e">
        <f t="shared" si="622"/>
        <v>#REF!</v>
      </c>
      <c r="AN451" s="24" t="e">
        <f t="shared" si="622"/>
        <v>#REF!</v>
      </c>
      <c r="AO451" s="25" t="e">
        <f t="shared" si="622"/>
        <v>#REF!</v>
      </c>
      <c r="AP451" s="24" t="e">
        <f t="shared" si="622"/>
        <v>#REF!</v>
      </c>
      <c r="AQ451" s="25" t="e">
        <f t="shared" si="622"/>
        <v>#REF!</v>
      </c>
      <c r="AR451" s="24" t="e">
        <f t="shared" si="622"/>
        <v>#REF!</v>
      </c>
      <c r="AS451" s="25" t="e">
        <f t="shared" si="622"/>
        <v>#REF!</v>
      </c>
      <c r="AT451" s="24" t="e">
        <f t="shared" si="622"/>
        <v>#REF!</v>
      </c>
      <c r="AU451" s="23" t="e">
        <f>SUM(AL451:AT451)</f>
        <v>#REF!</v>
      </c>
    </row>
    <row r="452" spans="1:47">
      <c r="A452" s="37" t="s">
        <v>1282</v>
      </c>
      <c r="B452" s="36" t="s">
        <v>1107</v>
      </c>
      <c r="C452" s="1" t="s">
        <v>1111</v>
      </c>
      <c r="D452" s="36" t="s">
        <v>1111</v>
      </c>
      <c r="E452" s="36" t="s">
        <v>1291</v>
      </c>
      <c r="F452" s="1" t="s">
        <v>1280</v>
      </c>
      <c r="G452" s="35" t="s">
        <v>1109</v>
      </c>
      <c r="H452" s="34">
        <f>1-I452</f>
        <v>0.91317837324206397</v>
      </c>
      <c r="I452" s="33">
        <v>8.6821626757936074E-2</v>
      </c>
      <c r="J452" s="26" t="e">
        <v>#REF!</v>
      </c>
      <c r="K452" s="25" t="e">
        <v>#REF!</v>
      </c>
      <c r="L452" s="24"/>
      <c r="M452" s="25"/>
      <c r="N452" s="24"/>
      <c r="O452" s="25"/>
      <c r="P452" s="24"/>
      <c r="Q452" s="25"/>
      <c r="R452" s="32"/>
      <c r="S452" s="31" t="e">
        <v>#REF!</v>
      </c>
      <c r="T452" s="29" t="e">
        <f t="shared" si="619"/>
        <v>#REF!</v>
      </c>
      <c r="U452" s="30" t="e">
        <f t="shared" si="619"/>
        <v>#REF!</v>
      </c>
      <c r="V452" s="29" t="e">
        <f t="shared" si="619"/>
        <v>#REF!</v>
      </c>
      <c r="W452" s="30" t="e">
        <f t="shared" si="619"/>
        <v>#REF!</v>
      </c>
      <c r="X452" s="29" t="e">
        <f t="shared" si="619"/>
        <v>#REF!</v>
      </c>
      <c r="Y452" s="30" t="e">
        <f t="shared" si="619"/>
        <v>#REF!</v>
      </c>
      <c r="Z452" s="29" t="e">
        <f t="shared" si="619"/>
        <v>#REF!</v>
      </c>
      <c r="AA452" s="28" t="e">
        <f t="shared" si="619"/>
        <v>#REF!</v>
      </c>
      <c r="AB452" s="26" t="e">
        <f t="shared" si="621"/>
        <v>#REF!</v>
      </c>
      <c r="AC452" s="25" t="e">
        <f t="shared" si="621"/>
        <v>#REF!</v>
      </c>
      <c r="AD452" s="24" t="e">
        <f t="shared" si="621"/>
        <v>#REF!</v>
      </c>
      <c r="AE452" s="25" t="e">
        <f t="shared" si="621"/>
        <v>#REF!</v>
      </c>
      <c r="AF452" s="24" t="e">
        <f t="shared" si="621"/>
        <v>#REF!</v>
      </c>
      <c r="AG452" s="25" t="e">
        <f t="shared" si="621"/>
        <v>#REF!</v>
      </c>
      <c r="AH452" s="24" t="e">
        <f t="shared" si="621"/>
        <v>#REF!</v>
      </c>
      <c r="AI452" s="25" t="e">
        <f t="shared" si="621"/>
        <v>#REF!</v>
      </c>
      <c r="AJ452" s="24" t="e">
        <f t="shared" si="621"/>
        <v>#REF!</v>
      </c>
      <c r="AK452" s="27" t="e">
        <f t="shared" si="581"/>
        <v>#REF!</v>
      </c>
      <c r="AL452" s="26" t="e">
        <f t="shared" si="622"/>
        <v>#REF!</v>
      </c>
      <c r="AM452" s="25" t="e">
        <f t="shared" si="622"/>
        <v>#REF!</v>
      </c>
      <c r="AN452" s="24" t="e">
        <f t="shared" si="622"/>
        <v>#REF!</v>
      </c>
      <c r="AO452" s="25" t="e">
        <f t="shared" si="622"/>
        <v>#REF!</v>
      </c>
      <c r="AP452" s="24" t="e">
        <f t="shared" si="622"/>
        <v>#REF!</v>
      </c>
      <c r="AQ452" s="25" t="e">
        <f t="shared" si="622"/>
        <v>#REF!</v>
      </c>
      <c r="AR452" s="24" t="e">
        <f t="shared" si="622"/>
        <v>#REF!</v>
      </c>
      <c r="AS452" s="25" t="e">
        <f t="shared" si="622"/>
        <v>#REF!</v>
      </c>
      <c r="AT452" s="24" t="e">
        <f t="shared" si="622"/>
        <v>#REF!</v>
      </c>
      <c r="AU452" s="23" t="e">
        <f>SUM(AL452:AT452)</f>
        <v>#REF!</v>
      </c>
    </row>
    <row r="453" spans="1:47">
      <c r="A453" s="37" t="s">
        <v>1282</v>
      </c>
      <c r="B453" s="36" t="s">
        <v>1107</v>
      </c>
      <c r="C453" s="1" t="s">
        <v>1111</v>
      </c>
      <c r="D453" s="36" t="s">
        <v>1111</v>
      </c>
      <c r="E453" s="36" t="s">
        <v>1290</v>
      </c>
      <c r="F453" s="1" t="s">
        <v>1280</v>
      </c>
      <c r="G453" s="35" t="s">
        <v>1109</v>
      </c>
      <c r="H453" s="34">
        <f>1-I453</f>
        <v>0.67811158798283255</v>
      </c>
      <c r="I453" s="33">
        <v>0.32188841201716739</v>
      </c>
      <c r="J453" s="26">
        <v>0</v>
      </c>
      <c r="K453" s="25">
        <v>0</v>
      </c>
      <c r="L453" s="24"/>
      <c r="M453" s="25"/>
      <c r="N453" s="24"/>
      <c r="O453" s="25"/>
      <c r="P453" s="24"/>
      <c r="Q453" s="25"/>
      <c r="R453" s="32"/>
      <c r="S453" s="31" t="e">
        <v>#REF!</v>
      </c>
      <c r="T453" s="29" t="e">
        <f t="shared" si="619"/>
        <v>#REF!</v>
      </c>
      <c r="U453" s="30" t="e">
        <f t="shared" si="619"/>
        <v>#REF!</v>
      </c>
      <c r="V453" s="29" t="e">
        <f t="shared" si="619"/>
        <v>#REF!</v>
      </c>
      <c r="W453" s="30" t="e">
        <f t="shared" si="619"/>
        <v>#REF!</v>
      </c>
      <c r="X453" s="29" t="e">
        <f t="shared" si="619"/>
        <v>#REF!</v>
      </c>
      <c r="Y453" s="30" t="e">
        <f t="shared" si="619"/>
        <v>#REF!</v>
      </c>
      <c r="Z453" s="29" t="e">
        <f t="shared" si="619"/>
        <v>#REF!</v>
      </c>
      <c r="AA453" s="28" t="e">
        <f t="shared" si="619"/>
        <v>#REF!</v>
      </c>
      <c r="AB453" s="26" t="e">
        <f t="shared" si="621"/>
        <v>#REF!</v>
      </c>
      <c r="AC453" s="25" t="e">
        <f t="shared" si="621"/>
        <v>#REF!</v>
      </c>
      <c r="AD453" s="24" t="e">
        <f t="shared" si="621"/>
        <v>#REF!</v>
      </c>
      <c r="AE453" s="25" t="e">
        <f t="shared" si="621"/>
        <v>#REF!</v>
      </c>
      <c r="AF453" s="24" t="e">
        <f t="shared" si="621"/>
        <v>#REF!</v>
      </c>
      <c r="AG453" s="25" t="e">
        <f t="shared" si="621"/>
        <v>#REF!</v>
      </c>
      <c r="AH453" s="24" t="e">
        <f t="shared" si="621"/>
        <v>#REF!</v>
      </c>
      <c r="AI453" s="25" t="e">
        <f t="shared" si="621"/>
        <v>#REF!</v>
      </c>
      <c r="AJ453" s="24" t="e">
        <f t="shared" si="621"/>
        <v>#REF!</v>
      </c>
      <c r="AK453" s="27" t="e">
        <f t="shared" si="581"/>
        <v>#REF!</v>
      </c>
      <c r="AL453" s="26" t="e">
        <f t="shared" si="622"/>
        <v>#REF!</v>
      </c>
      <c r="AM453" s="25" t="e">
        <f t="shared" si="622"/>
        <v>#REF!</v>
      </c>
      <c r="AN453" s="24" t="e">
        <f t="shared" si="622"/>
        <v>#REF!</v>
      </c>
      <c r="AO453" s="25" t="e">
        <f t="shared" si="622"/>
        <v>#REF!</v>
      </c>
      <c r="AP453" s="24" t="e">
        <f t="shared" si="622"/>
        <v>#REF!</v>
      </c>
      <c r="AQ453" s="25" t="e">
        <f t="shared" si="622"/>
        <v>#REF!</v>
      </c>
      <c r="AR453" s="24" t="e">
        <f t="shared" si="622"/>
        <v>#REF!</v>
      </c>
      <c r="AS453" s="25" t="e">
        <f t="shared" si="622"/>
        <v>#REF!</v>
      </c>
      <c r="AT453" s="24" t="e">
        <f t="shared" si="622"/>
        <v>#REF!</v>
      </c>
      <c r="AU453" s="23" t="e">
        <f>SUM(AL453:AT453)</f>
        <v>#REF!</v>
      </c>
    </row>
    <row r="454" spans="1:47">
      <c r="A454" s="37" t="s">
        <v>1282</v>
      </c>
      <c r="B454" s="36" t="s">
        <v>1107</v>
      </c>
      <c r="C454" s="1" t="s">
        <v>1106</v>
      </c>
      <c r="D454" s="36" t="s">
        <v>1106</v>
      </c>
      <c r="E454" s="36" t="s">
        <v>1289</v>
      </c>
      <c r="F454" s="1" t="s">
        <v>1286</v>
      </c>
      <c r="G454" s="35" t="s">
        <v>1104</v>
      </c>
      <c r="H454" s="43">
        <v>1</v>
      </c>
      <c r="I454" s="42">
        <v>0</v>
      </c>
      <c r="J454" s="26">
        <v>1.6635239999999996</v>
      </c>
      <c r="K454" s="25">
        <v>0</v>
      </c>
      <c r="L454" s="24"/>
      <c r="M454" s="25"/>
      <c r="N454" s="24"/>
      <c r="O454" s="25"/>
      <c r="P454" s="24"/>
      <c r="Q454" s="25"/>
      <c r="R454" s="32"/>
      <c r="S454" s="31" t="e">
        <v>#REF!</v>
      </c>
      <c r="T454" s="29" t="e">
        <f t="shared" si="619"/>
        <v>#REF!</v>
      </c>
      <c r="U454" s="30" t="e">
        <f t="shared" si="619"/>
        <v>#REF!</v>
      </c>
      <c r="V454" s="29" t="e">
        <f t="shared" si="619"/>
        <v>#REF!</v>
      </c>
      <c r="W454" s="30" t="e">
        <f t="shared" si="619"/>
        <v>#REF!</v>
      </c>
      <c r="X454" s="29" t="e">
        <f t="shared" si="619"/>
        <v>#REF!</v>
      </c>
      <c r="Y454" s="30" t="e">
        <f t="shared" si="619"/>
        <v>#REF!</v>
      </c>
      <c r="Z454" s="29" t="e">
        <f t="shared" si="619"/>
        <v>#REF!</v>
      </c>
      <c r="AA454" s="28" t="e">
        <f t="shared" si="619"/>
        <v>#REF!</v>
      </c>
      <c r="AB454" s="26" t="e">
        <f t="shared" ref="AB454:AJ456" si="623">J454*$H454*S454</f>
        <v>#REF!</v>
      </c>
      <c r="AC454" s="25" t="e">
        <f t="shared" si="623"/>
        <v>#REF!</v>
      </c>
      <c r="AD454" s="24" t="e">
        <f t="shared" si="623"/>
        <v>#REF!</v>
      </c>
      <c r="AE454" s="25" t="e">
        <f t="shared" si="623"/>
        <v>#REF!</v>
      </c>
      <c r="AF454" s="24" t="e">
        <f t="shared" si="623"/>
        <v>#REF!</v>
      </c>
      <c r="AG454" s="25" t="e">
        <f t="shared" si="623"/>
        <v>#REF!</v>
      </c>
      <c r="AH454" s="24" t="e">
        <f t="shared" si="623"/>
        <v>#REF!</v>
      </c>
      <c r="AI454" s="25" t="e">
        <f t="shared" si="623"/>
        <v>#REF!</v>
      </c>
      <c r="AJ454" s="24" t="e">
        <f t="shared" si="623"/>
        <v>#REF!</v>
      </c>
      <c r="AK454" s="27" t="e">
        <f t="shared" si="581"/>
        <v>#REF!</v>
      </c>
      <c r="AL454" s="41">
        <v>0</v>
      </c>
      <c r="AM454" s="40">
        <v>0</v>
      </c>
      <c r="AN454" s="39">
        <v>0</v>
      </c>
      <c r="AO454" s="40">
        <v>0</v>
      </c>
      <c r="AP454" s="39">
        <v>0</v>
      </c>
      <c r="AQ454" s="40">
        <v>0</v>
      </c>
      <c r="AR454" s="39">
        <v>0</v>
      </c>
      <c r="AS454" s="40">
        <v>0</v>
      </c>
      <c r="AT454" s="39">
        <v>0</v>
      </c>
      <c r="AU454" s="38">
        <v>0</v>
      </c>
    </row>
    <row r="455" spans="1:47">
      <c r="A455" s="37" t="s">
        <v>1282</v>
      </c>
      <c r="B455" s="36" t="s">
        <v>1107</v>
      </c>
      <c r="C455" s="1" t="s">
        <v>1106</v>
      </c>
      <c r="D455" s="36" t="s">
        <v>1106</v>
      </c>
      <c r="E455" s="36" t="s">
        <v>1288</v>
      </c>
      <c r="F455" s="1" t="s">
        <v>1286</v>
      </c>
      <c r="G455" s="35" t="s">
        <v>1104</v>
      </c>
      <c r="H455" s="43">
        <v>1</v>
      </c>
      <c r="I455" s="42">
        <v>0</v>
      </c>
      <c r="J455" s="26">
        <v>19.296878399999997</v>
      </c>
      <c r="K455" s="25">
        <v>0</v>
      </c>
      <c r="L455" s="24"/>
      <c r="M455" s="25"/>
      <c r="N455" s="24"/>
      <c r="O455" s="25"/>
      <c r="P455" s="24"/>
      <c r="Q455" s="25"/>
      <c r="R455" s="32"/>
      <c r="S455" s="31" t="e">
        <v>#REF!</v>
      </c>
      <c r="T455" s="29" t="e">
        <f t="shared" si="619"/>
        <v>#REF!</v>
      </c>
      <c r="U455" s="30" t="e">
        <f t="shared" si="619"/>
        <v>#REF!</v>
      </c>
      <c r="V455" s="29" t="e">
        <f t="shared" si="619"/>
        <v>#REF!</v>
      </c>
      <c r="W455" s="30" t="e">
        <f t="shared" si="619"/>
        <v>#REF!</v>
      </c>
      <c r="X455" s="29" t="e">
        <f t="shared" si="619"/>
        <v>#REF!</v>
      </c>
      <c r="Y455" s="30" t="e">
        <f t="shared" si="619"/>
        <v>#REF!</v>
      </c>
      <c r="Z455" s="29" t="e">
        <f t="shared" si="619"/>
        <v>#REF!</v>
      </c>
      <c r="AA455" s="28" t="e">
        <f t="shared" si="619"/>
        <v>#REF!</v>
      </c>
      <c r="AB455" s="26" t="e">
        <f t="shared" si="623"/>
        <v>#REF!</v>
      </c>
      <c r="AC455" s="25" t="e">
        <f t="shared" si="623"/>
        <v>#REF!</v>
      </c>
      <c r="AD455" s="24" t="e">
        <f t="shared" si="623"/>
        <v>#REF!</v>
      </c>
      <c r="AE455" s="25" t="e">
        <f t="shared" si="623"/>
        <v>#REF!</v>
      </c>
      <c r="AF455" s="24" t="e">
        <f t="shared" si="623"/>
        <v>#REF!</v>
      </c>
      <c r="AG455" s="25" t="e">
        <f t="shared" si="623"/>
        <v>#REF!</v>
      </c>
      <c r="AH455" s="24" t="e">
        <f t="shared" si="623"/>
        <v>#REF!</v>
      </c>
      <c r="AI455" s="25" t="e">
        <f t="shared" si="623"/>
        <v>#REF!</v>
      </c>
      <c r="AJ455" s="24" t="e">
        <f t="shared" si="623"/>
        <v>#REF!</v>
      </c>
      <c r="AK455" s="27" t="e">
        <f t="shared" si="581"/>
        <v>#REF!</v>
      </c>
      <c r="AL455" s="41">
        <v>0</v>
      </c>
      <c r="AM455" s="40">
        <v>0</v>
      </c>
      <c r="AN455" s="39">
        <v>0</v>
      </c>
      <c r="AO455" s="40">
        <v>0</v>
      </c>
      <c r="AP455" s="39">
        <v>0</v>
      </c>
      <c r="AQ455" s="40">
        <v>0</v>
      </c>
      <c r="AR455" s="39">
        <v>0</v>
      </c>
      <c r="AS455" s="40">
        <v>0</v>
      </c>
      <c r="AT455" s="39">
        <v>0</v>
      </c>
      <c r="AU455" s="38">
        <v>0</v>
      </c>
    </row>
    <row r="456" spans="1:47">
      <c r="A456" s="37" t="s">
        <v>1282</v>
      </c>
      <c r="B456" s="36" t="s">
        <v>1107</v>
      </c>
      <c r="C456" s="1" t="s">
        <v>1106</v>
      </c>
      <c r="D456" s="36" t="s">
        <v>1106</v>
      </c>
      <c r="E456" s="36" t="s">
        <v>1287</v>
      </c>
      <c r="F456" s="1" t="s">
        <v>1286</v>
      </c>
      <c r="G456" s="35" t="s">
        <v>1104</v>
      </c>
      <c r="H456" s="43">
        <v>1</v>
      </c>
      <c r="I456" s="42">
        <v>0</v>
      </c>
      <c r="J456" s="26">
        <v>3.5118839999999993</v>
      </c>
      <c r="K456" s="25">
        <v>0</v>
      </c>
      <c r="L456" s="24"/>
      <c r="M456" s="25"/>
      <c r="N456" s="24"/>
      <c r="O456" s="25"/>
      <c r="P456" s="24"/>
      <c r="Q456" s="25"/>
      <c r="R456" s="32"/>
      <c r="S456" s="31" t="e">
        <v>#REF!</v>
      </c>
      <c r="T456" s="29" t="e">
        <f t="shared" si="619"/>
        <v>#REF!</v>
      </c>
      <c r="U456" s="30" t="e">
        <f t="shared" si="619"/>
        <v>#REF!</v>
      </c>
      <c r="V456" s="29" t="e">
        <f t="shared" si="619"/>
        <v>#REF!</v>
      </c>
      <c r="W456" s="30" t="e">
        <f t="shared" si="619"/>
        <v>#REF!</v>
      </c>
      <c r="X456" s="29" t="e">
        <f t="shared" si="619"/>
        <v>#REF!</v>
      </c>
      <c r="Y456" s="30" t="e">
        <f t="shared" si="619"/>
        <v>#REF!</v>
      </c>
      <c r="Z456" s="29" t="e">
        <f t="shared" si="619"/>
        <v>#REF!</v>
      </c>
      <c r="AA456" s="28" t="e">
        <f t="shared" si="619"/>
        <v>#REF!</v>
      </c>
      <c r="AB456" s="26" t="e">
        <f t="shared" si="623"/>
        <v>#REF!</v>
      </c>
      <c r="AC456" s="25" t="e">
        <f t="shared" si="623"/>
        <v>#REF!</v>
      </c>
      <c r="AD456" s="24" t="e">
        <f t="shared" si="623"/>
        <v>#REF!</v>
      </c>
      <c r="AE456" s="25" t="e">
        <f t="shared" si="623"/>
        <v>#REF!</v>
      </c>
      <c r="AF456" s="24" t="e">
        <f t="shared" si="623"/>
        <v>#REF!</v>
      </c>
      <c r="AG456" s="25" t="e">
        <f t="shared" si="623"/>
        <v>#REF!</v>
      </c>
      <c r="AH456" s="24" t="e">
        <f t="shared" si="623"/>
        <v>#REF!</v>
      </c>
      <c r="AI456" s="25" t="e">
        <f t="shared" si="623"/>
        <v>#REF!</v>
      </c>
      <c r="AJ456" s="24" t="e">
        <f t="shared" si="623"/>
        <v>#REF!</v>
      </c>
      <c r="AK456" s="27" t="e">
        <f t="shared" ref="AK456:AK519" si="624">SUM(AB456:AJ456)</f>
        <v>#REF!</v>
      </c>
      <c r="AL456" s="41">
        <v>0</v>
      </c>
      <c r="AM456" s="40">
        <v>0</v>
      </c>
      <c r="AN456" s="39">
        <v>0</v>
      </c>
      <c r="AO456" s="40">
        <v>0</v>
      </c>
      <c r="AP456" s="39">
        <v>0</v>
      </c>
      <c r="AQ456" s="40">
        <v>0</v>
      </c>
      <c r="AR456" s="39">
        <v>0</v>
      </c>
      <c r="AS456" s="40">
        <v>0</v>
      </c>
      <c r="AT456" s="39">
        <v>0</v>
      </c>
      <c r="AU456" s="38">
        <v>0</v>
      </c>
    </row>
    <row r="457" spans="1:47">
      <c r="A457" s="37" t="s">
        <v>1282</v>
      </c>
      <c r="B457" s="36" t="s">
        <v>1107</v>
      </c>
      <c r="C457" s="1" t="s">
        <v>1106</v>
      </c>
      <c r="D457" s="36" t="s">
        <v>1106</v>
      </c>
      <c r="E457" s="36" t="s">
        <v>1285</v>
      </c>
      <c r="F457" s="1" t="s">
        <v>1280</v>
      </c>
      <c r="G457" s="35" t="s">
        <v>1109</v>
      </c>
      <c r="H457" s="34">
        <f>1-I457</f>
        <v>0.8923133820862077</v>
      </c>
      <c r="I457" s="33">
        <v>0.10768661791379229</v>
      </c>
      <c r="J457" s="26" t="e">
        <v>#REF!</v>
      </c>
      <c r="K457" s="25" t="e">
        <v>#REF!</v>
      </c>
      <c r="L457" s="24"/>
      <c r="M457" s="25"/>
      <c r="N457" s="24"/>
      <c r="O457" s="25"/>
      <c r="P457" s="24"/>
      <c r="Q457" s="25"/>
      <c r="R457" s="32"/>
      <c r="S457" s="31" t="e">
        <v>#REF!</v>
      </c>
      <c r="T457" s="29" t="e">
        <f t="shared" si="619"/>
        <v>#REF!</v>
      </c>
      <c r="U457" s="30" t="e">
        <f t="shared" si="619"/>
        <v>#REF!</v>
      </c>
      <c r="V457" s="29" t="e">
        <f t="shared" si="619"/>
        <v>#REF!</v>
      </c>
      <c r="W457" s="30" t="e">
        <f t="shared" si="619"/>
        <v>#REF!</v>
      </c>
      <c r="X457" s="29" t="e">
        <f t="shared" si="619"/>
        <v>#REF!</v>
      </c>
      <c r="Y457" s="30" t="e">
        <f t="shared" si="619"/>
        <v>#REF!</v>
      </c>
      <c r="Z457" s="29" t="e">
        <f t="shared" si="619"/>
        <v>#REF!</v>
      </c>
      <c r="AA457" s="28" t="e">
        <f t="shared" si="619"/>
        <v>#REF!</v>
      </c>
      <c r="AB457" s="26" t="e">
        <f t="shared" ref="AB457:AJ460" si="625">J457*31.536*$H457*S457</f>
        <v>#REF!</v>
      </c>
      <c r="AC457" s="25" t="e">
        <f t="shared" si="625"/>
        <v>#REF!</v>
      </c>
      <c r="AD457" s="24" t="e">
        <f t="shared" si="625"/>
        <v>#REF!</v>
      </c>
      <c r="AE457" s="25" t="e">
        <f t="shared" si="625"/>
        <v>#REF!</v>
      </c>
      <c r="AF457" s="24" t="e">
        <f t="shared" si="625"/>
        <v>#REF!</v>
      </c>
      <c r="AG457" s="25" t="e">
        <f t="shared" si="625"/>
        <v>#REF!</v>
      </c>
      <c r="AH457" s="24" t="e">
        <f t="shared" si="625"/>
        <v>#REF!</v>
      </c>
      <c r="AI457" s="25" t="e">
        <f t="shared" si="625"/>
        <v>#REF!</v>
      </c>
      <c r="AJ457" s="24" t="e">
        <f t="shared" si="625"/>
        <v>#REF!</v>
      </c>
      <c r="AK457" s="27" t="e">
        <f t="shared" si="624"/>
        <v>#REF!</v>
      </c>
      <c r="AL457" s="26" t="e">
        <f t="shared" ref="AL457:AT460" si="626">J457*31.536*$I457*S457</f>
        <v>#REF!</v>
      </c>
      <c r="AM457" s="25" t="e">
        <f t="shared" si="626"/>
        <v>#REF!</v>
      </c>
      <c r="AN457" s="24" t="e">
        <f t="shared" si="626"/>
        <v>#REF!</v>
      </c>
      <c r="AO457" s="25" t="e">
        <f t="shared" si="626"/>
        <v>#REF!</v>
      </c>
      <c r="AP457" s="24" t="e">
        <f t="shared" si="626"/>
        <v>#REF!</v>
      </c>
      <c r="AQ457" s="25" t="e">
        <f t="shared" si="626"/>
        <v>#REF!</v>
      </c>
      <c r="AR457" s="24" t="e">
        <f t="shared" si="626"/>
        <v>#REF!</v>
      </c>
      <c r="AS457" s="25" t="e">
        <f t="shared" si="626"/>
        <v>#REF!</v>
      </c>
      <c r="AT457" s="24" t="e">
        <f t="shared" si="626"/>
        <v>#REF!</v>
      </c>
      <c r="AU457" s="23" t="e">
        <f>SUM(AL457:AT457)</f>
        <v>#REF!</v>
      </c>
    </row>
    <row r="458" spans="1:47">
      <c r="A458" s="37" t="s">
        <v>1282</v>
      </c>
      <c r="B458" s="36" t="s">
        <v>1107</v>
      </c>
      <c r="C458" s="1" t="s">
        <v>1106</v>
      </c>
      <c r="D458" s="36" t="s">
        <v>1106</v>
      </c>
      <c r="E458" s="36" t="s">
        <v>1284</v>
      </c>
      <c r="F458" s="1" t="s">
        <v>1280</v>
      </c>
      <c r="G458" s="35" t="s">
        <v>1109</v>
      </c>
      <c r="H458" s="34">
        <f>1-I458</f>
        <v>0.88332652522877819</v>
      </c>
      <c r="I458" s="33">
        <v>0.11667347477122179</v>
      </c>
      <c r="J458" s="26" t="e">
        <v>#REF!</v>
      </c>
      <c r="K458" s="25" t="e">
        <v>#REF!</v>
      </c>
      <c r="L458" s="24"/>
      <c r="M458" s="25"/>
      <c r="N458" s="24"/>
      <c r="O458" s="25"/>
      <c r="P458" s="24"/>
      <c r="Q458" s="25"/>
      <c r="R458" s="32"/>
      <c r="S458" s="31" t="e">
        <v>#REF!</v>
      </c>
      <c r="T458" s="29" t="e">
        <f t="shared" si="619"/>
        <v>#REF!</v>
      </c>
      <c r="U458" s="30" t="e">
        <f t="shared" si="619"/>
        <v>#REF!</v>
      </c>
      <c r="V458" s="29" t="e">
        <f t="shared" si="619"/>
        <v>#REF!</v>
      </c>
      <c r="W458" s="30" t="e">
        <f t="shared" si="619"/>
        <v>#REF!</v>
      </c>
      <c r="X458" s="29" t="e">
        <f t="shared" si="619"/>
        <v>#REF!</v>
      </c>
      <c r="Y458" s="30" t="e">
        <f t="shared" si="619"/>
        <v>#REF!</v>
      </c>
      <c r="Z458" s="29" t="e">
        <f t="shared" si="619"/>
        <v>#REF!</v>
      </c>
      <c r="AA458" s="28" t="e">
        <f t="shared" si="619"/>
        <v>#REF!</v>
      </c>
      <c r="AB458" s="26" t="e">
        <f t="shared" si="625"/>
        <v>#REF!</v>
      </c>
      <c r="AC458" s="25" t="e">
        <f t="shared" si="625"/>
        <v>#REF!</v>
      </c>
      <c r="AD458" s="24" t="e">
        <f t="shared" si="625"/>
        <v>#REF!</v>
      </c>
      <c r="AE458" s="25" t="e">
        <f t="shared" si="625"/>
        <v>#REF!</v>
      </c>
      <c r="AF458" s="24" t="e">
        <f t="shared" si="625"/>
        <v>#REF!</v>
      </c>
      <c r="AG458" s="25" t="e">
        <f t="shared" si="625"/>
        <v>#REF!</v>
      </c>
      <c r="AH458" s="24" t="e">
        <f t="shared" si="625"/>
        <v>#REF!</v>
      </c>
      <c r="AI458" s="25" t="e">
        <f t="shared" si="625"/>
        <v>#REF!</v>
      </c>
      <c r="AJ458" s="24" t="e">
        <f t="shared" si="625"/>
        <v>#REF!</v>
      </c>
      <c r="AK458" s="27" t="e">
        <f t="shared" si="624"/>
        <v>#REF!</v>
      </c>
      <c r="AL458" s="26" t="e">
        <f t="shared" si="626"/>
        <v>#REF!</v>
      </c>
      <c r="AM458" s="25" t="e">
        <f t="shared" si="626"/>
        <v>#REF!</v>
      </c>
      <c r="AN458" s="24" t="e">
        <f t="shared" si="626"/>
        <v>#REF!</v>
      </c>
      <c r="AO458" s="25" t="e">
        <f t="shared" si="626"/>
        <v>#REF!</v>
      </c>
      <c r="AP458" s="24" t="e">
        <f t="shared" si="626"/>
        <v>#REF!</v>
      </c>
      <c r="AQ458" s="25" t="e">
        <f t="shared" si="626"/>
        <v>#REF!</v>
      </c>
      <c r="AR458" s="24" t="e">
        <f t="shared" si="626"/>
        <v>#REF!</v>
      </c>
      <c r="AS458" s="25" t="e">
        <f t="shared" si="626"/>
        <v>#REF!</v>
      </c>
      <c r="AT458" s="24" t="e">
        <f t="shared" si="626"/>
        <v>#REF!</v>
      </c>
      <c r="AU458" s="23" t="e">
        <f>SUM(AL458:AT458)</f>
        <v>#REF!</v>
      </c>
    </row>
    <row r="459" spans="1:47">
      <c r="A459" s="37" t="s">
        <v>1282</v>
      </c>
      <c r="B459" s="36" t="s">
        <v>1107</v>
      </c>
      <c r="C459" s="1" t="s">
        <v>1106</v>
      </c>
      <c r="D459" s="36" t="s">
        <v>1106</v>
      </c>
      <c r="E459" s="36" t="s">
        <v>1283</v>
      </c>
      <c r="F459" s="1" t="s">
        <v>1280</v>
      </c>
      <c r="G459" s="35" t="s">
        <v>1109</v>
      </c>
      <c r="H459" s="34">
        <f>1-I459</f>
        <v>0.88332652522877819</v>
      </c>
      <c r="I459" s="33">
        <v>0.11667347477122179</v>
      </c>
      <c r="J459" s="26" t="e">
        <v>#REF!</v>
      </c>
      <c r="K459" s="25" t="e">
        <v>#REF!</v>
      </c>
      <c r="L459" s="24"/>
      <c r="M459" s="25"/>
      <c r="N459" s="24"/>
      <c r="O459" s="25"/>
      <c r="P459" s="24"/>
      <c r="Q459" s="25"/>
      <c r="R459" s="32"/>
      <c r="S459" s="31" t="e">
        <v>#REF!</v>
      </c>
      <c r="T459" s="29" t="e">
        <f t="shared" si="619"/>
        <v>#REF!</v>
      </c>
      <c r="U459" s="30" t="e">
        <f t="shared" si="619"/>
        <v>#REF!</v>
      </c>
      <c r="V459" s="29" t="e">
        <f t="shared" si="619"/>
        <v>#REF!</v>
      </c>
      <c r="W459" s="30" t="e">
        <f t="shared" si="619"/>
        <v>#REF!</v>
      </c>
      <c r="X459" s="29" t="e">
        <f t="shared" si="619"/>
        <v>#REF!</v>
      </c>
      <c r="Y459" s="30" t="e">
        <f t="shared" si="619"/>
        <v>#REF!</v>
      </c>
      <c r="Z459" s="29" t="e">
        <f t="shared" si="619"/>
        <v>#REF!</v>
      </c>
      <c r="AA459" s="28" t="e">
        <f t="shared" si="619"/>
        <v>#REF!</v>
      </c>
      <c r="AB459" s="26" t="e">
        <f t="shared" si="625"/>
        <v>#REF!</v>
      </c>
      <c r="AC459" s="25" t="e">
        <f t="shared" si="625"/>
        <v>#REF!</v>
      </c>
      <c r="AD459" s="24" t="e">
        <f t="shared" si="625"/>
        <v>#REF!</v>
      </c>
      <c r="AE459" s="25" t="e">
        <f t="shared" si="625"/>
        <v>#REF!</v>
      </c>
      <c r="AF459" s="24" t="e">
        <f t="shared" si="625"/>
        <v>#REF!</v>
      </c>
      <c r="AG459" s="25" t="e">
        <f t="shared" si="625"/>
        <v>#REF!</v>
      </c>
      <c r="AH459" s="24" t="e">
        <f t="shared" si="625"/>
        <v>#REF!</v>
      </c>
      <c r="AI459" s="25" t="e">
        <f t="shared" si="625"/>
        <v>#REF!</v>
      </c>
      <c r="AJ459" s="24" t="e">
        <f t="shared" si="625"/>
        <v>#REF!</v>
      </c>
      <c r="AK459" s="27" t="e">
        <f t="shared" si="624"/>
        <v>#REF!</v>
      </c>
      <c r="AL459" s="26" t="e">
        <f t="shared" si="626"/>
        <v>#REF!</v>
      </c>
      <c r="AM459" s="25" t="e">
        <f t="shared" si="626"/>
        <v>#REF!</v>
      </c>
      <c r="AN459" s="24" t="e">
        <f t="shared" si="626"/>
        <v>#REF!</v>
      </c>
      <c r="AO459" s="25" t="e">
        <f t="shared" si="626"/>
        <v>#REF!</v>
      </c>
      <c r="AP459" s="24" t="e">
        <f t="shared" si="626"/>
        <v>#REF!</v>
      </c>
      <c r="AQ459" s="25" t="e">
        <f t="shared" si="626"/>
        <v>#REF!</v>
      </c>
      <c r="AR459" s="24" t="e">
        <f t="shared" si="626"/>
        <v>#REF!</v>
      </c>
      <c r="AS459" s="25" t="e">
        <f t="shared" si="626"/>
        <v>#REF!</v>
      </c>
      <c r="AT459" s="24" t="e">
        <f t="shared" si="626"/>
        <v>#REF!</v>
      </c>
      <c r="AU459" s="23" t="e">
        <f>SUM(AL459:AT459)</f>
        <v>#REF!</v>
      </c>
    </row>
    <row r="460" spans="1:47">
      <c r="A460" s="22" t="s">
        <v>1282</v>
      </c>
      <c r="B460" s="20" t="s">
        <v>1107</v>
      </c>
      <c r="C460" s="21" t="s">
        <v>1106</v>
      </c>
      <c r="D460" s="20" t="s">
        <v>1106</v>
      </c>
      <c r="E460" s="20" t="s">
        <v>1281</v>
      </c>
      <c r="F460" s="21" t="s">
        <v>1280</v>
      </c>
      <c r="G460" s="19" t="s">
        <v>1109</v>
      </c>
      <c r="H460" s="50">
        <f>1-I460</f>
        <v>0.89271391977011183</v>
      </c>
      <c r="I460" s="49">
        <v>0.10728608022988817</v>
      </c>
      <c r="J460" s="11" t="e">
        <v>#REF!</v>
      </c>
      <c r="K460" s="10" t="e">
        <v>#REF!</v>
      </c>
      <c r="L460" s="9"/>
      <c r="M460" s="10"/>
      <c r="N460" s="9"/>
      <c r="O460" s="10"/>
      <c r="P460" s="9"/>
      <c r="Q460" s="10"/>
      <c r="R460" s="16"/>
      <c r="S460" s="15" t="e">
        <v>#REF!</v>
      </c>
      <c r="T460" s="13" t="e">
        <f t="shared" ref="T460:AA460" si="627">S460</f>
        <v>#REF!</v>
      </c>
      <c r="U460" s="14" t="e">
        <f t="shared" si="627"/>
        <v>#REF!</v>
      </c>
      <c r="V460" s="13" t="e">
        <f t="shared" si="627"/>
        <v>#REF!</v>
      </c>
      <c r="W460" s="14" t="e">
        <f t="shared" si="627"/>
        <v>#REF!</v>
      </c>
      <c r="X460" s="13" t="e">
        <f t="shared" si="627"/>
        <v>#REF!</v>
      </c>
      <c r="Y460" s="14" t="e">
        <f t="shared" si="627"/>
        <v>#REF!</v>
      </c>
      <c r="Z460" s="13" t="e">
        <f t="shared" si="627"/>
        <v>#REF!</v>
      </c>
      <c r="AA460" s="12" t="e">
        <f t="shared" si="627"/>
        <v>#REF!</v>
      </c>
      <c r="AB460" s="11" t="e">
        <f t="shared" si="625"/>
        <v>#REF!</v>
      </c>
      <c r="AC460" s="10" t="e">
        <f t="shared" si="625"/>
        <v>#REF!</v>
      </c>
      <c r="AD460" s="9" t="e">
        <f t="shared" si="625"/>
        <v>#REF!</v>
      </c>
      <c r="AE460" s="10" t="e">
        <f t="shared" si="625"/>
        <v>#REF!</v>
      </c>
      <c r="AF460" s="9" t="e">
        <f t="shared" si="625"/>
        <v>#REF!</v>
      </c>
      <c r="AG460" s="10" t="e">
        <f t="shared" si="625"/>
        <v>#REF!</v>
      </c>
      <c r="AH460" s="9" t="e">
        <f t="shared" si="625"/>
        <v>#REF!</v>
      </c>
      <c r="AI460" s="10" t="e">
        <f t="shared" si="625"/>
        <v>#REF!</v>
      </c>
      <c r="AJ460" s="9" t="e">
        <f t="shared" si="625"/>
        <v>#REF!</v>
      </c>
      <c r="AK460" s="8" t="e">
        <f t="shared" si="624"/>
        <v>#REF!</v>
      </c>
      <c r="AL460" s="11" t="e">
        <f t="shared" si="626"/>
        <v>#REF!</v>
      </c>
      <c r="AM460" s="10" t="e">
        <f t="shared" si="626"/>
        <v>#REF!</v>
      </c>
      <c r="AN460" s="9" t="e">
        <f t="shared" si="626"/>
        <v>#REF!</v>
      </c>
      <c r="AO460" s="10" t="e">
        <f t="shared" si="626"/>
        <v>#REF!</v>
      </c>
      <c r="AP460" s="9" t="e">
        <f t="shared" si="626"/>
        <v>#REF!</v>
      </c>
      <c r="AQ460" s="10" t="e">
        <f t="shared" si="626"/>
        <v>#REF!</v>
      </c>
      <c r="AR460" s="9" t="e">
        <f t="shared" si="626"/>
        <v>#REF!</v>
      </c>
      <c r="AS460" s="10" t="e">
        <f t="shared" si="626"/>
        <v>#REF!</v>
      </c>
      <c r="AT460" s="9" t="e">
        <f t="shared" si="626"/>
        <v>#REF!</v>
      </c>
      <c r="AU460" s="48" t="e">
        <f>SUM(AL460:AT460)</f>
        <v>#REF!</v>
      </c>
    </row>
    <row r="461" spans="1:47">
      <c r="A461" s="37" t="s">
        <v>1247</v>
      </c>
      <c r="B461" s="36" t="s">
        <v>1150</v>
      </c>
      <c r="C461" s="1" t="s">
        <v>1126</v>
      </c>
      <c r="D461" s="36" t="s">
        <v>1126</v>
      </c>
      <c r="E461" s="36" t="s">
        <v>1279</v>
      </c>
      <c r="F461" s="1" t="e">
        <f t="shared" ref="F461:F492" ca="1" si="628">EndUse(A461,B461,C461,G461)</f>
        <v>#NAME?</v>
      </c>
      <c r="G461" s="35" t="s">
        <v>1121</v>
      </c>
      <c r="H461" s="43">
        <v>1</v>
      </c>
      <c r="I461" s="42">
        <v>0</v>
      </c>
      <c r="J461" s="26">
        <v>0.67972307458088332</v>
      </c>
      <c r="K461" s="25">
        <v>1.8608494992542197</v>
      </c>
      <c r="L461" s="24"/>
      <c r="M461" s="25"/>
      <c r="N461" s="24"/>
      <c r="O461" s="25"/>
      <c r="P461" s="24"/>
      <c r="Q461" s="25"/>
      <c r="R461" s="32"/>
      <c r="S461" s="47">
        <v>1</v>
      </c>
      <c r="T461" s="45">
        <v>1</v>
      </c>
      <c r="U461" s="46">
        <v>1</v>
      </c>
      <c r="V461" s="45">
        <v>1</v>
      </c>
      <c r="W461" s="46">
        <v>1</v>
      </c>
      <c r="X461" s="45">
        <v>1</v>
      </c>
      <c r="Y461" s="46">
        <v>1</v>
      </c>
      <c r="Z461" s="45">
        <v>1</v>
      </c>
      <c r="AA461" s="44">
        <v>1</v>
      </c>
      <c r="AB461" s="26">
        <f t="shared" ref="AB461:AB479" si="629">J461*$H461*S461</f>
        <v>0.67972307458088332</v>
      </c>
      <c r="AC461" s="25">
        <f t="shared" ref="AC461:AC479" si="630">K461*$H461*T461</f>
        <v>1.8608494992542197</v>
      </c>
      <c r="AD461" s="24">
        <f t="shared" ref="AD461:AD479" si="631">L461*$H461*U461</f>
        <v>0</v>
      </c>
      <c r="AE461" s="25">
        <f t="shared" ref="AE461:AE479" si="632">M461*$H461*V461</f>
        <v>0</v>
      </c>
      <c r="AF461" s="24">
        <f t="shared" ref="AF461:AF479" si="633">N461*$H461*W461</f>
        <v>0</v>
      </c>
      <c r="AG461" s="25">
        <f t="shared" ref="AG461:AG479" si="634">O461*$H461*X461</f>
        <v>0</v>
      </c>
      <c r="AH461" s="24">
        <f t="shared" ref="AH461:AH479" si="635">P461*$H461*Y461</f>
        <v>0</v>
      </c>
      <c r="AI461" s="25">
        <f t="shared" ref="AI461:AI479" si="636">Q461*$H461*Z461</f>
        <v>0</v>
      </c>
      <c r="AJ461" s="24">
        <f t="shared" ref="AJ461:AJ479" si="637">R461*$H461*AA461</f>
        <v>0</v>
      </c>
      <c r="AK461" s="27">
        <f t="shared" si="624"/>
        <v>2.540572573835103</v>
      </c>
      <c r="AL461" s="41">
        <v>0</v>
      </c>
      <c r="AM461" s="40">
        <v>0</v>
      </c>
      <c r="AN461" s="39">
        <v>0</v>
      </c>
      <c r="AO461" s="40">
        <v>0</v>
      </c>
      <c r="AP461" s="39">
        <v>0</v>
      </c>
      <c r="AQ461" s="40">
        <v>0</v>
      </c>
      <c r="AR461" s="39">
        <v>0</v>
      </c>
      <c r="AS461" s="40">
        <v>0</v>
      </c>
      <c r="AT461" s="39">
        <v>0</v>
      </c>
      <c r="AU461" s="38">
        <v>0</v>
      </c>
    </row>
    <row r="462" spans="1:47">
      <c r="A462" s="37" t="s">
        <v>1247</v>
      </c>
      <c r="B462" s="36" t="s">
        <v>1145</v>
      </c>
      <c r="C462" s="1" t="s">
        <v>1126</v>
      </c>
      <c r="D462" s="36" t="s">
        <v>1126</v>
      </c>
      <c r="E462" s="36" t="s">
        <v>1278</v>
      </c>
      <c r="F462" s="1" t="e">
        <f t="shared" ca="1" si="628"/>
        <v>#NAME?</v>
      </c>
      <c r="G462" s="35" t="s">
        <v>1121</v>
      </c>
      <c r="H462" s="43">
        <v>1</v>
      </c>
      <c r="I462" s="42">
        <v>0</v>
      </c>
      <c r="J462" s="26">
        <v>0.75524786064542593</v>
      </c>
      <c r="K462" s="25">
        <v>2.0676105547269108</v>
      </c>
      <c r="L462" s="24"/>
      <c r="M462" s="25"/>
      <c r="N462" s="24"/>
      <c r="O462" s="25"/>
      <c r="P462" s="24"/>
      <c r="Q462" s="25"/>
      <c r="R462" s="32"/>
      <c r="S462" s="47">
        <v>1</v>
      </c>
      <c r="T462" s="45">
        <v>1</v>
      </c>
      <c r="U462" s="46">
        <v>1</v>
      </c>
      <c r="V462" s="45">
        <v>1</v>
      </c>
      <c r="W462" s="46">
        <v>1</v>
      </c>
      <c r="X462" s="45">
        <v>1</v>
      </c>
      <c r="Y462" s="46">
        <v>1</v>
      </c>
      <c r="Z462" s="45">
        <v>1</v>
      </c>
      <c r="AA462" s="44">
        <v>1</v>
      </c>
      <c r="AB462" s="26">
        <f t="shared" si="629"/>
        <v>0.75524786064542593</v>
      </c>
      <c r="AC462" s="25">
        <f t="shared" si="630"/>
        <v>2.0676105547269108</v>
      </c>
      <c r="AD462" s="24">
        <f t="shared" si="631"/>
        <v>0</v>
      </c>
      <c r="AE462" s="25">
        <f t="shared" si="632"/>
        <v>0</v>
      </c>
      <c r="AF462" s="24">
        <f t="shared" si="633"/>
        <v>0</v>
      </c>
      <c r="AG462" s="25">
        <f t="shared" si="634"/>
        <v>0</v>
      </c>
      <c r="AH462" s="24">
        <f t="shared" si="635"/>
        <v>0</v>
      </c>
      <c r="AI462" s="25">
        <f t="shared" si="636"/>
        <v>0</v>
      </c>
      <c r="AJ462" s="24">
        <f t="shared" si="637"/>
        <v>0</v>
      </c>
      <c r="AK462" s="27">
        <f t="shared" si="624"/>
        <v>2.8228584153723366</v>
      </c>
      <c r="AL462" s="41">
        <v>0</v>
      </c>
      <c r="AM462" s="40">
        <v>0</v>
      </c>
      <c r="AN462" s="39">
        <v>0</v>
      </c>
      <c r="AO462" s="40">
        <v>0</v>
      </c>
      <c r="AP462" s="39">
        <v>0</v>
      </c>
      <c r="AQ462" s="40">
        <v>0</v>
      </c>
      <c r="AR462" s="39">
        <v>0</v>
      </c>
      <c r="AS462" s="40">
        <v>0</v>
      </c>
      <c r="AT462" s="39">
        <v>0</v>
      </c>
      <c r="AU462" s="38">
        <v>0</v>
      </c>
    </row>
    <row r="463" spans="1:47">
      <c r="A463" s="37" t="s">
        <v>1247</v>
      </c>
      <c r="B463" s="36" t="s">
        <v>1145</v>
      </c>
      <c r="C463" s="1" t="s">
        <v>665</v>
      </c>
      <c r="D463" s="36" t="s">
        <v>665</v>
      </c>
      <c r="E463" s="36" t="s">
        <v>1277</v>
      </c>
      <c r="F463" s="1" t="e">
        <f t="shared" ca="1" si="628"/>
        <v>#NAME?</v>
      </c>
      <c r="G463" s="35" t="s">
        <v>1121</v>
      </c>
      <c r="H463" s="43">
        <v>1</v>
      </c>
      <c r="I463" s="42">
        <v>0</v>
      </c>
      <c r="J463" s="26">
        <v>6.3084763889742032E-2</v>
      </c>
      <c r="K463" s="25">
        <v>0.5870390941514485</v>
      </c>
      <c r="L463" s="24"/>
      <c r="M463" s="25"/>
      <c r="N463" s="24"/>
      <c r="O463" s="25"/>
      <c r="P463" s="24"/>
      <c r="Q463" s="25"/>
      <c r="R463" s="32"/>
      <c r="S463" s="47">
        <v>1</v>
      </c>
      <c r="T463" s="45">
        <v>1</v>
      </c>
      <c r="U463" s="46">
        <v>1</v>
      </c>
      <c r="V463" s="45">
        <v>1</v>
      </c>
      <c r="W463" s="46">
        <v>1</v>
      </c>
      <c r="X463" s="45">
        <v>1</v>
      </c>
      <c r="Y463" s="46">
        <v>1</v>
      </c>
      <c r="Z463" s="45">
        <v>1</v>
      </c>
      <c r="AA463" s="44">
        <v>1</v>
      </c>
      <c r="AB463" s="26">
        <f t="shared" si="629"/>
        <v>6.3084763889742032E-2</v>
      </c>
      <c r="AC463" s="25">
        <f t="shared" si="630"/>
        <v>0.5870390941514485</v>
      </c>
      <c r="AD463" s="24">
        <f t="shared" si="631"/>
        <v>0</v>
      </c>
      <c r="AE463" s="25">
        <f t="shared" si="632"/>
        <v>0</v>
      </c>
      <c r="AF463" s="24">
        <f t="shared" si="633"/>
        <v>0</v>
      </c>
      <c r="AG463" s="25">
        <f t="shared" si="634"/>
        <v>0</v>
      </c>
      <c r="AH463" s="24">
        <f t="shared" si="635"/>
        <v>0</v>
      </c>
      <c r="AI463" s="25">
        <f t="shared" si="636"/>
        <v>0</v>
      </c>
      <c r="AJ463" s="24">
        <f t="shared" si="637"/>
        <v>0</v>
      </c>
      <c r="AK463" s="27">
        <f t="shared" si="624"/>
        <v>0.65012385804119055</v>
      </c>
      <c r="AL463" s="41">
        <v>0</v>
      </c>
      <c r="AM463" s="40">
        <v>0</v>
      </c>
      <c r="AN463" s="39">
        <v>0</v>
      </c>
      <c r="AO463" s="40">
        <v>0</v>
      </c>
      <c r="AP463" s="39">
        <v>0</v>
      </c>
      <c r="AQ463" s="40">
        <v>0</v>
      </c>
      <c r="AR463" s="39">
        <v>0</v>
      </c>
      <c r="AS463" s="40">
        <v>0</v>
      </c>
      <c r="AT463" s="39">
        <v>0</v>
      </c>
      <c r="AU463" s="38">
        <v>0</v>
      </c>
    </row>
    <row r="464" spans="1:47">
      <c r="A464" s="37" t="s">
        <v>1247</v>
      </c>
      <c r="B464" s="36" t="s">
        <v>1139</v>
      </c>
      <c r="C464" s="1" t="s">
        <v>456</v>
      </c>
      <c r="D464" s="36" t="s">
        <v>456</v>
      </c>
      <c r="E464" s="36" t="s">
        <v>1276</v>
      </c>
      <c r="F464" s="1" t="e">
        <f t="shared" ca="1" si="628"/>
        <v>#NAME?</v>
      </c>
      <c r="G464" s="35" t="s">
        <v>1121</v>
      </c>
      <c r="H464" s="43">
        <v>1</v>
      </c>
      <c r="I464" s="42">
        <v>0</v>
      </c>
      <c r="J464" s="26">
        <v>43.771756073331559</v>
      </c>
      <c r="K464" s="25">
        <v>135.77357643026176</v>
      </c>
      <c r="L464" s="24"/>
      <c r="M464" s="25"/>
      <c r="N464" s="24"/>
      <c r="O464" s="25"/>
      <c r="P464" s="24"/>
      <c r="Q464" s="25"/>
      <c r="R464" s="32"/>
      <c r="S464" s="47">
        <v>1</v>
      </c>
      <c r="T464" s="45">
        <v>1</v>
      </c>
      <c r="U464" s="46">
        <v>1</v>
      </c>
      <c r="V464" s="45">
        <v>1</v>
      </c>
      <c r="W464" s="46">
        <v>1</v>
      </c>
      <c r="X464" s="45">
        <v>1</v>
      </c>
      <c r="Y464" s="46">
        <v>1</v>
      </c>
      <c r="Z464" s="45">
        <v>1</v>
      </c>
      <c r="AA464" s="44">
        <v>1</v>
      </c>
      <c r="AB464" s="26">
        <f t="shared" si="629"/>
        <v>43.771756073331559</v>
      </c>
      <c r="AC464" s="25">
        <f t="shared" si="630"/>
        <v>135.77357643026176</v>
      </c>
      <c r="AD464" s="24">
        <f t="shared" si="631"/>
        <v>0</v>
      </c>
      <c r="AE464" s="25">
        <f t="shared" si="632"/>
        <v>0</v>
      </c>
      <c r="AF464" s="24">
        <f t="shared" si="633"/>
        <v>0</v>
      </c>
      <c r="AG464" s="25">
        <f t="shared" si="634"/>
        <v>0</v>
      </c>
      <c r="AH464" s="24">
        <f t="shared" si="635"/>
        <v>0</v>
      </c>
      <c r="AI464" s="25">
        <f t="shared" si="636"/>
        <v>0</v>
      </c>
      <c r="AJ464" s="24">
        <f t="shared" si="637"/>
        <v>0</v>
      </c>
      <c r="AK464" s="27">
        <f t="shared" si="624"/>
        <v>179.54533250359333</v>
      </c>
      <c r="AL464" s="41">
        <v>0</v>
      </c>
      <c r="AM464" s="40">
        <v>0</v>
      </c>
      <c r="AN464" s="39">
        <v>0</v>
      </c>
      <c r="AO464" s="40">
        <v>0</v>
      </c>
      <c r="AP464" s="39">
        <v>0</v>
      </c>
      <c r="AQ464" s="40">
        <v>0</v>
      </c>
      <c r="AR464" s="39">
        <v>0</v>
      </c>
      <c r="AS464" s="40">
        <v>0</v>
      </c>
      <c r="AT464" s="39">
        <v>0</v>
      </c>
      <c r="AU464" s="38">
        <v>0</v>
      </c>
    </row>
    <row r="465" spans="1:47">
      <c r="A465" s="37" t="s">
        <v>1247</v>
      </c>
      <c r="B465" s="36" t="s">
        <v>1139</v>
      </c>
      <c r="C465" s="1" t="s">
        <v>665</v>
      </c>
      <c r="D465" s="36" t="s">
        <v>665</v>
      </c>
      <c r="E465" s="36" t="s">
        <v>1275</v>
      </c>
      <c r="F465" s="1" t="e">
        <f t="shared" ca="1" si="628"/>
        <v>#NAME?</v>
      </c>
      <c r="G465" s="35" t="s">
        <v>1121</v>
      </c>
      <c r="H465" s="43">
        <v>1</v>
      </c>
      <c r="I465" s="42">
        <v>0</v>
      </c>
      <c r="J465" s="26">
        <v>0</v>
      </c>
      <c r="K465" s="25">
        <v>4.1542695091437949</v>
      </c>
      <c r="L465" s="24"/>
      <c r="M465" s="25"/>
      <c r="N465" s="24"/>
      <c r="O465" s="25"/>
      <c r="P465" s="24"/>
      <c r="Q465" s="25"/>
      <c r="R465" s="32"/>
      <c r="S465" s="47">
        <v>1</v>
      </c>
      <c r="T465" s="45">
        <v>1</v>
      </c>
      <c r="U465" s="46">
        <v>1</v>
      </c>
      <c r="V465" s="45">
        <v>1</v>
      </c>
      <c r="W465" s="46">
        <v>1</v>
      </c>
      <c r="X465" s="45">
        <v>1</v>
      </c>
      <c r="Y465" s="46">
        <v>1</v>
      </c>
      <c r="Z465" s="45">
        <v>1</v>
      </c>
      <c r="AA465" s="44">
        <v>1</v>
      </c>
      <c r="AB465" s="26">
        <f t="shared" si="629"/>
        <v>0</v>
      </c>
      <c r="AC465" s="25">
        <f t="shared" si="630"/>
        <v>4.1542695091437949</v>
      </c>
      <c r="AD465" s="24">
        <f t="shared" si="631"/>
        <v>0</v>
      </c>
      <c r="AE465" s="25">
        <f t="shared" si="632"/>
        <v>0</v>
      </c>
      <c r="AF465" s="24">
        <f t="shared" si="633"/>
        <v>0</v>
      </c>
      <c r="AG465" s="25">
        <f t="shared" si="634"/>
        <v>0</v>
      </c>
      <c r="AH465" s="24">
        <f t="shared" si="635"/>
        <v>0</v>
      </c>
      <c r="AI465" s="25">
        <f t="shared" si="636"/>
        <v>0</v>
      </c>
      <c r="AJ465" s="24">
        <f t="shared" si="637"/>
        <v>0</v>
      </c>
      <c r="AK465" s="27">
        <f t="shared" si="624"/>
        <v>4.1542695091437949</v>
      </c>
      <c r="AL465" s="41">
        <v>0</v>
      </c>
      <c r="AM465" s="40">
        <v>0</v>
      </c>
      <c r="AN465" s="39">
        <v>0</v>
      </c>
      <c r="AO465" s="40">
        <v>0</v>
      </c>
      <c r="AP465" s="39">
        <v>0</v>
      </c>
      <c r="AQ465" s="40">
        <v>0</v>
      </c>
      <c r="AR465" s="39">
        <v>0</v>
      </c>
      <c r="AS465" s="40">
        <v>0</v>
      </c>
      <c r="AT465" s="39">
        <v>0</v>
      </c>
      <c r="AU465" s="38">
        <v>0</v>
      </c>
    </row>
    <row r="466" spans="1:47">
      <c r="A466" s="37" t="s">
        <v>1247</v>
      </c>
      <c r="B466" s="36" t="s">
        <v>1139</v>
      </c>
      <c r="C466" s="1" t="s">
        <v>1274</v>
      </c>
      <c r="D466" s="36" t="s">
        <v>1274</v>
      </c>
      <c r="E466" s="36" t="s">
        <v>1273</v>
      </c>
      <c r="F466" s="1" t="e">
        <f t="shared" ca="1" si="628"/>
        <v>#NAME?</v>
      </c>
      <c r="G466" s="35" t="s">
        <v>1121</v>
      </c>
      <c r="H466" s="43">
        <v>1</v>
      </c>
      <c r="I466" s="42">
        <v>0</v>
      </c>
      <c r="J466" s="26">
        <v>16.761279683068484</v>
      </c>
      <c r="K466" s="25">
        <v>53.08167844788975</v>
      </c>
      <c r="L466" s="24"/>
      <c r="M466" s="25"/>
      <c r="N466" s="24"/>
      <c r="O466" s="25"/>
      <c r="P466" s="24"/>
      <c r="Q466" s="25"/>
      <c r="R466" s="32"/>
      <c r="S466" s="47">
        <v>1</v>
      </c>
      <c r="T466" s="45">
        <v>1</v>
      </c>
      <c r="U466" s="46">
        <v>1</v>
      </c>
      <c r="V466" s="45">
        <v>1</v>
      </c>
      <c r="W466" s="46">
        <v>1</v>
      </c>
      <c r="X466" s="45">
        <v>1</v>
      </c>
      <c r="Y466" s="46">
        <v>1</v>
      </c>
      <c r="Z466" s="45">
        <v>1</v>
      </c>
      <c r="AA466" s="44">
        <v>1</v>
      </c>
      <c r="AB466" s="26">
        <f t="shared" si="629"/>
        <v>16.761279683068484</v>
      </c>
      <c r="AC466" s="25">
        <f t="shared" si="630"/>
        <v>53.08167844788975</v>
      </c>
      <c r="AD466" s="24">
        <f t="shared" si="631"/>
        <v>0</v>
      </c>
      <c r="AE466" s="25">
        <f t="shared" si="632"/>
        <v>0</v>
      </c>
      <c r="AF466" s="24">
        <f t="shared" si="633"/>
        <v>0</v>
      </c>
      <c r="AG466" s="25">
        <f t="shared" si="634"/>
        <v>0</v>
      </c>
      <c r="AH466" s="24">
        <f t="shared" si="635"/>
        <v>0</v>
      </c>
      <c r="AI466" s="25">
        <f t="shared" si="636"/>
        <v>0</v>
      </c>
      <c r="AJ466" s="24">
        <f t="shared" si="637"/>
        <v>0</v>
      </c>
      <c r="AK466" s="27">
        <f t="shared" si="624"/>
        <v>69.842958130958237</v>
      </c>
      <c r="AL466" s="41">
        <v>0</v>
      </c>
      <c r="AM466" s="40">
        <v>0</v>
      </c>
      <c r="AN466" s="39">
        <v>0</v>
      </c>
      <c r="AO466" s="40">
        <v>0</v>
      </c>
      <c r="AP466" s="39">
        <v>0</v>
      </c>
      <c r="AQ466" s="40">
        <v>0</v>
      </c>
      <c r="AR466" s="39">
        <v>0</v>
      </c>
      <c r="AS466" s="40">
        <v>0</v>
      </c>
      <c r="AT466" s="39">
        <v>0</v>
      </c>
      <c r="AU466" s="38">
        <v>0</v>
      </c>
    </row>
    <row r="467" spans="1:47">
      <c r="A467" s="37" t="s">
        <v>1247</v>
      </c>
      <c r="B467" s="36" t="s">
        <v>1136</v>
      </c>
      <c r="C467" s="1" t="s">
        <v>1126</v>
      </c>
      <c r="D467" s="36" t="s">
        <v>1126</v>
      </c>
      <c r="E467" s="36" t="s">
        <v>1272</v>
      </c>
      <c r="F467" s="1" t="e">
        <f t="shared" ca="1" si="628"/>
        <v>#NAME?</v>
      </c>
      <c r="G467" s="35" t="s">
        <v>1121</v>
      </c>
      <c r="H467" s="43">
        <v>1</v>
      </c>
      <c r="I467" s="42">
        <v>0</v>
      </c>
      <c r="J467" s="26">
        <v>4.0405760544530285</v>
      </c>
      <c r="K467" s="25">
        <v>11.061716467788974</v>
      </c>
      <c r="L467" s="24"/>
      <c r="M467" s="25"/>
      <c r="N467" s="24"/>
      <c r="O467" s="25"/>
      <c r="P467" s="24"/>
      <c r="Q467" s="25"/>
      <c r="R467" s="32"/>
      <c r="S467" s="47">
        <v>1</v>
      </c>
      <c r="T467" s="45">
        <v>1</v>
      </c>
      <c r="U467" s="46">
        <v>1</v>
      </c>
      <c r="V467" s="45">
        <v>1</v>
      </c>
      <c r="W467" s="46">
        <v>1</v>
      </c>
      <c r="X467" s="45">
        <v>1</v>
      </c>
      <c r="Y467" s="46">
        <v>1</v>
      </c>
      <c r="Z467" s="45">
        <v>1</v>
      </c>
      <c r="AA467" s="44">
        <v>1</v>
      </c>
      <c r="AB467" s="26">
        <f t="shared" si="629"/>
        <v>4.0405760544530285</v>
      </c>
      <c r="AC467" s="25">
        <f t="shared" si="630"/>
        <v>11.061716467788974</v>
      </c>
      <c r="AD467" s="24">
        <f t="shared" si="631"/>
        <v>0</v>
      </c>
      <c r="AE467" s="25">
        <f t="shared" si="632"/>
        <v>0</v>
      </c>
      <c r="AF467" s="24">
        <f t="shared" si="633"/>
        <v>0</v>
      </c>
      <c r="AG467" s="25">
        <f t="shared" si="634"/>
        <v>0</v>
      </c>
      <c r="AH467" s="24">
        <f t="shared" si="635"/>
        <v>0</v>
      </c>
      <c r="AI467" s="25">
        <f t="shared" si="636"/>
        <v>0</v>
      </c>
      <c r="AJ467" s="24">
        <f t="shared" si="637"/>
        <v>0</v>
      </c>
      <c r="AK467" s="27">
        <f t="shared" si="624"/>
        <v>15.102292522242003</v>
      </c>
      <c r="AL467" s="41">
        <v>0</v>
      </c>
      <c r="AM467" s="40">
        <v>0</v>
      </c>
      <c r="AN467" s="39">
        <v>0</v>
      </c>
      <c r="AO467" s="40">
        <v>0</v>
      </c>
      <c r="AP467" s="39">
        <v>0</v>
      </c>
      <c r="AQ467" s="40">
        <v>0</v>
      </c>
      <c r="AR467" s="39">
        <v>0</v>
      </c>
      <c r="AS467" s="40">
        <v>0</v>
      </c>
      <c r="AT467" s="39">
        <v>0</v>
      </c>
      <c r="AU467" s="38">
        <v>0</v>
      </c>
    </row>
    <row r="468" spans="1:47">
      <c r="A468" s="37" t="s">
        <v>1247</v>
      </c>
      <c r="B468" s="36" t="s">
        <v>1136</v>
      </c>
      <c r="C468" s="1" t="s">
        <v>665</v>
      </c>
      <c r="D468" s="36" t="s">
        <v>665</v>
      </c>
      <c r="E468" s="36" t="s">
        <v>1271</v>
      </c>
      <c r="F468" s="1" t="e">
        <f t="shared" ca="1" si="628"/>
        <v>#NAME?</v>
      </c>
      <c r="G468" s="35" t="s">
        <v>1121</v>
      </c>
      <c r="H468" s="43">
        <v>1</v>
      </c>
      <c r="I468" s="42">
        <v>0</v>
      </c>
      <c r="J468" s="26">
        <v>0.10251274132083081</v>
      </c>
      <c r="K468" s="25">
        <v>0.9539385279961039</v>
      </c>
      <c r="L468" s="24"/>
      <c r="M468" s="25"/>
      <c r="N468" s="24"/>
      <c r="O468" s="25"/>
      <c r="P468" s="24"/>
      <c r="Q468" s="25"/>
      <c r="R468" s="32"/>
      <c r="S468" s="47">
        <v>1</v>
      </c>
      <c r="T468" s="45">
        <v>1</v>
      </c>
      <c r="U468" s="46">
        <v>1</v>
      </c>
      <c r="V468" s="45">
        <v>1</v>
      </c>
      <c r="W468" s="46">
        <v>1</v>
      </c>
      <c r="X468" s="45">
        <v>1</v>
      </c>
      <c r="Y468" s="46">
        <v>1</v>
      </c>
      <c r="Z468" s="45">
        <v>1</v>
      </c>
      <c r="AA468" s="44">
        <v>1</v>
      </c>
      <c r="AB468" s="26">
        <f t="shared" si="629"/>
        <v>0.10251274132083081</v>
      </c>
      <c r="AC468" s="25">
        <f t="shared" si="630"/>
        <v>0.9539385279961039</v>
      </c>
      <c r="AD468" s="24">
        <f t="shared" si="631"/>
        <v>0</v>
      </c>
      <c r="AE468" s="25">
        <f t="shared" si="632"/>
        <v>0</v>
      </c>
      <c r="AF468" s="24">
        <f t="shared" si="633"/>
        <v>0</v>
      </c>
      <c r="AG468" s="25">
        <f t="shared" si="634"/>
        <v>0</v>
      </c>
      <c r="AH468" s="24">
        <f t="shared" si="635"/>
        <v>0</v>
      </c>
      <c r="AI468" s="25">
        <f t="shared" si="636"/>
        <v>0</v>
      </c>
      <c r="AJ468" s="24">
        <f t="shared" si="637"/>
        <v>0</v>
      </c>
      <c r="AK468" s="27">
        <f t="shared" si="624"/>
        <v>1.0564512693169348</v>
      </c>
      <c r="AL468" s="41">
        <v>0</v>
      </c>
      <c r="AM468" s="40">
        <v>0</v>
      </c>
      <c r="AN468" s="39">
        <v>0</v>
      </c>
      <c r="AO468" s="40">
        <v>0</v>
      </c>
      <c r="AP468" s="39">
        <v>0</v>
      </c>
      <c r="AQ468" s="40">
        <v>0</v>
      </c>
      <c r="AR468" s="39">
        <v>0</v>
      </c>
      <c r="AS468" s="40">
        <v>0</v>
      </c>
      <c r="AT468" s="39">
        <v>0</v>
      </c>
      <c r="AU468" s="38">
        <v>0</v>
      </c>
    </row>
    <row r="469" spans="1:47">
      <c r="A469" s="37" t="s">
        <v>1247</v>
      </c>
      <c r="B469" s="36" t="s">
        <v>1129</v>
      </c>
      <c r="C469" s="1" t="s">
        <v>1120</v>
      </c>
      <c r="D469" s="36" t="s">
        <v>1120</v>
      </c>
      <c r="E469" s="36" t="s">
        <v>1270</v>
      </c>
      <c r="F469" s="1" t="e">
        <f t="shared" ca="1" si="628"/>
        <v>#NAME?</v>
      </c>
      <c r="G469" s="35" t="s">
        <v>1121</v>
      </c>
      <c r="H469" s="43">
        <v>1</v>
      </c>
      <c r="I469" s="42">
        <v>0</v>
      </c>
      <c r="J469" s="26">
        <v>0</v>
      </c>
      <c r="K469" s="25">
        <v>2.696709218706173</v>
      </c>
      <c r="L469" s="24"/>
      <c r="M469" s="25"/>
      <c r="N469" s="24"/>
      <c r="O469" s="25"/>
      <c r="P469" s="24"/>
      <c r="Q469" s="25"/>
      <c r="R469" s="32"/>
      <c r="S469" s="47">
        <v>1</v>
      </c>
      <c r="T469" s="45">
        <v>1</v>
      </c>
      <c r="U469" s="46">
        <v>1</v>
      </c>
      <c r="V469" s="45">
        <v>1</v>
      </c>
      <c r="W469" s="46">
        <v>1</v>
      </c>
      <c r="X469" s="45">
        <v>1</v>
      </c>
      <c r="Y469" s="46">
        <v>1</v>
      </c>
      <c r="Z469" s="45">
        <v>1</v>
      </c>
      <c r="AA469" s="44">
        <v>1</v>
      </c>
      <c r="AB469" s="26">
        <f t="shared" si="629"/>
        <v>0</v>
      </c>
      <c r="AC469" s="25">
        <f t="shared" si="630"/>
        <v>2.696709218706173</v>
      </c>
      <c r="AD469" s="24">
        <f t="shared" si="631"/>
        <v>0</v>
      </c>
      <c r="AE469" s="25">
        <f t="shared" si="632"/>
        <v>0</v>
      </c>
      <c r="AF469" s="24">
        <f t="shared" si="633"/>
        <v>0</v>
      </c>
      <c r="AG469" s="25">
        <f t="shared" si="634"/>
        <v>0</v>
      </c>
      <c r="AH469" s="24">
        <f t="shared" si="635"/>
        <v>0</v>
      </c>
      <c r="AI469" s="25">
        <f t="shared" si="636"/>
        <v>0</v>
      </c>
      <c r="AJ469" s="24">
        <f t="shared" si="637"/>
        <v>0</v>
      </c>
      <c r="AK469" s="27">
        <f t="shared" si="624"/>
        <v>2.696709218706173</v>
      </c>
      <c r="AL469" s="41">
        <v>0</v>
      </c>
      <c r="AM469" s="40">
        <v>0</v>
      </c>
      <c r="AN469" s="39">
        <v>0</v>
      </c>
      <c r="AO469" s="40">
        <v>0</v>
      </c>
      <c r="AP469" s="39">
        <v>0</v>
      </c>
      <c r="AQ469" s="40">
        <v>0</v>
      </c>
      <c r="AR469" s="39">
        <v>0</v>
      </c>
      <c r="AS469" s="40">
        <v>0</v>
      </c>
      <c r="AT469" s="39">
        <v>0</v>
      </c>
      <c r="AU469" s="38">
        <v>0</v>
      </c>
    </row>
    <row r="470" spans="1:47">
      <c r="A470" s="37" t="s">
        <v>1247</v>
      </c>
      <c r="B470" s="36" t="s">
        <v>1129</v>
      </c>
      <c r="C470" s="1" t="s">
        <v>1126</v>
      </c>
      <c r="D470" s="36" t="s">
        <v>1126</v>
      </c>
      <c r="E470" s="36" t="s">
        <v>1269</v>
      </c>
      <c r="F470" s="1" t="e">
        <f t="shared" ca="1" si="628"/>
        <v>#NAME?</v>
      </c>
      <c r="G470" s="35" t="s">
        <v>1121</v>
      </c>
      <c r="H470" s="43">
        <v>1</v>
      </c>
      <c r="I470" s="42">
        <v>0</v>
      </c>
      <c r="J470" s="26">
        <v>7.552478606454259E-2</v>
      </c>
      <c r="K470" s="25">
        <v>0.20676105547269111</v>
      </c>
      <c r="L470" s="24"/>
      <c r="M470" s="25"/>
      <c r="N470" s="24"/>
      <c r="O470" s="25"/>
      <c r="P470" s="24"/>
      <c r="Q470" s="25"/>
      <c r="R470" s="32"/>
      <c r="S470" s="47">
        <v>1</v>
      </c>
      <c r="T470" s="45">
        <v>1</v>
      </c>
      <c r="U470" s="46">
        <v>1</v>
      </c>
      <c r="V470" s="45">
        <v>1</v>
      </c>
      <c r="W470" s="46">
        <v>1</v>
      </c>
      <c r="X470" s="45">
        <v>1</v>
      </c>
      <c r="Y470" s="46">
        <v>1</v>
      </c>
      <c r="Z470" s="45">
        <v>1</v>
      </c>
      <c r="AA470" s="44">
        <v>1</v>
      </c>
      <c r="AB470" s="26">
        <f t="shared" si="629"/>
        <v>7.552478606454259E-2</v>
      </c>
      <c r="AC470" s="25">
        <f t="shared" si="630"/>
        <v>0.20676105547269111</v>
      </c>
      <c r="AD470" s="24">
        <f t="shared" si="631"/>
        <v>0</v>
      </c>
      <c r="AE470" s="25">
        <f t="shared" si="632"/>
        <v>0</v>
      </c>
      <c r="AF470" s="24">
        <f t="shared" si="633"/>
        <v>0</v>
      </c>
      <c r="AG470" s="25">
        <f t="shared" si="634"/>
        <v>0</v>
      </c>
      <c r="AH470" s="24">
        <f t="shared" si="635"/>
        <v>0</v>
      </c>
      <c r="AI470" s="25">
        <f t="shared" si="636"/>
        <v>0</v>
      </c>
      <c r="AJ470" s="24">
        <f t="shared" si="637"/>
        <v>0</v>
      </c>
      <c r="AK470" s="27">
        <f t="shared" si="624"/>
        <v>0.28228584153723368</v>
      </c>
      <c r="AL470" s="41">
        <v>0</v>
      </c>
      <c r="AM470" s="40">
        <v>0</v>
      </c>
      <c r="AN470" s="39">
        <v>0</v>
      </c>
      <c r="AO470" s="40">
        <v>0</v>
      </c>
      <c r="AP470" s="39">
        <v>0</v>
      </c>
      <c r="AQ470" s="40">
        <v>0</v>
      </c>
      <c r="AR470" s="39">
        <v>0</v>
      </c>
      <c r="AS470" s="40">
        <v>0</v>
      </c>
      <c r="AT470" s="39">
        <v>0</v>
      </c>
      <c r="AU470" s="38">
        <v>0</v>
      </c>
    </row>
    <row r="471" spans="1:47">
      <c r="A471" s="37" t="s">
        <v>1247</v>
      </c>
      <c r="B471" s="36" t="s">
        <v>1129</v>
      </c>
      <c r="C471" s="1" t="s">
        <v>1197</v>
      </c>
      <c r="D471" s="36" t="s">
        <v>1197</v>
      </c>
      <c r="E471" s="36" t="s">
        <v>1268</v>
      </c>
      <c r="F471" s="1" t="e">
        <f t="shared" ca="1" si="628"/>
        <v>#NAME?</v>
      </c>
      <c r="G471" s="35" t="s">
        <v>1121</v>
      </c>
      <c r="H471" s="43">
        <v>1</v>
      </c>
      <c r="I471" s="42">
        <v>0</v>
      </c>
      <c r="J471" s="26">
        <v>1.3630092122521595</v>
      </c>
      <c r="K471" s="25">
        <v>4.8848117860265337</v>
      </c>
      <c r="L471" s="24"/>
      <c r="M471" s="25"/>
      <c r="N471" s="24"/>
      <c r="O471" s="25"/>
      <c r="P471" s="24"/>
      <c r="Q471" s="25"/>
      <c r="R471" s="32"/>
      <c r="S471" s="47">
        <v>1</v>
      </c>
      <c r="T471" s="45">
        <v>1</v>
      </c>
      <c r="U471" s="46">
        <v>1</v>
      </c>
      <c r="V471" s="45">
        <v>1</v>
      </c>
      <c r="W471" s="46">
        <v>1</v>
      </c>
      <c r="X471" s="45">
        <v>1</v>
      </c>
      <c r="Y471" s="46">
        <v>1</v>
      </c>
      <c r="Z471" s="45">
        <v>1</v>
      </c>
      <c r="AA471" s="44">
        <v>1</v>
      </c>
      <c r="AB471" s="26">
        <f t="shared" si="629"/>
        <v>1.3630092122521595</v>
      </c>
      <c r="AC471" s="25">
        <f t="shared" si="630"/>
        <v>4.8848117860265337</v>
      </c>
      <c r="AD471" s="24">
        <f t="shared" si="631"/>
        <v>0</v>
      </c>
      <c r="AE471" s="25">
        <f t="shared" si="632"/>
        <v>0</v>
      </c>
      <c r="AF471" s="24">
        <f t="shared" si="633"/>
        <v>0</v>
      </c>
      <c r="AG471" s="25">
        <f t="shared" si="634"/>
        <v>0</v>
      </c>
      <c r="AH471" s="24">
        <f t="shared" si="635"/>
        <v>0</v>
      </c>
      <c r="AI471" s="25">
        <f t="shared" si="636"/>
        <v>0</v>
      </c>
      <c r="AJ471" s="24">
        <f t="shared" si="637"/>
        <v>0</v>
      </c>
      <c r="AK471" s="27">
        <f t="shared" si="624"/>
        <v>6.2478209982786934</v>
      </c>
      <c r="AL471" s="41">
        <v>0</v>
      </c>
      <c r="AM471" s="40">
        <v>0</v>
      </c>
      <c r="AN471" s="39">
        <v>0</v>
      </c>
      <c r="AO471" s="40">
        <v>0</v>
      </c>
      <c r="AP471" s="39">
        <v>0</v>
      </c>
      <c r="AQ471" s="40">
        <v>0</v>
      </c>
      <c r="AR471" s="39">
        <v>0</v>
      </c>
      <c r="AS471" s="40">
        <v>0</v>
      </c>
      <c r="AT471" s="39">
        <v>0</v>
      </c>
      <c r="AU471" s="38">
        <v>0</v>
      </c>
    </row>
    <row r="472" spans="1:47">
      <c r="A472" s="37" t="s">
        <v>1247</v>
      </c>
      <c r="B472" s="36" t="s">
        <v>1129</v>
      </c>
      <c r="C472" s="1" t="s">
        <v>1111</v>
      </c>
      <c r="D472" s="36" t="s">
        <v>1111</v>
      </c>
      <c r="E472" s="36" t="s">
        <v>1267</v>
      </c>
      <c r="F472" s="1" t="e">
        <f t="shared" ca="1" si="628"/>
        <v>#NAME?</v>
      </c>
      <c r="G472" s="35" t="s">
        <v>1121</v>
      </c>
      <c r="H472" s="43">
        <v>1</v>
      </c>
      <c r="I472" s="42">
        <v>0</v>
      </c>
      <c r="J472" s="26">
        <v>0</v>
      </c>
      <c r="K472" s="25">
        <v>1.295817979530814</v>
      </c>
      <c r="L472" s="24"/>
      <c r="M472" s="25"/>
      <c r="N472" s="24"/>
      <c r="O472" s="25"/>
      <c r="P472" s="24"/>
      <c r="Q472" s="25"/>
      <c r="R472" s="32"/>
      <c r="S472" s="47">
        <v>1</v>
      </c>
      <c r="T472" s="45">
        <v>1</v>
      </c>
      <c r="U472" s="46">
        <v>1</v>
      </c>
      <c r="V472" s="45">
        <v>1</v>
      </c>
      <c r="W472" s="46">
        <v>1</v>
      </c>
      <c r="X472" s="45">
        <v>1</v>
      </c>
      <c r="Y472" s="46">
        <v>1</v>
      </c>
      <c r="Z472" s="45">
        <v>1</v>
      </c>
      <c r="AA472" s="44">
        <v>1</v>
      </c>
      <c r="AB472" s="26">
        <f t="shared" si="629"/>
        <v>0</v>
      </c>
      <c r="AC472" s="25">
        <f t="shared" si="630"/>
        <v>1.295817979530814</v>
      </c>
      <c r="AD472" s="24">
        <f t="shared" si="631"/>
        <v>0</v>
      </c>
      <c r="AE472" s="25">
        <f t="shared" si="632"/>
        <v>0</v>
      </c>
      <c r="AF472" s="24">
        <f t="shared" si="633"/>
        <v>0</v>
      </c>
      <c r="AG472" s="25">
        <f t="shared" si="634"/>
        <v>0</v>
      </c>
      <c r="AH472" s="24">
        <f t="shared" si="635"/>
        <v>0</v>
      </c>
      <c r="AI472" s="25">
        <f t="shared" si="636"/>
        <v>0</v>
      </c>
      <c r="AJ472" s="24">
        <f t="shared" si="637"/>
        <v>0</v>
      </c>
      <c r="AK472" s="27">
        <f t="shared" si="624"/>
        <v>1.295817979530814</v>
      </c>
      <c r="AL472" s="41">
        <v>0</v>
      </c>
      <c r="AM472" s="40">
        <v>0</v>
      </c>
      <c r="AN472" s="39">
        <v>0</v>
      </c>
      <c r="AO472" s="40">
        <v>0</v>
      </c>
      <c r="AP472" s="39">
        <v>0</v>
      </c>
      <c r="AQ472" s="40">
        <v>0</v>
      </c>
      <c r="AR472" s="39">
        <v>0</v>
      </c>
      <c r="AS472" s="40">
        <v>0</v>
      </c>
      <c r="AT472" s="39">
        <v>0</v>
      </c>
      <c r="AU472" s="38">
        <v>0</v>
      </c>
    </row>
    <row r="473" spans="1:47">
      <c r="A473" s="37" t="s">
        <v>1247</v>
      </c>
      <c r="B473" s="36" t="s">
        <v>1123</v>
      </c>
      <c r="C473" s="1" t="s">
        <v>1126</v>
      </c>
      <c r="D473" s="36" t="s">
        <v>1126</v>
      </c>
      <c r="E473" s="36" t="s">
        <v>1266</v>
      </c>
      <c r="F473" s="1" t="e">
        <f t="shared" ca="1" si="628"/>
        <v>#NAME?</v>
      </c>
      <c r="G473" s="35" t="s">
        <v>1121</v>
      </c>
      <c r="H473" s="43">
        <v>1</v>
      </c>
      <c r="I473" s="42">
        <v>0</v>
      </c>
      <c r="J473" s="26">
        <v>0.56643589548406936</v>
      </c>
      <c r="K473" s="25">
        <v>1.5507079160451831</v>
      </c>
      <c r="L473" s="24"/>
      <c r="M473" s="25"/>
      <c r="N473" s="24"/>
      <c r="O473" s="25"/>
      <c r="P473" s="24"/>
      <c r="Q473" s="25"/>
      <c r="R473" s="32"/>
      <c r="S473" s="47">
        <v>1</v>
      </c>
      <c r="T473" s="45">
        <v>1</v>
      </c>
      <c r="U473" s="46">
        <v>1</v>
      </c>
      <c r="V473" s="45">
        <v>1</v>
      </c>
      <c r="W473" s="46">
        <v>1</v>
      </c>
      <c r="X473" s="45">
        <v>1</v>
      </c>
      <c r="Y473" s="46">
        <v>1</v>
      </c>
      <c r="Z473" s="45">
        <v>1</v>
      </c>
      <c r="AA473" s="44">
        <v>1</v>
      </c>
      <c r="AB473" s="26">
        <f t="shared" si="629"/>
        <v>0.56643589548406936</v>
      </c>
      <c r="AC473" s="25">
        <f t="shared" si="630"/>
        <v>1.5507079160451831</v>
      </c>
      <c r="AD473" s="24">
        <f t="shared" si="631"/>
        <v>0</v>
      </c>
      <c r="AE473" s="25">
        <f t="shared" si="632"/>
        <v>0</v>
      </c>
      <c r="AF473" s="24">
        <f t="shared" si="633"/>
        <v>0</v>
      </c>
      <c r="AG473" s="25">
        <f t="shared" si="634"/>
        <v>0</v>
      </c>
      <c r="AH473" s="24">
        <f t="shared" si="635"/>
        <v>0</v>
      </c>
      <c r="AI473" s="25">
        <f t="shared" si="636"/>
        <v>0</v>
      </c>
      <c r="AJ473" s="24">
        <f t="shared" si="637"/>
        <v>0</v>
      </c>
      <c r="AK473" s="27">
        <f t="shared" si="624"/>
        <v>2.1171438115292522</v>
      </c>
      <c r="AL473" s="41">
        <v>0</v>
      </c>
      <c r="AM473" s="40">
        <v>0</v>
      </c>
      <c r="AN473" s="39">
        <v>0</v>
      </c>
      <c r="AO473" s="40">
        <v>0</v>
      </c>
      <c r="AP473" s="39">
        <v>0</v>
      </c>
      <c r="AQ473" s="40">
        <v>0</v>
      </c>
      <c r="AR473" s="39">
        <v>0</v>
      </c>
      <c r="AS473" s="40">
        <v>0</v>
      </c>
      <c r="AT473" s="39">
        <v>0</v>
      </c>
      <c r="AU473" s="38">
        <v>0</v>
      </c>
    </row>
    <row r="474" spans="1:47">
      <c r="A474" s="37" t="s">
        <v>1247</v>
      </c>
      <c r="B474" s="36" t="s">
        <v>1123</v>
      </c>
      <c r="C474" s="1" t="s">
        <v>665</v>
      </c>
      <c r="D474" s="36" t="s">
        <v>665</v>
      </c>
      <c r="E474" s="36" t="s">
        <v>1265</v>
      </c>
      <c r="F474" s="1" t="e">
        <f t="shared" ca="1" si="628"/>
        <v>#NAME?</v>
      </c>
      <c r="G474" s="35" t="s">
        <v>1121</v>
      </c>
      <c r="H474" s="43">
        <v>1</v>
      </c>
      <c r="I474" s="42">
        <v>0</v>
      </c>
      <c r="J474" s="26">
        <v>1.2380384913361873</v>
      </c>
      <c r="K474" s="25">
        <v>11.520642222722177</v>
      </c>
      <c r="L474" s="24"/>
      <c r="M474" s="25"/>
      <c r="N474" s="24"/>
      <c r="O474" s="25"/>
      <c r="P474" s="24"/>
      <c r="Q474" s="25"/>
      <c r="R474" s="32"/>
      <c r="S474" s="47">
        <v>1</v>
      </c>
      <c r="T474" s="45">
        <v>1</v>
      </c>
      <c r="U474" s="46">
        <v>1</v>
      </c>
      <c r="V474" s="45">
        <v>1</v>
      </c>
      <c r="W474" s="46">
        <v>1</v>
      </c>
      <c r="X474" s="45">
        <v>1</v>
      </c>
      <c r="Y474" s="46">
        <v>1</v>
      </c>
      <c r="Z474" s="45">
        <v>1</v>
      </c>
      <c r="AA474" s="44">
        <v>1</v>
      </c>
      <c r="AB474" s="26">
        <f t="shared" si="629"/>
        <v>1.2380384913361873</v>
      </c>
      <c r="AC474" s="25">
        <f t="shared" si="630"/>
        <v>11.520642222722177</v>
      </c>
      <c r="AD474" s="24">
        <f t="shared" si="631"/>
        <v>0</v>
      </c>
      <c r="AE474" s="25">
        <f t="shared" si="632"/>
        <v>0</v>
      </c>
      <c r="AF474" s="24">
        <f t="shared" si="633"/>
        <v>0</v>
      </c>
      <c r="AG474" s="25">
        <f t="shared" si="634"/>
        <v>0</v>
      </c>
      <c r="AH474" s="24">
        <f t="shared" si="635"/>
        <v>0</v>
      </c>
      <c r="AI474" s="25">
        <f t="shared" si="636"/>
        <v>0</v>
      </c>
      <c r="AJ474" s="24">
        <f t="shared" si="637"/>
        <v>0</v>
      </c>
      <c r="AK474" s="27">
        <f t="shared" si="624"/>
        <v>12.758680714058364</v>
      </c>
      <c r="AL474" s="41">
        <v>0</v>
      </c>
      <c r="AM474" s="40">
        <v>0</v>
      </c>
      <c r="AN474" s="39">
        <v>0</v>
      </c>
      <c r="AO474" s="40">
        <v>0</v>
      </c>
      <c r="AP474" s="39">
        <v>0</v>
      </c>
      <c r="AQ474" s="40">
        <v>0</v>
      </c>
      <c r="AR474" s="39">
        <v>0</v>
      </c>
      <c r="AS474" s="40">
        <v>0</v>
      </c>
      <c r="AT474" s="39">
        <v>0</v>
      </c>
      <c r="AU474" s="38">
        <v>0</v>
      </c>
    </row>
    <row r="475" spans="1:47">
      <c r="A475" s="37" t="s">
        <v>1247</v>
      </c>
      <c r="B475" s="36" t="s">
        <v>1107</v>
      </c>
      <c r="C475" s="1" t="s">
        <v>1120</v>
      </c>
      <c r="D475" s="36" t="s">
        <v>1120</v>
      </c>
      <c r="E475" s="36" t="s">
        <v>1264</v>
      </c>
      <c r="F475" s="1" t="e">
        <f t="shared" ca="1" si="628"/>
        <v>#NAME?</v>
      </c>
      <c r="G475" s="35" t="s">
        <v>1104</v>
      </c>
      <c r="H475" s="43">
        <v>1</v>
      </c>
      <c r="I475" s="42">
        <v>0</v>
      </c>
      <c r="J475" s="26">
        <v>0.30220686000000002</v>
      </c>
      <c r="K475" s="25">
        <v>0</v>
      </c>
      <c r="L475" s="24"/>
      <c r="M475" s="25"/>
      <c r="N475" s="24"/>
      <c r="O475" s="25"/>
      <c r="P475" s="24"/>
      <c r="Q475" s="25"/>
      <c r="R475" s="32"/>
      <c r="S475" s="31" t="e">
        <v>#REF!</v>
      </c>
      <c r="T475" s="29" t="e">
        <f t="shared" ref="T475:AA484" si="638">S475</f>
        <v>#REF!</v>
      </c>
      <c r="U475" s="30" t="e">
        <f t="shared" si="638"/>
        <v>#REF!</v>
      </c>
      <c r="V475" s="29" t="e">
        <f t="shared" si="638"/>
        <v>#REF!</v>
      </c>
      <c r="W475" s="30" t="e">
        <f t="shared" si="638"/>
        <v>#REF!</v>
      </c>
      <c r="X475" s="29" t="e">
        <f t="shared" si="638"/>
        <v>#REF!</v>
      </c>
      <c r="Y475" s="30" t="e">
        <f t="shared" si="638"/>
        <v>#REF!</v>
      </c>
      <c r="Z475" s="29" t="e">
        <f t="shared" si="638"/>
        <v>#REF!</v>
      </c>
      <c r="AA475" s="28" t="e">
        <f t="shared" si="638"/>
        <v>#REF!</v>
      </c>
      <c r="AB475" s="26" t="e">
        <f t="shared" si="629"/>
        <v>#REF!</v>
      </c>
      <c r="AC475" s="25" t="e">
        <f t="shared" si="630"/>
        <v>#REF!</v>
      </c>
      <c r="AD475" s="24" t="e">
        <f t="shared" si="631"/>
        <v>#REF!</v>
      </c>
      <c r="AE475" s="25" t="e">
        <f t="shared" si="632"/>
        <v>#REF!</v>
      </c>
      <c r="AF475" s="24" t="e">
        <f t="shared" si="633"/>
        <v>#REF!</v>
      </c>
      <c r="AG475" s="25" t="e">
        <f t="shared" si="634"/>
        <v>#REF!</v>
      </c>
      <c r="AH475" s="24" t="e">
        <f t="shared" si="635"/>
        <v>#REF!</v>
      </c>
      <c r="AI475" s="25" t="e">
        <f t="shared" si="636"/>
        <v>#REF!</v>
      </c>
      <c r="AJ475" s="24" t="e">
        <f t="shared" si="637"/>
        <v>#REF!</v>
      </c>
      <c r="AK475" s="27" t="e">
        <f t="shared" si="624"/>
        <v>#REF!</v>
      </c>
      <c r="AL475" s="41">
        <v>0</v>
      </c>
      <c r="AM475" s="40">
        <v>0</v>
      </c>
      <c r="AN475" s="39">
        <v>0</v>
      </c>
      <c r="AO475" s="40">
        <v>0</v>
      </c>
      <c r="AP475" s="39">
        <v>0</v>
      </c>
      <c r="AQ475" s="40">
        <v>0</v>
      </c>
      <c r="AR475" s="39">
        <v>0</v>
      </c>
      <c r="AS475" s="40">
        <v>0</v>
      </c>
      <c r="AT475" s="39">
        <v>0</v>
      </c>
      <c r="AU475" s="38">
        <v>0</v>
      </c>
    </row>
    <row r="476" spans="1:47">
      <c r="A476" s="37" t="s">
        <v>1247</v>
      </c>
      <c r="B476" s="36" t="s">
        <v>1107</v>
      </c>
      <c r="C476" s="1" t="s">
        <v>1120</v>
      </c>
      <c r="D476" s="36" t="s">
        <v>1120</v>
      </c>
      <c r="E476" s="36" t="s">
        <v>1263</v>
      </c>
      <c r="F476" s="1" t="e">
        <f t="shared" ca="1" si="628"/>
        <v>#NAME?</v>
      </c>
      <c r="G476" s="35" t="s">
        <v>1104</v>
      </c>
      <c r="H476" s="43">
        <v>1</v>
      </c>
      <c r="I476" s="42">
        <v>0</v>
      </c>
      <c r="J476" s="26">
        <v>5.9424774E-3</v>
      </c>
      <c r="K476" s="25">
        <v>0</v>
      </c>
      <c r="L476" s="24"/>
      <c r="M476" s="25"/>
      <c r="N476" s="24"/>
      <c r="O476" s="25"/>
      <c r="P476" s="24"/>
      <c r="Q476" s="25"/>
      <c r="R476" s="32"/>
      <c r="S476" s="31" t="e">
        <v>#REF!</v>
      </c>
      <c r="T476" s="29" t="e">
        <f t="shared" si="638"/>
        <v>#REF!</v>
      </c>
      <c r="U476" s="30" t="e">
        <f t="shared" si="638"/>
        <v>#REF!</v>
      </c>
      <c r="V476" s="29" t="e">
        <f t="shared" si="638"/>
        <v>#REF!</v>
      </c>
      <c r="W476" s="30" t="e">
        <f t="shared" si="638"/>
        <v>#REF!</v>
      </c>
      <c r="X476" s="29" t="e">
        <f t="shared" si="638"/>
        <v>#REF!</v>
      </c>
      <c r="Y476" s="30" t="e">
        <f t="shared" si="638"/>
        <v>#REF!</v>
      </c>
      <c r="Z476" s="29" t="e">
        <f t="shared" si="638"/>
        <v>#REF!</v>
      </c>
      <c r="AA476" s="28" t="e">
        <f t="shared" si="638"/>
        <v>#REF!</v>
      </c>
      <c r="AB476" s="26" t="e">
        <f t="shared" si="629"/>
        <v>#REF!</v>
      </c>
      <c r="AC476" s="25" t="e">
        <f t="shared" si="630"/>
        <v>#REF!</v>
      </c>
      <c r="AD476" s="24" t="e">
        <f t="shared" si="631"/>
        <v>#REF!</v>
      </c>
      <c r="AE476" s="25" t="e">
        <f t="shared" si="632"/>
        <v>#REF!</v>
      </c>
      <c r="AF476" s="24" t="e">
        <f t="shared" si="633"/>
        <v>#REF!</v>
      </c>
      <c r="AG476" s="25" t="e">
        <f t="shared" si="634"/>
        <v>#REF!</v>
      </c>
      <c r="AH476" s="24" t="e">
        <f t="shared" si="635"/>
        <v>#REF!</v>
      </c>
      <c r="AI476" s="25" t="e">
        <f t="shared" si="636"/>
        <v>#REF!</v>
      </c>
      <c r="AJ476" s="24" t="e">
        <f t="shared" si="637"/>
        <v>#REF!</v>
      </c>
      <c r="AK476" s="27" t="e">
        <f t="shared" si="624"/>
        <v>#REF!</v>
      </c>
      <c r="AL476" s="41">
        <v>0</v>
      </c>
      <c r="AM476" s="40">
        <v>0</v>
      </c>
      <c r="AN476" s="39">
        <v>0</v>
      </c>
      <c r="AO476" s="40">
        <v>0</v>
      </c>
      <c r="AP476" s="39">
        <v>0</v>
      </c>
      <c r="AQ476" s="40">
        <v>0</v>
      </c>
      <c r="AR476" s="39">
        <v>0</v>
      </c>
      <c r="AS476" s="40">
        <v>0</v>
      </c>
      <c r="AT476" s="39">
        <v>0</v>
      </c>
      <c r="AU476" s="38">
        <v>0</v>
      </c>
    </row>
    <row r="477" spans="1:47">
      <c r="A477" s="37" t="s">
        <v>1247</v>
      </c>
      <c r="B477" s="36" t="s">
        <v>1107</v>
      </c>
      <c r="C477" s="1" t="s">
        <v>1126</v>
      </c>
      <c r="D477" s="36" t="s">
        <v>1126</v>
      </c>
      <c r="E477" s="36" t="s">
        <v>1262</v>
      </c>
      <c r="F477" s="1" t="e">
        <f t="shared" ca="1" si="628"/>
        <v>#NAME?</v>
      </c>
      <c r="G477" s="35" t="s">
        <v>1104</v>
      </c>
      <c r="H477" s="43">
        <v>1</v>
      </c>
      <c r="I477" s="42">
        <v>0</v>
      </c>
      <c r="J477" s="26">
        <v>0.20676105547269111</v>
      </c>
      <c r="K477" s="25">
        <v>0.18022237672670069</v>
      </c>
      <c r="L477" s="24"/>
      <c r="M477" s="25"/>
      <c r="N477" s="24"/>
      <c r="O477" s="25"/>
      <c r="P477" s="24"/>
      <c r="Q477" s="25"/>
      <c r="R477" s="32"/>
      <c r="S477" s="31" t="e">
        <v>#REF!</v>
      </c>
      <c r="T477" s="29" t="e">
        <f t="shared" si="638"/>
        <v>#REF!</v>
      </c>
      <c r="U477" s="30" t="e">
        <f t="shared" si="638"/>
        <v>#REF!</v>
      </c>
      <c r="V477" s="29" t="e">
        <f t="shared" si="638"/>
        <v>#REF!</v>
      </c>
      <c r="W477" s="30" t="e">
        <f t="shared" si="638"/>
        <v>#REF!</v>
      </c>
      <c r="X477" s="29" t="e">
        <f t="shared" si="638"/>
        <v>#REF!</v>
      </c>
      <c r="Y477" s="30" t="e">
        <f t="shared" si="638"/>
        <v>#REF!</v>
      </c>
      <c r="Z477" s="29" t="e">
        <f t="shared" si="638"/>
        <v>#REF!</v>
      </c>
      <c r="AA477" s="28" t="e">
        <f t="shared" si="638"/>
        <v>#REF!</v>
      </c>
      <c r="AB477" s="26" t="e">
        <f t="shared" si="629"/>
        <v>#REF!</v>
      </c>
      <c r="AC477" s="25" t="e">
        <f t="shared" si="630"/>
        <v>#REF!</v>
      </c>
      <c r="AD477" s="24" t="e">
        <f t="shared" si="631"/>
        <v>#REF!</v>
      </c>
      <c r="AE477" s="25" t="e">
        <f t="shared" si="632"/>
        <v>#REF!</v>
      </c>
      <c r="AF477" s="24" t="e">
        <f t="shared" si="633"/>
        <v>#REF!</v>
      </c>
      <c r="AG477" s="25" t="e">
        <f t="shared" si="634"/>
        <v>#REF!</v>
      </c>
      <c r="AH477" s="24" t="e">
        <f t="shared" si="635"/>
        <v>#REF!</v>
      </c>
      <c r="AI477" s="25" t="e">
        <f t="shared" si="636"/>
        <v>#REF!</v>
      </c>
      <c r="AJ477" s="24" t="e">
        <f t="shared" si="637"/>
        <v>#REF!</v>
      </c>
      <c r="AK477" s="27" t="e">
        <f t="shared" si="624"/>
        <v>#REF!</v>
      </c>
      <c r="AL477" s="41">
        <v>0</v>
      </c>
      <c r="AM477" s="40">
        <v>0</v>
      </c>
      <c r="AN477" s="39">
        <v>0</v>
      </c>
      <c r="AO477" s="40">
        <v>0</v>
      </c>
      <c r="AP477" s="39">
        <v>0</v>
      </c>
      <c r="AQ477" s="40">
        <v>0</v>
      </c>
      <c r="AR477" s="39">
        <v>0</v>
      </c>
      <c r="AS477" s="40">
        <v>0</v>
      </c>
      <c r="AT477" s="39">
        <v>0</v>
      </c>
      <c r="AU477" s="38">
        <v>0</v>
      </c>
    </row>
    <row r="478" spans="1:47">
      <c r="A478" s="37" t="s">
        <v>1247</v>
      </c>
      <c r="B478" s="36" t="s">
        <v>1107</v>
      </c>
      <c r="C478" s="1" t="s">
        <v>456</v>
      </c>
      <c r="D478" s="36" t="s">
        <v>456</v>
      </c>
      <c r="E478" s="36" t="s">
        <v>1261</v>
      </c>
      <c r="F478" s="1" t="e">
        <f t="shared" ca="1" si="628"/>
        <v>#NAME?</v>
      </c>
      <c r="G478" s="35" t="s">
        <v>1104</v>
      </c>
      <c r="H478" s="43">
        <v>1</v>
      </c>
      <c r="I478" s="42">
        <v>0</v>
      </c>
      <c r="J478" s="26">
        <v>5.4533405958209622</v>
      </c>
      <c r="K478" s="25">
        <v>4.1722291724371798</v>
      </c>
      <c r="L478" s="24"/>
      <c r="M478" s="25"/>
      <c r="N478" s="24"/>
      <c r="O478" s="25"/>
      <c r="P478" s="24"/>
      <c r="Q478" s="25"/>
      <c r="R478" s="32"/>
      <c r="S478" s="31" t="e">
        <v>#REF!</v>
      </c>
      <c r="T478" s="29" t="e">
        <f t="shared" si="638"/>
        <v>#REF!</v>
      </c>
      <c r="U478" s="30" t="e">
        <f t="shared" si="638"/>
        <v>#REF!</v>
      </c>
      <c r="V478" s="29" t="e">
        <f t="shared" si="638"/>
        <v>#REF!</v>
      </c>
      <c r="W478" s="30" t="e">
        <f t="shared" si="638"/>
        <v>#REF!</v>
      </c>
      <c r="X478" s="29" t="e">
        <f t="shared" si="638"/>
        <v>#REF!</v>
      </c>
      <c r="Y478" s="30" t="e">
        <f t="shared" si="638"/>
        <v>#REF!</v>
      </c>
      <c r="Z478" s="29" t="e">
        <f t="shared" si="638"/>
        <v>#REF!</v>
      </c>
      <c r="AA478" s="28" t="e">
        <f t="shared" si="638"/>
        <v>#REF!</v>
      </c>
      <c r="AB478" s="26" t="e">
        <f t="shared" si="629"/>
        <v>#REF!</v>
      </c>
      <c r="AC478" s="25" t="e">
        <f t="shared" si="630"/>
        <v>#REF!</v>
      </c>
      <c r="AD478" s="24" t="e">
        <f t="shared" si="631"/>
        <v>#REF!</v>
      </c>
      <c r="AE478" s="25" t="e">
        <f t="shared" si="632"/>
        <v>#REF!</v>
      </c>
      <c r="AF478" s="24" t="e">
        <f t="shared" si="633"/>
        <v>#REF!</v>
      </c>
      <c r="AG478" s="25" t="e">
        <f t="shared" si="634"/>
        <v>#REF!</v>
      </c>
      <c r="AH478" s="24" t="e">
        <f t="shared" si="635"/>
        <v>#REF!</v>
      </c>
      <c r="AI478" s="25" t="e">
        <f t="shared" si="636"/>
        <v>#REF!</v>
      </c>
      <c r="AJ478" s="24" t="e">
        <f t="shared" si="637"/>
        <v>#REF!</v>
      </c>
      <c r="AK478" s="27" t="e">
        <f t="shared" si="624"/>
        <v>#REF!</v>
      </c>
      <c r="AL478" s="41">
        <v>0</v>
      </c>
      <c r="AM478" s="40">
        <v>0</v>
      </c>
      <c r="AN478" s="39">
        <v>0</v>
      </c>
      <c r="AO478" s="40">
        <v>0</v>
      </c>
      <c r="AP478" s="39">
        <v>0</v>
      </c>
      <c r="AQ478" s="40">
        <v>0</v>
      </c>
      <c r="AR478" s="39">
        <v>0</v>
      </c>
      <c r="AS478" s="40">
        <v>0</v>
      </c>
      <c r="AT478" s="39">
        <v>0</v>
      </c>
      <c r="AU478" s="38">
        <v>0</v>
      </c>
    </row>
    <row r="479" spans="1:47">
      <c r="A479" s="37" t="s">
        <v>1247</v>
      </c>
      <c r="B479" s="36" t="s">
        <v>1107</v>
      </c>
      <c r="C479" s="1" t="s">
        <v>665</v>
      </c>
      <c r="D479" s="36" t="s">
        <v>665</v>
      </c>
      <c r="E479" s="36" t="s">
        <v>1260</v>
      </c>
      <c r="F479" s="1" t="e">
        <f t="shared" ca="1" si="628"/>
        <v>#NAME?</v>
      </c>
      <c r="G479" s="35" t="s">
        <v>1104</v>
      </c>
      <c r="H479" s="43">
        <v>1</v>
      </c>
      <c r="I479" s="42">
        <v>0</v>
      </c>
      <c r="J479" s="26">
        <v>13.701214084179034</v>
      </c>
      <c r="K479" s="25">
        <v>10.482493087562816</v>
      </c>
      <c r="L479" s="24"/>
      <c r="M479" s="25"/>
      <c r="N479" s="24"/>
      <c r="O479" s="25"/>
      <c r="P479" s="24"/>
      <c r="Q479" s="25"/>
      <c r="R479" s="32"/>
      <c r="S479" s="31" t="e">
        <v>#REF!</v>
      </c>
      <c r="T479" s="29" t="e">
        <f t="shared" si="638"/>
        <v>#REF!</v>
      </c>
      <c r="U479" s="30" t="e">
        <f t="shared" si="638"/>
        <v>#REF!</v>
      </c>
      <c r="V479" s="29" t="e">
        <f t="shared" si="638"/>
        <v>#REF!</v>
      </c>
      <c r="W479" s="30" t="e">
        <f t="shared" si="638"/>
        <v>#REF!</v>
      </c>
      <c r="X479" s="29" t="e">
        <f t="shared" si="638"/>
        <v>#REF!</v>
      </c>
      <c r="Y479" s="30" t="e">
        <f t="shared" si="638"/>
        <v>#REF!</v>
      </c>
      <c r="Z479" s="29" t="e">
        <f t="shared" si="638"/>
        <v>#REF!</v>
      </c>
      <c r="AA479" s="28" t="e">
        <f t="shared" si="638"/>
        <v>#REF!</v>
      </c>
      <c r="AB479" s="26" t="e">
        <f t="shared" si="629"/>
        <v>#REF!</v>
      </c>
      <c r="AC479" s="25" t="e">
        <f t="shared" si="630"/>
        <v>#REF!</v>
      </c>
      <c r="AD479" s="24" t="e">
        <f t="shared" si="631"/>
        <v>#REF!</v>
      </c>
      <c r="AE479" s="25" t="e">
        <f t="shared" si="632"/>
        <v>#REF!</v>
      </c>
      <c r="AF479" s="24" t="e">
        <f t="shared" si="633"/>
        <v>#REF!</v>
      </c>
      <c r="AG479" s="25" t="e">
        <f t="shared" si="634"/>
        <v>#REF!</v>
      </c>
      <c r="AH479" s="24" t="e">
        <f t="shared" si="635"/>
        <v>#REF!</v>
      </c>
      <c r="AI479" s="25" t="e">
        <f t="shared" si="636"/>
        <v>#REF!</v>
      </c>
      <c r="AJ479" s="24" t="e">
        <f t="shared" si="637"/>
        <v>#REF!</v>
      </c>
      <c r="AK479" s="27" t="e">
        <f t="shared" si="624"/>
        <v>#REF!</v>
      </c>
      <c r="AL479" s="41">
        <v>0</v>
      </c>
      <c r="AM479" s="40">
        <v>0</v>
      </c>
      <c r="AN479" s="39">
        <v>0</v>
      </c>
      <c r="AO479" s="40">
        <v>0</v>
      </c>
      <c r="AP479" s="39">
        <v>0</v>
      </c>
      <c r="AQ479" s="40">
        <v>0</v>
      </c>
      <c r="AR479" s="39">
        <v>0</v>
      </c>
      <c r="AS479" s="40">
        <v>0</v>
      </c>
      <c r="AT479" s="39">
        <v>0</v>
      </c>
      <c r="AU479" s="38">
        <v>0</v>
      </c>
    </row>
    <row r="480" spans="1:47">
      <c r="A480" s="37" t="s">
        <v>1247</v>
      </c>
      <c r="B480" s="36" t="s">
        <v>1107</v>
      </c>
      <c r="C480" s="1" t="s">
        <v>665</v>
      </c>
      <c r="D480" s="36" t="s">
        <v>665</v>
      </c>
      <c r="E480" s="36" t="s">
        <v>1259</v>
      </c>
      <c r="F480" s="1" t="e">
        <f t="shared" ca="1" si="628"/>
        <v>#NAME?</v>
      </c>
      <c r="G480" s="35" t="s">
        <v>1109</v>
      </c>
      <c r="H480" s="34">
        <f>1-I480</f>
        <v>0.88903811824960244</v>
      </c>
      <c r="I480" s="33">
        <v>0.1109618817503976</v>
      </c>
      <c r="J480" s="26" t="e">
        <v>#REF!</v>
      </c>
      <c r="K480" s="25" t="e">
        <v>#REF!</v>
      </c>
      <c r="L480" s="24"/>
      <c r="M480" s="25"/>
      <c r="N480" s="24"/>
      <c r="O480" s="25"/>
      <c r="P480" s="24"/>
      <c r="Q480" s="25"/>
      <c r="R480" s="32"/>
      <c r="S480" s="31" t="e">
        <v>#REF!</v>
      </c>
      <c r="T480" s="29" t="e">
        <f t="shared" si="638"/>
        <v>#REF!</v>
      </c>
      <c r="U480" s="30" t="e">
        <f t="shared" si="638"/>
        <v>#REF!</v>
      </c>
      <c r="V480" s="29" t="e">
        <f t="shared" si="638"/>
        <v>#REF!</v>
      </c>
      <c r="W480" s="30" t="e">
        <f t="shared" si="638"/>
        <v>#REF!</v>
      </c>
      <c r="X480" s="29" t="e">
        <f t="shared" si="638"/>
        <v>#REF!</v>
      </c>
      <c r="Y480" s="30" t="e">
        <f t="shared" si="638"/>
        <v>#REF!</v>
      </c>
      <c r="Z480" s="29" t="e">
        <f t="shared" si="638"/>
        <v>#REF!</v>
      </c>
      <c r="AA480" s="28" t="e">
        <f t="shared" si="638"/>
        <v>#REF!</v>
      </c>
      <c r="AB480" s="26" t="e">
        <f t="shared" ref="AB480:AJ483" si="639">J480*31.536*$H480*S480</f>
        <v>#REF!</v>
      </c>
      <c r="AC480" s="25" t="e">
        <f t="shared" si="639"/>
        <v>#REF!</v>
      </c>
      <c r="AD480" s="24" t="e">
        <f t="shared" si="639"/>
        <v>#REF!</v>
      </c>
      <c r="AE480" s="25" t="e">
        <f t="shared" si="639"/>
        <v>#REF!</v>
      </c>
      <c r="AF480" s="24" t="e">
        <f t="shared" si="639"/>
        <v>#REF!</v>
      </c>
      <c r="AG480" s="25" t="e">
        <f t="shared" si="639"/>
        <v>#REF!</v>
      </c>
      <c r="AH480" s="24" t="e">
        <f t="shared" si="639"/>
        <v>#REF!</v>
      </c>
      <c r="AI480" s="25" t="e">
        <f t="shared" si="639"/>
        <v>#REF!</v>
      </c>
      <c r="AJ480" s="24" t="e">
        <f t="shared" si="639"/>
        <v>#REF!</v>
      </c>
      <c r="AK480" s="27" t="e">
        <f t="shared" si="624"/>
        <v>#REF!</v>
      </c>
      <c r="AL480" s="26" t="e">
        <f t="shared" ref="AL480:AT483" si="640">J480*31.536*$I480*S480</f>
        <v>#REF!</v>
      </c>
      <c r="AM480" s="25" t="e">
        <f t="shared" si="640"/>
        <v>#REF!</v>
      </c>
      <c r="AN480" s="24" t="e">
        <f t="shared" si="640"/>
        <v>#REF!</v>
      </c>
      <c r="AO480" s="25" t="e">
        <f t="shared" si="640"/>
        <v>#REF!</v>
      </c>
      <c r="AP480" s="24" t="e">
        <f t="shared" si="640"/>
        <v>#REF!</v>
      </c>
      <c r="AQ480" s="25" t="e">
        <f t="shared" si="640"/>
        <v>#REF!</v>
      </c>
      <c r="AR480" s="24" t="e">
        <f t="shared" si="640"/>
        <v>#REF!</v>
      </c>
      <c r="AS480" s="25" t="e">
        <f t="shared" si="640"/>
        <v>#REF!</v>
      </c>
      <c r="AT480" s="24" t="e">
        <f t="shared" si="640"/>
        <v>#REF!</v>
      </c>
      <c r="AU480" s="23" t="e">
        <f>SUM(AL480:AT480)</f>
        <v>#REF!</v>
      </c>
    </row>
    <row r="481" spans="1:47">
      <c r="A481" s="37" t="s">
        <v>1247</v>
      </c>
      <c r="B481" s="36" t="s">
        <v>1107</v>
      </c>
      <c r="C481" s="1" t="s">
        <v>665</v>
      </c>
      <c r="D481" s="36" t="s">
        <v>665</v>
      </c>
      <c r="E481" s="36" t="s">
        <v>1258</v>
      </c>
      <c r="F481" s="1" t="e">
        <f t="shared" ca="1" si="628"/>
        <v>#NAME?</v>
      </c>
      <c r="G481" s="35" t="s">
        <v>1109</v>
      </c>
      <c r="H481" s="34">
        <f>1-I481</f>
        <v>0.49112475393606014</v>
      </c>
      <c r="I481" s="33">
        <v>0.50887524606393986</v>
      </c>
      <c r="J481" s="26">
        <v>0</v>
      </c>
      <c r="K481" s="25">
        <v>0.71410811910392358</v>
      </c>
      <c r="L481" s="24"/>
      <c r="M481" s="25"/>
      <c r="N481" s="24"/>
      <c r="O481" s="25"/>
      <c r="P481" s="24"/>
      <c r="Q481" s="25"/>
      <c r="R481" s="32"/>
      <c r="S481" s="31" t="e">
        <v>#REF!</v>
      </c>
      <c r="T481" s="29" t="e">
        <f t="shared" si="638"/>
        <v>#REF!</v>
      </c>
      <c r="U481" s="30" t="e">
        <f t="shared" si="638"/>
        <v>#REF!</v>
      </c>
      <c r="V481" s="29" t="e">
        <f t="shared" si="638"/>
        <v>#REF!</v>
      </c>
      <c r="W481" s="30" t="e">
        <f t="shared" si="638"/>
        <v>#REF!</v>
      </c>
      <c r="X481" s="29" t="e">
        <f t="shared" si="638"/>
        <v>#REF!</v>
      </c>
      <c r="Y481" s="30" t="e">
        <f t="shared" si="638"/>
        <v>#REF!</v>
      </c>
      <c r="Z481" s="29" t="e">
        <f t="shared" si="638"/>
        <v>#REF!</v>
      </c>
      <c r="AA481" s="28" t="e">
        <f t="shared" si="638"/>
        <v>#REF!</v>
      </c>
      <c r="AB481" s="26" t="e">
        <f t="shared" si="639"/>
        <v>#REF!</v>
      </c>
      <c r="AC481" s="25" t="e">
        <f t="shared" si="639"/>
        <v>#REF!</v>
      </c>
      <c r="AD481" s="24" t="e">
        <f t="shared" si="639"/>
        <v>#REF!</v>
      </c>
      <c r="AE481" s="25" t="e">
        <f t="shared" si="639"/>
        <v>#REF!</v>
      </c>
      <c r="AF481" s="24" t="e">
        <f t="shared" si="639"/>
        <v>#REF!</v>
      </c>
      <c r="AG481" s="25" t="e">
        <f t="shared" si="639"/>
        <v>#REF!</v>
      </c>
      <c r="AH481" s="24" t="e">
        <f t="shared" si="639"/>
        <v>#REF!</v>
      </c>
      <c r="AI481" s="25" t="e">
        <f t="shared" si="639"/>
        <v>#REF!</v>
      </c>
      <c r="AJ481" s="24" t="e">
        <f t="shared" si="639"/>
        <v>#REF!</v>
      </c>
      <c r="AK481" s="27" t="e">
        <f t="shared" si="624"/>
        <v>#REF!</v>
      </c>
      <c r="AL481" s="26" t="e">
        <f t="shared" si="640"/>
        <v>#REF!</v>
      </c>
      <c r="AM481" s="25" t="e">
        <f t="shared" si="640"/>
        <v>#REF!</v>
      </c>
      <c r="AN481" s="24" t="e">
        <f t="shared" si="640"/>
        <v>#REF!</v>
      </c>
      <c r="AO481" s="25" t="e">
        <f t="shared" si="640"/>
        <v>#REF!</v>
      </c>
      <c r="AP481" s="24" t="e">
        <f t="shared" si="640"/>
        <v>#REF!</v>
      </c>
      <c r="AQ481" s="25" t="e">
        <f t="shared" si="640"/>
        <v>#REF!</v>
      </c>
      <c r="AR481" s="24" t="e">
        <f t="shared" si="640"/>
        <v>#REF!</v>
      </c>
      <c r="AS481" s="25" t="e">
        <f t="shared" si="640"/>
        <v>#REF!</v>
      </c>
      <c r="AT481" s="24" t="e">
        <f t="shared" si="640"/>
        <v>#REF!</v>
      </c>
      <c r="AU481" s="23" t="e">
        <f>SUM(AL481:AT481)</f>
        <v>#REF!</v>
      </c>
    </row>
    <row r="482" spans="1:47">
      <c r="A482" s="37" t="s">
        <v>1247</v>
      </c>
      <c r="B482" s="36" t="s">
        <v>1107</v>
      </c>
      <c r="C482" s="1" t="s">
        <v>665</v>
      </c>
      <c r="D482" s="36" t="s">
        <v>665</v>
      </c>
      <c r="E482" s="36" t="s">
        <v>1257</v>
      </c>
      <c r="F482" s="1" t="e">
        <f t="shared" ca="1" si="628"/>
        <v>#NAME?</v>
      </c>
      <c r="G482" s="35" t="s">
        <v>1109</v>
      </c>
      <c r="H482" s="34">
        <f>1-I482</f>
        <v>0.58989577978221241</v>
      </c>
      <c r="I482" s="33">
        <v>0.41010422021778753</v>
      </c>
      <c r="J482" s="26">
        <v>0</v>
      </c>
      <c r="K482" s="25">
        <v>0</v>
      </c>
      <c r="L482" s="24"/>
      <c r="M482" s="25"/>
      <c r="N482" s="24"/>
      <c r="O482" s="25"/>
      <c r="P482" s="24"/>
      <c r="Q482" s="25"/>
      <c r="R482" s="32"/>
      <c r="S482" s="31" t="e">
        <v>#REF!</v>
      </c>
      <c r="T482" s="29" t="e">
        <f t="shared" si="638"/>
        <v>#REF!</v>
      </c>
      <c r="U482" s="30" t="e">
        <f t="shared" si="638"/>
        <v>#REF!</v>
      </c>
      <c r="V482" s="29" t="e">
        <f t="shared" si="638"/>
        <v>#REF!</v>
      </c>
      <c r="W482" s="30" t="e">
        <f t="shared" si="638"/>
        <v>#REF!</v>
      </c>
      <c r="X482" s="29" t="e">
        <f t="shared" si="638"/>
        <v>#REF!</v>
      </c>
      <c r="Y482" s="30" t="e">
        <f t="shared" si="638"/>
        <v>#REF!</v>
      </c>
      <c r="Z482" s="29" t="e">
        <f t="shared" si="638"/>
        <v>#REF!</v>
      </c>
      <c r="AA482" s="28" t="e">
        <f t="shared" si="638"/>
        <v>#REF!</v>
      </c>
      <c r="AB482" s="26" t="e">
        <f t="shared" si="639"/>
        <v>#REF!</v>
      </c>
      <c r="AC482" s="25" t="e">
        <f t="shared" si="639"/>
        <v>#REF!</v>
      </c>
      <c r="AD482" s="24" t="e">
        <f t="shared" si="639"/>
        <v>#REF!</v>
      </c>
      <c r="AE482" s="25" t="e">
        <f t="shared" si="639"/>
        <v>#REF!</v>
      </c>
      <c r="AF482" s="24" t="e">
        <f t="shared" si="639"/>
        <v>#REF!</v>
      </c>
      <c r="AG482" s="25" t="e">
        <f t="shared" si="639"/>
        <v>#REF!</v>
      </c>
      <c r="AH482" s="24" t="e">
        <f t="shared" si="639"/>
        <v>#REF!</v>
      </c>
      <c r="AI482" s="25" t="e">
        <f t="shared" si="639"/>
        <v>#REF!</v>
      </c>
      <c r="AJ482" s="24" t="e">
        <f t="shared" si="639"/>
        <v>#REF!</v>
      </c>
      <c r="AK482" s="27" t="e">
        <f t="shared" si="624"/>
        <v>#REF!</v>
      </c>
      <c r="AL482" s="26" t="e">
        <f t="shared" si="640"/>
        <v>#REF!</v>
      </c>
      <c r="AM482" s="25" t="e">
        <f t="shared" si="640"/>
        <v>#REF!</v>
      </c>
      <c r="AN482" s="24" t="e">
        <f t="shared" si="640"/>
        <v>#REF!</v>
      </c>
      <c r="AO482" s="25" t="e">
        <f t="shared" si="640"/>
        <v>#REF!</v>
      </c>
      <c r="AP482" s="24" t="e">
        <f t="shared" si="640"/>
        <v>#REF!</v>
      </c>
      <c r="AQ482" s="25" t="e">
        <f t="shared" si="640"/>
        <v>#REF!</v>
      </c>
      <c r="AR482" s="24" t="e">
        <f t="shared" si="640"/>
        <v>#REF!</v>
      </c>
      <c r="AS482" s="25" t="e">
        <f t="shared" si="640"/>
        <v>#REF!</v>
      </c>
      <c r="AT482" s="24" t="e">
        <f t="shared" si="640"/>
        <v>#REF!</v>
      </c>
      <c r="AU482" s="23" t="e">
        <f>SUM(AL482:AT482)</f>
        <v>#REF!</v>
      </c>
    </row>
    <row r="483" spans="1:47">
      <c r="A483" s="37" t="s">
        <v>1247</v>
      </c>
      <c r="B483" s="36" t="s">
        <v>1107</v>
      </c>
      <c r="C483" s="1" t="s">
        <v>665</v>
      </c>
      <c r="D483" s="36" t="s">
        <v>665</v>
      </c>
      <c r="E483" s="36" t="s">
        <v>1256</v>
      </c>
      <c r="F483" s="1" t="e">
        <f t="shared" ca="1" si="628"/>
        <v>#NAME?</v>
      </c>
      <c r="G483" s="35" t="s">
        <v>1109</v>
      </c>
      <c r="H483" s="34">
        <f>1-I483</f>
        <v>0.63958242792565778</v>
      </c>
      <c r="I483" s="33">
        <v>0.36041757207434222</v>
      </c>
      <c r="J483" s="26">
        <v>0</v>
      </c>
      <c r="K483" s="25">
        <v>0</v>
      </c>
      <c r="L483" s="24"/>
      <c r="M483" s="25"/>
      <c r="N483" s="24"/>
      <c r="O483" s="25"/>
      <c r="P483" s="24"/>
      <c r="Q483" s="25"/>
      <c r="R483" s="32"/>
      <c r="S483" s="31" t="e">
        <v>#REF!</v>
      </c>
      <c r="T483" s="29" t="e">
        <f t="shared" si="638"/>
        <v>#REF!</v>
      </c>
      <c r="U483" s="30" t="e">
        <f t="shared" si="638"/>
        <v>#REF!</v>
      </c>
      <c r="V483" s="29" t="e">
        <f t="shared" si="638"/>
        <v>#REF!</v>
      </c>
      <c r="W483" s="30" t="e">
        <f t="shared" si="638"/>
        <v>#REF!</v>
      </c>
      <c r="X483" s="29" t="e">
        <f t="shared" si="638"/>
        <v>#REF!</v>
      </c>
      <c r="Y483" s="30" t="e">
        <f t="shared" si="638"/>
        <v>#REF!</v>
      </c>
      <c r="Z483" s="29" t="e">
        <f t="shared" si="638"/>
        <v>#REF!</v>
      </c>
      <c r="AA483" s="28" t="e">
        <f t="shared" si="638"/>
        <v>#REF!</v>
      </c>
      <c r="AB483" s="26" t="e">
        <f t="shared" si="639"/>
        <v>#REF!</v>
      </c>
      <c r="AC483" s="25" t="e">
        <f t="shared" si="639"/>
        <v>#REF!</v>
      </c>
      <c r="AD483" s="24" t="e">
        <f t="shared" si="639"/>
        <v>#REF!</v>
      </c>
      <c r="AE483" s="25" t="e">
        <f t="shared" si="639"/>
        <v>#REF!</v>
      </c>
      <c r="AF483" s="24" t="e">
        <f t="shared" si="639"/>
        <v>#REF!</v>
      </c>
      <c r="AG483" s="25" t="e">
        <f t="shared" si="639"/>
        <v>#REF!</v>
      </c>
      <c r="AH483" s="24" t="e">
        <f t="shared" si="639"/>
        <v>#REF!</v>
      </c>
      <c r="AI483" s="25" t="e">
        <f t="shared" si="639"/>
        <v>#REF!</v>
      </c>
      <c r="AJ483" s="24" t="e">
        <f t="shared" si="639"/>
        <v>#REF!</v>
      </c>
      <c r="AK483" s="27" t="e">
        <f t="shared" si="624"/>
        <v>#REF!</v>
      </c>
      <c r="AL483" s="26" t="e">
        <f t="shared" si="640"/>
        <v>#REF!</v>
      </c>
      <c r="AM483" s="25" t="e">
        <f t="shared" si="640"/>
        <v>#REF!</v>
      </c>
      <c r="AN483" s="24" t="e">
        <f t="shared" si="640"/>
        <v>#REF!</v>
      </c>
      <c r="AO483" s="25" t="e">
        <f t="shared" si="640"/>
        <v>#REF!</v>
      </c>
      <c r="AP483" s="24" t="e">
        <f t="shared" si="640"/>
        <v>#REF!</v>
      </c>
      <c r="AQ483" s="25" t="e">
        <f t="shared" si="640"/>
        <v>#REF!</v>
      </c>
      <c r="AR483" s="24" t="e">
        <f t="shared" si="640"/>
        <v>#REF!</v>
      </c>
      <c r="AS483" s="25" t="e">
        <f t="shared" si="640"/>
        <v>#REF!</v>
      </c>
      <c r="AT483" s="24" t="e">
        <f t="shared" si="640"/>
        <v>#REF!</v>
      </c>
      <c r="AU483" s="23" t="e">
        <f>SUM(AL483:AT483)</f>
        <v>#REF!</v>
      </c>
    </row>
    <row r="484" spans="1:47">
      <c r="A484" s="37" t="s">
        <v>1247</v>
      </c>
      <c r="B484" s="36" t="s">
        <v>1107</v>
      </c>
      <c r="C484" s="1" t="s">
        <v>1111</v>
      </c>
      <c r="D484" s="36" t="s">
        <v>1111</v>
      </c>
      <c r="E484" s="36" t="s">
        <v>1255</v>
      </c>
      <c r="F484" s="1" t="e">
        <f t="shared" ca="1" si="628"/>
        <v>#NAME?</v>
      </c>
      <c r="G484" s="35" t="s">
        <v>1104</v>
      </c>
      <c r="H484" s="43">
        <v>1</v>
      </c>
      <c r="I484" s="42">
        <v>0</v>
      </c>
      <c r="J484" s="26">
        <v>10.578164279999999</v>
      </c>
      <c r="K484" s="25">
        <v>2.2812459119999997</v>
      </c>
      <c r="L484" s="24"/>
      <c r="M484" s="25"/>
      <c r="N484" s="24"/>
      <c r="O484" s="25"/>
      <c r="P484" s="24"/>
      <c r="Q484" s="25"/>
      <c r="R484" s="32"/>
      <c r="S484" s="31" t="e">
        <v>#REF!</v>
      </c>
      <c r="T484" s="29" t="e">
        <f t="shared" si="638"/>
        <v>#REF!</v>
      </c>
      <c r="U484" s="30" t="e">
        <f t="shared" si="638"/>
        <v>#REF!</v>
      </c>
      <c r="V484" s="29" t="e">
        <f t="shared" si="638"/>
        <v>#REF!</v>
      </c>
      <c r="W484" s="30" t="e">
        <f t="shared" si="638"/>
        <v>#REF!</v>
      </c>
      <c r="X484" s="29" t="e">
        <f t="shared" si="638"/>
        <v>#REF!</v>
      </c>
      <c r="Y484" s="30" t="e">
        <f t="shared" si="638"/>
        <v>#REF!</v>
      </c>
      <c r="Z484" s="29" t="e">
        <f t="shared" si="638"/>
        <v>#REF!</v>
      </c>
      <c r="AA484" s="28" t="e">
        <f t="shared" si="638"/>
        <v>#REF!</v>
      </c>
      <c r="AB484" s="26" t="e">
        <f t="shared" ref="AB484:AJ485" si="641">J484*$H484*S484</f>
        <v>#REF!</v>
      </c>
      <c r="AC484" s="25" t="e">
        <f t="shared" si="641"/>
        <v>#REF!</v>
      </c>
      <c r="AD484" s="24" t="e">
        <f t="shared" si="641"/>
        <v>#REF!</v>
      </c>
      <c r="AE484" s="25" t="e">
        <f t="shared" si="641"/>
        <v>#REF!</v>
      </c>
      <c r="AF484" s="24" t="e">
        <f t="shared" si="641"/>
        <v>#REF!</v>
      </c>
      <c r="AG484" s="25" t="e">
        <f t="shared" si="641"/>
        <v>#REF!</v>
      </c>
      <c r="AH484" s="24" t="e">
        <f t="shared" si="641"/>
        <v>#REF!</v>
      </c>
      <c r="AI484" s="25" t="e">
        <f t="shared" si="641"/>
        <v>#REF!</v>
      </c>
      <c r="AJ484" s="24" t="e">
        <f t="shared" si="641"/>
        <v>#REF!</v>
      </c>
      <c r="AK484" s="27" t="e">
        <f t="shared" si="624"/>
        <v>#REF!</v>
      </c>
      <c r="AL484" s="41">
        <v>0</v>
      </c>
      <c r="AM484" s="40">
        <v>0</v>
      </c>
      <c r="AN484" s="39">
        <v>0</v>
      </c>
      <c r="AO484" s="40">
        <v>0</v>
      </c>
      <c r="AP484" s="39">
        <v>0</v>
      </c>
      <c r="AQ484" s="40">
        <v>0</v>
      </c>
      <c r="AR484" s="39">
        <v>0</v>
      </c>
      <c r="AS484" s="40">
        <v>0</v>
      </c>
      <c r="AT484" s="39">
        <v>0</v>
      </c>
      <c r="AU484" s="38">
        <v>0</v>
      </c>
    </row>
    <row r="485" spans="1:47">
      <c r="A485" s="37" t="s">
        <v>1247</v>
      </c>
      <c r="B485" s="36" t="s">
        <v>1107</v>
      </c>
      <c r="C485" s="1" t="s">
        <v>1111</v>
      </c>
      <c r="D485" s="36" t="s">
        <v>1111</v>
      </c>
      <c r="E485" s="36" t="s">
        <v>1254</v>
      </c>
      <c r="F485" s="1" t="e">
        <f t="shared" ca="1" si="628"/>
        <v>#NAME?</v>
      </c>
      <c r="G485" s="35" t="s">
        <v>1104</v>
      </c>
      <c r="H485" s="43">
        <v>1</v>
      </c>
      <c r="I485" s="42">
        <v>0</v>
      </c>
      <c r="J485" s="26">
        <v>1.5711059999999999</v>
      </c>
      <c r="K485" s="25">
        <v>0</v>
      </c>
      <c r="L485" s="24"/>
      <c r="M485" s="25"/>
      <c r="N485" s="24"/>
      <c r="O485" s="25"/>
      <c r="P485" s="24"/>
      <c r="Q485" s="25"/>
      <c r="R485" s="32"/>
      <c r="S485" s="31" t="e">
        <v>#REF!</v>
      </c>
      <c r="T485" s="29" t="e">
        <f t="shared" ref="T485:AA492" si="642">S485</f>
        <v>#REF!</v>
      </c>
      <c r="U485" s="30" t="e">
        <f t="shared" si="642"/>
        <v>#REF!</v>
      </c>
      <c r="V485" s="29" t="e">
        <f t="shared" si="642"/>
        <v>#REF!</v>
      </c>
      <c r="W485" s="30" t="e">
        <f t="shared" si="642"/>
        <v>#REF!</v>
      </c>
      <c r="X485" s="29" t="e">
        <f t="shared" si="642"/>
        <v>#REF!</v>
      </c>
      <c r="Y485" s="30" t="e">
        <f t="shared" si="642"/>
        <v>#REF!</v>
      </c>
      <c r="Z485" s="29" t="e">
        <f t="shared" si="642"/>
        <v>#REF!</v>
      </c>
      <c r="AA485" s="28" t="e">
        <f t="shared" si="642"/>
        <v>#REF!</v>
      </c>
      <c r="AB485" s="26" t="e">
        <f t="shared" si="641"/>
        <v>#REF!</v>
      </c>
      <c r="AC485" s="25" t="e">
        <f t="shared" si="641"/>
        <v>#REF!</v>
      </c>
      <c r="AD485" s="24" t="e">
        <f t="shared" si="641"/>
        <v>#REF!</v>
      </c>
      <c r="AE485" s="25" t="e">
        <f t="shared" si="641"/>
        <v>#REF!</v>
      </c>
      <c r="AF485" s="24" t="e">
        <f t="shared" si="641"/>
        <v>#REF!</v>
      </c>
      <c r="AG485" s="25" t="e">
        <f t="shared" si="641"/>
        <v>#REF!</v>
      </c>
      <c r="AH485" s="24" t="e">
        <f t="shared" si="641"/>
        <v>#REF!</v>
      </c>
      <c r="AI485" s="25" t="e">
        <f t="shared" si="641"/>
        <v>#REF!</v>
      </c>
      <c r="AJ485" s="24" t="e">
        <f t="shared" si="641"/>
        <v>#REF!</v>
      </c>
      <c r="AK485" s="27" t="e">
        <f t="shared" si="624"/>
        <v>#REF!</v>
      </c>
      <c r="AL485" s="41">
        <v>0</v>
      </c>
      <c r="AM485" s="40">
        <v>0</v>
      </c>
      <c r="AN485" s="39">
        <v>0</v>
      </c>
      <c r="AO485" s="40">
        <v>0</v>
      </c>
      <c r="AP485" s="39">
        <v>0</v>
      </c>
      <c r="AQ485" s="40">
        <v>0</v>
      </c>
      <c r="AR485" s="39">
        <v>0</v>
      </c>
      <c r="AS485" s="40">
        <v>0</v>
      </c>
      <c r="AT485" s="39">
        <v>0</v>
      </c>
      <c r="AU485" s="38">
        <v>0</v>
      </c>
    </row>
    <row r="486" spans="1:47">
      <c r="A486" s="37" t="s">
        <v>1247</v>
      </c>
      <c r="B486" s="36" t="s">
        <v>1107</v>
      </c>
      <c r="C486" s="1" t="s">
        <v>1111</v>
      </c>
      <c r="D486" s="36" t="s">
        <v>1111</v>
      </c>
      <c r="E486" s="36" t="s">
        <v>1253</v>
      </c>
      <c r="F486" s="1" t="e">
        <f t="shared" ca="1" si="628"/>
        <v>#NAME?</v>
      </c>
      <c r="G486" s="35" t="s">
        <v>1109</v>
      </c>
      <c r="H486" s="34">
        <f>1-I486</f>
        <v>0.91317837324206397</v>
      </c>
      <c r="I486" s="33">
        <v>8.682162675793606E-2</v>
      </c>
      <c r="J486" s="26" t="e">
        <v>#REF!</v>
      </c>
      <c r="K486" s="25" t="e">
        <v>#REF!</v>
      </c>
      <c r="L486" s="24"/>
      <c r="M486" s="25"/>
      <c r="N486" s="24"/>
      <c r="O486" s="25"/>
      <c r="P486" s="24"/>
      <c r="Q486" s="25"/>
      <c r="R486" s="32"/>
      <c r="S486" s="31" t="e">
        <v>#REF!</v>
      </c>
      <c r="T486" s="29" t="e">
        <f t="shared" si="642"/>
        <v>#REF!</v>
      </c>
      <c r="U486" s="30" t="e">
        <f t="shared" si="642"/>
        <v>#REF!</v>
      </c>
      <c r="V486" s="29" t="e">
        <f t="shared" si="642"/>
        <v>#REF!</v>
      </c>
      <c r="W486" s="30" t="e">
        <f t="shared" si="642"/>
        <v>#REF!</v>
      </c>
      <c r="X486" s="29" t="e">
        <f t="shared" si="642"/>
        <v>#REF!</v>
      </c>
      <c r="Y486" s="30" t="e">
        <f t="shared" si="642"/>
        <v>#REF!</v>
      </c>
      <c r="Z486" s="29" t="e">
        <f t="shared" si="642"/>
        <v>#REF!</v>
      </c>
      <c r="AA486" s="28" t="e">
        <f t="shared" si="642"/>
        <v>#REF!</v>
      </c>
      <c r="AB486" s="26" t="e">
        <f t="shared" ref="AB486:AJ486" si="643">J486*31.536*$H486*S486</f>
        <v>#REF!</v>
      </c>
      <c r="AC486" s="25" t="e">
        <f t="shared" si="643"/>
        <v>#REF!</v>
      </c>
      <c r="AD486" s="24" t="e">
        <f t="shared" si="643"/>
        <v>#REF!</v>
      </c>
      <c r="AE486" s="25" t="e">
        <f t="shared" si="643"/>
        <v>#REF!</v>
      </c>
      <c r="AF486" s="24" t="e">
        <f t="shared" si="643"/>
        <v>#REF!</v>
      </c>
      <c r="AG486" s="25" t="e">
        <f t="shared" si="643"/>
        <v>#REF!</v>
      </c>
      <c r="AH486" s="24" t="e">
        <f t="shared" si="643"/>
        <v>#REF!</v>
      </c>
      <c r="AI486" s="25" t="e">
        <f t="shared" si="643"/>
        <v>#REF!</v>
      </c>
      <c r="AJ486" s="24" t="e">
        <f t="shared" si="643"/>
        <v>#REF!</v>
      </c>
      <c r="AK486" s="27" t="e">
        <f t="shared" si="624"/>
        <v>#REF!</v>
      </c>
      <c r="AL486" s="26" t="e">
        <f t="shared" ref="AL486:AT486" si="644">J486*31.536*$I486*S486</f>
        <v>#REF!</v>
      </c>
      <c r="AM486" s="25" t="e">
        <f t="shared" si="644"/>
        <v>#REF!</v>
      </c>
      <c r="AN486" s="24" t="e">
        <f t="shared" si="644"/>
        <v>#REF!</v>
      </c>
      <c r="AO486" s="25" t="e">
        <f t="shared" si="644"/>
        <v>#REF!</v>
      </c>
      <c r="AP486" s="24" t="e">
        <f t="shared" si="644"/>
        <v>#REF!</v>
      </c>
      <c r="AQ486" s="25" t="e">
        <f t="shared" si="644"/>
        <v>#REF!</v>
      </c>
      <c r="AR486" s="24" t="e">
        <f t="shared" si="644"/>
        <v>#REF!</v>
      </c>
      <c r="AS486" s="25" t="e">
        <f t="shared" si="644"/>
        <v>#REF!</v>
      </c>
      <c r="AT486" s="24" t="e">
        <f t="shared" si="644"/>
        <v>#REF!</v>
      </c>
      <c r="AU486" s="23" t="e">
        <f>SUM(AL486:AT486)</f>
        <v>#REF!</v>
      </c>
    </row>
    <row r="487" spans="1:47">
      <c r="A487" s="37" t="s">
        <v>1247</v>
      </c>
      <c r="B487" s="36" t="s">
        <v>1107</v>
      </c>
      <c r="C487" s="1" t="s">
        <v>1106</v>
      </c>
      <c r="D487" s="36" t="s">
        <v>1106</v>
      </c>
      <c r="E487" s="36" t="s">
        <v>1252</v>
      </c>
      <c r="F487" s="1" t="e">
        <f t="shared" ca="1" si="628"/>
        <v>#NAME?</v>
      </c>
      <c r="G487" s="35" t="s">
        <v>1104</v>
      </c>
      <c r="H487" s="43">
        <v>1</v>
      </c>
      <c r="I487" s="42">
        <v>0</v>
      </c>
      <c r="J487" s="26">
        <v>0</v>
      </c>
      <c r="K487" s="25">
        <v>0</v>
      </c>
      <c r="L487" s="24"/>
      <c r="M487" s="25"/>
      <c r="N487" s="24"/>
      <c r="O487" s="25"/>
      <c r="P487" s="24"/>
      <c r="Q487" s="25"/>
      <c r="R487" s="32"/>
      <c r="S487" s="31" t="e">
        <v>#REF!</v>
      </c>
      <c r="T487" s="29" t="e">
        <f t="shared" si="642"/>
        <v>#REF!</v>
      </c>
      <c r="U487" s="30" t="e">
        <f t="shared" si="642"/>
        <v>#REF!</v>
      </c>
      <c r="V487" s="29" t="e">
        <f t="shared" si="642"/>
        <v>#REF!</v>
      </c>
      <c r="W487" s="30" t="e">
        <f t="shared" si="642"/>
        <v>#REF!</v>
      </c>
      <c r="X487" s="29" t="e">
        <f t="shared" si="642"/>
        <v>#REF!</v>
      </c>
      <c r="Y487" s="30" t="e">
        <f t="shared" si="642"/>
        <v>#REF!</v>
      </c>
      <c r="Z487" s="29" t="e">
        <f t="shared" si="642"/>
        <v>#REF!</v>
      </c>
      <c r="AA487" s="28" t="e">
        <f t="shared" si="642"/>
        <v>#REF!</v>
      </c>
      <c r="AB487" s="26" t="e">
        <f t="shared" ref="AB487:AJ489" si="645">J487*$H487*S487</f>
        <v>#REF!</v>
      </c>
      <c r="AC487" s="25" t="e">
        <f t="shared" si="645"/>
        <v>#REF!</v>
      </c>
      <c r="AD487" s="24" t="e">
        <f t="shared" si="645"/>
        <v>#REF!</v>
      </c>
      <c r="AE487" s="25" t="e">
        <f t="shared" si="645"/>
        <v>#REF!</v>
      </c>
      <c r="AF487" s="24" t="e">
        <f t="shared" si="645"/>
        <v>#REF!</v>
      </c>
      <c r="AG487" s="25" t="e">
        <f t="shared" si="645"/>
        <v>#REF!</v>
      </c>
      <c r="AH487" s="24" t="e">
        <f t="shared" si="645"/>
        <v>#REF!</v>
      </c>
      <c r="AI487" s="25" t="e">
        <f t="shared" si="645"/>
        <v>#REF!</v>
      </c>
      <c r="AJ487" s="24" t="e">
        <f t="shared" si="645"/>
        <v>#REF!</v>
      </c>
      <c r="AK487" s="27" t="e">
        <f t="shared" si="624"/>
        <v>#REF!</v>
      </c>
      <c r="AL487" s="41">
        <v>0</v>
      </c>
      <c r="AM487" s="40">
        <v>0</v>
      </c>
      <c r="AN487" s="39">
        <v>0</v>
      </c>
      <c r="AO487" s="40">
        <v>0</v>
      </c>
      <c r="AP487" s="39">
        <v>0</v>
      </c>
      <c r="AQ487" s="40">
        <v>0</v>
      </c>
      <c r="AR487" s="39">
        <v>0</v>
      </c>
      <c r="AS487" s="40">
        <v>0</v>
      </c>
      <c r="AT487" s="39">
        <v>0</v>
      </c>
      <c r="AU487" s="38">
        <v>0</v>
      </c>
    </row>
    <row r="488" spans="1:47">
      <c r="A488" s="37" t="s">
        <v>1247</v>
      </c>
      <c r="B488" s="36" t="s">
        <v>1107</v>
      </c>
      <c r="C488" s="1" t="s">
        <v>1106</v>
      </c>
      <c r="D488" s="36" t="s">
        <v>1106</v>
      </c>
      <c r="E488" s="36" t="s">
        <v>1251</v>
      </c>
      <c r="F488" s="1" t="e">
        <f t="shared" ca="1" si="628"/>
        <v>#NAME?</v>
      </c>
      <c r="G488" s="35" t="s">
        <v>1104</v>
      </c>
      <c r="H488" s="43">
        <v>1</v>
      </c>
      <c r="I488" s="42">
        <v>0</v>
      </c>
      <c r="J488" s="26">
        <v>5.6744652000000002</v>
      </c>
      <c r="K488" s="25">
        <v>7.0237679999999996</v>
      </c>
      <c r="L488" s="24"/>
      <c r="M488" s="25"/>
      <c r="N488" s="24"/>
      <c r="O488" s="25"/>
      <c r="P488" s="24"/>
      <c r="Q488" s="25"/>
      <c r="R488" s="32"/>
      <c r="S488" s="31" t="e">
        <v>#REF!</v>
      </c>
      <c r="T488" s="29" t="e">
        <f t="shared" si="642"/>
        <v>#REF!</v>
      </c>
      <c r="U488" s="30" t="e">
        <f t="shared" si="642"/>
        <v>#REF!</v>
      </c>
      <c r="V488" s="29" t="e">
        <f t="shared" si="642"/>
        <v>#REF!</v>
      </c>
      <c r="W488" s="30" t="e">
        <f t="shared" si="642"/>
        <v>#REF!</v>
      </c>
      <c r="X488" s="29" t="e">
        <f t="shared" si="642"/>
        <v>#REF!</v>
      </c>
      <c r="Y488" s="30" t="e">
        <f t="shared" si="642"/>
        <v>#REF!</v>
      </c>
      <c r="Z488" s="29" t="e">
        <f t="shared" si="642"/>
        <v>#REF!</v>
      </c>
      <c r="AA488" s="28" t="e">
        <f t="shared" si="642"/>
        <v>#REF!</v>
      </c>
      <c r="AB488" s="26" t="e">
        <f t="shared" si="645"/>
        <v>#REF!</v>
      </c>
      <c r="AC488" s="25" t="e">
        <f t="shared" si="645"/>
        <v>#REF!</v>
      </c>
      <c r="AD488" s="24" t="e">
        <f t="shared" si="645"/>
        <v>#REF!</v>
      </c>
      <c r="AE488" s="25" t="e">
        <f t="shared" si="645"/>
        <v>#REF!</v>
      </c>
      <c r="AF488" s="24" t="e">
        <f t="shared" si="645"/>
        <v>#REF!</v>
      </c>
      <c r="AG488" s="25" t="e">
        <f t="shared" si="645"/>
        <v>#REF!</v>
      </c>
      <c r="AH488" s="24" t="e">
        <f t="shared" si="645"/>
        <v>#REF!</v>
      </c>
      <c r="AI488" s="25" t="e">
        <f t="shared" si="645"/>
        <v>#REF!</v>
      </c>
      <c r="AJ488" s="24" t="e">
        <f t="shared" si="645"/>
        <v>#REF!</v>
      </c>
      <c r="AK488" s="27" t="e">
        <f t="shared" si="624"/>
        <v>#REF!</v>
      </c>
      <c r="AL488" s="41">
        <v>0</v>
      </c>
      <c r="AM488" s="40">
        <v>0</v>
      </c>
      <c r="AN488" s="39">
        <v>0</v>
      </c>
      <c r="AO488" s="40">
        <v>0</v>
      </c>
      <c r="AP488" s="39">
        <v>0</v>
      </c>
      <c r="AQ488" s="40">
        <v>0</v>
      </c>
      <c r="AR488" s="39">
        <v>0</v>
      </c>
      <c r="AS488" s="40">
        <v>0</v>
      </c>
      <c r="AT488" s="39">
        <v>0</v>
      </c>
      <c r="AU488" s="38">
        <v>0</v>
      </c>
    </row>
    <row r="489" spans="1:47">
      <c r="A489" s="37" t="s">
        <v>1247</v>
      </c>
      <c r="B489" s="36" t="s">
        <v>1107</v>
      </c>
      <c r="C489" s="1" t="s">
        <v>1106</v>
      </c>
      <c r="D489" s="36" t="s">
        <v>1106</v>
      </c>
      <c r="E489" s="36" t="s">
        <v>1250</v>
      </c>
      <c r="F489" s="1" t="e">
        <f t="shared" ca="1" si="628"/>
        <v>#NAME?</v>
      </c>
      <c r="G489" s="35" t="s">
        <v>1104</v>
      </c>
      <c r="H489" s="43">
        <v>1</v>
      </c>
      <c r="I489" s="42">
        <v>0</v>
      </c>
      <c r="J489" s="26">
        <v>1.9038107999999998</v>
      </c>
      <c r="K489" s="25">
        <v>7.2917801999999989</v>
      </c>
      <c r="L489" s="24"/>
      <c r="M489" s="25"/>
      <c r="N489" s="24"/>
      <c r="O489" s="25"/>
      <c r="P489" s="24"/>
      <c r="Q489" s="25"/>
      <c r="R489" s="32"/>
      <c r="S489" s="31" t="e">
        <v>#REF!</v>
      </c>
      <c r="T489" s="29" t="e">
        <f t="shared" si="642"/>
        <v>#REF!</v>
      </c>
      <c r="U489" s="30" t="e">
        <f t="shared" si="642"/>
        <v>#REF!</v>
      </c>
      <c r="V489" s="29" t="e">
        <f t="shared" si="642"/>
        <v>#REF!</v>
      </c>
      <c r="W489" s="30" t="e">
        <f t="shared" si="642"/>
        <v>#REF!</v>
      </c>
      <c r="X489" s="29" t="e">
        <f t="shared" si="642"/>
        <v>#REF!</v>
      </c>
      <c r="Y489" s="30" t="e">
        <f t="shared" si="642"/>
        <v>#REF!</v>
      </c>
      <c r="Z489" s="29" t="e">
        <f t="shared" si="642"/>
        <v>#REF!</v>
      </c>
      <c r="AA489" s="28" t="e">
        <f t="shared" si="642"/>
        <v>#REF!</v>
      </c>
      <c r="AB489" s="26" t="e">
        <f t="shared" si="645"/>
        <v>#REF!</v>
      </c>
      <c r="AC489" s="25" t="e">
        <f t="shared" si="645"/>
        <v>#REF!</v>
      </c>
      <c r="AD489" s="24" t="e">
        <f t="shared" si="645"/>
        <v>#REF!</v>
      </c>
      <c r="AE489" s="25" t="e">
        <f t="shared" si="645"/>
        <v>#REF!</v>
      </c>
      <c r="AF489" s="24" t="e">
        <f t="shared" si="645"/>
        <v>#REF!</v>
      </c>
      <c r="AG489" s="25" t="e">
        <f t="shared" si="645"/>
        <v>#REF!</v>
      </c>
      <c r="AH489" s="24" t="e">
        <f t="shared" si="645"/>
        <v>#REF!</v>
      </c>
      <c r="AI489" s="25" t="e">
        <f t="shared" si="645"/>
        <v>#REF!</v>
      </c>
      <c r="AJ489" s="24" t="e">
        <f t="shared" si="645"/>
        <v>#REF!</v>
      </c>
      <c r="AK489" s="27" t="e">
        <f t="shared" si="624"/>
        <v>#REF!</v>
      </c>
      <c r="AL489" s="41">
        <v>0</v>
      </c>
      <c r="AM489" s="40">
        <v>0</v>
      </c>
      <c r="AN489" s="39">
        <v>0</v>
      </c>
      <c r="AO489" s="40">
        <v>0</v>
      </c>
      <c r="AP489" s="39">
        <v>0</v>
      </c>
      <c r="AQ489" s="40">
        <v>0</v>
      </c>
      <c r="AR489" s="39">
        <v>0</v>
      </c>
      <c r="AS489" s="40">
        <v>0</v>
      </c>
      <c r="AT489" s="39">
        <v>0</v>
      </c>
      <c r="AU489" s="38">
        <v>0</v>
      </c>
    </row>
    <row r="490" spans="1:47">
      <c r="A490" s="37" t="s">
        <v>1247</v>
      </c>
      <c r="B490" s="36" t="s">
        <v>1107</v>
      </c>
      <c r="C490" s="1" t="s">
        <v>1106</v>
      </c>
      <c r="D490" s="36" t="s">
        <v>1106</v>
      </c>
      <c r="E490" s="36" t="s">
        <v>1249</v>
      </c>
      <c r="F490" s="1" t="e">
        <f t="shared" ca="1" si="628"/>
        <v>#NAME?</v>
      </c>
      <c r="G490" s="35" t="s">
        <v>1109</v>
      </c>
      <c r="H490" s="34">
        <f>1-I490</f>
        <v>0.88379734870369353</v>
      </c>
      <c r="I490" s="33">
        <v>0.11620265129630643</v>
      </c>
      <c r="J490" s="26" t="e">
        <v>#REF!</v>
      </c>
      <c r="K490" s="25" t="e">
        <v>#REF!</v>
      </c>
      <c r="L490" s="24"/>
      <c r="M490" s="25"/>
      <c r="N490" s="24"/>
      <c r="O490" s="25"/>
      <c r="P490" s="24"/>
      <c r="Q490" s="25"/>
      <c r="R490" s="32"/>
      <c r="S490" s="31" t="e">
        <v>#REF!</v>
      </c>
      <c r="T490" s="29" t="e">
        <f t="shared" si="642"/>
        <v>#REF!</v>
      </c>
      <c r="U490" s="30" t="e">
        <f t="shared" si="642"/>
        <v>#REF!</v>
      </c>
      <c r="V490" s="29" t="e">
        <f t="shared" si="642"/>
        <v>#REF!</v>
      </c>
      <c r="W490" s="30" t="e">
        <f t="shared" si="642"/>
        <v>#REF!</v>
      </c>
      <c r="X490" s="29" t="e">
        <f t="shared" si="642"/>
        <v>#REF!</v>
      </c>
      <c r="Y490" s="30" t="e">
        <f t="shared" si="642"/>
        <v>#REF!</v>
      </c>
      <c r="Z490" s="29" t="e">
        <f t="shared" si="642"/>
        <v>#REF!</v>
      </c>
      <c r="AA490" s="28" t="e">
        <f t="shared" si="642"/>
        <v>#REF!</v>
      </c>
      <c r="AB490" s="26" t="e">
        <f t="shared" ref="AB490:AJ492" si="646">J490*31.536*$H490*S490</f>
        <v>#REF!</v>
      </c>
      <c r="AC490" s="25" t="e">
        <f t="shared" si="646"/>
        <v>#REF!</v>
      </c>
      <c r="AD490" s="24" t="e">
        <f t="shared" si="646"/>
        <v>#REF!</v>
      </c>
      <c r="AE490" s="25" t="e">
        <f t="shared" si="646"/>
        <v>#REF!</v>
      </c>
      <c r="AF490" s="24" t="e">
        <f t="shared" si="646"/>
        <v>#REF!</v>
      </c>
      <c r="AG490" s="25" t="e">
        <f t="shared" si="646"/>
        <v>#REF!</v>
      </c>
      <c r="AH490" s="24" t="e">
        <f t="shared" si="646"/>
        <v>#REF!</v>
      </c>
      <c r="AI490" s="25" t="e">
        <f t="shared" si="646"/>
        <v>#REF!</v>
      </c>
      <c r="AJ490" s="24" t="e">
        <f t="shared" si="646"/>
        <v>#REF!</v>
      </c>
      <c r="AK490" s="27" t="e">
        <f t="shared" si="624"/>
        <v>#REF!</v>
      </c>
      <c r="AL490" s="26" t="e">
        <f t="shared" ref="AL490:AT492" si="647">J490*31.536*$I490*S490</f>
        <v>#REF!</v>
      </c>
      <c r="AM490" s="25" t="e">
        <f t="shared" si="647"/>
        <v>#REF!</v>
      </c>
      <c r="AN490" s="24" t="e">
        <f t="shared" si="647"/>
        <v>#REF!</v>
      </c>
      <c r="AO490" s="25" t="e">
        <f t="shared" si="647"/>
        <v>#REF!</v>
      </c>
      <c r="AP490" s="24" t="e">
        <f t="shared" si="647"/>
        <v>#REF!</v>
      </c>
      <c r="AQ490" s="25" t="e">
        <f t="shared" si="647"/>
        <v>#REF!</v>
      </c>
      <c r="AR490" s="24" t="e">
        <f t="shared" si="647"/>
        <v>#REF!</v>
      </c>
      <c r="AS490" s="25" t="e">
        <f t="shared" si="647"/>
        <v>#REF!</v>
      </c>
      <c r="AT490" s="24" t="e">
        <f t="shared" si="647"/>
        <v>#REF!</v>
      </c>
      <c r="AU490" s="23" t="e">
        <f>SUM(AL490:AT490)</f>
        <v>#REF!</v>
      </c>
    </row>
    <row r="491" spans="1:47">
      <c r="A491" s="37" t="s">
        <v>1247</v>
      </c>
      <c r="B491" s="36" t="s">
        <v>1107</v>
      </c>
      <c r="C491" s="1" t="s">
        <v>1106</v>
      </c>
      <c r="D491" s="36" t="s">
        <v>1106</v>
      </c>
      <c r="E491" s="36" t="s">
        <v>1248</v>
      </c>
      <c r="F491" s="1" t="e">
        <f t="shared" ca="1" si="628"/>
        <v>#NAME?</v>
      </c>
      <c r="G491" s="35" t="s">
        <v>1109</v>
      </c>
      <c r="H491" s="34">
        <f>1-I491</f>
        <v>0.88779029419315059</v>
      </c>
      <c r="I491" s="33">
        <v>0.1122097058068494</v>
      </c>
      <c r="J491" s="26" t="e">
        <v>#REF!</v>
      </c>
      <c r="K491" s="25" t="e">
        <v>#REF!</v>
      </c>
      <c r="L491" s="24"/>
      <c r="M491" s="25"/>
      <c r="N491" s="24"/>
      <c r="O491" s="25"/>
      <c r="P491" s="24"/>
      <c r="Q491" s="25"/>
      <c r="R491" s="32"/>
      <c r="S491" s="31" t="e">
        <v>#REF!</v>
      </c>
      <c r="T491" s="29" t="e">
        <f t="shared" si="642"/>
        <v>#REF!</v>
      </c>
      <c r="U491" s="30" t="e">
        <f t="shared" si="642"/>
        <v>#REF!</v>
      </c>
      <c r="V491" s="29" t="e">
        <f t="shared" si="642"/>
        <v>#REF!</v>
      </c>
      <c r="W491" s="30" t="e">
        <f t="shared" si="642"/>
        <v>#REF!</v>
      </c>
      <c r="X491" s="29" t="e">
        <f t="shared" si="642"/>
        <v>#REF!</v>
      </c>
      <c r="Y491" s="30" t="e">
        <f t="shared" si="642"/>
        <v>#REF!</v>
      </c>
      <c r="Z491" s="29" t="e">
        <f t="shared" si="642"/>
        <v>#REF!</v>
      </c>
      <c r="AA491" s="28" t="e">
        <f t="shared" si="642"/>
        <v>#REF!</v>
      </c>
      <c r="AB491" s="26" t="e">
        <f t="shared" si="646"/>
        <v>#REF!</v>
      </c>
      <c r="AC491" s="25" t="e">
        <f t="shared" si="646"/>
        <v>#REF!</v>
      </c>
      <c r="AD491" s="24" t="e">
        <f t="shared" si="646"/>
        <v>#REF!</v>
      </c>
      <c r="AE491" s="25" t="e">
        <f t="shared" si="646"/>
        <v>#REF!</v>
      </c>
      <c r="AF491" s="24" t="e">
        <f t="shared" si="646"/>
        <v>#REF!</v>
      </c>
      <c r="AG491" s="25" t="e">
        <f t="shared" si="646"/>
        <v>#REF!</v>
      </c>
      <c r="AH491" s="24" t="e">
        <f t="shared" si="646"/>
        <v>#REF!</v>
      </c>
      <c r="AI491" s="25" t="e">
        <f t="shared" si="646"/>
        <v>#REF!</v>
      </c>
      <c r="AJ491" s="24" t="e">
        <f t="shared" si="646"/>
        <v>#REF!</v>
      </c>
      <c r="AK491" s="27" t="e">
        <f t="shared" si="624"/>
        <v>#REF!</v>
      </c>
      <c r="AL491" s="26" t="e">
        <f t="shared" si="647"/>
        <v>#REF!</v>
      </c>
      <c r="AM491" s="25" t="e">
        <f t="shared" si="647"/>
        <v>#REF!</v>
      </c>
      <c r="AN491" s="24" t="e">
        <f t="shared" si="647"/>
        <v>#REF!</v>
      </c>
      <c r="AO491" s="25" t="e">
        <f t="shared" si="647"/>
        <v>#REF!</v>
      </c>
      <c r="AP491" s="24" t="e">
        <f t="shared" si="647"/>
        <v>#REF!</v>
      </c>
      <c r="AQ491" s="25" t="e">
        <f t="shared" si="647"/>
        <v>#REF!</v>
      </c>
      <c r="AR491" s="24" t="e">
        <f t="shared" si="647"/>
        <v>#REF!</v>
      </c>
      <c r="AS491" s="25" t="e">
        <f t="shared" si="647"/>
        <v>#REF!</v>
      </c>
      <c r="AT491" s="24" t="e">
        <f t="shared" si="647"/>
        <v>#REF!</v>
      </c>
      <c r="AU491" s="23" t="e">
        <f>SUM(AL491:AT491)</f>
        <v>#REF!</v>
      </c>
    </row>
    <row r="492" spans="1:47">
      <c r="A492" s="22" t="s">
        <v>1247</v>
      </c>
      <c r="B492" s="20" t="s">
        <v>1107</v>
      </c>
      <c r="C492" s="21" t="s">
        <v>1106</v>
      </c>
      <c r="D492" s="20" t="s">
        <v>1106</v>
      </c>
      <c r="E492" s="20" t="s">
        <v>1246</v>
      </c>
      <c r="F492" s="21" t="e">
        <f t="shared" ca="1" si="628"/>
        <v>#NAME?</v>
      </c>
      <c r="G492" s="19" t="s">
        <v>1109</v>
      </c>
      <c r="H492" s="50">
        <f>1-I492</f>
        <v>0.89992800456149802</v>
      </c>
      <c r="I492" s="49">
        <v>0.10007199543850197</v>
      </c>
      <c r="J492" s="11" t="e">
        <v>#REF!</v>
      </c>
      <c r="K492" s="10" t="e">
        <v>#REF!</v>
      </c>
      <c r="L492" s="9"/>
      <c r="M492" s="10"/>
      <c r="N492" s="9"/>
      <c r="O492" s="10"/>
      <c r="P492" s="9"/>
      <c r="Q492" s="10"/>
      <c r="R492" s="16"/>
      <c r="S492" s="15" t="e">
        <v>#REF!</v>
      </c>
      <c r="T492" s="13" t="e">
        <f t="shared" si="642"/>
        <v>#REF!</v>
      </c>
      <c r="U492" s="14" t="e">
        <f t="shared" si="642"/>
        <v>#REF!</v>
      </c>
      <c r="V492" s="13" t="e">
        <f t="shared" si="642"/>
        <v>#REF!</v>
      </c>
      <c r="W492" s="14" t="e">
        <f t="shared" si="642"/>
        <v>#REF!</v>
      </c>
      <c r="X492" s="13" t="e">
        <f t="shared" si="642"/>
        <v>#REF!</v>
      </c>
      <c r="Y492" s="14" t="e">
        <f t="shared" si="642"/>
        <v>#REF!</v>
      </c>
      <c r="Z492" s="13" t="e">
        <f t="shared" si="642"/>
        <v>#REF!</v>
      </c>
      <c r="AA492" s="12" t="e">
        <f t="shared" si="642"/>
        <v>#REF!</v>
      </c>
      <c r="AB492" s="11" t="e">
        <f t="shared" si="646"/>
        <v>#REF!</v>
      </c>
      <c r="AC492" s="10" t="e">
        <f t="shared" si="646"/>
        <v>#REF!</v>
      </c>
      <c r="AD492" s="9" t="e">
        <f t="shared" si="646"/>
        <v>#REF!</v>
      </c>
      <c r="AE492" s="10" t="e">
        <f t="shared" si="646"/>
        <v>#REF!</v>
      </c>
      <c r="AF492" s="9" t="e">
        <f t="shared" si="646"/>
        <v>#REF!</v>
      </c>
      <c r="AG492" s="10" t="e">
        <f t="shared" si="646"/>
        <v>#REF!</v>
      </c>
      <c r="AH492" s="9" t="e">
        <f t="shared" si="646"/>
        <v>#REF!</v>
      </c>
      <c r="AI492" s="10" t="e">
        <f t="shared" si="646"/>
        <v>#REF!</v>
      </c>
      <c r="AJ492" s="9" t="e">
        <f t="shared" si="646"/>
        <v>#REF!</v>
      </c>
      <c r="AK492" s="8" t="e">
        <f t="shared" si="624"/>
        <v>#REF!</v>
      </c>
      <c r="AL492" s="11" t="e">
        <f t="shared" si="647"/>
        <v>#REF!</v>
      </c>
      <c r="AM492" s="10" t="e">
        <f t="shared" si="647"/>
        <v>#REF!</v>
      </c>
      <c r="AN492" s="9" t="e">
        <f t="shared" si="647"/>
        <v>#REF!</v>
      </c>
      <c r="AO492" s="10" t="e">
        <f t="shared" si="647"/>
        <v>#REF!</v>
      </c>
      <c r="AP492" s="9" t="e">
        <f t="shared" si="647"/>
        <v>#REF!</v>
      </c>
      <c r="AQ492" s="10" t="e">
        <f t="shared" si="647"/>
        <v>#REF!</v>
      </c>
      <c r="AR492" s="9" t="e">
        <f t="shared" si="647"/>
        <v>#REF!</v>
      </c>
      <c r="AS492" s="10" t="e">
        <f t="shared" si="647"/>
        <v>#REF!</v>
      </c>
      <c r="AT492" s="9" t="e">
        <f t="shared" si="647"/>
        <v>#REF!</v>
      </c>
      <c r="AU492" s="48" t="e">
        <f>SUM(AL492:AT492)</f>
        <v>#REF!</v>
      </c>
    </row>
    <row r="493" spans="1:47">
      <c r="A493" s="37" t="s">
        <v>1231</v>
      </c>
      <c r="B493" s="36" t="s">
        <v>1150</v>
      </c>
      <c r="C493" s="1" t="s">
        <v>1126</v>
      </c>
      <c r="D493" s="36" t="s">
        <v>1126</v>
      </c>
      <c r="E493" s="36" t="s">
        <v>1245</v>
      </c>
      <c r="F493" s="1" t="e">
        <f t="shared" ref="F493:F524" ca="1" si="648">EndUse(A493,B493,C493,G493)</f>
        <v>#NAME?</v>
      </c>
      <c r="G493" s="35" t="s">
        <v>1121</v>
      </c>
      <c r="H493" s="43">
        <v>1</v>
      </c>
      <c r="I493" s="42">
        <v>0</v>
      </c>
      <c r="J493" s="26">
        <v>22.242722034787832</v>
      </c>
      <c r="K493" s="25">
        <v>10.986284462000247</v>
      </c>
      <c r="L493" s="24"/>
      <c r="M493" s="25"/>
      <c r="N493" s="24"/>
      <c r="O493" s="25"/>
      <c r="P493" s="24"/>
      <c r="Q493" s="25"/>
      <c r="R493" s="32"/>
      <c r="S493" s="47">
        <v>1</v>
      </c>
      <c r="T493" s="45">
        <v>1</v>
      </c>
      <c r="U493" s="46">
        <v>1</v>
      </c>
      <c r="V493" s="45">
        <v>1</v>
      </c>
      <c r="W493" s="46">
        <v>1</v>
      </c>
      <c r="X493" s="45">
        <v>1</v>
      </c>
      <c r="Y493" s="46">
        <v>1</v>
      </c>
      <c r="Z493" s="45">
        <v>1</v>
      </c>
      <c r="AA493" s="44">
        <v>1</v>
      </c>
      <c r="AB493" s="26">
        <f t="shared" ref="AB493:AB504" si="649">J493*$H493*S493</f>
        <v>22.242722034787832</v>
      </c>
      <c r="AC493" s="25">
        <f t="shared" ref="AC493:AC504" si="650">K493*$H493*T493</f>
        <v>10.986284462000247</v>
      </c>
      <c r="AD493" s="24">
        <f t="shared" ref="AD493:AD504" si="651">L493*$H493*U493</f>
        <v>0</v>
      </c>
      <c r="AE493" s="25">
        <f t="shared" ref="AE493:AE504" si="652">M493*$H493*V493</f>
        <v>0</v>
      </c>
      <c r="AF493" s="24">
        <f t="shared" ref="AF493:AF504" si="653">N493*$H493*W493</f>
        <v>0</v>
      </c>
      <c r="AG493" s="25">
        <f t="shared" ref="AG493:AG504" si="654">O493*$H493*X493</f>
        <v>0</v>
      </c>
      <c r="AH493" s="24">
        <f t="shared" ref="AH493:AH504" si="655">P493*$H493*Y493</f>
        <v>0</v>
      </c>
      <c r="AI493" s="25">
        <f t="shared" ref="AI493:AI504" si="656">Q493*$H493*Z493</f>
        <v>0</v>
      </c>
      <c r="AJ493" s="24">
        <f t="shared" ref="AJ493:AJ504" si="657">R493*$H493*AA493</f>
        <v>0</v>
      </c>
      <c r="AK493" s="27">
        <f t="shared" si="624"/>
        <v>33.229006496788081</v>
      </c>
      <c r="AL493" s="41">
        <v>0</v>
      </c>
      <c r="AM493" s="40">
        <v>0</v>
      </c>
      <c r="AN493" s="39">
        <v>0</v>
      </c>
      <c r="AO493" s="40">
        <v>0</v>
      </c>
      <c r="AP493" s="39">
        <v>0</v>
      </c>
      <c r="AQ493" s="40">
        <v>0</v>
      </c>
      <c r="AR493" s="39">
        <v>0</v>
      </c>
      <c r="AS493" s="40">
        <v>0</v>
      </c>
      <c r="AT493" s="39">
        <v>0</v>
      </c>
      <c r="AU493" s="38">
        <v>0</v>
      </c>
    </row>
    <row r="494" spans="1:47">
      <c r="A494" s="37" t="s">
        <v>1231</v>
      </c>
      <c r="B494" s="36" t="s">
        <v>1145</v>
      </c>
      <c r="C494" s="1" t="s">
        <v>1120</v>
      </c>
      <c r="D494" s="36" t="s">
        <v>1120</v>
      </c>
      <c r="E494" s="36" t="s">
        <v>1244</v>
      </c>
      <c r="F494" s="1" t="e">
        <f t="shared" ca="1" si="648"/>
        <v>#NAME?</v>
      </c>
      <c r="G494" s="35" t="s">
        <v>1121</v>
      </c>
      <c r="H494" s="43">
        <v>1</v>
      </c>
      <c r="I494" s="42">
        <v>0</v>
      </c>
      <c r="J494" s="26">
        <v>0</v>
      </c>
      <c r="K494" s="25">
        <v>0.14981717881700962</v>
      </c>
      <c r="L494" s="24"/>
      <c r="M494" s="25"/>
      <c r="N494" s="24"/>
      <c r="O494" s="25"/>
      <c r="P494" s="24"/>
      <c r="Q494" s="25"/>
      <c r="R494" s="32"/>
      <c r="S494" s="47">
        <v>1</v>
      </c>
      <c r="T494" s="45">
        <v>1</v>
      </c>
      <c r="U494" s="46">
        <v>1</v>
      </c>
      <c r="V494" s="45">
        <v>1</v>
      </c>
      <c r="W494" s="46">
        <v>1</v>
      </c>
      <c r="X494" s="45">
        <v>1</v>
      </c>
      <c r="Y494" s="46">
        <v>1</v>
      </c>
      <c r="Z494" s="45">
        <v>1</v>
      </c>
      <c r="AA494" s="44">
        <v>1</v>
      </c>
      <c r="AB494" s="26">
        <f t="shared" si="649"/>
        <v>0</v>
      </c>
      <c r="AC494" s="25">
        <f t="shared" si="650"/>
        <v>0.14981717881700962</v>
      </c>
      <c r="AD494" s="24">
        <f t="shared" si="651"/>
        <v>0</v>
      </c>
      <c r="AE494" s="25">
        <f t="shared" si="652"/>
        <v>0</v>
      </c>
      <c r="AF494" s="24">
        <f t="shared" si="653"/>
        <v>0</v>
      </c>
      <c r="AG494" s="25">
        <f t="shared" si="654"/>
        <v>0</v>
      </c>
      <c r="AH494" s="24">
        <f t="shared" si="655"/>
        <v>0</v>
      </c>
      <c r="AI494" s="25">
        <f t="shared" si="656"/>
        <v>0</v>
      </c>
      <c r="AJ494" s="24">
        <f t="shared" si="657"/>
        <v>0</v>
      </c>
      <c r="AK494" s="27">
        <f t="shared" si="624"/>
        <v>0.14981717881700962</v>
      </c>
      <c r="AL494" s="41">
        <v>0</v>
      </c>
      <c r="AM494" s="40">
        <v>0</v>
      </c>
      <c r="AN494" s="39">
        <v>0</v>
      </c>
      <c r="AO494" s="40">
        <v>0</v>
      </c>
      <c r="AP494" s="39">
        <v>0</v>
      </c>
      <c r="AQ494" s="40">
        <v>0</v>
      </c>
      <c r="AR494" s="39">
        <v>0</v>
      </c>
      <c r="AS494" s="40">
        <v>0</v>
      </c>
      <c r="AT494" s="39">
        <v>0</v>
      </c>
      <c r="AU494" s="38">
        <v>0</v>
      </c>
    </row>
    <row r="495" spans="1:47">
      <c r="A495" s="37" t="s">
        <v>1231</v>
      </c>
      <c r="B495" s="36" t="s">
        <v>1145</v>
      </c>
      <c r="C495" s="1" t="s">
        <v>1126</v>
      </c>
      <c r="D495" s="36" t="s">
        <v>1126</v>
      </c>
      <c r="E495" s="36" t="s">
        <v>1243</v>
      </c>
      <c r="F495" s="1" t="e">
        <f t="shared" ca="1" si="648"/>
        <v>#NAME?</v>
      </c>
      <c r="G495" s="35" t="s">
        <v>1121</v>
      </c>
      <c r="H495" s="43">
        <v>1</v>
      </c>
      <c r="I495" s="42">
        <v>0</v>
      </c>
      <c r="J495" s="26">
        <v>1.0719384113150761</v>
      </c>
      <c r="K495" s="25">
        <v>0.5294594921445902</v>
      </c>
      <c r="L495" s="24"/>
      <c r="M495" s="25"/>
      <c r="N495" s="24"/>
      <c r="O495" s="25"/>
      <c r="P495" s="24"/>
      <c r="Q495" s="25"/>
      <c r="R495" s="32"/>
      <c r="S495" s="47">
        <v>1</v>
      </c>
      <c r="T495" s="45">
        <v>1</v>
      </c>
      <c r="U495" s="46">
        <v>1</v>
      </c>
      <c r="V495" s="45">
        <v>1</v>
      </c>
      <c r="W495" s="46">
        <v>1</v>
      </c>
      <c r="X495" s="45">
        <v>1</v>
      </c>
      <c r="Y495" s="46">
        <v>1</v>
      </c>
      <c r="Z495" s="45">
        <v>1</v>
      </c>
      <c r="AA495" s="44">
        <v>1</v>
      </c>
      <c r="AB495" s="26">
        <f t="shared" si="649"/>
        <v>1.0719384113150761</v>
      </c>
      <c r="AC495" s="25">
        <f t="shared" si="650"/>
        <v>0.5294594921445902</v>
      </c>
      <c r="AD495" s="24">
        <f t="shared" si="651"/>
        <v>0</v>
      </c>
      <c r="AE495" s="25">
        <f t="shared" si="652"/>
        <v>0</v>
      </c>
      <c r="AF495" s="24">
        <f t="shared" si="653"/>
        <v>0</v>
      </c>
      <c r="AG495" s="25">
        <f t="shared" si="654"/>
        <v>0</v>
      </c>
      <c r="AH495" s="24">
        <f t="shared" si="655"/>
        <v>0</v>
      </c>
      <c r="AI495" s="25">
        <f t="shared" si="656"/>
        <v>0</v>
      </c>
      <c r="AJ495" s="24">
        <f t="shared" si="657"/>
        <v>0</v>
      </c>
      <c r="AK495" s="27">
        <f t="shared" si="624"/>
        <v>1.6013979034596661</v>
      </c>
      <c r="AL495" s="41">
        <v>0</v>
      </c>
      <c r="AM495" s="40">
        <v>0</v>
      </c>
      <c r="AN495" s="39">
        <v>0</v>
      </c>
      <c r="AO495" s="40">
        <v>0</v>
      </c>
      <c r="AP495" s="39">
        <v>0</v>
      </c>
      <c r="AQ495" s="40">
        <v>0</v>
      </c>
      <c r="AR495" s="39">
        <v>0</v>
      </c>
      <c r="AS495" s="40">
        <v>0</v>
      </c>
      <c r="AT495" s="39">
        <v>0</v>
      </c>
      <c r="AU495" s="38">
        <v>0</v>
      </c>
    </row>
    <row r="496" spans="1:47">
      <c r="A496" s="37" t="s">
        <v>1231</v>
      </c>
      <c r="B496" s="36" t="s">
        <v>1145</v>
      </c>
      <c r="C496" s="1" t="s">
        <v>665</v>
      </c>
      <c r="D496" s="36" t="s">
        <v>665</v>
      </c>
      <c r="E496" s="36" t="s">
        <v>1242</v>
      </c>
      <c r="F496" s="1" t="e">
        <f t="shared" ca="1" si="648"/>
        <v>#NAME?</v>
      </c>
      <c r="G496" s="35" t="s">
        <v>1121</v>
      </c>
      <c r="H496" s="43">
        <v>1</v>
      </c>
      <c r="I496" s="42">
        <v>0</v>
      </c>
      <c r="J496" s="26">
        <v>0.33198481902533933</v>
      </c>
      <c r="K496" s="25">
        <v>0.62321896230551088</v>
      </c>
      <c r="L496" s="24"/>
      <c r="M496" s="25"/>
      <c r="N496" s="24"/>
      <c r="O496" s="25"/>
      <c r="P496" s="24"/>
      <c r="Q496" s="25"/>
      <c r="R496" s="32"/>
      <c r="S496" s="47">
        <v>1</v>
      </c>
      <c r="T496" s="45">
        <v>1</v>
      </c>
      <c r="U496" s="46">
        <v>1</v>
      </c>
      <c r="V496" s="45">
        <v>1</v>
      </c>
      <c r="W496" s="46">
        <v>1</v>
      </c>
      <c r="X496" s="45">
        <v>1</v>
      </c>
      <c r="Y496" s="46">
        <v>1</v>
      </c>
      <c r="Z496" s="45">
        <v>1</v>
      </c>
      <c r="AA496" s="44">
        <v>1</v>
      </c>
      <c r="AB496" s="26">
        <f t="shared" si="649"/>
        <v>0.33198481902533933</v>
      </c>
      <c r="AC496" s="25">
        <f t="shared" si="650"/>
        <v>0.62321896230551088</v>
      </c>
      <c r="AD496" s="24">
        <f t="shared" si="651"/>
        <v>0</v>
      </c>
      <c r="AE496" s="25">
        <f t="shared" si="652"/>
        <v>0</v>
      </c>
      <c r="AF496" s="24">
        <f t="shared" si="653"/>
        <v>0</v>
      </c>
      <c r="AG496" s="25">
        <f t="shared" si="654"/>
        <v>0</v>
      </c>
      <c r="AH496" s="24">
        <f t="shared" si="655"/>
        <v>0</v>
      </c>
      <c r="AI496" s="25">
        <f t="shared" si="656"/>
        <v>0</v>
      </c>
      <c r="AJ496" s="24">
        <f t="shared" si="657"/>
        <v>0</v>
      </c>
      <c r="AK496" s="27">
        <f t="shared" si="624"/>
        <v>0.95520378133085027</v>
      </c>
      <c r="AL496" s="41">
        <v>0</v>
      </c>
      <c r="AM496" s="40">
        <v>0</v>
      </c>
      <c r="AN496" s="39">
        <v>0</v>
      </c>
      <c r="AO496" s="40">
        <v>0</v>
      </c>
      <c r="AP496" s="39">
        <v>0</v>
      </c>
      <c r="AQ496" s="40">
        <v>0</v>
      </c>
      <c r="AR496" s="39">
        <v>0</v>
      </c>
      <c r="AS496" s="40">
        <v>0</v>
      </c>
      <c r="AT496" s="39">
        <v>0</v>
      </c>
      <c r="AU496" s="38">
        <v>0</v>
      </c>
    </row>
    <row r="497" spans="1:47">
      <c r="A497" s="37" t="s">
        <v>1231</v>
      </c>
      <c r="B497" s="36" t="s">
        <v>1139</v>
      </c>
      <c r="C497" s="1" t="s">
        <v>665</v>
      </c>
      <c r="D497" s="36" t="s">
        <v>665</v>
      </c>
      <c r="E497" s="36" t="s">
        <v>1241</v>
      </c>
      <c r="F497" s="1" t="e">
        <f t="shared" ca="1" si="648"/>
        <v>#NAME?</v>
      </c>
      <c r="G497" s="35" t="s">
        <v>1121</v>
      </c>
      <c r="H497" s="43">
        <v>1</v>
      </c>
      <c r="I497" s="42">
        <v>0</v>
      </c>
      <c r="J497" s="26">
        <v>0.41260970364577887</v>
      </c>
      <c r="K497" s="25">
        <v>1.2512319166287564</v>
      </c>
      <c r="L497" s="24"/>
      <c r="M497" s="25"/>
      <c r="N497" s="24"/>
      <c r="O497" s="25"/>
      <c r="P497" s="24"/>
      <c r="Q497" s="25"/>
      <c r="R497" s="32"/>
      <c r="S497" s="47">
        <v>1</v>
      </c>
      <c r="T497" s="45">
        <v>1</v>
      </c>
      <c r="U497" s="46">
        <v>1</v>
      </c>
      <c r="V497" s="45">
        <v>1</v>
      </c>
      <c r="W497" s="46">
        <v>1</v>
      </c>
      <c r="X497" s="45">
        <v>1</v>
      </c>
      <c r="Y497" s="46">
        <v>1</v>
      </c>
      <c r="Z497" s="45">
        <v>1</v>
      </c>
      <c r="AA497" s="44">
        <v>1</v>
      </c>
      <c r="AB497" s="26">
        <f t="shared" si="649"/>
        <v>0.41260970364577887</v>
      </c>
      <c r="AC497" s="25">
        <f t="shared" si="650"/>
        <v>1.2512319166287564</v>
      </c>
      <c r="AD497" s="24">
        <f t="shared" si="651"/>
        <v>0</v>
      </c>
      <c r="AE497" s="25">
        <f t="shared" si="652"/>
        <v>0</v>
      </c>
      <c r="AF497" s="24">
        <f t="shared" si="653"/>
        <v>0</v>
      </c>
      <c r="AG497" s="25">
        <f t="shared" si="654"/>
        <v>0</v>
      </c>
      <c r="AH497" s="24">
        <f t="shared" si="655"/>
        <v>0</v>
      </c>
      <c r="AI497" s="25">
        <f t="shared" si="656"/>
        <v>0</v>
      </c>
      <c r="AJ497" s="24">
        <f t="shared" si="657"/>
        <v>0</v>
      </c>
      <c r="AK497" s="27">
        <f t="shared" si="624"/>
        <v>1.6638416202745354</v>
      </c>
      <c r="AL497" s="41">
        <v>0</v>
      </c>
      <c r="AM497" s="40">
        <v>0</v>
      </c>
      <c r="AN497" s="39">
        <v>0</v>
      </c>
      <c r="AO497" s="40">
        <v>0</v>
      </c>
      <c r="AP497" s="39">
        <v>0</v>
      </c>
      <c r="AQ497" s="40">
        <v>0</v>
      </c>
      <c r="AR497" s="39">
        <v>0</v>
      </c>
      <c r="AS497" s="40">
        <v>0</v>
      </c>
      <c r="AT497" s="39">
        <v>0</v>
      </c>
      <c r="AU497" s="38">
        <v>0</v>
      </c>
    </row>
    <row r="498" spans="1:47">
      <c r="A498" s="37" t="s">
        <v>1231</v>
      </c>
      <c r="B498" s="36" t="s">
        <v>1139</v>
      </c>
      <c r="C498" s="1" t="s">
        <v>468</v>
      </c>
      <c r="D498" s="36" t="s">
        <v>468</v>
      </c>
      <c r="E498" s="36" t="s">
        <v>1240</v>
      </c>
      <c r="F498" s="1" t="e">
        <f t="shared" ca="1" si="648"/>
        <v>#NAME?</v>
      </c>
      <c r="G498" s="35" t="s">
        <v>1121</v>
      </c>
      <c r="H498" s="43">
        <v>1</v>
      </c>
      <c r="I498" s="42">
        <v>0</v>
      </c>
      <c r="J498" s="26">
        <v>1.9202398351977488</v>
      </c>
      <c r="K498" s="25">
        <v>1.9410315593256378</v>
      </c>
      <c r="L498" s="24"/>
      <c r="M498" s="25"/>
      <c r="N498" s="24"/>
      <c r="O498" s="25"/>
      <c r="P498" s="24"/>
      <c r="Q498" s="25"/>
      <c r="R498" s="32"/>
      <c r="S498" s="47">
        <v>1</v>
      </c>
      <c r="T498" s="45">
        <v>1</v>
      </c>
      <c r="U498" s="46">
        <v>1</v>
      </c>
      <c r="V498" s="45">
        <v>1</v>
      </c>
      <c r="W498" s="46">
        <v>1</v>
      </c>
      <c r="X498" s="45">
        <v>1</v>
      </c>
      <c r="Y498" s="46">
        <v>1</v>
      </c>
      <c r="Z498" s="45">
        <v>1</v>
      </c>
      <c r="AA498" s="44">
        <v>1</v>
      </c>
      <c r="AB498" s="26">
        <f t="shared" si="649"/>
        <v>1.9202398351977488</v>
      </c>
      <c r="AC498" s="25">
        <f t="shared" si="650"/>
        <v>1.9410315593256378</v>
      </c>
      <c r="AD498" s="24">
        <f t="shared" si="651"/>
        <v>0</v>
      </c>
      <c r="AE498" s="25">
        <f t="shared" si="652"/>
        <v>0</v>
      </c>
      <c r="AF498" s="24">
        <f t="shared" si="653"/>
        <v>0</v>
      </c>
      <c r="AG498" s="25">
        <f t="shared" si="654"/>
        <v>0</v>
      </c>
      <c r="AH498" s="24">
        <f t="shared" si="655"/>
        <v>0</v>
      </c>
      <c r="AI498" s="25">
        <f t="shared" si="656"/>
        <v>0</v>
      </c>
      <c r="AJ498" s="24">
        <f t="shared" si="657"/>
        <v>0</v>
      </c>
      <c r="AK498" s="27">
        <f t="shared" si="624"/>
        <v>3.8612713945233867</v>
      </c>
      <c r="AL498" s="41">
        <v>0</v>
      </c>
      <c r="AM498" s="40">
        <v>0</v>
      </c>
      <c r="AN498" s="39">
        <v>0</v>
      </c>
      <c r="AO498" s="40">
        <v>0</v>
      </c>
      <c r="AP498" s="39">
        <v>0</v>
      </c>
      <c r="AQ498" s="40">
        <v>0</v>
      </c>
      <c r="AR498" s="39">
        <v>0</v>
      </c>
      <c r="AS498" s="40">
        <v>0</v>
      </c>
      <c r="AT498" s="39">
        <v>0</v>
      </c>
      <c r="AU498" s="38">
        <v>0</v>
      </c>
    </row>
    <row r="499" spans="1:47">
      <c r="A499" s="37" t="s">
        <v>1231</v>
      </c>
      <c r="B499" s="36" t="s">
        <v>1136</v>
      </c>
      <c r="C499" s="1" t="s">
        <v>1126</v>
      </c>
      <c r="D499" s="36" t="s">
        <v>1126</v>
      </c>
      <c r="E499" s="36" t="s">
        <v>1239</v>
      </c>
      <c r="F499" s="1" t="e">
        <f t="shared" ca="1" si="648"/>
        <v>#NAME?</v>
      </c>
      <c r="G499" s="35" t="s">
        <v>1121</v>
      </c>
      <c r="H499" s="43">
        <v>1</v>
      </c>
      <c r="I499" s="42">
        <v>0</v>
      </c>
      <c r="J499" s="26">
        <v>4.5021413275233204</v>
      </c>
      <c r="K499" s="25">
        <v>2.2237298670072789</v>
      </c>
      <c r="L499" s="24"/>
      <c r="M499" s="25"/>
      <c r="N499" s="24"/>
      <c r="O499" s="25"/>
      <c r="P499" s="24"/>
      <c r="Q499" s="25"/>
      <c r="R499" s="32"/>
      <c r="S499" s="47">
        <v>1</v>
      </c>
      <c r="T499" s="45">
        <v>1</v>
      </c>
      <c r="U499" s="46">
        <v>1</v>
      </c>
      <c r="V499" s="45">
        <v>1</v>
      </c>
      <c r="W499" s="46">
        <v>1</v>
      </c>
      <c r="X499" s="45">
        <v>1</v>
      </c>
      <c r="Y499" s="46">
        <v>1</v>
      </c>
      <c r="Z499" s="45">
        <v>1</v>
      </c>
      <c r="AA499" s="44">
        <v>1</v>
      </c>
      <c r="AB499" s="26">
        <f t="shared" si="649"/>
        <v>4.5021413275233204</v>
      </c>
      <c r="AC499" s="25">
        <f t="shared" si="650"/>
        <v>2.2237298670072789</v>
      </c>
      <c r="AD499" s="24">
        <f t="shared" si="651"/>
        <v>0</v>
      </c>
      <c r="AE499" s="25">
        <f t="shared" si="652"/>
        <v>0</v>
      </c>
      <c r="AF499" s="24">
        <f t="shared" si="653"/>
        <v>0</v>
      </c>
      <c r="AG499" s="25">
        <f t="shared" si="654"/>
        <v>0</v>
      </c>
      <c r="AH499" s="24">
        <f t="shared" si="655"/>
        <v>0</v>
      </c>
      <c r="AI499" s="25">
        <f t="shared" si="656"/>
        <v>0</v>
      </c>
      <c r="AJ499" s="24">
        <f t="shared" si="657"/>
        <v>0</v>
      </c>
      <c r="AK499" s="27">
        <f t="shared" si="624"/>
        <v>6.7258711945305993</v>
      </c>
      <c r="AL499" s="41">
        <v>0</v>
      </c>
      <c r="AM499" s="40">
        <v>0</v>
      </c>
      <c r="AN499" s="39">
        <v>0</v>
      </c>
      <c r="AO499" s="40">
        <v>0</v>
      </c>
      <c r="AP499" s="39">
        <v>0</v>
      </c>
      <c r="AQ499" s="40">
        <v>0</v>
      </c>
      <c r="AR499" s="39">
        <v>0</v>
      </c>
      <c r="AS499" s="40">
        <v>0</v>
      </c>
      <c r="AT499" s="39">
        <v>0</v>
      </c>
      <c r="AU499" s="38">
        <v>0</v>
      </c>
    </row>
    <row r="500" spans="1:47">
      <c r="A500" s="37" t="s">
        <v>1231</v>
      </c>
      <c r="B500" s="36" t="s">
        <v>1136</v>
      </c>
      <c r="C500" s="1" t="s">
        <v>665</v>
      </c>
      <c r="D500" s="36" t="s">
        <v>665</v>
      </c>
      <c r="E500" s="36" t="s">
        <v>1238</v>
      </c>
      <c r="F500" s="1" t="e">
        <f t="shared" ca="1" si="648"/>
        <v>#NAME?</v>
      </c>
      <c r="G500" s="35" t="s">
        <v>1121</v>
      </c>
      <c r="H500" s="43">
        <v>1</v>
      </c>
      <c r="I500" s="42">
        <v>0</v>
      </c>
      <c r="J500" s="26">
        <v>0.33198481902533933</v>
      </c>
      <c r="K500" s="25">
        <v>0.62321896230551088</v>
      </c>
      <c r="L500" s="24"/>
      <c r="M500" s="25"/>
      <c r="N500" s="24"/>
      <c r="O500" s="25"/>
      <c r="P500" s="24"/>
      <c r="Q500" s="25"/>
      <c r="R500" s="32"/>
      <c r="S500" s="47">
        <v>1</v>
      </c>
      <c r="T500" s="45">
        <v>1</v>
      </c>
      <c r="U500" s="46">
        <v>1</v>
      </c>
      <c r="V500" s="45">
        <v>1</v>
      </c>
      <c r="W500" s="46">
        <v>1</v>
      </c>
      <c r="X500" s="45">
        <v>1</v>
      </c>
      <c r="Y500" s="46">
        <v>1</v>
      </c>
      <c r="Z500" s="45">
        <v>1</v>
      </c>
      <c r="AA500" s="44">
        <v>1</v>
      </c>
      <c r="AB500" s="26">
        <f t="shared" si="649"/>
        <v>0.33198481902533933</v>
      </c>
      <c r="AC500" s="25">
        <f t="shared" si="650"/>
        <v>0.62321896230551088</v>
      </c>
      <c r="AD500" s="24">
        <f t="shared" si="651"/>
        <v>0</v>
      </c>
      <c r="AE500" s="25">
        <f t="shared" si="652"/>
        <v>0</v>
      </c>
      <c r="AF500" s="24">
        <f t="shared" si="653"/>
        <v>0</v>
      </c>
      <c r="AG500" s="25">
        <f t="shared" si="654"/>
        <v>0</v>
      </c>
      <c r="AH500" s="24">
        <f t="shared" si="655"/>
        <v>0</v>
      </c>
      <c r="AI500" s="25">
        <f t="shared" si="656"/>
        <v>0</v>
      </c>
      <c r="AJ500" s="24">
        <f t="shared" si="657"/>
        <v>0</v>
      </c>
      <c r="AK500" s="27">
        <f t="shared" si="624"/>
        <v>0.95520378133085027</v>
      </c>
      <c r="AL500" s="41">
        <v>0</v>
      </c>
      <c r="AM500" s="40">
        <v>0</v>
      </c>
      <c r="AN500" s="39">
        <v>0</v>
      </c>
      <c r="AO500" s="40">
        <v>0</v>
      </c>
      <c r="AP500" s="39">
        <v>0</v>
      </c>
      <c r="AQ500" s="40">
        <v>0</v>
      </c>
      <c r="AR500" s="39">
        <v>0</v>
      </c>
      <c r="AS500" s="40">
        <v>0</v>
      </c>
      <c r="AT500" s="39">
        <v>0</v>
      </c>
      <c r="AU500" s="38">
        <v>0</v>
      </c>
    </row>
    <row r="501" spans="1:47">
      <c r="A501" s="37" t="s">
        <v>1231</v>
      </c>
      <c r="B501" s="36" t="s">
        <v>1129</v>
      </c>
      <c r="C501" s="1" t="s">
        <v>468</v>
      </c>
      <c r="D501" s="36" t="s">
        <v>468</v>
      </c>
      <c r="E501" s="36" t="s">
        <v>1237</v>
      </c>
      <c r="F501" s="1" t="e">
        <f t="shared" ca="1" si="648"/>
        <v>#NAME?</v>
      </c>
      <c r="G501" s="35" t="s">
        <v>1121</v>
      </c>
      <c r="H501" s="43">
        <v>1</v>
      </c>
      <c r="I501" s="42">
        <v>0</v>
      </c>
      <c r="J501" s="26">
        <v>1.2801598901318325</v>
      </c>
      <c r="K501" s="25">
        <v>1.6175262994380317</v>
      </c>
      <c r="L501" s="24"/>
      <c r="M501" s="25"/>
      <c r="N501" s="24"/>
      <c r="O501" s="25"/>
      <c r="P501" s="24"/>
      <c r="Q501" s="25"/>
      <c r="R501" s="32"/>
      <c r="S501" s="47">
        <v>1</v>
      </c>
      <c r="T501" s="45">
        <v>1</v>
      </c>
      <c r="U501" s="46">
        <v>1</v>
      </c>
      <c r="V501" s="45">
        <v>1</v>
      </c>
      <c r="W501" s="46">
        <v>1</v>
      </c>
      <c r="X501" s="45">
        <v>1</v>
      </c>
      <c r="Y501" s="46">
        <v>1</v>
      </c>
      <c r="Z501" s="45">
        <v>1</v>
      </c>
      <c r="AA501" s="44">
        <v>1</v>
      </c>
      <c r="AB501" s="26">
        <f t="shared" si="649"/>
        <v>1.2801598901318325</v>
      </c>
      <c r="AC501" s="25">
        <f t="shared" si="650"/>
        <v>1.6175262994380317</v>
      </c>
      <c r="AD501" s="24">
        <f t="shared" si="651"/>
        <v>0</v>
      </c>
      <c r="AE501" s="25">
        <f t="shared" si="652"/>
        <v>0</v>
      </c>
      <c r="AF501" s="24">
        <f t="shared" si="653"/>
        <v>0</v>
      </c>
      <c r="AG501" s="25">
        <f t="shared" si="654"/>
        <v>0</v>
      </c>
      <c r="AH501" s="24">
        <f t="shared" si="655"/>
        <v>0</v>
      </c>
      <c r="AI501" s="25">
        <f t="shared" si="656"/>
        <v>0</v>
      </c>
      <c r="AJ501" s="24">
        <f t="shared" si="657"/>
        <v>0</v>
      </c>
      <c r="AK501" s="27">
        <f t="shared" si="624"/>
        <v>2.897686189569864</v>
      </c>
      <c r="AL501" s="41">
        <v>0</v>
      </c>
      <c r="AM501" s="40">
        <v>0</v>
      </c>
      <c r="AN501" s="39">
        <v>0</v>
      </c>
      <c r="AO501" s="40">
        <v>0</v>
      </c>
      <c r="AP501" s="39">
        <v>0</v>
      </c>
      <c r="AQ501" s="40">
        <v>0</v>
      </c>
      <c r="AR501" s="39">
        <v>0</v>
      </c>
      <c r="AS501" s="40">
        <v>0</v>
      </c>
      <c r="AT501" s="39">
        <v>0</v>
      </c>
      <c r="AU501" s="38">
        <v>0</v>
      </c>
    </row>
    <row r="502" spans="1:47">
      <c r="A502" s="37" t="s">
        <v>1231</v>
      </c>
      <c r="B502" s="36" t="s">
        <v>1123</v>
      </c>
      <c r="C502" s="1" t="s">
        <v>1126</v>
      </c>
      <c r="D502" s="36" t="s">
        <v>1126</v>
      </c>
      <c r="E502" s="36" t="s">
        <v>1236</v>
      </c>
      <c r="F502" s="1" t="e">
        <f t="shared" ca="1" si="648"/>
        <v>#NAME?</v>
      </c>
      <c r="G502" s="35" t="s">
        <v>1121</v>
      </c>
      <c r="H502" s="43">
        <v>1</v>
      </c>
      <c r="I502" s="42">
        <v>0</v>
      </c>
      <c r="J502" s="26">
        <v>0.85755072905206098</v>
      </c>
      <c r="K502" s="25">
        <v>0.42356759371567221</v>
      </c>
      <c r="L502" s="24"/>
      <c r="M502" s="25"/>
      <c r="N502" s="24"/>
      <c r="O502" s="25"/>
      <c r="P502" s="24"/>
      <c r="Q502" s="25"/>
      <c r="R502" s="32"/>
      <c r="S502" s="47">
        <v>1</v>
      </c>
      <c r="T502" s="45">
        <v>1</v>
      </c>
      <c r="U502" s="46">
        <v>1</v>
      </c>
      <c r="V502" s="45">
        <v>1</v>
      </c>
      <c r="W502" s="46">
        <v>1</v>
      </c>
      <c r="X502" s="45">
        <v>1</v>
      </c>
      <c r="Y502" s="46">
        <v>1</v>
      </c>
      <c r="Z502" s="45">
        <v>1</v>
      </c>
      <c r="AA502" s="44">
        <v>1</v>
      </c>
      <c r="AB502" s="26">
        <f t="shared" si="649"/>
        <v>0.85755072905206098</v>
      </c>
      <c r="AC502" s="25">
        <f t="shared" si="650"/>
        <v>0.42356759371567221</v>
      </c>
      <c r="AD502" s="24">
        <f t="shared" si="651"/>
        <v>0</v>
      </c>
      <c r="AE502" s="25">
        <f t="shared" si="652"/>
        <v>0</v>
      </c>
      <c r="AF502" s="24">
        <f t="shared" si="653"/>
        <v>0</v>
      </c>
      <c r="AG502" s="25">
        <f t="shared" si="654"/>
        <v>0</v>
      </c>
      <c r="AH502" s="24">
        <f t="shared" si="655"/>
        <v>0</v>
      </c>
      <c r="AI502" s="25">
        <f t="shared" si="656"/>
        <v>0</v>
      </c>
      <c r="AJ502" s="24">
        <f t="shared" si="657"/>
        <v>0</v>
      </c>
      <c r="AK502" s="27">
        <f t="shared" si="624"/>
        <v>1.2811183227677332</v>
      </c>
      <c r="AL502" s="41">
        <v>0</v>
      </c>
      <c r="AM502" s="40">
        <v>0</v>
      </c>
      <c r="AN502" s="39">
        <v>0</v>
      </c>
      <c r="AO502" s="40">
        <v>0</v>
      </c>
      <c r="AP502" s="39">
        <v>0</v>
      </c>
      <c r="AQ502" s="40">
        <v>0</v>
      </c>
      <c r="AR502" s="39">
        <v>0</v>
      </c>
      <c r="AS502" s="40">
        <v>0</v>
      </c>
      <c r="AT502" s="39">
        <v>0</v>
      </c>
      <c r="AU502" s="38">
        <v>0</v>
      </c>
    </row>
    <row r="503" spans="1:47">
      <c r="A503" s="37" t="s">
        <v>1231</v>
      </c>
      <c r="B503" s="36" t="s">
        <v>1123</v>
      </c>
      <c r="C503" s="1" t="s">
        <v>665</v>
      </c>
      <c r="D503" s="36" t="s">
        <v>665</v>
      </c>
      <c r="E503" s="36" t="s">
        <v>1235</v>
      </c>
      <c r="F503" s="1" t="e">
        <f t="shared" ca="1" si="648"/>
        <v>#NAME?</v>
      </c>
      <c r="G503" s="35" t="s">
        <v>1121</v>
      </c>
      <c r="H503" s="43">
        <v>1</v>
      </c>
      <c r="I503" s="42">
        <v>0</v>
      </c>
      <c r="J503" s="26">
        <v>3.9838178283040722</v>
      </c>
      <c r="K503" s="25">
        <v>7.4786275476661306</v>
      </c>
      <c r="L503" s="24"/>
      <c r="M503" s="25"/>
      <c r="N503" s="24"/>
      <c r="O503" s="25"/>
      <c r="P503" s="24"/>
      <c r="Q503" s="25"/>
      <c r="R503" s="32"/>
      <c r="S503" s="47">
        <v>1</v>
      </c>
      <c r="T503" s="45">
        <v>1</v>
      </c>
      <c r="U503" s="46">
        <v>1</v>
      </c>
      <c r="V503" s="45">
        <v>1</v>
      </c>
      <c r="W503" s="46">
        <v>1</v>
      </c>
      <c r="X503" s="45">
        <v>1</v>
      </c>
      <c r="Y503" s="46">
        <v>1</v>
      </c>
      <c r="Z503" s="45">
        <v>1</v>
      </c>
      <c r="AA503" s="44">
        <v>1</v>
      </c>
      <c r="AB503" s="26">
        <f t="shared" si="649"/>
        <v>3.9838178283040722</v>
      </c>
      <c r="AC503" s="25">
        <f t="shared" si="650"/>
        <v>7.4786275476661306</v>
      </c>
      <c r="AD503" s="24">
        <f t="shared" si="651"/>
        <v>0</v>
      </c>
      <c r="AE503" s="25">
        <f t="shared" si="652"/>
        <v>0</v>
      </c>
      <c r="AF503" s="24">
        <f t="shared" si="653"/>
        <v>0</v>
      </c>
      <c r="AG503" s="25">
        <f t="shared" si="654"/>
        <v>0</v>
      </c>
      <c r="AH503" s="24">
        <f t="shared" si="655"/>
        <v>0</v>
      </c>
      <c r="AI503" s="25">
        <f t="shared" si="656"/>
        <v>0</v>
      </c>
      <c r="AJ503" s="24">
        <f t="shared" si="657"/>
        <v>0</v>
      </c>
      <c r="AK503" s="27">
        <f t="shared" si="624"/>
        <v>11.462445375970203</v>
      </c>
      <c r="AL503" s="41">
        <v>0</v>
      </c>
      <c r="AM503" s="40">
        <v>0</v>
      </c>
      <c r="AN503" s="39">
        <v>0</v>
      </c>
      <c r="AO503" s="40">
        <v>0</v>
      </c>
      <c r="AP503" s="39">
        <v>0</v>
      </c>
      <c r="AQ503" s="40">
        <v>0</v>
      </c>
      <c r="AR503" s="39">
        <v>0</v>
      </c>
      <c r="AS503" s="40">
        <v>0</v>
      </c>
      <c r="AT503" s="39">
        <v>0</v>
      </c>
      <c r="AU503" s="38">
        <v>0</v>
      </c>
    </row>
    <row r="504" spans="1:47">
      <c r="A504" s="37" t="s">
        <v>1231</v>
      </c>
      <c r="B504" s="36" t="s">
        <v>1107</v>
      </c>
      <c r="C504" s="1" t="s">
        <v>665</v>
      </c>
      <c r="D504" s="36" t="s">
        <v>665</v>
      </c>
      <c r="E504" s="36" t="s">
        <v>1234</v>
      </c>
      <c r="F504" s="1" t="e">
        <f t="shared" ca="1" si="648"/>
        <v>#NAME?</v>
      </c>
      <c r="G504" s="35" t="s">
        <v>1104</v>
      </c>
      <c r="H504" s="43">
        <v>1</v>
      </c>
      <c r="I504" s="42">
        <v>0</v>
      </c>
      <c r="J504" s="26">
        <v>0</v>
      </c>
      <c r="K504" s="25">
        <v>0.1155225</v>
      </c>
      <c r="L504" s="24"/>
      <c r="M504" s="25"/>
      <c r="N504" s="24"/>
      <c r="O504" s="25"/>
      <c r="P504" s="24"/>
      <c r="Q504" s="25"/>
      <c r="R504" s="32"/>
      <c r="S504" s="31" t="e">
        <v>#REF!</v>
      </c>
      <c r="T504" s="29" t="e">
        <f t="shared" ref="T504:AA507" si="658">S504</f>
        <v>#REF!</v>
      </c>
      <c r="U504" s="30" t="e">
        <f t="shared" si="658"/>
        <v>#REF!</v>
      </c>
      <c r="V504" s="29" t="e">
        <f t="shared" si="658"/>
        <v>#REF!</v>
      </c>
      <c r="W504" s="30" t="e">
        <f t="shared" si="658"/>
        <v>#REF!</v>
      </c>
      <c r="X504" s="29" t="e">
        <f t="shared" si="658"/>
        <v>#REF!</v>
      </c>
      <c r="Y504" s="30" t="e">
        <f t="shared" si="658"/>
        <v>#REF!</v>
      </c>
      <c r="Z504" s="29" t="e">
        <f t="shared" si="658"/>
        <v>#REF!</v>
      </c>
      <c r="AA504" s="28" t="e">
        <f t="shared" si="658"/>
        <v>#REF!</v>
      </c>
      <c r="AB504" s="26" t="e">
        <f t="shared" si="649"/>
        <v>#REF!</v>
      </c>
      <c r="AC504" s="25" t="e">
        <f t="shared" si="650"/>
        <v>#REF!</v>
      </c>
      <c r="AD504" s="24" t="e">
        <f t="shared" si="651"/>
        <v>#REF!</v>
      </c>
      <c r="AE504" s="25" t="e">
        <f t="shared" si="652"/>
        <v>#REF!</v>
      </c>
      <c r="AF504" s="24" t="e">
        <f t="shared" si="653"/>
        <v>#REF!</v>
      </c>
      <c r="AG504" s="25" t="e">
        <f t="shared" si="654"/>
        <v>#REF!</v>
      </c>
      <c r="AH504" s="24" t="e">
        <f t="shared" si="655"/>
        <v>#REF!</v>
      </c>
      <c r="AI504" s="25" t="e">
        <f t="shared" si="656"/>
        <v>#REF!</v>
      </c>
      <c r="AJ504" s="24" t="e">
        <f t="shared" si="657"/>
        <v>#REF!</v>
      </c>
      <c r="AK504" s="27" t="e">
        <f t="shared" si="624"/>
        <v>#REF!</v>
      </c>
      <c r="AL504" s="41">
        <v>0</v>
      </c>
      <c r="AM504" s="40">
        <v>0</v>
      </c>
      <c r="AN504" s="39">
        <v>0</v>
      </c>
      <c r="AO504" s="40">
        <v>0</v>
      </c>
      <c r="AP504" s="39">
        <v>0</v>
      </c>
      <c r="AQ504" s="40">
        <v>0</v>
      </c>
      <c r="AR504" s="39">
        <v>0</v>
      </c>
      <c r="AS504" s="40">
        <v>0</v>
      </c>
      <c r="AT504" s="39">
        <v>0</v>
      </c>
      <c r="AU504" s="38">
        <v>0</v>
      </c>
    </row>
    <row r="505" spans="1:47">
      <c r="A505" s="37" t="s">
        <v>1231</v>
      </c>
      <c r="B505" s="36" t="s">
        <v>1107</v>
      </c>
      <c r="C505" s="1" t="s">
        <v>665</v>
      </c>
      <c r="D505" s="36" t="s">
        <v>665</v>
      </c>
      <c r="E505" s="36" t="s">
        <v>1233</v>
      </c>
      <c r="F505" s="1" t="e">
        <f t="shared" ca="1" si="648"/>
        <v>#NAME?</v>
      </c>
      <c r="G505" s="35" t="s">
        <v>1109</v>
      </c>
      <c r="H505" s="34">
        <f>1-I505</f>
        <v>0.88410040186875793</v>
      </c>
      <c r="I505" s="33">
        <v>0.11589959813124201</v>
      </c>
      <c r="J505" s="26" t="e">
        <v>#REF!</v>
      </c>
      <c r="K505" s="25" t="e">
        <v>#REF!</v>
      </c>
      <c r="L505" s="24"/>
      <c r="M505" s="25"/>
      <c r="N505" s="24"/>
      <c r="O505" s="25"/>
      <c r="P505" s="24"/>
      <c r="Q505" s="25"/>
      <c r="R505" s="32"/>
      <c r="S505" s="31" t="e">
        <v>#REF!</v>
      </c>
      <c r="T505" s="29" t="e">
        <f t="shared" si="658"/>
        <v>#REF!</v>
      </c>
      <c r="U505" s="30" t="e">
        <f t="shared" si="658"/>
        <v>#REF!</v>
      </c>
      <c r="V505" s="29" t="e">
        <f t="shared" si="658"/>
        <v>#REF!</v>
      </c>
      <c r="W505" s="30" t="e">
        <f t="shared" si="658"/>
        <v>#REF!</v>
      </c>
      <c r="X505" s="29" t="e">
        <f t="shared" si="658"/>
        <v>#REF!</v>
      </c>
      <c r="Y505" s="30" t="e">
        <f t="shared" si="658"/>
        <v>#REF!</v>
      </c>
      <c r="Z505" s="29" t="e">
        <f t="shared" si="658"/>
        <v>#REF!</v>
      </c>
      <c r="AA505" s="28" t="e">
        <f t="shared" si="658"/>
        <v>#REF!</v>
      </c>
      <c r="AB505" s="26" t="e">
        <f t="shared" ref="AB505:AJ507" si="659">J505*31.536*$H505*S505</f>
        <v>#REF!</v>
      </c>
      <c r="AC505" s="25" t="e">
        <f t="shared" si="659"/>
        <v>#REF!</v>
      </c>
      <c r="AD505" s="24" t="e">
        <f t="shared" si="659"/>
        <v>#REF!</v>
      </c>
      <c r="AE505" s="25" t="e">
        <f t="shared" si="659"/>
        <v>#REF!</v>
      </c>
      <c r="AF505" s="24" t="e">
        <f t="shared" si="659"/>
        <v>#REF!</v>
      </c>
      <c r="AG505" s="25" t="e">
        <f t="shared" si="659"/>
        <v>#REF!</v>
      </c>
      <c r="AH505" s="24" t="e">
        <f t="shared" si="659"/>
        <v>#REF!</v>
      </c>
      <c r="AI505" s="25" t="e">
        <f t="shared" si="659"/>
        <v>#REF!</v>
      </c>
      <c r="AJ505" s="24" t="e">
        <f t="shared" si="659"/>
        <v>#REF!</v>
      </c>
      <c r="AK505" s="27" t="e">
        <f t="shared" si="624"/>
        <v>#REF!</v>
      </c>
      <c r="AL505" s="26" t="e">
        <f t="shared" ref="AL505:AT507" si="660">J505*31.536*$I505*S505</f>
        <v>#REF!</v>
      </c>
      <c r="AM505" s="25" t="e">
        <f t="shared" si="660"/>
        <v>#REF!</v>
      </c>
      <c r="AN505" s="24" t="e">
        <f t="shared" si="660"/>
        <v>#REF!</v>
      </c>
      <c r="AO505" s="25" t="e">
        <f t="shared" si="660"/>
        <v>#REF!</v>
      </c>
      <c r="AP505" s="24" t="e">
        <f t="shared" si="660"/>
        <v>#REF!</v>
      </c>
      <c r="AQ505" s="25" t="e">
        <f t="shared" si="660"/>
        <v>#REF!</v>
      </c>
      <c r="AR505" s="24" t="e">
        <f t="shared" si="660"/>
        <v>#REF!</v>
      </c>
      <c r="AS505" s="25" t="e">
        <f t="shared" si="660"/>
        <v>#REF!</v>
      </c>
      <c r="AT505" s="24" t="e">
        <f t="shared" si="660"/>
        <v>#REF!</v>
      </c>
      <c r="AU505" s="23" t="e">
        <f>SUM(AL505:AT505)</f>
        <v>#REF!</v>
      </c>
    </row>
    <row r="506" spans="1:47">
      <c r="A506" s="37" t="s">
        <v>1231</v>
      </c>
      <c r="B506" s="36" t="s">
        <v>1107</v>
      </c>
      <c r="C506" s="1" t="s">
        <v>665</v>
      </c>
      <c r="D506" s="36" t="s">
        <v>665</v>
      </c>
      <c r="E506" s="36" t="s">
        <v>1232</v>
      </c>
      <c r="F506" s="1" t="e">
        <f t="shared" ca="1" si="648"/>
        <v>#NAME?</v>
      </c>
      <c r="G506" s="35" t="s">
        <v>1109</v>
      </c>
      <c r="H506" s="34">
        <f>1-I506</f>
        <v>0.49132582613772979</v>
      </c>
      <c r="I506" s="33">
        <v>0.50867417386227021</v>
      </c>
      <c r="J506" s="26">
        <v>0</v>
      </c>
      <c r="K506" s="25">
        <v>0</v>
      </c>
      <c r="L506" s="24"/>
      <c r="M506" s="25"/>
      <c r="N506" s="24"/>
      <c r="O506" s="25"/>
      <c r="P506" s="24"/>
      <c r="Q506" s="25"/>
      <c r="R506" s="32"/>
      <c r="S506" s="31" t="e">
        <v>#REF!</v>
      </c>
      <c r="T506" s="29" t="e">
        <f t="shared" si="658"/>
        <v>#REF!</v>
      </c>
      <c r="U506" s="30" t="e">
        <f t="shared" si="658"/>
        <v>#REF!</v>
      </c>
      <c r="V506" s="29" t="e">
        <f t="shared" si="658"/>
        <v>#REF!</v>
      </c>
      <c r="W506" s="30" t="e">
        <f t="shared" si="658"/>
        <v>#REF!</v>
      </c>
      <c r="X506" s="29" t="e">
        <f t="shared" si="658"/>
        <v>#REF!</v>
      </c>
      <c r="Y506" s="30" t="e">
        <f t="shared" si="658"/>
        <v>#REF!</v>
      </c>
      <c r="Z506" s="29" t="e">
        <f t="shared" si="658"/>
        <v>#REF!</v>
      </c>
      <c r="AA506" s="28" t="e">
        <f t="shared" si="658"/>
        <v>#REF!</v>
      </c>
      <c r="AB506" s="26" t="e">
        <f t="shared" si="659"/>
        <v>#REF!</v>
      </c>
      <c r="AC506" s="25" t="e">
        <f t="shared" si="659"/>
        <v>#REF!</v>
      </c>
      <c r="AD506" s="24" t="e">
        <f t="shared" si="659"/>
        <v>#REF!</v>
      </c>
      <c r="AE506" s="25" t="e">
        <f t="shared" si="659"/>
        <v>#REF!</v>
      </c>
      <c r="AF506" s="24" t="e">
        <f t="shared" si="659"/>
        <v>#REF!</v>
      </c>
      <c r="AG506" s="25" t="e">
        <f t="shared" si="659"/>
        <v>#REF!</v>
      </c>
      <c r="AH506" s="24" t="e">
        <f t="shared" si="659"/>
        <v>#REF!</v>
      </c>
      <c r="AI506" s="25" t="e">
        <f t="shared" si="659"/>
        <v>#REF!</v>
      </c>
      <c r="AJ506" s="24" t="e">
        <f t="shared" si="659"/>
        <v>#REF!</v>
      </c>
      <c r="AK506" s="27" t="e">
        <f t="shared" si="624"/>
        <v>#REF!</v>
      </c>
      <c r="AL506" s="26" t="e">
        <f t="shared" si="660"/>
        <v>#REF!</v>
      </c>
      <c r="AM506" s="25" t="e">
        <f t="shared" si="660"/>
        <v>#REF!</v>
      </c>
      <c r="AN506" s="24" t="e">
        <f t="shared" si="660"/>
        <v>#REF!</v>
      </c>
      <c r="AO506" s="25" t="e">
        <f t="shared" si="660"/>
        <v>#REF!</v>
      </c>
      <c r="AP506" s="24" t="e">
        <f t="shared" si="660"/>
        <v>#REF!</v>
      </c>
      <c r="AQ506" s="25" t="e">
        <f t="shared" si="660"/>
        <v>#REF!</v>
      </c>
      <c r="AR506" s="24" t="e">
        <f t="shared" si="660"/>
        <v>#REF!</v>
      </c>
      <c r="AS506" s="25" t="e">
        <f t="shared" si="660"/>
        <v>#REF!</v>
      </c>
      <c r="AT506" s="24" t="e">
        <f t="shared" si="660"/>
        <v>#REF!</v>
      </c>
      <c r="AU506" s="23" t="e">
        <f>SUM(AL506:AT506)</f>
        <v>#REF!</v>
      </c>
    </row>
    <row r="507" spans="1:47">
      <c r="A507" s="22" t="s">
        <v>1231</v>
      </c>
      <c r="B507" s="20" t="s">
        <v>1107</v>
      </c>
      <c r="C507" s="21" t="s">
        <v>1106</v>
      </c>
      <c r="D507" s="20" t="s">
        <v>1106</v>
      </c>
      <c r="E507" s="20" t="s">
        <v>1230</v>
      </c>
      <c r="F507" s="21" t="e">
        <f t="shared" ca="1" si="648"/>
        <v>#NAME?</v>
      </c>
      <c r="G507" s="19" t="s">
        <v>1109</v>
      </c>
      <c r="H507" s="50">
        <f>1-I507</f>
        <v>0.88332652522877819</v>
      </c>
      <c r="I507" s="49">
        <v>0.11667347477122178</v>
      </c>
      <c r="J507" s="11" t="e">
        <v>#REF!</v>
      </c>
      <c r="K507" s="10" t="e">
        <v>#REF!</v>
      </c>
      <c r="L507" s="9"/>
      <c r="M507" s="10"/>
      <c r="N507" s="9"/>
      <c r="O507" s="10"/>
      <c r="P507" s="9"/>
      <c r="Q507" s="10"/>
      <c r="R507" s="16"/>
      <c r="S507" s="15" t="e">
        <v>#REF!</v>
      </c>
      <c r="T507" s="13" t="e">
        <f t="shared" si="658"/>
        <v>#REF!</v>
      </c>
      <c r="U507" s="14" t="e">
        <f t="shared" si="658"/>
        <v>#REF!</v>
      </c>
      <c r="V507" s="13" t="e">
        <f t="shared" si="658"/>
        <v>#REF!</v>
      </c>
      <c r="W507" s="14" t="e">
        <f t="shared" si="658"/>
        <v>#REF!</v>
      </c>
      <c r="X507" s="13" t="e">
        <f t="shared" si="658"/>
        <v>#REF!</v>
      </c>
      <c r="Y507" s="14" t="e">
        <f t="shared" si="658"/>
        <v>#REF!</v>
      </c>
      <c r="Z507" s="13" t="e">
        <f t="shared" si="658"/>
        <v>#REF!</v>
      </c>
      <c r="AA507" s="12" t="e">
        <f t="shared" si="658"/>
        <v>#REF!</v>
      </c>
      <c r="AB507" s="11" t="e">
        <f t="shared" si="659"/>
        <v>#REF!</v>
      </c>
      <c r="AC507" s="10" t="e">
        <f t="shared" si="659"/>
        <v>#REF!</v>
      </c>
      <c r="AD507" s="9" t="e">
        <f t="shared" si="659"/>
        <v>#REF!</v>
      </c>
      <c r="AE507" s="10" t="e">
        <f t="shared" si="659"/>
        <v>#REF!</v>
      </c>
      <c r="AF507" s="9" t="e">
        <f t="shared" si="659"/>
        <v>#REF!</v>
      </c>
      <c r="AG507" s="10" t="e">
        <f t="shared" si="659"/>
        <v>#REF!</v>
      </c>
      <c r="AH507" s="9" t="e">
        <f t="shared" si="659"/>
        <v>#REF!</v>
      </c>
      <c r="AI507" s="10" t="e">
        <f t="shared" si="659"/>
        <v>#REF!</v>
      </c>
      <c r="AJ507" s="9" t="e">
        <f t="shared" si="659"/>
        <v>#REF!</v>
      </c>
      <c r="AK507" s="8" t="e">
        <f t="shared" si="624"/>
        <v>#REF!</v>
      </c>
      <c r="AL507" s="11" t="e">
        <f t="shared" si="660"/>
        <v>#REF!</v>
      </c>
      <c r="AM507" s="10" t="e">
        <f t="shared" si="660"/>
        <v>#REF!</v>
      </c>
      <c r="AN507" s="9" t="e">
        <f t="shared" si="660"/>
        <v>#REF!</v>
      </c>
      <c r="AO507" s="10" t="e">
        <f t="shared" si="660"/>
        <v>#REF!</v>
      </c>
      <c r="AP507" s="9" t="e">
        <f t="shared" si="660"/>
        <v>#REF!</v>
      </c>
      <c r="AQ507" s="10" t="e">
        <f t="shared" si="660"/>
        <v>#REF!</v>
      </c>
      <c r="AR507" s="9" t="e">
        <f t="shared" si="660"/>
        <v>#REF!</v>
      </c>
      <c r="AS507" s="10" t="e">
        <f t="shared" si="660"/>
        <v>#REF!</v>
      </c>
      <c r="AT507" s="9" t="e">
        <f t="shared" si="660"/>
        <v>#REF!</v>
      </c>
      <c r="AU507" s="48" t="e">
        <f>SUM(AL507:AT507)</f>
        <v>#REF!</v>
      </c>
    </row>
    <row r="508" spans="1:47">
      <c r="A508" s="37" t="s">
        <v>1201</v>
      </c>
      <c r="B508" s="36" t="s">
        <v>1150</v>
      </c>
      <c r="C508" s="1" t="s">
        <v>1126</v>
      </c>
      <c r="D508" s="36" t="s">
        <v>1126</v>
      </c>
      <c r="E508" s="36" t="s">
        <v>1229</v>
      </c>
      <c r="F508" s="1" t="e">
        <f t="shared" ca="1" si="648"/>
        <v>#NAME?</v>
      </c>
      <c r="G508" s="35" t="s">
        <v>1121</v>
      </c>
      <c r="H508" s="43">
        <v>1</v>
      </c>
      <c r="I508" s="42">
        <v>0</v>
      </c>
      <c r="J508" s="26">
        <v>0.40852417321535817</v>
      </c>
      <c r="K508" s="25">
        <v>0.234209051593194</v>
      </c>
      <c r="L508" s="24"/>
      <c r="M508" s="25"/>
      <c r="N508" s="24"/>
      <c r="O508" s="25"/>
      <c r="P508" s="24"/>
      <c r="Q508" s="25"/>
      <c r="R508" s="32"/>
      <c r="S508" s="47">
        <v>1</v>
      </c>
      <c r="T508" s="45">
        <v>1</v>
      </c>
      <c r="U508" s="46">
        <v>1</v>
      </c>
      <c r="V508" s="45">
        <v>1</v>
      </c>
      <c r="W508" s="46">
        <v>1</v>
      </c>
      <c r="X508" s="45">
        <v>1</v>
      </c>
      <c r="Y508" s="46">
        <v>1</v>
      </c>
      <c r="Z508" s="45">
        <v>1</v>
      </c>
      <c r="AA508" s="44">
        <v>1</v>
      </c>
      <c r="AB508" s="26">
        <f t="shared" ref="AB508:AB528" si="661">J508*$H508*S508</f>
        <v>0.40852417321535817</v>
      </c>
      <c r="AC508" s="25">
        <f t="shared" ref="AC508:AC528" si="662">K508*$H508*T508</f>
        <v>0.234209051593194</v>
      </c>
      <c r="AD508" s="24">
        <f t="shared" ref="AD508:AD528" si="663">L508*$H508*U508</f>
        <v>0</v>
      </c>
      <c r="AE508" s="25">
        <f t="shared" ref="AE508:AE528" si="664">M508*$H508*V508</f>
        <v>0</v>
      </c>
      <c r="AF508" s="24">
        <f t="shared" ref="AF508:AF528" si="665">N508*$H508*W508</f>
        <v>0</v>
      </c>
      <c r="AG508" s="25">
        <f t="shared" ref="AG508:AG528" si="666">O508*$H508*X508</f>
        <v>0</v>
      </c>
      <c r="AH508" s="24">
        <f t="shared" ref="AH508:AH528" si="667">P508*$H508*Y508</f>
        <v>0</v>
      </c>
      <c r="AI508" s="25">
        <f t="shared" ref="AI508:AI528" si="668">Q508*$H508*Z508</f>
        <v>0</v>
      </c>
      <c r="AJ508" s="24">
        <f t="shared" ref="AJ508:AJ528" si="669">R508*$H508*AA508</f>
        <v>0</v>
      </c>
      <c r="AK508" s="27">
        <f t="shared" si="624"/>
        <v>0.64273322480855222</v>
      </c>
      <c r="AL508" s="41">
        <v>0</v>
      </c>
      <c r="AM508" s="40">
        <v>0</v>
      </c>
      <c r="AN508" s="39">
        <v>0</v>
      </c>
      <c r="AO508" s="40">
        <v>0</v>
      </c>
      <c r="AP508" s="39">
        <v>0</v>
      </c>
      <c r="AQ508" s="40">
        <v>0</v>
      </c>
      <c r="AR508" s="39">
        <v>0</v>
      </c>
      <c r="AS508" s="40">
        <v>0</v>
      </c>
      <c r="AT508" s="39">
        <v>0</v>
      </c>
      <c r="AU508" s="38">
        <v>0</v>
      </c>
    </row>
    <row r="509" spans="1:47">
      <c r="A509" s="37" t="s">
        <v>1201</v>
      </c>
      <c r="B509" s="36" t="s">
        <v>1145</v>
      </c>
      <c r="C509" s="1" t="s">
        <v>1120</v>
      </c>
      <c r="D509" s="36" t="s">
        <v>1120</v>
      </c>
      <c r="E509" s="36" t="s">
        <v>1228</v>
      </c>
      <c r="F509" s="1" t="e">
        <f t="shared" ca="1" si="648"/>
        <v>#NAME?</v>
      </c>
      <c r="G509" s="35" t="s">
        <v>1121</v>
      </c>
      <c r="H509" s="43">
        <v>1</v>
      </c>
      <c r="I509" s="42">
        <v>0</v>
      </c>
      <c r="J509" s="26">
        <v>0.57958452749999201</v>
      </c>
      <c r="K509" s="25">
        <v>0.19528669258797207</v>
      </c>
      <c r="L509" s="24"/>
      <c r="M509" s="25"/>
      <c r="N509" s="24"/>
      <c r="O509" s="25"/>
      <c r="P509" s="24"/>
      <c r="Q509" s="25"/>
      <c r="R509" s="32"/>
      <c r="S509" s="47">
        <v>1</v>
      </c>
      <c r="T509" s="45">
        <v>1</v>
      </c>
      <c r="U509" s="46">
        <v>1</v>
      </c>
      <c r="V509" s="45">
        <v>1</v>
      </c>
      <c r="W509" s="46">
        <v>1</v>
      </c>
      <c r="X509" s="45">
        <v>1</v>
      </c>
      <c r="Y509" s="46">
        <v>1</v>
      </c>
      <c r="Z509" s="45">
        <v>1</v>
      </c>
      <c r="AA509" s="44">
        <v>1</v>
      </c>
      <c r="AB509" s="26">
        <f t="shared" si="661"/>
        <v>0.57958452749999201</v>
      </c>
      <c r="AC509" s="25">
        <f t="shared" si="662"/>
        <v>0.19528669258797207</v>
      </c>
      <c r="AD509" s="24">
        <f t="shared" si="663"/>
        <v>0</v>
      </c>
      <c r="AE509" s="25">
        <f t="shared" si="664"/>
        <v>0</v>
      </c>
      <c r="AF509" s="24">
        <f t="shared" si="665"/>
        <v>0</v>
      </c>
      <c r="AG509" s="25">
        <f t="shared" si="666"/>
        <v>0</v>
      </c>
      <c r="AH509" s="24">
        <f t="shared" si="667"/>
        <v>0</v>
      </c>
      <c r="AI509" s="25">
        <f t="shared" si="668"/>
        <v>0</v>
      </c>
      <c r="AJ509" s="24">
        <f t="shared" si="669"/>
        <v>0</v>
      </c>
      <c r="AK509" s="27">
        <f t="shared" si="624"/>
        <v>0.77487122008796405</v>
      </c>
      <c r="AL509" s="41">
        <v>0</v>
      </c>
      <c r="AM509" s="40">
        <v>0</v>
      </c>
      <c r="AN509" s="39">
        <v>0</v>
      </c>
      <c r="AO509" s="40">
        <v>0</v>
      </c>
      <c r="AP509" s="39">
        <v>0</v>
      </c>
      <c r="AQ509" s="40">
        <v>0</v>
      </c>
      <c r="AR509" s="39">
        <v>0</v>
      </c>
      <c r="AS509" s="40">
        <v>0</v>
      </c>
      <c r="AT509" s="39">
        <v>0</v>
      </c>
      <c r="AU509" s="38">
        <v>0</v>
      </c>
    </row>
    <row r="510" spans="1:47">
      <c r="A510" s="37" t="s">
        <v>1201</v>
      </c>
      <c r="B510" s="36" t="s">
        <v>1145</v>
      </c>
      <c r="C510" s="1" t="s">
        <v>1126</v>
      </c>
      <c r="D510" s="36" t="s">
        <v>1126</v>
      </c>
      <c r="E510" s="36" t="s">
        <v>1227</v>
      </c>
      <c r="F510" s="1" t="e">
        <f t="shared" ca="1" si="648"/>
        <v>#NAME?</v>
      </c>
      <c r="G510" s="35" t="s">
        <v>1121</v>
      </c>
      <c r="H510" s="43">
        <v>1</v>
      </c>
      <c r="I510" s="42">
        <v>0</v>
      </c>
      <c r="J510" s="26">
        <v>1.6340966928614327</v>
      </c>
      <c r="K510" s="25">
        <v>0.93683620637277598</v>
      </c>
      <c r="L510" s="24"/>
      <c r="M510" s="25"/>
      <c r="N510" s="24"/>
      <c r="O510" s="25"/>
      <c r="P510" s="24"/>
      <c r="Q510" s="25"/>
      <c r="R510" s="32"/>
      <c r="S510" s="47">
        <v>1</v>
      </c>
      <c r="T510" s="45">
        <v>1</v>
      </c>
      <c r="U510" s="46">
        <v>1</v>
      </c>
      <c r="V510" s="45">
        <v>1</v>
      </c>
      <c r="W510" s="46">
        <v>1</v>
      </c>
      <c r="X510" s="45">
        <v>1</v>
      </c>
      <c r="Y510" s="46">
        <v>1</v>
      </c>
      <c r="Z510" s="45">
        <v>1</v>
      </c>
      <c r="AA510" s="44">
        <v>1</v>
      </c>
      <c r="AB510" s="26">
        <f t="shared" si="661"/>
        <v>1.6340966928614327</v>
      </c>
      <c r="AC510" s="25">
        <f t="shared" si="662"/>
        <v>0.93683620637277598</v>
      </c>
      <c r="AD510" s="24">
        <f t="shared" si="663"/>
        <v>0</v>
      </c>
      <c r="AE510" s="25">
        <f t="shared" si="664"/>
        <v>0</v>
      </c>
      <c r="AF510" s="24">
        <f t="shared" si="665"/>
        <v>0</v>
      </c>
      <c r="AG510" s="25">
        <f t="shared" si="666"/>
        <v>0</v>
      </c>
      <c r="AH510" s="24">
        <f t="shared" si="667"/>
        <v>0</v>
      </c>
      <c r="AI510" s="25">
        <f t="shared" si="668"/>
        <v>0</v>
      </c>
      <c r="AJ510" s="24">
        <f t="shared" si="669"/>
        <v>0</v>
      </c>
      <c r="AK510" s="27">
        <f t="shared" si="624"/>
        <v>2.5709328992342089</v>
      </c>
      <c r="AL510" s="41">
        <v>0</v>
      </c>
      <c r="AM510" s="40">
        <v>0</v>
      </c>
      <c r="AN510" s="39">
        <v>0</v>
      </c>
      <c r="AO510" s="40">
        <v>0</v>
      </c>
      <c r="AP510" s="39">
        <v>0</v>
      </c>
      <c r="AQ510" s="40">
        <v>0</v>
      </c>
      <c r="AR510" s="39">
        <v>0</v>
      </c>
      <c r="AS510" s="40">
        <v>0</v>
      </c>
      <c r="AT510" s="39">
        <v>0</v>
      </c>
      <c r="AU510" s="38">
        <v>0</v>
      </c>
    </row>
    <row r="511" spans="1:47">
      <c r="A511" s="37" t="s">
        <v>1201</v>
      </c>
      <c r="B511" s="36" t="s">
        <v>1145</v>
      </c>
      <c r="C511" s="1" t="s">
        <v>665</v>
      </c>
      <c r="D511" s="36" t="s">
        <v>665</v>
      </c>
      <c r="E511" s="36" t="s">
        <v>1226</v>
      </c>
      <c r="F511" s="1" t="e">
        <f t="shared" ca="1" si="648"/>
        <v>#NAME?</v>
      </c>
      <c r="G511" s="35" t="s">
        <v>1121</v>
      </c>
      <c r="H511" s="43">
        <v>1</v>
      </c>
      <c r="I511" s="42">
        <v>0</v>
      </c>
      <c r="J511" s="26">
        <v>3.5555278514530047</v>
      </c>
      <c r="K511" s="25">
        <v>0.67052722673844156</v>
      </c>
      <c r="L511" s="24"/>
      <c r="M511" s="25"/>
      <c r="N511" s="24"/>
      <c r="O511" s="25"/>
      <c r="P511" s="24"/>
      <c r="Q511" s="25"/>
      <c r="R511" s="32"/>
      <c r="S511" s="47">
        <v>1</v>
      </c>
      <c r="T511" s="45">
        <v>1</v>
      </c>
      <c r="U511" s="46">
        <v>1</v>
      </c>
      <c r="V511" s="45">
        <v>1</v>
      </c>
      <c r="W511" s="46">
        <v>1</v>
      </c>
      <c r="X511" s="45">
        <v>1</v>
      </c>
      <c r="Y511" s="46">
        <v>1</v>
      </c>
      <c r="Z511" s="45">
        <v>1</v>
      </c>
      <c r="AA511" s="44">
        <v>1</v>
      </c>
      <c r="AB511" s="26">
        <f t="shared" si="661"/>
        <v>3.5555278514530047</v>
      </c>
      <c r="AC511" s="25">
        <f t="shared" si="662"/>
        <v>0.67052722673844156</v>
      </c>
      <c r="AD511" s="24">
        <f t="shared" si="663"/>
        <v>0</v>
      </c>
      <c r="AE511" s="25">
        <f t="shared" si="664"/>
        <v>0</v>
      </c>
      <c r="AF511" s="24">
        <f t="shared" si="665"/>
        <v>0</v>
      </c>
      <c r="AG511" s="25">
        <f t="shared" si="666"/>
        <v>0</v>
      </c>
      <c r="AH511" s="24">
        <f t="shared" si="667"/>
        <v>0</v>
      </c>
      <c r="AI511" s="25">
        <f t="shared" si="668"/>
        <v>0</v>
      </c>
      <c r="AJ511" s="24">
        <f t="shared" si="669"/>
        <v>0</v>
      </c>
      <c r="AK511" s="27">
        <f t="shared" si="624"/>
        <v>4.2260550781914459</v>
      </c>
      <c r="AL511" s="41">
        <v>0</v>
      </c>
      <c r="AM511" s="40">
        <v>0</v>
      </c>
      <c r="AN511" s="39">
        <v>0</v>
      </c>
      <c r="AO511" s="40">
        <v>0</v>
      </c>
      <c r="AP511" s="39">
        <v>0</v>
      </c>
      <c r="AQ511" s="40">
        <v>0</v>
      </c>
      <c r="AR511" s="39">
        <v>0</v>
      </c>
      <c r="AS511" s="40">
        <v>0</v>
      </c>
      <c r="AT511" s="39">
        <v>0</v>
      </c>
      <c r="AU511" s="38">
        <v>0</v>
      </c>
    </row>
    <row r="512" spans="1:47">
      <c r="A512" s="37" t="s">
        <v>1201</v>
      </c>
      <c r="B512" s="36" t="s">
        <v>1145</v>
      </c>
      <c r="C512" s="1" t="s">
        <v>1106</v>
      </c>
      <c r="D512" s="36" t="s">
        <v>1106</v>
      </c>
      <c r="E512" s="36" t="s">
        <v>1225</v>
      </c>
      <c r="F512" s="1" t="e">
        <f t="shared" ca="1" si="648"/>
        <v>#NAME?</v>
      </c>
      <c r="G512" s="35" t="s">
        <v>1121</v>
      </c>
      <c r="H512" s="43">
        <v>1</v>
      </c>
      <c r="I512" s="42">
        <v>0</v>
      </c>
      <c r="J512" s="26">
        <v>0.62245966405390407</v>
      </c>
      <c r="K512" s="25">
        <v>6.9911050240788683E-2</v>
      </c>
      <c r="L512" s="24"/>
      <c r="M512" s="25"/>
      <c r="N512" s="24"/>
      <c r="O512" s="25"/>
      <c r="P512" s="24"/>
      <c r="Q512" s="25"/>
      <c r="R512" s="32"/>
      <c r="S512" s="47">
        <v>1</v>
      </c>
      <c r="T512" s="45">
        <v>1</v>
      </c>
      <c r="U512" s="46">
        <v>1</v>
      </c>
      <c r="V512" s="45">
        <v>1</v>
      </c>
      <c r="W512" s="46">
        <v>1</v>
      </c>
      <c r="X512" s="45">
        <v>1</v>
      </c>
      <c r="Y512" s="46">
        <v>1</v>
      </c>
      <c r="Z512" s="45">
        <v>1</v>
      </c>
      <c r="AA512" s="44">
        <v>1</v>
      </c>
      <c r="AB512" s="26">
        <f t="shared" si="661"/>
        <v>0.62245966405390407</v>
      </c>
      <c r="AC512" s="25">
        <f t="shared" si="662"/>
        <v>6.9911050240788683E-2</v>
      </c>
      <c r="AD512" s="24">
        <f t="shared" si="663"/>
        <v>0</v>
      </c>
      <c r="AE512" s="25">
        <f t="shared" si="664"/>
        <v>0</v>
      </c>
      <c r="AF512" s="24">
        <f t="shared" si="665"/>
        <v>0</v>
      </c>
      <c r="AG512" s="25">
        <f t="shared" si="666"/>
        <v>0</v>
      </c>
      <c r="AH512" s="24">
        <f t="shared" si="667"/>
        <v>0</v>
      </c>
      <c r="AI512" s="25">
        <f t="shared" si="668"/>
        <v>0</v>
      </c>
      <c r="AJ512" s="24">
        <f t="shared" si="669"/>
        <v>0</v>
      </c>
      <c r="AK512" s="27">
        <f t="shared" si="624"/>
        <v>0.69237071429469277</v>
      </c>
      <c r="AL512" s="41">
        <v>0</v>
      </c>
      <c r="AM512" s="40">
        <v>0</v>
      </c>
      <c r="AN512" s="39">
        <v>0</v>
      </c>
      <c r="AO512" s="40">
        <v>0</v>
      </c>
      <c r="AP512" s="39">
        <v>0</v>
      </c>
      <c r="AQ512" s="40">
        <v>0</v>
      </c>
      <c r="AR512" s="39">
        <v>0</v>
      </c>
      <c r="AS512" s="40">
        <v>0</v>
      </c>
      <c r="AT512" s="39">
        <v>0</v>
      </c>
      <c r="AU512" s="38">
        <v>0</v>
      </c>
    </row>
    <row r="513" spans="1:47">
      <c r="A513" s="37" t="s">
        <v>1201</v>
      </c>
      <c r="B513" s="36" t="s">
        <v>1139</v>
      </c>
      <c r="C513" s="1" t="s">
        <v>1143</v>
      </c>
      <c r="D513" s="36" t="s">
        <v>1143</v>
      </c>
      <c r="E513" s="36" t="s">
        <v>1224</v>
      </c>
      <c r="F513" s="1" t="e">
        <f t="shared" ca="1" si="648"/>
        <v>#NAME?</v>
      </c>
      <c r="G513" s="35" t="s">
        <v>1121</v>
      </c>
      <c r="H513" s="43">
        <v>1</v>
      </c>
      <c r="I513" s="42">
        <v>0</v>
      </c>
      <c r="J513" s="26">
        <v>62.870248398352565</v>
      </c>
      <c r="K513" s="25">
        <v>15.110024816771393</v>
      </c>
      <c r="L513" s="24"/>
      <c r="M513" s="25"/>
      <c r="N513" s="24"/>
      <c r="O513" s="25"/>
      <c r="P513" s="24"/>
      <c r="Q513" s="25"/>
      <c r="R513" s="32"/>
      <c r="S513" s="47">
        <v>1</v>
      </c>
      <c r="T513" s="45">
        <v>1</v>
      </c>
      <c r="U513" s="46">
        <v>1</v>
      </c>
      <c r="V513" s="45">
        <v>1</v>
      </c>
      <c r="W513" s="46">
        <v>1</v>
      </c>
      <c r="X513" s="45">
        <v>1</v>
      </c>
      <c r="Y513" s="46">
        <v>1</v>
      </c>
      <c r="Z513" s="45">
        <v>1</v>
      </c>
      <c r="AA513" s="44">
        <v>1</v>
      </c>
      <c r="AB513" s="26">
        <f t="shared" si="661"/>
        <v>62.870248398352565</v>
      </c>
      <c r="AC513" s="25">
        <f t="shared" si="662"/>
        <v>15.110024816771393</v>
      </c>
      <c r="AD513" s="24">
        <f t="shared" si="663"/>
        <v>0</v>
      </c>
      <c r="AE513" s="25">
        <f t="shared" si="664"/>
        <v>0</v>
      </c>
      <c r="AF513" s="24">
        <f t="shared" si="665"/>
        <v>0</v>
      </c>
      <c r="AG513" s="25">
        <f t="shared" si="666"/>
        <v>0</v>
      </c>
      <c r="AH513" s="24">
        <f t="shared" si="667"/>
        <v>0</v>
      </c>
      <c r="AI513" s="25">
        <f t="shared" si="668"/>
        <v>0</v>
      </c>
      <c r="AJ513" s="24">
        <f t="shared" si="669"/>
        <v>0</v>
      </c>
      <c r="AK513" s="27">
        <f t="shared" si="624"/>
        <v>77.980273215123958</v>
      </c>
      <c r="AL513" s="41">
        <v>0</v>
      </c>
      <c r="AM513" s="40">
        <v>0</v>
      </c>
      <c r="AN513" s="39">
        <v>0</v>
      </c>
      <c r="AO513" s="40">
        <v>0</v>
      </c>
      <c r="AP513" s="39">
        <v>0</v>
      </c>
      <c r="AQ513" s="40">
        <v>0</v>
      </c>
      <c r="AR513" s="39">
        <v>0</v>
      </c>
      <c r="AS513" s="40">
        <v>0</v>
      </c>
      <c r="AT513" s="39">
        <v>0</v>
      </c>
      <c r="AU513" s="38">
        <v>0</v>
      </c>
    </row>
    <row r="514" spans="1:47">
      <c r="A514" s="37" t="s">
        <v>1201</v>
      </c>
      <c r="B514" s="36" t="s">
        <v>1139</v>
      </c>
      <c r="C514" s="1" t="s">
        <v>665</v>
      </c>
      <c r="D514" s="36" t="s">
        <v>665</v>
      </c>
      <c r="E514" s="36" t="s">
        <v>1223</v>
      </c>
      <c r="F514" s="1" t="e">
        <f t="shared" ca="1" si="648"/>
        <v>#NAME?</v>
      </c>
      <c r="G514" s="35" t="s">
        <v>1121</v>
      </c>
      <c r="H514" s="43">
        <v>1</v>
      </c>
      <c r="I514" s="42">
        <v>0</v>
      </c>
      <c r="J514" s="26">
        <v>3.1243537649894875</v>
      </c>
      <c r="K514" s="25">
        <v>1.5790916189690298</v>
      </c>
      <c r="L514" s="24"/>
      <c r="M514" s="25"/>
      <c r="N514" s="24"/>
      <c r="O514" s="25"/>
      <c r="P514" s="24"/>
      <c r="Q514" s="25"/>
      <c r="R514" s="32"/>
      <c r="S514" s="47">
        <v>1</v>
      </c>
      <c r="T514" s="45">
        <v>1</v>
      </c>
      <c r="U514" s="46">
        <v>1</v>
      </c>
      <c r="V514" s="45">
        <v>1</v>
      </c>
      <c r="W514" s="46">
        <v>1</v>
      </c>
      <c r="X514" s="45">
        <v>1</v>
      </c>
      <c r="Y514" s="46">
        <v>1</v>
      </c>
      <c r="Z514" s="45">
        <v>1</v>
      </c>
      <c r="AA514" s="44">
        <v>1</v>
      </c>
      <c r="AB514" s="26">
        <f t="shared" si="661"/>
        <v>3.1243537649894875</v>
      </c>
      <c r="AC514" s="25">
        <f t="shared" si="662"/>
        <v>1.5790916189690298</v>
      </c>
      <c r="AD514" s="24">
        <f t="shared" si="663"/>
        <v>0</v>
      </c>
      <c r="AE514" s="25">
        <f t="shared" si="664"/>
        <v>0</v>
      </c>
      <c r="AF514" s="24">
        <f t="shared" si="665"/>
        <v>0</v>
      </c>
      <c r="AG514" s="25">
        <f t="shared" si="666"/>
        <v>0</v>
      </c>
      <c r="AH514" s="24">
        <f t="shared" si="667"/>
        <v>0</v>
      </c>
      <c r="AI514" s="25">
        <f t="shared" si="668"/>
        <v>0</v>
      </c>
      <c r="AJ514" s="24">
        <f t="shared" si="669"/>
        <v>0</v>
      </c>
      <c r="AK514" s="27">
        <f t="shared" si="624"/>
        <v>4.7034453839585169</v>
      </c>
      <c r="AL514" s="41">
        <v>0</v>
      </c>
      <c r="AM514" s="40">
        <v>0</v>
      </c>
      <c r="AN514" s="39">
        <v>0</v>
      </c>
      <c r="AO514" s="40">
        <v>0</v>
      </c>
      <c r="AP514" s="39">
        <v>0</v>
      </c>
      <c r="AQ514" s="40">
        <v>0</v>
      </c>
      <c r="AR514" s="39">
        <v>0</v>
      </c>
      <c r="AS514" s="40">
        <v>0</v>
      </c>
      <c r="AT514" s="39">
        <v>0</v>
      </c>
      <c r="AU514" s="38">
        <v>0</v>
      </c>
    </row>
    <row r="515" spans="1:47">
      <c r="A515" s="37" t="s">
        <v>1201</v>
      </c>
      <c r="B515" s="36" t="s">
        <v>1139</v>
      </c>
      <c r="C515" s="1" t="s">
        <v>468</v>
      </c>
      <c r="D515" s="36" t="s">
        <v>468</v>
      </c>
      <c r="E515" s="36" t="s">
        <v>1222</v>
      </c>
      <c r="F515" s="1" t="e">
        <f t="shared" ca="1" si="648"/>
        <v>#NAME?</v>
      </c>
      <c r="G515" s="35" t="s">
        <v>1121</v>
      </c>
      <c r="H515" s="43">
        <v>1</v>
      </c>
      <c r="I515" s="42">
        <v>0</v>
      </c>
      <c r="J515" s="26">
        <v>1.6573995948633853</v>
      </c>
      <c r="K515" s="25">
        <v>0</v>
      </c>
      <c r="L515" s="24"/>
      <c r="M515" s="25"/>
      <c r="N515" s="24"/>
      <c r="O515" s="25"/>
      <c r="P515" s="24"/>
      <c r="Q515" s="25"/>
      <c r="R515" s="32"/>
      <c r="S515" s="47">
        <v>1</v>
      </c>
      <c r="T515" s="45">
        <v>1</v>
      </c>
      <c r="U515" s="46">
        <v>1</v>
      </c>
      <c r="V515" s="45">
        <v>1</v>
      </c>
      <c r="W515" s="46">
        <v>1</v>
      </c>
      <c r="X515" s="45">
        <v>1</v>
      </c>
      <c r="Y515" s="46">
        <v>1</v>
      </c>
      <c r="Z515" s="45">
        <v>1</v>
      </c>
      <c r="AA515" s="44">
        <v>1</v>
      </c>
      <c r="AB515" s="26">
        <f t="shared" si="661"/>
        <v>1.6573995948633853</v>
      </c>
      <c r="AC515" s="25">
        <f t="shared" si="662"/>
        <v>0</v>
      </c>
      <c r="AD515" s="24">
        <f t="shared" si="663"/>
        <v>0</v>
      </c>
      <c r="AE515" s="25">
        <f t="shared" si="664"/>
        <v>0</v>
      </c>
      <c r="AF515" s="24">
        <f t="shared" si="665"/>
        <v>0</v>
      </c>
      <c r="AG515" s="25">
        <f t="shared" si="666"/>
        <v>0</v>
      </c>
      <c r="AH515" s="24">
        <f t="shared" si="667"/>
        <v>0</v>
      </c>
      <c r="AI515" s="25">
        <f t="shared" si="668"/>
        <v>0</v>
      </c>
      <c r="AJ515" s="24">
        <f t="shared" si="669"/>
        <v>0</v>
      </c>
      <c r="AK515" s="27">
        <f t="shared" si="624"/>
        <v>1.6573995948633853</v>
      </c>
      <c r="AL515" s="41">
        <v>0</v>
      </c>
      <c r="AM515" s="40">
        <v>0</v>
      </c>
      <c r="AN515" s="39">
        <v>0</v>
      </c>
      <c r="AO515" s="40">
        <v>0</v>
      </c>
      <c r="AP515" s="39">
        <v>0</v>
      </c>
      <c r="AQ515" s="40">
        <v>0</v>
      </c>
      <c r="AR515" s="39">
        <v>0</v>
      </c>
      <c r="AS515" s="40">
        <v>0</v>
      </c>
      <c r="AT515" s="39">
        <v>0</v>
      </c>
      <c r="AU515" s="38">
        <v>0</v>
      </c>
    </row>
    <row r="516" spans="1:47">
      <c r="A516" s="37" t="s">
        <v>1201</v>
      </c>
      <c r="B516" s="36" t="s">
        <v>1139</v>
      </c>
      <c r="C516" s="1" t="s">
        <v>1132</v>
      </c>
      <c r="D516" s="36" t="s">
        <v>1131</v>
      </c>
      <c r="E516" s="36" t="s">
        <v>1221</v>
      </c>
      <c r="F516" s="1" t="e">
        <f t="shared" ca="1" si="648"/>
        <v>#NAME?</v>
      </c>
      <c r="G516" s="35" t="s">
        <v>1121</v>
      </c>
      <c r="H516" s="43">
        <v>1</v>
      </c>
      <c r="I516" s="42">
        <v>0</v>
      </c>
      <c r="J516" s="26">
        <v>0.15360318158909533</v>
      </c>
      <c r="K516" s="25">
        <v>0</v>
      </c>
      <c r="L516" s="24"/>
      <c r="M516" s="25"/>
      <c r="N516" s="24"/>
      <c r="O516" s="25"/>
      <c r="P516" s="24"/>
      <c r="Q516" s="25"/>
      <c r="R516" s="32"/>
      <c r="S516" s="47">
        <v>1</v>
      </c>
      <c r="T516" s="45">
        <v>1</v>
      </c>
      <c r="U516" s="46">
        <v>1</v>
      </c>
      <c r="V516" s="45">
        <v>1</v>
      </c>
      <c r="W516" s="46">
        <v>1</v>
      </c>
      <c r="X516" s="45">
        <v>1</v>
      </c>
      <c r="Y516" s="46">
        <v>1</v>
      </c>
      <c r="Z516" s="45">
        <v>1</v>
      </c>
      <c r="AA516" s="44">
        <v>1</v>
      </c>
      <c r="AB516" s="26">
        <f t="shared" si="661"/>
        <v>0.15360318158909533</v>
      </c>
      <c r="AC516" s="25">
        <f t="shared" si="662"/>
        <v>0</v>
      </c>
      <c r="AD516" s="24">
        <f t="shared" si="663"/>
        <v>0</v>
      </c>
      <c r="AE516" s="25">
        <f t="shared" si="664"/>
        <v>0</v>
      </c>
      <c r="AF516" s="24">
        <f t="shared" si="665"/>
        <v>0</v>
      </c>
      <c r="AG516" s="25">
        <f t="shared" si="666"/>
        <v>0</v>
      </c>
      <c r="AH516" s="24">
        <f t="shared" si="667"/>
        <v>0</v>
      </c>
      <c r="AI516" s="25">
        <f t="shared" si="668"/>
        <v>0</v>
      </c>
      <c r="AJ516" s="24">
        <f t="shared" si="669"/>
        <v>0</v>
      </c>
      <c r="AK516" s="27">
        <f t="shared" si="624"/>
        <v>0.15360318158909533</v>
      </c>
      <c r="AL516" s="41">
        <v>0</v>
      </c>
      <c r="AM516" s="40">
        <v>0</v>
      </c>
      <c r="AN516" s="39">
        <v>0</v>
      </c>
      <c r="AO516" s="40">
        <v>0</v>
      </c>
      <c r="AP516" s="39">
        <v>0</v>
      </c>
      <c r="AQ516" s="40">
        <v>0</v>
      </c>
      <c r="AR516" s="39">
        <v>0</v>
      </c>
      <c r="AS516" s="40">
        <v>0</v>
      </c>
      <c r="AT516" s="39">
        <v>0</v>
      </c>
      <c r="AU516" s="38">
        <v>0</v>
      </c>
    </row>
    <row r="517" spans="1:47">
      <c r="A517" s="37" t="s">
        <v>1201</v>
      </c>
      <c r="B517" s="36" t="s">
        <v>1136</v>
      </c>
      <c r="C517" s="1" t="s">
        <v>1126</v>
      </c>
      <c r="D517" s="36" t="s">
        <v>1126</v>
      </c>
      <c r="E517" s="36" t="s">
        <v>1220</v>
      </c>
      <c r="F517" s="1" t="e">
        <f t="shared" ca="1" si="648"/>
        <v>#NAME?</v>
      </c>
      <c r="G517" s="35" t="s">
        <v>1121</v>
      </c>
      <c r="H517" s="43">
        <v>1</v>
      </c>
      <c r="I517" s="42">
        <v>0</v>
      </c>
      <c r="J517" s="26">
        <v>6.5976653974280346</v>
      </c>
      <c r="K517" s="25">
        <v>3.7824761832300831</v>
      </c>
      <c r="L517" s="24"/>
      <c r="M517" s="25"/>
      <c r="N517" s="24"/>
      <c r="O517" s="25"/>
      <c r="P517" s="24"/>
      <c r="Q517" s="25"/>
      <c r="R517" s="32"/>
      <c r="S517" s="47">
        <v>1</v>
      </c>
      <c r="T517" s="45">
        <v>1</v>
      </c>
      <c r="U517" s="46">
        <v>1</v>
      </c>
      <c r="V517" s="45">
        <v>1</v>
      </c>
      <c r="W517" s="46">
        <v>1</v>
      </c>
      <c r="X517" s="45">
        <v>1</v>
      </c>
      <c r="Y517" s="46">
        <v>1</v>
      </c>
      <c r="Z517" s="45">
        <v>1</v>
      </c>
      <c r="AA517" s="44">
        <v>1</v>
      </c>
      <c r="AB517" s="26">
        <f t="shared" si="661"/>
        <v>6.5976653974280346</v>
      </c>
      <c r="AC517" s="25">
        <f t="shared" si="662"/>
        <v>3.7824761832300831</v>
      </c>
      <c r="AD517" s="24">
        <f t="shared" si="663"/>
        <v>0</v>
      </c>
      <c r="AE517" s="25">
        <f t="shared" si="664"/>
        <v>0</v>
      </c>
      <c r="AF517" s="24">
        <f t="shared" si="665"/>
        <v>0</v>
      </c>
      <c r="AG517" s="25">
        <f t="shared" si="666"/>
        <v>0</v>
      </c>
      <c r="AH517" s="24">
        <f t="shared" si="667"/>
        <v>0</v>
      </c>
      <c r="AI517" s="25">
        <f t="shared" si="668"/>
        <v>0</v>
      </c>
      <c r="AJ517" s="24">
        <f t="shared" si="669"/>
        <v>0</v>
      </c>
      <c r="AK517" s="27">
        <f t="shared" si="624"/>
        <v>10.380141580658117</v>
      </c>
      <c r="AL517" s="41">
        <v>0</v>
      </c>
      <c r="AM517" s="40">
        <v>0</v>
      </c>
      <c r="AN517" s="39">
        <v>0</v>
      </c>
      <c r="AO517" s="40">
        <v>0</v>
      </c>
      <c r="AP517" s="39">
        <v>0</v>
      </c>
      <c r="AQ517" s="40">
        <v>0</v>
      </c>
      <c r="AR517" s="39">
        <v>0</v>
      </c>
      <c r="AS517" s="40">
        <v>0</v>
      </c>
      <c r="AT517" s="39">
        <v>0</v>
      </c>
      <c r="AU517" s="38">
        <v>0</v>
      </c>
    </row>
    <row r="518" spans="1:47">
      <c r="A518" s="37" t="s">
        <v>1201</v>
      </c>
      <c r="B518" s="36" t="s">
        <v>1136</v>
      </c>
      <c r="C518" s="1" t="s">
        <v>665</v>
      </c>
      <c r="D518" s="36" t="s">
        <v>665</v>
      </c>
      <c r="E518" s="36" t="s">
        <v>1219</v>
      </c>
      <c r="F518" s="1" t="e">
        <f t="shared" ca="1" si="648"/>
        <v>#NAME?</v>
      </c>
      <c r="G518" s="35" t="s">
        <v>1121</v>
      </c>
      <c r="H518" s="43">
        <v>1</v>
      </c>
      <c r="I518" s="42">
        <v>0</v>
      </c>
      <c r="J518" s="26">
        <v>1.6888757294401773</v>
      </c>
      <c r="K518" s="25">
        <v>0.31850043270075978</v>
      </c>
      <c r="L518" s="24"/>
      <c r="M518" s="25"/>
      <c r="N518" s="24"/>
      <c r="O518" s="25"/>
      <c r="P518" s="24"/>
      <c r="Q518" s="25"/>
      <c r="R518" s="32"/>
      <c r="S518" s="47">
        <v>1</v>
      </c>
      <c r="T518" s="45">
        <v>1</v>
      </c>
      <c r="U518" s="46">
        <v>1</v>
      </c>
      <c r="V518" s="45">
        <v>1</v>
      </c>
      <c r="W518" s="46">
        <v>1</v>
      </c>
      <c r="X518" s="45">
        <v>1</v>
      </c>
      <c r="Y518" s="46">
        <v>1</v>
      </c>
      <c r="Z518" s="45">
        <v>1</v>
      </c>
      <c r="AA518" s="44">
        <v>1</v>
      </c>
      <c r="AB518" s="26">
        <f t="shared" si="661"/>
        <v>1.6888757294401773</v>
      </c>
      <c r="AC518" s="25">
        <f t="shared" si="662"/>
        <v>0.31850043270075978</v>
      </c>
      <c r="AD518" s="24">
        <f t="shared" si="663"/>
        <v>0</v>
      </c>
      <c r="AE518" s="25">
        <f t="shared" si="664"/>
        <v>0</v>
      </c>
      <c r="AF518" s="24">
        <f t="shared" si="665"/>
        <v>0</v>
      </c>
      <c r="AG518" s="25">
        <f t="shared" si="666"/>
        <v>0</v>
      </c>
      <c r="AH518" s="24">
        <f t="shared" si="667"/>
        <v>0</v>
      </c>
      <c r="AI518" s="25">
        <f t="shared" si="668"/>
        <v>0</v>
      </c>
      <c r="AJ518" s="24">
        <f t="shared" si="669"/>
        <v>0</v>
      </c>
      <c r="AK518" s="27">
        <f t="shared" si="624"/>
        <v>2.0073761621409369</v>
      </c>
      <c r="AL518" s="41">
        <v>0</v>
      </c>
      <c r="AM518" s="40">
        <v>0</v>
      </c>
      <c r="AN518" s="39">
        <v>0</v>
      </c>
      <c r="AO518" s="40">
        <v>0</v>
      </c>
      <c r="AP518" s="39">
        <v>0</v>
      </c>
      <c r="AQ518" s="40">
        <v>0</v>
      </c>
      <c r="AR518" s="39">
        <v>0</v>
      </c>
      <c r="AS518" s="40">
        <v>0</v>
      </c>
      <c r="AT518" s="39">
        <v>0</v>
      </c>
      <c r="AU518" s="38">
        <v>0</v>
      </c>
    </row>
    <row r="519" spans="1:47">
      <c r="A519" s="37" t="s">
        <v>1201</v>
      </c>
      <c r="B519" s="36" t="s">
        <v>1129</v>
      </c>
      <c r="C519" s="1" t="s">
        <v>1126</v>
      </c>
      <c r="D519" s="36" t="s">
        <v>1126</v>
      </c>
      <c r="E519" s="36" t="s">
        <v>1218</v>
      </c>
      <c r="F519" s="1" t="e">
        <f t="shared" ca="1" si="648"/>
        <v>#NAME?</v>
      </c>
      <c r="G519" s="35" t="s">
        <v>1121</v>
      </c>
      <c r="H519" s="43">
        <v>1</v>
      </c>
      <c r="I519" s="42">
        <v>0</v>
      </c>
      <c r="J519" s="26">
        <v>0.20426208660767908</v>
      </c>
      <c r="K519" s="25">
        <v>0.117104525796597</v>
      </c>
      <c r="L519" s="24"/>
      <c r="M519" s="25"/>
      <c r="N519" s="24"/>
      <c r="O519" s="25"/>
      <c r="P519" s="24"/>
      <c r="Q519" s="25"/>
      <c r="R519" s="32"/>
      <c r="S519" s="47">
        <v>1</v>
      </c>
      <c r="T519" s="45">
        <v>1</v>
      </c>
      <c r="U519" s="46">
        <v>1</v>
      </c>
      <c r="V519" s="45">
        <v>1</v>
      </c>
      <c r="W519" s="46">
        <v>1</v>
      </c>
      <c r="X519" s="45">
        <v>1</v>
      </c>
      <c r="Y519" s="46">
        <v>1</v>
      </c>
      <c r="Z519" s="45">
        <v>1</v>
      </c>
      <c r="AA519" s="44">
        <v>1</v>
      </c>
      <c r="AB519" s="26">
        <f t="shared" si="661"/>
        <v>0.20426208660767908</v>
      </c>
      <c r="AC519" s="25">
        <f t="shared" si="662"/>
        <v>0.117104525796597</v>
      </c>
      <c r="AD519" s="24">
        <f t="shared" si="663"/>
        <v>0</v>
      </c>
      <c r="AE519" s="25">
        <f t="shared" si="664"/>
        <v>0</v>
      </c>
      <c r="AF519" s="24">
        <f t="shared" si="665"/>
        <v>0</v>
      </c>
      <c r="AG519" s="25">
        <f t="shared" si="666"/>
        <v>0</v>
      </c>
      <c r="AH519" s="24">
        <f t="shared" si="667"/>
        <v>0</v>
      </c>
      <c r="AI519" s="25">
        <f t="shared" si="668"/>
        <v>0</v>
      </c>
      <c r="AJ519" s="24">
        <f t="shared" si="669"/>
        <v>0</v>
      </c>
      <c r="AK519" s="27">
        <f t="shared" si="624"/>
        <v>0.32136661240427611</v>
      </c>
      <c r="AL519" s="41">
        <v>0</v>
      </c>
      <c r="AM519" s="40">
        <v>0</v>
      </c>
      <c r="AN519" s="39">
        <v>0</v>
      </c>
      <c r="AO519" s="40">
        <v>0</v>
      </c>
      <c r="AP519" s="39">
        <v>0</v>
      </c>
      <c r="AQ519" s="40">
        <v>0</v>
      </c>
      <c r="AR519" s="39">
        <v>0</v>
      </c>
      <c r="AS519" s="40">
        <v>0</v>
      </c>
      <c r="AT519" s="39">
        <v>0</v>
      </c>
      <c r="AU519" s="38">
        <v>0</v>
      </c>
    </row>
    <row r="520" spans="1:47">
      <c r="A520" s="37" t="s">
        <v>1201</v>
      </c>
      <c r="B520" s="36" t="s">
        <v>1129</v>
      </c>
      <c r="C520" s="1" t="s">
        <v>468</v>
      </c>
      <c r="D520" s="36" t="s">
        <v>468</v>
      </c>
      <c r="E520" s="36" t="s">
        <v>1217</v>
      </c>
      <c r="F520" s="1" t="e">
        <f t="shared" ca="1" si="648"/>
        <v>#NAME?</v>
      </c>
      <c r="G520" s="35" t="s">
        <v>1121</v>
      </c>
      <c r="H520" s="43">
        <v>1</v>
      </c>
      <c r="I520" s="42">
        <v>0</v>
      </c>
      <c r="J520" s="26">
        <v>8.7013478730327734</v>
      </c>
      <c r="K520" s="25">
        <v>0.41883634287173044</v>
      </c>
      <c r="L520" s="24"/>
      <c r="M520" s="25"/>
      <c r="N520" s="24"/>
      <c r="O520" s="25"/>
      <c r="P520" s="24"/>
      <c r="Q520" s="25"/>
      <c r="R520" s="32"/>
      <c r="S520" s="47">
        <v>1</v>
      </c>
      <c r="T520" s="45">
        <v>1</v>
      </c>
      <c r="U520" s="46">
        <v>1</v>
      </c>
      <c r="V520" s="45">
        <v>1</v>
      </c>
      <c r="W520" s="46">
        <v>1</v>
      </c>
      <c r="X520" s="45">
        <v>1</v>
      </c>
      <c r="Y520" s="46">
        <v>1</v>
      </c>
      <c r="Z520" s="45">
        <v>1</v>
      </c>
      <c r="AA520" s="44">
        <v>1</v>
      </c>
      <c r="AB520" s="26">
        <f t="shared" si="661"/>
        <v>8.7013478730327734</v>
      </c>
      <c r="AC520" s="25">
        <f t="shared" si="662"/>
        <v>0.41883634287173044</v>
      </c>
      <c r="AD520" s="24">
        <f t="shared" si="663"/>
        <v>0</v>
      </c>
      <c r="AE520" s="25">
        <f t="shared" si="664"/>
        <v>0</v>
      </c>
      <c r="AF520" s="24">
        <f t="shared" si="665"/>
        <v>0</v>
      </c>
      <c r="AG520" s="25">
        <f t="shared" si="666"/>
        <v>0</v>
      </c>
      <c r="AH520" s="24">
        <f t="shared" si="667"/>
        <v>0</v>
      </c>
      <c r="AI520" s="25">
        <f t="shared" si="668"/>
        <v>0</v>
      </c>
      <c r="AJ520" s="24">
        <f t="shared" si="669"/>
        <v>0</v>
      </c>
      <c r="AK520" s="27">
        <f t="shared" ref="AK520:AK583" si="670">SUM(AB520:AJ520)</f>
        <v>9.1201842159045032</v>
      </c>
      <c r="AL520" s="41">
        <v>0</v>
      </c>
      <c r="AM520" s="40">
        <v>0</v>
      </c>
      <c r="AN520" s="39">
        <v>0</v>
      </c>
      <c r="AO520" s="40">
        <v>0</v>
      </c>
      <c r="AP520" s="39">
        <v>0</v>
      </c>
      <c r="AQ520" s="40">
        <v>0</v>
      </c>
      <c r="AR520" s="39">
        <v>0</v>
      </c>
      <c r="AS520" s="40">
        <v>0</v>
      </c>
      <c r="AT520" s="39">
        <v>0</v>
      </c>
      <c r="AU520" s="38">
        <v>0</v>
      </c>
    </row>
    <row r="521" spans="1:47">
      <c r="A521" s="37" t="s">
        <v>1201</v>
      </c>
      <c r="B521" s="36" t="s">
        <v>1129</v>
      </c>
      <c r="C521" s="1" t="s">
        <v>1132</v>
      </c>
      <c r="D521" s="36" t="s">
        <v>1131</v>
      </c>
      <c r="E521" s="36" t="s">
        <v>1216</v>
      </c>
      <c r="F521" s="1" t="e">
        <f t="shared" ca="1" si="648"/>
        <v>#NAME?</v>
      </c>
      <c r="G521" s="35" t="s">
        <v>1121</v>
      </c>
      <c r="H521" s="43">
        <v>1</v>
      </c>
      <c r="I521" s="42">
        <v>0</v>
      </c>
      <c r="J521" s="26">
        <v>0.80641670334275062</v>
      </c>
      <c r="K521" s="25">
        <v>3.8816586555001496E-2</v>
      </c>
      <c r="L521" s="24"/>
      <c r="M521" s="25"/>
      <c r="N521" s="24"/>
      <c r="O521" s="25"/>
      <c r="P521" s="24"/>
      <c r="Q521" s="25"/>
      <c r="R521" s="32"/>
      <c r="S521" s="47">
        <v>1</v>
      </c>
      <c r="T521" s="45">
        <v>1</v>
      </c>
      <c r="U521" s="46">
        <v>1</v>
      </c>
      <c r="V521" s="45">
        <v>1</v>
      </c>
      <c r="W521" s="46">
        <v>1</v>
      </c>
      <c r="X521" s="45">
        <v>1</v>
      </c>
      <c r="Y521" s="46">
        <v>1</v>
      </c>
      <c r="Z521" s="45">
        <v>1</v>
      </c>
      <c r="AA521" s="44">
        <v>1</v>
      </c>
      <c r="AB521" s="26">
        <f t="shared" si="661"/>
        <v>0.80641670334275062</v>
      </c>
      <c r="AC521" s="25">
        <f t="shared" si="662"/>
        <v>3.8816586555001496E-2</v>
      </c>
      <c r="AD521" s="24">
        <f t="shared" si="663"/>
        <v>0</v>
      </c>
      <c r="AE521" s="25">
        <f t="shared" si="664"/>
        <v>0</v>
      </c>
      <c r="AF521" s="24">
        <f t="shared" si="665"/>
        <v>0</v>
      </c>
      <c r="AG521" s="25">
        <f t="shared" si="666"/>
        <v>0</v>
      </c>
      <c r="AH521" s="24">
        <f t="shared" si="667"/>
        <v>0</v>
      </c>
      <c r="AI521" s="25">
        <f t="shared" si="668"/>
        <v>0</v>
      </c>
      <c r="AJ521" s="24">
        <f t="shared" si="669"/>
        <v>0</v>
      </c>
      <c r="AK521" s="27">
        <f t="shared" si="670"/>
        <v>0.84523328989775215</v>
      </c>
      <c r="AL521" s="41">
        <v>0</v>
      </c>
      <c r="AM521" s="40">
        <v>0</v>
      </c>
      <c r="AN521" s="39">
        <v>0</v>
      </c>
      <c r="AO521" s="40">
        <v>0</v>
      </c>
      <c r="AP521" s="39">
        <v>0</v>
      </c>
      <c r="AQ521" s="40">
        <v>0</v>
      </c>
      <c r="AR521" s="39">
        <v>0</v>
      </c>
      <c r="AS521" s="40">
        <v>0</v>
      </c>
      <c r="AT521" s="39">
        <v>0</v>
      </c>
      <c r="AU521" s="38">
        <v>0</v>
      </c>
    </row>
    <row r="522" spans="1:47">
      <c r="A522" s="37" t="s">
        <v>1201</v>
      </c>
      <c r="B522" s="36" t="s">
        <v>1129</v>
      </c>
      <c r="C522" s="1" t="s">
        <v>1111</v>
      </c>
      <c r="D522" s="36" t="s">
        <v>1111</v>
      </c>
      <c r="E522" s="36" t="s">
        <v>1215</v>
      </c>
      <c r="F522" s="1" t="e">
        <f t="shared" ca="1" si="648"/>
        <v>#NAME?</v>
      </c>
      <c r="G522" s="35" t="s">
        <v>1121</v>
      </c>
      <c r="H522" s="43">
        <v>1</v>
      </c>
      <c r="I522" s="42">
        <v>0</v>
      </c>
      <c r="J522" s="26">
        <v>1.7822419460034666</v>
      </c>
      <c r="K522" s="25">
        <v>0.45618381542217223</v>
      </c>
      <c r="L522" s="24"/>
      <c r="M522" s="25"/>
      <c r="N522" s="24"/>
      <c r="O522" s="25"/>
      <c r="P522" s="24"/>
      <c r="Q522" s="25"/>
      <c r="R522" s="32"/>
      <c r="S522" s="47">
        <v>1</v>
      </c>
      <c r="T522" s="45">
        <v>1</v>
      </c>
      <c r="U522" s="46">
        <v>1</v>
      </c>
      <c r="V522" s="45">
        <v>1</v>
      </c>
      <c r="W522" s="46">
        <v>1</v>
      </c>
      <c r="X522" s="45">
        <v>1</v>
      </c>
      <c r="Y522" s="46">
        <v>1</v>
      </c>
      <c r="Z522" s="45">
        <v>1</v>
      </c>
      <c r="AA522" s="44">
        <v>1</v>
      </c>
      <c r="AB522" s="26">
        <f t="shared" si="661"/>
        <v>1.7822419460034666</v>
      </c>
      <c r="AC522" s="25">
        <f t="shared" si="662"/>
        <v>0.45618381542217223</v>
      </c>
      <c r="AD522" s="24">
        <f t="shared" si="663"/>
        <v>0</v>
      </c>
      <c r="AE522" s="25">
        <f t="shared" si="664"/>
        <v>0</v>
      </c>
      <c r="AF522" s="24">
        <f t="shared" si="665"/>
        <v>0</v>
      </c>
      <c r="AG522" s="25">
        <f t="shared" si="666"/>
        <v>0</v>
      </c>
      <c r="AH522" s="24">
        <f t="shared" si="667"/>
        <v>0</v>
      </c>
      <c r="AI522" s="25">
        <f t="shared" si="668"/>
        <v>0</v>
      </c>
      <c r="AJ522" s="24">
        <f t="shared" si="669"/>
        <v>0</v>
      </c>
      <c r="AK522" s="27">
        <f t="shared" si="670"/>
        <v>2.2384257614256389</v>
      </c>
      <c r="AL522" s="41">
        <v>0</v>
      </c>
      <c r="AM522" s="40">
        <v>0</v>
      </c>
      <c r="AN522" s="39">
        <v>0</v>
      </c>
      <c r="AO522" s="40">
        <v>0</v>
      </c>
      <c r="AP522" s="39">
        <v>0</v>
      </c>
      <c r="AQ522" s="40">
        <v>0</v>
      </c>
      <c r="AR522" s="39">
        <v>0</v>
      </c>
      <c r="AS522" s="40">
        <v>0</v>
      </c>
      <c r="AT522" s="39">
        <v>0</v>
      </c>
      <c r="AU522" s="38">
        <v>0</v>
      </c>
    </row>
    <row r="523" spans="1:47">
      <c r="A523" s="37" t="s">
        <v>1201</v>
      </c>
      <c r="B523" s="36" t="s">
        <v>1123</v>
      </c>
      <c r="C523" s="1" t="s">
        <v>1120</v>
      </c>
      <c r="D523" s="36" t="s">
        <v>1120</v>
      </c>
      <c r="E523" s="36" t="s">
        <v>1214</v>
      </c>
      <c r="F523" s="1" t="e">
        <f t="shared" ca="1" si="648"/>
        <v>#NAME?</v>
      </c>
      <c r="G523" s="35" t="s">
        <v>1121</v>
      </c>
      <c r="H523" s="43">
        <v>1</v>
      </c>
      <c r="I523" s="42">
        <v>0</v>
      </c>
      <c r="J523" s="26">
        <v>0.19319484249999733</v>
      </c>
      <c r="K523" s="25">
        <v>6.5095564195990691E-2</v>
      </c>
      <c r="L523" s="24"/>
      <c r="M523" s="25"/>
      <c r="N523" s="24"/>
      <c r="O523" s="25"/>
      <c r="P523" s="24"/>
      <c r="Q523" s="25"/>
      <c r="R523" s="32"/>
      <c r="S523" s="47">
        <v>1</v>
      </c>
      <c r="T523" s="45">
        <v>1</v>
      </c>
      <c r="U523" s="46">
        <v>1</v>
      </c>
      <c r="V523" s="45">
        <v>1</v>
      </c>
      <c r="W523" s="46">
        <v>1</v>
      </c>
      <c r="X523" s="45">
        <v>1</v>
      </c>
      <c r="Y523" s="46">
        <v>1</v>
      </c>
      <c r="Z523" s="45">
        <v>1</v>
      </c>
      <c r="AA523" s="44">
        <v>1</v>
      </c>
      <c r="AB523" s="26">
        <f t="shared" si="661"/>
        <v>0.19319484249999733</v>
      </c>
      <c r="AC523" s="25">
        <f t="shared" si="662"/>
        <v>6.5095564195990691E-2</v>
      </c>
      <c r="AD523" s="24">
        <f t="shared" si="663"/>
        <v>0</v>
      </c>
      <c r="AE523" s="25">
        <f t="shared" si="664"/>
        <v>0</v>
      </c>
      <c r="AF523" s="24">
        <f t="shared" si="665"/>
        <v>0</v>
      </c>
      <c r="AG523" s="25">
        <f t="shared" si="666"/>
        <v>0</v>
      </c>
      <c r="AH523" s="24">
        <f t="shared" si="667"/>
        <v>0</v>
      </c>
      <c r="AI523" s="25">
        <f t="shared" si="668"/>
        <v>0</v>
      </c>
      <c r="AJ523" s="24">
        <f t="shared" si="669"/>
        <v>0</v>
      </c>
      <c r="AK523" s="27">
        <f t="shared" si="670"/>
        <v>0.25829040669598802</v>
      </c>
      <c r="AL523" s="41">
        <v>0</v>
      </c>
      <c r="AM523" s="40">
        <v>0</v>
      </c>
      <c r="AN523" s="39">
        <v>0</v>
      </c>
      <c r="AO523" s="40">
        <v>0</v>
      </c>
      <c r="AP523" s="39">
        <v>0</v>
      </c>
      <c r="AQ523" s="40">
        <v>0</v>
      </c>
      <c r="AR523" s="39">
        <v>0</v>
      </c>
      <c r="AS523" s="40">
        <v>0</v>
      </c>
      <c r="AT523" s="39">
        <v>0</v>
      </c>
      <c r="AU523" s="38">
        <v>0</v>
      </c>
    </row>
    <row r="524" spans="1:47">
      <c r="A524" s="37" t="s">
        <v>1201</v>
      </c>
      <c r="B524" s="36" t="s">
        <v>1123</v>
      </c>
      <c r="C524" s="1" t="s">
        <v>1126</v>
      </c>
      <c r="D524" s="36" t="s">
        <v>1126</v>
      </c>
      <c r="E524" s="36" t="s">
        <v>1213</v>
      </c>
      <c r="F524" s="1" t="e">
        <f t="shared" ca="1" si="648"/>
        <v>#NAME?</v>
      </c>
      <c r="G524" s="35" t="s">
        <v>1121</v>
      </c>
      <c r="H524" s="43">
        <v>1</v>
      </c>
      <c r="I524" s="42">
        <v>0</v>
      </c>
      <c r="J524" s="26">
        <v>8.6198600548440574</v>
      </c>
      <c r="K524" s="25">
        <v>4.9418109886163935</v>
      </c>
      <c r="L524" s="24"/>
      <c r="M524" s="25"/>
      <c r="N524" s="24"/>
      <c r="O524" s="25"/>
      <c r="P524" s="24"/>
      <c r="Q524" s="25"/>
      <c r="R524" s="32"/>
      <c r="S524" s="47">
        <v>1</v>
      </c>
      <c r="T524" s="45">
        <v>1</v>
      </c>
      <c r="U524" s="46">
        <v>1</v>
      </c>
      <c r="V524" s="45">
        <v>1</v>
      </c>
      <c r="W524" s="46">
        <v>1</v>
      </c>
      <c r="X524" s="45">
        <v>1</v>
      </c>
      <c r="Y524" s="46">
        <v>1</v>
      </c>
      <c r="Z524" s="45">
        <v>1</v>
      </c>
      <c r="AA524" s="44">
        <v>1</v>
      </c>
      <c r="AB524" s="26">
        <f t="shared" si="661"/>
        <v>8.6198600548440574</v>
      </c>
      <c r="AC524" s="25">
        <f t="shared" si="662"/>
        <v>4.9418109886163935</v>
      </c>
      <c r="AD524" s="24">
        <f t="shared" si="663"/>
        <v>0</v>
      </c>
      <c r="AE524" s="25">
        <f t="shared" si="664"/>
        <v>0</v>
      </c>
      <c r="AF524" s="24">
        <f t="shared" si="665"/>
        <v>0</v>
      </c>
      <c r="AG524" s="25">
        <f t="shared" si="666"/>
        <v>0</v>
      </c>
      <c r="AH524" s="24">
        <f t="shared" si="667"/>
        <v>0</v>
      </c>
      <c r="AI524" s="25">
        <f t="shared" si="668"/>
        <v>0</v>
      </c>
      <c r="AJ524" s="24">
        <f t="shared" si="669"/>
        <v>0</v>
      </c>
      <c r="AK524" s="27">
        <f t="shared" si="670"/>
        <v>13.56167104346045</v>
      </c>
      <c r="AL524" s="41">
        <v>0</v>
      </c>
      <c r="AM524" s="40">
        <v>0</v>
      </c>
      <c r="AN524" s="39">
        <v>0</v>
      </c>
      <c r="AO524" s="40">
        <v>0</v>
      </c>
      <c r="AP524" s="39">
        <v>0</v>
      </c>
      <c r="AQ524" s="40">
        <v>0</v>
      </c>
      <c r="AR524" s="39">
        <v>0</v>
      </c>
      <c r="AS524" s="40">
        <v>0</v>
      </c>
      <c r="AT524" s="39">
        <v>0</v>
      </c>
      <c r="AU524" s="38">
        <v>0</v>
      </c>
    </row>
    <row r="525" spans="1:47">
      <c r="A525" s="37" t="s">
        <v>1201</v>
      </c>
      <c r="B525" s="36" t="s">
        <v>1123</v>
      </c>
      <c r="C525" s="1" t="s">
        <v>665</v>
      </c>
      <c r="D525" s="36" t="s">
        <v>665</v>
      </c>
      <c r="E525" s="36" t="s">
        <v>1212</v>
      </c>
      <c r="F525" s="1" t="e">
        <f t="shared" ref="F525:F536" ca="1" si="671">EndUse(A525,B525,C525,G525)</f>
        <v>#NAME?</v>
      </c>
      <c r="G525" s="35" t="s">
        <v>1121</v>
      </c>
      <c r="H525" s="43">
        <v>1</v>
      </c>
      <c r="I525" s="42">
        <v>0</v>
      </c>
      <c r="J525" s="26">
        <v>58.532877254545085</v>
      </c>
      <c r="K525" s="25">
        <v>11.038554470181595</v>
      </c>
      <c r="L525" s="24"/>
      <c r="M525" s="25"/>
      <c r="N525" s="24"/>
      <c r="O525" s="25"/>
      <c r="P525" s="24"/>
      <c r="Q525" s="25"/>
      <c r="R525" s="32"/>
      <c r="S525" s="47">
        <v>1</v>
      </c>
      <c r="T525" s="45">
        <v>1</v>
      </c>
      <c r="U525" s="46">
        <v>1</v>
      </c>
      <c r="V525" s="45">
        <v>1</v>
      </c>
      <c r="W525" s="46">
        <v>1</v>
      </c>
      <c r="X525" s="45">
        <v>1</v>
      </c>
      <c r="Y525" s="46">
        <v>1</v>
      </c>
      <c r="Z525" s="45">
        <v>1</v>
      </c>
      <c r="AA525" s="44">
        <v>1</v>
      </c>
      <c r="AB525" s="26">
        <f t="shared" si="661"/>
        <v>58.532877254545085</v>
      </c>
      <c r="AC525" s="25">
        <f t="shared" si="662"/>
        <v>11.038554470181595</v>
      </c>
      <c r="AD525" s="24">
        <f t="shared" si="663"/>
        <v>0</v>
      </c>
      <c r="AE525" s="25">
        <f t="shared" si="664"/>
        <v>0</v>
      </c>
      <c r="AF525" s="24">
        <f t="shared" si="665"/>
        <v>0</v>
      </c>
      <c r="AG525" s="25">
        <f t="shared" si="666"/>
        <v>0</v>
      </c>
      <c r="AH525" s="24">
        <f t="shared" si="667"/>
        <v>0</v>
      </c>
      <c r="AI525" s="25">
        <f t="shared" si="668"/>
        <v>0</v>
      </c>
      <c r="AJ525" s="24">
        <f t="shared" si="669"/>
        <v>0</v>
      </c>
      <c r="AK525" s="27">
        <f t="shared" si="670"/>
        <v>69.571431724726679</v>
      </c>
      <c r="AL525" s="41">
        <v>0</v>
      </c>
      <c r="AM525" s="40">
        <v>0</v>
      </c>
      <c r="AN525" s="39">
        <v>0</v>
      </c>
      <c r="AO525" s="40">
        <v>0</v>
      </c>
      <c r="AP525" s="39">
        <v>0</v>
      </c>
      <c r="AQ525" s="40">
        <v>0</v>
      </c>
      <c r="AR525" s="39">
        <v>0</v>
      </c>
      <c r="AS525" s="40">
        <v>0</v>
      </c>
      <c r="AT525" s="39">
        <v>0</v>
      </c>
      <c r="AU525" s="38">
        <v>0</v>
      </c>
    </row>
    <row r="526" spans="1:47">
      <c r="A526" s="37" t="s">
        <v>1201</v>
      </c>
      <c r="B526" s="36" t="s">
        <v>1123</v>
      </c>
      <c r="C526" s="1" t="s">
        <v>1106</v>
      </c>
      <c r="D526" s="36" t="s">
        <v>1106</v>
      </c>
      <c r="E526" s="36" t="s">
        <v>1211</v>
      </c>
      <c r="F526" s="1" t="e">
        <f t="shared" ca="1" si="671"/>
        <v>#NAME?</v>
      </c>
      <c r="G526" s="35" t="s">
        <v>1121</v>
      </c>
      <c r="H526" s="43">
        <v>1</v>
      </c>
      <c r="I526" s="42">
        <v>0</v>
      </c>
      <c r="J526" s="26">
        <v>13.694112609185886</v>
      </c>
      <c r="K526" s="25">
        <v>1.5380431052973509</v>
      </c>
      <c r="L526" s="24"/>
      <c r="M526" s="25"/>
      <c r="N526" s="24"/>
      <c r="O526" s="25"/>
      <c r="P526" s="24"/>
      <c r="Q526" s="25"/>
      <c r="R526" s="32"/>
      <c r="S526" s="47">
        <v>1</v>
      </c>
      <c r="T526" s="45">
        <v>1</v>
      </c>
      <c r="U526" s="46">
        <v>1</v>
      </c>
      <c r="V526" s="45">
        <v>1</v>
      </c>
      <c r="W526" s="46">
        <v>1</v>
      </c>
      <c r="X526" s="45">
        <v>1</v>
      </c>
      <c r="Y526" s="46">
        <v>1</v>
      </c>
      <c r="Z526" s="45">
        <v>1</v>
      </c>
      <c r="AA526" s="44">
        <v>1</v>
      </c>
      <c r="AB526" s="26">
        <f t="shared" si="661"/>
        <v>13.694112609185886</v>
      </c>
      <c r="AC526" s="25">
        <f t="shared" si="662"/>
        <v>1.5380431052973509</v>
      </c>
      <c r="AD526" s="24">
        <f t="shared" si="663"/>
        <v>0</v>
      </c>
      <c r="AE526" s="25">
        <f t="shared" si="664"/>
        <v>0</v>
      </c>
      <c r="AF526" s="24">
        <f t="shared" si="665"/>
        <v>0</v>
      </c>
      <c r="AG526" s="25">
        <f t="shared" si="666"/>
        <v>0</v>
      </c>
      <c r="AH526" s="24">
        <f t="shared" si="667"/>
        <v>0</v>
      </c>
      <c r="AI526" s="25">
        <f t="shared" si="668"/>
        <v>0</v>
      </c>
      <c r="AJ526" s="24">
        <f t="shared" si="669"/>
        <v>0</v>
      </c>
      <c r="AK526" s="27">
        <f t="shared" si="670"/>
        <v>15.232155714483238</v>
      </c>
      <c r="AL526" s="41">
        <v>0</v>
      </c>
      <c r="AM526" s="40">
        <v>0</v>
      </c>
      <c r="AN526" s="39">
        <v>0</v>
      </c>
      <c r="AO526" s="40">
        <v>0</v>
      </c>
      <c r="AP526" s="39">
        <v>0</v>
      </c>
      <c r="AQ526" s="40">
        <v>0</v>
      </c>
      <c r="AR526" s="39">
        <v>0</v>
      </c>
      <c r="AS526" s="40">
        <v>0</v>
      </c>
      <c r="AT526" s="39">
        <v>0</v>
      </c>
      <c r="AU526" s="38">
        <v>0</v>
      </c>
    </row>
    <row r="527" spans="1:47">
      <c r="A527" s="37" t="s">
        <v>1201</v>
      </c>
      <c r="B527" s="36" t="s">
        <v>1107</v>
      </c>
      <c r="C527" s="1" t="s">
        <v>1120</v>
      </c>
      <c r="D527" s="36" t="s">
        <v>1120</v>
      </c>
      <c r="E527" s="36" t="s">
        <v>1210</v>
      </c>
      <c r="F527" s="1" t="e">
        <f t="shared" ca="1" si="671"/>
        <v>#NAME?</v>
      </c>
      <c r="G527" s="35" t="s">
        <v>1104</v>
      </c>
      <c r="H527" s="43">
        <v>1</v>
      </c>
      <c r="I527" s="42">
        <v>0</v>
      </c>
      <c r="J527" s="26">
        <v>6.3518891399999989E-3</v>
      </c>
      <c r="K527" s="25">
        <v>0</v>
      </c>
      <c r="L527" s="24"/>
      <c r="M527" s="25"/>
      <c r="N527" s="24"/>
      <c r="O527" s="25"/>
      <c r="P527" s="24"/>
      <c r="Q527" s="25"/>
      <c r="R527" s="32"/>
      <c r="S527" s="31" t="e">
        <v>#REF!</v>
      </c>
      <c r="T527" s="29" t="e">
        <f t="shared" ref="T527:AA536" si="672">S527</f>
        <v>#REF!</v>
      </c>
      <c r="U527" s="30" t="e">
        <f t="shared" si="672"/>
        <v>#REF!</v>
      </c>
      <c r="V527" s="29" t="e">
        <f t="shared" si="672"/>
        <v>#REF!</v>
      </c>
      <c r="W527" s="30" t="e">
        <f t="shared" si="672"/>
        <v>#REF!</v>
      </c>
      <c r="X527" s="29" t="e">
        <f t="shared" si="672"/>
        <v>#REF!</v>
      </c>
      <c r="Y527" s="30" t="e">
        <f t="shared" si="672"/>
        <v>#REF!</v>
      </c>
      <c r="Z527" s="29" t="e">
        <f t="shared" si="672"/>
        <v>#REF!</v>
      </c>
      <c r="AA527" s="28" t="e">
        <f t="shared" si="672"/>
        <v>#REF!</v>
      </c>
      <c r="AB527" s="26" t="e">
        <f t="shared" si="661"/>
        <v>#REF!</v>
      </c>
      <c r="AC527" s="25" t="e">
        <f t="shared" si="662"/>
        <v>#REF!</v>
      </c>
      <c r="AD527" s="24" t="e">
        <f t="shared" si="663"/>
        <v>#REF!</v>
      </c>
      <c r="AE527" s="25" t="e">
        <f t="shared" si="664"/>
        <v>#REF!</v>
      </c>
      <c r="AF527" s="24" t="e">
        <f t="shared" si="665"/>
        <v>#REF!</v>
      </c>
      <c r="AG527" s="25" t="e">
        <f t="shared" si="666"/>
        <v>#REF!</v>
      </c>
      <c r="AH527" s="24" t="e">
        <f t="shared" si="667"/>
        <v>#REF!</v>
      </c>
      <c r="AI527" s="25" t="e">
        <f t="shared" si="668"/>
        <v>#REF!</v>
      </c>
      <c r="AJ527" s="24" t="e">
        <f t="shared" si="669"/>
        <v>#REF!</v>
      </c>
      <c r="AK527" s="27" t="e">
        <f t="shared" si="670"/>
        <v>#REF!</v>
      </c>
      <c r="AL527" s="41">
        <v>0</v>
      </c>
      <c r="AM527" s="40">
        <v>0</v>
      </c>
      <c r="AN527" s="39">
        <v>0</v>
      </c>
      <c r="AO527" s="40">
        <v>0</v>
      </c>
      <c r="AP527" s="39">
        <v>0</v>
      </c>
      <c r="AQ527" s="40">
        <v>0</v>
      </c>
      <c r="AR527" s="39">
        <v>0</v>
      </c>
      <c r="AS527" s="40">
        <v>0</v>
      </c>
      <c r="AT527" s="39">
        <v>0</v>
      </c>
      <c r="AU527" s="38">
        <v>0</v>
      </c>
    </row>
    <row r="528" spans="1:47">
      <c r="A528" s="37" t="s">
        <v>1201</v>
      </c>
      <c r="B528" s="36" t="s">
        <v>1107</v>
      </c>
      <c r="C528" s="1" t="s">
        <v>665</v>
      </c>
      <c r="D528" s="36" t="s">
        <v>665</v>
      </c>
      <c r="E528" s="36" t="s">
        <v>1209</v>
      </c>
      <c r="F528" s="1" t="e">
        <f t="shared" ca="1" si="671"/>
        <v>#NAME?</v>
      </c>
      <c r="G528" s="35" t="s">
        <v>1104</v>
      </c>
      <c r="H528" s="43">
        <v>1</v>
      </c>
      <c r="I528" s="42">
        <v>0</v>
      </c>
      <c r="J528" s="26">
        <v>0.62058687000000001</v>
      </c>
      <c r="K528" s="25">
        <v>0.94913285999999997</v>
      </c>
      <c r="L528" s="24"/>
      <c r="M528" s="25"/>
      <c r="N528" s="24"/>
      <c r="O528" s="25"/>
      <c r="P528" s="24"/>
      <c r="Q528" s="25"/>
      <c r="R528" s="32"/>
      <c r="S528" s="31" t="e">
        <v>#REF!</v>
      </c>
      <c r="T528" s="29" t="e">
        <f t="shared" si="672"/>
        <v>#REF!</v>
      </c>
      <c r="U528" s="30" t="e">
        <f t="shared" si="672"/>
        <v>#REF!</v>
      </c>
      <c r="V528" s="29" t="e">
        <f t="shared" si="672"/>
        <v>#REF!</v>
      </c>
      <c r="W528" s="30" t="e">
        <f t="shared" si="672"/>
        <v>#REF!</v>
      </c>
      <c r="X528" s="29" t="e">
        <f t="shared" si="672"/>
        <v>#REF!</v>
      </c>
      <c r="Y528" s="30" t="e">
        <f t="shared" si="672"/>
        <v>#REF!</v>
      </c>
      <c r="Z528" s="29" t="e">
        <f t="shared" si="672"/>
        <v>#REF!</v>
      </c>
      <c r="AA528" s="28" t="e">
        <f t="shared" si="672"/>
        <v>#REF!</v>
      </c>
      <c r="AB528" s="26" t="e">
        <f t="shared" si="661"/>
        <v>#REF!</v>
      </c>
      <c r="AC528" s="25" t="e">
        <f t="shared" si="662"/>
        <v>#REF!</v>
      </c>
      <c r="AD528" s="24" t="e">
        <f t="shared" si="663"/>
        <v>#REF!</v>
      </c>
      <c r="AE528" s="25" t="e">
        <f t="shared" si="664"/>
        <v>#REF!</v>
      </c>
      <c r="AF528" s="24" t="e">
        <f t="shared" si="665"/>
        <v>#REF!</v>
      </c>
      <c r="AG528" s="25" t="e">
        <f t="shared" si="666"/>
        <v>#REF!</v>
      </c>
      <c r="AH528" s="24" t="e">
        <f t="shared" si="667"/>
        <v>#REF!</v>
      </c>
      <c r="AI528" s="25" t="e">
        <f t="shared" si="668"/>
        <v>#REF!</v>
      </c>
      <c r="AJ528" s="24" t="e">
        <f t="shared" si="669"/>
        <v>#REF!</v>
      </c>
      <c r="AK528" s="27" t="e">
        <f t="shared" si="670"/>
        <v>#REF!</v>
      </c>
      <c r="AL528" s="41">
        <v>0</v>
      </c>
      <c r="AM528" s="40">
        <v>0</v>
      </c>
      <c r="AN528" s="39">
        <v>0</v>
      </c>
      <c r="AO528" s="40">
        <v>0</v>
      </c>
      <c r="AP528" s="39">
        <v>0</v>
      </c>
      <c r="AQ528" s="40">
        <v>0</v>
      </c>
      <c r="AR528" s="39">
        <v>0</v>
      </c>
      <c r="AS528" s="40">
        <v>0</v>
      </c>
      <c r="AT528" s="39">
        <v>0</v>
      </c>
      <c r="AU528" s="38">
        <v>0</v>
      </c>
    </row>
    <row r="529" spans="1:47">
      <c r="A529" s="37" t="s">
        <v>1201</v>
      </c>
      <c r="B529" s="36" t="s">
        <v>1107</v>
      </c>
      <c r="C529" s="1" t="s">
        <v>665</v>
      </c>
      <c r="D529" s="36" t="s">
        <v>665</v>
      </c>
      <c r="E529" s="36" t="s">
        <v>1208</v>
      </c>
      <c r="F529" s="1" t="e">
        <f t="shared" ca="1" si="671"/>
        <v>#NAME?</v>
      </c>
      <c r="G529" s="35" t="s">
        <v>1109</v>
      </c>
      <c r="H529" s="34">
        <f>1-I529</f>
        <v>0.886907974935504</v>
      </c>
      <c r="I529" s="33">
        <v>0.11309202506449599</v>
      </c>
      <c r="J529" s="26" t="e">
        <v>#REF!</v>
      </c>
      <c r="K529" s="25" t="e">
        <v>#REF!</v>
      </c>
      <c r="L529" s="24"/>
      <c r="M529" s="25"/>
      <c r="N529" s="24"/>
      <c r="O529" s="25"/>
      <c r="P529" s="24"/>
      <c r="Q529" s="25"/>
      <c r="R529" s="32"/>
      <c r="S529" s="31" t="e">
        <v>#REF!</v>
      </c>
      <c r="T529" s="29" t="e">
        <f t="shared" si="672"/>
        <v>#REF!</v>
      </c>
      <c r="U529" s="30" t="e">
        <f t="shared" si="672"/>
        <v>#REF!</v>
      </c>
      <c r="V529" s="29" t="e">
        <f t="shared" si="672"/>
        <v>#REF!</v>
      </c>
      <c r="W529" s="30" t="e">
        <f t="shared" si="672"/>
        <v>#REF!</v>
      </c>
      <c r="X529" s="29" t="e">
        <f t="shared" si="672"/>
        <v>#REF!</v>
      </c>
      <c r="Y529" s="30" t="e">
        <f t="shared" si="672"/>
        <v>#REF!</v>
      </c>
      <c r="Z529" s="29" t="e">
        <f t="shared" si="672"/>
        <v>#REF!</v>
      </c>
      <c r="AA529" s="28" t="e">
        <f t="shared" si="672"/>
        <v>#REF!</v>
      </c>
      <c r="AB529" s="26" t="e">
        <f t="shared" ref="AB529:AJ532" si="673">J529*31.536*$H529*S529</f>
        <v>#REF!</v>
      </c>
      <c r="AC529" s="25" t="e">
        <f t="shared" si="673"/>
        <v>#REF!</v>
      </c>
      <c r="AD529" s="24" t="e">
        <f t="shared" si="673"/>
        <v>#REF!</v>
      </c>
      <c r="AE529" s="25" t="e">
        <f t="shared" si="673"/>
        <v>#REF!</v>
      </c>
      <c r="AF529" s="24" t="e">
        <f t="shared" si="673"/>
        <v>#REF!</v>
      </c>
      <c r="AG529" s="25" t="e">
        <f t="shared" si="673"/>
        <v>#REF!</v>
      </c>
      <c r="AH529" s="24" t="e">
        <f t="shared" si="673"/>
        <v>#REF!</v>
      </c>
      <c r="AI529" s="25" t="e">
        <f t="shared" si="673"/>
        <v>#REF!</v>
      </c>
      <c r="AJ529" s="24" t="e">
        <f t="shared" si="673"/>
        <v>#REF!</v>
      </c>
      <c r="AK529" s="27" t="e">
        <f t="shared" si="670"/>
        <v>#REF!</v>
      </c>
      <c r="AL529" s="26" t="e">
        <f t="shared" ref="AL529:AT532" si="674">J529*31.536*$I529*S529</f>
        <v>#REF!</v>
      </c>
      <c r="AM529" s="25" t="e">
        <f t="shared" si="674"/>
        <v>#REF!</v>
      </c>
      <c r="AN529" s="24" t="e">
        <f t="shared" si="674"/>
        <v>#REF!</v>
      </c>
      <c r="AO529" s="25" t="e">
        <f t="shared" si="674"/>
        <v>#REF!</v>
      </c>
      <c r="AP529" s="24" t="e">
        <f t="shared" si="674"/>
        <v>#REF!</v>
      </c>
      <c r="AQ529" s="25" t="e">
        <f t="shared" si="674"/>
        <v>#REF!</v>
      </c>
      <c r="AR529" s="24" t="e">
        <f t="shared" si="674"/>
        <v>#REF!</v>
      </c>
      <c r="AS529" s="25" t="e">
        <f t="shared" si="674"/>
        <v>#REF!</v>
      </c>
      <c r="AT529" s="24" t="e">
        <f t="shared" si="674"/>
        <v>#REF!</v>
      </c>
      <c r="AU529" s="23" t="e">
        <f>SUM(AL529:AT529)</f>
        <v>#REF!</v>
      </c>
    </row>
    <row r="530" spans="1:47">
      <c r="A530" s="37" t="s">
        <v>1201</v>
      </c>
      <c r="B530" s="36" t="s">
        <v>1107</v>
      </c>
      <c r="C530" s="1" t="s">
        <v>665</v>
      </c>
      <c r="D530" s="36" t="s">
        <v>665</v>
      </c>
      <c r="E530" s="36" t="s">
        <v>1207</v>
      </c>
      <c r="F530" s="1" t="e">
        <f t="shared" ca="1" si="671"/>
        <v>#NAME?</v>
      </c>
      <c r="G530" s="35" t="s">
        <v>1109</v>
      </c>
      <c r="H530" s="34">
        <f>1-I530</f>
        <v>0.49222832279162754</v>
      </c>
      <c r="I530" s="33">
        <v>0.50777167720837246</v>
      </c>
      <c r="J530" s="26">
        <v>0</v>
      </c>
      <c r="K530" s="25">
        <v>2.1398573515308009E-2</v>
      </c>
      <c r="L530" s="24"/>
      <c r="M530" s="25"/>
      <c r="N530" s="24"/>
      <c r="O530" s="25"/>
      <c r="P530" s="24"/>
      <c r="Q530" s="25"/>
      <c r="R530" s="32"/>
      <c r="S530" s="31" t="e">
        <v>#REF!</v>
      </c>
      <c r="T530" s="29" t="e">
        <f t="shared" si="672"/>
        <v>#REF!</v>
      </c>
      <c r="U530" s="30" t="e">
        <f t="shared" si="672"/>
        <v>#REF!</v>
      </c>
      <c r="V530" s="29" t="e">
        <f t="shared" si="672"/>
        <v>#REF!</v>
      </c>
      <c r="W530" s="30" t="e">
        <f t="shared" si="672"/>
        <v>#REF!</v>
      </c>
      <c r="X530" s="29" t="e">
        <f t="shared" si="672"/>
        <v>#REF!</v>
      </c>
      <c r="Y530" s="30" t="e">
        <f t="shared" si="672"/>
        <v>#REF!</v>
      </c>
      <c r="Z530" s="29" t="e">
        <f t="shared" si="672"/>
        <v>#REF!</v>
      </c>
      <c r="AA530" s="28" t="e">
        <f t="shared" si="672"/>
        <v>#REF!</v>
      </c>
      <c r="AB530" s="26" t="e">
        <f t="shared" si="673"/>
        <v>#REF!</v>
      </c>
      <c r="AC530" s="25" t="e">
        <f t="shared" si="673"/>
        <v>#REF!</v>
      </c>
      <c r="AD530" s="24" t="e">
        <f t="shared" si="673"/>
        <v>#REF!</v>
      </c>
      <c r="AE530" s="25" t="e">
        <f t="shared" si="673"/>
        <v>#REF!</v>
      </c>
      <c r="AF530" s="24" t="e">
        <f t="shared" si="673"/>
        <v>#REF!</v>
      </c>
      <c r="AG530" s="25" t="e">
        <f t="shared" si="673"/>
        <v>#REF!</v>
      </c>
      <c r="AH530" s="24" t="e">
        <f t="shared" si="673"/>
        <v>#REF!</v>
      </c>
      <c r="AI530" s="25" t="e">
        <f t="shared" si="673"/>
        <v>#REF!</v>
      </c>
      <c r="AJ530" s="24" t="e">
        <f t="shared" si="673"/>
        <v>#REF!</v>
      </c>
      <c r="AK530" s="27" t="e">
        <f t="shared" si="670"/>
        <v>#REF!</v>
      </c>
      <c r="AL530" s="26" t="e">
        <f t="shared" si="674"/>
        <v>#REF!</v>
      </c>
      <c r="AM530" s="25" t="e">
        <f t="shared" si="674"/>
        <v>#REF!</v>
      </c>
      <c r="AN530" s="24" t="e">
        <f t="shared" si="674"/>
        <v>#REF!</v>
      </c>
      <c r="AO530" s="25" t="e">
        <f t="shared" si="674"/>
        <v>#REF!</v>
      </c>
      <c r="AP530" s="24" t="e">
        <f t="shared" si="674"/>
        <v>#REF!</v>
      </c>
      <c r="AQ530" s="25" t="e">
        <f t="shared" si="674"/>
        <v>#REF!</v>
      </c>
      <c r="AR530" s="24" t="e">
        <f t="shared" si="674"/>
        <v>#REF!</v>
      </c>
      <c r="AS530" s="25" t="e">
        <f t="shared" si="674"/>
        <v>#REF!</v>
      </c>
      <c r="AT530" s="24" t="e">
        <f t="shared" si="674"/>
        <v>#REF!</v>
      </c>
      <c r="AU530" s="23" t="e">
        <f>SUM(AL530:AT530)</f>
        <v>#REF!</v>
      </c>
    </row>
    <row r="531" spans="1:47">
      <c r="A531" s="37" t="s">
        <v>1201</v>
      </c>
      <c r="B531" s="36" t="s">
        <v>1107</v>
      </c>
      <c r="C531" s="1" t="s">
        <v>665</v>
      </c>
      <c r="D531" s="36" t="s">
        <v>665</v>
      </c>
      <c r="E531" s="36" t="s">
        <v>1206</v>
      </c>
      <c r="F531" s="1" t="e">
        <f t="shared" ca="1" si="671"/>
        <v>#NAME?</v>
      </c>
      <c r="G531" s="35" t="s">
        <v>1109</v>
      </c>
      <c r="H531" s="34">
        <f>1-I531</f>
        <v>0.64769647696476973</v>
      </c>
      <c r="I531" s="33">
        <v>0.35230352303523033</v>
      </c>
      <c r="J531" s="26">
        <v>0</v>
      </c>
      <c r="K531" s="25">
        <v>0</v>
      </c>
      <c r="L531" s="24"/>
      <c r="M531" s="25"/>
      <c r="N531" s="24"/>
      <c r="O531" s="25"/>
      <c r="P531" s="24"/>
      <c r="Q531" s="25"/>
      <c r="R531" s="32"/>
      <c r="S531" s="31" t="e">
        <v>#REF!</v>
      </c>
      <c r="T531" s="29" t="e">
        <f t="shared" si="672"/>
        <v>#REF!</v>
      </c>
      <c r="U531" s="30" t="e">
        <f t="shared" si="672"/>
        <v>#REF!</v>
      </c>
      <c r="V531" s="29" t="e">
        <f t="shared" si="672"/>
        <v>#REF!</v>
      </c>
      <c r="W531" s="30" t="e">
        <f t="shared" si="672"/>
        <v>#REF!</v>
      </c>
      <c r="X531" s="29" t="e">
        <f t="shared" si="672"/>
        <v>#REF!</v>
      </c>
      <c r="Y531" s="30" t="e">
        <f t="shared" si="672"/>
        <v>#REF!</v>
      </c>
      <c r="Z531" s="29" t="e">
        <f t="shared" si="672"/>
        <v>#REF!</v>
      </c>
      <c r="AA531" s="28" t="e">
        <f t="shared" si="672"/>
        <v>#REF!</v>
      </c>
      <c r="AB531" s="26" t="e">
        <f t="shared" si="673"/>
        <v>#REF!</v>
      </c>
      <c r="AC531" s="25" t="e">
        <f t="shared" si="673"/>
        <v>#REF!</v>
      </c>
      <c r="AD531" s="24" t="e">
        <f t="shared" si="673"/>
        <v>#REF!</v>
      </c>
      <c r="AE531" s="25" t="e">
        <f t="shared" si="673"/>
        <v>#REF!</v>
      </c>
      <c r="AF531" s="24" t="e">
        <f t="shared" si="673"/>
        <v>#REF!</v>
      </c>
      <c r="AG531" s="25" t="e">
        <f t="shared" si="673"/>
        <v>#REF!</v>
      </c>
      <c r="AH531" s="24" t="e">
        <f t="shared" si="673"/>
        <v>#REF!</v>
      </c>
      <c r="AI531" s="25" t="e">
        <f t="shared" si="673"/>
        <v>#REF!</v>
      </c>
      <c r="AJ531" s="24" t="e">
        <f t="shared" si="673"/>
        <v>#REF!</v>
      </c>
      <c r="AK531" s="27" t="e">
        <f t="shared" si="670"/>
        <v>#REF!</v>
      </c>
      <c r="AL531" s="26" t="e">
        <f t="shared" si="674"/>
        <v>#REF!</v>
      </c>
      <c r="AM531" s="25" t="e">
        <f t="shared" si="674"/>
        <v>#REF!</v>
      </c>
      <c r="AN531" s="24" t="e">
        <f t="shared" si="674"/>
        <v>#REF!</v>
      </c>
      <c r="AO531" s="25" t="e">
        <f t="shared" si="674"/>
        <v>#REF!</v>
      </c>
      <c r="AP531" s="24" t="e">
        <f t="shared" si="674"/>
        <v>#REF!</v>
      </c>
      <c r="AQ531" s="25" t="e">
        <f t="shared" si="674"/>
        <v>#REF!</v>
      </c>
      <c r="AR531" s="24" t="e">
        <f t="shared" si="674"/>
        <v>#REF!</v>
      </c>
      <c r="AS531" s="25" t="e">
        <f t="shared" si="674"/>
        <v>#REF!</v>
      </c>
      <c r="AT531" s="24" t="e">
        <f t="shared" si="674"/>
        <v>#REF!</v>
      </c>
      <c r="AU531" s="23" t="e">
        <f>SUM(AL531:AT531)</f>
        <v>#REF!</v>
      </c>
    </row>
    <row r="532" spans="1:47">
      <c r="A532" s="37" t="s">
        <v>1201</v>
      </c>
      <c r="B532" s="36" t="s">
        <v>1107</v>
      </c>
      <c r="C532" s="1" t="s">
        <v>665</v>
      </c>
      <c r="D532" s="36" t="s">
        <v>665</v>
      </c>
      <c r="E532" s="36" t="s">
        <v>1205</v>
      </c>
      <c r="F532" s="1" t="e">
        <f t="shared" ca="1" si="671"/>
        <v>#NAME?</v>
      </c>
      <c r="G532" s="35" t="s">
        <v>1109</v>
      </c>
      <c r="H532" s="34">
        <f>1-I532</f>
        <v>0.61182631157782419</v>
      </c>
      <c r="I532" s="33">
        <v>0.38817368842217576</v>
      </c>
      <c r="J532" s="26">
        <v>0</v>
      </c>
      <c r="K532" s="25">
        <v>0</v>
      </c>
      <c r="L532" s="24"/>
      <c r="M532" s="25"/>
      <c r="N532" s="24"/>
      <c r="O532" s="25"/>
      <c r="P532" s="24"/>
      <c r="Q532" s="25"/>
      <c r="R532" s="32"/>
      <c r="S532" s="31" t="e">
        <v>#REF!</v>
      </c>
      <c r="T532" s="29" t="e">
        <f t="shared" si="672"/>
        <v>#REF!</v>
      </c>
      <c r="U532" s="30" t="e">
        <f t="shared" si="672"/>
        <v>#REF!</v>
      </c>
      <c r="V532" s="29" t="e">
        <f t="shared" si="672"/>
        <v>#REF!</v>
      </c>
      <c r="W532" s="30" t="e">
        <f t="shared" si="672"/>
        <v>#REF!</v>
      </c>
      <c r="X532" s="29" t="e">
        <f t="shared" si="672"/>
        <v>#REF!</v>
      </c>
      <c r="Y532" s="30" t="e">
        <f t="shared" si="672"/>
        <v>#REF!</v>
      </c>
      <c r="Z532" s="29" t="e">
        <f t="shared" si="672"/>
        <v>#REF!</v>
      </c>
      <c r="AA532" s="28" t="e">
        <f t="shared" si="672"/>
        <v>#REF!</v>
      </c>
      <c r="AB532" s="26" t="e">
        <f t="shared" si="673"/>
        <v>#REF!</v>
      </c>
      <c r="AC532" s="25" t="e">
        <f t="shared" si="673"/>
        <v>#REF!</v>
      </c>
      <c r="AD532" s="24" t="e">
        <f t="shared" si="673"/>
        <v>#REF!</v>
      </c>
      <c r="AE532" s="25" t="e">
        <f t="shared" si="673"/>
        <v>#REF!</v>
      </c>
      <c r="AF532" s="24" t="e">
        <f t="shared" si="673"/>
        <v>#REF!</v>
      </c>
      <c r="AG532" s="25" t="e">
        <f t="shared" si="673"/>
        <v>#REF!</v>
      </c>
      <c r="AH532" s="24" t="e">
        <f t="shared" si="673"/>
        <v>#REF!</v>
      </c>
      <c r="AI532" s="25" t="e">
        <f t="shared" si="673"/>
        <v>#REF!</v>
      </c>
      <c r="AJ532" s="24" t="e">
        <f t="shared" si="673"/>
        <v>#REF!</v>
      </c>
      <c r="AK532" s="27" t="e">
        <f t="shared" si="670"/>
        <v>#REF!</v>
      </c>
      <c r="AL532" s="26" t="e">
        <f t="shared" si="674"/>
        <v>#REF!</v>
      </c>
      <c r="AM532" s="25" t="e">
        <f t="shared" si="674"/>
        <v>#REF!</v>
      </c>
      <c r="AN532" s="24" t="e">
        <f t="shared" si="674"/>
        <v>#REF!</v>
      </c>
      <c r="AO532" s="25" t="e">
        <f t="shared" si="674"/>
        <v>#REF!</v>
      </c>
      <c r="AP532" s="24" t="e">
        <f t="shared" si="674"/>
        <v>#REF!</v>
      </c>
      <c r="AQ532" s="25" t="e">
        <f t="shared" si="674"/>
        <v>#REF!</v>
      </c>
      <c r="AR532" s="24" t="e">
        <f t="shared" si="674"/>
        <v>#REF!</v>
      </c>
      <c r="AS532" s="25" t="e">
        <f t="shared" si="674"/>
        <v>#REF!</v>
      </c>
      <c r="AT532" s="24" t="e">
        <f t="shared" si="674"/>
        <v>#REF!</v>
      </c>
      <c r="AU532" s="23" t="e">
        <f>SUM(AL532:AT532)</f>
        <v>#REF!</v>
      </c>
    </row>
    <row r="533" spans="1:47">
      <c r="A533" s="37" t="s">
        <v>1201</v>
      </c>
      <c r="B533" s="36" t="s">
        <v>1107</v>
      </c>
      <c r="C533" s="1" t="s">
        <v>1111</v>
      </c>
      <c r="D533" s="36" t="s">
        <v>1111</v>
      </c>
      <c r="E533" s="36" t="s">
        <v>1204</v>
      </c>
      <c r="F533" s="1" t="e">
        <f t="shared" ca="1" si="671"/>
        <v>#NAME?</v>
      </c>
      <c r="G533" s="35" t="s">
        <v>1104</v>
      </c>
      <c r="H533" s="43">
        <v>1</v>
      </c>
      <c r="I533" s="42">
        <v>0</v>
      </c>
      <c r="J533" s="26">
        <v>11.104854462</v>
      </c>
      <c r="K533" s="25">
        <v>0</v>
      </c>
      <c r="L533" s="24"/>
      <c r="M533" s="25"/>
      <c r="N533" s="24"/>
      <c r="O533" s="25"/>
      <c r="P533" s="24"/>
      <c r="Q533" s="25"/>
      <c r="R533" s="32"/>
      <c r="S533" s="31" t="e">
        <v>#REF!</v>
      </c>
      <c r="T533" s="29" t="e">
        <f t="shared" si="672"/>
        <v>#REF!</v>
      </c>
      <c r="U533" s="30" t="e">
        <f t="shared" si="672"/>
        <v>#REF!</v>
      </c>
      <c r="V533" s="29" t="e">
        <f t="shared" si="672"/>
        <v>#REF!</v>
      </c>
      <c r="W533" s="30" t="e">
        <f t="shared" si="672"/>
        <v>#REF!</v>
      </c>
      <c r="X533" s="29" t="e">
        <f t="shared" si="672"/>
        <v>#REF!</v>
      </c>
      <c r="Y533" s="30" t="e">
        <f t="shared" si="672"/>
        <v>#REF!</v>
      </c>
      <c r="Z533" s="29" t="e">
        <f t="shared" si="672"/>
        <v>#REF!</v>
      </c>
      <c r="AA533" s="28" t="e">
        <f t="shared" si="672"/>
        <v>#REF!</v>
      </c>
      <c r="AB533" s="26" t="e">
        <f t="shared" ref="AB533:AJ533" si="675">J533*$H533*S533</f>
        <v>#REF!</v>
      </c>
      <c r="AC533" s="25" t="e">
        <f t="shared" si="675"/>
        <v>#REF!</v>
      </c>
      <c r="AD533" s="24" t="e">
        <f t="shared" si="675"/>
        <v>#REF!</v>
      </c>
      <c r="AE533" s="25" t="e">
        <f t="shared" si="675"/>
        <v>#REF!</v>
      </c>
      <c r="AF533" s="24" t="e">
        <f t="shared" si="675"/>
        <v>#REF!</v>
      </c>
      <c r="AG533" s="25" t="e">
        <f t="shared" si="675"/>
        <v>#REF!</v>
      </c>
      <c r="AH533" s="24" t="e">
        <f t="shared" si="675"/>
        <v>#REF!</v>
      </c>
      <c r="AI533" s="25" t="e">
        <f t="shared" si="675"/>
        <v>#REF!</v>
      </c>
      <c r="AJ533" s="24" t="e">
        <f t="shared" si="675"/>
        <v>#REF!</v>
      </c>
      <c r="AK533" s="27" t="e">
        <f t="shared" si="670"/>
        <v>#REF!</v>
      </c>
      <c r="AL533" s="41">
        <v>0</v>
      </c>
      <c r="AM533" s="40">
        <v>0</v>
      </c>
      <c r="AN533" s="39">
        <v>0</v>
      </c>
      <c r="AO533" s="40">
        <v>0</v>
      </c>
      <c r="AP533" s="39">
        <v>0</v>
      </c>
      <c r="AQ533" s="40">
        <v>0</v>
      </c>
      <c r="AR533" s="39">
        <v>0</v>
      </c>
      <c r="AS533" s="40">
        <v>0</v>
      </c>
      <c r="AT533" s="39">
        <v>0</v>
      </c>
      <c r="AU533" s="38">
        <v>0</v>
      </c>
    </row>
    <row r="534" spans="1:47">
      <c r="A534" s="37" t="s">
        <v>1201</v>
      </c>
      <c r="B534" s="36" t="s">
        <v>1107</v>
      </c>
      <c r="C534" s="1" t="s">
        <v>1111</v>
      </c>
      <c r="D534" s="36" t="s">
        <v>1111</v>
      </c>
      <c r="E534" s="36" t="s">
        <v>1203</v>
      </c>
      <c r="F534" s="1" t="e">
        <f t="shared" ca="1" si="671"/>
        <v>#NAME?</v>
      </c>
      <c r="G534" s="35" t="s">
        <v>1109</v>
      </c>
      <c r="H534" s="34">
        <f>1-I534</f>
        <v>0.88332652522877819</v>
      </c>
      <c r="I534" s="33">
        <v>0.11667347477122178</v>
      </c>
      <c r="J534" s="26" t="e">
        <v>#REF!</v>
      </c>
      <c r="K534" s="25" t="e">
        <v>#REF!</v>
      </c>
      <c r="L534" s="24"/>
      <c r="M534" s="25"/>
      <c r="N534" s="24"/>
      <c r="O534" s="25"/>
      <c r="P534" s="24"/>
      <c r="Q534" s="25"/>
      <c r="R534" s="32"/>
      <c r="S534" s="31" t="e">
        <v>#REF!</v>
      </c>
      <c r="T534" s="29" t="e">
        <f t="shared" si="672"/>
        <v>#REF!</v>
      </c>
      <c r="U534" s="30" t="e">
        <f t="shared" si="672"/>
        <v>#REF!</v>
      </c>
      <c r="V534" s="29" t="e">
        <f t="shared" si="672"/>
        <v>#REF!</v>
      </c>
      <c r="W534" s="30" t="e">
        <f t="shared" si="672"/>
        <v>#REF!</v>
      </c>
      <c r="X534" s="29" t="e">
        <f t="shared" si="672"/>
        <v>#REF!</v>
      </c>
      <c r="Y534" s="30" t="e">
        <f t="shared" si="672"/>
        <v>#REF!</v>
      </c>
      <c r="Z534" s="29" t="e">
        <f t="shared" si="672"/>
        <v>#REF!</v>
      </c>
      <c r="AA534" s="28" t="e">
        <f t="shared" si="672"/>
        <v>#REF!</v>
      </c>
      <c r="AB534" s="26" t="e">
        <f t="shared" ref="AB534:AJ535" si="676">J534*31.536*$H534*S534</f>
        <v>#REF!</v>
      </c>
      <c r="AC534" s="25" t="e">
        <f t="shared" si="676"/>
        <v>#REF!</v>
      </c>
      <c r="AD534" s="24" t="e">
        <f t="shared" si="676"/>
        <v>#REF!</v>
      </c>
      <c r="AE534" s="25" t="e">
        <f t="shared" si="676"/>
        <v>#REF!</v>
      </c>
      <c r="AF534" s="24" t="e">
        <f t="shared" si="676"/>
        <v>#REF!</v>
      </c>
      <c r="AG534" s="25" t="e">
        <f t="shared" si="676"/>
        <v>#REF!</v>
      </c>
      <c r="AH534" s="24" t="e">
        <f t="shared" si="676"/>
        <v>#REF!</v>
      </c>
      <c r="AI534" s="25" t="e">
        <f t="shared" si="676"/>
        <v>#REF!</v>
      </c>
      <c r="AJ534" s="24" t="e">
        <f t="shared" si="676"/>
        <v>#REF!</v>
      </c>
      <c r="AK534" s="27" t="e">
        <f t="shared" si="670"/>
        <v>#REF!</v>
      </c>
      <c r="AL534" s="26" t="e">
        <f t="shared" ref="AL534:AT535" si="677">J534*31.536*$I534*S534</f>
        <v>#REF!</v>
      </c>
      <c r="AM534" s="25" t="e">
        <f t="shared" si="677"/>
        <v>#REF!</v>
      </c>
      <c r="AN534" s="24" t="e">
        <f t="shared" si="677"/>
        <v>#REF!</v>
      </c>
      <c r="AO534" s="25" t="e">
        <f t="shared" si="677"/>
        <v>#REF!</v>
      </c>
      <c r="AP534" s="24" t="e">
        <f t="shared" si="677"/>
        <v>#REF!</v>
      </c>
      <c r="AQ534" s="25" t="e">
        <f t="shared" si="677"/>
        <v>#REF!</v>
      </c>
      <c r="AR534" s="24" t="e">
        <f t="shared" si="677"/>
        <v>#REF!</v>
      </c>
      <c r="AS534" s="25" t="e">
        <f t="shared" si="677"/>
        <v>#REF!</v>
      </c>
      <c r="AT534" s="24" t="e">
        <f t="shared" si="677"/>
        <v>#REF!</v>
      </c>
      <c r="AU534" s="23" t="e">
        <f>SUM(AL534:AT534)</f>
        <v>#REF!</v>
      </c>
    </row>
    <row r="535" spans="1:47">
      <c r="A535" s="37" t="s">
        <v>1201</v>
      </c>
      <c r="B535" s="36" t="s">
        <v>1107</v>
      </c>
      <c r="C535" s="1" t="s">
        <v>1111</v>
      </c>
      <c r="D535" s="36" t="s">
        <v>1111</v>
      </c>
      <c r="E535" s="36" t="s">
        <v>1202</v>
      </c>
      <c r="F535" s="1" t="e">
        <f t="shared" ca="1" si="671"/>
        <v>#NAME?</v>
      </c>
      <c r="G535" s="35" t="s">
        <v>1109</v>
      </c>
      <c r="H535" s="34">
        <f>1-I535</f>
        <v>0.88332652522877819</v>
      </c>
      <c r="I535" s="33">
        <v>0.11667347477122177</v>
      </c>
      <c r="J535" s="26" t="e">
        <v>#REF!</v>
      </c>
      <c r="K535" s="25" t="e">
        <v>#REF!</v>
      </c>
      <c r="L535" s="24"/>
      <c r="M535" s="25"/>
      <c r="N535" s="24"/>
      <c r="O535" s="25"/>
      <c r="P535" s="24"/>
      <c r="Q535" s="25"/>
      <c r="R535" s="32"/>
      <c r="S535" s="31" t="e">
        <v>#REF!</v>
      </c>
      <c r="T535" s="29" t="e">
        <f t="shared" si="672"/>
        <v>#REF!</v>
      </c>
      <c r="U535" s="30" t="e">
        <f t="shared" si="672"/>
        <v>#REF!</v>
      </c>
      <c r="V535" s="29" t="e">
        <f t="shared" si="672"/>
        <v>#REF!</v>
      </c>
      <c r="W535" s="30" t="e">
        <f t="shared" si="672"/>
        <v>#REF!</v>
      </c>
      <c r="X535" s="29" t="e">
        <f t="shared" si="672"/>
        <v>#REF!</v>
      </c>
      <c r="Y535" s="30" t="e">
        <f t="shared" si="672"/>
        <v>#REF!</v>
      </c>
      <c r="Z535" s="29" t="e">
        <f t="shared" si="672"/>
        <v>#REF!</v>
      </c>
      <c r="AA535" s="28" t="e">
        <f t="shared" si="672"/>
        <v>#REF!</v>
      </c>
      <c r="AB535" s="26" t="e">
        <f t="shared" si="676"/>
        <v>#REF!</v>
      </c>
      <c r="AC535" s="25" t="e">
        <f t="shared" si="676"/>
        <v>#REF!</v>
      </c>
      <c r="AD535" s="24" t="e">
        <f t="shared" si="676"/>
        <v>#REF!</v>
      </c>
      <c r="AE535" s="25" t="e">
        <f t="shared" si="676"/>
        <v>#REF!</v>
      </c>
      <c r="AF535" s="24" t="e">
        <f t="shared" si="676"/>
        <v>#REF!</v>
      </c>
      <c r="AG535" s="25" t="e">
        <f t="shared" si="676"/>
        <v>#REF!</v>
      </c>
      <c r="AH535" s="24" t="e">
        <f t="shared" si="676"/>
        <v>#REF!</v>
      </c>
      <c r="AI535" s="25" t="e">
        <f t="shared" si="676"/>
        <v>#REF!</v>
      </c>
      <c r="AJ535" s="24" t="e">
        <f t="shared" si="676"/>
        <v>#REF!</v>
      </c>
      <c r="AK535" s="27" t="e">
        <f t="shared" si="670"/>
        <v>#REF!</v>
      </c>
      <c r="AL535" s="26" t="e">
        <f t="shared" si="677"/>
        <v>#REF!</v>
      </c>
      <c r="AM535" s="25" t="e">
        <f t="shared" si="677"/>
        <v>#REF!</v>
      </c>
      <c r="AN535" s="24" t="e">
        <f t="shared" si="677"/>
        <v>#REF!</v>
      </c>
      <c r="AO535" s="25" t="e">
        <f t="shared" si="677"/>
        <v>#REF!</v>
      </c>
      <c r="AP535" s="24" t="e">
        <f t="shared" si="677"/>
        <v>#REF!</v>
      </c>
      <c r="AQ535" s="25" t="e">
        <f t="shared" si="677"/>
        <v>#REF!</v>
      </c>
      <c r="AR535" s="24" t="e">
        <f t="shared" si="677"/>
        <v>#REF!</v>
      </c>
      <c r="AS535" s="25" t="e">
        <f t="shared" si="677"/>
        <v>#REF!</v>
      </c>
      <c r="AT535" s="24" t="e">
        <f t="shared" si="677"/>
        <v>#REF!</v>
      </c>
      <c r="AU535" s="23" t="e">
        <f>SUM(AL535:AT535)</f>
        <v>#REF!</v>
      </c>
    </row>
    <row r="536" spans="1:47">
      <c r="A536" s="22" t="s">
        <v>1201</v>
      </c>
      <c r="B536" s="20" t="s">
        <v>1107</v>
      </c>
      <c r="C536" s="21" t="s">
        <v>1106</v>
      </c>
      <c r="D536" s="20" t="s">
        <v>1106</v>
      </c>
      <c r="E536" s="20" t="s">
        <v>1200</v>
      </c>
      <c r="F536" s="21" t="e">
        <f t="shared" ca="1" si="671"/>
        <v>#NAME?</v>
      </c>
      <c r="G536" s="19" t="s">
        <v>1104</v>
      </c>
      <c r="H536" s="18">
        <v>1</v>
      </c>
      <c r="I536" s="17">
        <v>0</v>
      </c>
      <c r="J536" s="11">
        <v>0</v>
      </c>
      <c r="K536" s="10">
        <v>0</v>
      </c>
      <c r="L536" s="9"/>
      <c r="M536" s="10"/>
      <c r="N536" s="9"/>
      <c r="O536" s="10"/>
      <c r="P536" s="9"/>
      <c r="Q536" s="10"/>
      <c r="R536" s="16"/>
      <c r="S536" s="15" t="e">
        <v>#REF!</v>
      </c>
      <c r="T536" s="13" t="e">
        <f t="shared" si="672"/>
        <v>#REF!</v>
      </c>
      <c r="U536" s="14" t="e">
        <f t="shared" si="672"/>
        <v>#REF!</v>
      </c>
      <c r="V536" s="13" t="e">
        <f t="shared" si="672"/>
        <v>#REF!</v>
      </c>
      <c r="W536" s="14" t="e">
        <f t="shared" si="672"/>
        <v>#REF!</v>
      </c>
      <c r="X536" s="13" t="e">
        <f t="shared" si="672"/>
        <v>#REF!</v>
      </c>
      <c r="Y536" s="14" t="e">
        <f t="shared" si="672"/>
        <v>#REF!</v>
      </c>
      <c r="Z536" s="13" t="e">
        <f t="shared" si="672"/>
        <v>#REF!</v>
      </c>
      <c r="AA536" s="12" t="e">
        <f t="shared" si="672"/>
        <v>#REF!</v>
      </c>
      <c r="AB536" s="11" t="e">
        <f t="shared" ref="AB536:AJ542" si="678">J536*$H536*S536</f>
        <v>#REF!</v>
      </c>
      <c r="AC536" s="10" t="e">
        <f t="shared" si="678"/>
        <v>#REF!</v>
      </c>
      <c r="AD536" s="9" t="e">
        <f t="shared" si="678"/>
        <v>#REF!</v>
      </c>
      <c r="AE536" s="10" t="e">
        <f t="shared" si="678"/>
        <v>#REF!</v>
      </c>
      <c r="AF536" s="9" t="e">
        <f t="shared" si="678"/>
        <v>#REF!</v>
      </c>
      <c r="AG536" s="10" t="e">
        <f t="shared" si="678"/>
        <v>#REF!</v>
      </c>
      <c r="AH536" s="9" t="e">
        <f t="shared" si="678"/>
        <v>#REF!</v>
      </c>
      <c r="AI536" s="10" t="e">
        <f t="shared" si="678"/>
        <v>#REF!</v>
      </c>
      <c r="AJ536" s="9" t="e">
        <f t="shared" si="678"/>
        <v>#REF!</v>
      </c>
      <c r="AK536" s="8" t="e">
        <f t="shared" si="670"/>
        <v>#REF!</v>
      </c>
      <c r="AL536" s="7">
        <v>0</v>
      </c>
      <c r="AM536" s="6">
        <v>0</v>
      </c>
      <c r="AN536" s="5">
        <v>0</v>
      </c>
      <c r="AO536" s="6">
        <v>0</v>
      </c>
      <c r="AP536" s="5">
        <v>0</v>
      </c>
      <c r="AQ536" s="6">
        <v>0</v>
      </c>
      <c r="AR536" s="5">
        <v>0</v>
      </c>
      <c r="AS536" s="6">
        <v>0</v>
      </c>
      <c r="AT536" s="5">
        <v>0</v>
      </c>
      <c r="AU536" s="4">
        <v>0</v>
      </c>
    </row>
    <row r="537" spans="1:47">
      <c r="A537" s="37" t="s">
        <v>1164</v>
      </c>
      <c r="B537" s="36" t="s">
        <v>1136</v>
      </c>
      <c r="C537" s="1" t="s">
        <v>1126</v>
      </c>
      <c r="D537" s="36" t="s">
        <v>1126</v>
      </c>
      <c r="E537" s="36" t="s">
        <v>1199</v>
      </c>
      <c r="F537" s="1" t="s">
        <v>1198</v>
      </c>
      <c r="G537" s="35" t="s">
        <v>1121</v>
      </c>
      <c r="H537" s="43">
        <v>1</v>
      </c>
      <c r="I537" s="42">
        <v>0</v>
      </c>
      <c r="J537" s="26">
        <v>0.14218356431287374</v>
      </c>
      <c r="K537" s="25">
        <v>1.7693954670046512</v>
      </c>
      <c r="L537" s="24"/>
      <c r="M537" s="25"/>
      <c r="N537" s="24"/>
      <c r="O537" s="25"/>
      <c r="P537" s="24"/>
      <c r="Q537" s="25"/>
      <c r="R537" s="32"/>
      <c r="S537" s="47">
        <v>1</v>
      </c>
      <c r="T537" s="45">
        <v>1</v>
      </c>
      <c r="U537" s="46">
        <v>1</v>
      </c>
      <c r="V537" s="45">
        <v>1</v>
      </c>
      <c r="W537" s="46">
        <v>1</v>
      </c>
      <c r="X537" s="45">
        <v>1</v>
      </c>
      <c r="Y537" s="46">
        <v>1</v>
      </c>
      <c r="Z537" s="45">
        <v>1</v>
      </c>
      <c r="AA537" s="44">
        <v>1</v>
      </c>
      <c r="AB537" s="26">
        <f t="shared" si="678"/>
        <v>0.14218356431287374</v>
      </c>
      <c r="AC537" s="25">
        <f t="shared" si="678"/>
        <v>1.7693954670046512</v>
      </c>
      <c r="AD537" s="24">
        <f t="shared" si="678"/>
        <v>0</v>
      </c>
      <c r="AE537" s="25">
        <f t="shared" si="678"/>
        <v>0</v>
      </c>
      <c r="AF537" s="24">
        <f t="shared" si="678"/>
        <v>0</v>
      </c>
      <c r="AG537" s="25">
        <f t="shared" si="678"/>
        <v>0</v>
      </c>
      <c r="AH537" s="24">
        <f t="shared" si="678"/>
        <v>0</v>
      </c>
      <c r="AI537" s="25">
        <f t="shared" si="678"/>
        <v>0</v>
      </c>
      <c r="AJ537" s="24">
        <f t="shared" si="678"/>
        <v>0</v>
      </c>
      <c r="AK537" s="27">
        <f t="shared" si="670"/>
        <v>1.9115790313175249</v>
      </c>
      <c r="AL537" s="41">
        <v>0</v>
      </c>
      <c r="AM537" s="40">
        <v>0</v>
      </c>
      <c r="AN537" s="39">
        <v>0</v>
      </c>
      <c r="AO537" s="40">
        <v>0</v>
      </c>
      <c r="AP537" s="39">
        <v>0</v>
      </c>
      <c r="AQ537" s="40">
        <v>0</v>
      </c>
      <c r="AR537" s="39">
        <v>0</v>
      </c>
      <c r="AS537" s="40">
        <v>0</v>
      </c>
      <c r="AT537" s="39">
        <v>0</v>
      </c>
      <c r="AU537" s="38">
        <v>0</v>
      </c>
    </row>
    <row r="538" spans="1:47">
      <c r="A538" s="37" t="s">
        <v>1164</v>
      </c>
      <c r="B538" s="36" t="s">
        <v>1129</v>
      </c>
      <c r="C538" s="1" t="s">
        <v>1197</v>
      </c>
      <c r="D538" s="36" t="s">
        <v>1197</v>
      </c>
      <c r="E538" s="36" t="s">
        <v>1196</v>
      </c>
      <c r="F538" s="1" t="s">
        <v>1195</v>
      </c>
      <c r="G538" s="35" t="s">
        <v>1121</v>
      </c>
      <c r="H538" s="43">
        <v>1</v>
      </c>
      <c r="I538" s="42">
        <v>0</v>
      </c>
      <c r="J538" s="26">
        <v>0</v>
      </c>
      <c r="K538" s="25">
        <v>0.61010029175439262</v>
      </c>
      <c r="L538" s="24"/>
      <c r="M538" s="25"/>
      <c r="N538" s="24"/>
      <c r="O538" s="25"/>
      <c r="P538" s="24"/>
      <c r="Q538" s="25"/>
      <c r="R538" s="32"/>
      <c r="S538" s="47">
        <v>1</v>
      </c>
      <c r="T538" s="45">
        <v>1</v>
      </c>
      <c r="U538" s="46">
        <v>1</v>
      </c>
      <c r="V538" s="45">
        <v>1</v>
      </c>
      <c r="W538" s="46">
        <v>1</v>
      </c>
      <c r="X538" s="45">
        <v>1</v>
      </c>
      <c r="Y538" s="46">
        <v>1</v>
      </c>
      <c r="Z538" s="45">
        <v>1</v>
      </c>
      <c r="AA538" s="44">
        <v>1</v>
      </c>
      <c r="AB538" s="26">
        <f t="shared" si="678"/>
        <v>0</v>
      </c>
      <c r="AC538" s="25">
        <f t="shared" si="678"/>
        <v>0.61010029175439262</v>
      </c>
      <c r="AD538" s="24">
        <f t="shared" si="678"/>
        <v>0</v>
      </c>
      <c r="AE538" s="25">
        <f t="shared" si="678"/>
        <v>0</v>
      </c>
      <c r="AF538" s="24">
        <f t="shared" si="678"/>
        <v>0</v>
      </c>
      <c r="AG538" s="25">
        <f t="shared" si="678"/>
        <v>0</v>
      </c>
      <c r="AH538" s="24">
        <f t="shared" si="678"/>
        <v>0</v>
      </c>
      <c r="AI538" s="25">
        <f t="shared" si="678"/>
        <v>0</v>
      </c>
      <c r="AJ538" s="24">
        <f t="shared" si="678"/>
        <v>0</v>
      </c>
      <c r="AK538" s="27">
        <f t="shared" si="670"/>
        <v>0.61010029175439262</v>
      </c>
      <c r="AL538" s="41">
        <v>0</v>
      </c>
      <c r="AM538" s="40">
        <v>0</v>
      </c>
      <c r="AN538" s="39">
        <v>0</v>
      </c>
      <c r="AO538" s="40">
        <v>0</v>
      </c>
      <c r="AP538" s="39">
        <v>0</v>
      </c>
      <c r="AQ538" s="40">
        <v>0</v>
      </c>
      <c r="AR538" s="39">
        <v>0</v>
      </c>
      <c r="AS538" s="40">
        <v>0</v>
      </c>
      <c r="AT538" s="39">
        <v>0</v>
      </c>
      <c r="AU538" s="38">
        <v>0</v>
      </c>
    </row>
    <row r="539" spans="1:47">
      <c r="A539" s="37" t="s">
        <v>1164</v>
      </c>
      <c r="B539" s="36" t="s">
        <v>1129</v>
      </c>
      <c r="C539" s="1" t="s">
        <v>468</v>
      </c>
      <c r="D539" s="36" t="s">
        <v>468</v>
      </c>
      <c r="E539" s="36" t="s">
        <v>1194</v>
      </c>
      <c r="F539" s="1" t="s">
        <v>1193</v>
      </c>
      <c r="G539" s="35" t="s">
        <v>1121</v>
      </c>
      <c r="H539" s="43">
        <v>1</v>
      </c>
      <c r="I539" s="42">
        <v>0</v>
      </c>
      <c r="J539" s="26">
        <v>0</v>
      </c>
      <c r="K539" s="25">
        <v>0.61010029175439262</v>
      </c>
      <c r="L539" s="24"/>
      <c r="M539" s="25"/>
      <c r="N539" s="24"/>
      <c r="O539" s="25"/>
      <c r="P539" s="24"/>
      <c r="Q539" s="25"/>
      <c r="R539" s="32"/>
      <c r="S539" s="47">
        <v>1</v>
      </c>
      <c r="T539" s="45">
        <v>1</v>
      </c>
      <c r="U539" s="46">
        <v>1</v>
      </c>
      <c r="V539" s="45">
        <v>1</v>
      </c>
      <c r="W539" s="46">
        <v>1</v>
      </c>
      <c r="X539" s="45">
        <v>1</v>
      </c>
      <c r="Y539" s="46">
        <v>1</v>
      </c>
      <c r="Z539" s="45">
        <v>1</v>
      </c>
      <c r="AA539" s="44">
        <v>1</v>
      </c>
      <c r="AB539" s="26">
        <f t="shared" si="678"/>
        <v>0</v>
      </c>
      <c r="AC539" s="25">
        <f t="shared" si="678"/>
        <v>0.61010029175439262</v>
      </c>
      <c r="AD539" s="24">
        <f t="shared" si="678"/>
        <v>0</v>
      </c>
      <c r="AE539" s="25">
        <f t="shared" si="678"/>
        <v>0</v>
      </c>
      <c r="AF539" s="24">
        <f t="shared" si="678"/>
        <v>0</v>
      </c>
      <c r="AG539" s="25">
        <f t="shared" si="678"/>
        <v>0</v>
      </c>
      <c r="AH539" s="24">
        <f t="shared" si="678"/>
        <v>0</v>
      </c>
      <c r="AI539" s="25">
        <f t="shared" si="678"/>
        <v>0</v>
      </c>
      <c r="AJ539" s="24">
        <f t="shared" si="678"/>
        <v>0</v>
      </c>
      <c r="AK539" s="27">
        <f t="shared" si="670"/>
        <v>0.61010029175439262</v>
      </c>
      <c r="AL539" s="41">
        <v>0</v>
      </c>
      <c r="AM539" s="40">
        <v>0</v>
      </c>
      <c r="AN539" s="39">
        <v>0</v>
      </c>
      <c r="AO539" s="40">
        <v>0</v>
      </c>
      <c r="AP539" s="39">
        <v>0</v>
      </c>
      <c r="AQ539" s="40">
        <v>0</v>
      </c>
      <c r="AR539" s="39">
        <v>0</v>
      </c>
      <c r="AS539" s="40">
        <v>0</v>
      </c>
      <c r="AT539" s="39">
        <v>0</v>
      </c>
      <c r="AU539" s="38">
        <v>0</v>
      </c>
    </row>
    <row r="540" spans="1:47">
      <c r="A540" s="37" t="s">
        <v>1164</v>
      </c>
      <c r="B540" s="36" t="s">
        <v>1129</v>
      </c>
      <c r="C540" s="1" t="s">
        <v>1132</v>
      </c>
      <c r="D540" s="36" t="s">
        <v>1131</v>
      </c>
      <c r="E540" s="36" t="s">
        <v>1192</v>
      </c>
      <c r="F540" s="1" t="s">
        <v>1184</v>
      </c>
      <c r="G540" s="35" t="s">
        <v>1121</v>
      </c>
      <c r="H540" s="43">
        <v>1</v>
      </c>
      <c r="I540" s="42">
        <v>0</v>
      </c>
      <c r="J540" s="26">
        <v>0</v>
      </c>
      <c r="K540" s="25">
        <v>0</v>
      </c>
      <c r="L540" s="24"/>
      <c r="M540" s="25"/>
      <c r="N540" s="24"/>
      <c r="O540" s="25"/>
      <c r="P540" s="24"/>
      <c r="Q540" s="25"/>
      <c r="R540" s="32"/>
      <c r="S540" s="47">
        <v>1</v>
      </c>
      <c r="T540" s="45">
        <v>1</v>
      </c>
      <c r="U540" s="46">
        <v>1</v>
      </c>
      <c r="V540" s="45">
        <v>1</v>
      </c>
      <c r="W540" s="46">
        <v>1</v>
      </c>
      <c r="X540" s="45">
        <v>1</v>
      </c>
      <c r="Y540" s="46">
        <v>1</v>
      </c>
      <c r="Z540" s="45">
        <v>1</v>
      </c>
      <c r="AA540" s="44">
        <v>1</v>
      </c>
      <c r="AB540" s="26">
        <f t="shared" si="678"/>
        <v>0</v>
      </c>
      <c r="AC540" s="25">
        <f t="shared" si="678"/>
        <v>0</v>
      </c>
      <c r="AD540" s="24">
        <f t="shared" si="678"/>
        <v>0</v>
      </c>
      <c r="AE540" s="25">
        <f t="shared" si="678"/>
        <v>0</v>
      </c>
      <c r="AF540" s="24">
        <f t="shared" si="678"/>
        <v>0</v>
      </c>
      <c r="AG540" s="25">
        <f t="shared" si="678"/>
        <v>0</v>
      </c>
      <c r="AH540" s="24">
        <f t="shared" si="678"/>
        <v>0</v>
      </c>
      <c r="AI540" s="25">
        <f t="shared" si="678"/>
        <v>0</v>
      </c>
      <c r="AJ540" s="24">
        <f t="shared" si="678"/>
        <v>0</v>
      </c>
      <c r="AK540" s="27">
        <f t="shared" si="670"/>
        <v>0</v>
      </c>
      <c r="AL540" s="41">
        <v>0</v>
      </c>
      <c r="AM540" s="40">
        <v>0</v>
      </c>
      <c r="AN540" s="39">
        <v>0</v>
      </c>
      <c r="AO540" s="40">
        <v>0</v>
      </c>
      <c r="AP540" s="39">
        <v>0</v>
      </c>
      <c r="AQ540" s="40">
        <v>0</v>
      </c>
      <c r="AR540" s="39">
        <v>0</v>
      </c>
      <c r="AS540" s="40">
        <v>0</v>
      </c>
      <c r="AT540" s="39">
        <v>0</v>
      </c>
      <c r="AU540" s="38">
        <v>0</v>
      </c>
    </row>
    <row r="541" spans="1:47">
      <c r="A541" s="37" t="s">
        <v>1164</v>
      </c>
      <c r="B541" s="36" t="s">
        <v>1129</v>
      </c>
      <c r="C541" s="1" t="s">
        <v>1132</v>
      </c>
      <c r="D541" s="36" t="s">
        <v>1189</v>
      </c>
      <c r="E541" s="36" t="s">
        <v>1191</v>
      </c>
      <c r="F541" s="1" t="s">
        <v>1184</v>
      </c>
      <c r="G541" s="35" t="s">
        <v>1179</v>
      </c>
      <c r="H541" s="43">
        <v>1</v>
      </c>
      <c r="I541" s="42">
        <v>0</v>
      </c>
      <c r="J541" s="26" t="e">
        <v>#REF!</v>
      </c>
      <c r="K541" s="25" t="e">
        <v>#REF!</v>
      </c>
      <c r="L541" s="24"/>
      <c r="M541" s="25"/>
      <c r="N541" s="24"/>
      <c r="O541" s="25"/>
      <c r="P541" s="24"/>
      <c r="Q541" s="25"/>
      <c r="R541" s="32"/>
      <c r="S541" s="47" t="e">
        <v>#REF!</v>
      </c>
      <c r="T541" s="45" t="e">
        <v>#REF!</v>
      </c>
      <c r="U541" s="46" t="e">
        <v>#REF!</v>
      </c>
      <c r="V541" s="45" t="e">
        <v>#REF!</v>
      </c>
      <c r="W541" s="46" t="e">
        <v>#REF!</v>
      </c>
      <c r="X541" s="45" t="e">
        <v>#REF!</v>
      </c>
      <c r="Y541" s="46" t="e">
        <v>#REF!</v>
      </c>
      <c r="Z541" s="45" t="e">
        <v>#REF!</v>
      </c>
      <c r="AA541" s="44" t="e">
        <v>#REF!</v>
      </c>
      <c r="AB541" s="26" t="e">
        <f t="shared" si="678"/>
        <v>#REF!</v>
      </c>
      <c r="AC541" s="25" t="e">
        <f t="shared" si="678"/>
        <v>#REF!</v>
      </c>
      <c r="AD541" s="24" t="e">
        <f t="shared" si="678"/>
        <v>#REF!</v>
      </c>
      <c r="AE541" s="25" t="e">
        <f t="shared" si="678"/>
        <v>#REF!</v>
      </c>
      <c r="AF541" s="24" t="e">
        <f t="shared" si="678"/>
        <v>#REF!</v>
      </c>
      <c r="AG541" s="25" t="e">
        <f t="shared" si="678"/>
        <v>#REF!</v>
      </c>
      <c r="AH541" s="24" t="e">
        <f t="shared" si="678"/>
        <v>#REF!</v>
      </c>
      <c r="AI541" s="25" t="e">
        <f t="shared" si="678"/>
        <v>#REF!</v>
      </c>
      <c r="AJ541" s="24" t="e">
        <f t="shared" si="678"/>
        <v>#REF!</v>
      </c>
      <c r="AK541" s="27" t="e">
        <f t="shared" si="670"/>
        <v>#REF!</v>
      </c>
      <c r="AL541" s="41">
        <v>0</v>
      </c>
      <c r="AM541" s="40">
        <v>0</v>
      </c>
      <c r="AN541" s="39">
        <v>0</v>
      </c>
      <c r="AO541" s="40">
        <v>0</v>
      </c>
      <c r="AP541" s="39">
        <v>0</v>
      </c>
      <c r="AQ541" s="40">
        <v>0</v>
      </c>
      <c r="AR541" s="39">
        <v>0</v>
      </c>
      <c r="AS541" s="40">
        <v>0</v>
      </c>
      <c r="AT541" s="39">
        <v>0</v>
      </c>
      <c r="AU541" s="38">
        <v>0</v>
      </c>
    </row>
    <row r="542" spans="1:47">
      <c r="A542" s="37" t="s">
        <v>1164</v>
      </c>
      <c r="B542" s="36" t="s">
        <v>1129</v>
      </c>
      <c r="C542" s="1" t="s">
        <v>1132</v>
      </c>
      <c r="D542" s="36" t="s">
        <v>1189</v>
      </c>
      <c r="E542" s="36" t="s">
        <v>1190</v>
      </c>
      <c r="F542" s="1" t="s">
        <v>1184</v>
      </c>
      <c r="G542" s="35" t="s">
        <v>1179</v>
      </c>
      <c r="H542" s="43">
        <v>1</v>
      </c>
      <c r="I542" s="42">
        <v>0</v>
      </c>
      <c r="J542" s="26" t="e">
        <v>#REF!</v>
      </c>
      <c r="K542" s="25" t="e">
        <v>#REF!</v>
      </c>
      <c r="L542" s="24"/>
      <c r="M542" s="25"/>
      <c r="N542" s="24"/>
      <c r="O542" s="25"/>
      <c r="P542" s="24"/>
      <c r="Q542" s="25"/>
      <c r="R542" s="32"/>
      <c r="S542" s="31" t="e">
        <v>#REF!</v>
      </c>
      <c r="T542" s="29" t="e">
        <v>#REF!</v>
      </c>
      <c r="U542" s="30" t="e">
        <v>#REF!</v>
      </c>
      <c r="V542" s="29" t="e">
        <v>#REF!</v>
      </c>
      <c r="W542" s="30" t="e">
        <v>#REF!</v>
      </c>
      <c r="X542" s="29" t="e">
        <v>#REF!</v>
      </c>
      <c r="Y542" s="30" t="e">
        <v>#REF!</v>
      </c>
      <c r="Z542" s="29" t="e">
        <v>#REF!</v>
      </c>
      <c r="AA542" s="28" t="e">
        <v>#REF!</v>
      </c>
      <c r="AB542" s="26" t="e">
        <f t="shared" si="678"/>
        <v>#REF!</v>
      </c>
      <c r="AC542" s="25" t="e">
        <f t="shared" si="678"/>
        <v>#REF!</v>
      </c>
      <c r="AD542" s="24" t="e">
        <f t="shared" si="678"/>
        <v>#REF!</v>
      </c>
      <c r="AE542" s="25" t="e">
        <f t="shared" si="678"/>
        <v>#REF!</v>
      </c>
      <c r="AF542" s="24" t="e">
        <f t="shared" si="678"/>
        <v>#REF!</v>
      </c>
      <c r="AG542" s="25" t="e">
        <f t="shared" si="678"/>
        <v>#REF!</v>
      </c>
      <c r="AH542" s="24" t="e">
        <f t="shared" si="678"/>
        <v>#REF!</v>
      </c>
      <c r="AI542" s="25" t="e">
        <f t="shared" si="678"/>
        <v>#REF!</v>
      </c>
      <c r="AJ542" s="24" t="e">
        <f t="shared" si="678"/>
        <v>#REF!</v>
      </c>
      <c r="AK542" s="27" t="e">
        <f t="shared" si="670"/>
        <v>#REF!</v>
      </c>
      <c r="AL542" s="41">
        <v>0</v>
      </c>
      <c r="AM542" s="40">
        <v>0</v>
      </c>
      <c r="AN542" s="39">
        <v>0</v>
      </c>
      <c r="AO542" s="40">
        <v>0</v>
      </c>
      <c r="AP542" s="39">
        <v>0</v>
      </c>
      <c r="AQ542" s="40">
        <v>0</v>
      </c>
      <c r="AR542" s="39">
        <v>0</v>
      </c>
      <c r="AS542" s="40">
        <v>0</v>
      </c>
      <c r="AT542" s="39">
        <v>0</v>
      </c>
      <c r="AU542" s="38">
        <v>0</v>
      </c>
    </row>
    <row r="543" spans="1:47">
      <c r="A543" s="37" t="s">
        <v>1164</v>
      </c>
      <c r="B543" s="36" t="s">
        <v>1129</v>
      </c>
      <c r="C543" s="1" t="s">
        <v>1132</v>
      </c>
      <c r="D543" s="36" t="s">
        <v>1189</v>
      </c>
      <c r="E543" s="36" t="s">
        <v>1188</v>
      </c>
      <c r="F543" s="1" t="s">
        <v>1180</v>
      </c>
      <c r="G543" s="35" t="s">
        <v>1179</v>
      </c>
      <c r="H543" s="34">
        <f>1-I543</f>
        <v>0.88332652522877819</v>
      </c>
      <c r="I543" s="33">
        <v>0.11667347477122177</v>
      </c>
      <c r="J543" s="26" t="e">
        <v>#REF!</v>
      </c>
      <c r="K543" s="25" t="e">
        <v>#REF!</v>
      </c>
      <c r="L543" s="24"/>
      <c r="M543" s="25"/>
      <c r="N543" s="24"/>
      <c r="O543" s="25"/>
      <c r="P543" s="24"/>
      <c r="Q543" s="25"/>
      <c r="R543" s="32"/>
      <c r="S543" s="31" t="e">
        <v>#REF!</v>
      </c>
      <c r="T543" s="29" t="e">
        <v>#REF!</v>
      </c>
      <c r="U543" s="30" t="e">
        <v>#REF!</v>
      </c>
      <c r="V543" s="29" t="e">
        <v>#REF!</v>
      </c>
      <c r="W543" s="30" t="e">
        <v>#REF!</v>
      </c>
      <c r="X543" s="29" t="e">
        <v>#REF!</v>
      </c>
      <c r="Y543" s="30" t="e">
        <v>#REF!</v>
      </c>
      <c r="Z543" s="29" t="e">
        <v>#REF!</v>
      </c>
      <c r="AA543" s="28" t="e">
        <v>#REF!</v>
      </c>
      <c r="AB543" s="26" t="e">
        <f t="shared" ref="AB543:AJ543" si="679">J543*31.536*$H543*S543</f>
        <v>#REF!</v>
      </c>
      <c r="AC543" s="25" t="e">
        <f t="shared" si="679"/>
        <v>#REF!</v>
      </c>
      <c r="AD543" s="24" t="e">
        <f t="shared" si="679"/>
        <v>#REF!</v>
      </c>
      <c r="AE543" s="25" t="e">
        <f t="shared" si="679"/>
        <v>#REF!</v>
      </c>
      <c r="AF543" s="24" t="e">
        <f t="shared" si="679"/>
        <v>#REF!</v>
      </c>
      <c r="AG543" s="25" t="e">
        <f t="shared" si="679"/>
        <v>#REF!</v>
      </c>
      <c r="AH543" s="24" t="e">
        <f t="shared" si="679"/>
        <v>#REF!</v>
      </c>
      <c r="AI543" s="25" t="e">
        <f t="shared" si="679"/>
        <v>#REF!</v>
      </c>
      <c r="AJ543" s="24" t="e">
        <f t="shared" si="679"/>
        <v>#REF!</v>
      </c>
      <c r="AK543" s="27" t="e">
        <f t="shared" si="670"/>
        <v>#REF!</v>
      </c>
      <c r="AL543" s="26" t="e">
        <f t="shared" ref="AL543:AT543" si="680">J543*31.536*$I543*S543</f>
        <v>#REF!</v>
      </c>
      <c r="AM543" s="25" t="e">
        <f t="shared" si="680"/>
        <v>#REF!</v>
      </c>
      <c r="AN543" s="24" t="e">
        <f t="shared" si="680"/>
        <v>#REF!</v>
      </c>
      <c r="AO543" s="25" t="e">
        <f t="shared" si="680"/>
        <v>#REF!</v>
      </c>
      <c r="AP543" s="24" t="e">
        <f t="shared" si="680"/>
        <v>#REF!</v>
      </c>
      <c r="AQ543" s="25" t="e">
        <f t="shared" si="680"/>
        <v>#REF!</v>
      </c>
      <c r="AR543" s="24" t="e">
        <f t="shared" si="680"/>
        <v>#REF!</v>
      </c>
      <c r="AS543" s="25" t="e">
        <f t="shared" si="680"/>
        <v>#REF!</v>
      </c>
      <c r="AT543" s="24" t="e">
        <f t="shared" si="680"/>
        <v>#REF!</v>
      </c>
      <c r="AU543" s="23" t="e">
        <f>SUM(AL543:AT543)</f>
        <v>#REF!</v>
      </c>
    </row>
    <row r="544" spans="1:47">
      <c r="A544" s="37" t="s">
        <v>1164</v>
      </c>
      <c r="B544" s="36" t="s">
        <v>1129</v>
      </c>
      <c r="C544" s="1" t="s">
        <v>1132</v>
      </c>
      <c r="D544" s="36" t="s">
        <v>1182</v>
      </c>
      <c r="E544" s="36" t="s">
        <v>1187</v>
      </c>
      <c r="F544" s="1" t="s">
        <v>1184</v>
      </c>
      <c r="G544" s="35" t="s">
        <v>1179</v>
      </c>
      <c r="H544" s="43">
        <v>1</v>
      </c>
      <c r="I544" s="42">
        <v>0</v>
      </c>
      <c r="J544" s="26" t="e">
        <v>#REF!</v>
      </c>
      <c r="K544" s="25" t="e">
        <v>#REF!</v>
      </c>
      <c r="L544" s="24"/>
      <c r="M544" s="25"/>
      <c r="N544" s="24"/>
      <c r="O544" s="25"/>
      <c r="P544" s="24"/>
      <c r="Q544" s="25"/>
      <c r="R544" s="32"/>
      <c r="S544" s="31" t="e">
        <v>#REF!</v>
      </c>
      <c r="T544" s="29" t="e">
        <v>#REF!</v>
      </c>
      <c r="U544" s="30" t="e">
        <v>#REF!</v>
      </c>
      <c r="V544" s="29" t="e">
        <v>#REF!</v>
      </c>
      <c r="W544" s="30" t="e">
        <v>#REF!</v>
      </c>
      <c r="X544" s="29" t="e">
        <v>#REF!</v>
      </c>
      <c r="Y544" s="30" t="e">
        <v>#REF!</v>
      </c>
      <c r="Z544" s="29" t="e">
        <v>#REF!</v>
      </c>
      <c r="AA544" s="28" t="e">
        <v>#REF!</v>
      </c>
      <c r="AB544" s="26" t="e">
        <f t="shared" ref="AB544:AJ546" si="681">J544*$H544*S544</f>
        <v>#REF!</v>
      </c>
      <c r="AC544" s="25" t="e">
        <f t="shared" si="681"/>
        <v>#REF!</v>
      </c>
      <c r="AD544" s="24" t="e">
        <f t="shared" si="681"/>
        <v>#REF!</v>
      </c>
      <c r="AE544" s="25" t="e">
        <f t="shared" si="681"/>
        <v>#REF!</v>
      </c>
      <c r="AF544" s="24" t="e">
        <f t="shared" si="681"/>
        <v>#REF!</v>
      </c>
      <c r="AG544" s="25" t="e">
        <f t="shared" si="681"/>
        <v>#REF!</v>
      </c>
      <c r="AH544" s="24" t="e">
        <f t="shared" si="681"/>
        <v>#REF!</v>
      </c>
      <c r="AI544" s="25" t="e">
        <f t="shared" si="681"/>
        <v>#REF!</v>
      </c>
      <c r="AJ544" s="24" t="e">
        <f t="shared" si="681"/>
        <v>#REF!</v>
      </c>
      <c r="AK544" s="27" t="e">
        <f t="shared" si="670"/>
        <v>#REF!</v>
      </c>
      <c r="AL544" s="41">
        <v>0</v>
      </c>
      <c r="AM544" s="40">
        <v>0</v>
      </c>
      <c r="AN544" s="39">
        <v>0</v>
      </c>
      <c r="AO544" s="40">
        <v>0</v>
      </c>
      <c r="AP544" s="39">
        <v>0</v>
      </c>
      <c r="AQ544" s="40">
        <v>0</v>
      </c>
      <c r="AR544" s="39">
        <v>0</v>
      </c>
      <c r="AS544" s="40">
        <v>0</v>
      </c>
      <c r="AT544" s="39">
        <v>0</v>
      </c>
      <c r="AU544" s="38">
        <v>0</v>
      </c>
    </row>
    <row r="545" spans="1:47">
      <c r="A545" s="37" t="s">
        <v>1164</v>
      </c>
      <c r="B545" s="36" t="s">
        <v>1129</v>
      </c>
      <c r="C545" s="1" t="s">
        <v>1132</v>
      </c>
      <c r="D545" s="36" t="s">
        <v>1182</v>
      </c>
      <c r="E545" s="36" t="s">
        <v>1186</v>
      </c>
      <c r="F545" s="1" t="s">
        <v>1184</v>
      </c>
      <c r="G545" s="35" t="s">
        <v>1179</v>
      </c>
      <c r="H545" s="43">
        <v>1</v>
      </c>
      <c r="I545" s="42">
        <v>0</v>
      </c>
      <c r="J545" s="26" t="e">
        <v>#REF!</v>
      </c>
      <c r="K545" s="25" t="e">
        <v>#REF!</v>
      </c>
      <c r="L545" s="24"/>
      <c r="M545" s="25"/>
      <c r="N545" s="24"/>
      <c r="O545" s="25"/>
      <c r="P545" s="24"/>
      <c r="Q545" s="25"/>
      <c r="R545" s="32"/>
      <c r="S545" s="31" t="e">
        <v>#REF!</v>
      </c>
      <c r="T545" s="29" t="e">
        <v>#REF!</v>
      </c>
      <c r="U545" s="30" t="e">
        <v>#REF!</v>
      </c>
      <c r="V545" s="29" t="e">
        <v>#REF!</v>
      </c>
      <c r="W545" s="30" t="e">
        <v>#REF!</v>
      </c>
      <c r="X545" s="29" t="e">
        <v>#REF!</v>
      </c>
      <c r="Y545" s="30" t="e">
        <v>#REF!</v>
      </c>
      <c r="Z545" s="29" t="e">
        <v>#REF!</v>
      </c>
      <c r="AA545" s="28" t="e">
        <v>#REF!</v>
      </c>
      <c r="AB545" s="26" t="e">
        <f t="shared" si="681"/>
        <v>#REF!</v>
      </c>
      <c r="AC545" s="25" t="e">
        <f t="shared" si="681"/>
        <v>#REF!</v>
      </c>
      <c r="AD545" s="24" t="e">
        <f t="shared" si="681"/>
        <v>#REF!</v>
      </c>
      <c r="AE545" s="25" t="e">
        <f t="shared" si="681"/>
        <v>#REF!</v>
      </c>
      <c r="AF545" s="24" t="e">
        <f t="shared" si="681"/>
        <v>#REF!</v>
      </c>
      <c r="AG545" s="25" t="e">
        <f t="shared" si="681"/>
        <v>#REF!</v>
      </c>
      <c r="AH545" s="24" t="e">
        <f t="shared" si="681"/>
        <v>#REF!</v>
      </c>
      <c r="AI545" s="25" t="e">
        <f t="shared" si="681"/>
        <v>#REF!</v>
      </c>
      <c r="AJ545" s="24" t="e">
        <f t="shared" si="681"/>
        <v>#REF!</v>
      </c>
      <c r="AK545" s="27" t="e">
        <f t="shared" si="670"/>
        <v>#REF!</v>
      </c>
      <c r="AL545" s="41">
        <v>0</v>
      </c>
      <c r="AM545" s="40">
        <v>0</v>
      </c>
      <c r="AN545" s="39">
        <v>0</v>
      </c>
      <c r="AO545" s="40">
        <v>0</v>
      </c>
      <c r="AP545" s="39">
        <v>0</v>
      </c>
      <c r="AQ545" s="40">
        <v>0</v>
      </c>
      <c r="AR545" s="39">
        <v>0</v>
      </c>
      <c r="AS545" s="40">
        <v>0</v>
      </c>
      <c r="AT545" s="39">
        <v>0</v>
      </c>
      <c r="AU545" s="38">
        <v>0</v>
      </c>
    </row>
    <row r="546" spans="1:47">
      <c r="A546" s="37" t="s">
        <v>1164</v>
      </c>
      <c r="B546" s="36" t="s">
        <v>1129</v>
      </c>
      <c r="C546" s="1" t="s">
        <v>1132</v>
      </c>
      <c r="D546" s="36" t="s">
        <v>1182</v>
      </c>
      <c r="E546" s="36" t="s">
        <v>1185</v>
      </c>
      <c r="F546" s="1" t="s">
        <v>1184</v>
      </c>
      <c r="G546" s="35" t="s">
        <v>1179</v>
      </c>
      <c r="H546" s="43">
        <v>1</v>
      </c>
      <c r="I546" s="42">
        <v>0</v>
      </c>
      <c r="J546" s="26" t="e">
        <v>#REF!</v>
      </c>
      <c r="K546" s="25" t="e">
        <v>#REF!</v>
      </c>
      <c r="L546" s="24"/>
      <c r="M546" s="25"/>
      <c r="N546" s="24"/>
      <c r="O546" s="25"/>
      <c r="P546" s="24"/>
      <c r="Q546" s="25"/>
      <c r="R546" s="32"/>
      <c r="S546" s="31" t="e">
        <v>#REF!</v>
      </c>
      <c r="T546" s="29" t="e">
        <v>#REF!</v>
      </c>
      <c r="U546" s="30" t="e">
        <v>#REF!</v>
      </c>
      <c r="V546" s="29" t="e">
        <v>#REF!</v>
      </c>
      <c r="W546" s="30" t="e">
        <v>#REF!</v>
      </c>
      <c r="X546" s="29" t="e">
        <v>#REF!</v>
      </c>
      <c r="Y546" s="30" t="e">
        <v>#REF!</v>
      </c>
      <c r="Z546" s="29" t="e">
        <v>#REF!</v>
      </c>
      <c r="AA546" s="28" t="e">
        <v>#REF!</v>
      </c>
      <c r="AB546" s="26" t="e">
        <f t="shared" si="681"/>
        <v>#REF!</v>
      </c>
      <c r="AC546" s="25" t="e">
        <f t="shared" si="681"/>
        <v>#REF!</v>
      </c>
      <c r="AD546" s="24" t="e">
        <f t="shared" si="681"/>
        <v>#REF!</v>
      </c>
      <c r="AE546" s="25" t="e">
        <f t="shared" si="681"/>
        <v>#REF!</v>
      </c>
      <c r="AF546" s="24" t="e">
        <f t="shared" si="681"/>
        <v>#REF!</v>
      </c>
      <c r="AG546" s="25" t="e">
        <f t="shared" si="681"/>
        <v>#REF!</v>
      </c>
      <c r="AH546" s="24" t="e">
        <f t="shared" si="681"/>
        <v>#REF!</v>
      </c>
      <c r="AI546" s="25" t="e">
        <f t="shared" si="681"/>
        <v>#REF!</v>
      </c>
      <c r="AJ546" s="24" t="e">
        <f t="shared" si="681"/>
        <v>#REF!</v>
      </c>
      <c r="AK546" s="27" t="e">
        <f t="shared" si="670"/>
        <v>#REF!</v>
      </c>
      <c r="AL546" s="41">
        <v>0</v>
      </c>
      <c r="AM546" s="40">
        <v>0</v>
      </c>
      <c r="AN546" s="39">
        <v>0</v>
      </c>
      <c r="AO546" s="40">
        <v>0</v>
      </c>
      <c r="AP546" s="39">
        <v>0</v>
      </c>
      <c r="AQ546" s="40">
        <v>0</v>
      </c>
      <c r="AR546" s="39">
        <v>0</v>
      </c>
      <c r="AS546" s="40">
        <v>0</v>
      </c>
      <c r="AT546" s="39">
        <v>0</v>
      </c>
      <c r="AU546" s="38">
        <v>0</v>
      </c>
    </row>
    <row r="547" spans="1:47">
      <c r="A547" s="37" t="s">
        <v>1164</v>
      </c>
      <c r="B547" s="36" t="s">
        <v>1129</v>
      </c>
      <c r="C547" s="1" t="s">
        <v>1132</v>
      </c>
      <c r="D547" s="36" t="s">
        <v>1182</v>
      </c>
      <c r="E547" s="36" t="s">
        <v>1183</v>
      </c>
      <c r="F547" s="1" t="s">
        <v>1180</v>
      </c>
      <c r="G547" s="35" t="s">
        <v>1179</v>
      </c>
      <c r="H547" s="34">
        <f>1-I547</f>
        <v>0.88622195577805152</v>
      </c>
      <c r="I547" s="33">
        <v>0.11377804422194851</v>
      </c>
      <c r="J547" s="26" t="e">
        <v>#REF!</v>
      </c>
      <c r="K547" s="25" t="e">
        <v>#REF!</v>
      </c>
      <c r="L547" s="24"/>
      <c r="M547" s="25"/>
      <c r="N547" s="24"/>
      <c r="O547" s="25"/>
      <c r="P547" s="24"/>
      <c r="Q547" s="25"/>
      <c r="R547" s="32"/>
      <c r="S547" s="31" t="e">
        <v>#REF!</v>
      </c>
      <c r="T547" s="29" t="e">
        <v>#REF!</v>
      </c>
      <c r="U547" s="30" t="e">
        <v>#REF!</v>
      </c>
      <c r="V547" s="29" t="e">
        <v>#REF!</v>
      </c>
      <c r="W547" s="30" t="e">
        <v>#REF!</v>
      </c>
      <c r="X547" s="29" t="e">
        <v>#REF!</v>
      </c>
      <c r="Y547" s="30" t="e">
        <v>#REF!</v>
      </c>
      <c r="Z547" s="29" t="e">
        <v>#REF!</v>
      </c>
      <c r="AA547" s="28" t="e">
        <v>#REF!</v>
      </c>
      <c r="AB547" s="26" t="e">
        <f t="shared" ref="AB547:AJ548" si="682">J547*31.536*$H547*S547</f>
        <v>#REF!</v>
      </c>
      <c r="AC547" s="25" t="e">
        <f t="shared" si="682"/>
        <v>#REF!</v>
      </c>
      <c r="AD547" s="24" t="e">
        <f t="shared" si="682"/>
        <v>#REF!</v>
      </c>
      <c r="AE547" s="25" t="e">
        <f t="shared" si="682"/>
        <v>#REF!</v>
      </c>
      <c r="AF547" s="24" t="e">
        <f t="shared" si="682"/>
        <v>#REF!</v>
      </c>
      <c r="AG547" s="25" t="e">
        <f t="shared" si="682"/>
        <v>#REF!</v>
      </c>
      <c r="AH547" s="24" t="e">
        <f t="shared" si="682"/>
        <v>#REF!</v>
      </c>
      <c r="AI547" s="25" t="e">
        <f t="shared" si="682"/>
        <v>#REF!</v>
      </c>
      <c r="AJ547" s="24" t="e">
        <f t="shared" si="682"/>
        <v>#REF!</v>
      </c>
      <c r="AK547" s="27" t="e">
        <f t="shared" si="670"/>
        <v>#REF!</v>
      </c>
      <c r="AL547" s="26" t="e">
        <f t="shared" ref="AL547:AT548" si="683">J547*31.536*$I547*S547</f>
        <v>#REF!</v>
      </c>
      <c r="AM547" s="25" t="e">
        <f t="shared" si="683"/>
        <v>#REF!</v>
      </c>
      <c r="AN547" s="24" t="e">
        <f t="shared" si="683"/>
        <v>#REF!</v>
      </c>
      <c r="AO547" s="25" t="e">
        <f t="shared" si="683"/>
        <v>#REF!</v>
      </c>
      <c r="AP547" s="24" t="e">
        <f t="shared" si="683"/>
        <v>#REF!</v>
      </c>
      <c r="AQ547" s="25" t="e">
        <f t="shared" si="683"/>
        <v>#REF!</v>
      </c>
      <c r="AR547" s="24" t="e">
        <f t="shared" si="683"/>
        <v>#REF!</v>
      </c>
      <c r="AS547" s="25" t="e">
        <f t="shared" si="683"/>
        <v>#REF!</v>
      </c>
      <c r="AT547" s="24" t="e">
        <f t="shared" si="683"/>
        <v>#REF!</v>
      </c>
      <c r="AU547" s="23" t="e">
        <f>SUM(AL547:AT547)</f>
        <v>#REF!</v>
      </c>
    </row>
    <row r="548" spans="1:47">
      <c r="A548" s="37" t="s">
        <v>1164</v>
      </c>
      <c r="B548" s="36" t="s">
        <v>1129</v>
      </c>
      <c r="C548" s="1" t="s">
        <v>1132</v>
      </c>
      <c r="D548" s="36" t="s">
        <v>1182</v>
      </c>
      <c r="E548" s="36" t="s">
        <v>1181</v>
      </c>
      <c r="F548" s="1" t="s">
        <v>1180</v>
      </c>
      <c r="G548" s="35" t="s">
        <v>1179</v>
      </c>
      <c r="H548" s="34">
        <f>1-I548</f>
        <v>0.88758110689950853</v>
      </c>
      <c r="I548" s="33">
        <v>0.11241889310049143</v>
      </c>
      <c r="J548" s="26" t="e">
        <v>#REF!</v>
      </c>
      <c r="K548" s="25" t="e">
        <v>#REF!</v>
      </c>
      <c r="L548" s="24"/>
      <c r="M548" s="25"/>
      <c r="N548" s="24"/>
      <c r="O548" s="25"/>
      <c r="P548" s="24"/>
      <c r="Q548" s="25"/>
      <c r="R548" s="32"/>
      <c r="S548" s="31" t="e">
        <v>#REF!</v>
      </c>
      <c r="T548" s="29" t="e">
        <v>#REF!</v>
      </c>
      <c r="U548" s="30" t="e">
        <v>#REF!</v>
      </c>
      <c r="V548" s="29" t="e">
        <v>#REF!</v>
      </c>
      <c r="W548" s="30" t="e">
        <v>#REF!</v>
      </c>
      <c r="X548" s="29" t="e">
        <v>#REF!</v>
      </c>
      <c r="Y548" s="30" t="e">
        <v>#REF!</v>
      </c>
      <c r="Z548" s="29" t="e">
        <v>#REF!</v>
      </c>
      <c r="AA548" s="28" t="e">
        <v>#REF!</v>
      </c>
      <c r="AB548" s="26" t="e">
        <f t="shared" si="682"/>
        <v>#REF!</v>
      </c>
      <c r="AC548" s="25" t="e">
        <f t="shared" si="682"/>
        <v>#REF!</v>
      </c>
      <c r="AD548" s="24" t="e">
        <f t="shared" si="682"/>
        <v>#REF!</v>
      </c>
      <c r="AE548" s="25" t="e">
        <f t="shared" si="682"/>
        <v>#REF!</v>
      </c>
      <c r="AF548" s="24" t="e">
        <f t="shared" si="682"/>
        <v>#REF!</v>
      </c>
      <c r="AG548" s="25" t="e">
        <f t="shared" si="682"/>
        <v>#REF!</v>
      </c>
      <c r="AH548" s="24" t="e">
        <f t="shared" si="682"/>
        <v>#REF!</v>
      </c>
      <c r="AI548" s="25" t="e">
        <f t="shared" si="682"/>
        <v>#REF!</v>
      </c>
      <c r="AJ548" s="24" t="e">
        <f t="shared" si="682"/>
        <v>#REF!</v>
      </c>
      <c r="AK548" s="27" t="e">
        <f t="shared" si="670"/>
        <v>#REF!</v>
      </c>
      <c r="AL548" s="26" t="e">
        <f t="shared" si="683"/>
        <v>#REF!</v>
      </c>
      <c r="AM548" s="25" t="e">
        <f t="shared" si="683"/>
        <v>#REF!</v>
      </c>
      <c r="AN548" s="24" t="e">
        <f t="shared" si="683"/>
        <v>#REF!</v>
      </c>
      <c r="AO548" s="25" t="e">
        <f t="shared" si="683"/>
        <v>#REF!</v>
      </c>
      <c r="AP548" s="24" t="e">
        <f t="shared" si="683"/>
        <v>#REF!</v>
      </c>
      <c r="AQ548" s="25" t="e">
        <f t="shared" si="683"/>
        <v>#REF!</v>
      </c>
      <c r="AR548" s="24" t="e">
        <f t="shared" si="683"/>
        <v>#REF!</v>
      </c>
      <c r="AS548" s="25" t="e">
        <f t="shared" si="683"/>
        <v>#REF!</v>
      </c>
      <c r="AT548" s="24" t="e">
        <f t="shared" si="683"/>
        <v>#REF!</v>
      </c>
      <c r="AU548" s="23" t="e">
        <f>SUM(AL548:AT548)</f>
        <v>#REF!</v>
      </c>
    </row>
    <row r="549" spans="1:47">
      <c r="A549" s="37" t="s">
        <v>1164</v>
      </c>
      <c r="B549" s="36" t="s">
        <v>1123</v>
      </c>
      <c r="C549" s="1" t="s">
        <v>1126</v>
      </c>
      <c r="D549" s="36" t="s">
        <v>1126</v>
      </c>
      <c r="E549" s="36" t="s">
        <v>1178</v>
      </c>
      <c r="F549" s="1" t="s">
        <v>1177</v>
      </c>
      <c r="G549" s="35" t="s">
        <v>1121</v>
      </c>
      <c r="H549" s="43">
        <v>1</v>
      </c>
      <c r="I549" s="42">
        <v>0</v>
      </c>
      <c r="J549" s="26">
        <v>2.8436712862574744E-2</v>
      </c>
      <c r="K549" s="25">
        <v>0.35387909340093021</v>
      </c>
      <c r="L549" s="24"/>
      <c r="M549" s="25"/>
      <c r="N549" s="24"/>
      <c r="O549" s="25"/>
      <c r="P549" s="24"/>
      <c r="Q549" s="25"/>
      <c r="R549" s="32"/>
      <c r="S549" s="47">
        <v>1</v>
      </c>
      <c r="T549" s="45">
        <v>1</v>
      </c>
      <c r="U549" s="46">
        <v>1</v>
      </c>
      <c r="V549" s="45">
        <v>1</v>
      </c>
      <c r="W549" s="46">
        <v>1</v>
      </c>
      <c r="X549" s="45">
        <v>1</v>
      </c>
      <c r="Y549" s="46">
        <v>1</v>
      </c>
      <c r="Z549" s="45">
        <v>1</v>
      </c>
      <c r="AA549" s="44">
        <v>1</v>
      </c>
      <c r="AB549" s="26">
        <f t="shared" ref="AB549:AJ552" si="684">J549*$H549*S549</f>
        <v>2.8436712862574744E-2</v>
      </c>
      <c r="AC549" s="25">
        <f t="shared" si="684"/>
        <v>0.35387909340093021</v>
      </c>
      <c r="AD549" s="24">
        <f t="shared" si="684"/>
        <v>0</v>
      </c>
      <c r="AE549" s="25">
        <f t="shared" si="684"/>
        <v>0</v>
      </c>
      <c r="AF549" s="24">
        <f t="shared" si="684"/>
        <v>0</v>
      </c>
      <c r="AG549" s="25">
        <f t="shared" si="684"/>
        <v>0</v>
      </c>
      <c r="AH549" s="24">
        <f t="shared" si="684"/>
        <v>0</v>
      </c>
      <c r="AI549" s="25">
        <f t="shared" si="684"/>
        <v>0</v>
      </c>
      <c r="AJ549" s="24">
        <f t="shared" si="684"/>
        <v>0</v>
      </c>
      <c r="AK549" s="27">
        <f t="shared" si="670"/>
        <v>0.38231580626350498</v>
      </c>
      <c r="AL549" s="41">
        <v>0</v>
      </c>
      <c r="AM549" s="40">
        <v>0</v>
      </c>
      <c r="AN549" s="39">
        <v>0</v>
      </c>
      <c r="AO549" s="40">
        <v>0</v>
      </c>
      <c r="AP549" s="39">
        <v>0</v>
      </c>
      <c r="AQ549" s="40">
        <v>0</v>
      </c>
      <c r="AR549" s="39">
        <v>0</v>
      </c>
      <c r="AS549" s="40">
        <v>0</v>
      </c>
      <c r="AT549" s="39">
        <v>0</v>
      </c>
      <c r="AU549" s="38">
        <v>0</v>
      </c>
    </row>
    <row r="550" spans="1:47">
      <c r="A550" s="37" t="s">
        <v>1164</v>
      </c>
      <c r="B550" s="36" t="s">
        <v>1123</v>
      </c>
      <c r="C550" s="1" t="s">
        <v>665</v>
      </c>
      <c r="D550" s="36" t="s">
        <v>665</v>
      </c>
      <c r="E550" s="36" t="s">
        <v>1176</v>
      </c>
      <c r="F550" s="1" t="s">
        <v>1175</v>
      </c>
      <c r="G550" s="35" t="s">
        <v>1121</v>
      </c>
      <c r="H550" s="43">
        <v>1</v>
      </c>
      <c r="I550" s="42">
        <v>0</v>
      </c>
      <c r="J550" s="26">
        <v>6.5703357863960268E-2</v>
      </c>
      <c r="K550" s="25">
        <v>3.6793880403817751</v>
      </c>
      <c r="L550" s="24"/>
      <c r="M550" s="25"/>
      <c r="N550" s="24"/>
      <c r="O550" s="25"/>
      <c r="P550" s="24"/>
      <c r="Q550" s="25"/>
      <c r="R550" s="32"/>
      <c r="S550" s="47">
        <v>1</v>
      </c>
      <c r="T550" s="45">
        <v>1</v>
      </c>
      <c r="U550" s="46">
        <v>1</v>
      </c>
      <c r="V550" s="45">
        <v>1</v>
      </c>
      <c r="W550" s="46">
        <v>1</v>
      </c>
      <c r="X550" s="45">
        <v>1</v>
      </c>
      <c r="Y550" s="46">
        <v>1</v>
      </c>
      <c r="Z550" s="45">
        <v>1</v>
      </c>
      <c r="AA550" s="44">
        <v>1</v>
      </c>
      <c r="AB550" s="26">
        <f t="shared" si="684"/>
        <v>6.5703357863960268E-2</v>
      </c>
      <c r="AC550" s="25">
        <f t="shared" si="684"/>
        <v>3.6793880403817751</v>
      </c>
      <c r="AD550" s="24">
        <f t="shared" si="684"/>
        <v>0</v>
      </c>
      <c r="AE550" s="25">
        <f t="shared" si="684"/>
        <v>0</v>
      </c>
      <c r="AF550" s="24">
        <f t="shared" si="684"/>
        <v>0</v>
      </c>
      <c r="AG550" s="25">
        <f t="shared" si="684"/>
        <v>0</v>
      </c>
      <c r="AH550" s="24">
        <f t="shared" si="684"/>
        <v>0</v>
      </c>
      <c r="AI550" s="25">
        <f t="shared" si="684"/>
        <v>0</v>
      </c>
      <c r="AJ550" s="24">
        <f t="shared" si="684"/>
        <v>0</v>
      </c>
      <c r="AK550" s="27">
        <f t="shared" si="670"/>
        <v>3.7450913982457354</v>
      </c>
      <c r="AL550" s="41">
        <v>0</v>
      </c>
      <c r="AM550" s="40">
        <v>0</v>
      </c>
      <c r="AN550" s="39">
        <v>0</v>
      </c>
      <c r="AO550" s="40">
        <v>0</v>
      </c>
      <c r="AP550" s="39">
        <v>0</v>
      </c>
      <c r="AQ550" s="40">
        <v>0</v>
      </c>
      <c r="AR550" s="39">
        <v>0</v>
      </c>
      <c r="AS550" s="40">
        <v>0</v>
      </c>
      <c r="AT550" s="39">
        <v>0</v>
      </c>
      <c r="AU550" s="38">
        <v>0</v>
      </c>
    </row>
    <row r="551" spans="1:47">
      <c r="A551" s="37" t="s">
        <v>1164</v>
      </c>
      <c r="B551" s="36" t="s">
        <v>1123</v>
      </c>
      <c r="C551" s="1" t="s">
        <v>1111</v>
      </c>
      <c r="D551" s="36" t="s">
        <v>1111</v>
      </c>
      <c r="E551" s="36" t="s">
        <v>1174</v>
      </c>
      <c r="F551" s="1" t="s">
        <v>1173</v>
      </c>
      <c r="G551" s="35" t="s">
        <v>1121</v>
      </c>
      <c r="H551" s="43">
        <v>1</v>
      </c>
      <c r="I551" s="42">
        <v>0</v>
      </c>
      <c r="J551" s="26">
        <v>0</v>
      </c>
      <c r="K551" s="25">
        <v>0.52979890310786082</v>
      </c>
      <c r="L551" s="24"/>
      <c r="M551" s="25"/>
      <c r="N551" s="24"/>
      <c r="O551" s="25"/>
      <c r="P551" s="24"/>
      <c r="Q551" s="25"/>
      <c r="R551" s="32"/>
      <c r="S551" s="47">
        <v>1</v>
      </c>
      <c r="T551" s="45">
        <v>1</v>
      </c>
      <c r="U551" s="46">
        <v>1</v>
      </c>
      <c r="V551" s="45">
        <v>1</v>
      </c>
      <c r="W551" s="46">
        <v>1</v>
      </c>
      <c r="X551" s="45">
        <v>1</v>
      </c>
      <c r="Y551" s="46">
        <v>1</v>
      </c>
      <c r="Z551" s="45">
        <v>1</v>
      </c>
      <c r="AA551" s="44">
        <v>1</v>
      </c>
      <c r="AB551" s="26">
        <f t="shared" si="684"/>
        <v>0</v>
      </c>
      <c r="AC551" s="25">
        <f t="shared" si="684"/>
        <v>0.52979890310786082</v>
      </c>
      <c r="AD551" s="24">
        <f t="shared" si="684"/>
        <v>0</v>
      </c>
      <c r="AE551" s="25">
        <f t="shared" si="684"/>
        <v>0</v>
      </c>
      <c r="AF551" s="24">
        <f t="shared" si="684"/>
        <v>0</v>
      </c>
      <c r="AG551" s="25">
        <f t="shared" si="684"/>
        <v>0</v>
      </c>
      <c r="AH551" s="24">
        <f t="shared" si="684"/>
        <v>0</v>
      </c>
      <c r="AI551" s="25">
        <f t="shared" si="684"/>
        <v>0</v>
      </c>
      <c r="AJ551" s="24">
        <f t="shared" si="684"/>
        <v>0</v>
      </c>
      <c r="AK551" s="27">
        <f t="shared" si="670"/>
        <v>0.52979890310786082</v>
      </c>
      <c r="AL551" s="41">
        <v>0</v>
      </c>
      <c r="AM551" s="40">
        <v>0</v>
      </c>
      <c r="AN551" s="39">
        <v>0</v>
      </c>
      <c r="AO551" s="40">
        <v>0</v>
      </c>
      <c r="AP551" s="39">
        <v>0</v>
      </c>
      <c r="AQ551" s="40">
        <v>0</v>
      </c>
      <c r="AR551" s="39">
        <v>0</v>
      </c>
      <c r="AS551" s="40">
        <v>0</v>
      </c>
      <c r="AT551" s="39">
        <v>0</v>
      </c>
      <c r="AU551" s="38">
        <v>0</v>
      </c>
    </row>
    <row r="552" spans="1:47">
      <c r="A552" s="37" t="s">
        <v>1164</v>
      </c>
      <c r="B552" s="36" t="s">
        <v>1107</v>
      </c>
      <c r="C552" s="1" t="s">
        <v>1120</v>
      </c>
      <c r="D552" s="36" t="s">
        <v>1120</v>
      </c>
      <c r="E552" s="36" t="s">
        <v>1172</v>
      </c>
      <c r="F552" s="1" t="s">
        <v>1171</v>
      </c>
      <c r="G552" s="35" t="s">
        <v>1104</v>
      </c>
      <c r="H552" s="43">
        <v>1</v>
      </c>
      <c r="I552" s="42">
        <v>0</v>
      </c>
      <c r="J552" s="26">
        <v>0</v>
      </c>
      <c r="K552" s="25">
        <v>0</v>
      </c>
      <c r="L552" s="24"/>
      <c r="M552" s="25"/>
      <c r="N552" s="24"/>
      <c r="O552" s="25"/>
      <c r="P552" s="24"/>
      <c r="Q552" s="25"/>
      <c r="R552" s="32"/>
      <c r="S552" s="31" t="e">
        <v>#REF!</v>
      </c>
      <c r="T552" s="29" t="e">
        <f t="shared" ref="T552:AA558" si="685">S552</f>
        <v>#REF!</v>
      </c>
      <c r="U552" s="30" t="e">
        <f t="shared" si="685"/>
        <v>#REF!</v>
      </c>
      <c r="V552" s="29" t="e">
        <f t="shared" si="685"/>
        <v>#REF!</v>
      </c>
      <c r="W552" s="30" t="e">
        <f t="shared" si="685"/>
        <v>#REF!</v>
      </c>
      <c r="X552" s="29" t="e">
        <f t="shared" si="685"/>
        <v>#REF!</v>
      </c>
      <c r="Y552" s="30" t="e">
        <f t="shared" si="685"/>
        <v>#REF!</v>
      </c>
      <c r="Z552" s="29" t="e">
        <f t="shared" si="685"/>
        <v>#REF!</v>
      </c>
      <c r="AA552" s="28" t="e">
        <f t="shared" si="685"/>
        <v>#REF!</v>
      </c>
      <c r="AB552" s="26" t="e">
        <f t="shared" si="684"/>
        <v>#REF!</v>
      </c>
      <c r="AC552" s="25" t="e">
        <f t="shared" si="684"/>
        <v>#REF!</v>
      </c>
      <c r="AD552" s="24" t="e">
        <f t="shared" si="684"/>
        <v>#REF!</v>
      </c>
      <c r="AE552" s="25" t="e">
        <f t="shared" si="684"/>
        <v>#REF!</v>
      </c>
      <c r="AF552" s="24" t="e">
        <f t="shared" si="684"/>
        <v>#REF!</v>
      </c>
      <c r="AG552" s="25" t="e">
        <f t="shared" si="684"/>
        <v>#REF!</v>
      </c>
      <c r="AH552" s="24" t="e">
        <f t="shared" si="684"/>
        <v>#REF!</v>
      </c>
      <c r="AI552" s="25" t="e">
        <f t="shared" si="684"/>
        <v>#REF!</v>
      </c>
      <c r="AJ552" s="24" t="e">
        <f t="shared" si="684"/>
        <v>#REF!</v>
      </c>
      <c r="AK552" s="27" t="e">
        <f t="shared" si="670"/>
        <v>#REF!</v>
      </c>
      <c r="AL552" s="41">
        <v>0</v>
      </c>
      <c r="AM552" s="40">
        <v>0</v>
      </c>
      <c r="AN552" s="39">
        <v>0</v>
      </c>
      <c r="AO552" s="40">
        <v>0</v>
      </c>
      <c r="AP552" s="39">
        <v>0</v>
      </c>
      <c r="AQ552" s="40">
        <v>0</v>
      </c>
      <c r="AR552" s="39">
        <v>0</v>
      </c>
      <c r="AS552" s="40">
        <v>0</v>
      </c>
      <c r="AT552" s="39">
        <v>0</v>
      </c>
      <c r="AU552" s="38">
        <v>0</v>
      </c>
    </row>
    <row r="553" spans="1:47">
      <c r="A553" s="37" t="s">
        <v>1164</v>
      </c>
      <c r="B553" s="36" t="s">
        <v>1107</v>
      </c>
      <c r="C553" s="1" t="s">
        <v>1120</v>
      </c>
      <c r="D553" s="36" t="s">
        <v>1120</v>
      </c>
      <c r="E553" s="36" t="s">
        <v>1170</v>
      </c>
      <c r="F553" s="1" t="s">
        <v>1162</v>
      </c>
      <c r="G553" s="35" t="s">
        <v>1109</v>
      </c>
      <c r="H553" s="34">
        <f>1-I553</f>
        <v>0.88426063865038618</v>
      </c>
      <c r="I553" s="33">
        <v>0.11573936134961382</v>
      </c>
      <c r="J553" s="26" t="e">
        <v>#REF!</v>
      </c>
      <c r="K553" s="25" t="e">
        <v>#REF!</v>
      </c>
      <c r="L553" s="24"/>
      <c r="M553" s="25"/>
      <c r="N553" s="24"/>
      <c r="O553" s="25"/>
      <c r="P553" s="24"/>
      <c r="Q553" s="25"/>
      <c r="R553" s="32"/>
      <c r="S553" s="31" t="e">
        <v>#REF!</v>
      </c>
      <c r="T553" s="29" t="e">
        <f t="shared" si="685"/>
        <v>#REF!</v>
      </c>
      <c r="U553" s="30" t="e">
        <f t="shared" si="685"/>
        <v>#REF!</v>
      </c>
      <c r="V553" s="29" t="e">
        <f t="shared" si="685"/>
        <v>#REF!</v>
      </c>
      <c r="W553" s="30" t="e">
        <f t="shared" si="685"/>
        <v>#REF!</v>
      </c>
      <c r="X553" s="29" t="e">
        <f t="shared" si="685"/>
        <v>#REF!</v>
      </c>
      <c r="Y553" s="30" t="e">
        <f t="shared" si="685"/>
        <v>#REF!</v>
      </c>
      <c r="Z553" s="29" t="e">
        <f t="shared" si="685"/>
        <v>#REF!</v>
      </c>
      <c r="AA553" s="28" t="e">
        <f t="shared" si="685"/>
        <v>#REF!</v>
      </c>
      <c r="AB553" s="26" t="e">
        <f t="shared" ref="AB553:AJ553" si="686">J553*31.536*$H553*S553</f>
        <v>#REF!</v>
      </c>
      <c r="AC553" s="25" t="e">
        <f t="shared" si="686"/>
        <v>#REF!</v>
      </c>
      <c r="AD553" s="24" t="e">
        <f t="shared" si="686"/>
        <v>#REF!</v>
      </c>
      <c r="AE553" s="25" t="e">
        <f t="shared" si="686"/>
        <v>#REF!</v>
      </c>
      <c r="AF553" s="24" t="e">
        <f t="shared" si="686"/>
        <v>#REF!</v>
      </c>
      <c r="AG553" s="25" t="e">
        <f t="shared" si="686"/>
        <v>#REF!</v>
      </c>
      <c r="AH553" s="24" t="e">
        <f t="shared" si="686"/>
        <v>#REF!</v>
      </c>
      <c r="AI553" s="25" t="e">
        <f t="shared" si="686"/>
        <v>#REF!</v>
      </c>
      <c r="AJ553" s="24" t="e">
        <f t="shared" si="686"/>
        <v>#REF!</v>
      </c>
      <c r="AK553" s="27" t="e">
        <f t="shared" si="670"/>
        <v>#REF!</v>
      </c>
      <c r="AL553" s="26" t="e">
        <f t="shared" ref="AL553:AT553" si="687">J553*31.536*$I553*S553</f>
        <v>#REF!</v>
      </c>
      <c r="AM553" s="25" t="e">
        <f t="shared" si="687"/>
        <v>#REF!</v>
      </c>
      <c r="AN553" s="24" t="e">
        <f t="shared" si="687"/>
        <v>#REF!</v>
      </c>
      <c r="AO553" s="25" t="e">
        <f t="shared" si="687"/>
        <v>#REF!</v>
      </c>
      <c r="AP553" s="24" t="e">
        <f t="shared" si="687"/>
        <v>#REF!</v>
      </c>
      <c r="AQ553" s="25" t="e">
        <f t="shared" si="687"/>
        <v>#REF!</v>
      </c>
      <c r="AR553" s="24" t="e">
        <f t="shared" si="687"/>
        <v>#REF!</v>
      </c>
      <c r="AS553" s="25" t="e">
        <f t="shared" si="687"/>
        <v>#REF!</v>
      </c>
      <c r="AT553" s="24" t="e">
        <f t="shared" si="687"/>
        <v>#REF!</v>
      </c>
      <c r="AU553" s="23" t="e">
        <f>SUM(AL553:AT553)</f>
        <v>#REF!</v>
      </c>
    </row>
    <row r="554" spans="1:47">
      <c r="A554" s="37" t="s">
        <v>1164</v>
      </c>
      <c r="B554" s="36" t="s">
        <v>1107</v>
      </c>
      <c r="C554" s="1" t="s">
        <v>665</v>
      </c>
      <c r="D554" s="36" t="s">
        <v>665</v>
      </c>
      <c r="E554" s="36" t="s">
        <v>1169</v>
      </c>
      <c r="F554" s="1" t="s">
        <v>1168</v>
      </c>
      <c r="G554" s="35" t="s">
        <v>1104</v>
      </c>
      <c r="H554" s="43">
        <v>1</v>
      </c>
      <c r="I554" s="42">
        <v>0</v>
      </c>
      <c r="J554" s="26">
        <v>2.8187489999999999</v>
      </c>
      <c r="K554" s="25">
        <v>2.7725399999999998</v>
      </c>
      <c r="L554" s="24"/>
      <c r="M554" s="25"/>
      <c r="N554" s="24"/>
      <c r="O554" s="25"/>
      <c r="P554" s="24"/>
      <c r="Q554" s="25"/>
      <c r="R554" s="32"/>
      <c r="S554" s="31" t="e">
        <v>#REF!</v>
      </c>
      <c r="T554" s="29" t="e">
        <f t="shared" si="685"/>
        <v>#REF!</v>
      </c>
      <c r="U554" s="30" t="e">
        <f t="shared" si="685"/>
        <v>#REF!</v>
      </c>
      <c r="V554" s="29" t="e">
        <f t="shared" si="685"/>
        <v>#REF!</v>
      </c>
      <c r="W554" s="30" t="e">
        <f t="shared" si="685"/>
        <v>#REF!</v>
      </c>
      <c r="X554" s="29" t="e">
        <f t="shared" si="685"/>
        <v>#REF!</v>
      </c>
      <c r="Y554" s="30" t="e">
        <f t="shared" si="685"/>
        <v>#REF!</v>
      </c>
      <c r="Z554" s="29" t="e">
        <f t="shared" si="685"/>
        <v>#REF!</v>
      </c>
      <c r="AA554" s="28" t="e">
        <f t="shared" si="685"/>
        <v>#REF!</v>
      </c>
      <c r="AB554" s="26" t="e">
        <f t="shared" ref="AB554:AJ554" si="688">J554*$H554*S554</f>
        <v>#REF!</v>
      </c>
      <c r="AC554" s="25" t="e">
        <f t="shared" si="688"/>
        <v>#REF!</v>
      </c>
      <c r="AD554" s="24" t="e">
        <f t="shared" si="688"/>
        <v>#REF!</v>
      </c>
      <c r="AE554" s="25" t="e">
        <f t="shared" si="688"/>
        <v>#REF!</v>
      </c>
      <c r="AF554" s="24" t="e">
        <f t="shared" si="688"/>
        <v>#REF!</v>
      </c>
      <c r="AG554" s="25" t="e">
        <f t="shared" si="688"/>
        <v>#REF!</v>
      </c>
      <c r="AH554" s="24" t="e">
        <f t="shared" si="688"/>
        <v>#REF!</v>
      </c>
      <c r="AI554" s="25" t="e">
        <f t="shared" si="688"/>
        <v>#REF!</v>
      </c>
      <c r="AJ554" s="24" t="e">
        <f t="shared" si="688"/>
        <v>#REF!</v>
      </c>
      <c r="AK554" s="27" t="e">
        <f t="shared" si="670"/>
        <v>#REF!</v>
      </c>
      <c r="AL554" s="41">
        <v>0</v>
      </c>
      <c r="AM554" s="40">
        <v>0</v>
      </c>
      <c r="AN554" s="39">
        <v>0</v>
      </c>
      <c r="AO554" s="40">
        <v>0</v>
      </c>
      <c r="AP554" s="39">
        <v>0</v>
      </c>
      <c r="AQ554" s="40">
        <v>0</v>
      </c>
      <c r="AR554" s="39">
        <v>0</v>
      </c>
      <c r="AS554" s="40">
        <v>0</v>
      </c>
      <c r="AT554" s="39">
        <v>0</v>
      </c>
      <c r="AU554" s="38">
        <v>0</v>
      </c>
    </row>
    <row r="555" spans="1:47">
      <c r="A555" s="37" t="s">
        <v>1164</v>
      </c>
      <c r="B555" s="36" t="s">
        <v>1107</v>
      </c>
      <c r="C555" s="1" t="s">
        <v>665</v>
      </c>
      <c r="D555" s="36" t="s">
        <v>665</v>
      </c>
      <c r="E555" s="36" t="s">
        <v>1167</v>
      </c>
      <c r="F555" s="1" t="s">
        <v>1162</v>
      </c>
      <c r="G555" s="35" t="s">
        <v>1109</v>
      </c>
      <c r="H555" s="34">
        <f>1-I555</f>
        <v>0.88519475207199416</v>
      </c>
      <c r="I555" s="33">
        <v>0.11480524792800588</v>
      </c>
      <c r="J555" s="26" t="e">
        <v>#REF!</v>
      </c>
      <c r="K555" s="25" t="e">
        <v>#REF!</v>
      </c>
      <c r="L555" s="24"/>
      <c r="M555" s="25"/>
      <c r="N555" s="24"/>
      <c r="O555" s="25"/>
      <c r="P555" s="24"/>
      <c r="Q555" s="25"/>
      <c r="R555" s="32"/>
      <c r="S555" s="31" t="e">
        <v>#REF!</v>
      </c>
      <c r="T555" s="29" t="e">
        <f t="shared" si="685"/>
        <v>#REF!</v>
      </c>
      <c r="U555" s="30" t="e">
        <f t="shared" si="685"/>
        <v>#REF!</v>
      </c>
      <c r="V555" s="29" t="e">
        <f t="shared" si="685"/>
        <v>#REF!</v>
      </c>
      <c r="W555" s="30" t="e">
        <f t="shared" si="685"/>
        <v>#REF!</v>
      </c>
      <c r="X555" s="29" t="e">
        <f t="shared" si="685"/>
        <v>#REF!</v>
      </c>
      <c r="Y555" s="30" t="e">
        <f t="shared" si="685"/>
        <v>#REF!</v>
      </c>
      <c r="Z555" s="29" t="e">
        <f t="shared" si="685"/>
        <v>#REF!</v>
      </c>
      <c r="AA555" s="28" t="e">
        <f t="shared" si="685"/>
        <v>#REF!</v>
      </c>
      <c r="AB555" s="26" t="e">
        <f t="shared" ref="AB555:AJ558" si="689">J555*31.536*$H555*S555</f>
        <v>#REF!</v>
      </c>
      <c r="AC555" s="25" t="e">
        <f t="shared" si="689"/>
        <v>#REF!</v>
      </c>
      <c r="AD555" s="24" t="e">
        <f t="shared" si="689"/>
        <v>#REF!</v>
      </c>
      <c r="AE555" s="25" t="e">
        <f t="shared" si="689"/>
        <v>#REF!</v>
      </c>
      <c r="AF555" s="24" t="e">
        <f t="shared" si="689"/>
        <v>#REF!</v>
      </c>
      <c r="AG555" s="25" t="e">
        <f t="shared" si="689"/>
        <v>#REF!</v>
      </c>
      <c r="AH555" s="24" t="e">
        <f t="shared" si="689"/>
        <v>#REF!</v>
      </c>
      <c r="AI555" s="25" t="e">
        <f t="shared" si="689"/>
        <v>#REF!</v>
      </c>
      <c r="AJ555" s="24" t="e">
        <f t="shared" si="689"/>
        <v>#REF!</v>
      </c>
      <c r="AK555" s="27" t="e">
        <f t="shared" si="670"/>
        <v>#REF!</v>
      </c>
      <c r="AL555" s="26" t="e">
        <f t="shared" ref="AL555:AT558" si="690">J555*31.536*$I555*S555</f>
        <v>#REF!</v>
      </c>
      <c r="AM555" s="25" t="e">
        <f t="shared" si="690"/>
        <v>#REF!</v>
      </c>
      <c r="AN555" s="24" t="e">
        <f t="shared" si="690"/>
        <v>#REF!</v>
      </c>
      <c r="AO555" s="25" t="e">
        <f t="shared" si="690"/>
        <v>#REF!</v>
      </c>
      <c r="AP555" s="24" t="e">
        <f t="shared" si="690"/>
        <v>#REF!</v>
      </c>
      <c r="AQ555" s="25" t="e">
        <f t="shared" si="690"/>
        <v>#REF!</v>
      </c>
      <c r="AR555" s="24" t="e">
        <f t="shared" si="690"/>
        <v>#REF!</v>
      </c>
      <c r="AS555" s="25" t="e">
        <f t="shared" si="690"/>
        <v>#REF!</v>
      </c>
      <c r="AT555" s="24" t="e">
        <f t="shared" si="690"/>
        <v>#REF!</v>
      </c>
      <c r="AU555" s="23" t="e">
        <f>SUM(AL555:AT555)</f>
        <v>#REF!</v>
      </c>
    </row>
    <row r="556" spans="1:47">
      <c r="A556" s="37" t="s">
        <v>1164</v>
      </c>
      <c r="B556" s="36" t="s">
        <v>1107</v>
      </c>
      <c r="C556" s="1" t="s">
        <v>665</v>
      </c>
      <c r="D556" s="36" t="s">
        <v>665</v>
      </c>
      <c r="E556" s="36" t="s">
        <v>1166</v>
      </c>
      <c r="F556" s="1" t="s">
        <v>1162</v>
      </c>
      <c r="G556" s="35" t="s">
        <v>1109</v>
      </c>
      <c r="H556" s="34">
        <f>1-I556</f>
        <v>0.49060269678639434</v>
      </c>
      <c r="I556" s="33">
        <v>0.50939730321360566</v>
      </c>
      <c r="J556" s="26">
        <v>0</v>
      </c>
      <c r="K556" s="25">
        <v>0</v>
      </c>
      <c r="L556" s="24"/>
      <c r="M556" s="25"/>
      <c r="N556" s="24"/>
      <c r="O556" s="25"/>
      <c r="P556" s="24"/>
      <c r="Q556" s="25"/>
      <c r="R556" s="32"/>
      <c r="S556" s="31" t="e">
        <v>#REF!</v>
      </c>
      <c r="T556" s="29" t="e">
        <f t="shared" si="685"/>
        <v>#REF!</v>
      </c>
      <c r="U556" s="30" t="e">
        <f t="shared" si="685"/>
        <v>#REF!</v>
      </c>
      <c r="V556" s="29" t="e">
        <f t="shared" si="685"/>
        <v>#REF!</v>
      </c>
      <c r="W556" s="30" t="e">
        <f t="shared" si="685"/>
        <v>#REF!</v>
      </c>
      <c r="X556" s="29" t="e">
        <f t="shared" si="685"/>
        <v>#REF!</v>
      </c>
      <c r="Y556" s="30" t="e">
        <f t="shared" si="685"/>
        <v>#REF!</v>
      </c>
      <c r="Z556" s="29" t="e">
        <f t="shared" si="685"/>
        <v>#REF!</v>
      </c>
      <c r="AA556" s="28" t="e">
        <f t="shared" si="685"/>
        <v>#REF!</v>
      </c>
      <c r="AB556" s="26" t="e">
        <f t="shared" si="689"/>
        <v>#REF!</v>
      </c>
      <c r="AC556" s="25" t="e">
        <f t="shared" si="689"/>
        <v>#REF!</v>
      </c>
      <c r="AD556" s="24" t="e">
        <f t="shared" si="689"/>
        <v>#REF!</v>
      </c>
      <c r="AE556" s="25" t="e">
        <f t="shared" si="689"/>
        <v>#REF!</v>
      </c>
      <c r="AF556" s="24" t="e">
        <f t="shared" si="689"/>
        <v>#REF!</v>
      </c>
      <c r="AG556" s="25" t="e">
        <f t="shared" si="689"/>
        <v>#REF!</v>
      </c>
      <c r="AH556" s="24" t="e">
        <f t="shared" si="689"/>
        <v>#REF!</v>
      </c>
      <c r="AI556" s="25" t="e">
        <f t="shared" si="689"/>
        <v>#REF!</v>
      </c>
      <c r="AJ556" s="24" t="e">
        <f t="shared" si="689"/>
        <v>#REF!</v>
      </c>
      <c r="AK556" s="27" t="e">
        <f t="shared" si="670"/>
        <v>#REF!</v>
      </c>
      <c r="AL556" s="26" t="e">
        <f t="shared" si="690"/>
        <v>#REF!</v>
      </c>
      <c r="AM556" s="25" t="e">
        <f t="shared" si="690"/>
        <v>#REF!</v>
      </c>
      <c r="AN556" s="24" t="e">
        <f t="shared" si="690"/>
        <v>#REF!</v>
      </c>
      <c r="AO556" s="25" t="e">
        <f t="shared" si="690"/>
        <v>#REF!</v>
      </c>
      <c r="AP556" s="24" t="e">
        <f t="shared" si="690"/>
        <v>#REF!</v>
      </c>
      <c r="AQ556" s="25" t="e">
        <f t="shared" si="690"/>
        <v>#REF!</v>
      </c>
      <c r="AR556" s="24" t="e">
        <f t="shared" si="690"/>
        <v>#REF!</v>
      </c>
      <c r="AS556" s="25" t="e">
        <f t="shared" si="690"/>
        <v>#REF!</v>
      </c>
      <c r="AT556" s="24" t="e">
        <f t="shared" si="690"/>
        <v>#REF!</v>
      </c>
      <c r="AU556" s="23" t="e">
        <f>SUM(AL556:AT556)</f>
        <v>#REF!</v>
      </c>
    </row>
    <row r="557" spans="1:47">
      <c r="A557" s="37" t="s">
        <v>1164</v>
      </c>
      <c r="B557" s="36" t="s">
        <v>1107</v>
      </c>
      <c r="C557" s="1" t="s">
        <v>1111</v>
      </c>
      <c r="D557" s="36" t="s">
        <v>1111</v>
      </c>
      <c r="E557" s="36" t="s">
        <v>1165</v>
      </c>
      <c r="F557" s="1" t="s">
        <v>1162</v>
      </c>
      <c r="G557" s="35" t="s">
        <v>1109</v>
      </c>
      <c r="H557" s="34">
        <f>1-I557</f>
        <v>0.88426063865038618</v>
      </c>
      <c r="I557" s="33">
        <v>0.11573936134961382</v>
      </c>
      <c r="J557" s="26" t="e">
        <v>#REF!</v>
      </c>
      <c r="K557" s="25" t="e">
        <v>#REF!</v>
      </c>
      <c r="L557" s="24"/>
      <c r="M557" s="25"/>
      <c r="N557" s="24"/>
      <c r="O557" s="25"/>
      <c r="P557" s="24"/>
      <c r="Q557" s="25"/>
      <c r="R557" s="32"/>
      <c r="S557" s="31" t="e">
        <v>#REF!</v>
      </c>
      <c r="T557" s="29" t="e">
        <f t="shared" si="685"/>
        <v>#REF!</v>
      </c>
      <c r="U557" s="30" t="e">
        <f t="shared" si="685"/>
        <v>#REF!</v>
      </c>
      <c r="V557" s="29" t="e">
        <f t="shared" si="685"/>
        <v>#REF!</v>
      </c>
      <c r="W557" s="30" t="e">
        <f t="shared" si="685"/>
        <v>#REF!</v>
      </c>
      <c r="X557" s="29" t="e">
        <f t="shared" si="685"/>
        <v>#REF!</v>
      </c>
      <c r="Y557" s="30" t="e">
        <f t="shared" si="685"/>
        <v>#REF!</v>
      </c>
      <c r="Z557" s="29" t="e">
        <f t="shared" si="685"/>
        <v>#REF!</v>
      </c>
      <c r="AA557" s="28" t="e">
        <f t="shared" si="685"/>
        <v>#REF!</v>
      </c>
      <c r="AB557" s="26" t="e">
        <f t="shared" si="689"/>
        <v>#REF!</v>
      </c>
      <c r="AC557" s="25" t="e">
        <f t="shared" si="689"/>
        <v>#REF!</v>
      </c>
      <c r="AD557" s="24" t="e">
        <f t="shared" si="689"/>
        <v>#REF!</v>
      </c>
      <c r="AE557" s="25" t="e">
        <f t="shared" si="689"/>
        <v>#REF!</v>
      </c>
      <c r="AF557" s="24" t="e">
        <f t="shared" si="689"/>
        <v>#REF!</v>
      </c>
      <c r="AG557" s="25" t="e">
        <f t="shared" si="689"/>
        <v>#REF!</v>
      </c>
      <c r="AH557" s="24" t="e">
        <f t="shared" si="689"/>
        <v>#REF!</v>
      </c>
      <c r="AI557" s="25" t="e">
        <f t="shared" si="689"/>
        <v>#REF!</v>
      </c>
      <c r="AJ557" s="24" t="e">
        <f t="shared" si="689"/>
        <v>#REF!</v>
      </c>
      <c r="AK557" s="27" t="e">
        <f t="shared" si="670"/>
        <v>#REF!</v>
      </c>
      <c r="AL557" s="26" t="e">
        <f t="shared" si="690"/>
        <v>#REF!</v>
      </c>
      <c r="AM557" s="25" t="e">
        <f t="shared" si="690"/>
        <v>#REF!</v>
      </c>
      <c r="AN557" s="24" t="e">
        <f t="shared" si="690"/>
        <v>#REF!</v>
      </c>
      <c r="AO557" s="25" t="e">
        <f t="shared" si="690"/>
        <v>#REF!</v>
      </c>
      <c r="AP557" s="24" t="e">
        <f t="shared" si="690"/>
        <v>#REF!</v>
      </c>
      <c r="AQ557" s="25" t="e">
        <f t="shared" si="690"/>
        <v>#REF!</v>
      </c>
      <c r="AR557" s="24" t="e">
        <f t="shared" si="690"/>
        <v>#REF!</v>
      </c>
      <c r="AS557" s="25" t="e">
        <f t="shared" si="690"/>
        <v>#REF!</v>
      </c>
      <c r="AT557" s="24" t="e">
        <f t="shared" si="690"/>
        <v>#REF!</v>
      </c>
      <c r="AU557" s="23" t="e">
        <f>SUM(AL557:AT557)</f>
        <v>#REF!</v>
      </c>
    </row>
    <row r="558" spans="1:47">
      <c r="A558" s="22" t="s">
        <v>1164</v>
      </c>
      <c r="B558" s="20" t="s">
        <v>1107</v>
      </c>
      <c r="C558" s="21" t="s">
        <v>1106</v>
      </c>
      <c r="D558" s="20" t="s">
        <v>1106</v>
      </c>
      <c r="E558" s="20" t="s">
        <v>1163</v>
      </c>
      <c r="F558" s="21" t="s">
        <v>1162</v>
      </c>
      <c r="G558" s="19" t="s">
        <v>1109</v>
      </c>
      <c r="H558" s="50">
        <f>1-I558</f>
        <v>0.88332652522877819</v>
      </c>
      <c r="I558" s="49">
        <v>0.11667347477122178</v>
      </c>
      <c r="J558" s="11" t="e">
        <v>#REF!</v>
      </c>
      <c r="K558" s="10" t="e">
        <v>#REF!</v>
      </c>
      <c r="L558" s="9"/>
      <c r="M558" s="10"/>
      <c r="N558" s="9"/>
      <c r="O558" s="10"/>
      <c r="P558" s="9"/>
      <c r="Q558" s="10"/>
      <c r="R558" s="16"/>
      <c r="S558" s="15" t="e">
        <v>#REF!</v>
      </c>
      <c r="T558" s="13" t="e">
        <f t="shared" si="685"/>
        <v>#REF!</v>
      </c>
      <c r="U558" s="14" t="e">
        <f t="shared" si="685"/>
        <v>#REF!</v>
      </c>
      <c r="V558" s="13" t="e">
        <f t="shared" si="685"/>
        <v>#REF!</v>
      </c>
      <c r="W558" s="14" t="e">
        <f t="shared" si="685"/>
        <v>#REF!</v>
      </c>
      <c r="X558" s="13" t="e">
        <f t="shared" si="685"/>
        <v>#REF!</v>
      </c>
      <c r="Y558" s="14" t="e">
        <f t="shared" si="685"/>
        <v>#REF!</v>
      </c>
      <c r="Z558" s="13" t="e">
        <f t="shared" si="685"/>
        <v>#REF!</v>
      </c>
      <c r="AA558" s="12" t="e">
        <f t="shared" si="685"/>
        <v>#REF!</v>
      </c>
      <c r="AB558" s="11" t="e">
        <f t="shared" si="689"/>
        <v>#REF!</v>
      </c>
      <c r="AC558" s="10" t="e">
        <f t="shared" si="689"/>
        <v>#REF!</v>
      </c>
      <c r="AD558" s="9" t="e">
        <f t="shared" si="689"/>
        <v>#REF!</v>
      </c>
      <c r="AE558" s="10" t="e">
        <f t="shared" si="689"/>
        <v>#REF!</v>
      </c>
      <c r="AF558" s="9" t="e">
        <f t="shared" si="689"/>
        <v>#REF!</v>
      </c>
      <c r="AG558" s="10" t="e">
        <f t="shared" si="689"/>
        <v>#REF!</v>
      </c>
      <c r="AH558" s="9" t="e">
        <f t="shared" si="689"/>
        <v>#REF!</v>
      </c>
      <c r="AI558" s="10" t="e">
        <f t="shared" si="689"/>
        <v>#REF!</v>
      </c>
      <c r="AJ558" s="9" t="e">
        <f t="shared" si="689"/>
        <v>#REF!</v>
      </c>
      <c r="AK558" s="8" t="e">
        <f t="shared" si="670"/>
        <v>#REF!</v>
      </c>
      <c r="AL558" s="11" t="e">
        <f t="shared" si="690"/>
        <v>#REF!</v>
      </c>
      <c r="AM558" s="10" t="e">
        <f t="shared" si="690"/>
        <v>#REF!</v>
      </c>
      <c r="AN558" s="9" t="e">
        <f t="shared" si="690"/>
        <v>#REF!</v>
      </c>
      <c r="AO558" s="10" t="e">
        <f t="shared" si="690"/>
        <v>#REF!</v>
      </c>
      <c r="AP558" s="9" t="e">
        <f t="shared" si="690"/>
        <v>#REF!</v>
      </c>
      <c r="AQ558" s="10" t="e">
        <f t="shared" si="690"/>
        <v>#REF!</v>
      </c>
      <c r="AR558" s="9" t="e">
        <f t="shared" si="690"/>
        <v>#REF!</v>
      </c>
      <c r="AS558" s="10" t="e">
        <f t="shared" si="690"/>
        <v>#REF!</v>
      </c>
      <c r="AT558" s="9" t="e">
        <f t="shared" si="690"/>
        <v>#REF!</v>
      </c>
      <c r="AU558" s="48" t="e">
        <f>SUM(AL558:AT558)</f>
        <v>#REF!</v>
      </c>
    </row>
    <row r="559" spans="1:47">
      <c r="A559" s="37" t="s">
        <v>1152</v>
      </c>
      <c r="B559" s="36" t="s">
        <v>1150</v>
      </c>
      <c r="C559" s="1" t="s">
        <v>1126</v>
      </c>
      <c r="D559" s="36" t="s">
        <v>1126</v>
      </c>
      <c r="E559" s="36" t="s">
        <v>1161</v>
      </c>
      <c r="F559" s="1" t="e">
        <f t="shared" ref="F559:F597" ca="1" si="691">EndUse(A559,B559,C559,G559)</f>
        <v>#NAME?</v>
      </c>
      <c r="G559" s="35" t="s">
        <v>1121</v>
      </c>
      <c r="H559" s="43">
        <v>1</v>
      </c>
      <c r="I559" s="42">
        <v>0</v>
      </c>
      <c r="J559" s="26">
        <v>0.50686986747158602</v>
      </c>
      <c r="K559" s="25">
        <v>0.25617904367977912</v>
      </c>
      <c r="L559" s="24"/>
      <c r="M559" s="25"/>
      <c r="N559" s="24"/>
      <c r="O559" s="25"/>
      <c r="P559" s="24"/>
      <c r="Q559" s="25"/>
      <c r="R559" s="32"/>
      <c r="S559" s="47">
        <v>1</v>
      </c>
      <c r="T559" s="45">
        <v>1</v>
      </c>
      <c r="U559" s="46">
        <v>1</v>
      </c>
      <c r="V559" s="45">
        <v>1</v>
      </c>
      <c r="W559" s="46">
        <v>1</v>
      </c>
      <c r="X559" s="45">
        <v>1</v>
      </c>
      <c r="Y559" s="46">
        <v>1</v>
      </c>
      <c r="Z559" s="45">
        <v>1</v>
      </c>
      <c r="AA559" s="44">
        <v>1</v>
      </c>
      <c r="AB559" s="26">
        <f t="shared" ref="AB559:AJ564" si="692">J559*$H559*S559</f>
        <v>0.50686986747158602</v>
      </c>
      <c r="AC559" s="25">
        <f t="shared" si="692"/>
        <v>0.25617904367977912</v>
      </c>
      <c r="AD559" s="24">
        <f t="shared" si="692"/>
        <v>0</v>
      </c>
      <c r="AE559" s="25">
        <f t="shared" si="692"/>
        <v>0</v>
      </c>
      <c r="AF559" s="24">
        <f t="shared" si="692"/>
        <v>0</v>
      </c>
      <c r="AG559" s="25">
        <f t="shared" si="692"/>
        <v>0</v>
      </c>
      <c r="AH559" s="24">
        <f t="shared" si="692"/>
        <v>0</v>
      </c>
      <c r="AI559" s="25">
        <f t="shared" si="692"/>
        <v>0</v>
      </c>
      <c r="AJ559" s="24">
        <f t="shared" si="692"/>
        <v>0</v>
      </c>
      <c r="AK559" s="27">
        <f t="shared" si="670"/>
        <v>0.76304891115136519</v>
      </c>
      <c r="AL559" s="41">
        <v>0</v>
      </c>
      <c r="AM559" s="40">
        <v>0</v>
      </c>
      <c r="AN559" s="39">
        <v>0</v>
      </c>
      <c r="AO559" s="40">
        <v>0</v>
      </c>
      <c r="AP559" s="39">
        <v>0</v>
      </c>
      <c r="AQ559" s="40">
        <v>0</v>
      </c>
      <c r="AR559" s="39">
        <v>0</v>
      </c>
      <c r="AS559" s="40">
        <v>0</v>
      </c>
      <c r="AT559" s="39">
        <v>0</v>
      </c>
      <c r="AU559" s="38">
        <v>0</v>
      </c>
    </row>
    <row r="560" spans="1:47">
      <c r="A560" s="37" t="s">
        <v>1152</v>
      </c>
      <c r="B560" s="36" t="s">
        <v>1136</v>
      </c>
      <c r="C560" s="1" t="s">
        <v>1126</v>
      </c>
      <c r="D560" s="36" t="s">
        <v>1126</v>
      </c>
      <c r="E560" s="36" t="s">
        <v>1160</v>
      </c>
      <c r="F560" s="1" t="e">
        <f t="shared" ca="1" si="691"/>
        <v>#NAME?</v>
      </c>
      <c r="G560" s="35" t="s">
        <v>1121</v>
      </c>
      <c r="H560" s="43">
        <v>1</v>
      </c>
      <c r="I560" s="42">
        <v>0</v>
      </c>
      <c r="J560" s="26">
        <v>7.2409981067369414E-2</v>
      </c>
      <c r="K560" s="25">
        <v>3.6597006239968442E-2</v>
      </c>
      <c r="L560" s="24"/>
      <c r="M560" s="25"/>
      <c r="N560" s="24"/>
      <c r="O560" s="25"/>
      <c r="P560" s="24"/>
      <c r="Q560" s="25"/>
      <c r="R560" s="32"/>
      <c r="S560" s="47">
        <v>1</v>
      </c>
      <c r="T560" s="45">
        <v>1</v>
      </c>
      <c r="U560" s="46">
        <v>1</v>
      </c>
      <c r="V560" s="45">
        <v>1</v>
      </c>
      <c r="W560" s="46">
        <v>1</v>
      </c>
      <c r="X560" s="45">
        <v>1</v>
      </c>
      <c r="Y560" s="46">
        <v>1</v>
      </c>
      <c r="Z560" s="45">
        <v>1</v>
      </c>
      <c r="AA560" s="44">
        <v>1</v>
      </c>
      <c r="AB560" s="26">
        <f t="shared" si="692"/>
        <v>7.2409981067369414E-2</v>
      </c>
      <c r="AC560" s="25">
        <f t="shared" si="692"/>
        <v>3.6597006239968442E-2</v>
      </c>
      <c r="AD560" s="24">
        <f t="shared" si="692"/>
        <v>0</v>
      </c>
      <c r="AE560" s="25">
        <f t="shared" si="692"/>
        <v>0</v>
      </c>
      <c r="AF560" s="24">
        <f t="shared" si="692"/>
        <v>0</v>
      </c>
      <c r="AG560" s="25">
        <f t="shared" si="692"/>
        <v>0</v>
      </c>
      <c r="AH560" s="24">
        <f t="shared" si="692"/>
        <v>0</v>
      </c>
      <c r="AI560" s="25">
        <f t="shared" si="692"/>
        <v>0</v>
      </c>
      <c r="AJ560" s="24">
        <f t="shared" si="692"/>
        <v>0</v>
      </c>
      <c r="AK560" s="27">
        <f t="shared" si="670"/>
        <v>0.10900698730733785</v>
      </c>
      <c r="AL560" s="41">
        <v>0</v>
      </c>
      <c r="AM560" s="40">
        <v>0</v>
      </c>
      <c r="AN560" s="39">
        <v>0</v>
      </c>
      <c r="AO560" s="40">
        <v>0</v>
      </c>
      <c r="AP560" s="39">
        <v>0</v>
      </c>
      <c r="AQ560" s="40">
        <v>0</v>
      </c>
      <c r="AR560" s="39">
        <v>0</v>
      </c>
      <c r="AS560" s="40">
        <v>0</v>
      </c>
      <c r="AT560" s="39">
        <v>0</v>
      </c>
      <c r="AU560" s="38">
        <v>0</v>
      </c>
    </row>
    <row r="561" spans="1:47">
      <c r="A561" s="37" t="s">
        <v>1152</v>
      </c>
      <c r="B561" s="36" t="s">
        <v>1129</v>
      </c>
      <c r="C561" s="1" t="s">
        <v>456</v>
      </c>
      <c r="D561" s="36" t="s">
        <v>456</v>
      </c>
      <c r="E561" s="36" t="s">
        <v>1159</v>
      </c>
      <c r="F561" s="1" t="e">
        <f t="shared" ca="1" si="691"/>
        <v>#NAME?</v>
      </c>
      <c r="G561" s="35" t="s">
        <v>1121</v>
      </c>
      <c r="H561" s="43">
        <v>1</v>
      </c>
      <c r="I561" s="42">
        <v>0</v>
      </c>
      <c r="J561" s="26">
        <v>2.1347665742575003E-2</v>
      </c>
      <c r="K561" s="25">
        <v>8.0920542120730098E-3</v>
      </c>
      <c r="L561" s="24"/>
      <c r="M561" s="25"/>
      <c r="N561" s="24"/>
      <c r="O561" s="25"/>
      <c r="P561" s="24"/>
      <c r="Q561" s="25"/>
      <c r="R561" s="32"/>
      <c r="S561" s="47">
        <v>1</v>
      </c>
      <c r="T561" s="45">
        <v>1</v>
      </c>
      <c r="U561" s="46">
        <v>1</v>
      </c>
      <c r="V561" s="45">
        <v>1</v>
      </c>
      <c r="W561" s="46">
        <v>1</v>
      </c>
      <c r="X561" s="45">
        <v>1</v>
      </c>
      <c r="Y561" s="46">
        <v>1</v>
      </c>
      <c r="Z561" s="45">
        <v>1</v>
      </c>
      <c r="AA561" s="44">
        <v>1</v>
      </c>
      <c r="AB561" s="26">
        <f t="shared" si="692"/>
        <v>2.1347665742575003E-2</v>
      </c>
      <c r="AC561" s="25">
        <f t="shared" si="692"/>
        <v>8.0920542120730098E-3</v>
      </c>
      <c r="AD561" s="24">
        <f t="shared" si="692"/>
        <v>0</v>
      </c>
      <c r="AE561" s="25">
        <f t="shared" si="692"/>
        <v>0</v>
      </c>
      <c r="AF561" s="24">
        <f t="shared" si="692"/>
        <v>0</v>
      </c>
      <c r="AG561" s="25">
        <f t="shared" si="692"/>
        <v>0</v>
      </c>
      <c r="AH561" s="24">
        <f t="shared" si="692"/>
        <v>0</v>
      </c>
      <c r="AI561" s="25">
        <f t="shared" si="692"/>
        <v>0</v>
      </c>
      <c r="AJ561" s="24">
        <f t="shared" si="692"/>
        <v>0</v>
      </c>
      <c r="AK561" s="27">
        <f t="shared" si="670"/>
        <v>2.9439719954648013E-2</v>
      </c>
      <c r="AL561" s="41">
        <v>0</v>
      </c>
      <c r="AM561" s="40">
        <v>0</v>
      </c>
      <c r="AN561" s="39">
        <v>0</v>
      </c>
      <c r="AO561" s="40">
        <v>0</v>
      </c>
      <c r="AP561" s="39">
        <v>0</v>
      </c>
      <c r="AQ561" s="40">
        <v>0</v>
      </c>
      <c r="AR561" s="39">
        <v>0</v>
      </c>
      <c r="AS561" s="40">
        <v>0</v>
      </c>
      <c r="AT561" s="39">
        <v>0</v>
      </c>
      <c r="AU561" s="38">
        <v>0</v>
      </c>
    </row>
    <row r="562" spans="1:47">
      <c r="A562" s="37" t="s">
        <v>1152</v>
      </c>
      <c r="B562" s="36" t="s">
        <v>1129</v>
      </c>
      <c r="C562" s="1" t="s">
        <v>1106</v>
      </c>
      <c r="D562" s="36" t="s">
        <v>1106</v>
      </c>
      <c r="E562" s="36" t="s">
        <v>1158</v>
      </c>
      <c r="F562" s="1" t="e">
        <f t="shared" ca="1" si="691"/>
        <v>#NAME?</v>
      </c>
      <c r="G562" s="35" t="s">
        <v>1121</v>
      </c>
      <c r="H562" s="43">
        <v>1</v>
      </c>
      <c r="I562" s="42">
        <v>0</v>
      </c>
      <c r="J562" s="26">
        <v>0.60542587109482859</v>
      </c>
      <c r="K562" s="25">
        <v>0.22949295859173094</v>
      </c>
      <c r="L562" s="24"/>
      <c r="M562" s="25"/>
      <c r="N562" s="24"/>
      <c r="O562" s="25"/>
      <c r="P562" s="24"/>
      <c r="Q562" s="25"/>
      <c r="R562" s="32"/>
      <c r="S562" s="47">
        <v>1</v>
      </c>
      <c r="T562" s="45">
        <v>1</v>
      </c>
      <c r="U562" s="46">
        <v>1</v>
      </c>
      <c r="V562" s="45">
        <v>1</v>
      </c>
      <c r="W562" s="46">
        <v>1</v>
      </c>
      <c r="X562" s="45">
        <v>1</v>
      </c>
      <c r="Y562" s="46">
        <v>1</v>
      </c>
      <c r="Z562" s="45">
        <v>1</v>
      </c>
      <c r="AA562" s="44">
        <v>1</v>
      </c>
      <c r="AB562" s="26">
        <f t="shared" si="692"/>
        <v>0.60542587109482859</v>
      </c>
      <c r="AC562" s="25">
        <f t="shared" si="692"/>
        <v>0.22949295859173094</v>
      </c>
      <c r="AD562" s="24">
        <f t="shared" si="692"/>
        <v>0</v>
      </c>
      <c r="AE562" s="25">
        <f t="shared" si="692"/>
        <v>0</v>
      </c>
      <c r="AF562" s="24">
        <f t="shared" si="692"/>
        <v>0</v>
      </c>
      <c r="AG562" s="25">
        <f t="shared" si="692"/>
        <v>0</v>
      </c>
      <c r="AH562" s="24">
        <f t="shared" si="692"/>
        <v>0</v>
      </c>
      <c r="AI562" s="25">
        <f t="shared" si="692"/>
        <v>0</v>
      </c>
      <c r="AJ562" s="24">
        <f t="shared" si="692"/>
        <v>0</v>
      </c>
      <c r="AK562" s="27">
        <f t="shared" si="670"/>
        <v>0.8349188296865595</v>
      </c>
      <c r="AL562" s="41">
        <v>0</v>
      </c>
      <c r="AM562" s="40">
        <v>0</v>
      </c>
      <c r="AN562" s="39">
        <v>0</v>
      </c>
      <c r="AO562" s="40">
        <v>0</v>
      </c>
      <c r="AP562" s="39">
        <v>0</v>
      </c>
      <c r="AQ562" s="40">
        <v>0</v>
      </c>
      <c r="AR562" s="39">
        <v>0</v>
      </c>
      <c r="AS562" s="40">
        <v>0</v>
      </c>
      <c r="AT562" s="39">
        <v>0</v>
      </c>
      <c r="AU562" s="38">
        <v>0</v>
      </c>
    </row>
    <row r="563" spans="1:47">
      <c r="A563" s="37" t="s">
        <v>1152</v>
      </c>
      <c r="B563" s="36" t="s">
        <v>1123</v>
      </c>
      <c r="C563" s="1" t="s">
        <v>1126</v>
      </c>
      <c r="D563" s="36" t="s">
        <v>1126</v>
      </c>
      <c r="E563" s="36" t="s">
        <v>1157</v>
      </c>
      <c r="F563" s="1" t="e">
        <f t="shared" ca="1" si="691"/>
        <v>#NAME?</v>
      </c>
      <c r="G563" s="35" t="s">
        <v>1121</v>
      </c>
      <c r="H563" s="43">
        <v>1</v>
      </c>
      <c r="I563" s="42">
        <v>0</v>
      </c>
      <c r="J563" s="26">
        <v>7.2409981067369414E-2</v>
      </c>
      <c r="K563" s="25">
        <v>3.6597006239968442E-2</v>
      </c>
      <c r="L563" s="24"/>
      <c r="M563" s="25"/>
      <c r="N563" s="24"/>
      <c r="O563" s="25"/>
      <c r="P563" s="24"/>
      <c r="Q563" s="25"/>
      <c r="R563" s="32"/>
      <c r="S563" s="47">
        <v>1</v>
      </c>
      <c r="T563" s="45">
        <v>1</v>
      </c>
      <c r="U563" s="46">
        <v>1</v>
      </c>
      <c r="V563" s="45">
        <v>1</v>
      </c>
      <c r="W563" s="46">
        <v>1</v>
      </c>
      <c r="X563" s="45">
        <v>1</v>
      </c>
      <c r="Y563" s="46">
        <v>1</v>
      </c>
      <c r="Z563" s="45">
        <v>1</v>
      </c>
      <c r="AA563" s="44">
        <v>1</v>
      </c>
      <c r="AB563" s="26">
        <f t="shared" si="692"/>
        <v>7.2409981067369414E-2</v>
      </c>
      <c r="AC563" s="25">
        <f t="shared" si="692"/>
        <v>3.6597006239968442E-2</v>
      </c>
      <c r="AD563" s="24">
        <f t="shared" si="692"/>
        <v>0</v>
      </c>
      <c r="AE563" s="25">
        <f t="shared" si="692"/>
        <v>0</v>
      </c>
      <c r="AF563" s="24">
        <f t="shared" si="692"/>
        <v>0</v>
      </c>
      <c r="AG563" s="25">
        <f t="shared" si="692"/>
        <v>0</v>
      </c>
      <c r="AH563" s="24">
        <f t="shared" si="692"/>
        <v>0</v>
      </c>
      <c r="AI563" s="25">
        <f t="shared" si="692"/>
        <v>0</v>
      </c>
      <c r="AJ563" s="24">
        <f t="shared" si="692"/>
        <v>0</v>
      </c>
      <c r="AK563" s="27">
        <f t="shared" si="670"/>
        <v>0.10900698730733785</v>
      </c>
      <c r="AL563" s="41">
        <v>0</v>
      </c>
      <c r="AM563" s="40">
        <v>0</v>
      </c>
      <c r="AN563" s="39">
        <v>0</v>
      </c>
      <c r="AO563" s="40">
        <v>0</v>
      </c>
      <c r="AP563" s="39">
        <v>0</v>
      </c>
      <c r="AQ563" s="40">
        <v>0</v>
      </c>
      <c r="AR563" s="39">
        <v>0</v>
      </c>
      <c r="AS563" s="40">
        <v>0</v>
      </c>
      <c r="AT563" s="39">
        <v>0</v>
      </c>
      <c r="AU563" s="38">
        <v>0</v>
      </c>
    </row>
    <row r="564" spans="1:47">
      <c r="A564" s="37" t="s">
        <v>1152</v>
      </c>
      <c r="B564" s="36" t="s">
        <v>1123</v>
      </c>
      <c r="C564" s="1" t="s">
        <v>665</v>
      </c>
      <c r="D564" s="36" t="s">
        <v>665</v>
      </c>
      <c r="E564" s="36" t="s">
        <v>1156</v>
      </c>
      <c r="F564" s="1" t="e">
        <f t="shared" ca="1" si="691"/>
        <v>#NAME?</v>
      </c>
      <c r="G564" s="35" t="s">
        <v>1121</v>
      </c>
      <c r="H564" s="43">
        <v>1</v>
      </c>
      <c r="I564" s="42">
        <v>0</v>
      </c>
      <c r="J564" s="26">
        <v>2.6819630736975628</v>
      </c>
      <c r="K564" s="25">
        <v>0.96821517358177578</v>
      </c>
      <c r="L564" s="24"/>
      <c r="M564" s="25"/>
      <c r="N564" s="24"/>
      <c r="O564" s="25"/>
      <c r="P564" s="24"/>
      <c r="Q564" s="25"/>
      <c r="R564" s="32"/>
      <c r="S564" s="47">
        <v>1</v>
      </c>
      <c r="T564" s="45">
        <v>1</v>
      </c>
      <c r="U564" s="46">
        <v>1</v>
      </c>
      <c r="V564" s="45">
        <v>1</v>
      </c>
      <c r="W564" s="46">
        <v>1</v>
      </c>
      <c r="X564" s="45">
        <v>1</v>
      </c>
      <c r="Y564" s="46">
        <v>1</v>
      </c>
      <c r="Z564" s="45">
        <v>1</v>
      </c>
      <c r="AA564" s="44">
        <v>1</v>
      </c>
      <c r="AB564" s="26">
        <f t="shared" si="692"/>
        <v>2.6819630736975628</v>
      </c>
      <c r="AC564" s="25">
        <f t="shared" si="692"/>
        <v>0.96821517358177578</v>
      </c>
      <c r="AD564" s="24">
        <f t="shared" si="692"/>
        <v>0</v>
      </c>
      <c r="AE564" s="25">
        <f t="shared" si="692"/>
        <v>0</v>
      </c>
      <c r="AF564" s="24">
        <f t="shared" si="692"/>
        <v>0</v>
      </c>
      <c r="AG564" s="25">
        <f t="shared" si="692"/>
        <v>0</v>
      </c>
      <c r="AH564" s="24">
        <f t="shared" si="692"/>
        <v>0</v>
      </c>
      <c r="AI564" s="25">
        <f t="shared" si="692"/>
        <v>0</v>
      </c>
      <c r="AJ564" s="24">
        <f t="shared" si="692"/>
        <v>0</v>
      </c>
      <c r="AK564" s="27">
        <f t="shared" si="670"/>
        <v>3.6501782472793387</v>
      </c>
      <c r="AL564" s="41">
        <v>0</v>
      </c>
      <c r="AM564" s="40">
        <v>0</v>
      </c>
      <c r="AN564" s="39">
        <v>0</v>
      </c>
      <c r="AO564" s="40">
        <v>0</v>
      </c>
      <c r="AP564" s="39">
        <v>0</v>
      </c>
      <c r="AQ564" s="40">
        <v>0</v>
      </c>
      <c r="AR564" s="39">
        <v>0</v>
      </c>
      <c r="AS564" s="40">
        <v>0</v>
      </c>
      <c r="AT564" s="39">
        <v>0</v>
      </c>
      <c r="AU564" s="38">
        <v>0</v>
      </c>
    </row>
    <row r="565" spans="1:47">
      <c r="A565" s="37" t="s">
        <v>1152</v>
      </c>
      <c r="B565" s="36" t="s">
        <v>1107</v>
      </c>
      <c r="C565" s="1" t="s">
        <v>665</v>
      </c>
      <c r="D565" s="36" t="s">
        <v>665</v>
      </c>
      <c r="E565" s="36" t="s">
        <v>1155</v>
      </c>
      <c r="F565" s="1" t="e">
        <f t="shared" ca="1" si="691"/>
        <v>#NAME?</v>
      </c>
      <c r="G565" s="35" t="s">
        <v>1109</v>
      </c>
      <c r="H565" s="34">
        <f>1-I565</f>
        <v>0.49060269678639434</v>
      </c>
      <c r="I565" s="33">
        <v>0.50939730321360566</v>
      </c>
      <c r="J565" s="26">
        <v>0</v>
      </c>
      <c r="K565" s="25">
        <v>0</v>
      </c>
      <c r="L565" s="24"/>
      <c r="M565" s="25"/>
      <c r="N565" s="24"/>
      <c r="O565" s="25"/>
      <c r="P565" s="24"/>
      <c r="Q565" s="25"/>
      <c r="R565" s="32"/>
      <c r="S565" s="31" t="e">
        <v>#REF!</v>
      </c>
      <c r="T565" s="29" t="e">
        <f t="shared" ref="T565:AA568" si="693">S565</f>
        <v>#REF!</v>
      </c>
      <c r="U565" s="30" t="e">
        <f t="shared" si="693"/>
        <v>#REF!</v>
      </c>
      <c r="V565" s="29" t="e">
        <f t="shared" si="693"/>
        <v>#REF!</v>
      </c>
      <c r="W565" s="30" t="e">
        <f t="shared" si="693"/>
        <v>#REF!</v>
      </c>
      <c r="X565" s="29" t="e">
        <f t="shared" si="693"/>
        <v>#REF!</v>
      </c>
      <c r="Y565" s="30" t="e">
        <f t="shared" si="693"/>
        <v>#REF!</v>
      </c>
      <c r="Z565" s="29" t="e">
        <f t="shared" si="693"/>
        <v>#REF!</v>
      </c>
      <c r="AA565" s="28" t="e">
        <f t="shared" si="693"/>
        <v>#REF!</v>
      </c>
      <c r="AB565" s="26" t="e">
        <f t="shared" ref="AB565:AJ568" si="694">J565*31.536*$H565*S565</f>
        <v>#REF!</v>
      </c>
      <c r="AC565" s="25" t="e">
        <f t="shared" si="694"/>
        <v>#REF!</v>
      </c>
      <c r="AD565" s="24" t="e">
        <f t="shared" si="694"/>
        <v>#REF!</v>
      </c>
      <c r="AE565" s="25" t="e">
        <f t="shared" si="694"/>
        <v>#REF!</v>
      </c>
      <c r="AF565" s="24" t="e">
        <f t="shared" si="694"/>
        <v>#REF!</v>
      </c>
      <c r="AG565" s="25" t="e">
        <f t="shared" si="694"/>
        <v>#REF!</v>
      </c>
      <c r="AH565" s="24" t="e">
        <f t="shared" si="694"/>
        <v>#REF!</v>
      </c>
      <c r="AI565" s="25" t="e">
        <f t="shared" si="694"/>
        <v>#REF!</v>
      </c>
      <c r="AJ565" s="24" t="e">
        <f t="shared" si="694"/>
        <v>#REF!</v>
      </c>
      <c r="AK565" s="27" t="e">
        <f t="shared" si="670"/>
        <v>#REF!</v>
      </c>
      <c r="AL565" s="26" t="e">
        <f t="shared" ref="AL565:AT568" si="695">J565*31.536*$I565*S565</f>
        <v>#REF!</v>
      </c>
      <c r="AM565" s="25" t="e">
        <f t="shared" si="695"/>
        <v>#REF!</v>
      </c>
      <c r="AN565" s="24" t="e">
        <f t="shared" si="695"/>
        <v>#REF!</v>
      </c>
      <c r="AO565" s="25" t="e">
        <f t="shared" si="695"/>
        <v>#REF!</v>
      </c>
      <c r="AP565" s="24" t="e">
        <f t="shared" si="695"/>
        <v>#REF!</v>
      </c>
      <c r="AQ565" s="25" t="e">
        <f t="shared" si="695"/>
        <v>#REF!</v>
      </c>
      <c r="AR565" s="24" t="e">
        <f t="shared" si="695"/>
        <v>#REF!</v>
      </c>
      <c r="AS565" s="25" t="e">
        <f t="shared" si="695"/>
        <v>#REF!</v>
      </c>
      <c r="AT565" s="24" t="e">
        <f t="shared" si="695"/>
        <v>#REF!</v>
      </c>
      <c r="AU565" s="23" t="e">
        <f>SUM(AL565:AT565)</f>
        <v>#REF!</v>
      </c>
    </row>
    <row r="566" spans="1:47">
      <c r="A566" s="37" t="s">
        <v>1152</v>
      </c>
      <c r="B566" s="36" t="s">
        <v>1107</v>
      </c>
      <c r="C566" s="1" t="s">
        <v>665</v>
      </c>
      <c r="D566" s="36" t="s">
        <v>665</v>
      </c>
      <c r="E566" s="36" t="s">
        <v>1154</v>
      </c>
      <c r="F566" s="1" t="e">
        <f t="shared" ca="1" si="691"/>
        <v>#NAME?</v>
      </c>
      <c r="G566" s="35" t="s">
        <v>1109</v>
      </c>
      <c r="H566" s="34">
        <f>1-I566</f>
        <v>0.31911030413073083</v>
      </c>
      <c r="I566" s="33">
        <v>0.68088969586926917</v>
      </c>
      <c r="J566" s="26">
        <v>0</v>
      </c>
      <c r="K566" s="25">
        <v>0</v>
      </c>
      <c r="L566" s="24"/>
      <c r="M566" s="25"/>
      <c r="N566" s="24"/>
      <c r="O566" s="25"/>
      <c r="P566" s="24"/>
      <c r="Q566" s="25"/>
      <c r="R566" s="32"/>
      <c r="S566" s="31" t="e">
        <v>#REF!</v>
      </c>
      <c r="T566" s="29" t="e">
        <f t="shared" si="693"/>
        <v>#REF!</v>
      </c>
      <c r="U566" s="30" t="e">
        <f t="shared" si="693"/>
        <v>#REF!</v>
      </c>
      <c r="V566" s="29" t="e">
        <f t="shared" si="693"/>
        <v>#REF!</v>
      </c>
      <c r="W566" s="30" t="e">
        <f t="shared" si="693"/>
        <v>#REF!</v>
      </c>
      <c r="X566" s="29" t="e">
        <f t="shared" si="693"/>
        <v>#REF!</v>
      </c>
      <c r="Y566" s="30" t="e">
        <f t="shared" si="693"/>
        <v>#REF!</v>
      </c>
      <c r="Z566" s="29" t="e">
        <f t="shared" si="693"/>
        <v>#REF!</v>
      </c>
      <c r="AA566" s="28" t="e">
        <f t="shared" si="693"/>
        <v>#REF!</v>
      </c>
      <c r="AB566" s="26" t="e">
        <f t="shared" si="694"/>
        <v>#REF!</v>
      </c>
      <c r="AC566" s="25" t="e">
        <f t="shared" si="694"/>
        <v>#REF!</v>
      </c>
      <c r="AD566" s="24" t="e">
        <f t="shared" si="694"/>
        <v>#REF!</v>
      </c>
      <c r="AE566" s="25" t="e">
        <f t="shared" si="694"/>
        <v>#REF!</v>
      </c>
      <c r="AF566" s="24" t="e">
        <f t="shared" si="694"/>
        <v>#REF!</v>
      </c>
      <c r="AG566" s="25" t="e">
        <f t="shared" si="694"/>
        <v>#REF!</v>
      </c>
      <c r="AH566" s="24" t="e">
        <f t="shared" si="694"/>
        <v>#REF!</v>
      </c>
      <c r="AI566" s="25" t="e">
        <f t="shared" si="694"/>
        <v>#REF!</v>
      </c>
      <c r="AJ566" s="24" t="e">
        <f t="shared" si="694"/>
        <v>#REF!</v>
      </c>
      <c r="AK566" s="27" t="e">
        <f t="shared" si="670"/>
        <v>#REF!</v>
      </c>
      <c r="AL566" s="26" t="e">
        <f t="shared" si="695"/>
        <v>#REF!</v>
      </c>
      <c r="AM566" s="25" t="e">
        <f t="shared" si="695"/>
        <v>#REF!</v>
      </c>
      <c r="AN566" s="24" t="e">
        <f t="shared" si="695"/>
        <v>#REF!</v>
      </c>
      <c r="AO566" s="25" t="e">
        <f t="shared" si="695"/>
        <v>#REF!</v>
      </c>
      <c r="AP566" s="24" t="e">
        <f t="shared" si="695"/>
        <v>#REF!</v>
      </c>
      <c r="AQ566" s="25" t="e">
        <f t="shared" si="695"/>
        <v>#REF!</v>
      </c>
      <c r="AR566" s="24" t="e">
        <f t="shared" si="695"/>
        <v>#REF!</v>
      </c>
      <c r="AS566" s="25" t="e">
        <f t="shared" si="695"/>
        <v>#REF!</v>
      </c>
      <c r="AT566" s="24" t="e">
        <f t="shared" si="695"/>
        <v>#REF!</v>
      </c>
      <c r="AU566" s="23" t="e">
        <f>SUM(AL566:AT566)</f>
        <v>#REF!</v>
      </c>
    </row>
    <row r="567" spans="1:47">
      <c r="A567" s="37" t="s">
        <v>1152</v>
      </c>
      <c r="B567" s="36" t="s">
        <v>1107</v>
      </c>
      <c r="C567" s="1" t="s">
        <v>665</v>
      </c>
      <c r="D567" s="36" t="s">
        <v>665</v>
      </c>
      <c r="E567" s="36" t="s">
        <v>1153</v>
      </c>
      <c r="F567" s="1" t="e">
        <f t="shared" ca="1" si="691"/>
        <v>#NAME?</v>
      </c>
      <c r="G567" s="35" t="s">
        <v>1109</v>
      </c>
      <c r="H567" s="34">
        <f>1-I567</f>
        <v>0.49775968815534566</v>
      </c>
      <c r="I567" s="33">
        <v>0.50224031184465434</v>
      </c>
      <c r="J567" s="26">
        <v>0</v>
      </c>
      <c r="K567" s="25">
        <v>0</v>
      </c>
      <c r="L567" s="24"/>
      <c r="M567" s="25"/>
      <c r="N567" s="24"/>
      <c r="O567" s="25"/>
      <c r="P567" s="24"/>
      <c r="Q567" s="25"/>
      <c r="R567" s="32"/>
      <c r="S567" s="31" t="e">
        <v>#REF!</v>
      </c>
      <c r="T567" s="29" t="e">
        <f t="shared" si="693"/>
        <v>#REF!</v>
      </c>
      <c r="U567" s="30" t="e">
        <f t="shared" si="693"/>
        <v>#REF!</v>
      </c>
      <c r="V567" s="29" t="e">
        <f t="shared" si="693"/>
        <v>#REF!</v>
      </c>
      <c r="W567" s="30" t="e">
        <f t="shared" si="693"/>
        <v>#REF!</v>
      </c>
      <c r="X567" s="29" t="e">
        <f t="shared" si="693"/>
        <v>#REF!</v>
      </c>
      <c r="Y567" s="30" t="e">
        <f t="shared" si="693"/>
        <v>#REF!</v>
      </c>
      <c r="Z567" s="29" t="e">
        <f t="shared" si="693"/>
        <v>#REF!</v>
      </c>
      <c r="AA567" s="28" t="e">
        <f t="shared" si="693"/>
        <v>#REF!</v>
      </c>
      <c r="AB567" s="26" t="e">
        <f t="shared" si="694"/>
        <v>#REF!</v>
      </c>
      <c r="AC567" s="25" t="e">
        <f t="shared" si="694"/>
        <v>#REF!</v>
      </c>
      <c r="AD567" s="24" t="e">
        <f t="shared" si="694"/>
        <v>#REF!</v>
      </c>
      <c r="AE567" s="25" t="e">
        <f t="shared" si="694"/>
        <v>#REF!</v>
      </c>
      <c r="AF567" s="24" t="e">
        <f t="shared" si="694"/>
        <v>#REF!</v>
      </c>
      <c r="AG567" s="25" t="e">
        <f t="shared" si="694"/>
        <v>#REF!</v>
      </c>
      <c r="AH567" s="24" t="e">
        <f t="shared" si="694"/>
        <v>#REF!</v>
      </c>
      <c r="AI567" s="25" t="e">
        <f t="shared" si="694"/>
        <v>#REF!</v>
      </c>
      <c r="AJ567" s="24" t="e">
        <f t="shared" si="694"/>
        <v>#REF!</v>
      </c>
      <c r="AK567" s="27" t="e">
        <f t="shared" si="670"/>
        <v>#REF!</v>
      </c>
      <c r="AL567" s="26" t="e">
        <f t="shared" si="695"/>
        <v>#REF!</v>
      </c>
      <c r="AM567" s="25" t="e">
        <f t="shared" si="695"/>
        <v>#REF!</v>
      </c>
      <c r="AN567" s="24" t="e">
        <f t="shared" si="695"/>
        <v>#REF!</v>
      </c>
      <c r="AO567" s="25" t="e">
        <f t="shared" si="695"/>
        <v>#REF!</v>
      </c>
      <c r="AP567" s="24" t="e">
        <f t="shared" si="695"/>
        <v>#REF!</v>
      </c>
      <c r="AQ567" s="25" t="e">
        <f t="shared" si="695"/>
        <v>#REF!</v>
      </c>
      <c r="AR567" s="24" t="e">
        <f t="shared" si="695"/>
        <v>#REF!</v>
      </c>
      <c r="AS567" s="25" t="e">
        <f t="shared" si="695"/>
        <v>#REF!</v>
      </c>
      <c r="AT567" s="24" t="e">
        <f t="shared" si="695"/>
        <v>#REF!</v>
      </c>
      <c r="AU567" s="23" t="e">
        <f>SUM(AL567:AT567)</f>
        <v>#REF!</v>
      </c>
    </row>
    <row r="568" spans="1:47">
      <c r="A568" s="22" t="s">
        <v>1152</v>
      </c>
      <c r="B568" s="20" t="s">
        <v>1107</v>
      </c>
      <c r="C568" s="21" t="s">
        <v>1106</v>
      </c>
      <c r="D568" s="20" t="s">
        <v>1106</v>
      </c>
      <c r="E568" s="20" t="s">
        <v>1151</v>
      </c>
      <c r="F568" s="21" t="e">
        <f t="shared" ca="1" si="691"/>
        <v>#NAME?</v>
      </c>
      <c r="G568" s="19" t="s">
        <v>1109</v>
      </c>
      <c r="H568" s="50">
        <f>1-I568</f>
        <v>0.91317837324206397</v>
      </c>
      <c r="I568" s="49">
        <v>8.6821626757936074E-2</v>
      </c>
      <c r="J568" s="11" t="e">
        <v>#REF!</v>
      </c>
      <c r="K568" s="10" t="e">
        <v>#REF!</v>
      </c>
      <c r="L568" s="9"/>
      <c r="M568" s="10"/>
      <c r="N568" s="9"/>
      <c r="O568" s="10"/>
      <c r="P568" s="9"/>
      <c r="Q568" s="10"/>
      <c r="R568" s="16"/>
      <c r="S568" s="15" t="e">
        <v>#REF!</v>
      </c>
      <c r="T568" s="13" t="e">
        <f t="shared" si="693"/>
        <v>#REF!</v>
      </c>
      <c r="U568" s="14" t="e">
        <f t="shared" si="693"/>
        <v>#REF!</v>
      </c>
      <c r="V568" s="13" t="e">
        <f t="shared" si="693"/>
        <v>#REF!</v>
      </c>
      <c r="W568" s="14" t="e">
        <f t="shared" si="693"/>
        <v>#REF!</v>
      </c>
      <c r="X568" s="13" t="e">
        <f t="shared" si="693"/>
        <v>#REF!</v>
      </c>
      <c r="Y568" s="14" t="e">
        <f t="shared" si="693"/>
        <v>#REF!</v>
      </c>
      <c r="Z568" s="13" t="e">
        <f t="shared" si="693"/>
        <v>#REF!</v>
      </c>
      <c r="AA568" s="12" t="e">
        <f t="shared" si="693"/>
        <v>#REF!</v>
      </c>
      <c r="AB568" s="11" t="e">
        <f t="shared" si="694"/>
        <v>#REF!</v>
      </c>
      <c r="AC568" s="10" t="e">
        <f t="shared" si="694"/>
        <v>#REF!</v>
      </c>
      <c r="AD568" s="9" t="e">
        <f t="shared" si="694"/>
        <v>#REF!</v>
      </c>
      <c r="AE568" s="10" t="e">
        <f t="shared" si="694"/>
        <v>#REF!</v>
      </c>
      <c r="AF568" s="9" t="e">
        <f t="shared" si="694"/>
        <v>#REF!</v>
      </c>
      <c r="AG568" s="10" t="e">
        <f t="shared" si="694"/>
        <v>#REF!</v>
      </c>
      <c r="AH568" s="9" t="e">
        <f t="shared" si="694"/>
        <v>#REF!</v>
      </c>
      <c r="AI568" s="10" t="e">
        <f t="shared" si="694"/>
        <v>#REF!</v>
      </c>
      <c r="AJ568" s="9" t="e">
        <f t="shared" si="694"/>
        <v>#REF!</v>
      </c>
      <c r="AK568" s="8" t="e">
        <f t="shared" si="670"/>
        <v>#REF!</v>
      </c>
      <c r="AL568" s="11" t="e">
        <f t="shared" si="695"/>
        <v>#REF!</v>
      </c>
      <c r="AM568" s="10" t="e">
        <f t="shared" si="695"/>
        <v>#REF!</v>
      </c>
      <c r="AN568" s="9" t="e">
        <f t="shared" si="695"/>
        <v>#REF!</v>
      </c>
      <c r="AO568" s="10" t="e">
        <f t="shared" si="695"/>
        <v>#REF!</v>
      </c>
      <c r="AP568" s="9" t="e">
        <f t="shared" si="695"/>
        <v>#REF!</v>
      </c>
      <c r="AQ568" s="10" t="e">
        <f t="shared" si="695"/>
        <v>#REF!</v>
      </c>
      <c r="AR568" s="9" t="e">
        <f t="shared" si="695"/>
        <v>#REF!</v>
      </c>
      <c r="AS568" s="10" t="e">
        <f t="shared" si="695"/>
        <v>#REF!</v>
      </c>
      <c r="AT568" s="9" t="e">
        <f t="shared" si="695"/>
        <v>#REF!</v>
      </c>
      <c r="AU568" s="48" t="e">
        <f>SUM(AL568:AT568)</f>
        <v>#REF!</v>
      </c>
    </row>
    <row r="569" spans="1:47">
      <c r="A569" s="37" t="s">
        <v>1108</v>
      </c>
      <c r="B569" s="36" t="s">
        <v>1150</v>
      </c>
      <c r="C569" s="1" t="s">
        <v>1126</v>
      </c>
      <c r="D569" s="36" t="s">
        <v>1126</v>
      </c>
      <c r="E569" s="36" t="s">
        <v>1149</v>
      </c>
      <c r="F569" s="1" t="e">
        <f t="shared" ca="1" si="691"/>
        <v>#NAME?</v>
      </c>
      <c r="G569" s="35" t="s">
        <v>1121</v>
      </c>
      <c r="H569" s="43">
        <v>1</v>
      </c>
      <c r="I569" s="42">
        <v>0</v>
      </c>
      <c r="J569" s="26">
        <v>0.10859503338636103</v>
      </c>
      <c r="K569" s="25">
        <v>6.2258102322241424E-2</v>
      </c>
      <c r="L569" s="24"/>
      <c r="M569" s="25"/>
      <c r="N569" s="24"/>
      <c r="O569" s="25"/>
      <c r="P569" s="24"/>
      <c r="Q569" s="25"/>
      <c r="R569" s="32"/>
      <c r="S569" s="47">
        <v>1</v>
      </c>
      <c r="T569" s="45">
        <v>1</v>
      </c>
      <c r="U569" s="46">
        <v>1</v>
      </c>
      <c r="V569" s="45">
        <v>1</v>
      </c>
      <c r="W569" s="46">
        <v>1</v>
      </c>
      <c r="X569" s="45">
        <v>1</v>
      </c>
      <c r="Y569" s="46">
        <v>1</v>
      </c>
      <c r="Z569" s="45">
        <v>1</v>
      </c>
      <c r="AA569" s="44">
        <v>1</v>
      </c>
      <c r="AB569" s="26">
        <f t="shared" ref="AB569:AB589" si="696">J569*$H569*S569</f>
        <v>0.10859503338636103</v>
      </c>
      <c r="AC569" s="25">
        <f t="shared" ref="AC569:AC589" si="697">K569*$H569*T569</f>
        <v>6.2258102322241424E-2</v>
      </c>
      <c r="AD569" s="24">
        <f t="shared" ref="AD569:AD589" si="698">L569*$H569*U569</f>
        <v>0</v>
      </c>
      <c r="AE569" s="25">
        <f t="shared" ref="AE569:AE589" si="699">M569*$H569*V569</f>
        <v>0</v>
      </c>
      <c r="AF569" s="24">
        <f t="shared" ref="AF569:AF589" si="700">N569*$H569*W569</f>
        <v>0</v>
      </c>
      <c r="AG569" s="25">
        <f t="shared" ref="AG569:AG589" si="701">O569*$H569*X569</f>
        <v>0</v>
      </c>
      <c r="AH569" s="24">
        <f t="shared" ref="AH569:AH589" si="702">P569*$H569*Y569</f>
        <v>0</v>
      </c>
      <c r="AI569" s="25">
        <f t="shared" ref="AI569:AI589" si="703">Q569*$H569*Z569</f>
        <v>0</v>
      </c>
      <c r="AJ569" s="24">
        <f t="shared" ref="AJ569:AJ589" si="704">R569*$H569*AA569</f>
        <v>0</v>
      </c>
      <c r="AK569" s="27">
        <f t="shared" si="670"/>
        <v>0.17085313570860244</v>
      </c>
      <c r="AL569" s="41">
        <v>0</v>
      </c>
      <c r="AM569" s="40">
        <v>0</v>
      </c>
      <c r="AN569" s="39">
        <v>0</v>
      </c>
      <c r="AO569" s="40">
        <v>0</v>
      </c>
      <c r="AP569" s="39">
        <v>0</v>
      </c>
      <c r="AQ569" s="40">
        <v>0</v>
      </c>
      <c r="AR569" s="39">
        <v>0</v>
      </c>
      <c r="AS569" s="40">
        <v>0</v>
      </c>
      <c r="AT569" s="39">
        <v>0</v>
      </c>
      <c r="AU569" s="38">
        <v>0</v>
      </c>
    </row>
    <row r="570" spans="1:47">
      <c r="A570" s="37" t="s">
        <v>1108</v>
      </c>
      <c r="B570" s="36" t="s">
        <v>1145</v>
      </c>
      <c r="C570" s="1" t="s">
        <v>1120</v>
      </c>
      <c r="D570" s="36" t="s">
        <v>1120</v>
      </c>
      <c r="E570" s="36" t="s">
        <v>1148</v>
      </c>
      <c r="F570" s="1" t="e">
        <f t="shared" ca="1" si="691"/>
        <v>#NAME?</v>
      </c>
      <c r="G570" s="35" t="s">
        <v>1121</v>
      </c>
      <c r="H570" s="43">
        <v>1</v>
      </c>
      <c r="I570" s="42">
        <v>0</v>
      </c>
      <c r="J570" s="26">
        <v>0.15406677313290928</v>
      </c>
      <c r="K570" s="25">
        <v>5.1911652460093834E-2</v>
      </c>
      <c r="L570" s="24"/>
      <c r="M570" s="25"/>
      <c r="N570" s="24"/>
      <c r="O570" s="25"/>
      <c r="P570" s="24"/>
      <c r="Q570" s="25"/>
      <c r="R570" s="32"/>
      <c r="S570" s="47">
        <v>1</v>
      </c>
      <c r="T570" s="45">
        <v>1</v>
      </c>
      <c r="U570" s="46">
        <v>1</v>
      </c>
      <c r="V570" s="45">
        <v>1</v>
      </c>
      <c r="W570" s="46">
        <v>1</v>
      </c>
      <c r="X570" s="45">
        <v>1</v>
      </c>
      <c r="Y570" s="46">
        <v>1</v>
      </c>
      <c r="Z570" s="45">
        <v>1</v>
      </c>
      <c r="AA570" s="44">
        <v>1</v>
      </c>
      <c r="AB570" s="26">
        <f t="shared" si="696"/>
        <v>0.15406677313290928</v>
      </c>
      <c r="AC570" s="25">
        <f t="shared" si="697"/>
        <v>5.1911652460093834E-2</v>
      </c>
      <c r="AD570" s="24">
        <f t="shared" si="698"/>
        <v>0</v>
      </c>
      <c r="AE570" s="25">
        <f t="shared" si="699"/>
        <v>0</v>
      </c>
      <c r="AF570" s="24">
        <f t="shared" si="700"/>
        <v>0</v>
      </c>
      <c r="AG570" s="25">
        <f t="shared" si="701"/>
        <v>0</v>
      </c>
      <c r="AH570" s="24">
        <f t="shared" si="702"/>
        <v>0</v>
      </c>
      <c r="AI570" s="25">
        <f t="shared" si="703"/>
        <v>0</v>
      </c>
      <c r="AJ570" s="24">
        <f t="shared" si="704"/>
        <v>0</v>
      </c>
      <c r="AK570" s="27">
        <f t="shared" si="670"/>
        <v>0.20597842559300311</v>
      </c>
      <c r="AL570" s="41">
        <v>0</v>
      </c>
      <c r="AM570" s="40">
        <v>0</v>
      </c>
      <c r="AN570" s="39">
        <v>0</v>
      </c>
      <c r="AO570" s="40">
        <v>0</v>
      </c>
      <c r="AP570" s="39">
        <v>0</v>
      </c>
      <c r="AQ570" s="40">
        <v>0</v>
      </c>
      <c r="AR570" s="39">
        <v>0</v>
      </c>
      <c r="AS570" s="40">
        <v>0</v>
      </c>
      <c r="AT570" s="39">
        <v>0</v>
      </c>
      <c r="AU570" s="38">
        <v>0</v>
      </c>
    </row>
    <row r="571" spans="1:47">
      <c r="A571" s="37" t="s">
        <v>1108</v>
      </c>
      <c r="B571" s="36" t="s">
        <v>1145</v>
      </c>
      <c r="C571" s="1" t="s">
        <v>1126</v>
      </c>
      <c r="D571" s="36" t="s">
        <v>1126</v>
      </c>
      <c r="E571" s="36" t="s">
        <v>1147</v>
      </c>
      <c r="F571" s="1" t="e">
        <f t="shared" ca="1" si="691"/>
        <v>#NAME?</v>
      </c>
      <c r="G571" s="35" t="s">
        <v>1121</v>
      </c>
      <c r="H571" s="43">
        <v>1</v>
      </c>
      <c r="I571" s="42">
        <v>0</v>
      </c>
      <c r="J571" s="26">
        <v>0.43438013354544414</v>
      </c>
      <c r="K571" s="25">
        <v>0.24903240928896569</v>
      </c>
      <c r="L571" s="24"/>
      <c r="M571" s="25"/>
      <c r="N571" s="24"/>
      <c r="O571" s="25"/>
      <c r="P571" s="24"/>
      <c r="Q571" s="25"/>
      <c r="R571" s="32"/>
      <c r="S571" s="47">
        <v>1</v>
      </c>
      <c r="T571" s="45">
        <v>1</v>
      </c>
      <c r="U571" s="46">
        <v>1</v>
      </c>
      <c r="V571" s="45">
        <v>1</v>
      </c>
      <c r="W571" s="46">
        <v>1</v>
      </c>
      <c r="X571" s="45">
        <v>1</v>
      </c>
      <c r="Y571" s="46">
        <v>1</v>
      </c>
      <c r="Z571" s="45">
        <v>1</v>
      </c>
      <c r="AA571" s="44">
        <v>1</v>
      </c>
      <c r="AB571" s="26">
        <f t="shared" si="696"/>
        <v>0.43438013354544414</v>
      </c>
      <c r="AC571" s="25">
        <f t="shared" si="697"/>
        <v>0.24903240928896569</v>
      </c>
      <c r="AD571" s="24">
        <f t="shared" si="698"/>
        <v>0</v>
      </c>
      <c r="AE571" s="25">
        <f t="shared" si="699"/>
        <v>0</v>
      </c>
      <c r="AF571" s="24">
        <f t="shared" si="700"/>
        <v>0</v>
      </c>
      <c r="AG571" s="25">
        <f t="shared" si="701"/>
        <v>0</v>
      </c>
      <c r="AH571" s="24">
        <f t="shared" si="702"/>
        <v>0</v>
      </c>
      <c r="AI571" s="25">
        <f t="shared" si="703"/>
        <v>0</v>
      </c>
      <c r="AJ571" s="24">
        <f t="shared" si="704"/>
        <v>0</v>
      </c>
      <c r="AK571" s="27">
        <f t="shared" si="670"/>
        <v>0.68341254283440978</v>
      </c>
      <c r="AL571" s="41">
        <v>0</v>
      </c>
      <c r="AM571" s="40">
        <v>0</v>
      </c>
      <c r="AN571" s="39">
        <v>0</v>
      </c>
      <c r="AO571" s="40">
        <v>0</v>
      </c>
      <c r="AP571" s="39">
        <v>0</v>
      </c>
      <c r="AQ571" s="40">
        <v>0</v>
      </c>
      <c r="AR571" s="39">
        <v>0</v>
      </c>
      <c r="AS571" s="40">
        <v>0</v>
      </c>
      <c r="AT571" s="39">
        <v>0</v>
      </c>
      <c r="AU571" s="38">
        <v>0</v>
      </c>
    </row>
    <row r="572" spans="1:47">
      <c r="A572" s="37" t="s">
        <v>1108</v>
      </c>
      <c r="B572" s="36" t="s">
        <v>1145</v>
      </c>
      <c r="C572" s="1" t="s">
        <v>665</v>
      </c>
      <c r="D572" s="36" t="s">
        <v>665</v>
      </c>
      <c r="E572" s="36" t="s">
        <v>1146</v>
      </c>
      <c r="F572" s="1" t="e">
        <f t="shared" ca="1" si="691"/>
        <v>#NAME?</v>
      </c>
      <c r="G572" s="35" t="s">
        <v>1121</v>
      </c>
      <c r="H572" s="43">
        <v>1</v>
      </c>
      <c r="I572" s="42">
        <v>0</v>
      </c>
      <c r="J572" s="26">
        <v>0.9451403149432035</v>
      </c>
      <c r="K572" s="25">
        <v>0.17824141470262364</v>
      </c>
      <c r="L572" s="24"/>
      <c r="M572" s="25"/>
      <c r="N572" s="24"/>
      <c r="O572" s="25"/>
      <c r="P572" s="24"/>
      <c r="Q572" s="25"/>
      <c r="R572" s="32"/>
      <c r="S572" s="47">
        <v>1</v>
      </c>
      <c r="T572" s="45">
        <v>1</v>
      </c>
      <c r="U572" s="46">
        <v>1</v>
      </c>
      <c r="V572" s="45">
        <v>1</v>
      </c>
      <c r="W572" s="46">
        <v>1</v>
      </c>
      <c r="X572" s="45">
        <v>1</v>
      </c>
      <c r="Y572" s="46">
        <v>1</v>
      </c>
      <c r="Z572" s="45">
        <v>1</v>
      </c>
      <c r="AA572" s="44">
        <v>1</v>
      </c>
      <c r="AB572" s="26">
        <f t="shared" si="696"/>
        <v>0.9451403149432035</v>
      </c>
      <c r="AC572" s="25">
        <f t="shared" si="697"/>
        <v>0.17824141470262364</v>
      </c>
      <c r="AD572" s="24">
        <f t="shared" si="698"/>
        <v>0</v>
      </c>
      <c r="AE572" s="25">
        <f t="shared" si="699"/>
        <v>0</v>
      </c>
      <c r="AF572" s="24">
        <f t="shared" si="700"/>
        <v>0</v>
      </c>
      <c r="AG572" s="25">
        <f t="shared" si="701"/>
        <v>0</v>
      </c>
      <c r="AH572" s="24">
        <f t="shared" si="702"/>
        <v>0</v>
      </c>
      <c r="AI572" s="25">
        <f t="shared" si="703"/>
        <v>0</v>
      </c>
      <c r="AJ572" s="24">
        <f t="shared" si="704"/>
        <v>0</v>
      </c>
      <c r="AK572" s="27">
        <f t="shared" si="670"/>
        <v>1.1233817296458271</v>
      </c>
      <c r="AL572" s="41">
        <v>0</v>
      </c>
      <c r="AM572" s="40">
        <v>0</v>
      </c>
      <c r="AN572" s="39">
        <v>0</v>
      </c>
      <c r="AO572" s="40">
        <v>0</v>
      </c>
      <c r="AP572" s="39">
        <v>0</v>
      </c>
      <c r="AQ572" s="40">
        <v>0</v>
      </c>
      <c r="AR572" s="39">
        <v>0</v>
      </c>
      <c r="AS572" s="40">
        <v>0</v>
      </c>
      <c r="AT572" s="39">
        <v>0</v>
      </c>
      <c r="AU572" s="38">
        <v>0</v>
      </c>
    </row>
    <row r="573" spans="1:47">
      <c r="A573" s="37" t="s">
        <v>1108</v>
      </c>
      <c r="B573" s="36" t="s">
        <v>1145</v>
      </c>
      <c r="C573" s="1" t="s">
        <v>1106</v>
      </c>
      <c r="D573" s="36" t="s">
        <v>1106</v>
      </c>
      <c r="E573" s="36" t="s">
        <v>1144</v>
      </c>
      <c r="F573" s="1" t="e">
        <f t="shared" ca="1" si="691"/>
        <v>#NAME?</v>
      </c>
      <c r="G573" s="35" t="s">
        <v>1121</v>
      </c>
      <c r="H573" s="43">
        <v>1</v>
      </c>
      <c r="I573" s="42">
        <v>0</v>
      </c>
      <c r="J573" s="26">
        <v>0.16546396133078464</v>
      </c>
      <c r="K573" s="25">
        <v>1.8583950064007093E-2</v>
      </c>
      <c r="L573" s="24"/>
      <c r="M573" s="25"/>
      <c r="N573" s="24"/>
      <c r="O573" s="25"/>
      <c r="P573" s="24"/>
      <c r="Q573" s="25"/>
      <c r="R573" s="32"/>
      <c r="S573" s="47">
        <v>1</v>
      </c>
      <c r="T573" s="45">
        <v>1</v>
      </c>
      <c r="U573" s="46">
        <v>1</v>
      </c>
      <c r="V573" s="45">
        <v>1</v>
      </c>
      <c r="W573" s="46">
        <v>1</v>
      </c>
      <c r="X573" s="45">
        <v>1</v>
      </c>
      <c r="Y573" s="46">
        <v>1</v>
      </c>
      <c r="Z573" s="45">
        <v>1</v>
      </c>
      <c r="AA573" s="44">
        <v>1</v>
      </c>
      <c r="AB573" s="26">
        <f t="shared" si="696"/>
        <v>0.16546396133078464</v>
      </c>
      <c r="AC573" s="25">
        <f t="shared" si="697"/>
        <v>1.8583950064007093E-2</v>
      </c>
      <c r="AD573" s="24">
        <f t="shared" si="698"/>
        <v>0</v>
      </c>
      <c r="AE573" s="25">
        <f t="shared" si="699"/>
        <v>0</v>
      </c>
      <c r="AF573" s="24">
        <f t="shared" si="700"/>
        <v>0</v>
      </c>
      <c r="AG573" s="25">
        <f t="shared" si="701"/>
        <v>0</v>
      </c>
      <c r="AH573" s="24">
        <f t="shared" si="702"/>
        <v>0</v>
      </c>
      <c r="AI573" s="25">
        <f t="shared" si="703"/>
        <v>0</v>
      </c>
      <c r="AJ573" s="24">
        <f t="shared" si="704"/>
        <v>0</v>
      </c>
      <c r="AK573" s="27">
        <f t="shared" si="670"/>
        <v>0.18404791139479174</v>
      </c>
      <c r="AL573" s="41">
        <v>0</v>
      </c>
      <c r="AM573" s="40">
        <v>0</v>
      </c>
      <c r="AN573" s="39">
        <v>0</v>
      </c>
      <c r="AO573" s="40">
        <v>0</v>
      </c>
      <c r="AP573" s="39">
        <v>0</v>
      </c>
      <c r="AQ573" s="40">
        <v>0</v>
      </c>
      <c r="AR573" s="39">
        <v>0</v>
      </c>
      <c r="AS573" s="40">
        <v>0</v>
      </c>
      <c r="AT573" s="39">
        <v>0</v>
      </c>
      <c r="AU573" s="38">
        <v>0</v>
      </c>
    </row>
    <row r="574" spans="1:47">
      <c r="A574" s="37" t="s">
        <v>1108</v>
      </c>
      <c r="B574" s="36" t="s">
        <v>1139</v>
      </c>
      <c r="C574" s="1" t="s">
        <v>1143</v>
      </c>
      <c r="D574" s="36" t="s">
        <v>1143</v>
      </c>
      <c r="E574" s="36" t="s">
        <v>1142</v>
      </c>
      <c r="F574" s="1" t="e">
        <f t="shared" ca="1" si="691"/>
        <v>#NAME?</v>
      </c>
      <c r="G574" s="35" t="s">
        <v>1121</v>
      </c>
      <c r="H574" s="43">
        <v>1</v>
      </c>
      <c r="I574" s="42">
        <v>0</v>
      </c>
      <c r="J574" s="26">
        <v>16.712344510954477</v>
      </c>
      <c r="K574" s="25">
        <v>4.0165888753442944</v>
      </c>
      <c r="L574" s="24"/>
      <c r="M574" s="25"/>
      <c r="N574" s="24"/>
      <c r="O574" s="25"/>
      <c r="P574" s="24"/>
      <c r="Q574" s="25"/>
      <c r="R574" s="32"/>
      <c r="S574" s="47">
        <v>1</v>
      </c>
      <c r="T574" s="45">
        <v>1</v>
      </c>
      <c r="U574" s="46">
        <v>1</v>
      </c>
      <c r="V574" s="45">
        <v>1</v>
      </c>
      <c r="W574" s="46">
        <v>1</v>
      </c>
      <c r="X574" s="45">
        <v>1</v>
      </c>
      <c r="Y574" s="46">
        <v>1</v>
      </c>
      <c r="Z574" s="45">
        <v>1</v>
      </c>
      <c r="AA574" s="44">
        <v>1</v>
      </c>
      <c r="AB574" s="26">
        <f t="shared" si="696"/>
        <v>16.712344510954477</v>
      </c>
      <c r="AC574" s="25">
        <f t="shared" si="697"/>
        <v>4.0165888753442944</v>
      </c>
      <c r="AD574" s="24">
        <f t="shared" si="698"/>
        <v>0</v>
      </c>
      <c r="AE574" s="25">
        <f t="shared" si="699"/>
        <v>0</v>
      </c>
      <c r="AF574" s="24">
        <f t="shared" si="700"/>
        <v>0</v>
      </c>
      <c r="AG574" s="25">
        <f t="shared" si="701"/>
        <v>0</v>
      </c>
      <c r="AH574" s="24">
        <f t="shared" si="702"/>
        <v>0</v>
      </c>
      <c r="AI574" s="25">
        <f t="shared" si="703"/>
        <v>0</v>
      </c>
      <c r="AJ574" s="24">
        <f t="shared" si="704"/>
        <v>0</v>
      </c>
      <c r="AK574" s="27">
        <f t="shared" si="670"/>
        <v>20.72893338629877</v>
      </c>
      <c r="AL574" s="41">
        <v>0</v>
      </c>
      <c r="AM574" s="40">
        <v>0</v>
      </c>
      <c r="AN574" s="39">
        <v>0</v>
      </c>
      <c r="AO574" s="40">
        <v>0</v>
      </c>
      <c r="AP574" s="39">
        <v>0</v>
      </c>
      <c r="AQ574" s="40">
        <v>0</v>
      </c>
      <c r="AR574" s="39">
        <v>0</v>
      </c>
      <c r="AS574" s="40">
        <v>0</v>
      </c>
      <c r="AT574" s="39">
        <v>0</v>
      </c>
      <c r="AU574" s="38">
        <v>0</v>
      </c>
    </row>
    <row r="575" spans="1:47">
      <c r="A575" s="37" t="s">
        <v>1108</v>
      </c>
      <c r="B575" s="36" t="s">
        <v>1139</v>
      </c>
      <c r="C575" s="1" t="s">
        <v>665</v>
      </c>
      <c r="D575" s="36" t="s">
        <v>665</v>
      </c>
      <c r="E575" s="36" t="s">
        <v>1141</v>
      </c>
      <c r="F575" s="1" t="e">
        <f t="shared" ca="1" si="691"/>
        <v>#NAME?</v>
      </c>
      <c r="G575" s="35" t="s">
        <v>1121</v>
      </c>
      <c r="H575" s="43">
        <v>1</v>
      </c>
      <c r="I575" s="42">
        <v>0</v>
      </c>
      <c r="J575" s="26">
        <v>0.83052441854150905</v>
      </c>
      <c r="K575" s="25">
        <v>0.4197585316246788</v>
      </c>
      <c r="L575" s="24"/>
      <c r="M575" s="25"/>
      <c r="N575" s="24"/>
      <c r="O575" s="25"/>
      <c r="P575" s="24"/>
      <c r="Q575" s="25"/>
      <c r="R575" s="32"/>
      <c r="S575" s="47">
        <v>1</v>
      </c>
      <c r="T575" s="45">
        <v>1</v>
      </c>
      <c r="U575" s="46">
        <v>1</v>
      </c>
      <c r="V575" s="45">
        <v>1</v>
      </c>
      <c r="W575" s="46">
        <v>1</v>
      </c>
      <c r="X575" s="45">
        <v>1</v>
      </c>
      <c r="Y575" s="46">
        <v>1</v>
      </c>
      <c r="Z575" s="45">
        <v>1</v>
      </c>
      <c r="AA575" s="44">
        <v>1</v>
      </c>
      <c r="AB575" s="26">
        <f t="shared" si="696"/>
        <v>0.83052441854150905</v>
      </c>
      <c r="AC575" s="25">
        <f t="shared" si="697"/>
        <v>0.4197585316246788</v>
      </c>
      <c r="AD575" s="24">
        <f t="shared" si="698"/>
        <v>0</v>
      </c>
      <c r="AE575" s="25">
        <f t="shared" si="699"/>
        <v>0</v>
      </c>
      <c r="AF575" s="24">
        <f t="shared" si="700"/>
        <v>0</v>
      </c>
      <c r="AG575" s="25">
        <f t="shared" si="701"/>
        <v>0</v>
      </c>
      <c r="AH575" s="24">
        <f t="shared" si="702"/>
        <v>0</v>
      </c>
      <c r="AI575" s="25">
        <f t="shared" si="703"/>
        <v>0</v>
      </c>
      <c r="AJ575" s="24">
        <f t="shared" si="704"/>
        <v>0</v>
      </c>
      <c r="AK575" s="27">
        <f t="shared" si="670"/>
        <v>1.2502829501661878</v>
      </c>
      <c r="AL575" s="41">
        <v>0</v>
      </c>
      <c r="AM575" s="40">
        <v>0</v>
      </c>
      <c r="AN575" s="39">
        <v>0</v>
      </c>
      <c r="AO575" s="40">
        <v>0</v>
      </c>
      <c r="AP575" s="39">
        <v>0</v>
      </c>
      <c r="AQ575" s="40">
        <v>0</v>
      </c>
      <c r="AR575" s="39">
        <v>0</v>
      </c>
      <c r="AS575" s="40">
        <v>0</v>
      </c>
      <c r="AT575" s="39">
        <v>0</v>
      </c>
      <c r="AU575" s="38">
        <v>0</v>
      </c>
    </row>
    <row r="576" spans="1:47">
      <c r="A576" s="37" t="s">
        <v>1108</v>
      </c>
      <c r="B576" s="36" t="s">
        <v>1139</v>
      </c>
      <c r="C576" s="1" t="s">
        <v>468</v>
      </c>
      <c r="D576" s="36" t="s">
        <v>468</v>
      </c>
      <c r="E576" s="36" t="s">
        <v>1140</v>
      </c>
      <c r="F576" s="1" t="e">
        <f t="shared" ca="1" si="691"/>
        <v>#NAME?</v>
      </c>
      <c r="G576" s="35" t="s">
        <v>1121</v>
      </c>
      <c r="H576" s="43">
        <v>1</v>
      </c>
      <c r="I576" s="42">
        <v>0</v>
      </c>
      <c r="J576" s="26">
        <v>0.44057457584976062</v>
      </c>
      <c r="K576" s="25">
        <v>0</v>
      </c>
      <c r="L576" s="24"/>
      <c r="M576" s="25"/>
      <c r="N576" s="24"/>
      <c r="O576" s="25"/>
      <c r="P576" s="24"/>
      <c r="Q576" s="25"/>
      <c r="R576" s="32"/>
      <c r="S576" s="47">
        <v>1</v>
      </c>
      <c r="T576" s="45">
        <v>1</v>
      </c>
      <c r="U576" s="46">
        <v>1</v>
      </c>
      <c r="V576" s="45">
        <v>1</v>
      </c>
      <c r="W576" s="46">
        <v>1</v>
      </c>
      <c r="X576" s="45">
        <v>1</v>
      </c>
      <c r="Y576" s="46">
        <v>1</v>
      </c>
      <c r="Z576" s="45">
        <v>1</v>
      </c>
      <c r="AA576" s="44">
        <v>1</v>
      </c>
      <c r="AB576" s="26">
        <f t="shared" si="696"/>
        <v>0.44057457584976062</v>
      </c>
      <c r="AC576" s="25">
        <f t="shared" si="697"/>
        <v>0</v>
      </c>
      <c r="AD576" s="24">
        <f t="shared" si="698"/>
        <v>0</v>
      </c>
      <c r="AE576" s="25">
        <f t="shared" si="699"/>
        <v>0</v>
      </c>
      <c r="AF576" s="24">
        <f t="shared" si="700"/>
        <v>0</v>
      </c>
      <c r="AG576" s="25">
        <f t="shared" si="701"/>
        <v>0</v>
      </c>
      <c r="AH576" s="24">
        <f t="shared" si="702"/>
        <v>0</v>
      </c>
      <c r="AI576" s="25">
        <f t="shared" si="703"/>
        <v>0</v>
      </c>
      <c r="AJ576" s="24">
        <f t="shared" si="704"/>
        <v>0</v>
      </c>
      <c r="AK576" s="27">
        <f t="shared" si="670"/>
        <v>0.44057457584976062</v>
      </c>
      <c r="AL576" s="41">
        <v>0</v>
      </c>
      <c r="AM576" s="40">
        <v>0</v>
      </c>
      <c r="AN576" s="39">
        <v>0</v>
      </c>
      <c r="AO576" s="40">
        <v>0</v>
      </c>
      <c r="AP576" s="39">
        <v>0</v>
      </c>
      <c r="AQ576" s="40">
        <v>0</v>
      </c>
      <c r="AR576" s="39">
        <v>0</v>
      </c>
      <c r="AS576" s="40">
        <v>0</v>
      </c>
      <c r="AT576" s="39">
        <v>0</v>
      </c>
      <c r="AU576" s="38">
        <v>0</v>
      </c>
    </row>
    <row r="577" spans="1:47">
      <c r="A577" s="37" t="s">
        <v>1108</v>
      </c>
      <c r="B577" s="36" t="s">
        <v>1139</v>
      </c>
      <c r="C577" s="1" t="s">
        <v>1132</v>
      </c>
      <c r="D577" s="36" t="s">
        <v>1131</v>
      </c>
      <c r="E577" s="36" t="s">
        <v>1138</v>
      </c>
      <c r="F577" s="1" t="e">
        <f t="shared" ca="1" si="691"/>
        <v>#NAME?</v>
      </c>
      <c r="G577" s="35" t="s">
        <v>1121</v>
      </c>
      <c r="H577" s="43">
        <v>1</v>
      </c>
      <c r="I577" s="42">
        <v>0</v>
      </c>
      <c r="J577" s="26">
        <v>4.0831225485708882E-2</v>
      </c>
      <c r="K577" s="25">
        <v>0</v>
      </c>
      <c r="L577" s="24"/>
      <c r="M577" s="25"/>
      <c r="N577" s="24"/>
      <c r="O577" s="25"/>
      <c r="P577" s="24"/>
      <c r="Q577" s="25"/>
      <c r="R577" s="32"/>
      <c r="S577" s="47">
        <v>1</v>
      </c>
      <c r="T577" s="45">
        <v>1</v>
      </c>
      <c r="U577" s="46">
        <v>1</v>
      </c>
      <c r="V577" s="45">
        <v>1</v>
      </c>
      <c r="W577" s="46">
        <v>1</v>
      </c>
      <c r="X577" s="45">
        <v>1</v>
      </c>
      <c r="Y577" s="46">
        <v>1</v>
      </c>
      <c r="Z577" s="45">
        <v>1</v>
      </c>
      <c r="AA577" s="44">
        <v>1</v>
      </c>
      <c r="AB577" s="26">
        <f t="shared" si="696"/>
        <v>4.0831225485708882E-2</v>
      </c>
      <c r="AC577" s="25">
        <f t="shared" si="697"/>
        <v>0</v>
      </c>
      <c r="AD577" s="24">
        <f t="shared" si="698"/>
        <v>0</v>
      </c>
      <c r="AE577" s="25">
        <f t="shared" si="699"/>
        <v>0</v>
      </c>
      <c r="AF577" s="24">
        <f t="shared" si="700"/>
        <v>0</v>
      </c>
      <c r="AG577" s="25">
        <f t="shared" si="701"/>
        <v>0</v>
      </c>
      <c r="AH577" s="24">
        <f t="shared" si="702"/>
        <v>0</v>
      </c>
      <c r="AI577" s="25">
        <f t="shared" si="703"/>
        <v>0</v>
      </c>
      <c r="AJ577" s="24">
        <f t="shared" si="704"/>
        <v>0</v>
      </c>
      <c r="AK577" s="27">
        <f t="shared" si="670"/>
        <v>4.0831225485708882E-2</v>
      </c>
      <c r="AL577" s="41">
        <v>0</v>
      </c>
      <c r="AM577" s="40">
        <v>0</v>
      </c>
      <c r="AN577" s="39">
        <v>0</v>
      </c>
      <c r="AO577" s="40">
        <v>0</v>
      </c>
      <c r="AP577" s="39">
        <v>0</v>
      </c>
      <c r="AQ577" s="40">
        <v>0</v>
      </c>
      <c r="AR577" s="39">
        <v>0</v>
      </c>
      <c r="AS577" s="40">
        <v>0</v>
      </c>
      <c r="AT577" s="39">
        <v>0</v>
      </c>
      <c r="AU577" s="38">
        <v>0</v>
      </c>
    </row>
    <row r="578" spans="1:47">
      <c r="A578" s="37" t="s">
        <v>1108</v>
      </c>
      <c r="B578" s="36" t="s">
        <v>1136</v>
      </c>
      <c r="C578" s="1" t="s">
        <v>1126</v>
      </c>
      <c r="D578" s="36" t="s">
        <v>1126</v>
      </c>
      <c r="E578" s="36" t="s">
        <v>1137</v>
      </c>
      <c r="F578" s="1" t="e">
        <f t="shared" ca="1" si="691"/>
        <v>#NAME?</v>
      </c>
      <c r="G578" s="35" t="s">
        <v>1121</v>
      </c>
      <c r="H578" s="43">
        <v>1</v>
      </c>
      <c r="I578" s="42">
        <v>0</v>
      </c>
      <c r="J578" s="26">
        <v>1.7538097891897311</v>
      </c>
      <c r="K578" s="25">
        <v>1.0054683525041992</v>
      </c>
      <c r="L578" s="24"/>
      <c r="M578" s="25"/>
      <c r="N578" s="24"/>
      <c r="O578" s="25"/>
      <c r="P578" s="24"/>
      <c r="Q578" s="25"/>
      <c r="R578" s="32"/>
      <c r="S578" s="47">
        <v>1</v>
      </c>
      <c r="T578" s="45">
        <v>1</v>
      </c>
      <c r="U578" s="46">
        <v>1</v>
      </c>
      <c r="V578" s="45">
        <v>1</v>
      </c>
      <c r="W578" s="46">
        <v>1</v>
      </c>
      <c r="X578" s="45">
        <v>1</v>
      </c>
      <c r="Y578" s="46">
        <v>1</v>
      </c>
      <c r="Z578" s="45">
        <v>1</v>
      </c>
      <c r="AA578" s="44">
        <v>1</v>
      </c>
      <c r="AB578" s="26">
        <f t="shared" si="696"/>
        <v>1.7538097891897311</v>
      </c>
      <c r="AC578" s="25">
        <f t="shared" si="697"/>
        <v>1.0054683525041992</v>
      </c>
      <c r="AD578" s="24">
        <f t="shared" si="698"/>
        <v>0</v>
      </c>
      <c r="AE578" s="25">
        <f t="shared" si="699"/>
        <v>0</v>
      </c>
      <c r="AF578" s="24">
        <f t="shared" si="700"/>
        <v>0</v>
      </c>
      <c r="AG578" s="25">
        <f t="shared" si="701"/>
        <v>0</v>
      </c>
      <c r="AH578" s="24">
        <f t="shared" si="702"/>
        <v>0</v>
      </c>
      <c r="AI578" s="25">
        <f t="shared" si="703"/>
        <v>0</v>
      </c>
      <c r="AJ578" s="24">
        <f t="shared" si="704"/>
        <v>0</v>
      </c>
      <c r="AK578" s="27">
        <f t="shared" si="670"/>
        <v>2.7592781416939305</v>
      </c>
      <c r="AL578" s="41">
        <v>0</v>
      </c>
      <c r="AM578" s="40">
        <v>0</v>
      </c>
      <c r="AN578" s="39">
        <v>0</v>
      </c>
      <c r="AO578" s="40">
        <v>0</v>
      </c>
      <c r="AP578" s="39">
        <v>0</v>
      </c>
      <c r="AQ578" s="40">
        <v>0</v>
      </c>
      <c r="AR578" s="39">
        <v>0</v>
      </c>
      <c r="AS578" s="40">
        <v>0</v>
      </c>
      <c r="AT578" s="39">
        <v>0</v>
      </c>
      <c r="AU578" s="38">
        <v>0</v>
      </c>
    </row>
    <row r="579" spans="1:47">
      <c r="A579" s="37" t="s">
        <v>1108</v>
      </c>
      <c r="B579" s="36" t="s">
        <v>1136</v>
      </c>
      <c r="C579" s="1" t="s">
        <v>665</v>
      </c>
      <c r="D579" s="36" t="s">
        <v>665</v>
      </c>
      <c r="E579" s="36" t="s">
        <v>1135</v>
      </c>
      <c r="F579" s="1" t="e">
        <f t="shared" ca="1" si="691"/>
        <v>#NAME?</v>
      </c>
      <c r="G579" s="35" t="s">
        <v>1121</v>
      </c>
      <c r="H579" s="43">
        <v>1</v>
      </c>
      <c r="I579" s="42">
        <v>0</v>
      </c>
      <c r="J579" s="26">
        <v>0.44894164959802169</v>
      </c>
      <c r="K579" s="25">
        <v>8.4664671983746248E-2</v>
      </c>
      <c r="L579" s="24"/>
      <c r="M579" s="25"/>
      <c r="N579" s="24"/>
      <c r="O579" s="25"/>
      <c r="P579" s="24"/>
      <c r="Q579" s="25"/>
      <c r="R579" s="32"/>
      <c r="S579" s="47">
        <v>1</v>
      </c>
      <c r="T579" s="45">
        <v>1</v>
      </c>
      <c r="U579" s="46">
        <v>1</v>
      </c>
      <c r="V579" s="45">
        <v>1</v>
      </c>
      <c r="W579" s="46">
        <v>1</v>
      </c>
      <c r="X579" s="45">
        <v>1</v>
      </c>
      <c r="Y579" s="46">
        <v>1</v>
      </c>
      <c r="Z579" s="45">
        <v>1</v>
      </c>
      <c r="AA579" s="44">
        <v>1</v>
      </c>
      <c r="AB579" s="26">
        <f t="shared" si="696"/>
        <v>0.44894164959802169</v>
      </c>
      <c r="AC579" s="25">
        <f t="shared" si="697"/>
        <v>8.4664671983746248E-2</v>
      </c>
      <c r="AD579" s="24">
        <f t="shared" si="698"/>
        <v>0</v>
      </c>
      <c r="AE579" s="25">
        <f t="shared" si="699"/>
        <v>0</v>
      </c>
      <c r="AF579" s="24">
        <f t="shared" si="700"/>
        <v>0</v>
      </c>
      <c r="AG579" s="25">
        <f t="shared" si="701"/>
        <v>0</v>
      </c>
      <c r="AH579" s="24">
        <f t="shared" si="702"/>
        <v>0</v>
      </c>
      <c r="AI579" s="25">
        <f t="shared" si="703"/>
        <v>0</v>
      </c>
      <c r="AJ579" s="24">
        <f t="shared" si="704"/>
        <v>0</v>
      </c>
      <c r="AK579" s="27">
        <f t="shared" si="670"/>
        <v>0.53360632158176791</v>
      </c>
      <c r="AL579" s="41">
        <v>0</v>
      </c>
      <c r="AM579" s="40">
        <v>0</v>
      </c>
      <c r="AN579" s="39">
        <v>0</v>
      </c>
      <c r="AO579" s="40">
        <v>0</v>
      </c>
      <c r="AP579" s="39">
        <v>0</v>
      </c>
      <c r="AQ579" s="40">
        <v>0</v>
      </c>
      <c r="AR579" s="39">
        <v>0</v>
      </c>
      <c r="AS579" s="40">
        <v>0</v>
      </c>
      <c r="AT579" s="39">
        <v>0</v>
      </c>
      <c r="AU579" s="38">
        <v>0</v>
      </c>
    </row>
    <row r="580" spans="1:47">
      <c r="A580" s="37" t="s">
        <v>1108</v>
      </c>
      <c r="B580" s="36" t="s">
        <v>1129</v>
      </c>
      <c r="C580" s="1" t="s">
        <v>1126</v>
      </c>
      <c r="D580" s="36" t="s">
        <v>1126</v>
      </c>
      <c r="E580" s="36" t="s">
        <v>1134</v>
      </c>
      <c r="F580" s="1" t="e">
        <f t="shared" ca="1" si="691"/>
        <v>#NAME?</v>
      </c>
      <c r="G580" s="35" t="s">
        <v>1121</v>
      </c>
      <c r="H580" s="43">
        <v>1</v>
      </c>
      <c r="I580" s="42">
        <v>0</v>
      </c>
      <c r="J580" s="26">
        <v>5.4297516693180517E-2</v>
      </c>
      <c r="K580" s="25">
        <v>3.1129051161120712E-2</v>
      </c>
      <c r="L580" s="24"/>
      <c r="M580" s="25"/>
      <c r="N580" s="24"/>
      <c r="O580" s="25"/>
      <c r="P580" s="24"/>
      <c r="Q580" s="25"/>
      <c r="R580" s="32"/>
      <c r="S580" s="47">
        <v>1</v>
      </c>
      <c r="T580" s="45">
        <v>1</v>
      </c>
      <c r="U580" s="46">
        <v>1</v>
      </c>
      <c r="V580" s="45">
        <v>1</v>
      </c>
      <c r="W580" s="46">
        <v>1</v>
      </c>
      <c r="X580" s="45">
        <v>1</v>
      </c>
      <c r="Y580" s="46">
        <v>1</v>
      </c>
      <c r="Z580" s="45">
        <v>1</v>
      </c>
      <c r="AA580" s="44">
        <v>1</v>
      </c>
      <c r="AB580" s="26">
        <f t="shared" si="696"/>
        <v>5.4297516693180517E-2</v>
      </c>
      <c r="AC580" s="25">
        <f t="shared" si="697"/>
        <v>3.1129051161120712E-2</v>
      </c>
      <c r="AD580" s="24">
        <f t="shared" si="698"/>
        <v>0</v>
      </c>
      <c r="AE580" s="25">
        <f t="shared" si="699"/>
        <v>0</v>
      </c>
      <c r="AF580" s="24">
        <f t="shared" si="700"/>
        <v>0</v>
      </c>
      <c r="AG580" s="25">
        <f t="shared" si="701"/>
        <v>0</v>
      </c>
      <c r="AH580" s="24">
        <f t="shared" si="702"/>
        <v>0</v>
      </c>
      <c r="AI580" s="25">
        <f t="shared" si="703"/>
        <v>0</v>
      </c>
      <c r="AJ580" s="24">
        <f t="shared" si="704"/>
        <v>0</v>
      </c>
      <c r="AK580" s="27">
        <f t="shared" si="670"/>
        <v>8.5426567854301222E-2</v>
      </c>
      <c r="AL580" s="41">
        <v>0</v>
      </c>
      <c r="AM580" s="40">
        <v>0</v>
      </c>
      <c r="AN580" s="39">
        <v>0</v>
      </c>
      <c r="AO580" s="40">
        <v>0</v>
      </c>
      <c r="AP580" s="39">
        <v>0</v>
      </c>
      <c r="AQ580" s="40">
        <v>0</v>
      </c>
      <c r="AR580" s="39">
        <v>0</v>
      </c>
      <c r="AS580" s="40">
        <v>0</v>
      </c>
      <c r="AT580" s="39">
        <v>0</v>
      </c>
      <c r="AU580" s="38">
        <v>0</v>
      </c>
    </row>
    <row r="581" spans="1:47">
      <c r="A581" s="37" t="s">
        <v>1108</v>
      </c>
      <c r="B581" s="36" t="s">
        <v>1129</v>
      </c>
      <c r="C581" s="1" t="s">
        <v>468</v>
      </c>
      <c r="D581" s="36" t="s">
        <v>468</v>
      </c>
      <c r="E581" s="36" t="s">
        <v>1133</v>
      </c>
      <c r="F581" s="1" t="e">
        <f t="shared" ca="1" si="691"/>
        <v>#NAME?</v>
      </c>
      <c r="G581" s="35" t="s">
        <v>1121</v>
      </c>
      <c r="H581" s="43">
        <v>1</v>
      </c>
      <c r="I581" s="42">
        <v>0</v>
      </c>
      <c r="J581" s="26">
        <v>2.3130165232112434</v>
      </c>
      <c r="K581" s="25">
        <v>0.11133624304185237</v>
      </c>
      <c r="L581" s="24"/>
      <c r="M581" s="25"/>
      <c r="N581" s="24"/>
      <c r="O581" s="25"/>
      <c r="P581" s="24"/>
      <c r="Q581" s="25"/>
      <c r="R581" s="32"/>
      <c r="S581" s="47">
        <v>1</v>
      </c>
      <c r="T581" s="45">
        <v>1</v>
      </c>
      <c r="U581" s="46">
        <v>1</v>
      </c>
      <c r="V581" s="45">
        <v>1</v>
      </c>
      <c r="W581" s="46">
        <v>1</v>
      </c>
      <c r="X581" s="45">
        <v>1</v>
      </c>
      <c r="Y581" s="46">
        <v>1</v>
      </c>
      <c r="Z581" s="45">
        <v>1</v>
      </c>
      <c r="AA581" s="44">
        <v>1</v>
      </c>
      <c r="AB581" s="26">
        <f t="shared" si="696"/>
        <v>2.3130165232112434</v>
      </c>
      <c r="AC581" s="25">
        <f t="shared" si="697"/>
        <v>0.11133624304185237</v>
      </c>
      <c r="AD581" s="24">
        <f t="shared" si="698"/>
        <v>0</v>
      </c>
      <c r="AE581" s="25">
        <f t="shared" si="699"/>
        <v>0</v>
      </c>
      <c r="AF581" s="24">
        <f t="shared" si="700"/>
        <v>0</v>
      </c>
      <c r="AG581" s="25">
        <f t="shared" si="701"/>
        <v>0</v>
      </c>
      <c r="AH581" s="24">
        <f t="shared" si="702"/>
        <v>0</v>
      </c>
      <c r="AI581" s="25">
        <f t="shared" si="703"/>
        <v>0</v>
      </c>
      <c r="AJ581" s="24">
        <f t="shared" si="704"/>
        <v>0</v>
      </c>
      <c r="AK581" s="27">
        <f t="shared" si="670"/>
        <v>2.4243527662530959</v>
      </c>
      <c r="AL581" s="41">
        <v>0</v>
      </c>
      <c r="AM581" s="40">
        <v>0</v>
      </c>
      <c r="AN581" s="39">
        <v>0</v>
      </c>
      <c r="AO581" s="40">
        <v>0</v>
      </c>
      <c r="AP581" s="39">
        <v>0</v>
      </c>
      <c r="AQ581" s="40">
        <v>0</v>
      </c>
      <c r="AR581" s="39">
        <v>0</v>
      </c>
      <c r="AS581" s="40">
        <v>0</v>
      </c>
      <c r="AT581" s="39">
        <v>0</v>
      </c>
      <c r="AU581" s="38">
        <v>0</v>
      </c>
    </row>
    <row r="582" spans="1:47">
      <c r="A582" s="37" t="s">
        <v>1108</v>
      </c>
      <c r="B582" s="36" t="s">
        <v>1129</v>
      </c>
      <c r="C582" s="1" t="s">
        <v>1132</v>
      </c>
      <c r="D582" s="36" t="s">
        <v>1131</v>
      </c>
      <c r="E582" s="36" t="s">
        <v>1130</v>
      </c>
      <c r="F582" s="1" t="e">
        <f t="shared" ca="1" si="691"/>
        <v>#NAME?</v>
      </c>
      <c r="G582" s="35" t="s">
        <v>1121</v>
      </c>
      <c r="H582" s="43">
        <v>1</v>
      </c>
      <c r="I582" s="42">
        <v>0</v>
      </c>
      <c r="J582" s="26">
        <v>0.2143639337999716</v>
      </c>
      <c r="K582" s="25">
        <v>1.0318333134873814E-2</v>
      </c>
      <c r="L582" s="24"/>
      <c r="M582" s="25"/>
      <c r="N582" s="24"/>
      <c r="O582" s="25"/>
      <c r="P582" s="24"/>
      <c r="Q582" s="25"/>
      <c r="R582" s="32"/>
      <c r="S582" s="47">
        <v>1</v>
      </c>
      <c r="T582" s="45">
        <v>1</v>
      </c>
      <c r="U582" s="46">
        <v>1</v>
      </c>
      <c r="V582" s="45">
        <v>1</v>
      </c>
      <c r="W582" s="46">
        <v>1</v>
      </c>
      <c r="X582" s="45">
        <v>1</v>
      </c>
      <c r="Y582" s="46">
        <v>1</v>
      </c>
      <c r="Z582" s="45">
        <v>1</v>
      </c>
      <c r="AA582" s="44">
        <v>1</v>
      </c>
      <c r="AB582" s="26">
        <f t="shared" si="696"/>
        <v>0.2143639337999716</v>
      </c>
      <c r="AC582" s="25">
        <f t="shared" si="697"/>
        <v>1.0318333134873814E-2</v>
      </c>
      <c r="AD582" s="24">
        <f t="shared" si="698"/>
        <v>0</v>
      </c>
      <c r="AE582" s="25">
        <f t="shared" si="699"/>
        <v>0</v>
      </c>
      <c r="AF582" s="24">
        <f t="shared" si="700"/>
        <v>0</v>
      </c>
      <c r="AG582" s="25">
        <f t="shared" si="701"/>
        <v>0</v>
      </c>
      <c r="AH582" s="24">
        <f t="shared" si="702"/>
        <v>0</v>
      </c>
      <c r="AI582" s="25">
        <f t="shared" si="703"/>
        <v>0</v>
      </c>
      <c r="AJ582" s="24">
        <f t="shared" si="704"/>
        <v>0</v>
      </c>
      <c r="AK582" s="27">
        <f t="shared" si="670"/>
        <v>0.22468226693484541</v>
      </c>
      <c r="AL582" s="41">
        <v>0</v>
      </c>
      <c r="AM582" s="40">
        <v>0</v>
      </c>
      <c r="AN582" s="39">
        <v>0</v>
      </c>
      <c r="AO582" s="40">
        <v>0</v>
      </c>
      <c r="AP582" s="39">
        <v>0</v>
      </c>
      <c r="AQ582" s="40">
        <v>0</v>
      </c>
      <c r="AR582" s="39">
        <v>0</v>
      </c>
      <c r="AS582" s="40">
        <v>0</v>
      </c>
      <c r="AT582" s="39">
        <v>0</v>
      </c>
      <c r="AU582" s="38">
        <v>0</v>
      </c>
    </row>
    <row r="583" spans="1:47">
      <c r="A583" s="37" t="s">
        <v>1108</v>
      </c>
      <c r="B583" s="36" t="s">
        <v>1129</v>
      </c>
      <c r="C583" s="1" t="s">
        <v>1111</v>
      </c>
      <c r="D583" s="36" t="s">
        <v>1111</v>
      </c>
      <c r="E583" s="36" t="s">
        <v>1128</v>
      </c>
      <c r="F583" s="1" t="e">
        <f t="shared" ca="1" si="691"/>
        <v>#NAME?</v>
      </c>
      <c r="G583" s="35" t="s">
        <v>1121</v>
      </c>
      <c r="H583" s="43">
        <v>1</v>
      </c>
      <c r="I583" s="42">
        <v>0</v>
      </c>
      <c r="J583" s="26">
        <v>0.47376051729206081</v>
      </c>
      <c r="K583" s="25">
        <v>0.12126405220083059</v>
      </c>
      <c r="L583" s="24"/>
      <c r="M583" s="25"/>
      <c r="N583" s="24"/>
      <c r="O583" s="25"/>
      <c r="P583" s="24"/>
      <c r="Q583" s="25"/>
      <c r="R583" s="32"/>
      <c r="S583" s="47">
        <v>1</v>
      </c>
      <c r="T583" s="45">
        <v>1</v>
      </c>
      <c r="U583" s="46">
        <v>1</v>
      </c>
      <c r="V583" s="45">
        <v>1</v>
      </c>
      <c r="W583" s="46">
        <v>1</v>
      </c>
      <c r="X583" s="45">
        <v>1</v>
      </c>
      <c r="Y583" s="46">
        <v>1</v>
      </c>
      <c r="Z583" s="45">
        <v>1</v>
      </c>
      <c r="AA583" s="44">
        <v>1</v>
      </c>
      <c r="AB583" s="26">
        <f t="shared" si="696"/>
        <v>0.47376051729206081</v>
      </c>
      <c r="AC583" s="25">
        <f t="shared" si="697"/>
        <v>0.12126405220083059</v>
      </c>
      <c r="AD583" s="24">
        <f t="shared" si="698"/>
        <v>0</v>
      </c>
      <c r="AE583" s="25">
        <f t="shared" si="699"/>
        <v>0</v>
      </c>
      <c r="AF583" s="24">
        <f t="shared" si="700"/>
        <v>0</v>
      </c>
      <c r="AG583" s="25">
        <f t="shared" si="701"/>
        <v>0</v>
      </c>
      <c r="AH583" s="24">
        <f t="shared" si="702"/>
        <v>0</v>
      </c>
      <c r="AI583" s="25">
        <f t="shared" si="703"/>
        <v>0</v>
      </c>
      <c r="AJ583" s="24">
        <f t="shared" si="704"/>
        <v>0</v>
      </c>
      <c r="AK583" s="27">
        <f t="shared" si="670"/>
        <v>0.5950245694928914</v>
      </c>
      <c r="AL583" s="41">
        <v>0</v>
      </c>
      <c r="AM583" s="40">
        <v>0</v>
      </c>
      <c r="AN583" s="39">
        <v>0</v>
      </c>
      <c r="AO583" s="40">
        <v>0</v>
      </c>
      <c r="AP583" s="39">
        <v>0</v>
      </c>
      <c r="AQ583" s="40">
        <v>0</v>
      </c>
      <c r="AR583" s="39">
        <v>0</v>
      </c>
      <c r="AS583" s="40">
        <v>0</v>
      </c>
      <c r="AT583" s="39">
        <v>0</v>
      </c>
      <c r="AU583" s="38">
        <v>0</v>
      </c>
    </row>
    <row r="584" spans="1:47">
      <c r="A584" s="37" t="s">
        <v>1108</v>
      </c>
      <c r="B584" s="36" t="s">
        <v>1123</v>
      </c>
      <c r="C584" s="1" t="s">
        <v>1120</v>
      </c>
      <c r="D584" s="36" t="s">
        <v>1120</v>
      </c>
      <c r="E584" s="36" t="s">
        <v>1127</v>
      </c>
      <c r="F584" s="1" t="e">
        <f t="shared" ca="1" si="691"/>
        <v>#NAME?</v>
      </c>
      <c r="G584" s="35" t="s">
        <v>1121</v>
      </c>
      <c r="H584" s="43">
        <v>1</v>
      </c>
      <c r="I584" s="42">
        <v>0</v>
      </c>
      <c r="J584" s="26">
        <v>5.1355591044303095E-2</v>
      </c>
      <c r="K584" s="25">
        <v>1.7303884153364611E-2</v>
      </c>
      <c r="L584" s="24"/>
      <c r="M584" s="25"/>
      <c r="N584" s="24"/>
      <c r="O584" s="25"/>
      <c r="P584" s="24"/>
      <c r="Q584" s="25"/>
      <c r="R584" s="32"/>
      <c r="S584" s="47">
        <v>1</v>
      </c>
      <c r="T584" s="45">
        <v>1</v>
      </c>
      <c r="U584" s="46">
        <v>1</v>
      </c>
      <c r="V584" s="45">
        <v>1</v>
      </c>
      <c r="W584" s="46">
        <v>1</v>
      </c>
      <c r="X584" s="45">
        <v>1</v>
      </c>
      <c r="Y584" s="46">
        <v>1</v>
      </c>
      <c r="Z584" s="45">
        <v>1</v>
      </c>
      <c r="AA584" s="44">
        <v>1</v>
      </c>
      <c r="AB584" s="26">
        <f t="shared" si="696"/>
        <v>5.1355591044303095E-2</v>
      </c>
      <c r="AC584" s="25">
        <f t="shared" si="697"/>
        <v>1.7303884153364611E-2</v>
      </c>
      <c r="AD584" s="24">
        <f t="shared" si="698"/>
        <v>0</v>
      </c>
      <c r="AE584" s="25">
        <f t="shared" si="699"/>
        <v>0</v>
      </c>
      <c r="AF584" s="24">
        <f t="shared" si="700"/>
        <v>0</v>
      </c>
      <c r="AG584" s="25">
        <f t="shared" si="701"/>
        <v>0</v>
      </c>
      <c r="AH584" s="24">
        <f t="shared" si="702"/>
        <v>0</v>
      </c>
      <c r="AI584" s="25">
        <f t="shared" si="703"/>
        <v>0</v>
      </c>
      <c r="AJ584" s="24">
        <f t="shared" si="704"/>
        <v>0</v>
      </c>
      <c r="AK584" s="27">
        <f t="shared" ref="AK584:AK597" si="705">SUM(AB584:AJ584)</f>
        <v>6.8659475197667713E-2</v>
      </c>
      <c r="AL584" s="41">
        <v>0</v>
      </c>
      <c r="AM584" s="40">
        <v>0</v>
      </c>
      <c r="AN584" s="39">
        <v>0</v>
      </c>
      <c r="AO584" s="40">
        <v>0</v>
      </c>
      <c r="AP584" s="39">
        <v>0</v>
      </c>
      <c r="AQ584" s="40">
        <v>0</v>
      </c>
      <c r="AR584" s="39">
        <v>0</v>
      </c>
      <c r="AS584" s="40">
        <v>0</v>
      </c>
      <c r="AT584" s="39">
        <v>0</v>
      </c>
      <c r="AU584" s="38">
        <v>0</v>
      </c>
    </row>
    <row r="585" spans="1:47">
      <c r="A585" s="37" t="s">
        <v>1108</v>
      </c>
      <c r="B585" s="36" t="s">
        <v>1123</v>
      </c>
      <c r="C585" s="1" t="s">
        <v>1126</v>
      </c>
      <c r="D585" s="36" t="s">
        <v>1126</v>
      </c>
      <c r="E585" s="36" t="s">
        <v>1125</v>
      </c>
      <c r="F585" s="1" t="e">
        <f t="shared" ca="1" si="691"/>
        <v>#NAME?</v>
      </c>
      <c r="G585" s="35" t="s">
        <v>1121</v>
      </c>
      <c r="H585" s="43">
        <v>1</v>
      </c>
      <c r="I585" s="42">
        <v>0</v>
      </c>
      <c r="J585" s="26">
        <v>2.2913552044522181</v>
      </c>
      <c r="K585" s="25">
        <v>1.3136459589992941</v>
      </c>
      <c r="L585" s="24"/>
      <c r="M585" s="25"/>
      <c r="N585" s="24"/>
      <c r="O585" s="25"/>
      <c r="P585" s="24"/>
      <c r="Q585" s="25"/>
      <c r="R585" s="32"/>
      <c r="S585" s="47">
        <v>1</v>
      </c>
      <c r="T585" s="45">
        <v>1</v>
      </c>
      <c r="U585" s="46">
        <v>1</v>
      </c>
      <c r="V585" s="45">
        <v>1</v>
      </c>
      <c r="W585" s="46">
        <v>1</v>
      </c>
      <c r="X585" s="45">
        <v>1</v>
      </c>
      <c r="Y585" s="46">
        <v>1</v>
      </c>
      <c r="Z585" s="45">
        <v>1</v>
      </c>
      <c r="AA585" s="44">
        <v>1</v>
      </c>
      <c r="AB585" s="26">
        <f t="shared" si="696"/>
        <v>2.2913552044522181</v>
      </c>
      <c r="AC585" s="25">
        <f t="shared" si="697"/>
        <v>1.3136459589992941</v>
      </c>
      <c r="AD585" s="24">
        <f t="shared" si="698"/>
        <v>0</v>
      </c>
      <c r="AE585" s="25">
        <f t="shared" si="699"/>
        <v>0</v>
      </c>
      <c r="AF585" s="24">
        <f t="shared" si="700"/>
        <v>0</v>
      </c>
      <c r="AG585" s="25">
        <f t="shared" si="701"/>
        <v>0</v>
      </c>
      <c r="AH585" s="24">
        <f t="shared" si="702"/>
        <v>0</v>
      </c>
      <c r="AI585" s="25">
        <f t="shared" si="703"/>
        <v>0</v>
      </c>
      <c r="AJ585" s="24">
        <f t="shared" si="704"/>
        <v>0</v>
      </c>
      <c r="AK585" s="27">
        <f t="shared" si="705"/>
        <v>3.6050011634515124</v>
      </c>
      <c r="AL585" s="41">
        <v>0</v>
      </c>
      <c r="AM585" s="40">
        <v>0</v>
      </c>
      <c r="AN585" s="39">
        <v>0</v>
      </c>
      <c r="AO585" s="40">
        <v>0</v>
      </c>
      <c r="AP585" s="39">
        <v>0</v>
      </c>
      <c r="AQ585" s="40">
        <v>0</v>
      </c>
      <c r="AR585" s="39">
        <v>0</v>
      </c>
      <c r="AS585" s="40">
        <v>0</v>
      </c>
      <c r="AT585" s="39">
        <v>0</v>
      </c>
      <c r="AU585" s="38">
        <v>0</v>
      </c>
    </row>
    <row r="586" spans="1:47">
      <c r="A586" s="37" t="s">
        <v>1108</v>
      </c>
      <c r="B586" s="36" t="s">
        <v>1123</v>
      </c>
      <c r="C586" s="1" t="s">
        <v>665</v>
      </c>
      <c r="D586" s="36" t="s">
        <v>665</v>
      </c>
      <c r="E586" s="36" t="s">
        <v>1124</v>
      </c>
      <c r="F586" s="1" t="e">
        <f t="shared" ca="1" si="691"/>
        <v>#NAME?</v>
      </c>
      <c r="G586" s="35" t="s">
        <v>1121</v>
      </c>
      <c r="H586" s="43">
        <v>1</v>
      </c>
      <c r="I586" s="42">
        <v>0</v>
      </c>
      <c r="J586" s="26">
        <v>15.55937243475249</v>
      </c>
      <c r="K586" s="25">
        <v>2.9342992895419422</v>
      </c>
      <c r="L586" s="24"/>
      <c r="M586" s="25"/>
      <c r="N586" s="24"/>
      <c r="O586" s="25"/>
      <c r="P586" s="24"/>
      <c r="Q586" s="25"/>
      <c r="R586" s="32"/>
      <c r="S586" s="47">
        <v>1</v>
      </c>
      <c r="T586" s="45">
        <v>1</v>
      </c>
      <c r="U586" s="46">
        <v>1</v>
      </c>
      <c r="V586" s="45">
        <v>1</v>
      </c>
      <c r="W586" s="46">
        <v>1</v>
      </c>
      <c r="X586" s="45">
        <v>1</v>
      </c>
      <c r="Y586" s="46">
        <v>1</v>
      </c>
      <c r="Z586" s="45">
        <v>1</v>
      </c>
      <c r="AA586" s="44">
        <v>1</v>
      </c>
      <c r="AB586" s="26">
        <f t="shared" si="696"/>
        <v>15.55937243475249</v>
      </c>
      <c r="AC586" s="25">
        <f t="shared" si="697"/>
        <v>2.9342992895419422</v>
      </c>
      <c r="AD586" s="24">
        <f t="shared" si="698"/>
        <v>0</v>
      </c>
      <c r="AE586" s="25">
        <f t="shared" si="699"/>
        <v>0</v>
      </c>
      <c r="AF586" s="24">
        <f t="shared" si="700"/>
        <v>0</v>
      </c>
      <c r="AG586" s="25">
        <f t="shared" si="701"/>
        <v>0</v>
      </c>
      <c r="AH586" s="24">
        <f t="shared" si="702"/>
        <v>0</v>
      </c>
      <c r="AI586" s="25">
        <f t="shared" si="703"/>
        <v>0</v>
      </c>
      <c r="AJ586" s="24">
        <f t="shared" si="704"/>
        <v>0</v>
      </c>
      <c r="AK586" s="27">
        <f t="shared" si="705"/>
        <v>18.493671724294433</v>
      </c>
      <c r="AL586" s="41">
        <v>0</v>
      </c>
      <c r="AM586" s="40">
        <v>0</v>
      </c>
      <c r="AN586" s="39">
        <v>0</v>
      </c>
      <c r="AO586" s="40">
        <v>0</v>
      </c>
      <c r="AP586" s="39">
        <v>0</v>
      </c>
      <c r="AQ586" s="40">
        <v>0</v>
      </c>
      <c r="AR586" s="39">
        <v>0</v>
      </c>
      <c r="AS586" s="40">
        <v>0</v>
      </c>
      <c r="AT586" s="39">
        <v>0</v>
      </c>
      <c r="AU586" s="38">
        <v>0</v>
      </c>
    </row>
    <row r="587" spans="1:47">
      <c r="A587" s="37" t="s">
        <v>1108</v>
      </c>
      <c r="B587" s="36" t="s">
        <v>1123</v>
      </c>
      <c r="C587" s="1" t="s">
        <v>1106</v>
      </c>
      <c r="D587" s="36" t="s">
        <v>1106</v>
      </c>
      <c r="E587" s="36" t="s">
        <v>1122</v>
      </c>
      <c r="F587" s="1" t="e">
        <f t="shared" ca="1" si="691"/>
        <v>#NAME?</v>
      </c>
      <c r="G587" s="35" t="s">
        <v>1121</v>
      </c>
      <c r="H587" s="43">
        <v>1</v>
      </c>
      <c r="I587" s="42">
        <v>0</v>
      </c>
      <c r="J587" s="26">
        <v>3.6402071492772623</v>
      </c>
      <c r="K587" s="25">
        <v>0.40884690140815605</v>
      </c>
      <c r="L587" s="24"/>
      <c r="M587" s="25"/>
      <c r="N587" s="24"/>
      <c r="O587" s="25"/>
      <c r="P587" s="24"/>
      <c r="Q587" s="25"/>
      <c r="R587" s="32"/>
      <c r="S587" s="47">
        <v>1</v>
      </c>
      <c r="T587" s="45">
        <v>1</v>
      </c>
      <c r="U587" s="46">
        <v>1</v>
      </c>
      <c r="V587" s="45">
        <v>1</v>
      </c>
      <c r="W587" s="46">
        <v>1</v>
      </c>
      <c r="X587" s="45">
        <v>1</v>
      </c>
      <c r="Y587" s="46">
        <v>1</v>
      </c>
      <c r="Z587" s="45">
        <v>1</v>
      </c>
      <c r="AA587" s="44">
        <v>1</v>
      </c>
      <c r="AB587" s="26">
        <f t="shared" si="696"/>
        <v>3.6402071492772623</v>
      </c>
      <c r="AC587" s="25">
        <f t="shared" si="697"/>
        <v>0.40884690140815605</v>
      </c>
      <c r="AD587" s="24">
        <f t="shared" si="698"/>
        <v>0</v>
      </c>
      <c r="AE587" s="25">
        <f t="shared" si="699"/>
        <v>0</v>
      </c>
      <c r="AF587" s="24">
        <f t="shared" si="700"/>
        <v>0</v>
      </c>
      <c r="AG587" s="25">
        <f t="shared" si="701"/>
        <v>0</v>
      </c>
      <c r="AH587" s="24">
        <f t="shared" si="702"/>
        <v>0</v>
      </c>
      <c r="AI587" s="25">
        <f t="shared" si="703"/>
        <v>0</v>
      </c>
      <c r="AJ587" s="24">
        <f t="shared" si="704"/>
        <v>0</v>
      </c>
      <c r="AK587" s="27">
        <f t="shared" si="705"/>
        <v>4.0490540506854185</v>
      </c>
      <c r="AL587" s="41">
        <v>0</v>
      </c>
      <c r="AM587" s="40">
        <v>0</v>
      </c>
      <c r="AN587" s="39">
        <v>0</v>
      </c>
      <c r="AO587" s="40">
        <v>0</v>
      </c>
      <c r="AP587" s="39">
        <v>0</v>
      </c>
      <c r="AQ587" s="40">
        <v>0</v>
      </c>
      <c r="AR587" s="39">
        <v>0</v>
      </c>
      <c r="AS587" s="40">
        <v>0</v>
      </c>
      <c r="AT587" s="39">
        <v>0</v>
      </c>
      <c r="AU587" s="38">
        <v>0</v>
      </c>
    </row>
    <row r="588" spans="1:47">
      <c r="A588" s="37" t="s">
        <v>1108</v>
      </c>
      <c r="B588" s="36" t="s">
        <v>1107</v>
      </c>
      <c r="C588" s="1" t="s">
        <v>1120</v>
      </c>
      <c r="D588" s="36" t="s">
        <v>1120</v>
      </c>
      <c r="E588" s="36" t="s">
        <v>1119</v>
      </c>
      <c r="F588" s="1" t="e">
        <f t="shared" ca="1" si="691"/>
        <v>#NAME?</v>
      </c>
      <c r="G588" s="35" t="s">
        <v>1104</v>
      </c>
      <c r="H588" s="43">
        <v>1</v>
      </c>
      <c r="I588" s="42">
        <v>0</v>
      </c>
      <c r="J588" s="26">
        <v>1.6884768599999996E-3</v>
      </c>
      <c r="K588" s="25">
        <v>0</v>
      </c>
      <c r="L588" s="24"/>
      <c r="M588" s="25"/>
      <c r="N588" s="24"/>
      <c r="O588" s="25"/>
      <c r="P588" s="24"/>
      <c r="Q588" s="25"/>
      <c r="R588" s="32"/>
      <c r="S588" s="31" t="e">
        <v>#REF!</v>
      </c>
      <c r="T588" s="29" t="e">
        <f t="shared" ref="T588:AA597" si="706">S588</f>
        <v>#REF!</v>
      </c>
      <c r="U588" s="30" t="e">
        <f t="shared" si="706"/>
        <v>#REF!</v>
      </c>
      <c r="V588" s="29" t="e">
        <f t="shared" si="706"/>
        <v>#REF!</v>
      </c>
      <c r="W588" s="30" t="e">
        <f t="shared" si="706"/>
        <v>#REF!</v>
      </c>
      <c r="X588" s="29" t="e">
        <f t="shared" si="706"/>
        <v>#REF!</v>
      </c>
      <c r="Y588" s="30" t="e">
        <f t="shared" si="706"/>
        <v>#REF!</v>
      </c>
      <c r="Z588" s="29" t="e">
        <f t="shared" si="706"/>
        <v>#REF!</v>
      </c>
      <c r="AA588" s="28" t="e">
        <f t="shared" si="706"/>
        <v>#REF!</v>
      </c>
      <c r="AB588" s="26" t="e">
        <f t="shared" si="696"/>
        <v>#REF!</v>
      </c>
      <c r="AC588" s="25" t="e">
        <f t="shared" si="697"/>
        <v>#REF!</v>
      </c>
      <c r="AD588" s="24" t="e">
        <f t="shared" si="698"/>
        <v>#REF!</v>
      </c>
      <c r="AE588" s="25" t="e">
        <f t="shared" si="699"/>
        <v>#REF!</v>
      </c>
      <c r="AF588" s="24" t="e">
        <f t="shared" si="700"/>
        <v>#REF!</v>
      </c>
      <c r="AG588" s="25" t="e">
        <f t="shared" si="701"/>
        <v>#REF!</v>
      </c>
      <c r="AH588" s="24" t="e">
        <f t="shared" si="702"/>
        <v>#REF!</v>
      </c>
      <c r="AI588" s="25" t="e">
        <f t="shared" si="703"/>
        <v>#REF!</v>
      </c>
      <c r="AJ588" s="24" t="e">
        <f t="shared" si="704"/>
        <v>#REF!</v>
      </c>
      <c r="AK588" s="27" t="e">
        <f t="shared" si="705"/>
        <v>#REF!</v>
      </c>
      <c r="AL588" s="41">
        <v>0</v>
      </c>
      <c r="AM588" s="40">
        <v>0</v>
      </c>
      <c r="AN588" s="39">
        <v>0</v>
      </c>
      <c r="AO588" s="40">
        <v>0</v>
      </c>
      <c r="AP588" s="39">
        <v>0</v>
      </c>
      <c r="AQ588" s="40">
        <v>0</v>
      </c>
      <c r="AR588" s="39">
        <v>0</v>
      </c>
      <c r="AS588" s="40">
        <v>0</v>
      </c>
      <c r="AT588" s="39">
        <v>0</v>
      </c>
      <c r="AU588" s="38">
        <v>0</v>
      </c>
    </row>
    <row r="589" spans="1:47">
      <c r="A589" s="37" t="s">
        <v>1108</v>
      </c>
      <c r="B589" s="36" t="s">
        <v>1107</v>
      </c>
      <c r="C589" s="1" t="s">
        <v>665</v>
      </c>
      <c r="D589" s="36" t="s">
        <v>665</v>
      </c>
      <c r="E589" s="36" t="s">
        <v>1118</v>
      </c>
      <c r="F589" s="1" t="e">
        <f t="shared" ca="1" si="691"/>
        <v>#NAME?</v>
      </c>
      <c r="G589" s="35" t="s">
        <v>1104</v>
      </c>
      <c r="H589" s="43">
        <v>1</v>
      </c>
      <c r="I589" s="42">
        <v>0</v>
      </c>
      <c r="J589" s="26">
        <v>0.16496612999999999</v>
      </c>
      <c r="K589" s="25">
        <v>0.25230113999999998</v>
      </c>
      <c r="L589" s="24"/>
      <c r="M589" s="25"/>
      <c r="N589" s="24"/>
      <c r="O589" s="25"/>
      <c r="P589" s="24"/>
      <c r="Q589" s="25"/>
      <c r="R589" s="32"/>
      <c r="S589" s="31" t="e">
        <v>#REF!</v>
      </c>
      <c r="T589" s="29" t="e">
        <f t="shared" si="706"/>
        <v>#REF!</v>
      </c>
      <c r="U589" s="30" t="e">
        <f t="shared" si="706"/>
        <v>#REF!</v>
      </c>
      <c r="V589" s="29" t="e">
        <f t="shared" si="706"/>
        <v>#REF!</v>
      </c>
      <c r="W589" s="30" t="e">
        <f t="shared" si="706"/>
        <v>#REF!</v>
      </c>
      <c r="X589" s="29" t="e">
        <f t="shared" si="706"/>
        <v>#REF!</v>
      </c>
      <c r="Y589" s="30" t="e">
        <f t="shared" si="706"/>
        <v>#REF!</v>
      </c>
      <c r="Z589" s="29" t="e">
        <f t="shared" si="706"/>
        <v>#REF!</v>
      </c>
      <c r="AA589" s="28" t="e">
        <f t="shared" si="706"/>
        <v>#REF!</v>
      </c>
      <c r="AB589" s="26" t="e">
        <f t="shared" si="696"/>
        <v>#REF!</v>
      </c>
      <c r="AC589" s="25" t="e">
        <f t="shared" si="697"/>
        <v>#REF!</v>
      </c>
      <c r="AD589" s="24" t="e">
        <f t="shared" si="698"/>
        <v>#REF!</v>
      </c>
      <c r="AE589" s="25" t="e">
        <f t="shared" si="699"/>
        <v>#REF!</v>
      </c>
      <c r="AF589" s="24" t="e">
        <f t="shared" si="700"/>
        <v>#REF!</v>
      </c>
      <c r="AG589" s="25" t="e">
        <f t="shared" si="701"/>
        <v>#REF!</v>
      </c>
      <c r="AH589" s="24" t="e">
        <f t="shared" si="702"/>
        <v>#REF!</v>
      </c>
      <c r="AI589" s="25" t="e">
        <f t="shared" si="703"/>
        <v>#REF!</v>
      </c>
      <c r="AJ589" s="24" t="e">
        <f t="shared" si="704"/>
        <v>#REF!</v>
      </c>
      <c r="AK589" s="27" t="e">
        <f t="shared" si="705"/>
        <v>#REF!</v>
      </c>
      <c r="AL589" s="41">
        <v>0</v>
      </c>
      <c r="AM589" s="40">
        <v>0</v>
      </c>
      <c r="AN589" s="39">
        <v>0</v>
      </c>
      <c r="AO589" s="40">
        <v>0</v>
      </c>
      <c r="AP589" s="39">
        <v>0</v>
      </c>
      <c r="AQ589" s="40">
        <v>0</v>
      </c>
      <c r="AR589" s="39">
        <v>0</v>
      </c>
      <c r="AS589" s="40">
        <v>0</v>
      </c>
      <c r="AT589" s="39">
        <v>0</v>
      </c>
      <c r="AU589" s="38">
        <v>0</v>
      </c>
    </row>
    <row r="590" spans="1:47">
      <c r="A590" s="37" t="s">
        <v>1108</v>
      </c>
      <c r="B590" s="36" t="s">
        <v>1107</v>
      </c>
      <c r="C590" s="1" t="s">
        <v>665</v>
      </c>
      <c r="D590" s="36" t="s">
        <v>665</v>
      </c>
      <c r="E590" s="36" t="s">
        <v>1117</v>
      </c>
      <c r="F590" s="1" t="e">
        <f t="shared" ca="1" si="691"/>
        <v>#NAME?</v>
      </c>
      <c r="G590" s="35" t="s">
        <v>1109</v>
      </c>
      <c r="H590" s="34">
        <f>1-I590</f>
        <v>0.886907974935504</v>
      </c>
      <c r="I590" s="33">
        <v>0.11309202506449599</v>
      </c>
      <c r="J590" s="26" t="e">
        <v>#REF!</v>
      </c>
      <c r="K590" s="25" t="e">
        <v>#REF!</v>
      </c>
      <c r="L590" s="24"/>
      <c r="M590" s="25"/>
      <c r="N590" s="24"/>
      <c r="O590" s="25"/>
      <c r="P590" s="24"/>
      <c r="Q590" s="25"/>
      <c r="R590" s="32"/>
      <c r="S590" s="31" t="e">
        <v>#REF!</v>
      </c>
      <c r="T590" s="29" t="e">
        <f t="shared" si="706"/>
        <v>#REF!</v>
      </c>
      <c r="U590" s="30" t="e">
        <f t="shared" si="706"/>
        <v>#REF!</v>
      </c>
      <c r="V590" s="29" t="e">
        <f t="shared" si="706"/>
        <v>#REF!</v>
      </c>
      <c r="W590" s="30" t="e">
        <f t="shared" si="706"/>
        <v>#REF!</v>
      </c>
      <c r="X590" s="29" t="e">
        <f t="shared" si="706"/>
        <v>#REF!</v>
      </c>
      <c r="Y590" s="30" t="e">
        <f t="shared" si="706"/>
        <v>#REF!</v>
      </c>
      <c r="Z590" s="29" t="e">
        <f t="shared" si="706"/>
        <v>#REF!</v>
      </c>
      <c r="AA590" s="28" t="e">
        <f t="shared" si="706"/>
        <v>#REF!</v>
      </c>
      <c r="AB590" s="26" t="e">
        <f t="shared" ref="AB590:AJ593" si="707">J590*31.536*$H590*S590</f>
        <v>#REF!</v>
      </c>
      <c r="AC590" s="25" t="e">
        <f t="shared" si="707"/>
        <v>#REF!</v>
      </c>
      <c r="AD590" s="24" t="e">
        <f t="shared" si="707"/>
        <v>#REF!</v>
      </c>
      <c r="AE590" s="25" t="e">
        <f t="shared" si="707"/>
        <v>#REF!</v>
      </c>
      <c r="AF590" s="24" t="e">
        <f t="shared" si="707"/>
        <v>#REF!</v>
      </c>
      <c r="AG590" s="25" t="e">
        <f t="shared" si="707"/>
        <v>#REF!</v>
      </c>
      <c r="AH590" s="24" t="e">
        <f t="shared" si="707"/>
        <v>#REF!</v>
      </c>
      <c r="AI590" s="25" t="e">
        <f t="shared" si="707"/>
        <v>#REF!</v>
      </c>
      <c r="AJ590" s="24" t="e">
        <f t="shared" si="707"/>
        <v>#REF!</v>
      </c>
      <c r="AK590" s="27" t="e">
        <f t="shared" si="705"/>
        <v>#REF!</v>
      </c>
      <c r="AL590" s="26" t="e">
        <f t="shared" ref="AL590:AT593" si="708">J590*31.536*$I590*S590</f>
        <v>#REF!</v>
      </c>
      <c r="AM590" s="25" t="e">
        <f t="shared" si="708"/>
        <v>#REF!</v>
      </c>
      <c r="AN590" s="24" t="e">
        <f t="shared" si="708"/>
        <v>#REF!</v>
      </c>
      <c r="AO590" s="25" t="e">
        <f t="shared" si="708"/>
        <v>#REF!</v>
      </c>
      <c r="AP590" s="24" t="e">
        <f t="shared" si="708"/>
        <v>#REF!</v>
      </c>
      <c r="AQ590" s="25" t="e">
        <f t="shared" si="708"/>
        <v>#REF!</v>
      </c>
      <c r="AR590" s="24" t="e">
        <f t="shared" si="708"/>
        <v>#REF!</v>
      </c>
      <c r="AS590" s="25" t="e">
        <f t="shared" si="708"/>
        <v>#REF!</v>
      </c>
      <c r="AT590" s="24" t="e">
        <f t="shared" si="708"/>
        <v>#REF!</v>
      </c>
      <c r="AU590" s="23" t="e">
        <f>SUM(AL590:AT590)</f>
        <v>#REF!</v>
      </c>
    </row>
    <row r="591" spans="1:47">
      <c r="A591" s="37" t="s">
        <v>1108</v>
      </c>
      <c r="B591" s="36" t="s">
        <v>1107</v>
      </c>
      <c r="C591" s="1" t="s">
        <v>665</v>
      </c>
      <c r="D591" s="36" t="s">
        <v>665</v>
      </c>
      <c r="E591" s="36" t="s">
        <v>1116</v>
      </c>
      <c r="F591" s="1" t="e">
        <f t="shared" ca="1" si="691"/>
        <v>#NAME?</v>
      </c>
      <c r="G591" s="35" t="s">
        <v>1109</v>
      </c>
      <c r="H591" s="34">
        <f>1-I591</f>
        <v>0.49222832279162754</v>
      </c>
      <c r="I591" s="33">
        <v>0.50777167720837246</v>
      </c>
      <c r="J591" s="26">
        <v>0</v>
      </c>
      <c r="K591" s="25">
        <v>5.688228402803394E-3</v>
      </c>
      <c r="L591" s="24"/>
      <c r="M591" s="25"/>
      <c r="N591" s="24"/>
      <c r="O591" s="25"/>
      <c r="P591" s="24"/>
      <c r="Q591" s="25"/>
      <c r="R591" s="32"/>
      <c r="S591" s="31" t="e">
        <v>#REF!</v>
      </c>
      <c r="T591" s="29" t="e">
        <f t="shared" si="706"/>
        <v>#REF!</v>
      </c>
      <c r="U591" s="30" t="e">
        <f t="shared" si="706"/>
        <v>#REF!</v>
      </c>
      <c r="V591" s="29" t="e">
        <f t="shared" si="706"/>
        <v>#REF!</v>
      </c>
      <c r="W591" s="30" t="e">
        <f t="shared" si="706"/>
        <v>#REF!</v>
      </c>
      <c r="X591" s="29" t="e">
        <f t="shared" si="706"/>
        <v>#REF!</v>
      </c>
      <c r="Y591" s="30" t="e">
        <f t="shared" si="706"/>
        <v>#REF!</v>
      </c>
      <c r="Z591" s="29" t="e">
        <f t="shared" si="706"/>
        <v>#REF!</v>
      </c>
      <c r="AA591" s="28" t="e">
        <f t="shared" si="706"/>
        <v>#REF!</v>
      </c>
      <c r="AB591" s="26" t="e">
        <f t="shared" si="707"/>
        <v>#REF!</v>
      </c>
      <c r="AC591" s="25" t="e">
        <f t="shared" si="707"/>
        <v>#REF!</v>
      </c>
      <c r="AD591" s="24" t="e">
        <f t="shared" si="707"/>
        <v>#REF!</v>
      </c>
      <c r="AE591" s="25" t="e">
        <f t="shared" si="707"/>
        <v>#REF!</v>
      </c>
      <c r="AF591" s="24" t="e">
        <f t="shared" si="707"/>
        <v>#REF!</v>
      </c>
      <c r="AG591" s="25" t="e">
        <f t="shared" si="707"/>
        <v>#REF!</v>
      </c>
      <c r="AH591" s="24" t="e">
        <f t="shared" si="707"/>
        <v>#REF!</v>
      </c>
      <c r="AI591" s="25" t="e">
        <f t="shared" si="707"/>
        <v>#REF!</v>
      </c>
      <c r="AJ591" s="24" t="e">
        <f t="shared" si="707"/>
        <v>#REF!</v>
      </c>
      <c r="AK591" s="27" t="e">
        <f t="shared" si="705"/>
        <v>#REF!</v>
      </c>
      <c r="AL591" s="26" t="e">
        <f t="shared" si="708"/>
        <v>#REF!</v>
      </c>
      <c r="AM591" s="25" t="e">
        <f t="shared" si="708"/>
        <v>#REF!</v>
      </c>
      <c r="AN591" s="24" t="e">
        <f t="shared" si="708"/>
        <v>#REF!</v>
      </c>
      <c r="AO591" s="25" t="e">
        <f t="shared" si="708"/>
        <v>#REF!</v>
      </c>
      <c r="AP591" s="24" t="e">
        <f t="shared" si="708"/>
        <v>#REF!</v>
      </c>
      <c r="AQ591" s="25" t="e">
        <f t="shared" si="708"/>
        <v>#REF!</v>
      </c>
      <c r="AR591" s="24" t="e">
        <f t="shared" si="708"/>
        <v>#REF!</v>
      </c>
      <c r="AS591" s="25" t="e">
        <f t="shared" si="708"/>
        <v>#REF!</v>
      </c>
      <c r="AT591" s="24" t="e">
        <f t="shared" si="708"/>
        <v>#REF!</v>
      </c>
      <c r="AU591" s="23" t="e">
        <f>SUM(AL591:AT591)</f>
        <v>#REF!</v>
      </c>
    </row>
    <row r="592" spans="1:47">
      <c r="A592" s="37" t="s">
        <v>1108</v>
      </c>
      <c r="B592" s="36" t="s">
        <v>1107</v>
      </c>
      <c r="C592" s="1" t="s">
        <v>665</v>
      </c>
      <c r="D592" s="36" t="s">
        <v>665</v>
      </c>
      <c r="E592" s="36" t="s">
        <v>1115</v>
      </c>
      <c r="F592" s="1" t="e">
        <f t="shared" ca="1" si="691"/>
        <v>#NAME?</v>
      </c>
      <c r="G592" s="35" t="s">
        <v>1109</v>
      </c>
      <c r="H592" s="34">
        <f>1-I592</f>
        <v>0.64769647696476973</v>
      </c>
      <c r="I592" s="33">
        <v>0.35230352303523033</v>
      </c>
      <c r="J592" s="26">
        <v>0</v>
      </c>
      <c r="K592" s="25">
        <v>0</v>
      </c>
      <c r="L592" s="24"/>
      <c r="M592" s="25"/>
      <c r="N592" s="24"/>
      <c r="O592" s="25"/>
      <c r="P592" s="24"/>
      <c r="Q592" s="25"/>
      <c r="R592" s="32"/>
      <c r="S592" s="31" t="e">
        <v>#REF!</v>
      </c>
      <c r="T592" s="29" t="e">
        <f t="shared" si="706"/>
        <v>#REF!</v>
      </c>
      <c r="U592" s="30" t="e">
        <f t="shared" si="706"/>
        <v>#REF!</v>
      </c>
      <c r="V592" s="29" t="e">
        <f t="shared" si="706"/>
        <v>#REF!</v>
      </c>
      <c r="W592" s="30" t="e">
        <f t="shared" si="706"/>
        <v>#REF!</v>
      </c>
      <c r="X592" s="29" t="e">
        <f t="shared" si="706"/>
        <v>#REF!</v>
      </c>
      <c r="Y592" s="30" t="e">
        <f t="shared" si="706"/>
        <v>#REF!</v>
      </c>
      <c r="Z592" s="29" t="e">
        <f t="shared" si="706"/>
        <v>#REF!</v>
      </c>
      <c r="AA592" s="28" t="e">
        <f t="shared" si="706"/>
        <v>#REF!</v>
      </c>
      <c r="AB592" s="26" t="e">
        <f t="shared" si="707"/>
        <v>#REF!</v>
      </c>
      <c r="AC592" s="25" t="e">
        <f t="shared" si="707"/>
        <v>#REF!</v>
      </c>
      <c r="AD592" s="24" t="e">
        <f t="shared" si="707"/>
        <v>#REF!</v>
      </c>
      <c r="AE592" s="25" t="e">
        <f t="shared" si="707"/>
        <v>#REF!</v>
      </c>
      <c r="AF592" s="24" t="e">
        <f t="shared" si="707"/>
        <v>#REF!</v>
      </c>
      <c r="AG592" s="25" t="e">
        <f t="shared" si="707"/>
        <v>#REF!</v>
      </c>
      <c r="AH592" s="24" t="e">
        <f t="shared" si="707"/>
        <v>#REF!</v>
      </c>
      <c r="AI592" s="25" t="e">
        <f t="shared" si="707"/>
        <v>#REF!</v>
      </c>
      <c r="AJ592" s="24" t="e">
        <f t="shared" si="707"/>
        <v>#REF!</v>
      </c>
      <c r="AK592" s="27" t="e">
        <f t="shared" si="705"/>
        <v>#REF!</v>
      </c>
      <c r="AL592" s="26" t="e">
        <f t="shared" si="708"/>
        <v>#REF!</v>
      </c>
      <c r="AM592" s="25" t="e">
        <f t="shared" si="708"/>
        <v>#REF!</v>
      </c>
      <c r="AN592" s="24" t="e">
        <f t="shared" si="708"/>
        <v>#REF!</v>
      </c>
      <c r="AO592" s="25" t="e">
        <f t="shared" si="708"/>
        <v>#REF!</v>
      </c>
      <c r="AP592" s="24" t="e">
        <f t="shared" si="708"/>
        <v>#REF!</v>
      </c>
      <c r="AQ592" s="25" t="e">
        <f t="shared" si="708"/>
        <v>#REF!</v>
      </c>
      <c r="AR592" s="24" t="e">
        <f t="shared" si="708"/>
        <v>#REF!</v>
      </c>
      <c r="AS592" s="25" t="e">
        <f t="shared" si="708"/>
        <v>#REF!</v>
      </c>
      <c r="AT592" s="24" t="e">
        <f t="shared" si="708"/>
        <v>#REF!</v>
      </c>
      <c r="AU592" s="23" t="e">
        <f>SUM(AL592:AT592)</f>
        <v>#REF!</v>
      </c>
    </row>
    <row r="593" spans="1:47">
      <c r="A593" s="37" t="s">
        <v>1108</v>
      </c>
      <c r="B593" s="36" t="s">
        <v>1107</v>
      </c>
      <c r="C593" s="1" t="s">
        <v>665</v>
      </c>
      <c r="D593" s="36" t="s">
        <v>665</v>
      </c>
      <c r="E593" s="36" t="s">
        <v>1114</v>
      </c>
      <c r="F593" s="1" t="e">
        <f t="shared" ca="1" si="691"/>
        <v>#NAME?</v>
      </c>
      <c r="G593" s="35" t="s">
        <v>1109</v>
      </c>
      <c r="H593" s="34">
        <f>1-I593</f>
        <v>0.61182631157782419</v>
      </c>
      <c r="I593" s="33">
        <v>0.38817368842217576</v>
      </c>
      <c r="J593" s="26">
        <v>0</v>
      </c>
      <c r="K593" s="25">
        <v>0</v>
      </c>
      <c r="L593" s="24"/>
      <c r="M593" s="25"/>
      <c r="N593" s="24"/>
      <c r="O593" s="25"/>
      <c r="P593" s="24"/>
      <c r="Q593" s="25"/>
      <c r="R593" s="32"/>
      <c r="S593" s="31" t="e">
        <v>#REF!</v>
      </c>
      <c r="T593" s="29" t="e">
        <f t="shared" si="706"/>
        <v>#REF!</v>
      </c>
      <c r="U593" s="30" t="e">
        <f t="shared" si="706"/>
        <v>#REF!</v>
      </c>
      <c r="V593" s="29" t="e">
        <f t="shared" si="706"/>
        <v>#REF!</v>
      </c>
      <c r="W593" s="30" t="e">
        <f t="shared" si="706"/>
        <v>#REF!</v>
      </c>
      <c r="X593" s="29" t="e">
        <f t="shared" si="706"/>
        <v>#REF!</v>
      </c>
      <c r="Y593" s="30" t="e">
        <f t="shared" si="706"/>
        <v>#REF!</v>
      </c>
      <c r="Z593" s="29" t="e">
        <f t="shared" si="706"/>
        <v>#REF!</v>
      </c>
      <c r="AA593" s="28" t="e">
        <f t="shared" si="706"/>
        <v>#REF!</v>
      </c>
      <c r="AB593" s="26" t="e">
        <f t="shared" si="707"/>
        <v>#REF!</v>
      </c>
      <c r="AC593" s="25" t="e">
        <f t="shared" si="707"/>
        <v>#REF!</v>
      </c>
      <c r="AD593" s="24" t="e">
        <f t="shared" si="707"/>
        <v>#REF!</v>
      </c>
      <c r="AE593" s="25" t="e">
        <f t="shared" si="707"/>
        <v>#REF!</v>
      </c>
      <c r="AF593" s="24" t="e">
        <f t="shared" si="707"/>
        <v>#REF!</v>
      </c>
      <c r="AG593" s="25" t="e">
        <f t="shared" si="707"/>
        <v>#REF!</v>
      </c>
      <c r="AH593" s="24" t="e">
        <f t="shared" si="707"/>
        <v>#REF!</v>
      </c>
      <c r="AI593" s="25" t="e">
        <f t="shared" si="707"/>
        <v>#REF!</v>
      </c>
      <c r="AJ593" s="24" t="e">
        <f t="shared" si="707"/>
        <v>#REF!</v>
      </c>
      <c r="AK593" s="27" t="e">
        <f t="shared" si="705"/>
        <v>#REF!</v>
      </c>
      <c r="AL593" s="26" t="e">
        <f t="shared" si="708"/>
        <v>#REF!</v>
      </c>
      <c r="AM593" s="25" t="e">
        <f t="shared" si="708"/>
        <v>#REF!</v>
      </c>
      <c r="AN593" s="24" t="e">
        <f t="shared" si="708"/>
        <v>#REF!</v>
      </c>
      <c r="AO593" s="25" t="e">
        <f t="shared" si="708"/>
        <v>#REF!</v>
      </c>
      <c r="AP593" s="24" t="e">
        <f t="shared" si="708"/>
        <v>#REF!</v>
      </c>
      <c r="AQ593" s="25" t="e">
        <f t="shared" si="708"/>
        <v>#REF!</v>
      </c>
      <c r="AR593" s="24" t="e">
        <f t="shared" si="708"/>
        <v>#REF!</v>
      </c>
      <c r="AS593" s="25" t="e">
        <f t="shared" si="708"/>
        <v>#REF!</v>
      </c>
      <c r="AT593" s="24" t="e">
        <f t="shared" si="708"/>
        <v>#REF!</v>
      </c>
      <c r="AU593" s="23" t="e">
        <f>SUM(AL593:AT593)</f>
        <v>#REF!</v>
      </c>
    </row>
    <row r="594" spans="1:47">
      <c r="A594" s="37" t="s">
        <v>1108</v>
      </c>
      <c r="B594" s="36" t="s">
        <v>1107</v>
      </c>
      <c r="C594" s="1" t="s">
        <v>1111</v>
      </c>
      <c r="D594" s="36" t="s">
        <v>1111</v>
      </c>
      <c r="E594" s="36" t="s">
        <v>1113</v>
      </c>
      <c r="F594" s="1" t="e">
        <f t="shared" ca="1" si="691"/>
        <v>#NAME?</v>
      </c>
      <c r="G594" s="35" t="s">
        <v>1104</v>
      </c>
      <c r="H594" s="43">
        <v>1</v>
      </c>
      <c r="I594" s="42">
        <v>0</v>
      </c>
      <c r="J594" s="26">
        <v>2.9519233379999998</v>
      </c>
      <c r="K594" s="25">
        <v>0</v>
      </c>
      <c r="L594" s="24"/>
      <c r="M594" s="25"/>
      <c r="N594" s="24"/>
      <c r="O594" s="25"/>
      <c r="P594" s="24"/>
      <c r="Q594" s="25"/>
      <c r="R594" s="32"/>
      <c r="S594" s="31" t="e">
        <v>#REF!</v>
      </c>
      <c r="T594" s="29" t="e">
        <f t="shared" si="706"/>
        <v>#REF!</v>
      </c>
      <c r="U594" s="30" t="e">
        <f t="shared" si="706"/>
        <v>#REF!</v>
      </c>
      <c r="V594" s="29" t="e">
        <f t="shared" si="706"/>
        <v>#REF!</v>
      </c>
      <c r="W594" s="30" t="e">
        <f t="shared" si="706"/>
        <v>#REF!</v>
      </c>
      <c r="X594" s="29" t="e">
        <f t="shared" si="706"/>
        <v>#REF!</v>
      </c>
      <c r="Y594" s="30" t="e">
        <f t="shared" si="706"/>
        <v>#REF!</v>
      </c>
      <c r="Z594" s="29" t="e">
        <f t="shared" si="706"/>
        <v>#REF!</v>
      </c>
      <c r="AA594" s="28" t="e">
        <f t="shared" si="706"/>
        <v>#REF!</v>
      </c>
      <c r="AB594" s="26" t="e">
        <f t="shared" ref="AB594:AJ594" si="709">J594*$H594*S594</f>
        <v>#REF!</v>
      </c>
      <c r="AC594" s="25" t="e">
        <f t="shared" si="709"/>
        <v>#REF!</v>
      </c>
      <c r="AD594" s="24" t="e">
        <f t="shared" si="709"/>
        <v>#REF!</v>
      </c>
      <c r="AE594" s="25" t="e">
        <f t="shared" si="709"/>
        <v>#REF!</v>
      </c>
      <c r="AF594" s="24" t="e">
        <f t="shared" si="709"/>
        <v>#REF!</v>
      </c>
      <c r="AG594" s="25" t="e">
        <f t="shared" si="709"/>
        <v>#REF!</v>
      </c>
      <c r="AH594" s="24" t="e">
        <f t="shared" si="709"/>
        <v>#REF!</v>
      </c>
      <c r="AI594" s="25" t="e">
        <f t="shared" si="709"/>
        <v>#REF!</v>
      </c>
      <c r="AJ594" s="24" t="e">
        <f t="shared" si="709"/>
        <v>#REF!</v>
      </c>
      <c r="AK594" s="27" t="e">
        <f t="shared" si="705"/>
        <v>#REF!</v>
      </c>
      <c r="AL594" s="41">
        <v>0</v>
      </c>
      <c r="AM594" s="40">
        <v>0</v>
      </c>
      <c r="AN594" s="39">
        <v>0</v>
      </c>
      <c r="AO594" s="40">
        <v>0</v>
      </c>
      <c r="AP594" s="39">
        <v>0</v>
      </c>
      <c r="AQ594" s="40">
        <v>0</v>
      </c>
      <c r="AR594" s="39">
        <v>0</v>
      </c>
      <c r="AS594" s="40">
        <v>0</v>
      </c>
      <c r="AT594" s="39">
        <v>0</v>
      </c>
      <c r="AU594" s="38">
        <v>0</v>
      </c>
    </row>
    <row r="595" spans="1:47">
      <c r="A595" s="37" t="s">
        <v>1108</v>
      </c>
      <c r="B595" s="36" t="s">
        <v>1107</v>
      </c>
      <c r="C595" s="1" t="s">
        <v>1111</v>
      </c>
      <c r="D595" s="36" t="s">
        <v>1111</v>
      </c>
      <c r="E595" s="36" t="s">
        <v>1112</v>
      </c>
      <c r="F595" s="1" t="e">
        <f t="shared" ca="1" si="691"/>
        <v>#NAME?</v>
      </c>
      <c r="G595" s="35" t="s">
        <v>1109</v>
      </c>
      <c r="H595" s="34">
        <f>1-I595</f>
        <v>0.88332652522877819</v>
      </c>
      <c r="I595" s="33">
        <v>0.11667347477122178</v>
      </c>
      <c r="J595" s="26" t="e">
        <v>#REF!</v>
      </c>
      <c r="K595" s="25" t="e">
        <v>#REF!</v>
      </c>
      <c r="L595" s="24"/>
      <c r="M595" s="25"/>
      <c r="N595" s="24"/>
      <c r="O595" s="25"/>
      <c r="P595" s="24"/>
      <c r="Q595" s="25"/>
      <c r="R595" s="32"/>
      <c r="S595" s="31" t="e">
        <v>#REF!</v>
      </c>
      <c r="T595" s="29" t="e">
        <f t="shared" si="706"/>
        <v>#REF!</v>
      </c>
      <c r="U595" s="30" t="e">
        <f t="shared" si="706"/>
        <v>#REF!</v>
      </c>
      <c r="V595" s="29" t="e">
        <f t="shared" si="706"/>
        <v>#REF!</v>
      </c>
      <c r="W595" s="30" t="e">
        <f t="shared" si="706"/>
        <v>#REF!</v>
      </c>
      <c r="X595" s="29" t="e">
        <f t="shared" si="706"/>
        <v>#REF!</v>
      </c>
      <c r="Y595" s="30" t="e">
        <f t="shared" si="706"/>
        <v>#REF!</v>
      </c>
      <c r="Z595" s="29" t="e">
        <f t="shared" si="706"/>
        <v>#REF!</v>
      </c>
      <c r="AA595" s="28" t="e">
        <f t="shared" si="706"/>
        <v>#REF!</v>
      </c>
      <c r="AB595" s="26" t="e">
        <f t="shared" ref="AB595:AJ596" si="710">J595*31.536*$H595*S595</f>
        <v>#REF!</v>
      </c>
      <c r="AC595" s="25" t="e">
        <f t="shared" si="710"/>
        <v>#REF!</v>
      </c>
      <c r="AD595" s="24" t="e">
        <f t="shared" si="710"/>
        <v>#REF!</v>
      </c>
      <c r="AE595" s="25" t="e">
        <f t="shared" si="710"/>
        <v>#REF!</v>
      </c>
      <c r="AF595" s="24" t="e">
        <f t="shared" si="710"/>
        <v>#REF!</v>
      </c>
      <c r="AG595" s="25" t="e">
        <f t="shared" si="710"/>
        <v>#REF!</v>
      </c>
      <c r="AH595" s="24" t="e">
        <f t="shared" si="710"/>
        <v>#REF!</v>
      </c>
      <c r="AI595" s="25" t="e">
        <f t="shared" si="710"/>
        <v>#REF!</v>
      </c>
      <c r="AJ595" s="24" t="e">
        <f t="shared" si="710"/>
        <v>#REF!</v>
      </c>
      <c r="AK595" s="27" t="e">
        <f t="shared" si="705"/>
        <v>#REF!</v>
      </c>
      <c r="AL595" s="26" t="e">
        <f t="shared" ref="AL595:AT596" si="711">J595*31.536*$I595*S595</f>
        <v>#REF!</v>
      </c>
      <c r="AM595" s="25" t="e">
        <f t="shared" si="711"/>
        <v>#REF!</v>
      </c>
      <c r="AN595" s="24" t="e">
        <f t="shared" si="711"/>
        <v>#REF!</v>
      </c>
      <c r="AO595" s="25" t="e">
        <f t="shared" si="711"/>
        <v>#REF!</v>
      </c>
      <c r="AP595" s="24" t="e">
        <f t="shared" si="711"/>
        <v>#REF!</v>
      </c>
      <c r="AQ595" s="25" t="e">
        <f t="shared" si="711"/>
        <v>#REF!</v>
      </c>
      <c r="AR595" s="24" t="e">
        <f t="shared" si="711"/>
        <v>#REF!</v>
      </c>
      <c r="AS595" s="25" t="e">
        <f t="shared" si="711"/>
        <v>#REF!</v>
      </c>
      <c r="AT595" s="24" t="e">
        <f t="shared" si="711"/>
        <v>#REF!</v>
      </c>
      <c r="AU595" s="23" t="e">
        <f>SUM(AL595:AT595)</f>
        <v>#REF!</v>
      </c>
    </row>
    <row r="596" spans="1:47">
      <c r="A596" s="37" t="s">
        <v>1108</v>
      </c>
      <c r="B596" s="36" t="s">
        <v>1107</v>
      </c>
      <c r="C596" s="1" t="s">
        <v>1111</v>
      </c>
      <c r="D596" s="36" t="s">
        <v>1111</v>
      </c>
      <c r="E596" s="36" t="s">
        <v>1110</v>
      </c>
      <c r="F596" s="1" t="e">
        <f t="shared" ca="1" si="691"/>
        <v>#NAME?</v>
      </c>
      <c r="G596" s="35" t="s">
        <v>1109</v>
      </c>
      <c r="H596" s="34">
        <f>1-I596</f>
        <v>0.88332652522877819</v>
      </c>
      <c r="I596" s="33">
        <v>0.11667347477122177</v>
      </c>
      <c r="J596" s="26" t="e">
        <v>#REF!</v>
      </c>
      <c r="K596" s="25" t="e">
        <v>#REF!</v>
      </c>
      <c r="L596" s="24"/>
      <c r="M596" s="25"/>
      <c r="N596" s="24"/>
      <c r="O596" s="25"/>
      <c r="P596" s="24"/>
      <c r="Q596" s="25"/>
      <c r="R596" s="32"/>
      <c r="S596" s="31" t="e">
        <v>#REF!</v>
      </c>
      <c r="T596" s="29" t="e">
        <f t="shared" si="706"/>
        <v>#REF!</v>
      </c>
      <c r="U596" s="30" t="e">
        <f t="shared" si="706"/>
        <v>#REF!</v>
      </c>
      <c r="V596" s="29" t="e">
        <f t="shared" si="706"/>
        <v>#REF!</v>
      </c>
      <c r="W596" s="30" t="e">
        <f t="shared" si="706"/>
        <v>#REF!</v>
      </c>
      <c r="X596" s="29" t="e">
        <f t="shared" si="706"/>
        <v>#REF!</v>
      </c>
      <c r="Y596" s="30" t="e">
        <f t="shared" si="706"/>
        <v>#REF!</v>
      </c>
      <c r="Z596" s="29" t="e">
        <f t="shared" si="706"/>
        <v>#REF!</v>
      </c>
      <c r="AA596" s="28" t="e">
        <f t="shared" si="706"/>
        <v>#REF!</v>
      </c>
      <c r="AB596" s="26" t="e">
        <f t="shared" si="710"/>
        <v>#REF!</v>
      </c>
      <c r="AC596" s="25" t="e">
        <f t="shared" si="710"/>
        <v>#REF!</v>
      </c>
      <c r="AD596" s="24" t="e">
        <f t="shared" si="710"/>
        <v>#REF!</v>
      </c>
      <c r="AE596" s="25" t="e">
        <f t="shared" si="710"/>
        <v>#REF!</v>
      </c>
      <c r="AF596" s="24" t="e">
        <f t="shared" si="710"/>
        <v>#REF!</v>
      </c>
      <c r="AG596" s="25" t="e">
        <f t="shared" si="710"/>
        <v>#REF!</v>
      </c>
      <c r="AH596" s="24" t="e">
        <f t="shared" si="710"/>
        <v>#REF!</v>
      </c>
      <c r="AI596" s="25" t="e">
        <f t="shared" si="710"/>
        <v>#REF!</v>
      </c>
      <c r="AJ596" s="24" t="e">
        <f t="shared" si="710"/>
        <v>#REF!</v>
      </c>
      <c r="AK596" s="27" t="e">
        <f t="shared" si="705"/>
        <v>#REF!</v>
      </c>
      <c r="AL596" s="26" t="e">
        <f t="shared" si="711"/>
        <v>#REF!</v>
      </c>
      <c r="AM596" s="25" t="e">
        <f t="shared" si="711"/>
        <v>#REF!</v>
      </c>
      <c r="AN596" s="24" t="e">
        <f t="shared" si="711"/>
        <v>#REF!</v>
      </c>
      <c r="AO596" s="25" t="e">
        <f t="shared" si="711"/>
        <v>#REF!</v>
      </c>
      <c r="AP596" s="24" t="e">
        <f t="shared" si="711"/>
        <v>#REF!</v>
      </c>
      <c r="AQ596" s="25" t="e">
        <f t="shared" si="711"/>
        <v>#REF!</v>
      </c>
      <c r="AR596" s="24" t="e">
        <f t="shared" si="711"/>
        <v>#REF!</v>
      </c>
      <c r="AS596" s="25" t="e">
        <f t="shared" si="711"/>
        <v>#REF!</v>
      </c>
      <c r="AT596" s="24" t="e">
        <f t="shared" si="711"/>
        <v>#REF!</v>
      </c>
      <c r="AU596" s="23" t="e">
        <f>SUM(AL596:AT596)</f>
        <v>#REF!</v>
      </c>
    </row>
    <row r="597" spans="1:47">
      <c r="A597" s="22" t="s">
        <v>1108</v>
      </c>
      <c r="B597" s="20" t="s">
        <v>1107</v>
      </c>
      <c r="C597" s="21" t="s">
        <v>1106</v>
      </c>
      <c r="D597" s="20" t="s">
        <v>1106</v>
      </c>
      <c r="E597" s="20" t="s">
        <v>1105</v>
      </c>
      <c r="F597" s="20" t="e">
        <f t="shared" ca="1" si="691"/>
        <v>#NAME?</v>
      </c>
      <c r="G597" s="19" t="s">
        <v>1104</v>
      </c>
      <c r="H597" s="18">
        <v>1</v>
      </c>
      <c r="I597" s="17">
        <v>0</v>
      </c>
      <c r="J597" s="11">
        <v>0</v>
      </c>
      <c r="K597" s="10">
        <v>0</v>
      </c>
      <c r="L597" s="9"/>
      <c r="M597" s="10"/>
      <c r="N597" s="9"/>
      <c r="O597" s="10"/>
      <c r="P597" s="9"/>
      <c r="Q597" s="10"/>
      <c r="R597" s="16"/>
      <c r="S597" s="15" t="e">
        <v>#REF!</v>
      </c>
      <c r="T597" s="13" t="e">
        <f t="shared" si="706"/>
        <v>#REF!</v>
      </c>
      <c r="U597" s="14" t="e">
        <f t="shared" si="706"/>
        <v>#REF!</v>
      </c>
      <c r="V597" s="13" t="e">
        <f t="shared" si="706"/>
        <v>#REF!</v>
      </c>
      <c r="W597" s="14" t="e">
        <f t="shared" si="706"/>
        <v>#REF!</v>
      </c>
      <c r="X597" s="13" t="e">
        <f t="shared" si="706"/>
        <v>#REF!</v>
      </c>
      <c r="Y597" s="14" t="e">
        <f t="shared" si="706"/>
        <v>#REF!</v>
      </c>
      <c r="Z597" s="13" t="e">
        <f t="shared" si="706"/>
        <v>#REF!</v>
      </c>
      <c r="AA597" s="12" t="e">
        <f t="shared" si="706"/>
        <v>#REF!</v>
      </c>
      <c r="AB597" s="11" t="e">
        <f t="shared" ref="AB597:AJ597" si="712">J597*$H597*S597</f>
        <v>#REF!</v>
      </c>
      <c r="AC597" s="10" t="e">
        <f t="shared" si="712"/>
        <v>#REF!</v>
      </c>
      <c r="AD597" s="9" t="e">
        <f t="shared" si="712"/>
        <v>#REF!</v>
      </c>
      <c r="AE597" s="10" t="e">
        <f t="shared" si="712"/>
        <v>#REF!</v>
      </c>
      <c r="AF597" s="9" t="e">
        <f t="shared" si="712"/>
        <v>#REF!</v>
      </c>
      <c r="AG597" s="10" t="e">
        <f t="shared" si="712"/>
        <v>#REF!</v>
      </c>
      <c r="AH597" s="9" t="e">
        <f t="shared" si="712"/>
        <v>#REF!</v>
      </c>
      <c r="AI597" s="10" t="e">
        <f t="shared" si="712"/>
        <v>#REF!</v>
      </c>
      <c r="AJ597" s="9" t="e">
        <f t="shared" si="712"/>
        <v>#REF!</v>
      </c>
      <c r="AK597" s="8" t="e">
        <f t="shared" si="705"/>
        <v>#REF!</v>
      </c>
      <c r="AL597" s="7">
        <v>0</v>
      </c>
      <c r="AM597" s="6">
        <v>0</v>
      </c>
      <c r="AN597" s="5">
        <v>0</v>
      </c>
      <c r="AO597" s="6">
        <v>0</v>
      </c>
      <c r="AP597" s="5">
        <v>0</v>
      </c>
      <c r="AQ597" s="6">
        <v>0</v>
      </c>
      <c r="AR597" s="5">
        <v>0</v>
      </c>
      <c r="AS597" s="6">
        <v>0</v>
      </c>
      <c r="AT597" s="5">
        <v>0</v>
      </c>
      <c r="AU597" s="4">
        <v>0</v>
      </c>
    </row>
  </sheetData>
  <autoFilter ref="A7:AU7" xr:uid="{00000000-0009-0000-0000-000000000000}">
    <sortState xmlns:xlrd2="http://schemas.microsoft.com/office/spreadsheetml/2017/richdata2" ref="A8:AU599">
      <sortCondition ref="G7"/>
    </sortState>
  </autoFilter>
  <mergeCells count="9">
    <mergeCell ref="DG6:DO6"/>
    <mergeCell ref="DP6:DX6"/>
    <mergeCell ref="A3:N3"/>
    <mergeCell ref="BX6:CF6"/>
    <mergeCell ref="J6:R6"/>
    <mergeCell ref="S6:AA6"/>
    <mergeCell ref="AB6:AK6"/>
    <mergeCell ref="AL6:AU6"/>
    <mergeCell ref="BO6:BW6"/>
  </mergeCells>
  <hyperlinks>
    <hyperlink ref="EK16" r:id="rId7" display="http://www.epa.gov/sectors/pdf/energy/report.pdf" xr:uid="{00000000-0004-0000-0000-000000000000}"/>
    <hyperlink ref="C1" location="ReadMe!A1" display="Back to home page" xr:uid="{00000000-0004-0000-0000-000001000000}"/>
  </hyperlinks>
  <pageMargins left="0.7" right="0.7" top="0.75" bottom="0.75" header="0.3" footer="0.3"/>
  <pageSetup orientation="portrait" r:id="rId8"/>
  <drawing r:id="rId9"/>
  <legacyDrawing r:id="rId1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7">
    <tabColor rgb="FFFFC000"/>
  </sheetPr>
  <dimension ref="B1:O381"/>
  <sheetViews>
    <sheetView zoomScale="80" zoomScaleNormal="80" workbookViewId="0">
      <pane xSplit="4" ySplit="7" topLeftCell="E44" activePane="bottomRight" state="frozen"/>
      <selection activeCell="N56" sqref="N56"/>
      <selection pane="topRight" activeCell="N56" sqref="N56"/>
      <selection pane="bottomLeft" activeCell="N56" sqref="N56"/>
      <selection pane="bottomRight" activeCell="D71" sqref="D71"/>
    </sheetView>
  </sheetViews>
  <sheetFormatPr defaultColWidth="9.140625" defaultRowHeight="12.75"/>
  <cols>
    <col min="1" max="1" width="9.140625" style="366"/>
    <col min="2" max="2" width="24" style="366" customWidth="1"/>
    <col min="3" max="3" width="12.28515625" style="366" customWidth="1"/>
    <col min="4" max="4" width="67.42578125" style="366" customWidth="1"/>
    <col min="5" max="5" width="10.28515625" style="366" customWidth="1"/>
    <col min="6" max="6" width="29.7109375" style="367" customWidth="1"/>
    <col min="7" max="7" width="27.42578125" style="366" customWidth="1"/>
    <col min="8" max="16384" width="9.140625" style="366"/>
  </cols>
  <sheetData>
    <row r="1" spans="2:15">
      <c r="B1" s="364" t="s">
        <v>380</v>
      </c>
      <c r="C1" s="365" t="s">
        <v>1028</v>
      </c>
    </row>
    <row r="4" spans="2:15" ht="17.25" customHeight="1"/>
    <row r="5" spans="2:15" ht="17.25" customHeight="1">
      <c r="D5" s="368"/>
    </row>
    <row r="6" spans="2:15" customFormat="1" ht="15.75" customHeight="1">
      <c r="B6" s="370" t="s">
        <v>2489</v>
      </c>
    </row>
    <row r="7" spans="2:15" customFormat="1">
      <c r="B7" s="371" t="s">
        <v>739</v>
      </c>
      <c r="C7" s="371" t="s">
        <v>373</v>
      </c>
      <c r="D7" s="371" t="s">
        <v>374</v>
      </c>
      <c r="E7" s="371" t="s">
        <v>2490</v>
      </c>
      <c r="F7" s="371" t="s">
        <v>2491</v>
      </c>
      <c r="G7" s="371" t="s">
        <v>2492</v>
      </c>
      <c r="H7" s="371" t="s">
        <v>2493</v>
      </c>
      <c r="I7" s="371" t="s">
        <v>2494</v>
      </c>
      <c r="J7" s="371" t="s">
        <v>2495</v>
      </c>
      <c r="O7" t="s">
        <v>372</v>
      </c>
    </row>
    <row r="8" spans="2:15">
      <c r="B8" s="372" t="s">
        <v>381</v>
      </c>
      <c r="C8" s="373"/>
      <c r="D8" s="372"/>
      <c r="E8" s="372"/>
      <c r="F8" s="374"/>
      <c r="G8" s="372"/>
      <c r="H8" s="375"/>
      <c r="I8" s="375"/>
      <c r="J8" s="375"/>
    </row>
    <row r="9" spans="2:15" s="369" customFormat="1">
      <c r="B9" s="376" t="s">
        <v>2473</v>
      </c>
      <c r="C9" s="376" t="s">
        <v>382</v>
      </c>
      <c r="D9" s="376" t="s">
        <v>383</v>
      </c>
      <c r="E9" s="376" t="s">
        <v>384</v>
      </c>
      <c r="F9" s="376" t="s">
        <v>2496</v>
      </c>
      <c r="G9" s="377"/>
      <c r="H9" s="377"/>
      <c r="I9" s="377"/>
      <c r="J9" s="377"/>
    </row>
    <row r="10" spans="2:15" s="369" customFormat="1">
      <c r="B10" s="376" t="s">
        <v>438</v>
      </c>
      <c r="C10" s="376" t="s">
        <v>385</v>
      </c>
      <c r="D10" s="376" t="s">
        <v>386</v>
      </c>
      <c r="E10" s="376" t="s">
        <v>384</v>
      </c>
      <c r="F10" s="376" t="s">
        <v>2496</v>
      </c>
      <c r="G10" s="377"/>
      <c r="H10" s="377"/>
      <c r="I10" s="377"/>
      <c r="J10" s="377"/>
    </row>
    <row r="11" spans="2:15" s="369" customFormat="1">
      <c r="B11" s="376" t="s">
        <v>438</v>
      </c>
      <c r="C11" s="376" t="s">
        <v>1097</v>
      </c>
      <c r="D11" s="376" t="s">
        <v>1098</v>
      </c>
      <c r="E11" s="376" t="s">
        <v>384</v>
      </c>
      <c r="F11" s="376" t="s">
        <v>2496</v>
      </c>
      <c r="G11" s="377"/>
      <c r="H11" s="377"/>
      <c r="I11" s="377"/>
      <c r="J11" s="377"/>
    </row>
    <row r="12" spans="2:15" s="369" customFormat="1">
      <c r="B12" s="376" t="s">
        <v>2462</v>
      </c>
      <c r="C12" s="376" t="s">
        <v>787</v>
      </c>
      <c r="D12" s="376" t="s">
        <v>845</v>
      </c>
      <c r="E12" s="376" t="s">
        <v>384</v>
      </c>
      <c r="F12" s="376" t="s">
        <v>2496</v>
      </c>
      <c r="G12" s="377"/>
      <c r="H12" s="377"/>
      <c r="I12" s="377"/>
      <c r="J12" s="377"/>
    </row>
    <row r="13" spans="2:15" s="369" customFormat="1">
      <c r="B13" s="376" t="s">
        <v>2462</v>
      </c>
      <c r="C13" s="376" t="s">
        <v>788</v>
      </c>
      <c r="D13" s="376" t="s">
        <v>846</v>
      </c>
      <c r="E13" s="376" t="s">
        <v>384</v>
      </c>
      <c r="F13" s="376" t="s">
        <v>2496</v>
      </c>
      <c r="G13" s="377"/>
      <c r="H13" s="377"/>
      <c r="I13" s="377"/>
      <c r="J13" s="377"/>
    </row>
    <row r="14" spans="2:15" s="369" customFormat="1">
      <c r="B14" s="376" t="s">
        <v>2462</v>
      </c>
      <c r="C14" s="376" t="s">
        <v>789</v>
      </c>
      <c r="D14" s="376" t="s">
        <v>847</v>
      </c>
      <c r="E14" s="376" t="s">
        <v>384</v>
      </c>
      <c r="F14" s="376" t="s">
        <v>2496</v>
      </c>
      <c r="G14" s="377"/>
      <c r="H14" s="377"/>
      <c r="I14" s="377"/>
      <c r="J14" s="377"/>
    </row>
    <row r="15" spans="2:15" s="369" customFormat="1">
      <c r="B15" s="376" t="s">
        <v>2462</v>
      </c>
      <c r="C15" s="376" t="s">
        <v>790</v>
      </c>
      <c r="D15" s="376" t="s">
        <v>848</v>
      </c>
      <c r="E15" s="376" t="s">
        <v>384</v>
      </c>
      <c r="F15" s="376" t="s">
        <v>2496</v>
      </c>
      <c r="G15" s="377"/>
      <c r="H15" s="377"/>
      <c r="I15" s="377"/>
      <c r="J15" s="377"/>
    </row>
    <row r="16" spans="2:15" s="369" customFormat="1">
      <c r="B16" s="376" t="s">
        <v>2462</v>
      </c>
      <c r="C16" s="376" t="s">
        <v>791</v>
      </c>
      <c r="D16" s="376" t="s">
        <v>849</v>
      </c>
      <c r="E16" s="376" t="s">
        <v>384</v>
      </c>
      <c r="F16" s="376" t="s">
        <v>2496</v>
      </c>
      <c r="G16" s="377"/>
      <c r="H16" s="377"/>
      <c r="I16" s="377"/>
      <c r="J16" s="377"/>
    </row>
    <row r="17" spans="2:10" s="369" customFormat="1">
      <c r="B17" s="376" t="s">
        <v>438</v>
      </c>
      <c r="C17" s="376" t="s">
        <v>387</v>
      </c>
      <c r="D17" s="376" t="str">
        <f>CONCATENATE("Imported Oil Supply - All types, ","PADD 1")</f>
        <v>Imported Oil Supply - All types, PADD 1</v>
      </c>
      <c r="E17" s="376" t="s">
        <v>384</v>
      </c>
      <c r="F17" s="376" t="s">
        <v>2496</v>
      </c>
      <c r="G17" s="377"/>
      <c r="H17" s="377"/>
      <c r="I17" s="377"/>
      <c r="J17" s="377"/>
    </row>
    <row r="18" spans="2:10" s="369" customFormat="1">
      <c r="B18" s="376" t="s">
        <v>438</v>
      </c>
      <c r="C18" s="376" t="str">
        <f>SUBSTITUTE(C17,1,2)</f>
        <v>OILIP2</v>
      </c>
      <c r="D18" s="376" t="str">
        <f>SUBSTITUTE(D17,1,2)</f>
        <v>Imported Oil Supply - All types, PADD 2</v>
      </c>
      <c r="E18" s="376" t="s">
        <v>384</v>
      </c>
      <c r="F18" s="376" t="s">
        <v>2496</v>
      </c>
      <c r="G18" s="377"/>
      <c r="H18" s="377"/>
      <c r="I18" s="377"/>
      <c r="J18" s="377"/>
    </row>
    <row r="19" spans="2:10" s="369" customFormat="1">
      <c r="B19" s="376" t="s">
        <v>438</v>
      </c>
      <c r="C19" s="376" t="str">
        <f>SUBSTITUTE(C18,2,3)</f>
        <v>OILIP3</v>
      </c>
      <c r="D19" s="376" t="str">
        <f>SUBSTITUTE(D18,2,3)</f>
        <v>Imported Oil Supply - All types, PADD 3</v>
      </c>
      <c r="E19" s="376" t="s">
        <v>384</v>
      </c>
      <c r="F19" s="376" t="s">
        <v>2496</v>
      </c>
      <c r="G19" s="377"/>
      <c r="H19" s="377"/>
      <c r="I19" s="377"/>
      <c r="J19" s="377"/>
    </row>
    <row r="20" spans="2:10" s="369" customFormat="1">
      <c r="B20" s="376" t="s">
        <v>1058</v>
      </c>
      <c r="C20" s="376" t="str">
        <f>SUBSTITUTE(C19,3,4)</f>
        <v>OILIP4</v>
      </c>
      <c r="D20" s="376" t="str">
        <f>SUBSTITUTE(D19,3,4)</f>
        <v>Imported Oil Supply - All types, PADD 4</v>
      </c>
      <c r="E20" s="376" t="s">
        <v>384</v>
      </c>
      <c r="F20" s="376" t="s">
        <v>2496</v>
      </c>
      <c r="G20" s="377"/>
      <c r="H20" s="377"/>
      <c r="I20" s="377"/>
      <c r="J20" s="377"/>
    </row>
    <row r="21" spans="2:10" s="369" customFormat="1">
      <c r="B21" s="376" t="s">
        <v>1058</v>
      </c>
      <c r="C21" s="376" t="str">
        <f>SUBSTITUTE(C20,4,5)</f>
        <v>OILIP5</v>
      </c>
      <c r="D21" s="376" t="str">
        <f>SUBSTITUTE(D20,4,5)</f>
        <v>Imported Oil Supply - All types, PADD 5</v>
      </c>
      <c r="E21" s="376" t="s">
        <v>384</v>
      </c>
      <c r="F21" s="376" t="s">
        <v>2496</v>
      </c>
      <c r="G21" s="377"/>
      <c r="H21" s="377"/>
      <c r="I21" s="377"/>
      <c r="J21" s="377"/>
    </row>
    <row r="22" spans="2:10" s="369" customFormat="1">
      <c r="B22" s="376" t="s">
        <v>438</v>
      </c>
      <c r="C22" s="376" t="s">
        <v>388</v>
      </c>
      <c r="D22" s="376" t="s">
        <v>389</v>
      </c>
      <c r="E22" s="376" t="s">
        <v>384</v>
      </c>
      <c r="F22" s="376" t="s">
        <v>2496</v>
      </c>
      <c r="G22" s="377"/>
      <c r="H22" s="377"/>
      <c r="I22" s="377"/>
      <c r="J22" s="377"/>
    </row>
    <row r="23" spans="2:10" s="369" customFormat="1">
      <c r="B23" s="376" t="s">
        <v>438</v>
      </c>
      <c r="C23" s="376" t="s">
        <v>390</v>
      </c>
      <c r="D23" s="376" t="s">
        <v>391</v>
      </c>
      <c r="E23" s="376" t="s">
        <v>384</v>
      </c>
      <c r="F23" s="376" t="s">
        <v>2496</v>
      </c>
      <c r="G23" s="377"/>
      <c r="H23" s="377"/>
      <c r="I23" s="377"/>
      <c r="J23" s="377"/>
    </row>
    <row r="24" spans="2:10" s="369" customFormat="1">
      <c r="B24" s="376" t="s">
        <v>438</v>
      </c>
      <c r="C24" s="376" t="s">
        <v>392</v>
      </c>
      <c r="D24" s="376" t="s">
        <v>393</v>
      </c>
      <c r="E24" s="376" t="s">
        <v>384</v>
      </c>
      <c r="F24" s="376" t="s">
        <v>2496</v>
      </c>
      <c r="G24" s="377"/>
      <c r="H24" s="377"/>
      <c r="I24" s="377"/>
      <c r="J24" s="377"/>
    </row>
    <row r="25" spans="2:10" s="369" customFormat="1">
      <c r="B25" s="376" t="s">
        <v>1058</v>
      </c>
      <c r="C25" s="376" t="s">
        <v>394</v>
      </c>
      <c r="D25" s="376" t="s">
        <v>395</v>
      </c>
      <c r="E25" s="376" t="s">
        <v>384</v>
      </c>
      <c r="F25" s="376" t="s">
        <v>2496</v>
      </c>
      <c r="G25" s="377"/>
      <c r="H25" s="377"/>
      <c r="I25" s="377"/>
      <c r="J25" s="377"/>
    </row>
    <row r="26" spans="2:10" s="369" customFormat="1">
      <c r="B26" s="376" t="s">
        <v>1058</v>
      </c>
      <c r="C26" s="376" t="s">
        <v>396</v>
      </c>
      <c r="D26" s="376" t="s">
        <v>397</v>
      </c>
      <c r="E26" s="376" t="s">
        <v>384</v>
      </c>
      <c r="F26" s="376" t="s">
        <v>2496</v>
      </c>
      <c r="G26" s="377"/>
      <c r="H26" s="377"/>
      <c r="I26" s="377"/>
      <c r="J26" s="377"/>
    </row>
    <row r="27" spans="2:10" s="369" customFormat="1">
      <c r="B27" s="376" t="s">
        <v>438</v>
      </c>
      <c r="C27" s="376" t="s">
        <v>398</v>
      </c>
      <c r="D27" s="376" t="s">
        <v>399</v>
      </c>
      <c r="E27" s="376" t="s">
        <v>384</v>
      </c>
      <c r="F27" s="376" t="s">
        <v>2496</v>
      </c>
      <c r="G27" s="377"/>
      <c r="H27" s="377"/>
      <c r="I27" s="377"/>
      <c r="J27" s="377"/>
    </row>
    <row r="28" spans="2:10" s="369" customFormat="1">
      <c r="B28" s="376" t="s">
        <v>438</v>
      </c>
      <c r="C28" s="376" t="s">
        <v>400</v>
      </c>
      <c r="D28" s="376" t="s">
        <v>401</v>
      </c>
      <c r="E28" s="376" t="s">
        <v>384</v>
      </c>
      <c r="F28" s="376" t="s">
        <v>2496</v>
      </c>
      <c r="G28" s="377"/>
      <c r="H28" s="377"/>
      <c r="I28" s="377"/>
      <c r="J28" s="377"/>
    </row>
    <row r="29" spans="2:10" s="369" customFormat="1">
      <c r="B29" s="376" t="s">
        <v>438</v>
      </c>
      <c r="C29" s="376" t="s">
        <v>402</v>
      </c>
      <c r="D29" s="376" t="s">
        <v>403</v>
      </c>
      <c r="E29" s="376" t="s">
        <v>384</v>
      </c>
      <c r="F29" s="376" t="s">
        <v>2496</v>
      </c>
      <c r="G29" s="377"/>
      <c r="H29" s="377"/>
      <c r="I29" s="377"/>
      <c r="J29" s="377"/>
    </row>
    <row r="30" spans="2:10" s="369" customFormat="1">
      <c r="B30" s="376" t="s">
        <v>1058</v>
      </c>
      <c r="C30" s="376" t="s">
        <v>404</v>
      </c>
      <c r="D30" s="376" t="s">
        <v>405</v>
      </c>
      <c r="E30" s="376" t="s">
        <v>384</v>
      </c>
      <c r="F30" s="376" t="s">
        <v>2496</v>
      </c>
      <c r="G30" s="377"/>
      <c r="H30" s="377"/>
      <c r="I30" s="377"/>
      <c r="J30" s="377"/>
    </row>
    <row r="31" spans="2:10" s="369" customFormat="1">
      <c r="B31" s="376" t="s">
        <v>1058</v>
      </c>
      <c r="C31" s="376" t="s">
        <v>406</v>
      </c>
      <c r="D31" s="376" t="s">
        <v>407</v>
      </c>
      <c r="E31" s="376" t="s">
        <v>384</v>
      </c>
      <c r="F31" s="376" t="s">
        <v>2496</v>
      </c>
      <c r="G31" s="377"/>
      <c r="H31" s="377"/>
      <c r="I31" s="377"/>
      <c r="J31" s="377"/>
    </row>
    <row r="32" spans="2:10" s="369" customFormat="1">
      <c r="B32" s="376" t="s">
        <v>438</v>
      </c>
      <c r="C32" s="376" t="s">
        <v>408</v>
      </c>
      <c r="D32" s="376" t="s">
        <v>409</v>
      </c>
      <c r="E32" s="376" t="s">
        <v>384</v>
      </c>
      <c r="F32" s="376" t="s">
        <v>2496</v>
      </c>
      <c r="G32" s="377"/>
      <c r="H32" s="377"/>
      <c r="I32" s="377"/>
      <c r="J32" s="377"/>
    </row>
    <row r="33" spans="2:10" s="369" customFormat="1">
      <c r="B33" s="376" t="s">
        <v>438</v>
      </c>
      <c r="C33" s="376" t="s">
        <v>410</v>
      </c>
      <c r="D33" s="376" t="s">
        <v>411</v>
      </c>
      <c r="E33" s="376" t="s">
        <v>384</v>
      </c>
      <c r="F33" s="376" t="s">
        <v>2496</v>
      </c>
      <c r="G33" s="377"/>
      <c r="H33" s="377"/>
      <c r="I33" s="377"/>
      <c r="J33" s="377"/>
    </row>
    <row r="34" spans="2:10" s="369" customFormat="1">
      <c r="B34" s="376" t="s">
        <v>438</v>
      </c>
      <c r="C34" s="376" t="s">
        <v>412</v>
      </c>
      <c r="D34" s="376" t="s">
        <v>413</v>
      </c>
      <c r="E34" s="376" t="s">
        <v>384</v>
      </c>
      <c r="F34" s="376" t="s">
        <v>2496</v>
      </c>
      <c r="G34" s="377"/>
      <c r="H34" s="377"/>
      <c r="I34" s="377"/>
      <c r="J34" s="377"/>
    </row>
    <row r="35" spans="2:10" s="369" customFormat="1">
      <c r="B35" s="376" t="s">
        <v>1058</v>
      </c>
      <c r="C35" s="376" t="s">
        <v>414</v>
      </c>
      <c r="D35" s="376" t="s">
        <v>415</v>
      </c>
      <c r="E35" s="376" t="s">
        <v>384</v>
      </c>
      <c r="F35" s="376" t="s">
        <v>2496</v>
      </c>
      <c r="G35" s="377"/>
      <c r="H35" s="377"/>
      <c r="I35" s="377"/>
      <c r="J35" s="377"/>
    </row>
    <row r="36" spans="2:10" s="369" customFormat="1">
      <c r="B36" s="376" t="s">
        <v>1058</v>
      </c>
      <c r="C36" s="376" t="s">
        <v>416</v>
      </c>
      <c r="D36" s="376" t="s">
        <v>417</v>
      </c>
      <c r="E36" s="376" t="s">
        <v>384</v>
      </c>
      <c r="F36" s="376" t="s">
        <v>2496</v>
      </c>
      <c r="G36" s="377"/>
      <c r="H36" s="377"/>
      <c r="I36" s="377"/>
      <c r="J36" s="377"/>
    </row>
    <row r="37" spans="2:10" s="369" customFormat="1">
      <c r="B37" s="376" t="s">
        <v>438</v>
      </c>
      <c r="C37" s="376" t="s">
        <v>418</v>
      </c>
      <c r="D37" s="376" t="s">
        <v>419</v>
      </c>
      <c r="E37" s="376" t="s">
        <v>384</v>
      </c>
      <c r="F37" s="376" t="s">
        <v>2496</v>
      </c>
      <c r="G37" s="377"/>
      <c r="H37" s="377"/>
      <c r="I37" s="377"/>
      <c r="J37" s="377"/>
    </row>
    <row r="38" spans="2:10" s="369" customFormat="1">
      <c r="B38" s="376" t="s">
        <v>438</v>
      </c>
      <c r="C38" s="376" t="s">
        <v>420</v>
      </c>
      <c r="D38" s="376" t="s">
        <v>421</v>
      </c>
      <c r="E38" s="376" t="s">
        <v>384</v>
      </c>
      <c r="F38" s="376" t="s">
        <v>2496</v>
      </c>
      <c r="G38" s="377"/>
      <c r="H38" s="377"/>
      <c r="I38" s="377"/>
      <c r="J38" s="377"/>
    </row>
    <row r="39" spans="2:10" s="369" customFormat="1">
      <c r="B39" s="376" t="s">
        <v>438</v>
      </c>
      <c r="C39" s="376" t="s">
        <v>422</v>
      </c>
      <c r="D39" s="376" t="s">
        <v>423</v>
      </c>
      <c r="E39" s="376" t="s">
        <v>384</v>
      </c>
      <c r="F39" s="376" t="s">
        <v>2496</v>
      </c>
      <c r="G39" s="377"/>
      <c r="H39" s="377"/>
      <c r="I39" s="377"/>
      <c r="J39" s="377"/>
    </row>
    <row r="40" spans="2:10" s="369" customFormat="1">
      <c r="B40" s="376" t="s">
        <v>1058</v>
      </c>
      <c r="C40" s="376" t="s">
        <v>424</v>
      </c>
      <c r="D40" s="376" t="s">
        <v>425</v>
      </c>
      <c r="E40" s="376" t="s">
        <v>384</v>
      </c>
      <c r="F40" s="376" t="s">
        <v>2496</v>
      </c>
      <c r="G40" s="377"/>
      <c r="H40" s="377"/>
      <c r="I40" s="377"/>
      <c r="J40" s="377"/>
    </row>
    <row r="41" spans="2:10" s="369" customFormat="1">
      <c r="B41" s="376" t="s">
        <v>1058</v>
      </c>
      <c r="C41" s="376" t="s">
        <v>426</v>
      </c>
      <c r="D41" s="376" t="s">
        <v>427</v>
      </c>
      <c r="E41" s="376" t="s">
        <v>384</v>
      </c>
      <c r="F41" s="376" t="s">
        <v>2496</v>
      </c>
      <c r="G41" s="377"/>
      <c r="H41" s="377"/>
      <c r="I41" s="377"/>
      <c r="J41" s="377"/>
    </row>
    <row r="42" spans="2:10" s="369" customFormat="1">
      <c r="B42" s="376" t="s">
        <v>438</v>
      </c>
      <c r="C42" s="376" t="s">
        <v>428</v>
      </c>
      <c r="D42" s="376" t="s">
        <v>429</v>
      </c>
      <c r="E42" s="376" t="s">
        <v>384</v>
      </c>
      <c r="F42" s="376" t="s">
        <v>2496</v>
      </c>
      <c r="G42" s="377"/>
      <c r="H42" s="377"/>
      <c r="I42" s="377"/>
      <c r="J42" s="377"/>
    </row>
    <row r="43" spans="2:10" s="369" customFormat="1">
      <c r="B43" s="376" t="s">
        <v>438</v>
      </c>
      <c r="C43" s="376" t="s">
        <v>430</v>
      </c>
      <c r="D43" s="376" t="s">
        <v>431</v>
      </c>
      <c r="E43" s="376" t="s">
        <v>384</v>
      </c>
      <c r="F43" s="376" t="s">
        <v>2496</v>
      </c>
      <c r="G43" s="377"/>
      <c r="H43" s="377"/>
      <c r="I43" s="377"/>
      <c r="J43" s="377"/>
    </row>
    <row r="44" spans="2:10" s="369" customFormat="1">
      <c r="B44" s="376" t="s">
        <v>438</v>
      </c>
      <c r="C44" s="376" t="s">
        <v>432</v>
      </c>
      <c r="D44" s="376" t="s">
        <v>433</v>
      </c>
      <c r="E44" s="376" t="s">
        <v>384</v>
      </c>
      <c r="F44" s="376" t="s">
        <v>2496</v>
      </c>
      <c r="G44" s="377"/>
      <c r="H44" s="377"/>
      <c r="I44" s="377"/>
      <c r="J44" s="377"/>
    </row>
    <row r="45" spans="2:10" s="369" customFormat="1">
      <c r="B45" s="376" t="s">
        <v>1058</v>
      </c>
      <c r="C45" s="376" t="s">
        <v>434</v>
      </c>
      <c r="D45" s="376" t="s">
        <v>435</v>
      </c>
      <c r="E45" s="376" t="s">
        <v>384</v>
      </c>
      <c r="F45" s="376" t="s">
        <v>2496</v>
      </c>
      <c r="G45" s="377"/>
      <c r="H45" s="377"/>
      <c r="I45" s="377"/>
      <c r="J45" s="377"/>
    </row>
    <row r="46" spans="2:10" s="369" customFormat="1">
      <c r="B46" s="376" t="s">
        <v>1058</v>
      </c>
      <c r="C46" s="376" t="s">
        <v>436</v>
      </c>
      <c r="D46" s="376" t="s">
        <v>437</v>
      </c>
      <c r="E46" s="376" t="s">
        <v>384</v>
      </c>
      <c r="F46" s="376" t="s">
        <v>2496</v>
      </c>
      <c r="G46" s="377"/>
      <c r="H46" s="377"/>
      <c r="I46" s="377"/>
      <c r="J46" s="377"/>
    </row>
    <row r="47" spans="2:10">
      <c r="B47" s="372" t="s">
        <v>441</v>
      </c>
      <c r="C47" s="378"/>
      <c r="D47" s="378"/>
      <c r="E47" s="378"/>
      <c r="F47" s="378"/>
      <c r="G47" s="375"/>
      <c r="H47" s="375"/>
      <c r="I47" s="375"/>
      <c r="J47" s="375"/>
    </row>
    <row r="48" spans="2:10">
      <c r="B48" s="376" t="s">
        <v>1028</v>
      </c>
      <c r="C48" s="376" t="s">
        <v>442</v>
      </c>
      <c r="D48" s="376" t="s">
        <v>443</v>
      </c>
      <c r="E48" s="376" t="s">
        <v>384</v>
      </c>
      <c r="F48" s="376" t="s">
        <v>2496</v>
      </c>
      <c r="G48" s="379"/>
      <c r="H48" s="379"/>
      <c r="I48" s="379"/>
      <c r="J48" s="379"/>
    </row>
    <row r="49" spans="2:10">
      <c r="B49" s="376" t="s">
        <v>1028</v>
      </c>
      <c r="C49" s="376" t="s">
        <v>444</v>
      </c>
      <c r="D49" s="376" t="s">
        <v>445</v>
      </c>
      <c r="E49" s="376" t="s">
        <v>384</v>
      </c>
      <c r="F49" s="376" t="s">
        <v>2496</v>
      </c>
      <c r="G49" s="379"/>
      <c r="H49" s="379"/>
      <c r="I49" s="379"/>
      <c r="J49" s="379"/>
    </row>
    <row r="50" spans="2:10">
      <c r="B50" s="376" t="s">
        <v>438</v>
      </c>
      <c r="C50" s="376" t="s">
        <v>446</v>
      </c>
      <c r="D50" s="376" t="s">
        <v>447</v>
      </c>
      <c r="E50" s="376" t="s">
        <v>384</v>
      </c>
      <c r="F50" s="376" t="s">
        <v>2496</v>
      </c>
      <c r="G50" s="379"/>
      <c r="H50" s="379"/>
      <c r="I50" s="379"/>
      <c r="J50" s="379"/>
    </row>
    <row r="51" spans="2:10">
      <c r="B51" s="376" t="s">
        <v>1028</v>
      </c>
      <c r="C51" s="376" t="s">
        <v>448</v>
      </c>
      <c r="D51" s="376" t="s">
        <v>449</v>
      </c>
      <c r="E51" s="376" t="s">
        <v>384</v>
      </c>
      <c r="F51" s="376" t="s">
        <v>2496</v>
      </c>
      <c r="G51" s="379"/>
      <c r="H51" s="379"/>
      <c r="I51" s="379"/>
      <c r="J51" s="379"/>
    </row>
    <row r="52" spans="2:10">
      <c r="B52" s="376" t="s">
        <v>1028</v>
      </c>
      <c r="C52" s="376" t="s">
        <v>450</v>
      </c>
      <c r="D52" s="376" t="s">
        <v>451</v>
      </c>
      <c r="E52" s="376" t="s">
        <v>384</v>
      </c>
      <c r="F52" s="376" t="s">
        <v>2496</v>
      </c>
      <c r="G52" s="379"/>
      <c r="H52" s="379"/>
      <c r="I52" s="379"/>
      <c r="J52" s="379"/>
    </row>
    <row r="53" spans="2:10">
      <c r="B53" s="376" t="s">
        <v>2474</v>
      </c>
      <c r="C53" s="376" t="s">
        <v>452</v>
      </c>
      <c r="D53" s="376" t="s">
        <v>453</v>
      </c>
      <c r="E53" s="376" t="s">
        <v>384</v>
      </c>
      <c r="F53" s="376" t="s">
        <v>2496</v>
      </c>
      <c r="G53" s="379"/>
      <c r="H53" s="379"/>
      <c r="I53" s="379"/>
      <c r="J53" s="379"/>
    </row>
    <row r="54" spans="2:10">
      <c r="B54" s="376" t="s">
        <v>1029</v>
      </c>
      <c r="C54" s="376" t="s">
        <v>454</v>
      </c>
      <c r="D54" s="376" t="s">
        <v>455</v>
      </c>
      <c r="E54" s="376" t="s">
        <v>384</v>
      </c>
      <c r="F54" s="376" t="s">
        <v>2496</v>
      </c>
      <c r="G54" s="379"/>
      <c r="H54" s="379"/>
      <c r="I54" s="379"/>
      <c r="J54" s="379"/>
    </row>
    <row r="55" spans="2:10">
      <c r="B55" s="376" t="s">
        <v>1029</v>
      </c>
      <c r="C55" s="376" t="s">
        <v>456</v>
      </c>
      <c r="D55" s="376" t="s">
        <v>456</v>
      </c>
      <c r="E55" s="376" t="s">
        <v>384</v>
      </c>
      <c r="F55" s="376" t="s">
        <v>2496</v>
      </c>
      <c r="G55" s="379"/>
      <c r="H55" s="379"/>
      <c r="I55" s="379"/>
      <c r="J55" s="379"/>
    </row>
    <row r="56" spans="2:10">
      <c r="B56" s="376" t="s">
        <v>1029</v>
      </c>
      <c r="C56" s="376" t="s">
        <v>457</v>
      </c>
      <c r="D56" s="376" t="s">
        <v>458</v>
      </c>
      <c r="E56" s="376" t="s">
        <v>384</v>
      </c>
      <c r="F56" s="376" t="s">
        <v>2496</v>
      </c>
      <c r="G56" s="379"/>
      <c r="H56" s="379"/>
      <c r="I56" s="379"/>
      <c r="J56" s="379"/>
    </row>
    <row r="57" spans="2:10">
      <c r="B57" s="376" t="s">
        <v>1029</v>
      </c>
      <c r="C57" s="376" t="s">
        <v>459</v>
      </c>
      <c r="D57" s="376" t="s">
        <v>460</v>
      </c>
      <c r="E57" s="376" t="s">
        <v>384</v>
      </c>
      <c r="F57" s="376" t="s">
        <v>2496</v>
      </c>
      <c r="G57" s="379"/>
      <c r="H57" s="379"/>
      <c r="I57" s="379"/>
      <c r="J57" s="379"/>
    </row>
    <row r="58" spans="2:10">
      <c r="B58" s="376" t="s">
        <v>1029</v>
      </c>
      <c r="C58" s="376" t="s">
        <v>461</v>
      </c>
      <c r="D58" s="376" t="s">
        <v>462</v>
      </c>
      <c r="E58" s="376" t="s">
        <v>384</v>
      </c>
      <c r="F58" s="376" t="s">
        <v>2496</v>
      </c>
      <c r="G58" s="379"/>
      <c r="H58" s="379"/>
      <c r="I58" s="379"/>
      <c r="J58" s="379"/>
    </row>
    <row r="59" spans="2:10">
      <c r="B59" s="376" t="s">
        <v>1028</v>
      </c>
      <c r="C59" s="376" t="s">
        <v>463</v>
      </c>
      <c r="D59" s="376" t="s">
        <v>464</v>
      </c>
      <c r="E59" s="376" t="s">
        <v>384</v>
      </c>
      <c r="F59" s="376" t="s">
        <v>2496</v>
      </c>
      <c r="G59" s="379"/>
      <c r="H59" s="379"/>
      <c r="I59" s="379"/>
      <c r="J59" s="379"/>
    </row>
    <row r="60" spans="2:10">
      <c r="B60" s="376" t="s">
        <v>1029</v>
      </c>
      <c r="C60" s="376" t="s">
        <v>465</v>
      </c>
      <c r="D60" s="376" t="s">
        <v>466</v>
      </c>
      <c r="E60" s="376" t="s">
        <v>384</v>
      </c>
      <c r="F60" s="376" t="s">
        <v>2496</v>
      </c>
      <c r="G60" s="379"/>
      <c r="H60" s="379"/>
      <c r="I60" s="379"/>
      <c r="J60" s="379"/>
    </row>
    <row r="61" spans="2:10">
      <c r="B61" s="376" t="s">
        <v>1029</v>
      </c>
      <c r="C61" s="376" t="s">
        <v>467</v>
      </c>
      <c r="D61" s="376" t="s">
        <v>468</v>
      </c>
      <c r="E61" s="376" t="s">
        <v>384</v>
      </c>
      <c r="F61" s="376" t="s">
        <v>2496</v>
      </c>
      <c r="G61" s="379"/>
      <c r="H61" s="379"/>
      <c r="I61" s="379"/>
      <c r="J61" s="379"/>
    </row>
    <row r="62" spans="2:10">
      <c r="B62" s="376" t="s">
        <v>1029</v>
      </c>
      <c r="C62" s="376" t="s">
        <v>469</v>
      </c>
      <c r="D62" s="376" t="s">
        <v>470</v>
      </c>
      <c r="E62" s="376" t="s">
        <v>384</v>
      </c>
      <c r="F62" s="376" t="s">
        <v>2496</v>
      </c>
      <c r="G62" s="379"/>
      <c r="H62" s="379"/>
      <c r="I62" s="379"/>
      <c r="J62" s="379"/>
    </row>
    <row r="63" spans="2:10">
      <c r="B63" s="372" t="s">
        <v>1095</v>
      </c>
      <c r="C63" s="378"/>
      <c r="D63" s="378"/>
      <c r="E63" s="378"/>
      <c r="F63" s="378"/>
      <c r="G63" s="380"/>
      <c r="H63" s="375"/>
      <c r="I63" s="375"/>
      <c r="J63" s="375"/>
    </row>
    <row r="64" spans="2:10">
      <c r="B64" s="376" t="s">
        <v>438</v>
      </c>
      <c r="C64" s="376" t="str">
        <f>CONCATENATE(Types!B7,"P1")</f>
        <v>JTFP1</v>
      </c>
      <c r="D64" s="376" t="str">
        <f>CONCATENATE(Types!C7,", PADD 1")</f>
        <v>Jet Fuel, PADD 1</v>
      </c>
      <c r="E64" s="376" t="s">
        <v>384</v>
      </c>
      <c r="F64" s="376" t="s">
        <v>2496</v>
      </c>
      <c r="G64" s="379"/>
      <c r="H64" s="379"/>
      <c r="I64" s="379"/>
      <c r="J64" s="379"/>
    </row>
    <row r="65" spans="2:10">
      <c r="B65" s="376" t="s">
        <v>1028</v>
      </c>
      <c r="C65" s="376" t="str">
        <f>CONCATENATE(Types!B2,"P1")</f>
        <v>DSHP1</v>
      </c>
      <c r="D65" s="376" t="str">
        <f>CONCATENATE(Types!C2,", PADD 1")</f>
        <v>Distillate-Heating Oil No. 2, PADD 1</v>
      </c>
      <c r="E65" s="376" t="s">
        <v>384</v>
      </c>
      <c r="F65" s="376" t="s">
        <v>2496</v>
      </c>
      <c r="G65" s="379"/>
      <c r="H65" s="379"/>
      <c r="I65" s="379"/>
      <c r="J65" s="379"/>
    </row>
    <row r="66" spans="2:10">
      <c r="B66" s="376" t="s">
        <v>438</v>
      </c>
      <c r="C66" s="376" t="str">
        <f>CONCATENATE(Types!B7,"P2")</f>
        <v>JTFP2</v>
      </c>
      <c r="D66" s="376" t="str">
        <f>CONCATENATE(Types!C7,", PADD 2")</f>
        <v>Jet Fuel, PADD 2</v>
      </c>
      <c r="E66" s="376" t="s">
        <v>384</v>
      </c>
      <c r="F66" s="376" t="s">
        <v>2496</v>
      </c>
      <c r="G66" s="379"/>
      <c r="H66" s="379"/>
      <c r="I66" s="379"/>
      <c r="J66" s="379"/>
    </row>
    <row r="67" spans="2:10">
      <c r="B67" s="376" t="s">
        <v>1028</v>
      </c>
      <c r="C67" s="376" t="str">
        <f>CONCATENATE(Types!B2,"P2")</f>
        <v>DSHP2</v>
      </c>
      <c r="D67" s="376" t="str">
        <f>CONCATENATE(Types!C2,", PADD 2")</f>
        <v>Distillate-Heating Oil No. 2, PADD 2</v>
      </c>
      <c r="E67" s="376" t="s">
        <v>384</v>
      </c>
      <c r="F67" s="376" t="s">
        <v>2496</v>
      </c>
      <c r="G67" s="379"/>
      <c r="H67" s="379"/>
      <c r="I67" s="379"/>
      <c r="J67" s="379"/>
    </row>
    <row r="68" spans="2:10">
      <c r="B68" s="376" t="s">
        <v>438</v>
      </c>
      <c r="C68" s="376" t="str">
        <f>CONCATENATE(Types!B7,"P3")</f>
        <v>JTFP3</v>
      </c>
      <c r="D68" s="376" t="str">
        <f>CONCATENATE(Types!C7,", PADD 3")</f>
        <v>Jet Fuel, PADD 3</v>
      </c>
      <c r="E68" s="376" t="s">
        <v>384</v>
      </c>
      <c r="F68" s="376" t="s">
        <v>2496</v>
      </c>
      <c r="G68" s="379"/>
      <c r="H68" s="379"/>
      <c r="I68" s="379"/>
      <c r="J68" s="379"/>
    </row>
    <row r="69" spans="2:10">
      <c r="B69" s="376" t="s">
        <v>1028</v>
      </c>
      <c r="C69" s="376" t="str">
        <f>CONCATENATE(Types!B2,"P3")</f>
        <v>DSHP3</v>
      </c>
      <c r="D69" s="376" t="str">
        <f>CONCATENATE(Types!C2,", PADD 3")</f>
        <v>Distillate-Heating Oil No. 2, PADD 3</v>
      </c>
      <c r="E69" s="376" t="s">
        <v>384</v>
      </c>
      <c r="F69" s="376" t="s">
        <v>2496</v>
      </c>
      <c r="G69" s="379"/>
      <c r="H69" s="379"/>
      <c r="I69" s="379"/>
      <c r="J69" s="379"/>
    </row>
    <row r="70" spans="2:10">
      <c r="B70" s="378" t="s">
        <v>481</v>
      </c>
      <c r="C70" s="378"/>
      <c r="D70" s="378"/>
      <c r="E70" s="378"/>
      <c r="F70" s="378"/>
      <c r="G70" s="380" t="s">
        <v>588</v>
      </c>
      <c r="H70" s="375"/>
      <c r="I70" s="375"/>
      <c r="J70" s="375"/>
    </row>
    <row r="71" spans="2:10">
      <c r="B71" s="376" t="s">
        <v>2474</v>
      </c>
      <c r="C71" s="376" t="str">
        <f t="shared" ref="C71:C83" si="0">CONCATENATE(C48,"R1")</f>
        <v>GSCR1</v>
      </c>
      <c r="D71" s="376" t="str">
        <f t="shared" ref="D71:D83" si="1">CONCATENATE(D48," Imported from ",RIGHT(C71,2))</f>
        <v>Conventional Gasoline Imported from R1</v>
      </c>
      <c r="E71" s="376" t="s">
        <v>384</v>
      </c>
      <c r="F71" s="376" t="s">
        <v>2496</v>
      </c>
      <c r="G71" s="379"/>
      <c r="H71" s="379"/>
      <c r="I71" s="379"/>
      <c r="J71" s="379"/>
    </row>
    <row r="72" spans="2:10">
      <c r="B72" s="376" t="s">
        <v>2474</v>
      </c>
      <c r="C72" s="376" t="str">
        <f t="shared" si="0"/>
        <v>GSRR1</v>
      </c>
      <c r="D72" s="376" t="str">
        <f t="shared" si="1"/>
        <v>Reformulated Gasoline Imported from R1</v>
      </c>
      <c r="E72" s="376" t="s">
        <v>384</v>
      </c>
      <c r="F72" s="376" t="s">
        <v>2496</v>
      </c>
      <c r="G72" s="379"/>
      <c r="H72" s="379"/>
      <c r="I72" s="379"/>
      <c r="J72" s="379"/>
    </row>
    <row r="73" spans="2:10">
      <c r="B73" s="376" t="s">
        <v>2474</v>
      </c>
      <c r="C73" s="376" t="str">
        <f t="shared" si="0"/>
        <v>DSHR1</v>
      </c>
      <c r="D73" s="376" t="str">
        <f t="shared" si="1"/>
        <v>Distillate-Heating Oil No. 2 Imported from R1</v>
      </c>
      <c r="E73" s="376" t="s">
        <v>384</v>
      </c>
      <c r="F73" s="376" t="s">
        <v>2496</v>
      </c>
      <c r="G73" s="379"/>
      <c r="H73" s="379"/>
      <c r="I73" s="379"/>
      <c r="J73" s="379"/>
    </row>
    <row r="74" spans="2:10">
      <c r="B74" s="376" t="s">
        <v>2474</v>
      </c>
      <c r="C74" s="376" t="str">
        <f t="shared" si="0"/>
        <v>DSLR1</v>
      </c>
      <c r="D74" s="376" t="str">
        <f t="shared" si="1"/>
        <v>Distillate-Low Sulfur Highway Diesel (500 ppm) Imported from R1</v>
      </c>
      <c r="E74" s="376" t="s">
        <v>384</v>
      </c>
      <c r="F74" s="376" t="s">
        <v>2496</v>
      </c>
      <c r="G74" s="379"/>
      <c r="H74" s="379"/>
      <c r="I74" s="379"/>
      <c r="J74" s="379"/>
    </row>
    <row r="75" spans="2:10">
      <c r="B75" s="376" t="s">
        <v>2474</v>
      </c>
      <c r="C75" s="376" t="str">
        <f t="shared" si="0"/>
        <v>DSUR1</v>
      </c>
      <c r="D75" s="376" t="str">
        <f t="shared" si="1"/>
        <v>Distillate-Ultralow Sulfur Highway Diesel (15 ppm) Imported from R1</v>
      </c>
      <c r="E75" s="376" t="s">
        <v>384</v>
      </c>
      <c r="F75" s="376" t="s">
        <v>2496</v>
      </c>
      <c r="G75" s="379"/>
      <c r="H75" s="379"/>
      <c r="I75" s="379"/>
      <c r="J75" s="379"/>
    </row>
    <row r="76" spans="2:10">
      <c r="B76" s="376" t="str">
        <f>IF(LEFT(Commodities!B$53,1)="*","*","R1,R2,R3,R4,R5,R6")</f>
        <v>R1,R2,R3,R4,R5,R6</v>
      </c>
      <c r="C76" s="376" t="str">
        <f t="shared" si="0"/>
        <v>JTFR1</v>
      </c>
      <c r="D76" s="376" t="str">
        <f t="shared" si="1"/>
        <v>Jet Fuel Imported from R1</v>
      </c>
      <c r="E76" s="376" t="s">
        <v>384</v>
      </c>
      <c r="F76" s="376" t="s">
        <v>2496</v>
      </c>
      <c r="G76" s="379"/>
      <c r="H76" s="379"/>
      <c r="I76" s="379"/>
      <c r="J76" s="379"/>
    </row>
    <row r="77" spans="2:10">
      <c r="B77" s="376" t="str">
        <f>IF(LEFT(Commodities!B$54,1)="*","*","R1,R2,R3,R4,R5,R6")</f>
        <v>*</v>
      </c>
      <c r="C77" s="376" t="str">
        <f t="shared" si="0"/>
        <v>KERR1</v>
      </c>
      <c r="D77" s="376" t="str">
        <f t="shared" si="1"/>
        <v>Kerosene and Other Refined Products Imported from R1</v>
      </c>
      <c r="E77" s="376" t="s">
        <v>384</v>
      </c>
      <c r="F77" s="376" t="s">
        <v>2496</v>
      </c>
      <c r="G77" s="379"/>
      <c r="H77" s="379"/>
      <c r="I77" s="379"/>
      <c r="J77" s="379"/>
    </row>
    <row r="78" spans="2:10">
      <c r="B78" s="376" t="str">
        <f>IF(LEFT(Commodities!B$55,1)="*","*","R1,R2,R3,R4,R5,R6")</f>
        <v>*</v>
      </c>
      <c r="C78" s="376" t="str">
        <f t="shared" si="0"/>
        <v>LPGR1</v>
      </c>
      <c r="D78" s="376" t="str">
        <f t="shared" si="1"/>
        <v>LPG Imported from R1</v>
      </c>
      <c r="E78" s="376" t="s">
        <v>384</v>
      </c>
      <c r="F78" s="376" t="s">
        <v>2496</v>
      </c>
      <c r="G78" s="379"/>
      <c r="H78" s="379"/>
      <c r="I78" s="379"/>
      <c r="J78" s="379"/>
    </row>
    <row r="79" spans="2:10">
      <c r="B79" s="376" t="str">
        <f>IF(LEFT(Commodities!B$56,1)="*","*","R1,R2,R3,R4,R5,R6")</f>
        <v>*</v>
      </c>
      <c r="C79" s="376" t="str">
        <f t="shared" si="0"/>
        <v>MTHR1</v>
      </c>
      <c r="D79" s="376" t="str">
        <f t="shared" si="1"/>
        <v>Methanol Imported from R1</v>
      </c>
      <c r="E79" s="376" t="s">
        <v>384</v>
      </c>
      <c r="F79" s="376" t="s">
        <v>2496</v>
      </c>
      <c r="G79" s="379"/>
      <c r="H79" s="379"/>
      <c r="I79" s="379"/>
      <c r="J79" s="379"/>
    </row>
    <row r="80" spans="2:10">
      <c r="B80" s="376" t="str">
        <f>IF(LEFT(Commodities!B$57,1)="*","*","R1,R2,R3,R4,R5,R6")</f>
        <v>*</v>
      </c>
      <c r="C80" s="376" t="str">
        <f t="shared" si="0"/>
        <v>PFSR1</v>
      </c>
      <c r="D80" s="376" t="str">
        <f t="shared" si="1"/>
        <v>Petrochemical Feedstocks Imported from R1</v>
      </c>
      <c r="E80" s="376" t="s">
        <v>384</v>
      </c>
      <c r="F80" s="376" t="s">
        <v>2496</v>
      </c>
      <c r="G80" s="379"/>
      <c r="H80" s="379"/>
      <c r="I80" s="379"/>
      <c r="J80" s="379"/>
    </row>
    <row r="81" spans="2:10">
      <c r="B81" s="376" t="str">
        <f>IF(LEFT(Commodities!B$58,1)="*","*","R1,R2,R3,R4,R5,R6")</f>
        <v>*</v>
      </c>
      <c r="C81" s="376" t="str">
        <f t="shared" si="0"/>
        <v>RFHR1</v>
      </c>
      <c r="D81" s="376" t="str">
        <f t="shared" si="1"/>
        <v>High Sulfur Residual Fuel Oil Imported from R1</v>
      </c>
      <c r="E81" s="376" t="s">
        <v>384</v>
      </c>
      <c r="F81" s="376" t="s">
        <v>2496</v>
      </c>
      <c r="G81" s="379"/>
      <c r="H81" s="379"/>
      <c r="I81" s="379"/>
      <c r="J81" s="379"/>
    </row>
    <row r="82" spans="2:10">
      <c r="B82" s="376" t="s">
        <v>2474</v>
      </c>
      <c r="C82" s="376" t="str">
        <f t="shared" si="0"/>
        <v>RFLR1</v>
      </c>
      <c r="D82" s="376" t="str">
        <f t="shared" si="1"/>
        <v>Low Sulfur Residual Fuel Oil Imported from R1</v>
      </c>
      <c r="E82" s="376" t="s">
        <v>384</v>
      </c>
      <c r="F82" s="376" t="s">
        <v>2496</v>
      </c>
      <c r="G82" s="379"/>
      <c r="H82" s="379"/>
      <c r="I82" s="379"/>
      <c r="J82" s="379"/>
    </row>
    <row r="83" spans="2:10">
      <c r="B83" s="376" t="str">
        <f>IF(LEFT(Commodities!B$60,1)="*","*","R1,R2,R3,R4,R5,R6")</f>
        <v>*</v>
      </c>
      <c r="C83" s="376" t="str">
        <f t="shared" si="0"/>
        <v>ASPR1</v>
      </c>
      <c r="D83" s="376" t="str">
        <f t="shared" si="1"/>
        <v>Asphalt Imported from R1</v>
      </c>
      <c r="E83" s="376" t="s">
        <v>384</v>
      </c>
      <c r="F83" s="376" t="s">
        <v>2496</v>
      </c>
      <c r="G83" s="379"/>
      <c r="H83" s="379"/>
      <c r="I83" s="379"/>
      <c r="J83" s="379"/>
    </row>
    <row r="84" spans="2:10">
      <c r="B84" s="372" t="s">
        <v>483</v>
      </c>
      <c r="C84" s="378"/>
      <c r="D84" s="378"/>
      <c r="E84" s="378"/>
      <c r="F84" s="378"/>
      <c r="G84" s="375"/>
      <c r="H84" s="375"/>
      <c r="I84" s="375"/>
      <c r="J84" s="375"/>
    </row>
    <row r="85" spans="2:10">
      <c r="B85" s="376" t="str">
        <f>IF(LEFT(B48,1)="*","*R1,R2,R3,R4,R5,R6","R1,R2,R3,R4,R5,R6")</f>
        <v>R1,R2,R3,R4,R5,R6</v>
      </c>
      <c r="C85" s="376" t="str">
        <f>DelivOIL!L77</f>
        <v>TRGSLC</v>
      </c>
      <c r="D85" s="376" t="str">
        <f>Types!C5</f>
        <v>Conventional Gasoline</v>
      </c>
      <c r="E85" s="376" t="s">
        <v>384</v>
      </c>
      <c r="F85" s="376" t="s">
        <v>2496</v>
      </c>
      <c r="G85" s="379"/>
      <c r="H85" s="379"/>
      <c r="I85" s="379"/>
      <c r="J85" s="379"/>
    </row>
    <row r="86" spans="2:10">
      <c r="B86" s="376" t="str">
        <f>IF(LEFT(B49,1)="*","*R1,R2,R3,R4,R5,R6","R1,R2,R3,R4,R5,R6")</f>
        <v>R1,R2,R3,R4,R5,R6</v>
      </c>
      <c r="C86" s="376" t="str">
        <f>DelivOIL!L78</f>
        <v>TRGSLR</v>
      </c>
      <c r="D86" s="376" t="str">
        <f>Types!C6</f>
        <v>Reformulated Gasoline</v>
      </c>
      <c r="E86" s="376" t="s">
        <v>384</v>
      </c>
      <c r="F86" s="376" t="s">
        <v>2496</v>
      </c>
      <c r="G86" s="379"/>
      <c r="H86" s="379"/>
      <c r="I86" s="379"/>
      <c r="J86" s="379"/>
    </row>
    <row r="87" spans="2:10">
      <c r="B87" s="376" t="str">
        <f>IF(LEFT(B$50,1)="*","*R1,R2,R3,R4,R5,R6","R1,R2,R3,R4,R5,R6")</f>
        <v>R1,R2,R3,R4,R5,R6</v>
      </c>
      <c r="C87" s="376" t="str">
        <f>DelivOIL!L80</f>
        <v>RESDSL</v>
      </c>
      <c r="D87" s="376" t="str">
        <f>CONCATENATE(Types!C2," to the Residential Sector")</f>
        <v>Distillate-Heating Oil No. 2 to the Residential Sector</v>
      </c>
      <c r="E87" s="376" t="s">
        <v>384</v>
      </c>
      <c r="F87" s="376" t="s">
        <v>2496</v>
      </c>
      <c r="G87" s="379"/>
      <c r="H87" s="379"/>
      <c r="I87" s="379"/>
      <c r="J87" s="379"/>
    </row>
    <row r="88" spans="2:10">
      <c r="B88" s="376" t="str">
        <f>IF(LEFT(B$50,1)="*","*R1,R2,R3,R4,R5,R6","R1,R2,R3,R4,R5,R6")</f>
        <v>R1,R2,R3,R4,R5,R6</v>
      </c>
      <c r="C88" s="376" t="str">
        <f>DelivOIL!L81</f>
        <v>COMDSL</v>
      </c>
      <c r="D88" s="376" t="str">
        <f>CONCATENATE(Types!C2," to the Commercial Sector")</f>
        <v>Distillate-Heating Oil No. 2 to the Commercial Sector</v>
      </c>
      <c r="E88" s="376" t="s">
        <v>384</v>
      </c>
      <c r="F88" s="376" t="s">
        <v>2496</v>
      </c>
      <c r="G88" s="379"/>
      <c r="H88" s="379"/>
      <c r="I88" s="379"/>
      <c r="J88" s="379"/>
    </row>
    <row r="89" spans="2:10">
      <c r="B89" s="376" t="str">
        <f>IF(LEFT(B$50,1)="*","*R1,R2,R3,R4,R5,R6","*R1,R2,R3,R4,R5,R6")</f>
        <v>*R1,R2,R3,R4,R5,R6</v>
      </c>
      <c r="C89" s="376" t="str">
        <f>DelivOIL!L82</f>
        <v>INDDSL</v>
      </c>
      <c r="D89" s="376" t="str">
        <f>CONCATENATE(Types!C2," to the Indistrial Sector")</f>
        <v>Distillate-Heating Oil No. 2 to the Indistrial Sector</v>
      </c>
      <c r="E89" s="376" t="s">
        <v>384</v>
      </c>
      <c r="F89" s="376" t="s">
        <v>2496</v>
      </c>
      <c r="G89" s="379"/>
      <c r="H89" s="379"/>
      <c r="I89" s="379"/>
      <c r="J89" s="379"/>
    </row>
    <row r="90" spans="2:10">
      <c r="B90" s="376" t="s">
        <v>2474</v>
      </c>
      <c r="C90" s="376" t="str">
        <f>DelivOIL!L83</f>
        <v>ELCDSL</v>
      </c>
      <c r="D90" s="376" t="str">
        <f>CONCATENATE(Types!C2," to the Electricity Sector")</f>
        <v>Distillate-Heating Oil No. 2 to the Electricity Sector</v>
      </c>
      <c r="E90" s="376" t="s">
        <v>384</v>
      </c>
      <c r="F90" s="376" t="s">
        <v>2496</v>
      </c>
      <c r="G90" s="379"/>
      <c r="H90" s="379"/>
      <c r="I90" s="379"/>
      <c r="J90" s="379"/>
    </row>
    <row r="91" spans="2:10">
      <c r="B91" s="376" t="str">
        <f>IF(LEFT(B$51,1)="*","*R1,R2,R3,R4,R5,R6","R1,R2,R3,R4,R5,R6")</f>
        <v>R1,R2,R3,R4,R5,R6</v>
      </c>
      <c r="C91" s="376" t="str">
        <f>DelivOIL!L84</f>
        <v>TRDSLL</v>
      </c>
      <c r="D91" s="376" t="str">
        <f>Types!C3</f>
        <v>Distillate-Low Sulfur Highway Diesel (500 ppm)</v>
      </c>
      <c r="E91" s="376" t="s">
        <v>384</v>
      </c>
      <c r="F91" s="376" t="s">
        <v>2496</v>
      </c>
      <c r="G91" s="379"/>
      <c r="H91" s="379"/>
      <c r="I91" s="379"/>
      <c r="J91" s="379"/>
    </row>
    <row r="92" spans="2:10">
      <c r="B92" s="376" t="str">
        <f>IF(LEFT(B$52,1)="*","*R1,R2,R3,R4,R5,R6","R1,R2,R3,R4,R5,R6")</f>
        <v>R1,R2,R3,R4,R5,R6</v>
      </c>
      <c r="C92" s="376" t="str">
        <f>DelivOIL!L85</f>
        <v>TRDSLU</v>
      </c>
      <c r="D92" s="376" t="str">
        <f>Types!C4</f>
        <v>Distillate-Ultralow Sulfur Highway Diesel (15 ppm)</v>
      </c>
      <c r="E92" s="376" t="s">
        <v>384</v>
      </c>
      <c r="F92" s="376" t="s">
        <v>2496</v>
      </c>
      <c r="G92" s="379"/>
      <c r="H92" s="379"/>
      <c r="I92" s="379"/>
      <c r="J92" s="379"/>
    </row>
    <row r="93" spans="2:10">
      <c r="B93" s="376" t="str">
        <f>IF(LEFT(B53,1)="*","*R1,R2,R3,R4,R5,R6","R1,R2,R3,R4,R5,R6")</f>
        <v>R1,R2,R3,R4,R5,R6</v>
      </c>
      <c r="C93" s="376" t="str">
        <f>DelivOIL!L86</f>
        <v>TRNJTF</v>
      </c>
      <c r="D93" s="376" t="str">
        <f>Types!C7</f>
        <v>Jet Fuel</v>
      </c>
      <c r="E93" s="376" t="s">
        <v>384</v>
      </c>
      <c r="F93" s="376" t="s">
        <v>2496</v>
      </c>
      <c r="G93" s="379"/>
      <c r="H93" s="379"/>
      <c r="I93" s="379"/>
      <c r="J93" s="379"/>
    </row>
    <row r="94" spans="2:10">
      <c r="B94" s="376" t="str">
        <f>IF(LEFT(B$54,1)="*","*R1,R2,R3,R4,R5,R6","R1,R2,R3,R4,R5,R6")</f>
        <v>*R1,R2,R3,R4,R5,R6</v>
      </c>
      <c r="C94" s="376" t="str">
        <f>DelivOIL!L87</f>
        <v>RESKER</v>
      </c>
      <c r="D94" s="376" t="str">
        <f>CONCATENATE(Types!C8," to the Residential Sector")</f>
        <v>Kerosene and Other Refined Products to the Residential Sector</v>
      </c>
      <c r="E94" s="376" t="s">
        <v>384</v>
      </c>
      <c r="F94" s="376" t="s">
        <v>2496</v>
      </c>
      <c r="G94" s="379"/>
      <c r="H94" s="379"/>
      <c r="I94" s="379"/>
      <c r="J94" s="379"/>
    </row>
    <row r="95" spans="2:10">
      <c r="B95" s="376" t="str">
        <f>IF(LEFT(B$54,1)="*","*R1,R2,R3,R4,R5,R6","R1,R2,R3,R4,R5,R6")</f>
        <v>*R1,R2,R3,R4,R5,R6</v>
      </c>
      <c r="C95" s="376" t="str">
        <f>DelivOIL!L88</f>
        <v>COMKER</v>
      </c>
      <c r="D95" s="376" t="str">
        <f>CONCATENATE(Types!C8," to the Commercial Sector")</f>
        <v>Kerosene and Other Refined Products to the Commercial Sector</v>
      </c>
      <c r="E95" s="376" t="s">
        <v>384</v>
      </c>
      <c r="F95" s="376" t="s">
        <v>2496</v>
      </c>
      <c r="G95" s="379"/>
      <c r="H95" s="379"/>
      <c r="I95" s="379"/>
      <c r="J95" s="379"/>
    </row>
    <row r="96" spans="2:10">
      <c r="B96" s="376" t="str">
        <f>IF(LEFT(B$54,1)="*","*R1,R2,R3,R4,R5,R6","R1,R2,R3,R4,R5,R6")</f>
        <v>*R1,R2,R3,R4,R5,R6</v>
      </c>
      <c r="C96" s="376" t="str">
        <f>DelivOIL!L89</f>
        <v>INDKER</v>
      </c>
      <c r="D96" s="376" t="str">
        <f>CONCATENATE(Types!C8," to the Industrial Sector")</f>
        <v>Kerosene and Other Refined Products to the Industrial Sector</v>
      </c>
      <c r="E96" s="376" t="s">
        <v>384</v>
      </c>
      <c r="F96" s="376" t="s">
        <v>2496</v>
      </c>
      <c r="G96" s="379"/>
      <c r="H96" s="379"/>
      <c r="I96" s="379"/>
      <c r="J96" s="379"/>
    </row>
    <row r="97" spans="2:10">
      <c r="B97" s="376" t="str">
        <f>IF(LEFT(B$55,1)="*","*R1,R2,R3,R4,R5,R6","R1,R2,R3,R4,R5,R6")</f>
        <v>*R1,R2,R3,R4,R5,R6</v>
      </c>
      <c r="C97" s="376" t="str">
        <f>DelivOIL!L90</f>
        <v>RESLPG</v>
      </c>
      <c r="D97" s="376" t="str">
        <f>CONCATENATE(Types!C9," to the Residential Sector")</f>
        <v>LPG to the Residential Sector</v>
      </c>
      <c r="E97" s="376" t="s">
        <v>384</v>
      </c>
      <c r="F97" s="376" t="s">
        <v>2496</v>
      </c>
      <c r="G97" s="379"/>
      <c r="H97" s="379"/>
      <c r="I97" s="379"/>
      <c r="J97" s="379"/>
    </row>
    <row r="98" spans="2:10">
      <c r="B98" s="376" t="str">
        <f>IF(LEFT(B$55,1)="*","*R1,R2,R3,R4,R5,R6","R1,R2,R3,R4,R5,R6")</f>
        <v>*R1,R2,R3,R4,R5,R6</v>
      </c>
      <c r="C98" s="376" t="str">
        <f>DelivOIL!L91</f>
        <v>COMLPG</v>
      </c>
      <c r="D98" s="376" t="str">
        <f>CONCATENATE(Types!C9," to the Commercial Sector")</f>
        <v>LPG to the Commercial Sector</v>
      </c>
      <c r="E98" s="376" t="s">
        <v>384</v>
      </c>
      <c r="F98" s="376" t="s">
        <v>2496</v>
      </c>
      <c r="G98" s="379"/>
      <c r="H98" s="379"/>
      <c r="I98" s="379"/>
      <c r="J98" s="379"/>
    </row>
    <row r="99" spans="2:10">
      <c r="B99" s="376" t="str">
        <f>IF(LEFT(B$55,1)="*","*R1,R2,R3,R4,R5,R6","R1,R2,R3,R4,R5,R6")</f>
        <v>*R1,R2,R3,R4,R5,R6</v>
      </c>
      <c r="C99" s="376" t="str">
        <f>DelivOIL!L92</f>
        <v>INDLPG</v>
      </c>
      <c r="D99" s="376" t="str">
        <f>CONCATENATE(Types!C9," to the Industrial Sector")</f>
        <v>LPG to the Industrial Sector</v>
      </c>
      <c r="E99" s="376" t="s">
        <v>384</v>
      </c>
      <c r="F99" s="376" t="s">
        <v>2496</v>
      </c>
      <c r="G99" s="379"/>
      <c r="H99" s="379"/>
      <c r="I99" s="379"/>
      <c r="J99" s="379"/>
    </row>
    <row r="100" spans="2:10">
      <c r="B100" s="376" t="str">
        <f>IF(LEFT(B$55,1)="*","*R1,R2,R3,R4,R5,R6","R1,R2,R3,R4,R5,R6")</f>
        <v>*R1,R2,R3,R4,R5,R6</v>
      </c>
      <c r="C100" s="376" t="str">
        <f>DelivOIL!L93</f>
        <v>TRNLPG</v>
      </c>
      <c r="D100" s="376" t="str">
        <f>CONCATENATE(Types!C9," to the Transportation Sector")</f>
        <v>LPG to the Transportation Sector</v>
      </c>
      <c r="E100" s="376" t="s">
        <v>384</v>
      </c>
      <c r="F100" s="376" t="s">
        <v>2496</v>
      </c>
      <c r="G100" s="379"/>
      <c r="H100" s="379"/>
      <c r="I100" s="379"/>
      <c r="J100" s="379"/>
    </row>
    <row r="101" spans="2:10">
      <c r="B101" s="376" t="str">
        <f>IF(LEFT(B$56,1)="*","*R1,R2,R3,R4,R5,R6","R1,R2,R3,R4,R5,R6")</f>
        <v>*R1,R2,R3,R4,R5,R6</v>
      </c>
      <c r="C101" s="376" t="str">
        <f>DelivOIL!L94</f>
        <v>TRNMTH</v>
      </c>
      <c r="D101" s="376" t="str">
        <f>Types!C10</f>
        <v>Methanol</v>
      </c>
      <c r="E101" s="376" t="s">
        <v>384</v>
      </c>
      <c r="F101" s="376" t="s">
        <v>2496</v>
      </c>
      <c r="G101" s="379"/>
      <c r="H101" s="379"/>
      <c r="I101" s="379"/>
      <c r="J101" s="379"/>
    </row>
    <row r="102" spans="2:10">
      <c r="B102" s="376" t="str">
        <f>IF(LEFT(B$57,1)="*","*R1,R2,R3,R4,R5,R6","R1,R2,R3,R4,R5,R6")</f>
        <v>*R1,R2,R3,R4,R5,R6</v>
      </c>
      <c r="C102" s="376" t="str">
        <f>DelivOIL!L95</f>
        <v>INDPFS</v>
      </c>
      <c r="D102" s="376" t="str">
        <f>Types!C11</f>
        <v>Petrochemical Feedstocks</v>
      </c>
      <c r="E102" s="376" t="s">
        <v>384</v>
      </c>
      <c r="F102" s="376" t="s">
        <v>2496</v>
      </c>
      <c r="G102" s="379"/>
      <c r="H102" s="379"/>
      <c r="I102" s="379"/>
      <c r="J102" s="379"/>
    </row>
    <row r="103" spans="2:10">
      <c r="B103" s="376" t="str">
        <f>IF(LEFT(B$59,1)="*","*R1,R2,R3,R4,R5,R6","*R1,R2,R3,R4,R5,R6")</f>
        <v>*R1,R2,R3,R4,R5,R6</v>
      </c>
      <c r="C103" s="376" t="s">
        <v>1102</v>
      </c>
      <c r="D103" s="376" t="str">
        <f>CONCATENATE(Types!C13," to Residential Sector")</f>
        <v>Low Sulfur Residual Fuel Oil to Residential Sector</v>
      </c>
      <c r="E103" s="376" t="s">
        <v>384</v>
      </c>
      <c r="F103" s="376" t="s">
        <v>2496</v>
      </c>
      <c r="G103" s="379"/>
      <c r="H103" s="379"/>
      <c r="I103" s="379"/>
      <c r="J103" s="379"/>
    </row>
    <row r="104" spans="2:10">
      <c r="B104" s="376" t="str">
        <f>IF(LEFT(B$59,1)="*","*R1,R2,R3,R4,R5,R6","*R1,R2,R3,R4,R5,R6")</f>
        <v>*R1,R2,R3,R4,R5,R6</v>
      </c>
      <c r="C104" s="376" t="str">
        <f>DelivOIL!L96</f>
        <v>COMRFL</v>
      </c>
      <c r="D104" s="376" t="str">
        <f>CONCATENATE(Types!C13," to Commercial Sector")</f>
        <v>Low Sulfur Residual Fuel Oil to Commercial Sector</v>
      </c>
      <c r="E104" s="376" t="s">
        <v>384</v>
      </c>
      <c r="F104" s="376" t="s">
        <v>2496</v>
      </c>
      <c r="G104" s="379"/>
      <c r="H104" s="379"/>
      <c r="I104" s="379"/>
      <c r="J104" s="379"/>
    </row>
    <row r="105" spans="2:10">
      <c r="B105" s="376" t="str">
        <f>IF(LEFT(B$59,1)="*","*R1,R2,R3,R4,R5,R6","R1,R2,R3,R4,R5,R6")</f>
        <v>R1,R2,R3,R4,R5,R6</v>
      </c>
      <c r="C105" s="376" t="str">
        <f>DelivOIL!L97</f>
        <v>INDRFL</v>
      </c>
      <c r="D105" s="376" t="str">
        <f>CONCATENATE(Types!C13," to Industrial Sector")</f>
        <v>Low Sulfur Residual Fuel Oil to Industrial Sector</v>
      </c>
      <c r="E105" s="376" t="s">
        <v>384</v>
      </c>
      <c r="F105" s="376" t="s">
        <v>2496</v>
      </c>
      <c r="G105" s="379"/>
      <c r="H105" s="379"/>
      <c r="I105" s="379"/>
      <c r="J105" s="379"/>
    </row>
    <row r="106" spans="2:10">
      <c r="B106" s="376" t="str">
        <f>IF(LEFT(B$59,1)="*","*R1,R2,R3,R4,R5,R6","*R1,R2,R3,R4,R5,R6")</f>
        <v>*R1,R2,R3,R4,R5,R6</v>
      </c>
      <c r="C106" s="376" t="str">
        <f>DelivOIL!L98</f>
        <v>ELCRFL</v>
      </c>
      <c r="D106" s="376" t="str">
        <f>CONCATENATE(Types!C13," to Electricity Sector")</f>
        <v>Low Sulfur Residual Fuel Oil to Electricity Sector</v>
      </c>
      <c r="E106" s="376" t="s">
        <v>384</v>
      </c>
      <c r="F106" s="376" t="s">
        <v>2496</v>
      </c>
      <c r="G106" s="379"/>
      <c r="H106" s="379"/>
      <c r="I106" s="379"/>
      <c r="J106" s="379"/>
    </row>
    <row r="107" spans="2:10">
      <c r="B107" s="376" t="str">
        <f>IF(LEFT(B$58,1)="*","*R1,R2,R3,R4,R5,R6","R1,R2,R3,R4,R5,R6")</f>
        <v>*R1,R2,R3,R4,R5,R6</v>
      </c>
      <c r="C107" s="376" t="str">
        <f>DelivOIL!L99</f>
        <v>TRNRFH</v>
      </c>
      <c r="D107" s="376" t="str">
        <f>CONCATENATE(Types!C12," to Transportation Sector")</f>
        <v>High Sulfur Residual Fuel Oil to Transportation Sector</v>
      </c>
      <c r="E107" s="376" t="s">
        <v>384</v>
      </c>
      <c r="F107" s="376" t="s">
        <v>2496</v>
      </c>
      <c r="G107" s="379"/>
      <c r="H107" s="379"/>
      <c r="I107" s="379"/>
      <c r="J107" s="379"/>
    </row>
    <row r="108" spans="2:10">
      <c r="B108" s="376" t="str">
        <f>IF(LEFT(B$58,1)="*","*R1,R2,R3,R4,R5,R6","R1,R2,R3,R4,R5,R6")</f>
        <v>*R1,R2,R3,R4,R5,R6</v>
      </c>
      <c r="C108" s="376" t="str">
        <f>DelivOIL!L100</f>
        <v>ELCRFH</v>
      </c>
      <c r="D108" s="376" t="str">
        <f>CONCATENATE(Types!C12," to Electricity Sector")</f>
        <v>High Sulfur Residual Fuel Oil to Electricity Sector</v>
      </c>
      <c r="E108" s="376" t="s">
        <v>384</v>
      </c>
      <c r="F108" s="376" t="s">
        <v>2496</v>
      </c>
      <c r="G108" s="379"/>
      <c r="H108" s="379"/>
      <c r="I108" s="379"/>
      <c r="J108" s="379"/>
    </row>
    <row r="109" spans="2:10">
      <c r="B109" s="376" t="str">
        <f>IF(LEFT(B$60,1)="*","*R1,R2,R3,R4,R5,R6","R1,R2,R3,R4,R5,R6")</f>
        <v>*R1,R2,R3,R4,R5,R6</v>
      </c>
      <c r="C109" s="376" t="str">
        <f>DelivOIL!L101</f>
        <v>INDASP</v>
      </c>
      <c r="D109" s="376" t="s">
        <v>484</v>
      </c>
      <c r="E109" s="376" t="s">
        <v>384</v>
      </c>
      <c r="F109" s="376" t="s">
        <v>2496</v>
      </c>
      <c r="G109" s="379"/>
      <c r="H109" s="379"/>
      <c r="I109" s="379"/>
      <c r="J109" s="379"/>
    </row>
    <row r="110" spans="2:10">
      <c r="B110" s="365"/>
      <c r="C110" s="365"/>
      <c r="D110" s="365"/>
      <c r="E110" s="365"/>
      <c r="F110" s="365"/>
    </row>
    <row r="111" spans="2:10">
      <c r="B111" s="365"/>
      <c r="C111" s="365"/>
      <c r="D111" s="365"/>
      <c r="E111" s="365"/>
      <c r="F111" s="365"/>
    </row>
    <row r="112" spans="2:10">
      <c r="B112" s="365"/>
      <c r="C112" s="365"/>
      <c r="D112" s="365"/>
      <c r="E112" s="365"/>
      <c r="F112" s="365"/>
    </row>
    <row r="113" spans="2:10">
      <c r="B113" s="365"/>
      <c r="C113" s="365"/>
      <c r="D113" s="365"/>
      <c r="E113" s="365"/>
      <c r="F113" s="365"/>
    </row>
    <row r="114" spans="2:10">
      <c r="B114" s="365"/>
      <c r="C114" s="365"/>
      <c r="D114" s="365"/>
      <c r="E114" s="365"/>
      <c r="F114" s="365"/>
    </row>
    <row r="115" spans="2:10">
      <c r="B115" s="365"/>
      <c r="C115" s="365"/>
      <c r="D115" s="365"/>
      <c r="E115" s="365"/>
      <c r="F115" s="365"/>
    </row>
    <row r="116" spans="2:10">
      <c r="B116" s="365"/>
      <c r="C116" s="365"/>
      <c r="D116" s="365"/>
      <c r="E116" s="365"/>
      <c r="F116" s="365"/>
    </row>
    <row r="117" spans="2:10">
      <c r="B117" s="376" t="str">
        <f>IF(OR(G$70="*",LEFT(Commodities!B$48,1)="*"),"*","R3,R4,R5")</f>
        <v>*</v>
      </c>
      <c r="C117" s="376" t="str">
        <f>CONCATENATE(C48,OILTrade!$N$58)</f>
        <v>GSCR3</v>
      </c>
      <c r="D117" s="376" t="str">
        <f>CONCATENATE(D48," Imported from ",OILTrade!$N$58)</f>
        <v>Conventional Gasoline Imported from R3</v>
      </c>
      <c r="E117" s="376"/>
      <c r="F117" s="376"/>
      <c r="G117" s="379"/>
      <c r="H117" s="379"/>
      <c r="I117" s="379"/>
      <c r="J117" s="379"/>
    </row>
    <row r="118" spans="2:10">
      <c r="B118" s="376" t="str">
        <f>IF(OR(G$70="*",LEFT(Commodities!B$49,1)="*"),"*","R3,R4,R5")</f>
        <v>*</v>
      </c>
      <c r="C118" s="376" t="str">
        <f>CONCATENATE(C49,OILTrade!$N$58)</f>
        <v>GSRR3</v>
      </c>
      <c r="D118" s="376" t="str">
        <f>CONCATENATE(D49," Imported from ",OILTrade!$N$58)</f>
        <v>Reformulated Gasoline Imported from R3</v>
      </c>
      <c r="E118" s="376"/>
      <c r="F118" s="376"/>
      <c r="G118" s="379"/>
      <c r="H118" s="379"/>
      <c r="I118" s="379"/>
      <c r="J118" s="379"/>
    </row>
    <row r="119" spans="2:10">
      <c r="B119" s="376" t="str">
        <f>IF(OR(G$70="*",LEFT(Commodities!B$50,1)="*"),"*","R3,R4,R5")</f>
        <v>*</v>
      </c>
      <c r="C119" s="376" t="str">
        <f>CONCATENATE(C50,OILTrade!$N$58)</f>
        <v>DSHR3</v>
      </c>
      <c r="D119" s="376" t="str">
        <f>CONCATENATE(D50," Imported from ",OILTrade!$N$58)</f>
        <v>Distillate-Heating Oil No. 2 Imported from R3</v>
      </c>
      <c r="E119" s="376"/>
      <c r="F119" s="376"/>
      <c r="G119" s="379"/>
      <c r="H119" s="379"/>
      <c r="I119" s="379"/>
      <c r="J119" s="379"/>
    </row>
    <row r="120" spans="2:10">
      <c r="B120" s="376" t="str">
        <f>IF(OR(G$70="*",LEFT(Commodities!B$51,1)="*"),"*","R3,R4,R5")</f>
        <v>*</v>
      </c>
      <c r="C120" s="376" t="str">
        <f>CONCATENATE(C51,OILTrade!$N$58)</f>
        <v>DSLR3</v>
      </c>
      <c r="D120" s="376" t="str">
        <f>CONCATENATE(D51," Imported from ",OILTrade!$N$58)</f>
        <v>Distillate-Low Sulfur Highway Diesel (500 ppm) Imported from R3</v>
      </c>
      <c r="E120" s="376"/>
      <c r="F120" s="376"/>
      <c r="G120" s="379"/>
      <c r="H120" s="379"/>
      <c r="I120" s="379"/>
      <c r="J120" s="379"/>
    </row>
    <row r="121" spans="2:10">
      <c r="B121" s="376" t="str">
        <f>IF(OR(G$70="*",LEFT(Commodities!B$52,1)="*"),"*","R3,R4,R5")</f>
        <v>*</v>
      </c>
      <c r="C121" s="376" t="str">
        <f>CONCATENATE(C52,OILTrade!$N$58)</f>
        <v>DSUR3</v>
      </c>
      <c r="D121" s="376" t="str">
        <f>CONCATENATE(D52," Imported from ",OILTrade!$N$58)</f>
        <v>Distillate-Ultralow Sulfur Highway Diesel (15 ppm) Imported from R3</v>
      </c>
      <c r="E121" s="376"/>
      <c r="F121" s="376"/>
      <c r="G121" s="379"/>
      <c r="H121" s="379"/>
      <c r="I121" s="379"/>
      <c r="J121" s="379"/>
    </row>
    <row r="122" spans="2:10">
      <c r="B122" s="376" t="str">
        <f>IF(OR(G$70="*",LEFT(Commodities!B$53,1)="*"),"*","R3,R4,R5")</f>
        <v>*</v>
      </c>
      <c r="C122" s="376" t="str">
        <f>CONCATENATE(C53,OILTrade!$N$58)</f>
        <v>JTFR3</v>
      </c>
      <c r="D122" s="376" t="str">
        <f>CONCATENATE(D53," Imported from ",OILTrade!$N$58)</f>
        <v>Jet Fuel Imported from R3</v>
      </c>
      <c r="E122" s="376"/>
      <c r="F122" s="376"/>
      <c r="G122" s="379"/>
      <c r="H122" s="379"/>
      <c r="I122" s="379"/>
      <c r="J122" s="379"/>
    </row>
    <row r="123" spans="2:10">
      <c r="B123" s="376" t="str">
        <f>IF(OR(G$70="*",LEFT(Commodities!B$54,1)="*"),"*","R3,R4,R5")</f>
        <v>*</v>
      </c>
      <c r="C123" s="376" t="str">
        <f>CONCATENATE(C54,OILTrade!$N$58)</f>
        <v>KERR3</v>
      </c>
      <c r="D123" s="376" t="str">
        <f>CONCATENATE(D54," Imported from ",OILTrade!$N$58)</f>
        <v>Kerosene and Other Refined Products Imported from R3</v>
      </c>
      <c r="E123" s="376"/>
      <c r="F123" s="376"/>
      <c r="G123" s="379"/>
      <c r="H123" s="379"/>
      <c r="I123" s="379"/>
      <c r="J123" s="379"/>
    </row>
    <row r="124" spans="2:10">
      <c r="B124" s="376" t="str">
        <f>IF(OR(G$70="*",LEFT(Commodities!B$55,1)="*"),"*","R3,R4,R5")</f>
        <v>*</v>
      </c>
      <c r="C124" s="376" t="str">
        <f>CONCATENATE(C55,OILTrade!$N$58)</f>
        <v>LPGR3</v>
      </c>
      <c r="D124" s="376" t="str">
        <f>CONCATENATE(D55," Imported from ",OILTrade!$N$58)</f>
        <v>LPG Imported from R3</v>
      </c>
      <c r="E124" s="376"/>
      <c r="F124" s="376"/>
      <c r="G124" s="379"/>
      <c r="H124" s="379"/>
      <c r="I124" s="379"/>
      <c r="J124" s="379"/>
    </row>
    <row r="125" spans="2:10">
      <c r="B125" s="376" t="str">
        <f>IF(OR(G$70="*",LEFT(Commodities!B$56,1)="*"),"*","R3,R4,R5")</f>
        <v>*</v>
      </c>
      <c r="C125" s="376" t="str">
        <f>CONCATENATE(C56,OILTrade!$N$58)</f>
        <v>MTHR3</v>
      </c>
      <c r="D125" s="376" t="str">
        <f>CONCATENATE(D56," Imported from ",OILTrade!$N$58)</f>
        <v>Methanol Imported from R3</v>
      </c>
      <c r="E125" s="376"/>
      <c r="F125" s="376"/>
      <c r="G125" s="379"/>
      <c r="H125" s="379"/>
      <c r="I125" s="379"/>
      <c r="J125" s="379"/>
    </row>
    <row r="126" spans="2:10">
      <c r="B126" s="376" t="str">
        <f>IF(OR(G$70="*",LEFT(Commodities!B$57,1)="*"),"*","R3,R4,R5")</f>
        <v>*</v>
      </c>
      <c r="C126" s="376" t="str">
        <f>CONCATENATE(C57,OILTrade!$N$58)</f>
        <v>PFSR3</v>
      </c>
      <c r="D126" s="376" t="str">
        <f>CONCATENATE(D57," Imported from ",OILTrade!$N$58)</f>
        <v>Petrochemical Feedstocks Imported from R3</v>
      </c>
      <c r="E126" s="376"/>
      <c r="F126" s="376"/>
      <c r="G126" s="379"/>
      <c r="H126" s="379"/>
      <c r="I126" s="379"/>
      <c r="J126" s="379"/>
    </row>
    <row r="127" spans="2:10">
      <c r="B127" s="376" t="str">
        <f>IF(OR(G$70="*",LEFT(Commodities!B$58,1)="*"),"*","R3,R4,R5")</f>
        <v>*</v>
      </c>
      <c r="C127" s="376" t="str">
        <f>CONCATENATE(C58,OILTrade!$N$58)</f>
        <v>RFHR3</v>
      </c>
      <c r="D127" s="376" t="str">
        <f>CONCATENATE(D58," Imported from ",OILTrade!$N$58)</f>
        <v>High Sulfur Residual Fuel Oil Imported from R3</v>
      </c>
      <c r="E127" s="376"/>
      <c r="F127" s="376"/>
      <c r="G127" s="379"/>
      <c r="H127" s="379"/>
      <c r="I127" s="379"/>
      <c r="J127" s="379"/>
    </row>
    <row r="128" spans="2:10">
      <c r="B128" s="376" t="str">
        <f>IF(OR(G$70="*",LEFT(Commodities!B$59,1)="*"),"*","R3,R4,R5")</f>
        <v>*</v>
      </c>
      <c r="C128" s="376" t="str">
        <f>CONCATENATE(C59,OILTrade!$N$58)</f>
        <v>RFLR3</v>
      </c>
      <c r="D128" s="376" t="str">
        <f>CONCATENATE(D59," Imported from ",OILTrade!$N$58)</f>
        <v>Low Sulfur Residual Fuel Oil Imported from R3</v>
      </c>
      <c r="E128" s="376"/>
      <c r="F128" s="376"/>
      <c r="G128" s="379"/>
      <c r="H128" s="379"/>
      <c r="I128" s="379"/>
      <c r="J128" s="379"/>
    </row>
    <row r="129" spans="2:10">
      <c r="B129" s="376" t="str">
        <f>IF(OR(G$70="*",LEFT(Commodities!B$60,1)="*"),"*","R3,R4,R5")</f>
        <v>*</v>
      </c>
      <c r="C129" s="376" t="str">
        <f>CONCATENATE(C60,OILTrade!$N$58)</f>
        <v>ASPR3</v>
      </c>
      <c r="D129" s="376" t="str">
        <f>CONCATENATE(D60," Imported from ",OILTrade!$N$58)</f>
        <v>Asphalt Imported from R3</v>
      </c>
      <c r="E129" s="376"/>
      <c r="F129" s="376"/>
      <c r="G129" s="379"/>
      <c r="H129" s="379"/>
      <c r="I129" s="379"/>
      <c r="J129" s="379"/>
    </row>
    <row r="130" spans="2:10">
      <c r="B130" s="376" t="str">
        <f>IF(OR(G$70="*",LEFT(Commodities!B$48,1)="*"),"*","R2,R3,R4,R5,R6")</f>
        <v>*</v>
      </c>
      <c r="C130" s="376" t="str">
        <f>CONCATENATE(C48,OILTrade!$N$59)</f>
        <v>GSCR4</v>
      </c>
      <c r="D130" s="376" t="str">
        <f>CONCATENATE(D48," Imported from ",OILTrade!$N$59)</f>
        <v>Conventional Gasoline Imported from R4</v>
      </c>
      <c r="E130" s="376"/>
      <c r="F130" s="376"/>
      <c r="G130" s="379"/>
      <c r="H130" s="379"/>
      <c r="I130" s="379"/>
      <c r="J130" s="379"/>
    </row>
    <row r="131" spans="2:10">
      <c r="B131" s="376" t="str">
        <f>IF(OR(G$70="*",LEFT(Commodities!B$49,1)="*"),"*","R2,R3,R4,R5,R6")</f>
        <v>*</v>
      </c>
      <c r="C131" s="376" t="str">
        <f>CONCATENATE(C49,OILTrade!$N$59)</f>
        <v>GSRR4</v>
      </c>
      <c r="D131" s="376" t="str">
        <f>CONCATENATE(D49," Imported from ",OILTrade!$N$59)</f>
        <v>Reformulated Gasoline Imported from R4</v>
      </c>
      <c r="E131" s="376"/>
      <c r="F131" s="376"/>
      <c r="G131" s="379"/>
      <c r="H131" s="379"/>
      <c r="I131" s="379"/>
      <c r="J131" s="379"/>
    </row>
    <row r="132" spans="2:10">
      <c r="B132" s="376" t="str">
        <f>IF(OR(G$70="*",LEFT(Commodities!B$50,1)="*"),"*","R2,R3,R4,R5,R6")</f>
        <v>*</v>
      </c>
      <c r="C132" s="376" t="str">
        <f>CONCATENATE(C50,OILTrade!$N$59)</f>
        <v>DSHR4</v>
      </c>
      <c r="D132" s="376" t="str">
        <f>CONCATENATE(D50," Imported from ",OILTrade!$N$59)</f>
        <v>Distillate-Heating Oil No. 2 Imported from R4</v>
      </c>
      <c r="E132" s="376"/>
      <c r="F132" s="376"/>
      <c r="G132" s="379"/>
      <c r="H132" s="379"/>
      <c r="I132" s="379"/>
      <c r="J132" s="379"/>
    </row>
    <row r="133" spans="2:10">
      <c r="B133" s="376" t="str">
        <f>IF(OR(G$70="*",LEFT(Commodities!B$51,1)="*"),"*","R2,R3,R4,R5,R6")</f>
        <v>*</v>
      </c>
      <c r="C133" s="376" t="str">
        <f>CONCATENATE(C51,OILTrade!$N$59)</f>
        <v>DSLR4</v>
      </c>
      <c r="D133" s="376" t="str">
        <f>CONCATENATE(D51," Imported from ",OILTrade!$N$59)</f>
        <v>Distillate-Low Sulfur Highway Diesel (500 ppm) Imported from R4</v>
      </c>
      <c r="E133" s="376"/>
      <c r="F133" s="376"/>
      <c r="G133" s="379"/>
      <c r="H133" s="379"/>
      <c r="I133" s="379"/>
      <c r="J133" s="379"/>
    </row>
    <row r="134" spans="2:10">
      <c r="B134" s="376" t="str">
        <f>IF(OR(G$70="*",LEFT(Commodities!B$52,1)="*"),"*","R2,R3,R4,R5,R6")</f>
        <v>*</v>
      </c>
      <c r="C134" s="376" t="str">
        <f>CONCATENATE(C52,OILTrade!$N$59)</f>
        <v>DSUR4</v>
      </c>
      <c r="D134" s="376" t="str">
        <f>CONCATENATE(D52," Imported from ",OILTrade!$N$59)</f>
        <v>Distillate-Ultralow Sulfur Highway Diesel (15 ppm) Imported from R4</v>
      </c>
      <c r="E134" s="376"/>
      <c r="F134" s="376"/>
      <c r="G134" s="379"/>
      <c r="H134" s="379"/>
      <c r="I134" s="379"/>
      <c r="J134" s="379"/>
    </row>
    <row r="135" spans="2:10">
      <c r="B135" s="376" t="str">
        <f>IF(OR(G$70="*",LEFT(Commodities!B$53,1)="*"),"*","R2,R3,R4,R5,R6")</f>
        <v>*</v>
      </c>
      <c r="C135" s="376" t="str">
        <f>CONCATENATE(C53,OILTrade!$N$59)</f>
        <v>JTFR4</v>
      </c>
      <c r="D135" s="376" t="str">
        <f>CONCATENATE(D53," Imported from ",OILTrade!$N$59)</f>
        <v>Jet Fuel Imported from R4</v>
      </c>
      <c r="E135" s="376"/>
      <c r="F135" s="376"/>
      <c r="G135" s="379"/>
      <c r="H135" s="379"/>
      <c r="I135" s="379"/>
      <c r="J135" s="379"/>
    </row>
    <row r="136" spans="2:10">
      <c r="B136" s="376" t="str">
        <f>IF(OR(G$70="*",LEFT(Commodities!B$54,1)="*"),"*","R2,R3,R4,R5,R6")</f>
        <v>*</v>
      </c>
      <c r="C136" s="376" t="str">
        <f>CONCATENATE(C54,OILTrade!$N$59)</f>
        <v>KERR4</v>
      </c>
      <c r="D136" s="376" t="str">
        <f>CONCATENATE(D54," Imported from ",OILTrade!$N$59)</f>
        <v>Kerosene and Other Refined Products Imported from R4</v>
      </c>
      <c r="E136" s="376"/>
      <c r="F136" s="376"/>
      <c r="G136" s="379"/>
      <c r="H136" s="379"/>
      <c r="I136" s="379"/>
      <c r="J136" s="379"/>
    </row>
    <row r="137" spans="2:10">
      <c r="B137" s="376" t="str">
        <f>IF(OR(G$70="*",LEFT(Commodities!B$55,1)="*"),"*","R2,R3,R4,R5,R6")</f>
        <v>*</v>
      </c>
      <c r="C137" s="376" t="str">
        <f>CONCATENATE(C55,OILTrade!$N$59)</f>
        <v>LPGR4</v>
      </c>
      <c r="D137" s="376" t="str">
        <f>CONCATENATE(D55," Imported from ",OILTrade!$N$59)</f>
        <v>LPG Imported from R4</v>
      </c>
      <c r="E137" s="376"/>
      <c r="F137" s="376"/>
      <c r="G137" s="379"/>
      <c r="H137" s="379"/>
      <c r="I137" s="379"/>
      <c r="J137" s="379"/>
    </row>
    <row r="138" spans="2:10">
      <c r="B138" s="376" t="str">
        <f>IF(OR(G$70="*",LEFT(Commodities!B$56,1)="*"),"*","R2,R3,R4,R5,R6")</f>
        <v>*</v>
      </c>
      <c r="C138" s="376" t="str">
        <f>CONCATENATE(C56,OILTrade!$N$59)</f>
        <v>MTHR4</v>
      </c>
      <c r="D138" s="376" t="str">
        <f>CONCATENATE(D56," Imported from ",OILTrade!$N$59)</f>
        <v>Methanol Imported from R4</v>
      </c>
      <c r="E138" s="376"/>
      <c r="F138" s="376"/>
      <c r="G138" s="379"/>
      <c r="H138" s="379"/>
      <c r="I138" s="379"/>
      <c r="J138" s="379"/>
    </row>
    <row r="139" spans="2:10">
      <c r="B139" s="376" t="str">
        <f>IF(OR(G$70="*",LEFT(Commodities!B$57,1)="*"),"*","R2,R3,R4,R5,R6")</f>
        <v>*</v>
      </c>
      <c r="C139" s="376" t="str">
        <f>CONCATENATE(C57,OILTrade!$N$59)</f>
        <v>PFSR4</v>
      </c>
      <c r="D139" s="376" t="str">
        <f>CONCATENATE(D57," Imported from ",OILTrade!$N$59)</f>
        <v>Petrochemical Feedstocks Imported from R4</v>
      </c>
      <c r="E139" s="376"/>
      <c r="F139" s="376"/>
      <c r="G139" s="379"/>
      <c r="H139" s="379"/>
      <c r="I139" s="379"/>
      <c r="J139" s="379"/>
    </row>
    <row r="140" spans="2:10">
      <c r="B140" s="376" t="str">
        <f>IF(OR(G$70="*",LEFT(Commodities!B$58,1)="*"),"*","R2,R3,R4,R5,R6")</f>
        <v>*</v>
      </c>
      <c r="C140" s="376" t="str">
        <f>CONCATENATE(C58,OILTrade!$N$59)</f>
        <v>RFHR4</v>
      </c>
      <c r="D140" s="376" t="str">
        <f>CONCATENATE(D58," Imported from ",OILTrade!$N$59)</f>
        <v>High Sulfur Residual Fuel Oil Imported from R4</v>
      </c>
      <c r="E140" s="376"/>
      <c r="F140" s="376"/>
      <c r="G140" s="379"/>
      <c r="H140" s="379"/>
      <c r="I140" s="379"/>
      <c r="J140" s="379"/>
    </row>
    <row r="141" spans="2:10">
      <c r="B141" s="376" t="str">
        <f>IF(OR(G$70="*",LEFT(Commodities!B$59,1)="*"),"*","R2,R3,R4,R5,R6")</f>
        <v>*</v>
      </c>
      <c r="C141" s="376" t="str">
        <f>CONCATENATE(C59,OILTrade!$N$59)</f>
        <v>RFLR4</v>
      </c>
      <c r="D141" s="376" t="str">
        <f>CONCATENATE(D59," Imported from ",OILTrade!$N$59)</f>
        <v>Low Sulfur Residual Fuel Oil Imported from R4</v>
      </c>
      <c r="E141" s="376"/>
      <c r="F141" s="376"/>
      <c r="G141" s="379"/>
      <c r="H141" s="379"/>
      <c r="I141" s="379"/>
      <c r="J141" s="379"/>
    </row>
    <row r="142" spans="2:10">
      <c r="B142" s="376" t="str">
        <f>IF(OR(G$70="*",LEFT(Commodities!B$60,1)="*"),"*","R2,R3,R4,R5,R6")</f>
        <v>*</v>
      </c>
      <c r="C142" s="376" t="str">
        <f>CONCATENATE(C60,OILTrade!$N$59)</f>
        <v>ASPR4</v>
      </c>
      <c r="D142" s="376" t="str">
        <f>CONCATENATE(D60," Imported from ",OILTrade!$N$59)</f>
        <v>Asphalt Imported from R4</v>
      </c>
      <c r="E142" s="376"/>
      <c r="F142" s="376"/>
      <c r="G142" s="379"/>
      <c r="H142" s="379"/>
      <c r="I142" s="379"/>
      <c r="J142" s="379"/>
    </row>
    <row r="143" spans="2:10">
      <c r="B143" s="376" t="str">
        <f>IF(OR(G$70="*",LEFT(Commodities!B$48,1)="*"),"*","R2,R5,R6")</f>
        <v>*</v>
      </c>
      <c r="C143" s="376" t="str">
        <f>CONCATENATE(C48,OILTrade!$N$60)</f>
        <v>GSCR5</v>
      </c>
      <c r="D143" s="376" t="str">
        <f>CONCATENATE(D48," Imported from ",OILTrade!$N$60)</f>
        <v>Conventional Gasoline Imported from R5</v>
      </c>
      <c r="E143" s="376"/>
      <c r="F143" s="376"/>
      <c r="G143" s="379"/>
      <c r="H143" s="379"/>
      <c r="I143" s="379"/>
      <c r="J143" s="379"/>
    </row>
    <row r="144" spans="2:10">
      <c r="B144" s="376" t="str">
        <f>IF(OR(G$70="*",LEFT(Commodities!B$49,1)="*"),"*","R2,R5,R6")</f>
        <v>*</v>
      </c>
      <c r="C144" s="376" t="str">
        <f>CONCATENATE(C49,OILTrade!$N$60)</f>
        <v>GSRR5</v>
      </c>
      <c r="D144" s="376" t="str">
        <f>CONCATENATE(D49," Imported from ",OILTrade!$N$60)</f>
        <v>Reformulated Gasoline Imported from R5</v>
      </c>
      <c r="E144" s="376"/>
      <c r="F144" s="376"/>
      <c r="G144" s="379"/>
      <c r="H144" s="379"/>
      <c r="I144" s="379"/>
      <c r="J144" s="379"/>
    </row>
    <row r="145" spans="2:10">
      <c r="B145" s="376" t="str">
        <f>IF(OR(G$70="*",LEFT(Commodities!B$50,1)="*"),"*","R2,R5,R6")</f>
        <v>*</v>
      </c>
      <c r="C145" s="376" t="str">
        <f>CONCATENATE(C50,OILTrade!$N$60)</f>
        <v>DSHR5</v>
      </c>
      <c r="D145" s="376" t="str">
        <f>CONCATENATE(D50," Imported from ",OILTrade!$N$60)</f>
        <v>Distillate-Heating Oil No. 2 Imported from R5</v>
      </c>
      <c r="E145" s="376"/>
      <c r="F145" s="376"/>
      <c r="G145" s="379"/>
      <c r="H145" s="379"/>
      <c r="I145" s="379"/>
      <c r="J145" s="379"/>
    </row>
    <row r="146" spans="2:10">
      <c r="B146" s="376" t="str">
        <f>IF(OR(G$70="*",LEFT(Commodities!B$51,1)="*"),"*","R2,R5,R6")</f>
        <v>*</v>
      </c>
      <c r="C146" s="376" t="str">
        <f>CONCATENATE(C51,OILTrade!$N$60)</f>
        <v>DSLR5</v>
      </c>
      <c r="D146" s="376" t="str">
        <f>CONCATENATE(D51," Imported from ",OILTrade!$N$60)</f>
        <v>Distillate-Low Sulfur Highway Diesel (500 ppm) Imported from R5</v>
      </c>
      <c r="E146" s="376"/>
      <c r="F146" s="376"/>
      <c r="G146" s="379"/>
      <c r="H146" s="379"/>
      <c r="I146" s="379"/>
      <c r="J146" s="379"/>
    </row>
    <row r="147" spans="2:10">
      <c r="B147" s="376" t="str">
        <f>IF(OR(G$70="*",LEFT(Commodities!B$52,1)="*"),"*","R2,R5,R6")</f>
        <v>*</v>
      </c>
      <c r="C147" s="376" t="str">
        <f>CONCATENATE(C52,OILTrade!$N$60)</f>
        <v>DSUR5</v>
      </c>
      <c r="D147" s="376" t="str">
        <f>CONCATENATE(D52," Imported from ",OILTrade!$N$60)</f>
        <v>Distillate-Ultralow Sulfur Highway Diesel (15 ppm) Imported from R5</v>
      </c>
      <c r="E147" s="376"/>
      <c r="F147" s="376"/>
      <c r="G147" s="379"/>
      <c r="H147" s="379"/>
      <c r="I147" s="379"/>
      <c r="J147" s="379"/>
    </row>
    <row r="148" spans="2:10">
      <c r="B148" s="376" t="str">
        <f>IF(OR(G$70="*",LEFT(Commodities!B$53,1)="*"),"*","R2,R5,R6")</f>
        <v>*</v>
      </c>
      <c r="C148" s="376" t="str">
        <f>CONCATENATE(C53,OILTrade!$N$60)</f>
        <v>JTFR5</v>
      </c>
      <c r="D148" s="376" t="str">
        <f>CONCATENATE(D53," Imported from ",OILTrade!$N$60)</f>
        <v>Jet Fuel Imported from R5</v>
      </c>
      <c r="E148" s="376"/>
      <c r="F148" s="376"/>
      <c r="G148" s="379"/>
      <c r="H148" s="379"/>
      <c r="I148" s="379"/>
      <c r="J148" s="379"/>
    </row>
    <row r="149" spans="2:10">
      <c r="B149" s="376" t="str">
        <f>IF(OR(G$70="*",LEFT(Commodities!B$54,1)="*"),"*","R2,R5,R6")</f>
        <v>*</v>
      </c>
      <c r="C149" s="376" t="str">
        <f>CONCATENATE(C54,OILTrade!$N$60)</f>
        <v>KERR5</v>
      </c>
      <c r="D149" s="376" t="str">
        <f>CONCATENATE(D54," Imported from ",OILTrade!$N$60)</f>
        <v>Kerosene and Other Refined Products Imported from R5</v>
      </c>
      <c r="E149" s="376"/>
      <c r="F149" s="376"/>
      <c r="G149" s="379"/>
      <c r="H149" s="379"/>
      <c r="I149" s="379"/>
      <c r="J149" s="379"/>
    </row>
    <row r="150" spans="2:10">
      <c r="B150" s="376" t="str">
        <f>IF(OR(G$70="*",LEFT(Commodities!B$55,1)="*"),"*","R2,R5,R6")</f>
        <v>*</v>
      </c>
      <c r="C150" s="376" t="str">
        <f>CONCATENATE(C55,OILTrade!$N$60)</f>
        <v>LPGR5</v>
      </c>
      <c r="D150" s="376" t="str">
        <f>CONCATENATE(D55," Imported from ",OILTrade!$N$60)</f>
        <v>LPG Imported from R5</v>
      </c>
      <c r="E150" s="376"/>
      <c r="F150" s="376"/>
      <c r="G150" s="379"/>
      <c r="H150" s="379"/>
      <c r="I150" s="379"/>
      <c r="J150" s="379"/>
    </row>
    <row r="151" spans="2:10">
      <c r="B151" s="376" t="str">
        <f>IF(OR(G$70="*",LEFT(Commodities!B$56,1)="*"),"*","R2,R5,R6")</f>
        <v>*</v>
      </c>
      <c r="C151" s="376" t="str">
        <f>CONCATENATE(C56,OILTrade!$N$60)</f>
        <v>MTHR5</v>
      </c>
      <c r="D151" s="376" t="str">
        <f>CONCATENATE(D56," Imported from ",OILTrade!$N$60)</f>
        <v>Methanol Imported from R5</v>
      </c>
      <c r="E151" s="376"/>
      <c r="F151" s="376"/>
      <c r="G151" s="379"/>
      <c r="H151" s="379"/>
      <c r="I151" s="379"/>
      <c r="J151" s="379"/>
    </row>
    <row r="152" spans="2:10">
      <c r="B152" s="376" t="str">
        <f>IF(OR(G$70="*",LEFT(Commodities!B$57,1)="*"),"*","R2,R5,R6")</f>
        <v>*</v>
      </c>
      <c r="C152" s="376" t="str">
        <f>CONCATENATE(C57,OILTrade!$N$60)</f>
        <v>PFSR5</v>
      </c>
      <c r="D152" s="376" t="str">
        <f>CONCATENATE(D57," Imported from ",OILTrade!$N$60)</f>
        <v>Petrochemical Feedstocks Imported from R5</v>
      </c>
      <c r="E152" s="376"/>
      <c r="F152" s="376"/>
      <c r="G152" s="379"/>
      <c r="H152" s="379"/>
      <c r="I152" s="379"/>
      <c r="J152" s="379"/>
    </row>
    <row r="153" spans="2:10">
      <c r="B153" s="376" t="str">
        <f>IF(OR(G$70="*",LEFT(Commodities!B$58,1)="*"),"*","R2,R5,R6")</f>
        <v>*</v>
      </c>
      <c r="C153" s="376" t="str">
        <f>CONCATENATE(C58,OILTrade!$N$60)</f>
        <v>RFHR5</v>
      </c>
      <c r="D153" s="376" t="str">
        <f>CONCATENATE(D58," Imported from ",OILTrade!$N$60)</f>
        <v>High Sulfur Residual Fuel Oil Imported from R5</v>
      </c>
      <c r="E153" s="376"/>
      <c r="F153" s="376"/>
      <c r="G153" s="379"/>
      <c r="H153" s="379"/>
      <c r="I153" s="379"/>
      <c r="J153" s="379"/>
    </row>
    <row r="154" spans="2:10">
      <c r="B154" s="376" t="str">
        <f>IF(OR(G$70="*",LEFT(Commodities!B$59,1)="*"),"*","R2,R5,R6")</f>
        <v>*</v>
      </c>
      <c r="C154" s="376" t="str">
        <f>CONCATENATE(C59,OILTrade!$N$60)</f>
        <v>RFLR5</v>
      </c>
      <c r="D154" s="376" t="str">
        <f>CONCATENATE(D59," Imported from ",OILTrade!$N$60)</f>
        <v>Low Sulfur Residual Fuel Oil Imported from R5</v>
      </c>
      <c r="E154" s="376"/>
      <c r="F154" s="376"/>
      <c r="G154" s="379"/>
      <c r="H154" s="379"/>
      <c r="I154" s="379"/>
      <c r="J154" s="379"/>
    </row>
    <row r="155" spans="2:10">
      <c r="B155" s="376" t="str">
        <f>IF(OR(G$70="*",LEFT(Commodities!B$60,1)="*"),"*","R2,R5,R6")</f>
        <v>*</v>
      </c>
      <c r="C155" s="376" t="str">
        <f>CONCATENATE(C60,OILTrade!$N$60)</f>
        <v>ASPR5</v>
      </c>
      <c r="D155" s="376" t="str">
        <f>CONCATENATE(D60," Imported from ",OILTrade!$N$60)</f>
        <v>Asphalt Imported from R5</v>
      </c>
      <c r="E155" s="376"/>
      <c r="F155" s="376"/>
      <c r="G155" s="379"/>
      <c r="H155" s="379"/>
      <c r="I155" s="379"/>
      <c r="J155" s="379"/>
    </row>
    <row r="156" spans="2:10">
      <c r="B156" s="376" t="str">
        <f>IF(OR(G$70="*",LEFT(Commodities!B$48,1)="*"),"*","R2,R3,R4,R6")</f>
        <v>*</v>
      </c>
      <c r="C156" s="376" t="str">
        <f>CONCATENATE(C48,OILTrade!$N$61)</f>
        <v>GSCR6</v>
      </c>
      <c r="D156" s="376" t="str">
        <f>CONCATENATE(D48," Imported from ",OILTrade!$N$61)</f>
        <v>Conventional Gasoline Imported from R6</v>
      </c>
      <c r="E156" s="376"/>
      <c r="F156" s="376"/>
      <c r="G156" s="379"/>
      <c r="H156" s="379"/>
      <c r="I156" s="379"/>
      <c r="J156" s="379"/>
    </row>
    <row r="157" spans="2:10">
      <c r="B157" s="376" t="str">
        <f>IF(OR(G$70="*",LEFT(Commodities!B$49,1)="*"),"*","R2,R3,R4,R6")</f>
        <v>*</v>
      </c>
      <c r="C157" s="376" t="str">
        <f>CONCATENATE(C49,OILTrade!$N$61)</f>
        <v>GSRR6</v>
      </c>
      <c r="D157" s="376" t="str">
        <f>CONCATENATE(D49," Imported from ",OILTrade!$N$61)</f>
        <v>Reformulated Gasoline Imported from R6</v>
      </c>
      <c r="E157" s="376"/>
      <c r="F157" s="376"/>
      <c r="G157" s="379"/>
      <c r="H157" s="379"/>
      <c r="I157" s="379"/>
      <c r="J157" s="379"/>
    </row>
    <row r="158" spans="2:10">
      <c r="B158" s="376" t="str">
        <f>IF(OR(G$70="*",LEFT(Commodities!B$50,1)="*"),"*","R2,R3,R4,R6")</f>
        <v>*</v>
      </c>
      <c r="C158" s="376" t="str">
        <f>CONCATENATE(C50,OILTrade!$N$61)</f>
        <v>DSHR6</v>
      </c>
      <c r="D158" s="376" t="str">
        <f>CONCATENATE(D50," Imported from ",OILTrade!$N$61)</f>
        <v>Distillate-Heating Oil No. 2 Imported from R6</v>
      </c>
      <c r="E158" s="376"/>
      <c r="F158" s="376"/>
      <c r="G158" s="379"/>
      <c r="H158" s="379"/>
      <c r="I158" s="379"/>
      <c r="J158" s="379"/>
    </row>
    <row r="159" spans="2:10">
      <c r="B159" s="376" t="str">
        <f>IF(OR(G$70="*",LEFT(Commodities!B$51,1)="*"),"*","R2,R3,R4,R6")</f>
        <v>*</v>
      </c>
      <c r="C159" s="376" t="str">
        <f>CONCATENATE(C51,OILTrade!$N$61)</f>
        <v>DSLR6</v>
      </c>
      <c r="D159" s="376" t="str">
        <f>CONCATENATE(D51," Imported from ",OILTrade!$N$61)</f>
        <v>Distillate-Low Sulfur Highway Diesel (500 ppm) Imported from R6</v>
      </c>
      <c r="E159" s="376"/>
      <c r="F159" s="376"/>
      <c r="G159" s="379"/>
      <c r="H159" s="379"/>
      <c r="I159" s="379"/>
      <c r="J159" s="379"/>
    </row>
    <row r="160" spans="2:10">
      <c r="B160" s="376" t="str">
        <f>IF(OR(G$70="*",LEFT(Commodities!B$52,1)="*"),"*","R2,R3,R4,R6")</f>
        <v>*</v>
      </c>
      <c r="C160" s="376" t="str">
        <f>CONCATENATE(C52,OILTrade!$N$61)</f>
        <v>DSUR6</v>
      </c>
      <c r="D160" s="376" t="str">
        <f>CONCATENATE(D52," Imported from ",OILTrade!$N$61)</f>
        <v>Distillate-Ultralow Sulfur Highway Diesel (15 ppm) Imported from R6</v>
      </c>
      <c r="E160" s="376"/>
      <c r="F160" s="376"/>
      <c r="G160" s="379"/>
      <c r="H160" s="379"/>
      <c r="I160" s="379"/>
      <c r="J160" s="379"/>
    </row>
    <row r="161" spans="2:10">
      <c r="B161" s="376" t="str">
        <f>IF(OR(G$70="*",LEFT(Commodities!B$53,1)="*"),"*","R2,R3,R4,R6")</f>
        <v>*</v>
      </c>
      <c r="C161" s="376" t="str">
        <f>CONCATENATE(C53,OILTrade!$N$61)</f>
        <v>JTFR6</v>
      </c>
      <c r="D161" s="376" t="str">
        <f>CONCATENATE(D53," Imported from ",OILTrade!$N$61)</f>
        <v>Jet Fuel Imported from R6</v>
      </c>
      <c r="E161" s="376"/>
      <c r="F161" s="376"/>
      <c r="G161" s="379"/>
      <c r="H161" s="379"/>
      <c r="I161" s="379"/>
      <c r="J161" s="379"/>
    </row>
    <row r="162" spans="2:10">
      <c r="B162" s="376" t="str">
        <f>IF(OR(G$70="*",LEFT(Commodities!B$54,1)="*"),"*","R2,R3,R4,R6")</f>
        <v>*</v>
      </c>
      <c r="C162" s="376" t="str">
        <f>CONCATENATE(C54,OILTrade!$N$61)</f>
        <v>KERR6</v>
      </c>
      <c r="D162" s="376" t="str">
        <f>CONCATENATE(D54," Imported from ",OILTrade!$N$61)</f>
        <v>Kerosene and Other Refined Products Imported from R6</v>
      </c>
      <c r="E162" s="376"/>
      <c r="F162" s="376"/>
      <c r="G162" s="379"/>
      <c r="H162" s="379"/>
      <c r="I162" s="379"/>
      <c r="J162" s="379"/>
    </row>
    <row r="163" spans="2:10">
      <c r="B163" s="376" t="str">
        <f>IF(OR(G$70="*",LEFT(Commodities!B$55,1)="*"),"*","R2,R3,R4,R6")</f>
        <v>*</v>
      </c>
      <c r="C163" s="376" t="str">
        <f>CONCATENATE(C55,OILTrade!$N$61)</f>
        <v>LPGR6</v>
      </c>
      <c r="D163" s="376" t="str">
        <f>CONCATENATE(D55," Imported from ",OILTrade!$N$61)</f>
        <v>LPG Imported from R6</v>
      </c>
      <c r="E163" s="376"/>
      <c r="F163" s="376"/>
      <c r="G163" s="379"/>
      <c r="H163" s="379"/>
      <c r="I163" s="379"/>
      <c r="J163" s="379"/>
    </row>
    <row r="164" spans="2:10">
      <c r="B164" s="376" t="str">
        <f>IF(OR(G$70="*",LEFT(Commodities!B$56,1)="*"),"*","R2,R3,R4,R6")</f>
        <v>*</v>
      </c>
      <c r="C164" s="376" t="str">
        <f>CONCATENATE(C56,OILTrade!$N$61)</f>
        <v>MTHR6</v>
      </c>
      <c r="D164" s="376" t="str">
        <f>CONCATENATE(D56," Imported from ",OILTrade!$N$61)</f>
        <v>Methanol Imported from R6</v>
      </c>
      <c r="E164" s="376"/>
      <c r="F164" s="376"/>
      <c r="G164" s="379"/>
      <c r="H164" s="379"/>
      <c r="I164" s="379"/>
      <c r="J164" s="379"/>
    </row>
    <row r="165" spans="2:10">
      <c r="B165" s="376" t="str">
        <f>IF(OR(G$70="*",LEFT(Commodities!B$57,1)="*"),"*","R2,R3,R4,R6")</f>
        <v>*</v>
      </c>
      <c r="C165" s="376" t="str">
        <f>CONCATENATE(C57,OILTrade!$N$61)</f>
        <v>PFSR6</v>
      </c>
      <c r="D165" s="376" t="str">
        <f>CONCATENATE(D57," Imported from ",OILTrade!$N$61)</f>
        <v>Petrochemical Feedstocks Imported from R6</v>
      </c>
      <c r="E165" s="376"/>
      <c r="F165" s="376"/>
      <c r="G165" s="379"/>
      <c r="H165" s="379"/>
      <c r="I165" s="379"/>
      <c r="J165" s="379"/>
    </row>
    <row r="166" spans="2:10">
      <c r="B166" s="376" t="str">
        <f>IF(OR(G$70="*",LEFT(Commodities!B$58,1)="*"),"*","R2,R3,R4,R6")</f>
        <v>*</v>
      </c>
      <c r="C166" s="376" t="str">
        <f>CONCATENATE(C58,OILTrade!$N$61)</f>
        <v>RFHR6</v>
      </c>
      <c r="D166" s="376" t="str">
        <f>CONCATENATE(D58," Imported from ",OILTrade!$N$61)</f>
        <v>High Sulfur Residual Fuel Oil Imported from R6</v>
      </c>
      <c r="E166" s="376"/>
      <c r="F166" s="376"/>
      <c r="G166" s="379"/>
      <c r="H166" s="379"/>
      <c r="I166" s="379"/>
      <c r="J166" s="379"/>
    </row>
    <row r="167" spans="2:10">
      <c r="B167" s="376" t="str">
        <f>IF(OR(G$70="*",LEFT(Commodities!B$59,1)="*"),"*","R2,R3,R4,R6")</f>
        <v>*</v>
      </c>
      <c r="C167" s="376" t="str">
        <f>CONCATENATE(C59,OILTrade!$N$61)</f>
        <v>RFLR6</v>
      </c>
      <c r="D167" s="376" t="str">
        <f>CONCATENATE(D59," Imported from ",OILTrade!$N$61)</f>
        <v>Low Sulfur Residual Fuel Oil Imported from R6</v>
      </c>
      <c r="E167" s="376"/>
      <c r="F167" s="376"/>
      <c r="G167" s="379"/>
      <c r="H167" s="379"/>
      <c r="I167" s="379"/>
      <c r="J167" s="379"/>
    </row>
    <row r="168" spans="2:10">
      <c r="B168" s="376" t="str">
        <f>IF(OR(G$70="*",LEFT(Commodities!B$60,1)="*"),"*","R2,R3,R4,R6")</f>
        <v>*</v>
      </c>
      <c r="C168" s="376" t="str">
        <f>CONCATENATE(C60,OILTrade!$N$61)</f>
        <v>ASPR6</v>
      </c>
      <c r="D168" s="376" t="str">
        <f>CONCATENATE(D60," Imported from ",OILTrade!$N$61)</f>
        <v>Asphalt Imported from R6</v>
      </c>
      <c r="E168" s="376"/>
      <c r="F168" s="376"/>
      <c r="G168" s="379"/>
      <c r="H168" s="379"/>
      <c r="I168" s="379"/>
      <c r="J168" s="379"/>
    </row>
    <row r="169" spans="2:10">
      <c r="B169" s="376" t="s">
        <v>588</v>
      </c>
      <c r="C169" s="376" t="str">
        <f>CONCATENATE(C48,OILTrade!$N$62)</f>
        <v>GSCR7</v>
      </c>
      <c r="D169" s="376" t="str">
        <f>CONCATENATE(D48," Imported from ",OILTrade!$N$62)</f>
        <v>Conventional Gasoline Imported from R7</v>
      </c>
      <c r="E169" s="376"/>
      <c r="F169" s="376"/>
      <c r="G169" s="379"/>
      <c r="H169" s="379"/>
      <c r="I169" s="379"/>
      <c r="J169" s="379"/>
    </row>
    <row r="170" spans="2:10">
      <c r="B170" s="376" t="s">
        <v>588</v>
      </c>
      <c r="C170" s="376" t="str">
        <f>CONCATENATE(C49,OILTrade!$N$62)</f>
        <v>GSRR7</v>
      </c>
      <c r="D170" s="376" t="str">
        <f>CONCATENATE(D49," Imported from ",OILTrade!$N$62)</f>
        <v>Reformulated Gasoline Imported from R7</v>
      </c>
      <c r="E170" s="376"/>
      <c r="F170" s="376"/>
      <c r="G170" s="379"/>
      <c r="H170" s="379"/>
      <c r="I170" s="379"/>
      <c r="J170" s="379"/>
    </row>
    <row r="171" spans="2:10">
      <c r="B171" s="376" t="s">
        <v>588</v>
      </c>
      <c r="C171" s="376" t="str">
        <f>CONCATENATE(C50,OILTrade!$N$62)</f>
        <v>DSHR7</v>
      </c>
      <c r="D171" s="376" t="str">
        <f>CONCATENATE(D50," Imported from ",OILTrade!$N$62)</f>
        <v>Distillate-Heating Oil No. 2 Imported from R7</v>
      </c>
      <c r="E171" s="376"/>
      <c r="F171" s="376"/>
      <c r="G171" s="379"/>
      <c r="H171" s="379"/>
      <c r="I171" s="379"/>
      <c r="J171" s="379"/>
    </row>
    <row r="172" spans="2:10">
      <c r="B172" s="376" t="s">
        <v>588</v>
      </c>
      <c r="C172" s="376" t="str">
        <f>CONCATENATE(C51,OILTrade!$N$62)</f>
        <v>DSLR7</v>
      </c>
      <c r="D172" s="376" t="str">
        <f>CONCATENATE(D51," Imported from ",OILTrade!$N$62)</f>
        <v>Distillate-Low Sulfur Highway Diesel (500 ppm) Imported from R7</v>
      </c>
      <c r="E172" s="376"/>
      <c r="F172" s="376"/>
      <c r="G172" s="379"/>
      <c r="H172" s="379"/>
      <c r="I172" s="379"/>
      <c r="J172" s="379"/>
    </row>
    <row r="173" spans="2:10">
      <c r="B173" s="376" t="s">
        <v>588</v>
      </c>
      <c r="C173" s="376" t="str">
        <f>CONCATENATE(C52,OILTrade!$N$62)</f>
        <v>DSUR7</v>
      </c>
      <c r="D173" s="376" t="str">
        <f>CONCATENATE(D52," Imported from ",OILTrade!$N$62)</f>
        <v>Distillate-Ultralow Sulfur Highway Diesel (15 ppm) Imported from R7</v>
      </c>
      <c r="E173" s="376"/>
      <c r="F173" s="376"/>
      <c r="G173" s="379"/>
      <c r="H173" s="379"/>
      <c r="I173" s="379"/>
      <c r="J173" s="379"/>
    </row>
    <row r="174" spans="2:10">
      <c r="B174" s="376" t="s">
        <v>588</v>
      </c>
      <c r="C174" s="376" t="str">
        <f>CONCATENATE(C53,OILTrade!$N$62)</f>
        <v>JTFR7</v>
      </c>
      <c r="D174" s="376" t="str">
        <f>CONCATENATE(D53," Imported from ",OILTrade!$N$62)</f>
        <v>Jet Fuel Imported from R7</v>
      </c>
      <c r="E174" s="376"/>
      <c r="F174" s="376"/>
      <c r="G174" s="379"/>
      <c r="H174" s="379"/>
      <c r="I174" s="379"/>
      <c r="J174" s="379"/>
    </row>
    <row r="175" spans="2:10">
      <c r="B175" s="376" t="s">
        <v>588</v>
      </c>
      <c r="C175" s="376" t="str">
        <f>CONCATENATE(C54,OILTrade!$N$62)</f>
        <v>KERR7</v>
      </c>
      <c r="D175" s="376" t="str">
        <f>CONCATENATE(D54," Imported from ",OILTrade!$N$62)</f>
        <v>Kerosene and Other Refined Products Imported from R7</v>
      </c>
      <c r="E175" s="376"/>
      <c r="F175" s="376"/>
      <c r="G175" s="379"/>
      <c r="H175" s="379"/>
      <c r="I175" s="379"/>
      <c r="J175" s="379"/>
    </row>
    <row r="176" spans="2:10">
      <c r="B176" s="376" t="s">
        <v>588</v>
      </c>
      <c r="C176" s="376" t="str">
        <f>CONCATENATE(C55,OILTrade!$N$62)</f>
        <v>LPGR7</v>
      </c>
      <c r="D176" s="376" t="str">
        <f>CONCATENATE(D55," Imported from ",OILTrade!$N$62)</f>
        <v>LPG Imported from R7</v>
      </c>
      <c r="E176" s="376"/>
      <c r="F176" s="376"/>
      <c r="G176" s="379"/>
      <c r="H176" s="379"/>
      <c r="I176" s="379"/>
      <c r="J176" s="379"/>
    </row>
    <row r="177" spans="2:10">
      <c r="B177" s="376" t="s">
        <v>588</v>
      </c>
      <c r="C177" s="376" t="str">
        <f>CONCATENATE(C56,OILTrade!$N$62)</f>
        <v>MTHR7</v>
      </c>
      <c r="D177" s="376" t="str">
        <f>CONCATENATE(D56," Imported from ",OILTrade!$N$62)</f>
        <v>Methanol Imported from R7</v>
      </c>
      <c r="E177" s="376"/>
      <c r="F177" s="376"/>
      <c r="G177" s="379"/>
      <c r="H177" s="379"/>
      <c r="I177" s="379"/>
      <c r="J177" s="379"/>
    </row>
    <row r="178" spans="2:10">
      <c r="B178" s="376" t="s">
        <v>588</v>
      </c>
      <c r="C178" s="376" t="str">
        <f>CONCATENATE(C57,OILTrade!$N$62)</f>
        <v>PFSR7</v>
      </c>
      <c r="D178" s="376" t="str">
        <f>CONCATENATE(D57," Imported from ",OILTrade!$N$62)</f>
        <v>Petrochemical Feedstocks Imported from R7</v>
      </c>
      <c r="E178" s="376"/>
      <c r="F178" s="376"/>
      <c r="G178" s="379"/>
      <c r="H178" s="379"/>
      <c r="I178" s="379"/>
      <c r="J178" s="379"/>
    </row>
    <row r="179" spans="2:10">
      <c r="B179" s="376" t="s">
        <v>588</v>
      </c>
      <c r="C179" s="376" t="str">
        <f>CONCATENATE(C58,OILTrade!$N$62)</f>
        <v>RFHR7</v>
      </c>
      <c r="D179" s="376" t="str">
        <f>CONCATENATE(D58," Imported from ",OILTrade!$N$62)</f>
        <v>High Sulfur Residual Fuel Oil Imported from R7</v>
      </c>
      <c r="E179" s="376"/>
      <c r="F179" s="376"/>
      <c r="G179" s="379"/>
      <c r="H179" s="379"/>
      <c r="I179" s="379"/>
      <c r="J179" s="379"/>
    </row>
    <row r="180" spans="2:10">
      <c r="B180" s="376" t="s">
        <v>588</v>
      </c>
      <c r="C180" s="376" t="str">
        <f>CONCATENATE(C59,OILTrade!$N$62)</f>
        <v>RFLR7</v>
      </c>
      <c r="D180" s="376" t="str">
        <f>CONCATENATE(D59," Imported from ",OILTrade!$N$62)</f>
        <v>Low Sulfur Residual Fuel Oil Imported from R7</v>
      </c>
      <c r="E180" s="376"/>
      <c r="F180" s="376"/>
      <c r="G180" s="379"/>
      <c r="H180" s="379"/>
      <c r="I180" s="379"/>
      <c r="J180" s="379"/>
    </row>
    <row r="181" spans="2:10">
      <c r="B181" s="376" t="s">
        <v>588</v>
      </c>
      <c r="C181" s="376" t="str">
        <f>CONCATENATE(C60,OILTrade!$N$62)</f>
        <v>ASPR7</v>
      </c>
      <c r="D181" s="376" t="str">
        <f>CONCATENATE(D60," Imported from ",OILTrade!$N$62)</f>
        <v>Asphalt Imported from R7</v>
      </c>
      <c r="E181" s="376"/>
      <c r="F181" s="376"/>
      <c r="G181" s="379"/>
      <c r="H181" s="379"/>
      <c r="I181" s="379"/>
      <c r="J181" s="379"/>
    </row>
    <row r="182" spans="2:10">
      <c r="B182" s="376" t="s">
        <v>588</v>
      </c>
      <c r="C182" s="376" t="str">
        <f>CONCATENATE(C48,OILTrade!$N$63)</f>
        <v>GSCR8</v>
      </c>
      <c r="D182" s="376" t="str">
        <f>CONCATENATE(D48," Imported from ",OILTrade!$N$63)</f>
        <v>Conventional Gasoline Imported from R8</v>
      </c>
      <c r="E182" s="376"/>
      <c r="F182" s="376"/>
      <c r="G182" s="379"/>
      <c r="H182" s="379"/>
      <c r="I182" s="379"/>
      <c r="J182" s="379"/>
    </row>
    <row r="183" spans="2:10">
      <c r="B183" s="376" t="s">
        <v>588</v>
      </c>
      <c r="C183" s="376" t="str">
        <f>CONCATENATE(C49,OILTrade!$N$63)</f>
        <v>GSRR8</v>
      </c>
      <c r="D183" s="376" t="str">
        <f>CONCATENATE(D49," Imported from ",OILTrade!$N$63)</f>
        <v>Reformulated Gasoline Imported from R8</v>
      </c>
      <c r="E183" s="376"/>
      <c r="F183" s="376"/>
      <c r="G183" s="379"/>
      <c r="H183" s="379"/>
      <c r="I183" s="379"/>
      <c r="J183" s="379"/>
    </row>
    <row r="184" spans="2:10">
      <c r="B184" s="376" t="s">
        <v>588</v>
      </c>
      <c r="C184" s="376" t="str">
        <f>CONCATENATE(C50,OILTrade!$N$63)</f>
        <v>DSHR8</v>
      </c>
      <c r="D184" s="376" t="str">
        <f>CONCATENATE(D50," Imported from ",OILTrade!$N$63)</f>
        <v>Distillate-Heating Oil No. 2 Imported from R8</v>
      </c>
      <c r="E184" s="376"/>
      <c r="F184" s="376"/>
      <c r="G184" s="379"/>
      <c r="H184" s="379"/>
      <c r="I184" s="379"/>
      <c r="J184" s="379"/>
    </row>
    <row r="185" spans="2:10">
      <c r="B185" s="376" t="s">
        <v>588</v>
      </c>
      <c r="C185" s="376" t="str">
        <f>CONCATENATE(C51,OILTrade!$N$63)</f>
        <v>DSLR8</v>
      </c>
      <c r="D185" s="376" t="str">
        <f>CONCATENATE(D51," Imported from ",OILTrade!$N$63)</f>
        <v>Distillate-Low Sulfur Highway Diesel (500 ppm) Imported from R8</v>
      </c>
      <c r="E185" s="376"/>
      <c r="F185" s="376"/>
      <c r="G185" s="379"/>
      <c r="H185" s="379"/>
      <c r="I185" s="379"/>
      <c r="J185" s="379"/>
    </row>
    <row r="186" spans="2:10">
      <c r="B186" s="376" t="s">
        <v>588</v>
      </c>
      <c r="C186" s="376" t="str">
        <f>CONCATENATE(C52,OILTrade!$N$63)</f>
        <v>DSUR8</v>
      </c>
      <c r="D186" s="376" t="str">
        <f>CONCATENATE(D52," Imported from ",OILTrade!$N$63)</f>
        <v>Distillate-Ultralow Sulfur Highway Diesel (15 ppm) Imported from R8</v>
      </c>
      <c r="E186" s="376"/>
      <c r="F186" s="376"/>
      <c r="G186" s="379"/>
      <c r="H186" s="379"/>
      <c r="I186" s="379"/>
      <c r="J186" s="379"/>
    </row>
    <row r="187" spans="2:10">
      <c r="B187" s="376" t="s">
        <v>588</v>
      </c>
      <c r="C187" s="376" t="str">
        <f>CONCATENATE(C53,OILTrade!$N$63)</f>
        <v>JTFR8</v>
      </c>
      <c r="D187" s="376" t="str">
        <f>CONCATENATE(D53," Imported from ",OILTrade!$N$63)</f>
        <v>Jet Fuel Imported from R8</v>
      </c>
      <c r="E187" s="376"/>
      <c r="F187" s="376"/>
      <c r="G187" s="379"/>
      <c r="H187" s="379"/>
      <c r="I187" s="379"/>
      <c r="J187" s="379"/>
    </row>
    <row r="188" spans="2:10">
      <c r="B188" s="376" t="s">
        <v>588</v>
      </c>
      <c r="C188" s="376" t="str">
        <f>CONCATENATE(C54,OILTrade!$N$63)</f>
        <v>KERR8</v>
      </c>
      <c r="D188" s="376" t="str">
        <f>CONCATENATE(D54," Imported from ",OILTrade!$N$63)</f>
        <v>Kerosene and Other Refined Products Imported from R8</v>
      </c>
      <c r="E188" s="376"/>
      <c r="F188" s="376"/>
      <c r="G188" s="379"/>
      <c r="H188" s="379"/>
      <c r="I188" s="379"/>
      <c r="J188" s="379"/>
    </row>
    <row r="189" spans="2:10">
      <c r="B189" s="376" t="s">
        <v>588</v>
      </c>
      <c r="C189" s="376" t="str">
        <f>CONCATENATE(C55,OILTrade!$N$63)</f>
        <v>LPGR8</v>
      </c>
      <c r="D189" s="376" t="str">
        <f>CONCATENATE(D55," Imported from ",OILTrade!$N$63)</f>
        <v>LPG Imported from R8</v>
      </c>
      <c r="E189" s="376"/>
      <c r="F189" s="376"/>
      <c r="G189" s="379"/>
      <c r="H189" s="379"/>
      <c r="I189" s="379"/>
      <c r="J189" s="379"/>
    </row>
    <row r="190" spans="2:10">
      <c r="B190" s="376" t="s">
        <v>588</v>
      </c>
      <c r="C190" s="376" t="str">
        <f>CONCATENATE(C56,OILTrade!$N$63)</f>
        <v>MTHR8</v>
      </c>
      <c r="D190" s="376" t="str">
        <f>CONCATENATE(D56," Imported from ",OILTrade!$N$63)</f>
        <v>Methanol Imported from R8</v>
      </c>
      <c r="E190" s="376"/>
      <c r="F190" s="376"/>
      <c r="G190" s="379"/>
      <c r="H190" s="379"/>
      <c r="I190" s="379"/>
      <c r="J190" s="379"/>
    </row>
    <row r="191" spans="2:10">
      <c r="B191" s="376" t="s">
        <v>588</v>
      </c>
      <c r="C191" s="376" t="str">
        <f>CONCATENATE(C57,OILTrade!$N$63)</f>
        <v>PFSR8</v>
      </c>
      <c r="D191" s="376" t="str">
        <f>CONCATENATE(D57," Imported from ",OILTrade!$N$63)</f>
        <v>Petrochemical Feedstocks Imported from R8</v>
      </c>
      <c r="E191" s="376"/>
      <c r="F191" s="376"/>
      <c r="G191" s="379"/>
      <c r="H191" s="379"/>
      <c r="I191" s="379"/>
      <c r="J191" s="379"/>
    </row>
    <row r="192" spans="2:10">
      <c r="B192" s="376" t="s">
        <v>588</v>
      </c>
      <c r="C192" s="376" t="str">
        <f>CONCATENATE(C58,OILTrade!$N$63)</f>
        <v>RFHR8</v>
      </c>
      <c r="D192" s="376" t="str">
        <f>CONCATENATE(D58," Imported from ",OILTrade!$N$63)</f>
        <v>High Sulfur Residual Fuel Oil Imported from R8</v>
      </c>
      <c r="E192" s="376"/>
      <c r="F192" s="376"/>
      <c r="G192" s="379"/>
      <c r="H192" s="379"/>
      <c r="I192" s="379"/>
      <c r="J192" s="379"/>
    </row>
    <row r="193" spans="2:10">
      <c r="B193" s="376" t="s">
        <v>588</v>
      </c>
      <c r="C193" s="376" t="str">
        <f>CONCATENATE(C59,OILTrade!$N$63)</f>
        <v>RFLR8</v>
      </c>
      <c r="D193" s="376" t="str">
        <f>CONCATENATE(D59," Imported from ",OILTrade!$N$63)</f>
        <v>Low Sulfur Residual Fuel Oil Imported from R8</v>
      </c>
      <c r="E193" s="376"/>
      <c r="F193" s="376"/>
      <c r="G193" s="379"/>
      <c r="H193" s="379"/>
      <c r="I193" s="379"/>
      <c r="J193" s="379"/>
    </row>
    <row r="194" spans="2:10">
      <c r="B194" s="376" t="s">
        <v>588</v>
      </c>
      <c r="C194" s="376" t="str">
        <f>CONCATENATE(C60,OILTrade!$N$63)</f>
        <v>ASPR8</v>
      </c>
      <c r="D194" s="376" t="str">
        <f>CONCATENATE(D60," Imported from ",OILTrade!$N$63)</f>
        <v>Asphalt Imported from R8</v>
      </c>
      <c r="E194" s="376"/>
      <c r="F194" s="376"/>
      <c r="G194" s="379"/>
      <c r="H194" s="379"/>
      <c r="I194" s="379"/>
      <c r="J194" s="379"/>
    </row>
    <row r="195" spans="2:10">
      <c r="B195" s="372" t="s">
        <v>482</v>
      </c>
      <c r="C195" s="378"/>
      <c r="D195" s="378"/>
      <c r="E195" s="378"/>
      <c r="F195" s="378"/>
      <c r="G195" s="375"/>
      <c r="H195" s="375"/>
      <c r="I195" s="375"/>
      <c r="J195" s="375"/>
    </row>
    <row r="196" spans="2:10">
      <c r="B196" s="376" t="s">
        <v>1096</v>
      </c>
      <c r="C196" s="376" t="str">
        <f t="shared" ref="C196:C208" si="2">CONCATENATE(C48,"B")</f>
        <v>GSCB</v>
      </c>
      <c r="D196" s="376" t="str">
        <f t="shared" ref="D196:D208" si="3">CONCATENATE(C48," Traded by Barge/Vessel ")</f>
        <v xml:space="preserve">GSC Traded by Barge/Vessel </v>
      </c>
      <c r="E196" s="376"/>
      <c r="F196" s="376" t="s">
        <v>2496</v>
      </c>
      <c r="G196" s="379"/>
      <c r="H196" s="379"/>
      <c r="I196" s="379"/>
      <c r="J196" s="379"/>
    </row>
    <row r="197" spans="2:10">
      <c r="B197" s="376" t="s">
        <v>1096</v>
      </c>
      <c r="C197" s="376" t="str">
        <f t="shared" si="2"/>
        <v>GSRB</v>
      </c>
      <c r="D197" s="376" t="str">
        <f t="shared" si="3"/>
        <v xml:space="preserve">GSR Traded by Barge/Vessel </v>
      </c>
      <c r="E197" s="376"/>
      <c r="F197" s="376"/>
      <c r="G197" s="379"/>
      <c r="H197" s="379"/>
      <c r="I197" s="379"/>
      <c r="J197" s="379"/>
    </row>
    <row r="198" spans="2:10">
      <c r="B198" s="376" t="s">
        <v>1096</v>
      </c>
      <c r="C198" s="376" t="str">
        <f t="shared" si="2"/>
        <v>DSHB</v>
      </c>
      <c r="D198" s="376" t="str">
        <f t="shared" si="3"/>
        <v xml:space="preserve">DSH Traded by Barge/Vessel </v>
      </c>
      <c r="E198" s="376"/>
      <c r="F198" s="376"/>
      <c r="G198" s="379"/>
      <c r="H198" s="379"/>
      <c r="I198" s="379"/>
      <c r="J198" s="379"/>
    </row>
    <row r="199" spans="2:10">
      <c r="B199" s="376" t="s">
        <v>1096</v>
      </c>
      <c r="C199" s="376" t="str">
        <f t="shared" si="2"/>
        <v>DSLB</v>
      </c>
      <c r="D199" s="376" t="str">
        <f t="shared" si="3"/>
        <v xml:space="preserve">DSL Traded by Barge/Vessel </v>
      </c>
      <c r="E199" s="376"/>
      <c r="F199" s="376"/>
      <c r="G199" s="379"/>
      <c r="H199" s="379"/>
      <c r="I199" s="379"/>
      <c r="J199" s="379"/>
    </row>
    <row r="200" spans="2:10">
      <c r="B200" s="376" t="s">
        <v>1096</v>
      </c>
      <c r="C200" s="376" t="str">
        <f t="shared" si="2"/>
        <v>DSUB</v>
      </c>
      <c r="D200" s="376" t="str">
        <f t="shared" si="3"/>
        <v xml:space="preserve">DSU Traded by Barge/Vessel </v>
      </c>
      <c r="E200" s="376"/>
      <c r="F200" s="376"/>
      <c r="G200" s="379"/>
      <c r="H200" s="379"/>
      <c r="I200" s="379"/>
      <c r="J200" s="379"/>
    </row>
    <row r="201" spans="2:10">
      <c r="B201" s="376" t="s">
        <v>1096</v>
      </c>
      <c r="C201" s="376" t="str">
        <f t="shared" si="2"/>
        <v>JTFB</v>
      </c>
      <c r="D201" s="376" t="str">
        <f t="shared" si="3"/>
        <v xml:space="preserve">JTF Traded by Barge/Vessel </v>
      </c>
      <c r="E201" s="376"/>
      <c r="F201" s="376"/>
      <c r="G201" s="379"/>
      <c r="H201" s="379"/>
      <c r="I201" s="379"/>
      <c r="J201" s="379"/>
    </row>
    <row r="202" spans="2:10">
      <c r="B202" s="376" t="s">
        <v>1096</v>
      </c>
      <c r="C202" s="376" t="str">
        <f t="shared" si="2"/>
        <v>KERB</v>
      </c>
      <c r="D202" s="376" t="str">
        <f t="shared" si="3"/>
        <v xml:space="preserve">KER Traded by Barge/Vessel </v>
      </c>
      <c r="E202" s="376"/>
      <c r="F202" s="376"/>
      <c r="G202" s="379"/>
      <c r="H202" s="379"/>
      <c r="I202" s="379"/>
      <c r="J202" s="379"/>
    </row>
    <row r="203" spans="2:10">
      <c r="B203" s="376" t="s">
        <v>1096</v>
      </c>
      <c r="C203" s="376" t="str">
        <f t="shared" si="2"/>
        <v>LPGB</v>
      </c>
      <c r="D203" s="376" t="str">
        <f t="shared" si="3"/>
        <v xml:space="preserve">LPG Traded by Barge/Vessel </v>
      </c>
      <c r="E203" s="376"/>
      <c r="F203" s="376"/>
      <c r="G203" s="379"/>
      <c r="H203" s="379"/>
      <c r="I203" s="379"/>
      <c r="J203" s="379"/>
    </row>
    <row r="204" spans="2:10">
      <c r="B204" s="376" t="s">
        <v>1096</v>
      </c>
      <c r="C204" s="376" t="str">
        <f t="shared" si="2"/>
        <v>MTHB</v>
      </c>
      <c r="D204" s="376" t="str">
        <f t="shared" si="3"/>
        <v xml:space="preserve">MTH Traded by Barge/Vessel </v>
      </c>
      <c r="E204" s="376"/>
      <c r="F204" s="376"/>
      <c r="G204" s="379"/>
      <c r="H204" s="379"/>
      <c r="I204" s="379"/>
      <c r="J204" s="379"/>
    </row>
    <row r="205" spans="2:10">
      <c r="B205" s="376" t="s">
        <v>1096</v>
      </c>
      <c r="C205" s="376" t="str">
        <f t="shared" si="2"/>
        <v>PFSB</v>
      </c>
      <c r="D205" s="376" t="str">
        <f t="shared" si="3"/>
        <v xml:space="preserve">PFS Traded by Barge/Vessel </v>
      </c>
      <c r="E205" s="376"/>
      <c r="F205" s="376"/>
      <c r="G205" s="379"/>
      <c r="H205" s="379"/>
      <c r="I205" s="379"/>
      <c r="J205" s="379"/>
    </row>
    <row r="206" spans="2:10">
      <c r="B206" s="376" t="s">
        <v>1096</v>
      </c>
      <c r="C206" s="376" t="str">
        <f t="shared" si="2"/>
        <v>RFHB</v>
      </c>
      <c r="D206" s="376" t="str">
        <f t="shared" si="3"/>
        <v xml:space="preserve">RFH Traded by Barge/Vessel </v>
      </c>
      <c r="E206" s="376"/>
      <c r="F206" s="376"/>
      <c r="G206" s="379"/>
      <c r="H206" s="379"/>
      <c r="I206" s="379"/>
      <c r="J206" s="379"/>
    </row>
    <row r="207" spans="2:10">
      <c r="B207" s="376" t="s">
        <v>1096</v>
      </c>
      <c r="C207" s="376" t="str">
        <f t="shared" si="2"/>
        <v>RFLB</v>
      </c>
      <c r="D207" s="376" t="str">
        <f t="shared" si="3"/>
        <v xml:space="preserve">RFL Traded by Barge/Vessel </v>
      </c>
      <c r="E207" s="376"/>
      <c r="F207" s="376"/>
      <c r="G207" s="379"/>
      <c r="H207" s="379"/>
      <c r="I207" s="379"/>
      <c r="J207" s="379"/>
    </row>
    <row r="208" spans="2:10">
      <c r="B208" s="376" t="s">
        <v>1096</v>
      </c>
      <c r="C208" s="376" t="str">
        <f t="shared" si="2"/>
        <v>ASPB</v>
      </c>
      <c r="D208" s="376" t="str">
        <f t="shared" si="3"/>
        <v xml:space="preserve">ASP Traded by Barge/Vessel </v>
      </c>
      <c r="E208" s="376"/>
      <c r="F208" s="376"/>
      <c r="G208" s="379"/>
      <c r="H208" s="379"/>
      <c r="I208" s="379"/>
      <c r="J208" s="379"/>
    </row>
    <row r="209" spans="2:10">
      <c r="B209" s="376" t="s">
        <v>1086</v>
      </c>
      <c r="C209" s="376" t="str">
        <f>CONCATENATE(C196,OILTrade!$N$71)</f>
        <v>GSCBR2</v>
      </c>
      <c r="D209" s="376" t="str">
        <f>CONCATENATE(D196," Imported from ",OILTrade!$N$71)</f>
        <v>GSC Traded by Barge/Vessel  Imported from R2</v>
      </c>
      <c r="E209" s="376"/>
      <c r="F209" s="376"/>
      <c r="G209" s="379"/>
      <c r="H209" s="379"/>
      <c r="I209" s="379"/>
      <c r="J209" s="379"/>
    </row>
    <row r="210" spans="2:10">
      <c r="B210" s="376" t="s">
        <v>1086</v>
      </c>
      <c r="C210" s="376" t="str">
        <f>CONCATENATE(C197,OILTrade!$N$71)</f>
        <v>GSRBR2</v>
      </c>
      <c r="D210" s="376" t="str">
        <f>CONCATENATE(D197," Imported from ",OILTrade!$N$71)</f>
        <v>GSR Traded by Barge/Vessel  Imported from R2</v>
      </c>
      <c r="E210" s="376"/>
      <c r="F210" s="376"/>
      <c r="G210" s="379"/>
      <c r="H210" s="379"/>
      <c r="I210" s="379"/>
      <c r="J210" s="379"/>
    </row>
    <row r="211" spans="2:10">
      <c r="B211" s="376" t="s">
        <v>1086</v>
      </c>
      <c r="C211" s="376" t="str">
        <f>CONCATENATE(C198,OILTrade!$N$71)</f>
        <v>DSHBR2</v>
      </c>
      <c r="D211" s="376" t="str">
        <f>CONCATENATE(D198," Imported from ",OILTrade!$N$71)</f>
        <v>DSH Traded by Barge/Vessel  Imported from R2</v>
      </c>
      <c r="E211" s="376"/>
      <c r="F211" s="376"/>
      <c r="G211" s="379"/>
      <c r="H211" s="379"/>
      <c r="I211" s="379"/>
      <c r="J211" s="379"/>
    </row>
    <row r="212" spans="2:10">
      <c r="B212" s="376" t="s">
        <v>1086</v>
      </c>
      <c r="C212" s="376" t="str">
        <f>CONCATENATE(C199,OILTrade!$N$71)</f>
        <v>DSLBR2</v>
      </c>
      <c r="D212" s="376" t="str">
        <f>CONCATENATE(D199," Imported from ",OILTrade!$N$71)</f>
        <v>DSL Traded by Barge/Vessel  Imported from R2</v>
      </c>
      <c r="E212" s="376"/>
      <c r="F212" s="376"/>
      <c r="G212" s="379"/>
      <c r="H212" s="379"/>
      <c r="I212" s="379"/>
      <c r="J212" s="379"/>
    </row>
    <row r="213" spans="2:10">
      <c r="B213" s="376" t="s">
        <v>1086</v>
      </c>
      <c r="C213" s="376" t="str">
        <f>CONCATENATE(C200,OILTrade!$N$71)</f>
        <v>DSUBR2</v>
      </c>
      <c r="D213" s="376" t="str">
        <f>CONCATENATE(D200," Imported from ",OILTrade!$N$71)</f>
        <v>DSU Traded by Barge/Vessel  Imported from R2</v>
      </c>
      <c r="E213" s="376"/>
      <c r="F213" s="376"/>
      <c r="G213" s="379"/>
      <c r="H213" s="379"/>
      <c r="I213" s="379"/>
      <c r="J213" s="379"/>
    </row>
    <row r="214" spans="2:10">
      <c r="B214" s="376" t="s">
        <v>1086</v>
      </c>
      <c r="C214" s="376" t="str">
        <f>CONCATENATE(C201,OILTrade!$N$71)</f>
        <v>JTFBR2</v>
      </c>
      <c r="D214" s="376" t="str">
        <f>CONCATENATE(D201," Imported from ",OILTrade!$N$71)</f>
        <v>JTF Traded by Barge/Vessel  Imported from R2</v>
      </c>
      <c r="E214" s="376"/>
      <c r="F214" s="376"/>
      <c r="G214" s="379"/>
      <c r="H214" s="379"/>
      <c r="I214" s="379"/>
      <c r="J214" s="379"/>
    </row>
    <row r="215" spans="2:10">
      <c r="B215" s="376" t="s">
        <v>1086</v>
      </c>
      <c r="C215" s="376" t="str">
        <f>CONCATENATE(C202,OILTrade!$N$71)</f>
        <v>KERBR2</v>
      </c>
      <c r="D215" s="376" t="str">
        <f>CONCATENATE(D202," Imported from ",OILTrade!$N$71)</f>
        <v>KER Traded by Barge/Vessel  Imported from R2</v>
      </c>
      <c r="E215" s="376"/>
      <c r="F215" s="376"/>
      <c r="G215" s="379"/>
      <c r="H215" s="379"/>
      <c r="I215" s="379"/>
      <c r="J215" s="379"/>
    </row>
    <row r="216" spans="2:10">
      <c r="B216" s="376" t="s">
        <v>1086</v>
      </c>
      <c r="C216" s="376" t="str">
        <f>CONCATENATE(C203,OILTrade!$N$71)</f>
        <v>LPGBR2</v>
      </c>
      <c r="D216" s="376" t="str">
        <f>CONCATENATE(D203," Imported from ",OILTrade!$N$71)</f>
        <v>LPG Traded by Barge/Vessel  Imported from R2</v>
      </c>
      <c r="E216" s="376"/>
      <c r="F216" s="376"/>
      <c r="G216" s="379"/>
      <c r="H216" s="379"/>
      <c r="I216" s="379"/>
      <c r="J216" s="379"/>
    </row>
    <row r="217" spans="2:10">
      <c r="B217" s="376" t="s">
        <v>1086</v>
      </c>
      <c r="C217" s="376" t="str">
        <f>CONCATENATE(C204,OILTrade!$N$71)</f>
        <v>MTHBR2</v>
      </c>
      <c r="D217" s="376" t="str">
        <f>CONCATENATE(D204," Imported from ",OILTrade!$N$71)</f>
        <v>MTH Traded by Barge/Vessel  Imported from R2</v>
      </c>
      <c r="E217" s="376"/>
      <c r="F217" s="376"/>
      <c r="G217" s="379"/>
      <c r="H217" s="379"/>
      <c r="I217" s="379"/>
      <c r="J217" s="379"/>
    </row>
    <row r="218" spans="2:10">
      <c r="B218" s="376" t="s">
        <v>1086</v>
      </c>
      <c r="C218" s="376" t="str">
        <f>CONCATENATE(C205,OILTrade!$N$71)</f>
        <v>PFSBR2</v>
      </c>
      <c r="D218" s="376" t="str">
        <f>CONCATENATE(D205," Imported from ",OILTrade!$N$71)</f>
        <v>PFS Traded by Barge/Vessel  Imported from R2</v>
      </c>
      <c r="E218" s="376"/>
      <c r="F218" s="376"/>
      <c r="G218" s="379"/>
      <c r="H218" s="379"/>
      <c r="I218" s="379"/>
      <c r="J218" s="379"/>
    </row>
    <row r="219" spans="2:10">
      <c r="B219" s="376" t="s">
        <v>1086</v>
      </c>
      <c r="C219" s="376" t="str">
        <f>CONCATENATE(C206,OILTrade!$N$71)</f>
        <v>RFHBR2</v>
      </c>
      <c r="D219" s="376" t="str">
        <f>CONCATENATE(D206," Imported from ",OILTrade!$N$71)</f>
        <v>RFH Traded by Barge/Vessel  Imported from R2</v>
      </c>
      <c r="E219" s="376"/>
      <c r="F219" s="376"/>
      <c r="G219" s="379"/>
      <c r="H219" s="379"/>
      <c r="I219" s="379"/>
      <c r="J219" s="379"/>
    </row>
    <row r="220" spans="2:10">
      <c r="B220" s="376" t="s">
        <v>1086</v>
      </c>
      <c r="C220" s="376" t="str">
        <f>CONCATENATE(C207,OILTrade!$N$71)</f>
        <v>RFLBR2</v>
      </c>
      <c r="D220" s="376" t="str">
        <f>CONCATENATE(D207," Imported from ",OILTrade!$N$71)</f>
        <v>RFL Traded by Barge/Vessel  Imported from R2</v>
      </c>
      <c r="E220" s="376"/>
      <c r="F220" s="376"/>
      <c r="G220" s="379"/>
      <c r="H220" s="379"/>
      <c r="I220" s="379"/>
      <c r="J220" s="379"/>
    </row>
    <row r="221" spans="2:10">
      <c r="B221" s="376" t="s">
        <v>1086</v>
      </c>
      <c r="C221" s="376" t="str">
        <f>CONCATENATE(C208,OILTrade!$N$71)</f>
        <v>ASPBR2</v>
      </c>
      <c r="D221" s="376" t="str">
        <f>CONCATENATE(D208," Imported from ",OILTrade!$N$71)</f>
        <v>ASP Traded by Barge/Vessel  Imported from R2</v>
      </c>
      <c r="E221" s="376"/>
      <c r="F221" s="376"/>
      <c r="G221" s="379"/>
      <c r="H221" s="379"/>
      <c r="I221" s="379"/>
      <c r="J221" s="379"/>
    </row>
    <row r="222" spans="2:10">
      <c r="B222" s="376" t="s">
        <v>1093</v>
      </c>
      <c r="C222" s="376" t="str">
        <f>CONCATENATE(C196,OILTrade!$N$72)</f>
        <v>GSCBR3</v>
      </c>
      <c r="D222" s="376" t="str">
        <f>CONCATENATE(D196," Imported from ",OILTrade!$N$72)</f>
        <v>GSC Traded by Barge/Vessel  Imported from R3</v>
      </c>
      <c r="E222" s="376"/>
      <c r="F222" s="376"/>
      <c r="G222" s="379"/>
      <c r="H222" s="379"/>
      <c r="I222" s="379"/>
      <c r="J222" s="379"/>
    </row>
    <row r="223" spans="2:10">
      <c r="B223" s="376" t="s">
        <v>1093</v>
      </c>
      <c r="C223" s="376" t="str">
        <f>CONCATENATE(C197,OILTrade!$N$72)</f>
        <v>GSRBR3</v>
      </c>
      <c r="D223" s="376" t="str">
        <f>CONCATENATE(D197," Imported from ",OILTrade!$N$72)</f>
        <v>GSR Traded by Barge/Vessel  Imported from R3</v>
      </c>
      <c r="E223" s="376"/>
      <c r="F223" s="376"/>
      <c r="G223" s="379"/>
      <c r="H223" s="379"/>
      <c r="I223" s="379"/>
      <c r="J223" s="379"/>
    </row>
    <row r="224" spans="2:10">
      <c r="B224" s="376" t="s">
        <v>1093</v>
      </c>
      <c r="C224" s="376" t="str">
        <f>CONCATENATE(C198,OILTrade!$N$72)</f>
        <v>DSHBR3</v>
      </c>
      <c r="D224" s="376" t="str">
        <f>CONCATENATE(D198," Imported from ",OILTrade!$N$72)</f>
        <v>DSH Traded by Barge/Vessel  Imported from R3</v>
      </c>
      <c r="E224" s="376"/>
      <c r="F224" s="376"/>
      <c r="G224" s="379"/>
      <c r="H224" s="379"/>
      <c r="I224" s="379"/>
      <c r="J224" s="379"/>
    </row>
    <row r="225" spans="2:10">
      <c r="B225" s="376" t="s">
        <v>1093</v>
      </c>
      <c r="C225" s="376" t="str">
        <f>CONCATENATE(C199,OILTrade!$N$72)</f>
        <v>DSLBR3</v>
      </c>
      <c r="D225" s="376" t="str">
        <f>CONCATENATE(D199," Imported from ",OILTrade!$N$72)</f>
        <v>DSL Traded by Barge/Vessel  Imported from R3</v>
      </c>
      <c r="E225" s="376"/>
      <c r="F225" s="376"/>
      <c r="G225" s="379"/>
      <c r="H225" s="379"/>
      <c r="I225" s="379"/>
      <c r="J225" s="379"/>
    </row>
    <row r="226" spans="2:10">
      <c r="B226" s="376" t="s">
        <v>1093</v>
      </c>
      <c r="C226" s="376" t="str">
        <f>CONCATENATE(C200,OILTrade!$N$72)</f>
        <v>DSUBR3</v>
      </c>
      <c r="D226" s="376" t="str">
        <f>CONCATENATE(D200," Imported from ",OILTrade!$N$72)</f>
        <v>DSU Traded by Barge/Vessel  Imported from R3</v>
      </c>
      <c r="E226" s="376"/>
      <c r="F226" s="376"/>
      <c r="G226" s="379"/>
      <c r="H226" s="379"/>
      <c r="I226" s="379"/>
      <c r="J226" s="379"/>
    </row>
    <row r="227" spans="2:10">
      <c r="B227" s="376" t="s">
        <v>1093</v>
      </c>
      <c r="C227" s="376" t="str">
        <f>CONCATENATE(C201,OILTrade!$N$72)</f>
        <v>JTFBR3</v>
      </c>
      <c r="D227" s="376" t="str">
        <f>CONCATENATE(D201," Imported from ",OILTrade!$N$72)</f>
        <v>JTF Traded by Barge/Vessel  Imported from R3</v>
      </c>
      <c r="E227" s="376"/>
      <c r="F227" s="376"/>
      <c r="G227" s="379"/>
      <c r="H227" s="379"/>
      <c r="I227" s="379"/>
      <c r="J227" s="379"/>
    </row>
    <row r="228" spans="2:10">
      <c r="B228" s="376" t="s">
        <v>1093</v>
      </c>
      <c r="C228" s="376" t="str">
        <f>CONCATENATE(C202,OILTrade!$N$72)</f>
        <v>KERBR3</v>
      </c>
      <c r="D228" s="376" t="str">
        <f>CONCATENATE(D202," Imported from ",OILTrade!$N$72)</f>
        <v>KER Traded by Barge/Vessel  Imported from R3</v>
      </c>
      <c r="E228" s="376"/>
      <c r="F228" s="376"/>
      <c r="G228" s="379"/>
      <c r="H228" s="379"/>
      <c r="I228" s="379"/>
      <c r="J228" s="379"/>
    </row>
    <row r="229" spans="2:10">
      <c r="B229" s="376" t="s">
        <v>1093</v>
      </c>
      <c r="C229" s="376" t="str">
        <f>CONCATENATE(C203,OILTrade!$N$72)</f>
        <v>LPGBR3</v>
      </c>
      <c r="D229" s="376" t="str">
        <f>CONCATENATE(D203," Imported from ",OILTrade!$N$72)</f>
        <v>LPG Traded by Barge/Vessel  Imported from R3</v>
      </c>
      <c r="E229" s="376"/>
      <c r="F229" s="376"/>
      <c r="G229" s="379"/>
      <c r="H229" s="379"/>
      <c r="I229" s="379"/>
      <c r="J229" s="379"/>
    </row>
    <row r="230" spans="2:10">
      <c r="B230" s="376" t="s">
        <v>1093</v>
      </c>
      <c r="C230" s="376" t="str">
        <f>CONCATENATE(C204,OILTrade!$N$72)</f>
        <v>MTHBR3</v>
      </c>
      <c r="D230" s="376" t="str">
        <f>CONCATENATE(D204," Imported from ",OILTrade!$N$72)</f>
        <v>MTH Traded by Barge/Vessel  Imported from R3</v>
      </c>
      <c r="E230" s="376"/>
      <c r="F230" s="376"/>
      <c r="G230" s="379"/>
      <c r="H230" s="379"/>
      <c r="I230" s="379"/>
      <c r="J230" s="379"/>
    </row>
    <row r="231" spans="2:10">
      <c r="B231" s="376" t="s">
        <v>1093</v>
      </c>
      <c r="C231" s="376" t="str">
        <f>CONCATENATE(C205,OILTrade!$N$72)</f>
        <v>PFSBR3</v>
      </c>
      <c r="D231" s="376" t="str">
        <f>CONCATENATE(D205," Imported from ",OILTrade!$N$72)</f>
        <v>PFS Traded by Barge/Vessel  Imported from R3</v>
      </c>
      <c r="E231" s="376"/>
      <c r="F231" s="376"/>
      <c r="G231" s="379"/>
      <c r="H231" s="379"/>
      <c r="I231" s="379"/>
      <c r="J231" s="379"/>
    </row>
    <row r="232" spans="2:10">
      <c r="B232" s="376" t="s">
        <v>1093</v>
      </c>
      <c r="C232" s="376" t="str">
        <f>CONCATENATE(C206,OILTrade!$N$72)</f>
        <v>RFHBR3</v>
      </c>
      <c r="D232" s="376" t="str">
        <f>CONCATENATE(D206," Imported from ",OILTrade!$N$72)</f>
        <v>RFH Traded by Barge/Vessel  Imported from R3</v>
      </c>
      <c r="E232" s="376"/>
      <c r="F232" s="376"/>
      <c r="G232" s="379"/>
      <c r="H232" s="379"/>
      <c r="I232" s="379"/>
      <c r="J232" s="379"/>
    </row>
    <row r="233" spans="2:10">
      <c r="B233" s="376" t="s">
        <v>1093</v>
      </c>
      <c r="C233" s="376" t="str">
        <f>CONCATENATE(C207,OILTrade!$N$72)</f>
        <v>RFLBR3</v>
      </c>
      <c r="D233" s="376" t="str">
        <f>CONCATENATE(D207," Imported from ",OILTrade!$N$72)</f>
        <v>RFL Traded by Barge/Vessel  Imported from R3</v>
      </c>
      <c r="E233" s="376"/>
      <c r="F233" s="376"/>
      <c r="G233" s="379"/>
      <c r="H233" s="379"/>
      <c r="I233" s="379"/>
      <c r="J233" s="379"/>
    </row>
    <row r="234" spans="2:10">
      <c r="B234" s="376" t="s">
        <v>1093</v>
      </c>
      <c r="C234" s="376" t="str">
        <f>CONCATENATE(C208,OILTrade!$N$72)</f>
        <v>ASPBR3</v>
      </c>
      <c r="D234" s="376" t="str">
        <f>CONCATENATE(D208," Imported from ",OILTrade!$N$72)</f>
        <v>ASP Traded by Barge/Vessel  Imported from R3</v>
      </c>
      <c r="E234" s="376"/>
      <c r="F234" s="376"/>
      <c r="G234" s="379"/>
      <c r="H234" s="379"/>
      <c r="I234" s="379"/>
      <c r="J234" s="379"/>
    </row>
    <row r="235" spans="2:10">
      <c r="B235" s="376" t="s">
        <v>1093</v>
      </c>
      <c r="C235" s="376" t="str">
        <f>CONCATENATE(C196,OILTrade!$N$73)</f>
        <v>GSCBR4</v>
      </c>
      <c r="D235" s="376" t="str">
        <f>CONCATENATE(D196," Imported from ",OILTrade!$N$73)</f>
        <v>GSC Traded by Barge/Vessel  Imported from R4</v>
      </c>
      <c r="E235" s="376"/>
      <c r="F235" s="376"/>
      <c r="G235" s="379"/>
      <c r="H235" s="379"/>
      <c r="I235" s="379"/>
      <c r="J235" s="379"/>
    </row>
    <row r="236" spans="2:10">
      <c r="B236" s="376" t="s">
        <v>1093</v>
      </c>
      <c r="C236" s="376" t="str">
        <f>CONCATENATE(C197,OILTrade!$N$73)</f>
        <v>GSRBR4</v>
      </c>
      <c r="D236" s="376" t="str">
        <f>CONCATENATE(D197," Imported from ",OILTrade!$N$73)</f>
        <v>GSR Traded by Barge/Vessel  Imported from R4</v>
      </c>
      <c r="E236" s="376"/>
      <c r="F236" s="376"/>
      <c r="G236" s="379"/>
      <c r="H236" s="379"/>
      <c r="I236" s="379"/>
      <c r="J236" s="379"/>
    </row>
    <row r="237" spans="2:10">
      <c r="B237" s="376" t="s">
        <v>1093</v>
      </c>
      <c r="C237" s="376" t="str">
        <f>CONCATENATE(C198,OILTrade!$N$73)</f>
        <v>DSHBR4</v>
      </c>
      <c r="D237" s="376" t="str">
        <f>CONCATENATE(D198," Imported from ",OILTrade!$N$73)</f>
        <v>DSH Traded by Barge/Vessel  Imported from R4</v>
      </c>
      <c r="E237" s="376"/>
      <c r="F237" s="376"/>
      <c r="G237" s="379"/>
      <c r="H237" s="379"/>
      <c r="I237" s="379"/>
      <c r="J237" s="379"/>
    </row>
    <row r="238" spans="2:10">
      <c r="B238" s="376" t="s">
        <v>1093</v>
      </c>
      <c r="C238" s="376" t="str">
        <f>CONCATENATE(C199,OILTrade!$N$73)</f>
        <v>DSLBR4</v>
      </c>
      <c r="D238" s="376" t="str">
        <f>CONCATENATE(D199," Imported from ",OILTrade!$N$73)</f>
        <v>DSL Traded by Barge/Vessel  Imported from R4</v>
      </c>
      <c r="E238" s="376"/>
      <c r="F238" s="376"/>
      <c r="G238" s="379"/>
      <c r="H238" s="379"/>
      <c r="I238" s="379"/>
      <c r="J238" s="379"/>
    </row>
    <row r="239" spans="2:10">
      <c r="B239" s="376" t="s">
        <v>1093</v>
      </c>
      <c r="C239" s="376" t="str">
        <f>CONCATENATE(C200,OILTrade!$N$73)</f>
        <v>DSUBR4</v>
      </c>
      <c r="D239" s="376" t="str">
        <f>CONCATENATE(D200," Imported from ",OILTrade!$N$73)</f>
        <v>DSU Traded by Barge/Vessel  Imported from R4</v>
      </c>
      <c r="E239" s="376"/>
      <c r="F239" s="376"/>
      <c r="G239" s="379"/>
      <c r="H239" s="379"/>
      <c r="I239" s="379"/>
      <c r="J239" s="379"/>
    </row>
    <row r="240" spans="2:10">
      <c r="B240" s="376" t="s">
        <v>1093</v>
      </c>
      <c r="C240" s="376" t="str">
        <f>CONCATENATE(C201,OILTrade!$N$73)</f>
        <v>JTFBR4</v>
      </c>
      <c r="D240" s="376" t="str">
        <f>CONCATENATE(D201," Imported from ",OILTrade!$N$73)</f>
        <v>JTF Traded by Barge/Vessel  Imported from R4</v>
      </c>
      <c r="E240" s="376"/>
      <c r="F240" s="376"/>
      <c r="G240" s="379"/>
      <c r="H240" s="379"/>
      <c r="I240" s="379"/>
      <c r="J240" s="379"/>
    </row>
    <row r="241" spans="2:10">
      <c r="B241" s="376" t="s">
        <v>1093</v>
      </c>
      <c r="C241" s="376" t="str">
        <f>CONCATENATE(C202,OILTrade!$N$73)</f>
        <v>KERBR4</v>
      </c>
      <c r="D241" s="376" t="str">
        <f>CONCATENATE(D202," Imported from ",OILTrade!$N$73)</f>
        <v>KER Traded by Barge/Vessel  Imported from R4</v>
      </c>
      <c r="E241" s="376"/>
      <c r="F241" s="376"/>
      <c r="G241" s="379"/>
      <c r="H241" s="379"/>
      <c r="I241" s="379"/>
      <c r="J241" s="379"/>
    </row>
    <row r="242" spans="2:10">
      <c r="B242" s="376" t="s">
        <v>1093</v>
      </c>
      <c r="C242" s="376" t="str">
        <f>CONCATENATE(C203,OILTrade!$N$73)</f>
        <v>LPGBR4</v>
      </c>
      <c r="D242" s="376" t="str">
        <f>CONCATENATE(D203," Imported from ",OILTrade!$N$73)</f>
        <v>LPG Traded by Barge/Vessel  Imported from R4</v>
      </c>
      <c r="E242" s="376"/>
      <c r="F242" s="376"/>
      <c r="G242" s="379"/>
      <c r="H242" s="379"/>
      <c r="I242" s="379"/>
      <c r="J242" s="379"/>
    </row>
    <row r="243" spans="2:10">
      <c r="B243" s="376" t="s">
        <v>1093</v>
      </c>
      <c r="C243" s="376" t="str">
        <f>CONCATENATE(C204,OILTrade!$N$73)</f>
        <v>MTHBR4</v>
      </c>
      <c r="D243" s="376" t="str">
        <f>CONCATENATE(D204," Imported from ",OILTrade!$N$73)</f>
        <v>MTH Traded by Barge/Vessel  Imported from R4</v>
      </c>
      <c r="E243" s="376"/>
      <c r="F243" s="376"/>
      <c r="G243" s="379"/>
      <c r="H243" s="379"/>
      <c r="I243" s="379"/>
      <c r="J243" s="379"/>
    </row>
    <row r="244" spans="2:10">
      <c r="B244" s="376" t="s">
        <v>1093</v>
      </c>
      <c r="C244" s="376" t="str">
        <f>CONCATENATE(C205,OILTrade!$N$73)</f>
        <v>PFSBR4</v>
      </c>
      <c r="D244" s="376" t="str">
        <f>CONCATENATE(D205," Imported from ",OILTrade!$N$73)</f>
        <v>PFS Traded by Barge/Vessel  Imported from R4</v>
      </c>
      <c r="E244" s="376"/>
      <c r="F244" s="376"/>
      <c r="G244" s="379"/>
      <c r="H244" s="379"/>
      <c r="I244" s="379"/>
      <c r="J244" s="379"/>
    </row>
    <row r="245" spans="2:10">
      <c r="B245" s="376" t="s">
        <v>1093</v>
      </c>
      <c r="C245" s="376" t="str">
        <f>CONCATENATE(C206,OILTrade!$N$73)</f>
        <v>RFHBR4</v>
      </c>
      <c r="D245" s="376" t="str">
        <f>CONCATENATE(D206," Imported from ",OILTrade!$N$73)</f>
        <v>RFH Traded by Barge/Vessel  Imported from R4</v>
      </c>
      <c r="E245" s="376"/>
      <c r="F245" s="376"/>
      <c r="G245" s="379"/>
      <c r="H245" s="379"/>
      <c r="I245" s="379"/>
      <c r="J245" s="379"/>
    </row>
    <row r="246" spans="2:10">
      <c r="B246" s="376" t="s">
        <v>1093</v>
      </c>
      <c r="C246" s="376" t="str">
        <f>CONCATENATE(C207,OILTrade!$N$73)</f>
        <v>RFLBR4</v>
      </c>
      <c r="D246" s="376" t="str">
        <f>CONCATENATE(D207," Imported from ",OILTrade!$N$73)</f>
        <v>RFL Traded by Barge/Vessel  Imported from R4</v>
      </c>
      <c r="E246" s="376"/>
      <c r="F246" s="376"/>
      <c r="G246" s="379"/>
      <c r="H246" s="379"/>
      <c r="I246" s="379"/>
      <c r="J246" s="379"/>
    </row>
    <row r="247" spans="2:10">
      <c r="B247" s="376" t="s">
        <v>1093</v>
      </c>
      <c r="C247" s="376" t="str">
        <f>CONCATENATE(C208,OILTrade!$N$73)</f>
        <v>ASPBR4</v>
      </c>
      <c r="D247" s="376" t="str">
        <f>CONCATENATE(D208," Imported from ",OILTrade!$N$73)</f>
        <v>ASP Traded by Barge/Vessel  Imported from R4</v>
      </c>
      <c r="E247" s="376"/>
      <c r="F247" s="376"/>
      <c r="G247" s="379"/>
      <c r="H247" s="379"/>
      <c r="I247" s="379"/>
      <c r="J247" s="379"/>
    </row>
    <row r="248" spans="2:10">
      <c r="B248" s="376" t="s">
        <v>1092</v>
      </c>
      <c r="C248" s="376" t="str">
        <f>CONCATENATE(C196,OILTrade!$N$74)</f>
        <v>GSCBR5</v>
      </c>
      <c r="D248" s="376" t="str">
        <f>CONCATENATE(D196," Imported from ",OILTrade!$N$74)</f>
        <v>GSC Traded by Barge/Vessel  Imported from R5</v>
      </c>
      <c r="E248" s="376"/>
      <c r="F248" s="376"/>
      <c r="G248" s="379"/>
      <c r="H248" s="379"/>
      <c r="I248" s="379"/>
      <c r="J248" s="379"/>
    </row>
    <row r="249" spans="2:10">
      <c r="B249" s="376" t="s">
        <v>1092</v>
      </c>
      <c r="C249" s="376" t="str">
        <f>CONCATENATE(C197,OILTrade!$N$74)</f>
        <v>GSRBR5</v>
      </c>
      <c r="D249" s="376" t="str">
        <f>CONCATENATE(D197," Imported from ",OILTrade!$N$74)</f>
        <v>GSR Traded by Barge/Vessel  Imported from R5</v>
      </c>
      <c r="E249" s="376"/>
      <c r="F249" s="376"/>
      <c r="G249" s="379"/>
      <c r="H249" s="379"/>
      <c r="I249" s="379"/>
      <c r="J249" s="379"/>
    </row>
    <row r="250" spans="2:10">
      <c r="B250" s="376" t="s">
        <v>1092</v>
      </c>
      <c r="C250" s="376" t="str">
        <f>CONCATENATE(C198,OILTrade!$N$74)</f>
        <v>DSHBR5</v>
      </c>
      <c r="D250" s="376" t="str">
        <f>CONCATENATE(D198," Imported from ",OILTrade!$N$74)</f>
        <v>DSH Traded by Barge/Vessel  Imported from R5</v>
      </c>
      <c r="E250" s="376"/>
      <c r="F250" s="376"/>
      <c r="G250" s="379"/>
      <c r="H250" s="379"/>
      <c r="I250" s="379"/>
      <c r="J250" s="379"/>
    </row>
    <row r="251" spans="2:10">
      <c r="B251" s="376" t="s">
        <v>1092</v>
      </c>
      <c r="C251" s="376" t="str">
        <f>CONCATENATE(C199,OILTrade!$N$74)</f>
        <v>DSLBR5</v>
      </c>
      <c r="D251" s="376" t="str">
        <f>CONCATENATE(D199," Imported from ",OILTrade!$N$74)</f>
        <v>DSL Traded by Barge/Vessel  Imported from R5</v>
      </c>
      <c r="E251" s="376"/>
      <c r="F251" s="376"/>
      <c r="G251" s="379"/>
      <c r="H251" s="379"/>
      <c r="I251" s="379"/>
      <c r="J251" s="379"/>
    </row>
    <row r="252" spans="2:10">
      <c r="B252" s="376" t="s">
        <v>1092</v>
      </c>
      <c r="C252" s="376" t="str">
        <f>CONCATENATE(C200,OILTrade!$N$74)</f>
        <v>DSUBR5</v>
      </c>
      <c r="D252" s="376" t="str">
        <f>CONCATENATE(D200," Imported from ",OILTrade!$N$74)</f>
        <v>DSU Traded by Barge/Vessel  Imported from R5</v>
      </c>
      <c r="E252" s="376"/>
      <c r="F252" s="376"/>
      <c r="G252" s="379"/>
      <c r="H252" s="379"/>
      <c r="I252" s="379"/>
      <c r="J252" s="379"/>
    </row>
    <row r="253" spans="2:10">
      <c r="B253" s="376" t="s">
        <v>1092</v>
      </c>
      <c r="C253" s="376" t="str">
        <f>CONCATENATE(C201,OILTrade!$N$74)</f>
        <v>JTFBR5</v>
      </c>
      <c r="D253" s="376" t="str">
        <f>CONCATENATE(D201," Imported from ",OILTrade!$N$74)</f>
        <v>JTF Traded by Barge/Vessel  Imported from R5</v>
      </c>
      <c r="E253" s="376"/>
      <c r="F253" s="376"/>
      <c r="G253" s="379"/>
      <c r="H253" s="379"/>
      <c r="I253" s="379"/>
      <c r="J253" s="379"/>
    </row>
    <row r="254" spans="2:10">
      <c r="B254" s="376" t="s">
        <v>1092</v>
      </c>
      <c r="C254" s="376" t="str">
        <f>CONCATENATE(C202,OILTrade!$N$74)</f>
        <v>KERBR5</v>
      </c>
      <c r="D254" s="376" t="str">
        <f>CONCATENATE(D202," Imported from ",OILTrade!$N$74)</f>
        <v>KER Traded by Barge/Vessel  Imported from R5</v>
      </c>
      <c r="E254" s="376"/>
      <c r="F254" s="376"/>
      <c r="G254" s="379"/>
      <c r="H254" s="379"/>
      <c r="I254" s="379"/>
      <c r="J254" s="379"/>
    </row>
    <row r="255" spans="2:10">
      <c r="B255" s="376" t="s">
        <v>1092</v>
      </c>
      <c r="C255" s="376" t="str">
        <f>CONCATENATE(C203,OILTrade!$N$74)</f>
        <v>LPGBR5</v>
      </c>
      <c r="D255" s="376" t="str">
        <f>CONCATENATE(D203," Imported from ",OILTrade!$N$74)</f>
        <v>LPG Traded by Barge/Vessel  Imported from R5</v>
      </c>
      <c r="E255" s="376"/>
      <c r="F255" s="376"/>
      <c r="G255" s="379"/>
      <c r="H255" s="379"/>
      <c r="I255" s="379"/>
      <c r="J255" s="379"/>
    </row>
    <row r="256" spans="2:10">
      <c r="B256" s="376" t="s">
        <v>1092</v>
      </c>
      <c r="C256" s="376" t="str">
        <f>CONCATENATE(C204,OILTrade!$N$74)</f>
        <v>MTHBR5</v>
      </c>
      <c r="D256" s="376" t="str">
        <f>CONCATENATE(D204," Imported from ",OILTrade!$N$74)</f>
        <v>MTH Traded by Barge/Vessel  Imported from R5</v>
      </c>
      <c r="E256" s="376"/>
      <c r="F256" s="376"/>
      <c r="G256" s="379"/>
      <c r="H256" s="379"/>
      <c r="I256" s="379"/>
      <c r="J256" s="379"/>
    </row>
    <row r="257" spans="2:10">
      <c r="B257" s="376" t="s">
        <v>1092</v>
      </c>
      <c r="C257" s="376" t="str">
        <f>CONCATENATE(C205,OILTrade!$N$74)</f>
        <v>PFSBR5</v>
      </c>
      <c r="D257" s="376" t="str">
        <f>CONCATENATE(D205," Imported from ",OILTrade!$N$74)</f>
        <v>PFS Traded by Barge/Vessel  Imported from R5</v>
      </c>
      <c r="E257" s="376"/>
      <c r="F257" s="376"/>
      <c r="G257" s="379"/>
      <c r="H257" s="379"/>
      <c r="I257" s="379"/>
      <c r="J257" s="379"/>
    </row>
    <row r="258" spans="2:10">
      <c r="B258" s="376" t="s">
        <v>1092</v>
      </c>
      <c r="C258" s="376" t="str">
        <f>CONCATENATE(C206,OILTrade!$N$74)</f>
        <v>RFHBR5</v>
      </c>
      <c r="D258" s="376" t="str">
        <f>CONCATENATE(D206," Imported from ",OILTrade!$N$74)</f>
        <v>RFH Traded by Barge/Vessel  Imported from R5</v>
      </c>
      <c r="E258" s="376"/>
      <c r="F258" s="376"/>
      <c r="G258" s="379"/>
      <c r="H258" s="379"/>
      <c r="I258" s="379"/>
      <c r="J258" s="379"/>
    </row>
    <row r="259" spans="2:10">
      <c r="B259" s="376" t="s">
        <v>1092</v>
      </c>
      <c r="C259" s="376" t="str">
        <f>CONCATENATE(C207,OILTrade!$N$74)</f>
        <v>RFLBR5</v>
      </c>
      <c r="D259" s="376" t="str">
        <f>CONCATENATE(D207," Imported from ",OILTrade!$N$74)</f>
        <v>RFL Traded by Barge/Vessel  Imported from R5</v>
      </c>
      <c r="E259" s="376"/>
      <c r="F259" s="376"/>
      <c r="G259" s="379"/>
      <c r="H259" s="379"/>
      <c r="I259" s="379"/>
      <c r="J259" s="379"/>
    </row>
    <row r="260" spans="2:10">
      <c r="B260" s="376" t="s">
        <v>1092</v>
      </c>
      <c r="C260" s="376" t="str">
        <f>CONCATENATE(C208,OILTrade!$N$74)</f>
        <v>ASPBR5</v>
      </c>
      <c r="D260" s="376" t="str">
        <f>CONCATENATE(D208," Imported from ",OILTrade!$N$74)</f>
        <v>ASP Traded by Barge/Vessel  Imported from R5</v>
      </c>
      <c r="E260" s="376"/>
      <c r="F260" s="376"/>
      <c r="G260" s="379"/>
      <c r="H260" s="379"/>
      <c r="I260" s="379"/>
      <c r="J260" s="379"/>
    </row>
    <row r="261" spans="2:10">
      <c r="B261" s="376" t="s">
        <v>1094</v>
      </c>
      <c r="C261" s="376" t="str">
        <f>CONCATENATE(C196,OILTrade!$N$75)</f>
        <v>GSCBR6</v>
      </c>
      <c r="D261" s="376" t="str">
        <f>CONCATENATE(D196," Imported from ",OILTrade!$N$75)</f>
        <v>GSC Traded by Barge/Vessel  Imported from R6</v>
      </c>
      <c r="E261" s="376"/>
      <c r="F261" s="376"/>
      <c r="G261" s="379"/>
      <c r="H261" s="379"/>
      <c r="I261" s="379"/>
      <c r="J261" s="379"/>
    </row>
    <row r="262" spans="2:10">
      <c r="B262" s="376" t="s">
        <v>1094</v>
      </c>
      <c r="C262" s="376" t="str">
        <f>CONCATENATE(C197,OILTrade!$N$75)</f>
        <v>GSRBR6</v>
      </c>
      <c r="D262" s="376" t="str">
        <f>CONCATENATE(D197," Imported from ",OILTrade!$N$75)</f>
        <v>GSR Traded by Barge/Vessel  Imported from R6</v>
      </c>
      <c r="E262" s="376"/>
      <c r="F262" s="376"/>
      <c r="G262" s="379"/>
      <c r="H262" s="379"/>
      <c r="I262" s="379"/>
      <c r="J262" s="379"/>
    </row>
    <row r="263" spans="2:10">
      <c r="B263" s="376" t="s">
        <v>1094</v>
      </c>
      <c r="C263" s="376" t="str">
        <f>CONCATENATE(C198,OILTrade!$N$75)</f>
        <v>DSHBR6</v>
      </c>
      <c r="D263" s="376" t="str">
        <f>CONCATENATE(D198," Imported from ",OILTrade!$N$75)</f>
        <v>DSH Traded by Barge/Vessel  Imported from R6</v>
      </c>
      <c r="E263" s="376"/>
      <c r="F263" s="376"/>
      <c r="G263" s="379"/>
      <c r="H263" s="379"/>
      <c r="I263" s="379"/>
      <c r="J263" s="379"/>
    </row>
    <row r="264" spans="2:10">
      <c r="B264" s="376" t="s">
        <v>1094</v>
      </c>
      <c r="C264" s="376" t="str">
        <f>CONCATENATE(C199,OILTrade!$N$75)</f>
        <v>DSLBR6</v>
      </c>
      <c r="D264" s="376" t="str">
        <f>CONCATENATE(D199," Imported from ",OILTrade!$N$75)</f>
        <v>DSL Traded by Barge/Vessel  Imported from R6</v>
      </c>
      <c r="E264" s="376"/>
      <c r="F264" s="376"/>
      <c r="G264" s="379"/>
      <c r="H264" s="379"/>
      <c r="I264" s="379"/>
      <c r="J264" s="379"/>
    </row>
    <row r="265" spans="2:10">
      <c r="B265" s="376" t="s">
        <v>1094</v>
      </c>
      <c r="C265" s="376" t="str">
        <f>CONCATENATE(C200,OILTrade!$N$75)</f>
        <v>DSUBR6</v>
      </c>
      <c r="D265" s="376" t="str">
        <f>CONCATENATE(D200," Imported from ",OILTrade!$N$75)</f>
        <v>DSU Traded by Barge/Vessel  Imported from R6</v>
      </c>
      <c r="E265" s="376"/>
      <c r="F265" s="376"/>
      <c r="G265" s="379"/>
      <c r="H265" s="379"/>
      <c r="I265" s="379"/>
      <c r="J265" s="379"/>
    </row>
    <row r="266" spans="2:10">
      <c r="B266" s="376" t="s">
        <v>1094</v>
      </c>
      <c r="C266" s="376" t="str">
        <f>CONCATENATE(C201,OILTrade!$N$75)</f>
        <v>JTFBR6</v>
      </c>
      <c r="D266" s="376" t="str">
        <f>CONCATENATE(D201," Imported from ",OILTrade!$N$75)</f>
        <v>JTF Traded by Barge/Vessel  Imported from R6</v>
      </c>
      <c r="E266" s="376"/>
      <c r="F266" s="376"/>
      <c r="G266" s="379"/>
      <c r="H266" s="379"/>
      <c r="I266" s="379"/>
      <c r="J266" s="379"/>
    </row>
    <row r="267" spans="2:10">
      <c r="B267" s="376" t="s">
        <v>1094</v>
      </c>
      <c r="C267" s="376" t="str">
        <f>CONCATENATE(C202,OILTrade!$N$75)</f>
        <v>KERBR6</v>
      </c>
      <c r="D267" s="376" t="str">
        <f>CONCATENATE(D202," Imported from ",OILTrade!$N$75)</f>
        <v>KER Traded by Barge/Vessel  Imported from R6</v>
      </c>
      <c r="E267" s="376"/>
      <c r="F267" s="376"/>
      <c r="G267" s="379"/>
      <c r="H267" s="379"/>
      <c r="I267" s="379"/>
      <c r="J267" s="379"/>
    </row>
    <row r="268" spans="2:10">
      <c r="B268" s="376" t="s">
        <v>1094</v>
      </c>
      <c r="C268" s="376" t="str">
        <f>CONCATENATE(C203,OILTrade!$N$75)</f>
        <v>LPGBR6</v>
      </c>
      <c r="D268" s="376" t="str">
        <f>CONCATENATE(D203," Imported from ",OILTrade!$N$75)</f>
        <v>LPG Traded by Barge/Vessel  Imported from R6</v>
      </c>
      <c r="E268" s="376"/>
      <c r="F268" s="376"/>
      <c r="G268" s="379"/>
      <c r="H268" s="379"/>
      <c r="I268" s="379"/>
      <c r="J268" s="379"/>
    </row>
    <row r="269" spans="2:10">
      <c r="B269" s="376" t="s">
        <v>1094</v>
      </c>
      <c r="C269" s="376" t="str">
        <f>CONCATENATE(C204,OILTrade!$N$75)</f>
        <v>MTHBR6</v>
      </c>
      <c r="D269" s="376" t="str">
        <f>CONCATENATE(D204," Imported from ",OILTrade!$N$75)</f>
        <v>MTH Traded by Barge/Vessel  Imported from R6</v>
      </c>
      <c r="E269" s="376"/>
      <c r="F269" s="376"/>
      <c r="G269" s="379"/>
      <c r="H269" s="379"/>
      <c r="I269" s="379"/>
      <c r="J269" s="379"/>
    </row>
    <row r="270" spans="2:10">
      <c r="B270" s="376" t="s">
        <v>1094</v>
      </c>
      <c r="C270" s="376" t="str">
        <f>CONCATENATE(C205,OILTrade!$N$75)</f>
        <v>PFSBR6</v>
      </c>
      <c r="D270" s="376" t="str">
        <f>CONCATENATE(D205," Imported from ",OILTrade!$N$75)</f>
        <v>PFS Traded by Barge/Vessel  Imported from R6</v>
      </c>
      <c r="E270" s="376"/>
      <c r="F270" s="376"/>
      <c r="G270" s="379"/>
      <c r="H270" s="379"/>
      <c r="I270" s="379"/>
      <c r="J270" s="379"/>
    </row>
    <row r="271" spans="2:10">
      <c r="B271" s="376" t="s">
        <v>1094</v>
      </c>
      <c r="C271" s="376" t="str">
        <f>CONCATENATE(C206,OILTrade!$N$75)</f>
        <v>RFHBR6</v>
      </c>
      <c r="D271" s="376" t="str">
        <f>CONCATENATE(D206," Imported from ",OILTrade!$N$75)</f>
        <v>RFH Traded by Barge/Vessel  Imported from R6</v>
      </c>
      <c r="E271" s="376"/>
      <c r="F271" s="376"/>
      <c r="G271" s="379"/>
      <c r="H271" s="379"/>
      <c r="I271" s="379"/>
      <c r="J271" s="379"/>
    </row>
    <row r="272" spans="2:10">
      <c r="B272" s="376" t="s">
        <v>1094</v>
      </c>
      <c r="C272" s="376" t="str">
        <f>CONCATENATE(C207,OILTrade!$N$75)</f>
        <v>RFLBR6</v>
      </c>
      <c r="D272" s="376" t="str">
        <f>CONCATENATE(D207," Imported from ",OILTrade!$N$75)</f>
        <v>RFL Traded by Barge/Vessel  Imported from R6</v>
      </c>
      <c r="E272" s="376"/>
      <c r="F272" s="376"/>
      <c r="G272" s="379"/>
      <c r="H272" s="379"/>
      <c r="I272" s="379"/>
      <c r="J272" s="379"/>
    </row>
    <row r="273" spans="2:10">
      <c r="B273" s="376" t="s">
        <v>1094</v>
      </c>
      <c r="C273" s="376" t="str">
        <f>CONCATENATE(C208,OILTrade!$N$75)</f>
        <v>ASPBR6</v>
      </c>
      <c r="D273" s="376" t="str">
        <f>CONCATENATE(D208," Imported from ",OILTrade!$N$75)</f>
        <v>ASP Traded by Barge/Vessel  Imported from R6</v>
      </c>
      <c r="E273" s="376"/>
      <c r="F273" s="376"/>
      <c r="G273" s="379"/>
      <c r="H273" s="379"/>
      <c r="I273" s="379"/>
      <c r="J273" s="379"/>
    </row>
    <row r="274" spans="2:10">
      <c r="B274" s="376" t="s">
        <v>1029</v>
      </c>
      <c r="C274" s="376" t="str">
        <f>CONCATENATE(C196,OILTrade!$N$76)</f>
        <v>GSCBR7</v>
      </c>
      <c r="D274" s="376" t="str">
        <f>CONCATENATE(D196," Imported from ",OILTrade!$N$76)</f>
        <v>GSC Traded by Barge/Vessel  Imported from R7</v>
      </c>
      <c r="E274" s="376"/>
      <c r="F274" s="376"/>
      <c r="G274" s="379"/>
      <c r="H274" s="379"/>
      <c r="I274" s="379"/>
      <c r="J274" s="379"/>
    </row>
    <row r="275" spans="2:10">
      <c r="B275" s="376" t="s">
        <v>1029</v>
      </c>
      <c r="C275" s="376" t="str">
        <f>CONCATENATE(C197,OILTrade!$N$76)</f>
        <v>GSRBR7</v>
      </c>
      <c r="D275" s="376" t="str">
        <f>CONCATENATE(D197," Imported from ",OILTrade!$N$76)</f>
        <v>GSR Traded by Barge/Vessel  Imported from R7</v>
      </c>
      <c r="E275" s="376"/>
      <c r="F275" s="376"/>
      <c r="G275" s="379"/>
      <c r="H275" s="379"/>
      <c r="I275" s="379"/>
      <c r="J275" s="379"/>
    </row>
    <row r="276" spans="2:10">
      <c r="B276" s="376" t="s">
        <v>1029</v>
      </c>
      <c r="C276" s="376" t="str">
        <f>CONCATENATE(C198,OILTrade!$N$76)</f>
        <v>DSHBR7</v>
      </c>
      <c r="D276" s="376" t="str">
        <f>CONCATENATE(D198," Imported from ",OILTrade!$N$76)</f>
        <v>DSH Traded by Barge/Vessel  Imported from R7</v>
      </c>
      <c r="E276" s="376"/>
      <c r="F276" s="376"/>
      <c r="G276" s="379"/>
      <c r="H276" s="379"/>
      <c r="I276" s="379"/>
      <c r="J276" s="379"/>
    </row>
    <row r="277" spans="2:10">
      <c r="B277" s="376" t="s">
        <v>1029</v>
      </c>
      <c r="C277" s="376" t="str">
        <f>CONCATENATE(C199,OILTrade!$N$76)</f>
        <v>DSLBR7</v>
      </c>
      <c r="D277" s="376" t="str">
        <f>CONCATENATE(D199," Imported from ",OILTrade!$N$76)</f>
        <v>DSL Traded by Barge/Vessel  Imported from R7</v>
      </c>
      <c r="E277" s="376"/>
      <c r="F277" s="376"/>
      <c r="G277" s="379"/>
      <c r="H277" s="379"/>
      <c r="I277" s="379"/>
      <c r="J277" s="379"/>
    </row>
    <row r="278" spans="2:10">
      <c r="B278" s="376" t="s">
        <v>1029</v>
      </c>
      <c r="C278" s="376" t="str">
        <f>CONCATENATE(C200,OILTrade!$N$76)</f>
        <v>DSUBR7</v>
      </c>
      <c r="D278" s="376" t="str">
        <f>CONCATENATE(D200," Imported from ",OILTrade!$N$76)</f>
        <v>DSU Traded by Barge/Vessel  Imported from R7</v>
      </c>
      <c r="E278" s="376"/>
      <c r="F278" s="376"/>
      <c r="G278" s="379"/>
      <c r="H278" s="379"/>
      <c r="I278" s="379"/>
      <c r="J278" s="379"/>
    </row>
    <row r="279" spans="2:10">
      <c r="B279" s="376" t="s">
        <v>1029</v>
      </c>
      <c r="C279" s="376" t="str">
        <f>CONCATENATE(C201,OILTrade!$N$76)</f>
        <v>JTFBR7</v>
      </c>
      <c r="D279" s="376" t="str">
        <f>CONCATENATE(D201," Imported from ",OILTrade!$N$76)</f>
        <v>JTF Traded by Barge/Vessel  Imported from R7</v>
      </c>
      <c r="E279" s="376"/>
      <c r="F279" s="376"/>
      <c r="G279" s="379"/>
      <c r="H279" s="379"/>
      <c r="I279" s="379"/>
      <c r="J279" s="379"/>
    </row>
    <row r="280" spans="2:10">
      <c r="B280" s="376" t="s">
        <v>1029</v>
      </c>
      <c r="C280" s="376" t="str">
        <f>CONCATENATE(C202,OILTrade!$N$76)</f>
        <v>KERBR7</v>
      </c>
      <c r="D280" s="376" t="str">
        <f>CONCATENATE(D202," Imported from ",OILTrade!$N$76)</f>
        <v>KER Traded by Barge/Vessel  Imported from R7</v>
      </c>
      <c r="E280" s="376"/>
      <c r="F280" s="376"/>
      <c r="G280" s="379"/>
      <c r="H280" s="379"/>
      <c r="I280" s="379"/>
      <c r="J280" s="379"/>
    </row>
    <row r="281" spans="2:10">
      <c r="B281" s="376" t="s">
        <v>1029</v>
      </c>
      <c r="C281" s="376" t="str">
        <f>CONCATENATE(C203,OILTrade!$N$76)</f>
        <v>LPGBR7</v>
      </c>
      <c r="D281" s="376" t="str">
        <f>CONCATENATE(D203," Imported from ",OILTrade!$N$76)</f>
        <v>LPG Traded by Barge/Vessel  Imported from R7</v>
      </c>
      <c r="E281" s="376"/>
      <c r="F281" s="376"/>
      <c r="G281" s="379"/>
      <c r="H281" s="379"/>
      <c r="I281" s="379"/>
      <c r="J281" s="379"/>
    </row>
    <row r="282" spans="2:10">
      <c r="B282" s="376" t="s">
        <v>1029</v>
      </c>
      <c r="C282" s="376" t="str">
        <f>CONCATENATE(C204,OILTrade!$N$76)</f>
        <v>MTHBR7</v>
      </c>
      <c r="D282" s="376" t="str">
        <f>CONCATENATE(D204," Imported from ",OILTrade!$N$76)</f>
        <v>MTH Traded by Barge/Vessel  Imported from R7</v>
      </c>
      <c r="E282" s="376"/>
      <c r="F282" s="376"/>
      <c r="G282" s="379"/>
      <c r="H282" s="379"/>
      <c r="I282" s="379"/>
      <c r="J282" s="379"/>
    </row>
    <row r="283" spans="2:10">
      <c r="B283" s="376" t="s">
        <v>1029</v>
      </c>
      <c r="C283" s="376" t="str">
        <f>CONCATENATE(C205,OILTrade!$N$76)</f>
        <v>PFSBR7</v>
      </c>
      <c r="D283" s="376" t="str">
        <f>CONCATENATE(D205," Imported from ",OILTrade!$N$76)</f>
        <v>PFS Traded by Barge/Vessel  Imported from R7</v>
      </c>
      <c r="E283" s="376"/>
      <c r="F283" s="376"/>
      <c r="G283" s="379"/>
      <c r="H283" s="379"/>
      <c r="I283" s="379"/>
      <c r="J283" s="379"/>
    </row>
    <row r="284" spans="2:10">
      <c r="B284" s="376" t="s">
        <v>1029</v>
      </c>
      <c r="C284" s="376" t="str">
        <f>CONCATENATE(C206,OILTrade!$N$76)</f>
        <v>RFHBR7</v>
      </c>
      <c r="D284" s="376" t="str">
        <f>CONCATENATE(D206," Imported from ",OILTrade!$N$76)</f>
        <v>RFH Traded by Barge/Vessel  Imported from R7</v>
      </c>
      <c r="E284" s="376"/>
      <c r="F284" s="376"/>
      <c r="G284" s="379"/>
      <c r="H284" s="379"/>
      <c r="I284" s="379"/>
      <c r="J284" s="379"/>
    </row>
    <row r="285" spans="2:10">
      <c r="B285" s="376" t="s">
        <v>1029</v>
      </c>
      <c r="C285" s="376" t="str">
        <f>CONCATENATE(C207,OILTrade!$N$76)</f>
        <v>RFLBR7</v>
      </c>
      <c r="D285" s="376" t="str">
        <f>CONCATENATE(D207," Imported from ",OILTrade!$N$76)</f>
        <v>RFL Traded by Barge/Vessel  Imported from R7</v>
      </c>
      <c r="E285" s="376"/>
      <c r="F285" s="376"/>
      <c r="G285" s="379"/>
      <c r="H285" s="379"/>
      <c r="I285" s="379"/>
      <c r="J285" s="379"/>
    </row>
    <row r="286" spans="2:10">
      <c r="B286" s="376" t="s">
        <v>1029</v>
      </c>
      <c r="C286" s="376" t="str">
        <f>CONCATENATE(C208,OILTrade!$N$76)</f>
        <v>ASPBR7</v>
      </c>
      <c r="D286" s="376" t="str">
        <f>CONCATENATE(D208," Imported from ",OILTrade!$N$76)</f>
        <v>ASP Traded by Barge/Vessel  Imported from R7</v>
      </c>
      <c r="E286" s="376"/>
      <c r="F286" s="376"/>
      <c r="G286" s="379"/>
      <c r="H286" s="379"/>
      <c r="I286" s="379"/>
      <c r="J286" s="379"/>
    </row>
    <row r="287" spans="2:10">
      <c r="B287" s="372" t="s">
        <v>485</v>
      </c>
      <c r="C287" s="378"/>
      <c r="D287" s="378"/>
      <c r="E287" s="378"/>
      <c r="F287" s="378"/>
      <c r="G287" s="375"/>
      <c r="H287" s="375"/>
      <c r="I287" s="375"/>
      <c r="J287" s="375"/>
    </row>
    <row r="288" spans="2:10">
      <c r="B288" s="376" t="s">
        <v>1091</v>
      </c>
      <c r="C288" s="376" t="s">
        <v>486</v>
      </c>
      <c r="D288" s="376" t="str">
        <f t="shared" ref="D288:D299" si="4">CONCATENATE("Pipeline dummy commodity: ",LEFT(C288,2)," to ",B288)</f>
        <v>Pipeline dummy commodity: P1 to *R1</v>
      </c>
      <c r="E288" s="376" t="s">
        <v>384</v>
      </c>
      <c r="F288" s="376" t="s">
        <v>2497</v>
      </c>
      <c r="G288" s="379"/>
      <c r="H288" s="379"/>
      <c r="I288" s="379"/>
      <c r="J288" s="379"/>
    </row>
    <row r="289" spans="2:10">
      <c r="B289" s="376" t="s">
        <v>1085</v>
      </c>
      <c r="C289" s="376" t="s">
        <v>488</v>
      </c>
      <c r="D289" s="376" t="str">
        <f t="shared" si="4"/>
        <v>Pipeline dummy commodity: P1 to *R2</v>
      </c>
      <c r="E289" s="376"/>
      <c r="F289" s="376"/>
      <c r="G289" s="379"/>
      <c r="H289" s="379"/>
      <c r="I289" s="379"/>
      <c r="J289" s="379"/>
    </row>
    <row r="290" spans="2:10">
      <c r="B290" s="376" t="s">
        <v>1086</v>
      </c>
      <c r="C290" s="376" t="s">
        <v>2443</v>
      </c>
      <c r="D290" s="376" t="str">
        <f t="shared" si="4"/>
        <v>Pipeline dummy commodity: P1 to *R3</v>
      </c>
      <c r="E290" s="376"/>
      <c r="F290" s="376"/>
      <c r="G290" s="379"/>
      <c r="H290" s="379"/>
      <c r="I290" s="379"/>
      <c r="J290" s="379"/>
    </row>
    <row r="291" spans="2:10">
      <c r="B291" s="376" t="s">
        <v>1087</v>
      </c>
      <c r="C291" s="376" t="s">
        <v>2444</v>
      </c>
      <c r="D291" s="376" t="str">
        <f t="shared" si="4"/>
        <v>Pipeline dummy commodity: P1 to *R4</v>
      </c>
      <c r="E291" s="376"/>
      <c r="F291" s="376"/>
      <c r="G291" s="379"/>
      <c r="H291" s="379"/>
      <c r="I291" s="379"/>
      <c r="J291" s="379"/>
    </row>
    <row r="292" spans="2:10">
      <c r="B292" s="376" t="s">
        <v>1088</v>
      </c>
      <c r="C292" s="376" t="s">
        <v>489</v>
      </c>
      <c r="D292" s="376" t="str">
        <f t="shared" si="4"/>
        <v>Pipeline dummy commodity: P1 to *R5</v>
      </c>
      <c r="E292" s="376"/>
      <c r="F292" s="376"/>
      <c r="G292" s="379"/>
      <c r="H292" s="379"/>
      <c r="I292" s="379"/>
      <c r="J292" s="379"/>
    </row>
    <row r="293" spans="2:10">
      <c r="B293" s="376" t="s">
        <v>1089</v>
      </c>
      <c r="C293" s="376" t="s">
        <v>2445</v>
      </c>
      <c r="D293" s="376" t="str">
        <f t="shared" si="4"/>
        <v>Pipeline dummy commodity: P1 to *R6</v>
      </c>
      <c r="E293" s="376"/>
      <c r="F293" s="376"/>
      <c r="G293" s="379"/>
      <c r="H293" s="379"/>
      <c r="I293" s="379"/>
      <c r="J293" s="379"/>
    </row>
    <row r="294" spans="2:10">
      <c r="B294" s="376" t="s">
        <v>1091</v>
      </c>
      <c r="C294" s="376" t="s">
        <v>2426</v>
      </c>
      <c r="D294" s="376" t="str">
        <f t="shared" si="4"/>
        <v>Pipeline dummy commodity: P2 to *R1</v>
      </c>
      <c r="E294" s="376"/>
      <c r="F294" s="376"/>
      <c r="G294" s="379"/>
      <c r="H294" s="379"/>
      <c r="I294" s="379"/>
      <c r="J294" s="379"/>
    </row>
    <row r="295" spans="2:10">
      <c r="B295" s="376" t="str">
        <f t="shared" ref="B295:B299" si="5">CONCATENATE("*",MID(C295,3,2))</f>
        <v>*R4</v>
      </c>
      <c r="C295" s="376" t="s">
        <v>490</v>
      </c>
      <c r="D295" s="376" t="str">
        <f t="shared" si="4"/>
        <v>Pipeline dummy commodity: P2 to *R4</v>
      </c>
      <c r="E295" s="376"/>
      <c r="F295" s="376"/>
      <c r="G295" s="379"/>
      <c r="H295" s="379"/>
      <c r="I295" s="379"/>
      <c r="J295" s="379"/>
    </row>
    <row r="296" spans="2:10">
      <c r="B296" s="376" t="str">
        <f t="shared" si="5"/>
        <v>*R6</v>
      </c>
      <c r="C296" s="376" t="s">
        <v>491</v>
      </c>
      <c r="D296" s="376" t="str">
        <f t="shared" si="4"/>
        <v>Pipeline dummy commodity: P3 to *R6</v>
      </c>
      <c r="E296" s="376"/>
      <c r="F296" s="376"/>
      <c r="G296" s="379"/>
      <c r="H296" s="379"/>
      <c r="I296" s="379"/>
      <c r="J296" s="379"/>
    </row>
    <row r="297" spans="2:10">
      <c r="B297" s="376" t="s">
        <v>1091</v>
      </c>
      <c r="C297" s="376" t="s">
        <v>2427</v>
      </c>
      <c r="D297" s="376" t="str">
        <f t="shared" si="4"/>
        <v>Pipeline dummy commodity: P3 to *R1</v>
      </c>
      <c r="E297" s="376"/>
      <c r="F297" s="376"/>
      <c r="G297" s="379"/>
      <c r="H297" s="379"/>
      <c r="I297" s="379"/>
      <c r="J297" s="379"/>
    </row>
    <row r="298" spans="2:10">
      <c r="B298" s="376" t="str">
        <f t="shared" si="5"/>
        <v>*R8</v>
      </c>
      <c r="C298" s="376" t="s">
        <v>492</v>
      </c>
      <c r="D298" s="376" t="str">
        <f t="shared" si="4"/>
        <v>Pipeline dummy commodity: P4 to *R8</v>
      </c>
      <c r="E298" s="376"/>
      <c r="F298" s="376"/>
      <c r="G298" s="379"/>
      <c r="H298" s="379"/>
      <c r="I298" s="379"/>
      <c r="J298" s="379"/>
    </row>
    <row r="299" spans="2:10">
      <c r="B299" s="376" t="str">
        <f t="shared" si="5"/>
        <v>*R9</v>
      </c>
      <c r="C299" s="376" t="s">
        <v>493</v>
      </c>
      <c r="D299" s="376" t="str">
        <f t="shared" si="4"/>
        <v>Pipeline dummy commodity: P5 to *R9</v>
      </c>
      <c r="E299" s="376"/>
      <c r="F299" s="376"/>
      <c r="G299" s="379"/>
      <c r="H299" s="379"/>
      <c r="I299" s="379"/>
      <c r="J299" s="379"/>
    </row>
    <row r="300" spans="2:10">
      <c r="B300" s="372" t="s">
        <v>494</v>
      </c>
      <c r="C300" s="378"/>
      <c r="D300" s="378"/>
      <c r="E300" s="378"/>
      <c r="F300" s="378"/>
      <c r="G300" s="375"/>
      <c r="H300" s="375"/>
      <c r="I300" s="375"/>
      <c r="J300" s="375"/>
    </row>
    <row r="301" spans="2:10">
      <c r="B301" s="376" t="s">
        <v>1087</v>
      </c>
      <c r="C301" s="376" t="s">
        <v>2435</v>
      </c>
      <c r="D301" s="376" t="str">
        <f t="shared" ref="D301:D314" si="6">CONCATENATE("Pipeline dummy commodity: ",LEFT(C301,2)," to ",B301)</f>
        <v>Pipeline dummy commodity: R2 to *R4</v>
      </c>
      <c r="E301" s="376"/>
      <c r="F301" s="376"/>
      <c r="G301" s="379"/>
      <c r="H301" s="379"/>
      <c r="I301" s="379"/>
      <c r="J301" s="379"/>
    </row>
    <row r="302" spans="2:10">
      <c r="B302" s="376" t="s">
        <v>1087</v>
      </c>
      <c r="C302" s="376" t="s">
        <v>2442</v>
      </c>
      <c r="D302" s="376" t="str">
        <f t="shared" si="6"/>
        <v>Pipeline dummy commodity: R3 to *R4</v>
      </c>
      <c r="E302" s="376"/>
      <c r="F302" s="376"/>
      <c r="G302" s="379"/>
      <c r="H302" s="379"/>
      <c r="I302" s="379"/>
      <c r="J302" s="379"/>
    </row>
    <row r="303" spans="2:10">
      <c r="B303" s="376" t="s">
        <v>1089</v>
      </c>
      <c r="C303" s="376" t="s">
        <v>495</v>
      </c>
      <c r="D303" s="376" t="str">
        <f t="shared" si="6"/>
        <v>Pipeline dummy commodity: R3 to *R6</v>
      </c>
      <c r="E303" s="376"/>
      <c r="F303" s="376"/>
      <c r="G303" s="379"/>
      <c r="H303" s="379"/>
      <c r="I303" s="379"/>
      <c r="J303" s="379"/>
    </row>
    <row r="304" spans="2:10">
      <c r="B304" s="376" t="s">
        <v>1089</v>
      </c>
      <c r="C304" s="376" t="s">
        <v>2436</v>
      </c>
      <c r="D304" s="376" t="str">
        <f t="shared" si="6"/>
        <v>Pipeline dummy commodity: R2 to *R6</v>
      </c>
      <c r="E304" s="376"/>
      <c r="F304" s="376"/>
      <c r="G304" s="379"/>
      <c r="H304" s="379"/>
      <c r="I304" s="379"/>
      <c r="J304" s="379"/>
    </row>
    <row r="305" spans="2:10">
      <c r="B305" s="376" t="s">
        <v>1088</v>
      </c>
      <c r="C305" s="376" t="s">
        <v>2437</v>
      </c>
      <c r="D305" s="376" t="str">
        <f t="shared" si="6"/>
        <v>Pipeline dummy commodity: R2 to *R5</v>
      </c>
      <c r="E305" s="376"/>
      <c r="F305" s="376"/>
      <c r="G305" s="379"/>
      <c r="H305" s="379"/>
      <c r="I305" s="379"/>
      <c r="J305" s="379"/>
    </row>
    <row r="306" spans="2:10">
      <c r="B306" s="376" t="s">
        <v>1085</v>
      </c>
      <c r="C306" s="376" t="s">
        <v>496</v>
      </c>
      <c r="D306" s="376" t="str">
        <f t="shared" si="6"/>
        <v>Pipeline dummy commodity: R4 to *R2</v>
      </c>
      <c r="E306" s="376"/>
      <c r="F306" s="376"/>
      <c r="G306" s="379"/>
      <c r="H306" s="379"/>
      <c r="I306" s="379"/>
      <c r="J306" s="379"/>
    </row>
    <row r="307" spans="2:10">
      <c r="B307" s="376" t="s">
        <v>1089</v>
      </c>
      <c r="C307" s="376" t="s">
        <v>497</v>
      </c>
      <c r="D307" s="376" t="str">
        <f t="shared" si="6"/>
        <v>Pipeline dummy commodity: R4 to *R6</v>
      </c>
      <c r="E307" s="376"/>
      <c r="F307" s="376"/>
      <c r="G307" s="379"/>
      <c r="H307" s="379"/>
      <c r="I307" s="379"/>
      <c r="J307" s="379"/>
    </row>
    <row r="308" spans="2:10">
      <c r="B308" s="376" t="s">
        <v>1086</v>
      </c>
      <c r="C308" s="376" t="s">
        <v>2438</v>
      </c>
      <c r="D308" s="376" t="str">
        <f t="shared" si="6"/>
        <v>Pipeline dummy commodity: R4 to *R3</v>
      </c>
      <c r="E308" s="376"/>
      <c r="F308" s="376"/>
      <c r="G308" s="379"/>
      <c r="H308" s="379"/>
      <c r="I308" s="379"/>
      <c r="J308" s="379"/>
    </row>
    <row r="309" spans="2:10">
      <c r="B309" s="376" t="s">
        <v>1088</v>
      </c>
      <c r="C309" s="376" t="s">
        <v>2439</v>
      </c>
      <c r="D309" s="376" t="str">
        <f t="shared" si="6"/>
        <v>Pipeline dummy commodity: R4 to *R5</v>
      </c>
      <c r="E309" s="376"/>
      <c r="F309" s="376"/>
      <c r="G309" s="379"/>
      <c r="H309" s="379"/>
      <c r="I309" s="379"/>
      <c r="J309" s="379"/>
    </row>
    <row r="310" spans="2:10">
      <c r="B310" s="376" t="s">
        <v>1085</v>
      </c>
      <c r="C310" s="376" t="s">
        <v>498</v>
      </c>
      <c r="D310" s="376" t="str">
        <f t="shared" si="6"/>
        <v>Pipeline dummy commodity: R5 to *R2</v>
      </c>
      <c r="E310" s="376"/>
      <c r="F310" s="376"/>
      <c r="G310" s="379"/>
      <c r="H310" s="379"/>
      <c r="I310" s="379"/>
      <c r="J310" s="379"/>
    </row>
    <row r="311" spans="2:10">
      <c r="B311" s="376" t="s">
        <v>1087</v>
      </c>
      <c r="C311" s="376" t="s">
        <v>2440</v>
      </c>
      <c r="D311" s="376" t="str">
        <f t="shared" si="6"/>
        <v>Pipeline dummy commodity: R5 to *R4</v>
      </c>
      <c r="E311" s="376"/>
      <c r="F311" s="376"/>
      <c r="G311" s="379"/>
      <c r="H311" s="379"/>
      <c r="I311" s="379"/>
      <c r="J311" s="379"/>
    </row>
    <row r="312" spans="2:10">
      <c r="B312" s="376" t="s">
        <v>1086</v>
      </c>
      <c r="C312" s="376" t="s">
        <v>499</v>
      </c>
      <c r="D312" s="376" t="str">
        <f t="shared" si="6"/>
        <v>Pipeline dummy commodity: R6 to *R3</v>
      </c>
      <c r="E312" s="376"/>
      <c r="F312" s="376"/>
      <c r="G312" s="379"/>
      <c r="H312" s="379"/>
      <c r="I312" s="379"/>
      <c r="J312" s="379"/>
    </row>
    <row r="313" spans="2:10">
      <c r="B313" s="376" t="s">
        <v>1087</v>
      </c>
      <c r="C313" s="376" t="s">
        <v>500</v>
      </c>
      <c r="D313" s="376" t="str">
        <f t="shared" si="6"/>
        <v>Pipeline dummy commodity: R6 to *R4</v>
      </c>
      <c r="E313" s="376"/>
      <c r="F313" s="376"/>
      <c r="G313" s="379"/>
      <c r="H313" s="379"/>
      <c r="I313" s="379"/>
      <c r="J313" s="379"/>
    </row>
    <row r="314" spans="2:10">
      <c r="B314" s="376" t="s">
        <v>1085</v>
      </c>
      <c r="C314" s="376" t="s">
        <v>2441</v>
      </c>
      <c r="D314" s="376" t="str">
        <f t="shared" si="6"/>
        <v>Pipeline dummy commodity: R6 to *R2</v>
      </c>
      <c r="E314" s="376"/>
      <c r="F314" s="376"/>
      <c r="G314" s="379"/>
      <c r="H314" s="379"/>
      <c r="I314" s="379"/>
      <c r="J314" s="379"/>
    </row>
    <row r="315" spans="2:10">
      <c r="B315" s="376" t="s">
        <v>440</v>
      </c>
      <c r="C315" s="376" t="s">
        <v>2416</v>
      </c>
      <c r="D315" s="376" t="str">
        <f>CONCATENATE("Pipeline dummy commodity: ",LEFT(C315,2)," to ",RIGHT(B315,2))</f>
        <v>Pipeline dummy commodity: R1 to R2</v>
      </c>
      <c r="E315" s="376"/>
      <c r="F315" s="376"/>
      <c r="G315" s="379"/>
      <c r="H315" s="379"/>
      <c r="I315" s="379"/>
      <c r="J315" s="379"/>
    </row>
    <row r="316" spans="2:10">
      <c r="B316" s="376" t="s">
        <v>439</v>
      </c>
      <c r="C316" s="376" t="s">
        <v>2417</v>
      </c>
      <c r="D316" s="376" t="str">
        <f>CONCATENATE("Pipeline dummy commodity: ",LEFT(C316,2)," to ",RIGHT(B316,2))</f>
        <v>Pipeline dummy commodity: R1 to R3</v>
      </c>
      <c r="E316" s="376"/>
      <c r="F316" s="376"/>
      <c r="G316" s="379"/>
      <c r="H316" s="379"/>
      <c r="I316" s="379"/>
      <c r="J316" s="379"/>
    </row>
    <row r="317" spans="2:10">
      <c r="B317" s="376" t="s">
        <v>518</v>
      </c>
      <c r="C317" s="376" t="s">
        <v>2418</v>
      </c>
      <c r="D317" s="376" t="str">
        <f>CONCATENATE("Pipeline dummy commodity: ",LEFT(C317,2)," to ",RIGHT(B317,2))</f>
        <v>Pipeline dummy commodity: R1 to R4</v>
      </c>
      <c r="E317" s="376"/>
      <c r="F317" s="376"/>
      <c r="G317" s="379"/>
      <c r="H317" s="379"/>
      <c r="I317" s="379"/>
      <c r="J317" s="379"/>
    </row>
    <row r="318" spans="2:10">
      <c r="B318" s="376" t="s">
        <v>517</v>
      </c>
      <c r="C318" s="376" t="s">
        <v>2419</v>
      </c>
      <c r="D318" s="376" t="str">
        <f>CONCATENATE("Pipeline dummy commodity: ",LEFT(C318,2)," to ",RIGHT(B318,2))</f>
        <v>Pipeline dummy commodity: R1 to R5</v>
      </c>
      <c r="E318" s="376"/>
      <c r="F318" s="376"/>
      <c r="G318" s="379"/>
      <c r="H318" s="379"/>
      <c r="I318" s="379"/>
      <c r="J318" s="379"/>
    </row>
    <row r="319" spans="2:10">
      <c r="B319" s="376" t="s">
        <v>519</v>
      </c>
      <c r="C319" s="376" t="s">
        <v>2420</v>
      </c>
      <c r="D319" s="376" t="str">
        <f>CONCATENATE("Pipeline dummy commodity: ",LEFT(C319,2)," to ",RIGHT(B319,2))</f>
        <v>Pipeline dummy commodity: R1 to R6</v>
      </c>
      <c r="E319" s="376"/>
      <c r="F319" s="376"/>
      <c r="G319" s="379"/>
      <c r="H319" s="379"/>
      <c r="I319" s="379"/>
      <c r="J319" s="379"/>
    </row>
    <row r="320" spans="2:10">
      <c r="B320" s="376" t="str">
        <f t="shared" ref="B320:B321" si="7">CONCATENATE("*",MID(C320,3,2))</f>
        <v>*R4</v>
      </c>
      <c r="C320" s="376" t="s">
        <v>501</v>
      </c>
      <c r="D320" s="376" t="str">
        <f>CONCATENATE("Pipeline dummy commodity: ",LEFT(C320,2)," to ",B320)</f>
        <v>Pipeline dummy commodity: R8 to *R4</v>
      </c>
      <c r="E320" s="376"/>
      <c r="F320" s="376"/>
      <c r="G320" s="379"/>
      <c r="H320" s="379"/>
      <c r="I320" s="379"/>
      <c r="J320" s="379"/>
    </row>
    <row r="321" spans="2:10">
      <c r="B321" s="365" t="str">
        <f t="shared" si="7"/>
        <v>*R9</v>
      </c>
      <c r="C321" s="365" t="s">
        <v>502</v>
      </c>
      <c r="D321" s="365" t="str">
        <f>CONCATENATE("Pipeline dummy commodity: ",LEFT(C321,2)," to ",B321)</f>
        <v>Pipeline dummy commodity: R8 to *R9</v>
      </c>
      <c r="E321" s="365"/>
      <c r="F321" s="365" t="s">
        <v>487</v>
      </c>
    </row>
    <row r="322" spans="2:10">
      <c r="B322" s="365"/>
      <c r="C322" s="365"/>
      <c r="D322" s="365"/>
      <c r="E322" s="365"/>
      <c r="F322" s="365"/>
    </row>
    <row r="323" spans="2:10">
      <c r="B323" s="376" t="s">
        <v>1028</v>
      </c>
      <c r="C323" s="376" t="str">
        <f>CONCATENATE(Types!B3,"P1")</f>
        <v>DSLP1</v>
      </c>
      <c r="D323" s="376" t="str">
        <f>CONCATENATE(Types!C3,", PADD 1")</f>
        <v>Distillate-Low Sulfur Highway Diesel (500 ppm), PADD 1</v>
      </c>
      <c r="E323" s="376"/>
      <c r="F323" s="376"/>
      <c r="G323" s="379"/>
      <c r="H323" s="379"/>
      <c r="I323" s="379"/>
      <c r="J323" s="379"/>
    </row>
    <row r="324" spans="2:10">
      <c r="B324" s="376" t="s">
        <v>1028</v>
      </c>
      <c r="C324" s="376" t="str">
        <f>CONCATENATE(Types!B4,"P1")</f>
        <v>DSUP1</v>
      </c>
      <c r="D324" s="376" t="str">
        <f>CONCATENATE(Types!C4,", PADD 1")</f>
        <v>Distillate-Ultralow Sulfur Highway Diesel (15 ppm), PADD 1</v>
      </c>
      <c r="E324" s="376"/>
      <c r="F324" s="376"/>
      <c r="G324" s="379"/>
      <c r="H324" s="379"/>
      <c r="I324" s="379"/>
      <c r="J324" s="379"/>
    </row>
    <row r="325" spans="2:10">
      <c r="B325" s="376" t="s">
        <v>1028</v>
      </c>
      <c r="C325" s="376" t="str">
        <f>CONCATENATE(Types!B5,"P1")</f>
        <v>GSCP1</v>
      </c>
      <c r="D325" s="376" t="str">
        <f>CONCATENATE(Types!C5,", PADD 1")</f>
        <v>Conventional Gasoline, PADD 1</v>
      </c>
      <c r="E325" s="376"/>
      <c r="F325" s="376"/>
      <c r="G325" s="379"/>
      <c r="H325" s="379"/>
      <c r="I325" s="379"/>
      <c r="J325" s="379"/>
    </row>
    <row r="326" spans="2:10">
      <c r="B326" s="376" t="s">
        <v>1028</v>
      </c>
      <c r="C326" s="376" t="str">
        <f>CONCATENATE(Types!B6,"P1")</f>
        <v>GSRP1</v>
      </c>
      <c r="D326" s="376" t="str">
        <f>CONCATENATE(Types!C6,", PADD 1")</f>
        <v>Reformulated Gasoline, PADD 1</v>
      </c>
      <c r="E326" s="376"/>
      <c r="F326" s="376"/>
      <c r="G326" s="379"/>
      <c r="H326" s="379"/>
      <c r="I326" s="379"/>
      <c r="J326" s="379"/>
    </row>
    <row r="327" spans="2:10">
      <c r="B327" s="376" t="str">
        <f>IF(OR(G$63="*",LEFT(B$54,1)="*"),"*R0,R1,R2,R3,R4,R5,R6","R0,R1,R2,R3,R4,R5,R6")</f>
        <v>*R0,R1,R2,R3,R4,R5,R6</v>
      </c>
      <c r="C327" s="376" t="str">
        <f>CONCATENATE(Types!B8,"P1")</f>
        <v>KERP1</v>
      </c>
      <c r="D327" s="376" t="str">
        <f>CONCATENATE(Types!C8,", PADD 1")</f>
        <v>Kerosene and Other Refined Products, PADD 1</v>
      </c>
      <c r="E327" s="376"/>
      <c r="F327" s="376"/>
      <c r="G327" s="379"/>
      <c r="H327" s="379"/>
      <c r="I327" s="379"/>
      <c r="J327" s="379"/>
    </row>
    <row r="328" spans="2:10">
      <c r="B328" s="376" t="str">
        <f>IF(OR(G$63="*",LEFT(B$55,1)="*"),"*R0,R1,R2,R3,R4,R5,R6","R0,R1,R2,R3,R4,R5,R6")</f>
        <v>*R0,R1,R2,R3,R4,R5,R6</v>
      </c>
      <c r="C328" s="376" t="str">
        <f>CONCATENATE(Types!B9,"P1")</f>
        <v>LPGP1</v>
      </c>
      <c r="D328" s="376" t="str">
        <f>CONCATENATE(Types!C9,", PADD 1")</f>
        <v>LPG, PADD 1</v>
      </c>
      <c r="E328" s="376"/>
      <c r="F328" s="376"/>
      <c r="G328" s="379"/>
      <c r="H328" s="379"/>
      <c r="I328" s="379"/>
      <c r="J328" s="379"/>
    </row>
    <row r="329" spans="2:10">
      <c r="B329" s="376" t="str">
        <f>IF(OR(G$63="*",LEFT(B$56,1)="*"),"*R0,R1,R2,R3,R4,R5,R6","R0,R1,R2,R3,R4,R5,R6")</f>
        <v>*R0,R1,R2,R3,R4,R5,R6</v>
      </c>
      <c r="C329" s="376" t="str">
        <f>CONCATENATE(Types!B10,"P1")</f>
        <v>MTHP1</v>
      </c>
      <c r="D329" s="376" t="str">
        <f>CONCATENATE(Types!C10,", PADD 1")</f>
        <v>Methanol, PADD 1</v>
      </c>
      <c r="E329" s="376"/>
      <c r="F329" s="376"/>
      <c r="G329" s="379"/>
      <c r="H329" s="379"/>
      <c r="I329" s="379"/>
      <c r="J329" s="379"/>
    </row>
    <row r="330" spans="2:10">
      <c r="B330" s="376" t="str">
        <f>IF(OR(G$63="*",LEFT(B$57,1)="*"),"*R0,R1,R2,R3,R4,R5,R6","R0,R1,R2,R3,R4,R5,R6")</f>
        <v>*R0,R1,R2,R3,R4,R5,R6</v>
      </c>
      <c r="C330" s="376" t="str">
        <f>CONCATENATE(Types!B11,"P1")</f>
        <v>PFSP1</v>
      </c>
      <c r="D330" s="376" t="str">
        <f>CONCATENATE(Types!C11,", PADD 1")</f>
        <v>Petrochemical Feedstocks, PADD 1</v>
      </c>
      <c r="E330" s="376"/>
      <c r="F330" s="376"/>
      <c r="G330" s="379"/>
      <c r="H330" s="379"/>
      <c r="I330" s="379"/>
      <c r="J330" s="379"/>
    </row>
    <row r="331" spans="2:10">
      <c r="B331" s="376" t="str">
        <f>IF(OR(G$63="*",LEFT(B$58,1)="*"),"*R0,R1,R2,R3,R4,R5,R6","R0,R1,R2,R3,R4,R5,R6")</f>
        <v>*R0,R1,R2,R3,R4,R5,R6</v>
      </c>
      <c r="C331" s="376" t="str">
        <f>CONCATENATE(Types!B12,"P1")</f>
        <v>RFHP1</v>
      </c>
      <c r="D331" s="376" t="str">
        <f>CONCATENATE(Types!C12,", PADD 1")</f>
        <v>High Sulfur Residual Fuel Oil, PADD 1</v>
      </c>
      <c r="E331" s="376"/>
      <c r="F331" s="376"/>
      <c r="G331" s="379"/>
      <c r="H331" s="379"/>
      <c r="I331" s="379"/>
      <c r="J331" s="379"/>
    </row>
    <row r="332" spans="2:10">
      <c r="B332" s="376" t="str">
        <f>IF(OR(G$63="*",LEFT(B$59,1)="*"),"*R0,R1,R2,R3,R4,R5,R6","R0,R1,R2,R3,R4,R5,R6")</f>
        <v>R0,R1,R2,R3,R4,R5,R6</v>
      </c>
      <c r="C332" s="376" t="str">
        <f>CONCATENATE(Types!B13,"P1")</f>
        <v>RFLP1</v>
      </c>
      <c r="D332" s="376" t="str">
        <f>CONCATENATE(Types!C13,", PADD 1")</f>
        <v>Low Sulfur Residual Fuel Oil, PADD 1</v>
      </c>
      <c r="E332" s="376"/>
      <c r="F332" s="376"/>
      <c r="G332" s="379"/>
      <c r="H332" s="379"/>
      <c r="I332" s="379"/>
      <c r="J332" s="379"/>
    </row>
    <row r="333" spans="2:10">
      <c r="B333" s="376" t="str">
        <f>IF(OR(G$63="*",LEFT(B$60,1)="*"),"*R0,R1,R2,R3,R4,R5,R6","R0,R1,R2,R3,R4,R5,R6")</f>
        <v>*R0,R1,R2,R3,R4,R5,R6</v>
      </c>
      <c r="C333" s="376" t="s">
        <v>471</v>
      </c>
      <c r="D333" s="376" t="s">
        <v>472</v>
      </c>
      <c r="E333" s="376"/>
      <c r="F333" s="376"/>
      <c r="G333" s="379"/>
      <c r="H333" s="379"/>
      <c r="I333" s="379"/>
      <c r="J333" s="379"/>
    </row>
    <row r="334" spans="2:10">
      <c r="B334" s="376" t="s">
        <v>1028</v>
      </c>
      <c r="C334" s="376" t="str">
        <f>CONCATENATE(Types!B3,"P2")</f>
        <v>DSLP2</v>
      </c>
      <c r="D334" s="376" t="str">
        <f>CONCATENATE(Types!C3,", PADD 2")</f>
        <v>Distillate-Low Sulfur Highway Diesel (500 ppm), PADD 2</v>
      </c>
      <c r="E334" s="376"/>
      <c r="F334" s="376"/>
      <c r="G334" s="379"/>
      <c r="H334" s="379"/>
      <c r="I334" s="379"/>
      <c r="J334" s="379"/>
    </row>
    <row r="335" spans="2:10">
      <c r="B335" s="376" t="s">
        <v>1028</v>
      </c>
      <c r="C335" s="376" t="str">
        <f>CONCATENATE(Types!B4,"P2")</f>
        <v>DSUP2</v>
      </c>
      <c r="D335" s="376" t="str">
        <f>CONCATENATE(Types!C4,", PADD 2")</f>
        <v>Distillate-Ultralow Sulfur Highway Diesel (15 ppm), PADD 2</v>
      </c>
      <c r="E335" s="376"/>
      <c r="F335" s="376"/>
      <c r="G335" s="379"/>
      <c r="H335" s="379"/>
      <c r="I335" s="379"/>
      <c r="J335" s="379"/>
    </row>
    <row r="336" spans="2:10">
      <c r="B336" s="376" t="s">
        <v>1028</v>
      </c>
      <c r="C336" s="376" t="str">
        <f>CONCATENATE(Types!B5,"P2")</f>
        <v>GSCP2</v>
      </c>
      <c r="D336" s="376" t="str">
        <f>CONCATENATE(Types!C5,", PADD 2")</f>
        <v>Conventional Gasoline, PADD 2</v>
      </c>
      <c r="E336" s="376"/>
      <c r="F336" s="376"/>
      <c r="G336" s="379"/>
      <c r="H336" s="379"/>
      <c r="I336" s="379"/>
      <c r="J336" s="379"/>
    </row>
    <row r="337" spans="2:10">
      <c r="B337" s="376" t="s">
        <v>1028</v>
      </c>
      <c r="C337" s="376" t="str">
        <f>CONCATENATE(Types!B6,"P2")</f>
        <v>GSRP2</v>
      </c>
      <c r="D337" s="376" t="str">
        <f>CONCATENATE(Types!C6,", PADD 2")</f>
        <v>Reformulated Gasoline, PADD 2</v>
      </c>
      <c r="E337" s="376"/>
      <c r="F337" s="376"/>
      <c r="G337" s="379"/>
      <c r="H337" s="379"/>
      <c r="I337" s="379"/>
      <c r="J337" s="379"/>
    </row>
    <row r="338" spans="2:10">
      <c r="B338" s="376" t="str">
        <f>IF(OR(G$63="*",LEFT(B$54,1)="*"),"*R0,R1,R2,R3,R4,R5,R6","R0,R1,R2,R3,R4,R5,R6")</f>
        <v>*R0,R1,R2,R3,R4,R5,R6</v>
      </c>
      <c r="C338" s="376" t="str">
        <f>CONCATENATE(Types!B8,"P2")</f>
        <v>KERP2</v>
      </c>
      <c r="D338" s="376" t="str">
        <f>CONCATENATE(Types!C8,", PADD 2")</f>
        <v>Kerosene and Other Refined Products, PADD 2</v>
      </c>
      <c r="E338" s="376"/>
      <c r="F338" s="376"/>
      <c r="G338" s="379"/>
      <c r="H338" s="379"/>
      <c r="I338" s="379"/>
      <c r="J338" s="379"/>
    </row>
    <row r="339" spans="2:10">
      <c r="B339" s="376" t="str">
        <f>IF(OR(G$63="*",LEFT(B$55,1)="*"),"*R0,R1,R2,R3,R4,R5,R6","R0,R1,R2,R3,R4,R5,R6")</f>
        <v>*R0,R1,R2,R3,R4,R5,R6</v>
      </c>
      <c r="C339" s="376" t="str">
        <f>CONCATENATE(Types!B9,"P2")</f>
        <v>LPGP2</v>
      </c>
      <c r="D339" s="376" t="str">
        <f>CONCATENATE(Types!C9,", PADD 2")</f>
        <v>LPG, PADD 2</v>
      </c>
      <c r="E339" s="376"/>
      <c r="F339" s="376"/>
      <c r="G339" s="379"/>
      <c r="H339" s="379"/>
      <c r="I339" s="379"/>
      <c r="J339" s="379"/>
    </row>
    <row r="340" spans="2:10">
      <c r="B340" s="376" t="str">
        <f>IF(OR(G$63="*",LEFT(B$56,1)="*"),"*R0,R1,R2,R3,R4,R5,R6","R0,R1,R2,R3,R4,R5,R6")</f>
        <v>*R0,R1,R2,R3,R4,R5,R6</v>
      </c>
      <c r="C340" s="376" t="str">
        <f>CONCATENATE(Types!B10,"P2")</f>
        <v>MTHP2</v>
      </c>
      <c r="D340" s="376" t="str">
        <f>CONCATENATE(Types!C10,", PADD 2")</f>
        <v>Methanol, PADD 2</v>
      </c>
      <c r="E340" s="376"/>
      <c r="F340" s="376"/>
      <c r="G340" s="379"/>
      <c r="H340" s="379"/>
      <c r="I340" s="379"/>
      <c r="J340" s="379"/>
    </row>
    <row r="341" spans="2:10">
      <c r="B341" s="376" t="str">
        <f>IF(OR(G$63="*",LEFT(B$57,1)="*"),"*R0,R1,R2,R3,R4,R5,R6","R0,R1,R2,R3,R4,R5,R6")</f>
        <v>*R0,R1,R2,R3,R4,R5,R6</v>
      </c>
      <c r="C341" s="376" t="str">
        <f>CONCATENATE(Types!B11,"P2")</f>
        <v>PFSP2</v>
      </c>
      <c r="D341" s="376" t="str">
        <f>CONCATENATE(Types!C11,", PADD 2")</f>
        <v>Petrochemical Feedstocks, PADD 2</v>
      </c>
      <c r="E341" s="376"/>
      <c r="F341" s="376"/>
      <c r="G341" s="379"/>
      <c r="H341" s="379"/>
      <c r="I341" s="379"/>
      <c r="J341" s="379"/>
    </row>
    <row r="342" spans="2:10">
      <c r="B342" s="376" t="str">
        <f>IF(OR(G$63="*",LEFT(B$58,1)="*"),"*R0,R1,R2,R3,R4,R5,R6","R0,R1,R2,R3,R4,R5,R6")</f>
        <v>*R0,R1,R2,R3,R4,R5,R6</v>
      </c>
      <c r="C342" s="376" t="str">
        <f>CONCATENATE(Types!B12,"P2")</f>
        <v>RFHP2</v>
      </c>
      <c r="D342" s="376" t="str">
        <f>CONCATENATE(Types!C12,", PADD 2")</f>
        <v>High Sulfur Residual Fuel Oil, PADD 2</v>
      </c>
      <c r="E342" s="376"/>
      <c r="F342" s="376"/>
      <c r="G342" s="379"/>
      <c r="H342" s="379"/>
      <c r="I342" s="379"/>
      <c r="J342" s="379"/>
    </row>
    <row r="343" spans="2:10">
      <c r="B343" s="376" t="str">
        <f>IF(OR(G$63="*",LEFT(B$59,1)="*"),"*R0,R1,R2,R3,R4,R5,R6","R0,R1,R2,R3,R4,R5,R6")</f>
        <v>R0,R1,R2,R3,R4,R5,R6</v>
      </c>
      <c r="C343" s="376" t="str">
        <f>CONCATENATE(Types!B13,"P2")</f>
        <v>RFLP2</v>
      </c>
      <c r="D343" s="376" t="str">
        <f>CONCATENATE(Types!C13,", PADD 2")</f>
        <v>Low Sulfur Residual Fuel Oil, PADD 2</v>
      </c>
      <c r="E343" s="376"/>
      <c r="F343" s="376"/>
      <c r="G343" s="379"/>
      <c r="H343" s="379"/>
      <c r="I343" s="379"/>
      <c r="J343" s="379"/>
    </row>
    <row r="344" spans="2:10">
      <c r="B344" s="376" t="str">
        <f>IF(OR(G$63="*",LEFT(B$60,1)="*"),"*R0,R1,R2,R3,R4,R5,R6","R0,R1,R2,R3,R4,R5,R6")</f>
        <v>*R0,R1,R2,R3,R4,R5,R6</v>
      </c>
      <c r="C344" s="376" t="s">
        <v>473</v>
      </c>
      <c r="D344" s="376" t="s">
        <v>474</v>
      </c>
      <c r="E344" s="376"/>
      <c r="F344" s="376"/>
      <c r="G344" s="379"/>
      <c r="H344" s="379"/>
      <c r="I344" s="379"/>
      <c r="J344" s="379"/>
    </row>
    <row r="345" spans="2:10">
      <c r="B345" s="376" t="s">
        <v>1028</v>
      </c>
      <c r="C345" s="376" t="str">
        <f>CONCATENATE(Types!B3,"P3")</f>
        <v>DSLP3</v>
      </c>
      <c r="D345" s="376" t="str">
        <f>CONCATENATE(Types!C3,", PADD 3")</f>
        <v>Distillate-Low Sulfur Highway Diesel (500 ppm), PADD 3</v>
      </c>
      <c r="E345" s="376"/>
      <c r="F345" s="376"/>
      <c r="G345" s="379"/>
      <c r="H345" s="379"/>
      <c r="I345" s="379"/>
      <c r="J345" s="379"/>
    </row>
    <row r="346" spans="2:10">
      <c r="B346" s="376" t="s">
        <v>1028</v>
      </c>
      <c r="C346" s="376" t="str">
        <f>CONCATENATE(Types!B4,"P3")</f>
        <v>DSUP3</v>
      </c>
      <c r="D346" s="376" t="str">
        <f>CONCATENATE(Types!C4,", PADD 3")</f>
        <v>Distillate-Ultralow Sulfur Highway Diesel (15 ppm), PADD 3</v>
      </c>
      <c r="E346" s="376"/>
      <c r="F346" s="376"/>
      <c r="G346" s="379"/>
      <c r="H346" s="379"/>
      <c r="I346" s="379"/>
      <c r="J346" s="379"/>
    </row>
    <row r="347" spans="2:10">
      <c r="B347" s="376" t="s">
        <v>1028</v>
      </c>
      <c r="C347" s="376" t="str">
        <f>CONCATENATE(Types!B5,"P3")</f>
        <v>GSCP3</v>
      </c>
      <c r="D347" s="376" t="str">
        <f>CONCATENATE(Types!C5,", PADD 3")</f>
        <v>Conventional Gasoline, PADD 3</v>
      </c>
      <c r="E347" s="376"/>
      <c r="F347" s="376"/>
      <c r="G347" s="379"/>
      <c r="H347" s="379"/>
      <c r="I347" s="379"/>
      <c r="J347" s="379"/>
    </row>
    <row r="348" spans="2:10">
      <c r="B348" s="376" t="s">
        <v>1028</v>
      </c>
      <c r="C348" s="376" t="str">
        <f>CONCATENATE(Types!B6,"P3")</f>
        <v>GSRP3</v>
      </c>
      <c r="D348" s="376" t="str">
        <f>CONCATENATE(Types!C6,", PADD 3")</f>
        <v>Reformulated Gasoline, PADD 3</v>
      </c>
      <c r="E348" s="376"/>
      <c r="F348" s="376"/>
      <c r="G348" s="379"/>
      <c r="H348" s="379"/>
      <c r="I348" s="379"/>
      <c r="J348" s="379"/>
    </row>
    <row r="349" spans="2:10">
      <c r="B349" s="376" t="str">
        <f>IF(OR(G$63="*",LEFT(B$54,1)="*"),"*R0,R1,R2,R3,R4,R5,R6","R0,R1,R2,R3,R4,R5,R6")</f>
        <v>*R0,R1,R2,R3,R4,R5,R6</v>
      </c>
      <c r="C349" s="376" t="str">
        <f>CONCATENATE(Types!B8,"P3")</f>
        <v>KERP3</v>
      </c>
      <c r="D349" s="376" t="str">
        <f>CONCATENATE(Types!C8,", PADD 3")</f>
        <v>Kerosene and Other Refined Products, PADD 3</v>
      </c>
      <c r="E349" s="376"/>
      <c r="F349" s="376"/>
      <c r="G349" s="379"/>
      <c r="H349" s="379"/>
      <c r="I349" s="379"/>
      <c r="J349" s="379"/>
    </row>
    <row r="350" spans="2:10">
      <c r="B350" s="376" t="str">
        <f>IF(OR(G$63="*",LEFT(B$55,1)="*"),"*R0,R1,R2,R3,R4,R5,R6","R0,R1,R2,R3,R4,R5,R6")</f>
        <v>*R0,R1,R2,R3,R4,R5,R6</v>
      </c>
      <c r="C350" s="376" t="str">
        <f>CONCATENATE(Types!B9,"P3")</f>
        <v>LPGP3</v>
      </c>
      <c r="D350" s="376" t="str">
        <f>CONCATENATE(Types!C9,", PADD 3")</f>
        <v>LPG, PADD 3</v>
      </c>
      <c r="E350" s="376"/>
      <c r="F350" s="376"/>
      <c r="G350" s="379"/>
      <c r="H350" s="379"/>
      <c r="I350" s="379"/>
      <c r="J350" s="379"/>
    </row>
    <row r="351" spans="2:10">
      <c r="B351" s="376" t="str">
        <f>IF(OR(G$63="*",LEFT(B$56,1)="*"),"*R0,R1,R2,R3,R4,R5,R6","R0,R1,R2,R3,R4,R5,R6")</f>
        <v>*R0,R1,R2,R3,R4,R5,R6</v>
      </c>
      <c r="C351" s="376" t="str">
        <f>CONCATENATE(Types!B10,"P3")</f>
        <v>MTHP3</v>
      </c>
      <c r="D351" s="376" t="str">
        <f>CONCATENATE(Types!C10,", PADD 3")</f>
        <v>Methanol, PADD 3</v>
      </c>
      <c r="E351" s="376"/>
      <c r="F351" s="376"/>
      <c r="G351" s="379"/>
      <c r="H351" s="379"/>
      <c r="I351" s="379"/>
      <c r="J351" s="379"/>
    </row>
    <row r="352" spans="2:10">
      <c r="B352" s="376" t="str">
        <f>IF(OR(G$63="*",LEFT(B$57,1)="*"),"*R0,R1,R2,R3,R4,R5,R6","R0,R1,R2,R3,R4,R5,R6")</f>
        <v>*R0,R1,R2,R3,R4,R5,R6</v>
      </c>
      <c r="C352" s="376" t="str">
        <f>CONCATENATE(Types!B11,"P3")</f>
        <v>PFSP3</v>
      </c>
      <c r="D352" s="376" t="str">
        <f>CONCATENATE(Types!C11,", PADD 3")</f>
        <v>Petrochemical Feedstocks, PADD 3</v>
      </c>
      <c r="E352" s="376"/>
      <c r="F352" s="376"/>
      <c r="G352" s="379"/>
      <c r="H352" s="379"/>
      <c r="I352" s="379"/>
      <c r="J352" s="379"/>
    </row>
    <row r="353" spans="2:10">
      <c r="B353" s="376" t="str">
        <f>IF(OR(G$63="*",LEFT(B$58,1)="*"),"*R0,R1,R2,R3,R4,R5,R6","R0,R1,R2,R3,R4,R5,R6")</f>
        <v>*R0,R1,R2,R3,R4,R5,R6</v>
      </c>
      <c r="C353" s="376" t="str">
        <f>CONCATENATE(Types!B12,"P3")</f>
        <v>RFHP3</v>
      </c>
      <c r="D353" s="376" t="str">
        <f>CONCATENATE(Types!C12,", PADD 3")</f>
        <v>High Sulfur Residual Fuel Oil, PADD 3</v>
      </c>
      <c r="E353" s="376"/>
      <c r="F353" s="376"/>
      <c r="G353" s="379"/>
      <c r="H353" s="379"/>
      <c r="I353" s="379"/>
      <c r="J353" s="379"/>
    </row>
    <row r="354" spans="2:10">
      <c r="B354" s="376" t="str">
        <f>IF(OR(G$63="*",LEFT(B$59,1)="*"),"*R0,R1,R2,R3,R4,R5,R6","R0,R1,R2,R3,R4,R5,R6")</f>
        <v>R0,R1,R2,R3,R4,R5,R6</v>
      </c>
      <c r="C354" s="376" t="str">
        <f>CONCATENATE(Types!B13,"P3")</f>
        <v>RFLP3</v>
      </c>
      <c r="D354" s="376" t="str">
        <f>CONCATENATE(Types!C13,", PADD 3")</f>
        <v>Low Sulfur Residual Fuel Oil, PADD 3</v>
      </c>
      <c r="E354" s="376"/>
      <c r="F354" s="376"/>
      <c r="G354" s="379"/>
      <c r="H354" s="379"/>
      <c r="I354" s="379"/>
      <c r="J354" s="379"/>
    </row>
    <row r="355" spans="2:10">
      <c r="B355" s="376" t="str">
        <f>IF(OR(G$63="*",LEFT(B$60,1)="*"),"*R0,R1,R2,R3,R4,R5,R6","R0,R1,R2,R3,R4,R5,R6")</f>
        <v>*R0,R1,R2,R3,R4,R5,R6</v>
      </c>
      <c r="C355" s="376" t="s">
        <v>475</v>
      </c>
      <c r="D355" s="376" t="s">
        <v>476</v>
      </c>
      <c r="E355" s="376"/>
      <c r="F355" s="376"/>
      <c r="G355" s="379"/>
      <c r="H355" s="379"/>
      <c r="I355" s="379"/>
      <c r="J355" s="379"/>
    </row>
    <row r="356" spans="2:10">
      <c r="B356" s="376" t="s">
        <v>588</v>
      </c>
      <c r="C356" s="376" t="str">
        <f>CONCATENATE(Types!B2,"P4")</f>
        <v>DSHP4</v>
      </c>
      <c r="D356" s="376" t="str">
        <f>CONCATENATE(Types!C2,", PADD 4")</f>
        <v>Distillate-Heating Oil No. 2, PADD 4</v>
      </c>
      <c r="E356" s="376"/>
      <c r="F356" s="376"/>
      <c r="G356" s="379"/>
      <c r="H356" s="379"/>
      <c r="I356" s="379"/>
      <c r="J356" s="379"/>
    </row>
    <row r="357" spans="2:10">
      <c r="B357" s="376" t="s">
        <v>588</v>
      </c>
      <c r="C357" s="376" t="str">
        <f>CONCATENATE(Types!B3,"P4")</f>
        <v>DSLP4</v>
      </c>
      <c r="D357" s="376" t="str">
        <f>CONCATENATE(Types!C3,", PADD 4")</f>
        <v>Distillate-Low Sulfur Highway Diesel (500 ppm), PADD 4</v>
      </c>
      <c r="E357" s="376"/>
      <c r="F357" s="376"/>
      <c r="G357" s="379"/>
      <c r="H357" s="379"/>
      <c r="I357" s="379"/>
      <c r="J357" s="379"/>
    </row>
    <row r="358" spans="2:10">
      <c r="B358" s="376" t="s">
        <v>588</v>
      </c>
      <c r="C358" s="376" t="str">
        <f>CONCATENATE(Types!B4,"P4")</f>
        <v>DSUP4</v>
      </c>
      <c r="D358" s="376" t="str">
        <f>CONCATENATE(Types!C4,", PADD 4")</f>
        <v>Distillate-Ultralow Sulfur Highway Diesel (15 ppm), PADD 4</v>
      </c>
      <c r="E358" s="376"/>
      <c r="F358" s="376"/>
      <c r="G358" s="379"/>
      <c r="H358" s="379"/>
      <c r="I358" s="379"/>
      <c r="J358" s="379"/>
    </row>
    <row r="359" spans="2:10">
      <c r="B359" s="376" t="s">
        <v>588</v>
      </c>
      <c r="C359" s="376" t="str">
        <f>CONCATENATE(Types!B5,"P4")</f>
        <v>GSCP4</v>
      </c>
      <c r="D359" s="376" t="str">
        <f>CONCATENATE(Types!C5,", PADD 4")</f>
        <v>Conventional Gasoline, PADD 4</v>
      </c>
      <c r="E359" s="376"/>
      <c r="F359" s="376"/>
      <c r="G359" s="379"/>
      <c r="H359" s="379"/>
      <c r="I359" s="379"/>
      <c r="J359" s="379"/>
    </row>
    <row r="360" spans="2:10">
      <c r="B360" s="376" t="s">
        <v>588</v>
      </c>
      <c r="C360" s="376" t="str">
        <f>CONCATENATE(Types!B6,"P4")</f>
        <v>GSRP4</v>
      </c>
      <c r="D360" s="376" t="str">
        <f>CONCATENATE(Types!C6,", PADD 4")</f>
        <v>Reformulated Gasoline, PADD 4</v>
      </c>
      <c r="E360" s="376"/>
      <c r="F360" s="376"/>
      <c r="G360" s="379"/>
      <c r="H360" s="379"/>
      <c r="I360" s="379"/>
      <c r="J360" s="379"/>
    </row>
    <row r="361" spans="2:10">
      <c r="B361" s="376" t="s">
        <v>588</v>
      </c>
      <c r="C361" s="376" t="str">
        <f>CONCATENATE(Types!B7,"P4")</f>
        <v>JTFP4</v>
      </c>
      <c r="D361" s="376" t="str">
        <f>CONCATENATE(Types!C7,", PADD 4")</f>
        <v>Jet Fuel, PADD 4</v>
      </c>
      <c r="E361" s="376"/>
      <c r="F361" s="376"/>
      <c r="G361" s="379"/>
      <c r="H361" s="379"/>
      <c r="I361" s="379"/>
      <c r="J361" s="379"/>
    </row>
    <row r="362" spans="2:10">
      <c r="B362" s="376" t="s">
        <v>588</v>
      </c>
      <c r="C362" s="376" t="str">
        <f>CONCATENATE(Types!B8,"P4")</f>
        <v>KERP4</v>
      </c>
      <c r="D362" s="376" t="str">
        <f>CONCATENATE(Types!C8,", PADD 4")</f>
        <v>Kerosene and Other Refined Products, PADD 4</v>
      </c>
      <c r="E362" s="376"/>
      <c r="F362" s="376"/>
      <c r="G362" s="379"/>
      <c r="H362" s="379"/>
      <c r="I362" s="379"/>
      <c r="J362" s="379"/>
    </row>
    <row r="363" spans="2:10">
      <c r="B363" s="376" t="s">
        <v>588</v>
      </c>
      <c r="C363" s="376" t="str">
        <f>CONCATENATE(Types!B9,"P4")</f>
        <v>LPGP4</v>
      </c>
      <c r="D363" s="376" t="str">
        <f>CONCATENATE(Types!C9,", PADD 4")</f>
        <v>LPG, PADD 4</v>
      </c>
      <c r="E363" s="376"/>
      <c r="F363" s="376"/>
      <c r="G363" s="379"/>
      <c r="H363" s="379"/>
      <c r="I363" s="379"/>
      <c r="J363" s="379"/>
    </row>
    <row r="364" spans="2:10">
      <c r="B364" s="376" t="s">
        <v>588</v>
      </c>
      <c r="C364" s="376" t="str">
        <f>CONCATENATE(Types!B10,"P4")</f>
        <v>MTHP4</v>
      </c>
      <c r="D364" s="376" t="str">
        <f>CONCATENATE(Types!C10,", PADD 4")</f>
        <v>Methanol, PADD 4</v>
      </c>
      <c r="E364" s="376"/>
      <c r="F364" s="376"/>
      <c r="G364" s="379"/>
      <c r="H364" s="379"/>
      <c r="I364" s="379"/>
      <c r="J364" s="379"/>
    </row>
    <row r="365" spans="2:10">
      <c r="B365" s="376" t="s">
        <v>588</v>
      </c>
      <c r="C365" s="376" t="str">
        <f>CONCATENATE(Types!B11,"P4")</f>
        <v>PFSP4</v>
      </c>
      <c r="D365" s="376" t="str">
        <f>CONCATENATE(Types!C11,", PADD 4")</f>
        <v>Petrochemical Feedstocks, PADD 4</v>
      </c>
      <c r="E365" s="376"/>
      <c r="F365" s="376"/>
      <c r="G365" s="379"/>
      <c r="H365" s="379"/>
      <c r="I365" s="379"/>
      <c r="J365" s="379"/>
    </row>
    <row r="366" spans="2:10">
      <c r="B366" s="376" t="s">
        <v>588</v>
      </c>
      <c r="C366" s="376" t="str">
        <f>CONCATENATE(Types!B12,"P4")</f>
        <v>RFHP4</v>
      </c>
      <c r="D366" s="376" t="str">
        <f>CONCATENATE(Types!C12,", PADD 4")</f>
        <v>High Sulfur Residual Fuel Oil, PADD 4</v>
      </c>
      <c r="E366" s="376"/>
      <c r="F366" s="376"/>
      <c r="G366" s="379"/>
      <c r="H366" s="379"/>
      <c r="I366" s="379"/>
      <c r="J366" s="379"/>
    </row>
    <row r="367" spans="2:10">
      <c r="B367" s="376" t="s">
        <v>588</v>
      </c>
      <c r="C367" s="376" t="str">
        <f>CONCATENATE(Types!B13,"P4")</f>
        <v>RFLP4</v>
      </c>
      <c r="D367" s="376" t="str">
        <f>CONCATENATE(Types!C13,", PADD 4")</f>
        <v>Low Sulfur Residual Fuel Oil, PADD 4</v>
      </c>
      <c r="E367" s="376"/>
      <c r="F367" s="376"/>
      <c r="G367" s="379"/>
      <c r="H367" s="379"/>
      <c r="I367" s="379"/>
      <c r="J367" s="379"/>
    </row>
    <row r="368" spans="2:10">
      <c r="B368" s="376" t="s">
        <v>588</v>
      </c>
      <c r="C368" s="376" t="s">
        <v>477</v>
      </c>
      <c r="D368" s="376" t="s">
        <v>478</v>
      </c>
      <c r="E368" s="376"/>
      <c r="F368" s="376"/>
      <c r="G368" s="379"/>
      <c r="H368" s="379"/>
      <c r="I368" s="379"/>
      <c r="J368" s="379"/>
    </row>
    <row r="369" spans="2:10">
      <c r="B369" s="376" t="s">
        <v>588</v>
      </c>
      <c r="C369" s="376" t="str">
        <f>CONCATENATE(Types!B2,"P5")</f>
        <v>DSHP5</v>
      </c>
      <c r="D369" s="376" t="str">
        <f>CONCATENATE(Types!C2,", PADD 5")</f>
        <v>Distillate-Heating Oil No. 2, PADD 5</v>
      </c>
      <c r="E369" s="376"/>
      <c r="F369" s="376"/>
      <c r="G369" s="379"/>
      <c r="H369" s="379"/>
      <c r="I369" s="379"/>
      <c r="J369" s="379"/>
    </row>
    <row r="370" spans="2:10">
      <c r="B370" s="376" t="s">
        <v>588</v>
      </c>
      <c r="C370" s="376" t="str">
        <f>CONCATENATE(Types!B3,"P5")</f>
        <v>DSLP5</v>
      </c>
      <c r="D370" s="376" t="str">
        <f>CONCATENATE(Types!C3,", PADD 5")</f>
        <v>Distillate-Low Sulfur Highway Diesel (500 ppm), PADD 5</v>
      </c>
      <c r="E370" s="376"/>
      <c r="F370" s="376"/>
      <c r="G370" s="379"/>
      <c r="H370" s="379"/>
      <c r="I370" s="379"/>
      <c r="J370" s="379"/>
    </row>
    <row r="371" spans="2:10">
      <c r="B371" s="376" t="s">
        <v>588</v>
      </c>
      <c r="C371" s="376" t="str">
        <f>CONCATENATE(Types!B4,"P5")</f>
        <v>DSUP5</v>
      </c>
      <c r="D371" s="376" t="str">
        <f>CONCATENATE(Types!C4,", PADD 5")</f>
        <v>Distillate-Ultralow Sulfur Highway Diesel (15 ppm), PADD 5</v>
      </c>
      <c r="E371" s="376"/>
      <c r="F371" s="376"/>
      <c r="G371" s="379"/>
      <c r="H371" s="379"/>
      <c r="I371" s="379"/>
      <c r="J371" s="379"/>
    </row>
    <row r="372" spans="2:10">
      <c r="B372" s="376" t="s">
        <v>588</v>
      </c>
      <c r="C372" s="376" t="str">
        <f>CONCATENATE(Types!B5,"P5")</f>
        <v>GSCP5</v>
      </c>
      <c r="D372" s="376" t="str">
        <f>CONCATENATE(Types!C5,", PADD 5")</f>
        <v>Conventional Gasoline, PADD 5</v>
      </c>
      <c r="E372" s="376"/>
      <c r="F372" s="376"/>
      <c r="G372" s="379"/>
      <c r="H372" s="379"/>
      <c r="I372" s="379"/>
      <c r="J372" s="379"/>
    </row>
    <row r="373" spans="2:10">
      <c r="B373" s="376" t="s">
        <v>588</v>
      </c>
      <c r="C373" s="376" t="str">
        <f>CONCATENATE(Types!B6,"P5")</f>
        <v>GSRP5</v>
      </c>
      <c r="D373" s="376" t="str">
        <f>CONCATENATE(Types!C6,", PADD 5")</f>
        <v>Reformulated Gasoline, PADD 5</v>
      </c>
      <c r="E373" s="376"/>
      <c r="F373" s="376"/>
      <c r="G373" s="379"/>
      <c r="H373" s="379"/>
      <c r="I373" s="379"/>
      <c r="J373" s="379"/>
    </row>
    <row r="374" spans="2:10">
      <c r="B374" s="376" t="s">
        <v>588</v>
      </c>
      <c r="C374" s="376" t="str">
        <f>CONCATENATE(Types!B7,"P5")</f>
        <v>JTFP5</v>
      </c>
      <c r="D374" s="376" t="str">
        <f>CONCATENATE(Types!C7,", PADD 5")</f>
        <v>Jet Fuel, PADD 5</v>
      </c>
      <c r="E374" s="376"/>
      <c r="F374" s="376"/>
      <c r="G374" s="379"/>
      <c r="H374" s="379"/>
      <c r="I374" s="379"/>
      <c r="J374" s="379"/>
    </row>
    <row r="375" spans="2:10">
      <c r="B375" s="376" t="s">
        <v>588</v>
      </c>
      <c r="C375" s="376" t="str">
        <f>CONCATENATE(Types!B8,"P5")</f>
        <v>KERP5</v>
      </c>
      <c r="D375" s="376" t="str">
        <f>CONCATENATE(Types!C8,", PADD 5")</f>
        <v>Kerosene and Other Refined Products, PADD 5</v>
      </c>
      <c r="E375" s="376"/>
      <c r="F375" s="376"/>
      <c r="G375" s="379"/>
      <c r="H375" s="379"/>
      <c r="I375" s="379"/>
      <c r="J375" s="379"/>
    </row>
    <row r="376" spans="2:10">
      <c r="B376" s="376" t="s">
        <v>588</v>
      </c>
      <c r="C376" s="376" t="str">
        <f>CONCATENATE(Types!B9,"P5")</f>
        <v>LPGP5</v>
      </c>
      <c r="D376" s="376" t="str">
        <f>CONCATENATE(Types!C9,", PADD 5")</f>
        <v>LPG, PADD 5</v>
      </c>
      <c r="E376" s="376"/>
      <c r="F376" s="376"/>
      <c r="G376" s="379"/>
      <c r="H376" s="379"/>
      <c r="I376" s="379"/>
      <c r="J376" s="379"/>
    </row>
    <row r="377" spans="2:10">
      <c r="B377" s="376" t="s">
        <v>588</v>
      </c>
      <c r="C377" s="376" t="str">
        <f>CONCATENATE(Types!B10,"P5")</f>
        <v>MTHP5</v>
      </c>
      <c r="D377" s="376" t="str">
        <f>CONCATENATE(Types!C10,", PADD 5")</f>
        <v>Methanol, PADD 5</v>
      </c>
      <c r="E377" s="376"/>
      <c r="F377" s="376"/>
      <c r="G377" s="379"/>
      <c r="H377" s="379"/>
      <c r="I377" s="379"/>
      <c r="J377" s="379"/>
    </row>
    <row r="378" spans="2:10">
      <c r="B378" s="376" t="s">
        <v>588</v>
      </c>
      <c r="C378" s="376" t="str">
        <f>CONCATENATE(Types!B11,"P5")</f>
        <v>PFSP5</v>
      </c>
      <c r="D378" s="376" t="str">
        <f>CONCATENATE(Types!C11,", PADD 5")</f>
        <v>Petrochemical Feedstocks, PADD 5</v>
      </c>
      <c r="E378" s="376"/>
      <c r="F378" s="376"/>
      <c r="G378" s="379"/>
      <c r="H378" s="379"/>
      <c r="I378" s="379"/>
      <c r="J378" s="379"/>
    </row>
    <row r="379" spans="2:10">
      <c r="B379" s="376" t="s">
        <v>588</v>
      </c>
      <c r="C379" s="376" t="str">
        <f>CONCATENATE(Types!B12,"P5")</f>
        <v>RFHP5</v>
      </c>
      <c r="D379" s="376" t="str">
        <f>CONCATENATE(Types!C12,", PADD 5")</f>
        <v>High Sulfur Residual Fuel Oil, PADD 5</v>
      </c>
      <c r="E379" s="376"/>
      <c r="F379" s="376"/>
      <c r="G379" s="379"/>
      <c r="H379" s="379"/>
      <c r="I379" s="379"/>
      <c r="J379" s="379"/>
    </row>
    <row r="380" spans="2:10">
      <c r="B380" s="376" t="s">
        <v>588</v>
      </c>
      <c r="C380" s="376" t="str">
        <f>CONCATENATE(Types!B13,"P5")</f>
        <v>RFLP5</v>
      </c>
      <c r="D380" s="376" t="str">
        <f>CONCATENATE(Types!C13,", PADD 5")</f>
        <v>Low Sulfur Residual Fuel Oil, PADD 5</v>
      </c>
      <c r="E380" s="376"/>
      <c r="F380" s="376"/>
      <c r="G380" s="379"/>
      <c r="H380" s="379"/>
      <c r="I380" s="379"/>
      <c r="J380" s="379"/>
    </row>
    <row r="381" spans="2:10">
      <c r="B381" s="376" t="s">
        <v>588</v>
      </c>
      <c r="C381" s="376" t="s">
        <v>479</v>
      </c>
      <c r="D381" s="376" t="s">
        <v>480</v>
      </c>
      <c r="E381" s="376"/>
      <c r="F381" s="376"/>
      <c r="G381" s="379"/>
      <c r="H381" s="379"/>
      <c r="I381" s="379"/>
      <c r="J381" s="379"/>
    </row>
  </sheetData>
  <phoneticPr fontId="0" type="noConversion"/>
  <pageMargins left="0.75" right="0.75" top="1" bottom="1" header="0.5" footer="0.5"/>
  <pageSetup paperSize="9" orientation="portrait" horizontalDpi="1200"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8">
    <tabColor rgb="FFFFC000"/>
  </sheetPr>
  <dimension ref="B1:O2899"/>
  <sheetViews>
    <sheetView zoomScale="80" zoomScaleNormal="80" workbookViewId="0">
      <pane xSplit="4" ySplit="7" topLeftCell="E214" activePane="bottomRight" state="frozen"/>
      <selection activeCell="N56" sqref="N56"/>
      <selection pane="topRight" activeCell="N56" sqref="N56"/>
      <selection pane="bottomLeft" activeCell="N56" sqref="N56"/>
      <selection pane="bottomRight" activeCell="D245" sqref="D245"/>
    </sheetView>
  </sheetViews>
  <sheetFormatPr defaultColWidth="9.140625" defaultRowHeight="12.75"/>
  <cols>
    <col min="1" max="1" width="9.140625" style="365"/>
    <col min="2" max="2" width="23" style="365" customWidth="1"/>
    <col min="3" max="3" width="13.85546875" style="365" customWidth="1"/>
    <col min="4" max="4" width="75.140625" style="365" bestFit="1" customWidth="1"/>
    <col min="5" max="5" width="9.7109375" style="381" customWidth="1"/>
    <col min="6" max="6" width="9.85546875" style="381" customWidth="1"/>
    <col min="7" max="7" width="30.42578125" style="364" customWidth="1"/>
    <col min="8" max="8" width="10.42578125" style="365" customWidth="1"/>
    <col min="9" max="16384" width="9.140625" style="365"/>
  </cols>
  <sheetData>
    <row r="1" spans="2:15">
      <c r="B1" s="364" t="s">
        <v>503</v>
      </c>
      <c r="C1" s="365" t="s">
        <v>1028</v>
      </c>
    </row>
    <row r="4" spans="2:15" ht="18" customHeight="1"/>
    <row r="6" spans="2:15" customFormat="1">
      <c r="B6" s="370" t="s">
        <v>2498</v>
      </c>
    </row>
    <row r="7" spans="2:15" customFormat="1">
      <c r="B7" s="371" t="s">
        <v>739</v>
      </c>
      <c r="C7" s="371" t="s">
        <v>375</v>
      </c>
      <c r="D7" s="371" t="s">
        <v>376</v>
      </c>
      <c r="E7" s="386" t="s">
        <v>2499</v>
      </c>
      <c r="F7" s="386" t="s">
        <v>2500</v>
      </c>
      <c r="G7" s="371" t="s">
        <v>2501</v>
      </c>
      <c r="H7" s="386" t="s">
        <v>2502</v>
      </c>
      <c r="I7" s="386" t="s">
        <v>2503</v>
      </c>
      <c r="O7" s="371" t="s">
        <v>372</v>
      </c>
    </row>
    <row r="8" spans="2:15">
      <c r="B8" s="372" t="s">
        <v>504</v>
      </c>
      <c r="C8" s="372"/>
      <c r="D8" s="372"/>
      <c r="E8" s="412"/>
      <c r="F8" s="412"/>
      <c r="G8" s="372"/>
      <c r="H8" s="372"/>
      <c r="I8" s="378"/>
    </row>
    <row r="9" spans="2:15">
      <c r="B9" s="376" t="str">
        <f>IF(LEFT(Commodities!B$10,1)="*","*R1","R1")</f>
        <v>R1</v>
      </c>
      <c r="C9" s="376" t="s">
        <v>0</v>
      </c>
      <c r="D9" s="376" t="s">
        <v>506</v>
      </c>
      <c r="E9" s="415" t="s">
        <v>384</v>
      </c>
      <c r="F9" s="415" t="s">
        <v>505</v>
      </c>
      <c r="G9" s="399" t="s">
        <v>2533</v>
      </c>
      <c r="H9" s="376"/>
      <c r="I9" s="376"/>
    </row>
    <row r="10" spans="2:15">
      <c r="B10" s="376" t="str">
        <f>IF(LEFT(Commodities!B$10,1)="*","*R1","R1")</f>
        <v>R1</v>
      </c>
      <c r="C10" s="376" t="s">
        <v>1</v>
      </c>
      <c r="D10" s="376" t="s">
        <v>507</v>
      </c>
      <c r="E10" s="415" t="s">
        <v>384</v>
      </c>
      <c r="F10" s="415" t="s">
        <v>505</v>
      </c>
      <c r="G10" s="399" t="s">
        <v>2533</v>
      </c>
      <c r="H10" s="376"/>
      <c r="I10" s="376"/>
    </row>
    <row r="11" spans="2:15">
      <c r="B11" s="376" t="str">
        <f>IF(LEFT(Commodities!B$10,1)="*","*R1","R1")</f>
        <v>R1</v>
      </c>
      <c r="C11" s="376" t="s">
        <v>2</v>
      </c>
      <c r="D11" s="376" t="s">
        <v>508</v>
      </c>
      <c r="E11" s="415" t="s">
        <v>384</v>
      </c>
      <c r="F11" s="415" t="s">
        <v>505</v>
      </c>
      <c r="G11" s="399" t="s">
        <v>2533</v>
      </c>
      <c r="H11" s="376"/>
      <c r="I11" s="376"/>
    </row>
    <row r="12" spans="2:15">
      <c r="B12" s="376" t="str">
        <f>IF(LEFT(Commodities!B$10,1)="*","*R1","R1")</f>
        <v>R1</v>
      </c>
      <c r="C12" s="376" t="s">
        <v>4</v>
      </c>
      <c r="D12" s="376" t="s">
        <v>509</v>
      </c>
      <c r="E12" s="415" t="s">
        <v>384</v>
      </c>
      <c r="F12" s="415" t="s">
        <v>505</v>
      </c>
      <c r="G12" s="399" t="s">
        <v>2533</v>
      </c>
      <c r="H12" s="376"/>
      <c r="I12" s="376"/>
    </row>
    <row r="13" spans="2:15">
      <c r="B13" s="376" t="str">
        <f>IF(LEFT(Commodities!B$10,1)="*","*R1","R1")</f>
        <v>R1</v>
      </c>
      <c r="C13" s="376" t="s">
        <v>6</v>
      </c>
      <c r="D13" s="376" t="s">
        <v>510</v>
      </c>
      <c r="E13" s="415" t="s">
        <v>384</v>
      </c>
      <c r="F13" s="415" t="s">
        <v>505</v>
      </c>
      <c r="G13" s="399" t="s">
        <v>2533</v>
      </c>
      <c r="H13" s="376"/>
      <c r="I13" s="376"/>
    </row>
    <row r="14" spans="2:15">
      <c r="B14" s="376" t="s">
        <v>588</v>
      </c>
      <c r="C14" s="376" t="s">
        <v>939</v>
      </c>
      <c r="D14" s="376" t="s">
        <v>511</v>
      </c>
      <c r="E14" s="415" t="s">
        <v>384</v>
      </c>
      <c r="F14" s="415" t="s">
        <v>505</v>
      </c>
      <c r="G14" s="399" t="s">
        <v>2533</v>
      </c>
      <c r="H14" s="376"/>
      <c r="I14" s="376"/>
    </row>
    <row r="15" spans="2:15">
      <c r="B15" s="376" t="s">
        <v>588</v>
      </c>
      <c r="C15" s="376" t="s">
        <v>940</v>
      </c>
      <c r="D15" s="376" t="s">
        <v>512</v>
      </c>
      <c r="E15" s="415" t="s">
        <v>384</v>
      </c>
      <c r="F15" s="415" t="s">
        <v>505</v>
      </c>
      <c r="G15" s="399" t="s">
        <v>2533</v>
      </c>
      <c r="H15" s="376"/>
      <c r="I15" s="376"/>
    </row>
    <row r="16" spans="2:15">
      <c r="B16" s="376" t="s">
        <v>588</v>
      </c>
      <c r="C16" s="376" t="s">
        <v>941</v>
      </c>
      <c r="D16" s="376" t="s">
        <v>513</v>
      </c>
      <c r="E16" s="415" t="s">
        <v>384</v>
      </c>
      <c r="F16" s="415" t="s">
        <v>505</v>
      </c>
      <c r="G16" s="399" t="s">
        <v>2533</v>
      </c>
      <c r="H16" s="376"/>
      <c r="I16" s="376"/>
    </row>
    <row r="17" spans="2:9">
      <c r="B17" s="376" t="s">
        <v>588</v>
      </c>
      <c r="C17" s="376" t="s">
        <v>942</v>
      </c>
      <c r="D17" s="376" t="s">
        <v>514</v>
      </c>
      <c r="E17" s="415" t="s">
        <v>384</v>
      </c>
      <c r="F17" s="415" t="s">
        <v>505</v>
      </c>
      <c r="G17" s="399" t="s">
        <v>2533</v>
      </c>
      <c r="H17" s="376"/>
      <c r="I17" s="376"/>
    </row>
    <row r="18" spans="2:9">
      <c r="B18" s="376" t="str">
        <f>IF(LEFT(Commodities!B$10,1)="*","*R1","R1")</f>
        <v>R1</v>
      </c>
      <c r="C18" s="376" t="s">
        <v>515</v>
      </c>
      <c r="D18" s="376" t="s">
        <v>516</v>
      </c>
      <c r="E18" s="415" t="s">
        <v>384</v>
      </c>
      <c r="F18" s="415" t="s">
        <v>505</v>
      </c>
      <c r="G18" s="399" t="s">
        <v>2534</v>
      </c>
      <c r="H18" s="376"/>
      <c r="I18" s="376"/>
    </row>
    <row r="19" spans="2:9">
      <c r="B19" s="376" t="str">
        <f>IF(LEFT(Commodities!B$10,1)="*","*R1","R1")</f>
        <v>R1</v>
      </c>
      <c r="C19" s="376" t="s">
        <v>2461</v>
      </c>
      <c r="D19" s="376" t="s">
        <v>2460</v>
      </c>
      <c r="E19" s="415" t="s">
        <v>384</v>
      </c>
      <c r="F19" s="415" t="s">
        <v>505</v>
      </c>
      <c r="G19" s="399" t="s">
        <v>2534</v>
      </c>
      <c r="H19" s="376"/>
      <c r="I19" s="376"/>
    </row>
    <row r="20" spans="2:9">
      <c r="B20" s="376" t="s">
        <v>1086</v>
      </c>
      <c r="C20" s="376" t="s">
        <v>850</v>
      </c>
      <c r="D20" s="376" t="s">
        <v>851</v>
      </c>
      <c r="E20" s="415" t="s">
        <v>384</v>
      </c>
      <c r="F20" s="415" t="s">
        <v>505</v>
      </c>
      <c r="G20" s="399" t="s">
        <v>2534</v>
      </c>
      <c r="H20" s="376"/>
      <c r="I20" s="376"/>
    </row>
    <row r="21" spans="2:9">
      <c r="B21" s="376" t="s">
        <v>1087</v>
      </c>
      <c r="C21" s="376" t="s">
        <v>852</v>
      </c>
      <c r="D21" s="376" t="s">
        <v>853</v>
      </c>
      <c r="E21" s="415" t="s">
        <v>384</v>
      </c>
      <c r="F21" s="415" t="s">
        <v>505</v>
      </c>
      <c r="G21" s="399" t="s">
        <v>2534</v>
      </c>
      <c r="H21" s="376"/>
      <c r="I21" s="376"/>
    </row>
    <row r="22" spans="2:9">
      <c r="B22" s="376" t="s">
        <v>1088</v>
      </c>
      <c r="C22" s="376" t="s">
        <v>854</v>
      </c>
      <c r="D22" s="376" t="s">
        <v>855</v>
      </c>
      <c r="E22" s="415" t="s">
        <v>384</v>
      </c>
      <c r="F22" s="415" t="s">
        <v>505</v>
      </c>
      <c r="G22" s="399" t="s">
        <v>2534</v>
      </c>
      <c r="H22" s="376"/>
      <c r="I22" s="376"/>
    </row>
    <row r="23" spans="2:9">
      <c r="B23" s="376" t="s">
        <v>1089</v>
      </c>
      <c r="C23" s="376" t="s">
        <v>856</v>
      </c>
      <c r="D23" s="376" t="s">
        <v>857</v>
      </c>
      <c r="E23" s="415" t="s">
        <v>384</v>
      </c>
      <c r="F23" s="415" t="s">
        <v>505</v>
      </c>
      <c r="G23" s="399" t="s">
        <v>2534</v>
      </c>
      <c r="H23" s="376"/>
      <c r="I23" s="376"/>
    </row>
    <row r="24" spans="2:9">
      <c r="B24" s="376" t="str">
        <f>TechData_DelOILNYC!B26</f>
        <v>R1</v>
      </c>
      <c r="C24" s="376" t="str">
        <f>TechData_DelOILNYC!C26</f>
        <v>XGSC</v>
      </c>
      <c r="D24" s="376" t="str">
        <f>TechData_DelOILNYC!D26</f>
        <v>Convert GSC to GSCR1</v>
      </c>
      <c r="E24" s="415" t="s">
        <v>384</v>
      </c>
      <c r="F24" s="415" t="s">
        <v>505</v>
      </c>
      <c r="G24" s="399" t="s">
        <v>2534</v>
      </c>
      <c r="H24" s="376"/>
      <c r="I24" s="376"/>
    </row>
    <row r="25" spans="2:9">
      <c r="B25" s="376" t="str">
        <f>TechData_DelOILNYC!B27</f>
        <v>R1</v>
      </c>
      <c r="C25" s="376" t="str">
        <f>TechData_DelOILNYC!C27</f>
        <v>XGSR</v>
      </c>
      <c r="D25" s="376" t="str">
        <f>TechData_DelOILNYC!D27</f>
        <v>Convert GSR to GSRR1</v>
      </c>
      <c r="E25" s="415" t="s">
        <v>384</v>
      </c>
      <c r="F25" s="415" t="s">
        <v>505</v>
      </c>
      <c r="G25" s="399" t="s">
        <v>2534</v>
      </c>
      <c r="H25" s="376"/>
      <c r="I25" s="376"/>
    </row>
    <row r="26" spans="2:9">
      <c r="B26" s="376" t="str">
        <f>TechData_DelOILNYC!B28</f>
        <v>R1</v>
      </c>
      <c r="C26" s="376" t="str">
        <f>TechData_DelOILNYC!C28</f>
        <v>XDSH</v>
      </c>
      <c r="D26" s="376" t="str">
        <f>TechData_DelOILNYC!D28</f>
        <v>Convert DSH to DSHR1</v>
      </c>
      <c r="E26" s="415" t="s">
        <v>384</v>
      </c>
      <c r="F26" s="415" t="s">
        <v>505</v>
      </c>
      <c r="G26" s="399" t="s">
        <v>2534</v>
      </c>
      <c r="H26" s="376"/>
      <c r="I26" s="376"/>
    </row>
    <row r="27" spans="2:9">
      <c r="B27" s="376" t="str">
        <f>TechData_DelOILNYC!B29</f>
        <v>R1</v>
      </c>
      <c r="C27" s="376" t="str">
        <f>TechData_DelOILNYC!C29</f>
        <v>XDSL</v>
      </c>
      <c r="D27" s="376" t="str">
        <f>TechData_DelOILNYC!D29</f>
        <v>Convert DSL to DSLR1</v>
      </c>
      <c r="E27" s="415" t="s">
        <v>384</v>
      </c>
      <c r="F27" s="415" t="s">
        <v>505</v>
      </c>
      <c r="G27" s="399" t="s">
        <v>2534</v>
      </c>
      <c r="H27" s="376"/>
      <c r="I27" s="376"/>
    </row>
    <row r="28" spans="2:9">
      <c r="B28" s="376" t="str">
        <f>TechData_DelOILNYC!B30</f>
        <v>R1</v>
      </c>
      <c r="C28" s="376" t="str">
        <f>TechData_DelOILNYC!C30</f>
        <v>XDSU</v>
      </c>
      <c r="D28" s="376" t="str">
        <f>TechData_DelOILNYC!D30</f>
        <v>Convert DSU to DSUR1</v>
      </c>
      <c r="E28" s="415" t="s">
        <v>384</v>
      </c>
      <c r="F28" s="415" t="s">
        <v>505</v>
      </c>
      <c r="G28" s="399" t="s">
        <v>2534</v>
      </c>
      <c r="H28" s="376"/>
      <c r="I28" s="376"/>
    </row>
    <row r="29" spans="2:9">
      <c r="B29" s="376" t="str">
        <f>TechData_DelOILNYC!B31</f>
        <v>R1</v>
      </c>
      <c r="C29" s="376" t="str">
        <f>TechData_DelOILNYC!C31</f>
        <v>XRFL</v>
      </c>
      <c r="D29" s="376" t="str">
        <f>TechData_DelOILNYC!D31</f>
        <v>Convert RFL to RFLR1</v>
      </c>
      <c r="E29" s="415" t="s">
        <v>384</v>
      </c>
      <c r="F29" s="415" t="s">
        <v>505</v>
      </c>
      <c r="G29" s="399" t="s">
        <v>2534</v>
      </c>
      <c r="H29" s="376"/>
      <c r="I29" s="376"/>
    </row>
    <row r="30" spans="2:9">
      <c r="B30" s="376" t="str">
        <f>TechData_DelOILNYC!B32</f>
        <v>R1</v>
      </c>
      <c r="C30" s="376" t="str">
        <f>TechData_DelOILNYC!C32</f>
        <v>XJTFP1</v>
      </c>
      <c r="D30" s="376" t="str">
        <f>TechData_DelOILNYC!D32</f>
        <v>Convert JTFP1 to JTFR1</v>
      </c>
      <c r="E30" s="415" t="s">
        <v>384</v>
      </c>
      <c r="F30" s="415" t="s">
        <v>505</v>
      </c>
      <c r="G30" s="399" t="s">
        <v>2534</v>
      </c>
      <c r="H30" s="376"/>
      <c r="I30" s="376"/>
    </row>
    <row r="31" spans="2:9">
      <c r="B31" s="372" t="s">
        <v>2469</v>
      </c>
      <c r="C31" s="378"/>
      <c r="D31" s="378"/>
      <c r="E31" s="414"/>
      <c r="F31" s="414"/>
      <c r="G31" s="372"/>
      <c r="H31" s="378"/>
      <c r="I31" s="378"/>
    </row>
    <row r="32" spans="2:9">
      <c r="B32" s="376" t="s">
        <v>438</v>
      </c>
      <c r="C32" s="376" t="str">
        <f>TechData_R0!C32</f>
        <v>IMPOILHH13</v>
      </c>
      <c r="D32" s="376" t="str">
        <f>TechData_R0!D32</f>
        <v>Imported Imported Oil-High Sulfur, Heavy G, PADD 1, Step 3</v>
      </c>
      <c r="E32" s="415" t="s">
        <v>384</v>
      </c>
      <c r="F32" s="415" t="s">
        <v>505</v>
      </c>
      <c r="G32" s="399" t="s">
        <v>2536</v>
      </c>
      <c r="H32" s="376"/>
      <c r="I32" s="376"/>
    </row>
    <row r="33" spans="2:9">
      <c r="B33" s="376" t="s">
        <v>438</v>
      </c>
      <c r="C33" s="376" t="str">
        <f>TechData_R0!C33</f>
        <v>IMPOILHH11</v>
      </c>
      <c r="D33" s="376" t="str">
        <f>TechData_R0!D33</f>
        <v>Imported Imported Oil-High Sulfur, Heavy G, PADD 1, Step 1</v>
      </c>
      <c r="E33" s="415" t="s">
        <v>384</v>
      </c>
      <c r="F33" s="415" t="s">
        <v>505</v>
      </c>
      <c r="G33" s="399" t="s">
        <v>2536</v>
      </c>
      <c r="H33" s="376"/>
      <c r="I33" s="376"/>
    </row>
    <row r="34" spans="2:9">
      <c r="B34" s="376" t="s">
        <v>438</v>
      </c>
      <c r="C34" s="376" t="str">
        <f>TechData_R0!C34</f>
        <v>IMPOILHH12</v>
      </c>
      <c r="D34" s="376" t="str">
        <f>TechData_R0!D34</f>
        <v>Imported Imported Oil-High Sulfur, Heavy G, PADD 1, Step 2</v>
      </c>
      <c r="E34" s="415" t="s">
        <v>384</v>
      </c>
      <c r="F34" s="415" t="s">
        <v>505</v>
      </c>
      <c r="G34" s="399" t="s">
        <v>2536</v>
      </c>
      <c r="H34" s="376"/>
      <c r="I34" s="376"/>
    </row>
    <row r="35" spans="2:9">
      <c r="B35" s="376" t="s">
        <v>438</v>
      </c>
      <c r="C35" s="376" t="str">
        <f>TechData_R0!C35</f>
        <v>IMPOILHH14</v>
      </c>
      <c r="D35" s="376" t="str">
        <f>TechData_R0!D35</f>
        <v>Imported Imported Oil-High Sulfur, Heavy G, PADD 1, Step 4</v>
      </c>
      <c r="E35" s="415" t="s">
        <v>384</v>
      </c>
      <c r="F35" s="415" t="s">
        <v>505</v>
      </c>
      <c r="G35" s="399" t="s">
        <v>2536</v>
      </c>
      <c r="H35" s="376"/>
      <c r="I35" s="376"/>
    </row>
    <row r="36" spans="2:9">
      <c r="B36" s="376" t="s">
        <v>438</v>
      </c>
      <c r="C36" s="376" t="str">
        <f>TechData_R0!C36</f>
        <v>IMPOILHH15</v>
      </c>
      <c r="D36" s="376" t="str">
        <f>TechData_R0!D36</f>
        <v>Imported Imported Oil-High Sulfur, Heavy G, PADD 1, Step 5</v>
      </c>
      <c r="E36" s="415" t="s">
        <v>384</v>
      </c>
      <c r="F36" s="415" t="s">
        <v>505</v>
      </c>
      <c r="G36" s="399" t="s">
        <v>2536</v>
      </c>
      <c r="H36" s="376"/>
      <c r="I36" s="376"/>
    </row>
    <row r="37" spans="2:9">
      <c r="B37" s="376" t="s">
        <v>438</v>
      </c>
      <c r="C37" s="376" t="str">
        <f>TechData_R0!C37</f>
        <v>IMPOILHL13</v>
      </c>
      <c r="D37" s="376" t="str">
        <f>TechData_R0!D37</f>
        <v>Imported Imported Oil-High Sulfur, Low G, PADD 1, Step 3</v>
      </c>
      <c r="E37" s="415" t="s">
        <v>384</v>
      </c>
      <c r="F37" s="415" t="s">
        <v>505</v>
      </c>
      <c r="G37" s="399" t="s">
        <v>2536</v>
      </c>
      <c r="H37" s="376"/>
      <c r="I37" s="376"/>
    </row>
    <row r="38" spans="2:9">
      <c r="B38" s="376" t="s">
        <v>438</v>
      </c>
      <c r="C38" s="376" t="str">
        <f>TechData_R0!C38</f>
        <v>IMPOILHL11</v>
      </c>
      <c r="D38" s="376" t="str">
        <f>TechData_R0!D38</f>
        <v>Imported Imported Oil-High Sulfur, Low G, PADD 1, Step 1</v>
      </c>
      <c r="E38" s="415" t="s">
        <v>384</v>
      </c>
      <c r="F38" s="415" t="s">
        <v>505</v>
      </c>
      <c r="G38" s="399" t="s">
        <v>2536</v>
      </c>
      <c r="H38" s="376"/>
      <c r="I38" s="376"/>
    </row>
    <row r="39" spans="2:9">
      <c r="B39" s="376" t="s">
        <v>438</v>
      </c>
      <c r="C39" s="376" t="str">
        <f>TechData_R0!C39</f>
        <v>IMPOILHL12</v>
      </c>
      <c r="D39" s="376" t="str">
        <f>TechData_R0!D39</f>
        <v>Imported Imported Oil-High Sulfur, Low G, PADD 1, Step 2</v>
      </c>
      <c r="E39" s="415" t="s">
        <v>384</v>
      </c>
      <c r="F39" s="415" t="s">
        <v>505</v>
      </c>
      <c r="G39" s="399" t="s">
        <v>2536</v>
      </c>
      <c r="H39" s="376"/>
      <c r="I39" s="376"/>
    </row>
    <row r="40" spans="2:9">
      <c r="B40" s="376" t="s">
        <v>438</v>
      </c>
      <c r="C40" s="376" t="str">
        <f>TechData_R0!C40</f>
        <v>IMPOILHL14</v>
      </c>
      <c r="D40" s="376" t="str">
        <f>TechData_R0!D40</f>
        <v>Imported Imported Oil-High Sulfur, Low G, PADD 1, Step 4</v>
      </c>
      <c r="E40" s="415" t="s">
        <v>384</v>
      </c>
      <c r="F40" s="415" t="s">
        <v>505</v>
      </c>
      <c r="G40" s="399" t="s">
        <v>2536</v>
      </c>
      <c r="H40" s="376"/>
      <c r="I40" s="376"/>
    </row>
    <row r="41" spans="2:9">
      <c r="B41" s="376" t="s">
        <v>438</v>
      </c>
      <c r="C41" s="376" t="str">
        <f>TechData_R0!C41</f>
        <v>IMPOILHL15</v>
      </c>
      <c r="D41" s="376" t="str">
        <f>TechData_R0!D41</f>
        <v>Imported Imported Oil-High Sulfur, Low G, PADD 1, Step 5</v>
      </c>
      <c r="E41" s="415" t="s">
        <v>384</v>
      </c>
      <c r="F41" s="415" t="s">
        <v>505</v>
      </c>
      <c r="G41" s="399" t="s">
        <v>2536</v>
      </c>
      <c r="H41" s="376"/>
      <c r="I41" s="376"/>
    </row>
    <row r="42" spans="2:9">
      <c r="B42" s="376" t="s">
        <v>438</v>
      </c>
      <c r="C42" s="376" t="str">
        <f>TechData_R0!C42</f>
        <v>IMPOILHV13</v>
      </c>
      <c r="D42" s="376" t="str">
        <f>TechData_R0!D42</f>
        <v>Imported Imported Oil-High Sulfur, Very HG, PADD 1, Step 3</v>
      </c>
      <c r="E42" s="415" t="s">
        <v>384</v>
      </c>
      <c r="F42" s="415" t="s">
        <v>505</v>
      </c>
      <c r="G42" s="399" t="s">
        <v>2536</v>
      </c>
      <c r="H42" s="376"/>
      <c r="I42" s="376"/>
    </row>
    <row r="43" spans="2:9">
      <c r="B43" s="376" t="s">
        <v>438</v>
      </c>
      <c r="C43" s="376" t="str">
        <f>TechData_R0!C43</f>
        <v>IMPOILHV11</v>
      </c>
      <c r="D43" s="376" t="str">
        <f>TechData_R0!D43</f>
        <v>Imported Imported Oil-High Sulfur, Very HG, PADD 1, Step 1</v>
      </c>
      <c r="E43" s="415" t="s">
        <v>384</v>
      </c>
      <c r="F43" s="415" t="s">
        <v>505</v>
      </c>
      <c r="G43" s="399" t="s">
        <v>2536</v>
      </c>
      <c r="H43" s="376"/>
      <c r="I43" s="376"/>
    </row>
    <row r="44" spans="2:9">
      <c r="B44" s="376" t="s">
        <v>438</v>
      </c>
      <c r="C44" s="376" t="str">
        <f>TechData_R0!C44</f>
        <v>IMPOILHV12</v>
      </c>
      <c r="D44" s="376" t="str">
        <f>TechData_R0!D44</f>
        <v>Imported Imported Oil-High Sulfur, Very HG, PADD 1, Step 2</v>
      </c>
      <c r="E44" s="415" t="s">
        <v>384</v>
      </c>
      <c r="F44" s="415" t="s">
        <v>505</v>
      </c>
      <c r="G44" s="399" t="s">
        <v>2536</v>
      </c>
      <c r="H44" s="376"/>
      <c r="I44" s="376"/>
    </row>
    <row r="45" spans="2:9">
      <c r="B45" s="376" t="s">
        <v>438</v>
      </c>
      <c r="C45" s="376" t="str">
        <f>TechData_R0!C45</f>
        <v>IMPOILHV14</v>
      </c>
      <c r="D45" s="376" t="str">
        <f>TechData_R0!D45</f>
        <v>Imported Imported Oil-High Sulfur, Very HG, PADD 1, Step 4</v>
      </c>
      <c r="E45" s="415" t="s">
        <v>384</v>
      </c>
      <c r="F45" s="415" t="s">
        <v>505</v>
      </c>
      <c r="G45" s="399" t="s">
        <v>2536</v>
      </c>
      <c r="H45" s="376"/>
      <c r="I45" s="376"/>
    </row>
    <row r="46" spans="2:9">
      <c r="B46" s="376" t="s">
        <v>438</v>
      </c>
      <c r="C46" s="376" t="str">
        <f>TechData_R0!C46</f>
        <v>IMPOILHV15</v>
      </c>
      <c r="D46" s="376" t="str">
        <f>TechData_R0!D46</f>
        <v>Imported Imported Oil-High Sulfur, Very HG, PADD 1, Step 5</v>
      </c>
      <c r="E46" s="415" t="s">
        <v>384</v>
      </c>
      <c r="F46" s="415" t="s">
        <v>505</v>
      </c>
      <c r="G46" s="399" t="s">
        <v>2536</v>
      </c>
      <c r="H46" s="376"/>
      <c r="I46" s="376"/>
    </row>
    <row r="47" spans="2:9">
      <c r="B47" s="376" t="s">
        <v>438</v>
      </c>
      <c r="C47" s="376" t="str">
        <f>TechData_R0!C47</f>
        <v>IMPOILLL13</v>
      </c>
      <c r="D47" s="376" t="str">
        <f>TechData_R0!D47</f>
        <v>Imported Imported Oil-Low Sulfur, Low G, PADD 1, Step 3</v>
      </c>
      <c r="E47" s="415" t="s">
        <v>384</v>
      </c>
      <c r="F47" s="415" t="s">
        <v>505</v>
      </c>
      <c r="G47" s="399" t="s">
        <v>2536</v>
      </c>
      <c r="H47" s="376"/>
      <c r="I47" s="376"/>
    </row>
    <row r="48" spans="2:9">
      <c r="B48" s="376" t="s">
        <v>438</v>
      </c>
      <c r="C48" s="376" t="str">
        <f>TechData_R0!C48</f>
        <v>IMPOILLL11</v>
      </c>
      <c r="D48" s="376" t="str">
        <f>TechData_R0!D48</f>
        <v>Imported Imported Oil-Low Sulfur, Low G, PADD 1, Step 1</v>
      </c>
      <c r="E48" s="415" t="s">
        <v>384</v>
      </c>
      <c r="F48" s="415" t="s">
        <v>505</v>
      </c>
      <c r="G48" s="399" t="s">
        <v>2536</v>
      </c>
      <c r="H48" s="376"/>
      <c r="I48" s="376"/>
    </row>
    <row r="49" spans="2:9">
      <c r="B49" s="376" t="s">
        <v>438</v>
      </c>
      <c r="C49" s="376" t="str">
        <f>TechData_R0!C49</f>
        <v>IMPOILLL12</v>
      </c>
      <c r="D49" s="376" t="str">
        <f>TechData_R0!D49</f>
        <v>Imported Imported Oil-Low Sulfur, Low G, PADD 1, Step 2</v>
      </c>
      <c r="E49" s="415" t="s">
        <v>384</v>
      </c>
      <c r="F49" s="415" t="s">
        <v>505</v>
      </c>
      <c r="G49" s="399" t="s">
        <v>2536</v>
      </c>
      <c r="H49" s="376"/>
      <c r="I49" s="376"/>
    </row>
    <row r="50" spans="2:9">
      <c r="B50" s="376" t="s">
        <v>438</v>
      </c>
      <c r="C50" s="376" t="str">
        <f>TechData_R0!C50</f>
        <v>IMPOILLL14</v>
      </c>
      <c r="D50" s="376" t="str">
        <f>TechData_R0!D50</f>
        <v>Imported Imported Oil-Low Sulfur, Low G, PADD 1, Step 4</v>
      </c>
      <c r="E50" s="415" t="s">
        <v>384</v>
      </c>
      <c r="F50" s="415" t="s">
        <v>505</v>
      </c>
      <c r="G50" s="399" t="s">
        <v>2536</v>
      </c>
      <c r="H50" s="376"/>
      <c r="I50" s="376"/>
    </row>
    <row r="51" spans="2:9">
      <c r="B51" s="376" t="s">
        <v>438</v>
      </c>
      <c r="C51" s="376" t="str">
        <f>TechData_R0!C51</f>
        <v>IMPOILLL15</v>
      </c>
      <c r="D51" s="376" t="str">
        <f>TechData_R0!D51</f>
        <v>Imported Imported Oil-Low Sulfur, Low G, PADD 1, Step 5</v>
      </c>
      <c r="E51" s="415" t="s">
        <v>384</v>
      </c>
      <c r="F51" s="415" t="s">
        <v>505</v>
      </c>
      <c r="G51" s="399" t="s">
        <v>2536</v>
      </c>
      <c r="H51" s="376"/>
      <c r="I51" s="376"/>
    </row>
    <row r="52" spans="2:9">
      <c r="B52" s="376" t="s">
        <v>438</v>
      </c>
      <c r="C52" s="376" t="str">
        <f>TechData_R0!C52</f>
        <v>IMPOILMH13</v>
      </c>
      <c r="D52" s="376" t="str">
        <f>TechData_R0!D52</f>
        <v>Imported Imported Oil-Medium Sulfur, HG, PADD 1, Step 3</v>
      </c>
      <c r="E52" s="415" t="s">
        <v>384</v>
      </c>
      <c r="F52" s="415" t="s">
        <v>505</v>
      </c>
      <c r="G52" s="399" t="s">
        <v>2536</v>
      </c>
      <c r="H52" s="376"/>
      <c r="I52" s="376"/>
    </row>
    <row r="53" spans="2:9">
      <c r="B53" s="376" t="s">
        <v>438</v>
      </c>
      <c r="C53" s="376" t="str">
        <f>TechData_R0!C53</f>
        <v>IMPOILMH11</v>
      </c>
      <c r="D53" s="376" t="str">
        <f>TechData_R0!D53</f>
        <v>Imported Imported Oil-Medium Sulfur, HG, PADD 1, Step 1</v>
      </c>
      <c r="E53" s="415" t="s">
        <v>384</v>
      </c>
      <c r="F53" s="415" t="s">
        <v>505</v>
      </c>
      <c r="G53" s="399" t="s">
        <v>2536</v>
      </c>
      <c r="H53" s="376"/>
      <c r="I53" s="376"/>
    </row>
    <row r="54" spans="2:9">
      <c r="B54" s="376" t="s">
        <v>438</v>
      </c>
      <c r="C54" s="376" t="str">
        <f>TechData_R0!C54</f>
        <v>IMPOILMH12</v>
      </c>
      <c r="D54" s="376" t="str">
        <f>TechData_R0!D54</f>
        <v>Imported Imported Oil-Medium Sulfur, HG, PADD 1, Step 2</v>
      </c>
      <c r="E54" s="415" t="s">
        <v>384</v>
      </c>
      <c r="F54" s="415" t="s">
        <v>505</v>
      </c>
      <c r="G54" s="399" t="s">
        <v>2536</v>
      </c>
      <c r="H54" s="376"/>
      <c r="I54" s="376"/>
    </row>
    <row r="55" spans="2:9">
      <c r="B55" s="376" t="s">
        <v>438</v>
      </c>
      <c r="C55" s="376" t="str">
        <f>TechData_R0!C55</f>
        <v>IMPOILMH14</v>
      </c>
      <c r="D55" s="376" t="str">
        <f>TechData_R0!D55</f>
        <v>Imported Imported Oil-Medium Sulfur, HG, PADD 1, Step 4</v>
      </c>
      <c r="E55" s="415" t="s">
        <v>384</v>
      </c>
      <c r="F55" s="415" t="s">
        <v>505</v>
      </c>
      <c r="G55" s="399" t="s">
        <v>2536</v>
      </c>
      <c r="H55" s="376"/>
      <c r="I55" s="376"/>
    </row>
    <row r="56" spans="2:9">
      <c r="B56" s="376" t="s">
        <v>438</v>
      </c>
      <c r="C56" s="376" t="str">
        <f>TechData_R0!C56</f>
        <v>IMPOILMH15</v>
      </c>
      <c r="D56" s="376" t="str">
        <f>TechData_R0!D56</f>
        <v>Imported Imported Oil-Medium Sulfur, HG, PADD 1, Step 5</v>
      </c>
      <c r="E56" s="415" t="s">
        <v>384</v>
      </c>
      <c r="F56" s="415" t="s">
        <v>505</v>
      </c>
      <c r="G56" s="399" t="s">
        <v>2536</v>
      </c>
      <c r="H56" s="376"/>
      <c r="I56" s="376"/>
    </row>
    <row r="57" spans="2:9">
      <c r="B57" s="376" t="s">
        <v>588</v>
      </c>
      <c r="C57" s="376"/>
      <c r="D57" s="376"/>
      <c r="E57" s="415"/>
      <c r="F57" s="415"/>
      <c r="G57" s="399" t="s">
        <v>2536</v>
      </c>
      <c r="H57" s="376"/>
      <c r="I57" s="376"/>
    </row>
    <row r="58" spans="2:9">
      <c r="B58" s="376" t="s">
        <v>438</v>
      </c>
      <c r="C58" s="376" t="str">
        <f>TechData_R0!C58</f>
        <v>IMPOILHH23</v>
      </c>
      <c r="D58" s="376" t="str">
        <f>TechData_R0!D58</f>
        <v>Imported Imported Oil-High Sulfur, Heavy G, PADD 2, Step 3</v>
      </c>
      <c r="E58" s="415" t="s">
        <v>384</v>
      </c>
      <c r="F58" s="415" t="s">
        <v>505</v>
      </c>
      <c r="G58" s="399" t="s">
        <v>2536</v>
      </c>
      <c r="H58" s="376"/>
      <c r="I58" s="376"/>
    </row>
    <row r="59" spans="2:9">
      <c r="B59" s="376" t="s">
        <v>438</v>
      </c>
      <c r="C59" s="376" t="str">
        <f>TechData_R0!C59</f>
        <v>IMPOILHH21</v>
      </c>
      <c r="D59" s="376" t="str">
        <f>TechData_R0!D59</f>
        <v>Imported Imported Oil-High Sulfur, Heavy G, PADD 2, Step 1</v>
      </c>
      <c r="E59" s="415" t="s">
        <v>384</v>
      </c>
      <c r="F59" s="415" t="s">
        <v>505</v>
      </c>
      <c r="G59" s="399" t="s">
        <v>2536</v>
      </c>
      <c r="H59" s="376"/>
      <c r="I59" s="376"/>
    </row>
    <row r="60" spans="2:9">
      <c r="B60" s="376" t="s">
        <v>438</v>
      </c>
      <c r="C60" s="376" t="str">
        <f>TechData_R0!C60</f>
        <v>IMPOILHH22</v>
      </c>
      <c r="D60" s="376" t="str">
        <f>TechData_R0!D60</f>
        <v>Imported Imported Oil-High Sulfur, Heavy G, PADD 2, Step 2</v>
      </c>
      <c r="E60" s="415" t="s">
        <v>384</v>
      </c>
      <c r="F60" s="415" t="s">
        <v>505</v>
      </c>
      <c r="G60" s="399" t="s">
        <v>2536</v>
      </c>
      <c r="H60" s="376"/>
      <c r="I60" s="376"/>
    </row>
    <row r="61" spans="2:9">
      <c r="B61" s="376" t="s">
        <v>438</v>
      </c>
      <c r="C61" s="376" t="str">
        <f>TechData_R0!C61</f>
        <v>IMPOILHH24</v>
      </c>
      <c r="D61" s="376" t="str">
        <f>TechData_R0!D61</f>
        <v>Imported Imported Oil-High Sulfur, Heavy G, PADD 2, Step 4</v>
      </c>
      <c r="E61" s="415" t="s">
        <v>384</v>
      </c>
      <c r="F61" s="415" t="s">
        <v>505</v>
      </c>
      <c r="G61" s="399" t="s">
        <v>2536</v>
      </c>
      <c r="H61" s="376"/>
      <c r="I61" s="376"/>
    </row>
    <row r="62" spans="2:9">
      <c r="B62" s="376" t="s">
        <v>438</v>
      </c>
      <c r="C62" s="376" t="str">
        <f>TechData_R0!C62</f>
        <v>IMPOILHH25</v>
      </c>
      <c r="D62" s="376" t="str">
        <f>TechData_R0!D62</f>
        <v>Imported Imported Oil-High Sulfur, Heavy G, PADD 2, Step 5</v>
      </c>
      <c r="E62" s="415" t="s">
        <v>384</v>
      </c>
      <c r="F62" s="415" t="s">
        <v>505</v>
      </c>
      <c r="G62" s="399" t="s">
        <v>2536</v>
      </c>
      <c r="H62" s="376"/>
      <c r="I62" s="376"/>
    </row>
    <row r="63" spans="2:9">
      <c r="B63" s="376" t="s">
        <v>438</v>
      </c>
      <c r="C63" s="376" t="str">
        <f>TechData_R0!C63</f>
        <v>IMPOILHL23</v>
      </c>
      <c r="D63" s="376" t="str">
        <f>TechData_R0!D63</f>
        <v>Imported Imported Oil-High Sulfur, Low G, PADD 2, Step 3</v>
      </c>
      <c r="E63" s="415" t="s">
        <v>384</v>
      </c>
      <c r="F63" s="415" t="s">
        <v>505</v>
      </c>
      <c r="G63" s="399" t="s">
        <v>2536</v>
      </c>
      <c r="H63" s="376"/>
      <c r="I63" s="376"/>
    </row>
    <row r="64" spans="2:9">
      <c r="B64" s="376" t="s">
        <v>438</v>
      </c>
      <c r="C64" s="376" t="str">
        <f>TechData_R0!C64</f>
        <v>IMPOILHL21</v>
      </c>
      <c r="D64" s="376" t="str">
        <f>TechData_R0!D64</f>
        <v>Imported Imported Oil-High Sulfur, Low G, PADD 2, Step 1</v>
      </c>
      <c r="E64" s="415" t="s">
        <v>384</v>
      </c>
      <c r="F64" s="415" t="s">
        <v>505</v>
      </c>
      <c r="G64" s="399" t="s">
        <v>2536</v>
      </c>
      <c r="H64" s="376"/>
      <c r="I64" s="376"/>
    </row>
    <row r="65" spans="2:9">
      <c r="B65" s="376" t="s">
        <v>438</v>
      </c>
      <c r="C65" s="376" t="str">
        <f>TechData_R0!C65</f>
        <v>IMPOILHL22</v>
      </c>
      <c r="D65" s="376" t="str">
        <f>TechData_R0!D65</f>
        <v>Imported Imported Oil-High Sulfur, Low G, PADD 2, Step 2</v>
      </c>
      <c r="E65" s="415" t="s">
        <v>384</v>
      </c>
      <c r="F65" s="415" t="s">
        <v>505</v>
      </c>
      <c r="G65" s="399" t="s">
        <v>2536</v>
      </c>
      <c r="H65" s="376"/>
      <c r="I65" s="376"/>
    </row>
    <row r="66" spans="2:9">
      <c r="B66" s="376" t="s">
        <v>438</v>
      </c>
      <c r="C66" s="376" t="str">
        <f>TechData_R0!C66</f>
        <v>IMPOILHL24</v>
      </c>
      <c r="D66" s="376" t="str">
        <f>TechData_R0!D66</f>
        <v>Imported Imported Oil-High Sulfur, Low G, PADD 2, Step 4</v>
      </c>
      <c r="E66" s="415" t="s">
        <v>384</v>
      </c>
      <c r="F66" s="415" t="s">
        <v>505</v>
      </c>
      <c r="G66" s="399" t="s">
        <v>2536</v>
      </c>
      <c r="H66" s="376"/>
      <c r="I66" s="376"/>
    </row>
    <row r="67" spans="2:9">
      <c r="B67" s="376" t="s">
        <v>438</v>
      </c>
      <c r="C67" s="376" t="str">
        <f>TechData_R0!C67</f>
        <v>IMPOILHL25</v>
      </c>
      <c r="D67" s="376" t="str">
        <f>TechData_R0!D67</f>
        <v>Imported Imported Oil-High Sulfur, Low G, PADD 2, Step 5</v>
      </c>
      <c r="E67" s="415" t="s">
        <v>384</v>
      </c>
      <c r="F67" s="415" t="s">
        <v>505</v>
      </c>
      <c r="G67" s="399" t="s">
        <v>2536</v>
      </c>
      <c r="H67" s="376"/>
      <c r="I67" s="376"/>
    </row>
    <row r="68" spans="2:9">
      <c r="B68" s="376" t="s">
        <v>438</v>
      </c>
      <c r="C68" s="376" t="str">
        <f>TechData_R0!C68</f>
        <v>IMPOILHV23</v>
      </c>
      <c r="D68" s="376" t="str">
        <f>TechData_R0!D68</f>
        <v>Imported Imported Oil-High Sulfur, Very HG, PADD 2, Step 3</v>
      </c>
      <c r="E68" s="415" t="s">
        <v>384</v>
      </c>
      <c r="F68" s="415" t="s">
        <v>505</v>
      </c>
      <c r="G68" s="399" t="s">
        <v>2536</v>
      </c>
      <c r="H68" s="376"/>
      <c r="I68" s="376"/>
    </row>
    <row r="69" spans="2:9">
      <c r="B69" s="376" t="s">
        <v>438</v>
      </c>
      <c r="C69" s="376" t="str">
        <f>TechData_R0!C69</f>
        <v>IMPOILHV21</v>
      </c>
      <c r="D69" s="376" t="str">
        <f>TechData_R0!D69</f>
        <v>Imported Imported Oil-High Sulfur, Very HG, PADD 2, Step 1</v>
      </c>
      <c r="E69" s="415" t="s">
        <v>384</v>
      </c>
      <c r="F69" s="415" t="s">
        <v>505</v>
      </c>
      <c r="G69" s="399" t="s">
        <v>2536</v>
      </c>
      <c r="H69" s="376"/>
      <c r="I69" s="376"/>
    </row>
    <row r="70" spans="2:9">
      <c r="B70" s="376" t="s">
        <v>438</v>
      </c>
      <c r="C70" s="376" t="str">
        <f>TechData_R0!C70</f>
        <v>IMPOILHV22</v>
      </c>
      <c r="D70" s="376" t="str">
        <f>TechData_R0!D70</f>
        <v>Imported Imported Oil-High Sulfur, Very HG, PADD 2, Step 2</v>
      </c>
      <c r="E70" s="415" t="s">
        <v>384</v>
      </c>
      <c r="F70" s="415" t="s">
        <v>505</v>
      </c>
      <c r="G70" s="399" t="s">
        <v>2536</v>
      </c>
      <c r="H70" s="376"/>
      <c r="I70" s="376"/>
    </row>
    <row r="71" spans="2:9">
      <c r="B71" s="376" t="s">
        <v>438</v>
      </c>
      <c r="C71" s="376" t="str">
        <f>TechData_R0!C71</f>
        <v>IMPOILHV24</v>
      </c>
      <c r="D71" s="376" t="str">
        <f>TechData_R0!D71</f>
        <v>Imported Imported Oil-High Sulfur, Very HG, PADD 2, Step 4</v>
      </c>
      <c r="E71" s="415" t="s">
        <v>384</v>
      </c>
      <c r="F71" s="415" t="s">
        <v>505</v>
      </c>
      <c r="G71" s="399" t="s">
        <v>2536</v>
      </c>
      <c r="H71" s="376"/>
      <c r="I71" s="376"/>
    </row>
    <row r="72" spans="2:9">
      <c r="B72" s="376" t="s">
        <v>438</v>
      </c>
      <c r="C72" s="376" t="str">
        <f>TechData_R0!C72</f>
        <v>IMPOILHV25</v>
      </c>
      <c r="D72" s="376" t="str">
        <f>TechData_R0!D72</f>
        <v>Imported Imported Oil-High Sulfur, Very HG, PADD 2, Step 5</v>
      </c>
      <c r="E72" s="415" t="s">
        <v>384</v>
      </c>
      <c r="F72" s="415" t="s">
        <v>505</v>
      </c>
      <c r="G72" s="399" t="s">
        <v>2536</v>
      </c>
      <c r="H72" s="376"/>
      <c r="I72" s="376"/>
    </row>
    <row r="73" spans="2:9">
      <c r="B73" s="376" t="s">
        <v>438</v>
      </c>
      <c r="C73" s="376" t="str">
        <f>TechData_R0!C73</f>
        <v>IMPOILLL23</v>
      </c>
      <c r="D73" s="376" t="str">
        <f>TechData_R0!D73</f>
        <v>Imported Imported Oil-Low Sulfur, Low G, PADD 2, Step 3</v>
      </c>
      <c r="E73" s="415" t="s">
        <v>384</v>
      </c>
      <c r="F73" s="415" t="s">
        <v>505</v>
      </c>
      <c r="G73" s="399" t="s">
        <v>2536</v>
      </c>
      <c r="H73" s="376"/>
      <c r="I73" s="376"/>
    </row>
    <row r="74" spans="2:9">
      <c r="B74" s="376" t="s">
        <v>438</v>
      </c>
      <c r="C74" s="376" t="str">
        <f>TechData_R0!C74</f>
        <v>IMPOILLL21</v>
      </c>
      <c r="D74" s="376" t="str">
        <f>TechData_R0!D74</f>
        <v>Imported Imported Oil-Low Sulfur, Low G, PADD 2, Step 1</v>
      </c>
      <c r="E74" s="415" t="s">
        <v>384</v>
      </c>
      <c r="F74" s="415" t="s">
        <v>505</v>
      </c>
      <c r="G74" s="399" t="s">
        <v>2536</v>
      </c>
      <c r="H74" s="376"/>
      <c r="I74" s="376"/>
    </row>
    <row r="75" spans="2:9">
      <c r="B75" s="376" t="s">
        <v>438</v>
      </c>
      <c r="C75" s="376" t="str">
        <f>TechData_R0!C75</f>
        <v>IMPOILLL22</v>
      </c>
      <c r="D75" s="376" t="str">
        <f>TechData_R0!D75</f>
        <v>Imported Imported Oil-Low Sulfur, Low G, PADD 2, Step 2</v>
      </c>
      <c r="E75" s="415" t="s">
        <v>384</v>
      </c>
      <c r="F75" s="415" t="s">
        <v>505</v>
      </c>
      <c r="G75" s="399" t="s">
        <v>2536</v>
      </c>
      <c r="H75" s="376"/>
      <c r="I75" s="376"/>
    </row>
    <row r="76" spans="2:9">
      <c r="B76" s="376" t="s">
        <v>438</v>
      </c>
      <c r="C76" s="376" t="str">
        <f>TechData_R0!C76</f>
        <v>IMPOILLL24</v>
      </c>
      <c r="D76" s="376" t="str">
        <f>TechData_R0!D76</f>
        <v>Imported Imported Oil-Low Sulfur, Low G, PADD 2, Step 4</v>
      </c>
      <c r="E76" s="415" t="s">
        <v>384</v>
      </c>
      <c r="F76" s="415" t="s">
        <v>505</v>
      </c>
      <c r="G76" s="399" t="s">
        <v>2536</v>
      </c>
      <c r="H76" s="376"/>
      <c r="I76" s="376"/>
    </row>
    <row r="77" spans="2:9">
      <c r="B77" s="376" t="s">
        <v>438</v>
      </c>
      <c r="C77" s="376" t="str">
        <f>TechData_R0!C77</f>
        <v>IMPOILLL25</v>
      </c>
      <c r="D77" s="376" t="str">
        <f>TechData_R0!D77</f>
        <v>Imported Imported Oil-Low Sulfur, Low G, PADD 2, Step 5</v>
      </c>
      <c r="E77" s="415" t="s">
        <v>384</v>
      </c>
      <c r="F77" s="415" t="s">
        <v>505</v>
      </c>
      <c r="G77" s="399" t="s">
        <v>2536</v>
      </c>
      <c r="H77" s="376"/>
      <c r="I77" s="376"/>
    </row>
    <row r="78" spans="2:9">
      <c r="B78" s="376" t="s">
        <v>438</v>
      </c>
      <c r="C78" s="376" t="str">
        <f>TechData_R0!C78</f>
        <v>IMPOILMH23</v>
      </c>
      <c r="D78" s="376" t="str">
        <f>TechData_R0!D78</f>
        <v>Imported Imported Oil-Medium Sulfur, HG, PADD 2, Step 3</v>
      </c>
      <c r="E78" s="415" t="s">
        <v>384</v>
      </c>
      <c r="F78" s="415" t="s">
        <v>505</v>
      </c>
      <c r="G78" s="399" t="s">
        <v>2536</v>
      </c>
      <c r="H78" s="376"/>
      <c r="I78" s="376"/>
    </row>
    <row r="79" spans="2:9">
      <c r="B79" s="376" t="s">
        <v>438</v>
      </c>
      <c r="C79" s="376" t="str">
        <f>TechData_R0!C79</f>
        <v>IMPOILMH21</v>
      </c>
      <c r="D79" s="376" t="str">
        <f>TechData_R0!D79</f>
        <v>Imported Imported Oil-Medium Sulfur, HG, PADD 2, Step 1</v>
      </c>
      <c r="E79" s="415" t="s">
        <v>384</v>
      </c>
      <c r="F79" s="415" t="s">
        <v>505</v>
      </c>
      <c r="G79" s="399" t="s">
        <v>2536</v>
      </c>
      <c r="H79" s="376"/>
      <c r="I79" s="376"/>
    </row>
    <row r="80" spans="2:9">
      <c r="B80" s="376" t="s">
        <v>438</v>
      </c>
      <c r="C80" s="376" t="str">
        <f>TechData_R0!C80</f>
        <v>IMPOILMH22</v>
      </c>
      <c r="D80" s="376" t="str">
        <f>TechData_R0!D80</f>
        <v>Imported Imported Oil-Medium Sulfur, HG, PADD 2, Step 2</v>
      </c>
      <c r="E80" s="415" t="s">
        <v>384</v>
      </c>
      <c r="F80" s="415" t="s">
        <v>505</v>
      </c>
      <c r="G80" s="399" t="s">
        <v>2536</v>
      </c>
      <c r="H80" s="376"/>
      <c r="I80" s="376"/>
    </row>
    <row r="81" spans="2:9">
      <c r="B81" s="376" t="s">
        <v>438</v>
      </c>
      <c r="C81" s="376" t="str">
        <f>TechData_R0!C81</f>
        <v>IMPOILMH24</v>
      </c>
      <c r="D81" s="376" t="str">
        <f>TechData_R0!D81</f>
        <v>Imported Imported Oil-Medium Sulfur, HG, PADD 2, Step 4</v>
      </c>
      <c r="E81" s="415" t="s">
        <v>384</v>
      </c>
      <c r="F81" s="415" t="s">
        <v>505</v>
      </c>
      <c r="G81" s="399" t="s">
        <v>2536</v>
      </c>
      <c r="H81" s="376"/>
      <c r="I81" s="376"/>
    </row>
    <row r="82" spans="2:9">
      <c r="B82" s="376" t="s">
        <v>438</v>
      </c>
      <c r="C82" s="376" t="str">
        <f>TechData_R0!C82</f>
        <v>IMPOILMH25</v>
      </c>
      <c r="D82" s="376" t="str">
        <f>TechData_R0!D82</f>
        <v>Imported Imported Oil-Medium Sulfur, HG, PADD 2, Step 5</v>
      </c>
      <c r="E82" s="415" t="s">
        <v>384</v>
      </c>
      <c r="F82" s="415" t="s">
        <v>505</v>
      </c>
      <c r="G82" s="399" t="s">
        <v>2536</v>
      </c>
      <c r="H82" s="376"/>
      <c r="I82" s="376"/>
    </row>
    <row r="83" spans="2:9">
      <c r="B83" s="376" t="s">
        <v>588</v>
      </c>
      <c r="C83" s="376"/>
      <c r="D83" s="376"/>
      <c r="E83" s="415"/>
      <c r="F83" s="415"/>
      <c r="G83" s="399" t="s">
        <v>2536</v>
      </c>
      <c r="H83" s="376"/>
      <c r="I83" s="376"/>
    </row>
    <row r="84" spans="2:9">
      <c r="B84" s="376" t="s">
        <v>438</v>
      </c>
      <c r="C84" s="376" t="str">
        <f>TechData_R0!C84</f>
        <v>IMPOILHH33</v>
      </c>
      <c r="D84" s="376" t="str">
        <f>TechData_R0!D84</f>
        <v>Imported Imported Oil-High Sulfur, Heavy G, PADD 3, Step 3</v>
      </c>
      <c r="E84" s="415" t="s">
        <v>384</v>
      </c>
      <c r="F84" s="415" t="s">
        <v>505</v>
      </c>
      <c r="G84" s="399" t="s">
        <v>2536</v>
      </c>
      <c r="H84" s="376"/>
      <c r="I84" s="376"/>
    </row>
    <row r="85" spans="2:9">
      <c r="B85" s="376" t="s">
        <v>438</v>
      </c>
      <c r="C85" s="376" t="str">
        <f>TechData_R0!C85</f>
        <v>IMPOILHH31</v>
      </c>
      <c r="D85" s="376" t="str">
        <f>TechData_R0!D85</f>
        <v>Imported Imported Oil-High Sulfur, Heavy G, PADD 3, Step 1</v>
      </c>
      <c r="E85" s="415" t="s">
        <v>384</v>
      </c>
      <c r="F85" s="415" t="s">
        <v>505</v>
      </c>
      <c r="G85" s="399" t="s">
        <v>2536</v>
      </c>
      <c r="H85" s="376"/>
      <c r="I85" s="376"/>
    </row>
    <row r="86" spans="2:9">
      <c r="B86" s="376" t="s">
        <v>438</v>
      </c>
      <c r="C86" s="376" t="str">
        <f>TechData_R0!C86</f>
        <v>IMPOILHH32</v>
      </c>
      <c r="D86" s="376" t="str">
        <f>TechData_R0!D86</f>
        <v>Imported Imported Oil-High Sulfur, Heavy G, PADD 3, Step 2</v>
      </c>
      <c r="E86" s="415" t="s">
        <v>384</v>
      </c>
      <c r="F86" s="415" t="s">
        <v>505</v>
      </c>
      <c r="G86" s="399" t="s">
        <v>2536</v>
      </c>
      <c r="H86" s="376"/>
      <c r="I86" s="376"/>
    </row>
    <row r="87" spans="2:9">
      <c r="B87" s="376" t="s">
        <v>438</v>
      </c>
      <c r="C87" s="376" t="str">
        <f>TechData_R0!C87</f>
        <v>IMPOILHH34</v>
      </c>
      <c r="D87" s="376" t="str">
        <f>TechData_R0!D87</f>
        <v>Imported Imported Oil-High Sulfur, Heavy G, PADD 3, Step 4</v>
      </c>
      <c r="E87" s="415" t="s">
        <v>384</v>
      </c>
      <c r="F87" s="415" t="s">
        <v>505</v>
      </c>
      <c r="G87" s="399" t="s">
        <v>2536</v>
      </c>
      <c r="H87" s="376"/>
      <c r="I87" s="376"/>
    </row>
    <row r="88" spans="2:9">
      <c r="B88" s="376" t="s">
        <v>438</v>
      </c>
      <c r="C88" s="376" t="str">
        <f>TechData_R0!C88</f>
        <v>IMPOILHH35</v>
      </c>
      <c r="D88" s="376" t="str">
        <f>TechData_R0!D88</f>
        <v>Imported Imported Oil-High Sulfur, Heavy G, PADD 3, Step 5</v>
      </c>
      <c r="E88" s="415" t="s">
        <v>384</v>
      </c>
      <c r="F88" s="415" t="s">
        <v>505</v>
      </c>
      <c r="G88" s="399" t="s">
        <v>2536</v>
      </c>
      <c r="H88" s="376"/>
      <c r="I88" s="376"/>
    </row>
    <row r="89" spans="2:9">
      <c r="B89" s="376" t="s">
        <v>438</v>
      </c>
      <c r="C89" s="376" t="str">
        <f>TechData_R0!C89</f>
        <v>IMPOILHL33</v>
      </c>
      <c r="D89" s="376" t="str">
        <f>TechData_R0!D89</f>
        <v>Imported Imported Oil-High Sulfur, Low G, PADD 3, Step 3</v>
      </c>
      <c r="E89" s="415" t="s">
        <v>384</v>
      </c>
      <c r="F89" s="415" t="s">
        <v>505</v>
      </c>
      <c r="G89" s="399" t="s">
        <v>2536</v>
      </c>
      <c r="H89" s="376"/>
      <c r="I89" s="376"/>
    </row>
    <row r="90" spans="2:9">
      <c r="B90" s="376" t="s">
        <v>438</v>
      </c>
      <c r="C90" s="376" t="str">
        <f>TechData_R0!C90</f>
        <v>IMPOILHL31</v>
      </c>
      <c r="D90" s="376" t="str">
        <f>TechData_R0!D90</f>
        <v>Imported Imported Oil-High Sulfur, Low G, PADD 3, Step 1</v>
      </c>
      <c r="E90" s="415" t="s">
        <v>384</v>
      </c>
      <c r="F90" s="415" t="s">
        <v>505</v>
      </c>
      <c r="G90" s="399" t="s">
        <v>2536</v>
      </c>
      <c r="H90" s="376"/>
      <c r="I90" s="376"/>
    </row>
    <row r="91" spans="2:9">
      <c r="B91" s="376" t="s">
        <v>438</v>
      </c>
      <c r="C91" s="376" t="str">
        <f>TechData_R0!C91</f>
        <v>IMPOILHL32</v>
      </c>
      <c r="D91" s="376" t="str">
        <f>TechData_R0!D91</f>
        <v>Imported Imported Oil-High Sulfur, Low G, PADD 3, Step 2</v>
      </c>
      <c r="E91" s="415" t="s">
        <v>384</v>
      </c>
      <c r="F91" s="415" t="s">
        <v>505</v>
      </c>
      <c r="G91" s="399" t="s">
        <v>2536</v>
      </c>
      <c r="H91" s="376"/>
      <c r="I91" s="376"/>
    </row>
    <row r="92" spans="2:9">
      <c r="B92" s="376" t="s">
        <v>438</v>
      </c>
      <c r="C92" s="376" t="str">
        <f>TechData_R0!C92</f>
        <v>IMPOILHL34</v>
      </c>
      <c r="D92" s="376" t="str">
        <f>TechData_R0!D92</f>
        <v>Imported Imported Oil-High Sulfur, Low G, PADD 3, Step 4</v>
      </c>
      <c r="E92" s="415" t="s">
        <v>384</v>
      </c>
      <c r="F92" s="415" t="s">
        <v>505</v>
      </c>
      <c r="G92" s="399" t="s">
        <v>2536</v>
      </c>
      <c r="H92" s="376"/>
      <c r="I92" s="376"/>
    </row>
    <row r="93" spans="2:9">
      <c r="B93" s="376" t="s">
        <v>438</v>
      </c>
      <c r="C93" s="376" t="str">
        <f>TechData_R0!C93</f>
        <v>IMPOILHL35</v>
      </c>
      <c r="D93" s="376" t="str">
        <f>TechData_R0!D93</f>
        <v>Imported Imported Oil-High Sulfur, Low G, PADD 3, Step 5</v>
      </c>
      <c r="E93" s="415" t="s">
        <v>384</v>
      </c>
      <c r="F93" s="415" t="s">
        <v>505</v>
      </c>
      <c r="G93" s="399" t="s">
        <v>2536</v>
      </c>
      <c r="H93" s="376"/>
      <c r="I93" s="376"/>
    </row>
    <row r="94" spans="2:9">
      <c r="B94" s="376" t="s">
        <v>438</v>
      </c>
      <c r="C94" s="376" t="str">
        <f>TechData_R0!C94</f>
        <v>IMPOILHV33</v>
      </c>
      <c r="D94" s="376" t="str">
        <f>TechData_R0!D94</f>
        <v>Imported Imported Oil-High Sulfur, Very HG, PADD 3, Step 3</v>
      </c>
      <c r="E94" s="415" t="s">
        <v>384</v>
      </c>
      <c r="F94" s="415" t="s">
        <v>505</v>
      </c>
      <c r="G94" s="399" t="s">
        <v>2536</v>
      </c>
      <c r="H94" s="376"/>
      <c r="I94" s="376"/>
    </row>
    <row r="95" spans="2:9">
      <c r="B95" s="376" t="s">
        <v>438</v>
      </c>
      <c r="C95" s="376" t="str">
        <f>TechData_R0!C95</f>
        <v>IMPOILHV31</v>
      </c>
      <c r="D95" s="376" t="str">
        <f>TechData_R0!D95</f>
        <v>Imported Imported Oil-High Sulfur, Very HG, PADD 3, Step 1</v>
      </c>
      <c r="E95" s="415" t="s">
        <v>384</v>
      </c>
      <c r="F95" s="415" t="s">
        <v>505</v>
      </c>
      <c r="G95" s="399" t="s">
        <v>2536</v>
      </c>
      <c r="H95" s="376"/>
      <c r="I95" s="376"/>
    </row>
    <row r="96" spans="2:9">
      <c r="B96" s="376" t="s">
        <v>438</v>
      </c>
      <c r="C96" s="376" t="str">
        <f>TechData_R0!C96</f>
        <v>IMPOILHV32</v>
      </c>
      <c r="D96" s="376" t="str">
        <f>TechData_R0!D96</f>
        <v>Imported Imported Oil-High Sulfur, Very HG, PADD 3, Step 2</v>
      </c>
      <c r="E96" s="415" t="s">
        <v>384</v>
      </c>
      <c r="F96" s="415" t="s">
        <v>505</v>
      </c>
      <c r="G96" s="399" t="s">
        <v>2536</v>
      </c>
      <c r="H96" s="376"/>
      <c r="I96" s="376"/>
    </row>
    <row r="97" spans="2:9">
      <c r="B97" s="376" t="s">
        <v>438</v>
      </c>
      <c r="C97" s="376" t="str">
        <f>TechData_R0!C97</f>
        <v>IMPOILHV34</v>
      </c>
      <c r="D97" s="376" t="str">
        <f>TechData_R0!D97</f>
        <v>Imported Imported Oil-High Sulfur, Very HG, PADD 3, Step 4</v>
      </c>
      <c r="E97" s="415" t="s">
        <v>384</v>
      </c>
      <c r="F97" s="415" t="s">
        <v>505</v>
      </c>
      <c r="G97" s="399" t="s">
        <v>2536</v>
      </c>
      <c r="H97" s="376"/>
      <c r="I97" s="376"/>
    </row>
    <row r="98" spans="2:9">
      <c r="B98" s="376" t="s">
        <v>438</v>
      </c>
      <c r="C98" s="376" t="str">
        <f>TechData_R0!C98</f>
        <v>IMPOILHV35</v>
      </c>
      <c r="D98" s="376" t="str">
        <f>TechData_R0!D98</f>
        <v>Imported Imported Oil-High Sulfur, Very HG, PADD 3, Step 5</v>
      </c>
      <c r="E98" s="415" t="s">
        <v>384</v>
      </c>
      <c r="F98" s="415" t="s">
        <v>505</v>
      </c>
      <c r="G98" s="399" t="s">
        <v>2536</v>
      </c>
      <c r="H98" s="376"/>
      <c r="I98" s="376"/>
    </row>
    <row r="99" spans="2:9">
      <c r="B99" s="376" t="s">
        <v>438</v>
      </c>
      <c r="C99" s="376" t="str">
        <f>TechData_R0!C99</f>
        <v>IMPOILLL33</v>
      </c>
      <c r="D99" s="376" t="str">
        <f>TechData_R0!D99</f>
        <v>Imported Imported Oil-Low Sulfur, Low G, PADD 3, Step 3</v>
      </c>
      <c r="E99" s="415" t="s">
        <v>384</v>
      </c>
      <c r="F99" s="415" t="s">
        <v>505</v>
      </c>
      <c r="G99" s="399" t="s">
        <v>2536</v>
      </c>
      <c r="H99" s="376"/>
      <c r="I99" s="376"/>
    </row>
    <row r="100" spans="2:9">
      <c r="B100" s="376" t="s">
        <v>438</v>
      </c>
      <c r="C100" s="376" t="str">
        <f>TechData_R0!C100</f>
        <v>IMPOILLL31</v>
      </c>
      <c r="D100" s="376" t="str">
        <f>TechData_R0!D100</f>
        <v>Imported Imported Oil-Low Sulfur, Low G, PADD 3, Step 1</v>
      </c>
      <c r="E100" s="415" t="s">
        <v>384</v>
      </c>
      <c r="F100" s="415" t="s">
        <v>505</v>
      </c>
      <c r="G100" s="399" t="s">
        <v>2536</v>
      </c>
      <c r="H100" s="376"/>
      <c r="I100" s="376"/>
    </row>
    <row r="101" spans="2:9">
      <c r="B101" s="376" t="s">
        <v>438</v>
      </c>
      <c r="C101" s="376" t="str">
        <f>TechData_R0!C101</f>
        <v>IMPOILLL32</v>
      </c>
      <c r="D101" s="376" t="str">
        <f>TechData_R0!D101</f>
        <v>Imported Imported Oil-Low Sulfur, Low G, PADD 3, Step 2</v>
      </c>
      <c r="E101" s="415" t="s">
        <v>384</v>
      </c>
      <c r="F101" s="415" t="s">
        <v>505</v>
      </c>
      <c r="G101" s="399" t="s">
        <v>2536</v>
      </c>
      <c r="H101" s="376"/>
      <c r="I101" s="376"/>
    </row>
    <row r="102" spans="2:9">
      <c r="B102" s="376" t="s">
        <v>438</v>
      </c>
      <c r="C102" s="376" t="str">
        <f>TechData_R0!C102</f>
        <v>IMPOILLL34</v>
      </c>
      <c r="D102" s="376" t="str">
        <f>TechData_R0!D102</f>
        <v>Imported Imported Oil-Low Sulfur, Low G, PADD 3, Step 4</v>
      </c>
      <c r="E102" s="415" t="s">
        <v>384</v>
      </c>
      <c r="F102" s="415" t="s">
        <v>505</v>
      </c>
      <c r="G102" s="399" t="s">
        <v>2536</v>
      </c>
      <c r="H102" s="376"/>
      <c r="I102" s="376"/>
    </row>
    <row r="103" spans="2:9">
      <c r="B103" s="376" t="s">
        <v>438</v>
      </c>
      <c r="C103" s="376" t="str">
        <f>TechData_R0!C103</f>
        <v>IMPOILLL35</v>
      </c>
      <c r="D103" s="376" t="str">
        <f>TechData_R0!D103</f>
        <v>Imported Imported Oil-Low Sulfur, Low G, PADD 3, Step 5</v>
      </c>
      <c r="E103" s="415" t="s">
        <v>384</v>
      </c>
      <c r="F103" s="415" t="s">
        <v>505</v>
      </c>
      <c r="G103" s="399" t="s">
        <v>2536</v>
      </c>
      <c r="H103" s="376"/>
      <c r="I103" s="376"/>
    </row>
    <row r="104" spans="2:9">
      <c r="B104" s="376" t="s">
        <v>438</v>
      </c>
      <c r="C104" s="376" t="str">
        <f>TechData_R0!C104</f>
        <v>IMPOILMH33</v>
      </c>
      <c r="D104" s="376" t="str">
        <f>TechData_R0!D104</f>
        <v>Imported Imported Oil-Medium Sulfur, HG, PADD 3, Step 3</v>
      </c>
      <c r="E104" s="415" t="s">
        <v>384</v>
      </c>
      <c r="F104" s="415" t="s">
        <v>505</v>
      </c>
      <c r="G104" s="399" t="s">
        <v>2536</v>
      </c>
      <c r="H104" s="376"/>
      <c r="I104" s="376"/>
    </row>
    <row r="105" spans="2:9">
      <c r="B105" s="376" t="s">
        <v>438</v>
      </c>
      <c r="C105" s="376" t="str">
        <f>TechData_R0!C105</f>
        <v>IMPOILMH31</v>
      </c>
      <c r="D105" s="376" t="str">
        <f>TechData_R0!D105</f>
        <v>Imported Imported Oil-Medium Sulfur, HG, PADD 3, Step 1</v>
      </c>
      <c r="E105" s="415" t="s">
        <v>384</v>
      </c>
      <c r="F105" s="415" t="s">
        <v>505</v>
      </c>
      <c r="G105" s="399" t="s">
        <v>2536</v>
      </c>
      <c r="H105" s="376"/>
      <c r="I105" s="376"/>
    </row>
    <row r="106" spans="2:9">
      <c r="B106" s="376" t="s">
        <v>438</v>
      </c>
      <c r="C106" s="376" t="str">
        <f>TechData_R0!C106</f>
        <v>IMPOILMH32</v>
      </c>
      <c r="D106" s="376" t="str">
        <f>TechData_R0!D106</f>
        <v>Imported Imported Oil-Medium Sulfur, HG, PADD 3, Step 2</v>
      </c>
      <c r="E106" s="415" t="s">
        <v>384</v>
      </c>
      <c r="F106" s="415" t="s">
        <v>505</v>
      </c>
      <c r="G106" s="399" t="s">
        <v>2536</v>
      </c>
      <c r="H106" s="376"/>
      <c r="I106" s="376"/>
    </row>
    <row r="107" spans="2:9">
      <c r="B107" s="376" t="s">
        <v>438</v>
      </c>
      <c r="C107" s="376" t="str">
        <f>TechData_R0!C107</f>
        <v>IMPOILMH34</v>
      </c>
      <c r="D107" s="376" t="str">
        <f>TechData_R0!D107</f>
        <v>Imported Imported Oil-Medium Sulfur, HG, PADD 3, Step 4</v>
      </c>
      <c r="E107" s="415" t="s">
        <v>384</v>
      </c>
      <c r="F107" s="415" t="s">
        <v>505</v>
      </c>
      <c r="G107" s="399" t="s">
        <v>2536</v>
      </c>
      <c r="H107" s="376"/>
      <c r="I107" s="376"/>
    </row>
    <row r="108" spans="2:9">
      <c r="B108" s="376" t="s">
        <v>438</v>
      </c>
      <c r="C108" s="376" t="str">
        <f>TechData_R0!C108</f>
        <v>IMPOILMH35</v>
      </c>
      <c r="D108" s="376" t="str">
        <f>TechData_R0!D108</f>
        <v>Imported Imported Oil-Medium Sulfur, HG, PADD 3, Step 5</v>
      </c>
      <c r="E108" s="415" t="s">
        <v>384</v>
      </c>
      <c r="F108" s="415" t="s">
        <v>505</v>
      </c>
      <c r="G108" s="399" t="s">
        <v>2536</v>
      </c>
      <c r="H108" s="376"/>
      <c r="I108" s="376"/>
    </row>
    <row r="109" spans="2:9">
      <c r="B109" s="376" t="s">
        <v>588</v>
      </c>
      <c r="C109" s="376"/>
      <c r="D109" s="376"/>
      <c r="E109" s="415"/>
      <c r="F109" s="415"/>
      <c r="G109" s="399" t="s">
        <v>2536</v>
      </c>
      <c r="H109" s="376"/>
      <c r="I109" s="376"/>
    </row>
    <row r="110" spans="2:9">
      <c r="B110" s="376" t="s">
        <v>1058</v>
      </c>
      <c r="C110" s="376" t="str">
        <f>TechData_R0!C110</f>
        <v>IMPOILHH43</v>
      </c>
      <c r="D110" s="376" t="str">
        <f>TechData_R0!D110</f>
        <v>Imported Imported Oil-High Sulfur, Heavy G, PADD 4, Step 3</v>
      </c>
      <c r="E110" s="415" t="s">
        <v>384</v>
      </c>
      <c r="F110" s="415" t="s">
        <v>505</v>
      </c>
      <c r="G110" s="399" t="s">
        <v>2536</v>
      </c>
      <c r="H110" s="376"/>
      <c r="I110" s="376"/>
    </row>
    <row r="111" spans="2:9">
      <c r="B111" s="376" t="s">
        <v>1058</v>
      </c>
      <c r="C111" s="376" t="str">
        <f>TechData_R0!C111</f>
        <v>IMPOILHH41</v>
      </c>
      <c r="D111" s="376" t="str">
        <f>TechData_R0!D111</f>
        <v>Imported Imported Oil-High Sulfur, Heavy G, PADD 4, Step 1</v>
      </c>
      <c r="E111" s="415" t="s">
        <v>384</v>
      </c>
      <c r="F111" s="415" t="s">
        <v>505</v>
      </c>
      <c r="G111" s="399" t="s">
        <v>2536</v>
      </c>
      <c r="H111" s="376"/>
      <c r="I111" s="376"/>
    </row>
    <row r="112" spans="2:9">
      <c r="B112" s="376" t="s">
        <v>1058</v>
      </c>
      <c r="C112" s="376" t="str">
        <f>TechData_R0!C112</f>
        <v>IMPOILHH42</v>
      </c>
      <c r="D112" s="376" t="str">
        <f>TechData_R0!D112</f>
        <v>Imported Imported Oil-High Sulfur, Heavy G, PADD 4, Step 2</v>
      </c>
      <c r="E112" s="415" t="s">
        <v>384</v>
      </c>
      <c r="F112" s="415" t="s">
        <v>505</v>
      </c>
      <c r="G112" s="399" t="s">
        <v>2536</v>
      </c>
      <c r="H112" s="376"/>
      <c r="I112" s="376"/>
    </row>
    <row r="113" spans="2:9">
      <c r="B113" s="376" t="s">
        <v>1058</v>
      </c>
      <c r="C113" s="376" t="str">
        <f>TechData_R0!C113</f>
        <v>IMPOILHH44</v>
      </c>
      <c r="D113" s="376" t="str">
        <f>TechData_R0!D113</f>
        <v>Imported Imported Oil-High Sulfur, Heavy G, PADD 4, Step 4</v>
      </c>
      <c r="E113" s="415" t="s">
        <v>384</v>
      </c>
      <c r="F113" s="415" t="s">
        <v>505</v>
      </c>
      <c r="G113" s="399" t="s">
        <v>2536</v>
      </c>
      <c r="H113" s="376"/>
      <c r="I113" s="376"/>
    </row>
    <row r="114" spans="2:9">
      <c r="B114" s="376" t="s">
        <v>1058</v>
      </c>
      <c r="C114" s="376" t="str">
        <f>TechData_R0!C114</f>
        <v>IMPOILHH45</v>
      </c>
      <c r="D114" s="376" t="str">
        <f>TechData_R0!D114</f>
        <v>Imported Imported Oil-High Sulfur, Heavy G, PADD 4, Step 5</v>
      </c>
      <c r="E114" s="415" t="s">
        <v>384</v>
      </c>
      <c r="F114" s="415" t="s">
        <v>505</v>
      </c>
      <c r="G114" s="399" t="s">
        <v>2536</v>
      </c>
      <c r="H114" s="376"/>
      <c r="I114" s="376"/>
    </row>
    <row r="115" spans="2:9">
      <c r="B115" s="376" t="s">
        <v>1058</v>
      </c>
      <c r="C115" s="376" t="str">
        <f>TechData_R0!C115</f>
        <v>IMPOILHL43</v>
      </c>
      <c r="D115" s="376" t="str">
        <f>TechData_R0!D115</f>
        <v>Imported Imported Oil-High Sulfur, Low G, PADD 4, Step 3</v>
      </c>
      <c r="E115" s="415" t="s">
        <v>384</v>
      </c>
      <c r="F115" s="415" t="s">
        <v>505</v>
      </c>
      <c r="G115" s="399" t="s">
        <v>2536</v>
      </c>
      <c r="H115" s="376"/>
      <c r="I115" s="376"/>
    </row>
    <row r="116" spans="2:9">
      <c r="B116" s="376" t="s">
        <v>1058</v>
      </c>
      <c r="C116" s="376" t="str">
        <f>TechData_R0!C116</f>
        <v>IMPOILHL41</v>
      </c>
      <c r="D116" s="376" t="str">
        <f>TechData_R0!D116</f>
        <v>Imported Imported Oil-High Sulfur, Low G, PADD 4, Step 1</v>
      </c>
      <c r="E116" s="415" t="s">
        <v>384</v>
      </c>
      <c r="F116" s="415" t="s">
        <v>505</v>
      </c>
      <c r="G116" s="399" t="s">
        <v>2536</v>
      </c>
      <c r="H116" s="376"/>
      <c r="I116" s="376"/>
    </row>
    <row r="117" spans="2:9">
      <c r="B117" s="376" t="s">
        <v>1058</v>
      </c>
      <c r="C117" s="376" t="str">
        <f>TechData_R0!C117</f>
        <v>IMPOILHL42</v>
      </c>
      <c r="D117" s="376" t="str">
        <f>TechData_R0!D117</f>
        <v>Imported Imported Oil-High Sulfur, Low G, PADD 4, Step 2</v>
      </c>
      <c r="E117" s="415" t="s">
        <v>384</v>
      </c>
      <c r="F117" s="415" t="s">
        <v>505</v>
      </c>
      <c r="G117" s="399" t="s">
        <v>2536</v>
      </c>
      <c r="H117" s="376"/>
      <c r="I117" s="376"/>
    </row>
    <row r="118" spans="2:9">
      <c r="B118" s="376" t="s">
        <v>1058</v>
      </c>
      <c r="C118" s="376" t="str">
        <f>TechData_R0!C118</f>
        <v>IMPOILHL44</v>
      </c>
      <c r="D118" s="376" t="str">
        <f>TechData_R0!D118</f>
        <v>Imported Imported Oil-High Sulfur, Low G, PADD 4, Step 4</v>
      </c>
      <c r="E118" s="415" t="s">
        <v>384</v>
      </c>
      <c r="F118" s="415" t="s">
        <v>505</v>
      </c>
      <c r="G118" s="399" t="s">
        <v>2536</v>
      </c>
      <c r="H118" s="376"/>
      <c r="I118" s="376"/>
    </row>
    <row r="119" spans="2:9">
      <c r="B119" s="376" t="s">
        <v>1058</v>
      </c>
      <c r="C119" s="376" t="str">
        <f>TechData_R0!C119</f>
        <v>IMPOILHL45</v>
      </c>
      <c r="D119" s="376" t="str">
        <f>TechData_R0!D119</f>
        <v>Imported Imported Oil-High Sulfur, Low G, PADD 4, Step 5</v>
      </c>
      <c r="E119" s="415" t="s">
        <v>384</v>
      </c>
      <c r="F119" s="415" t="s">
        <v>505</v>
      </c>
      <c r="G119" s="399" t="s">
        <v>2536</v>
      </c>
      <c r="H119" s="376"/>
      <c r="I119" s="376"/>
    </row>
    <row r="120" spans="2:9">
      <c r="B120" s="376" t="s">
        <v>1058</v>
      </c>
      <c r="C120" s="376" t="str">
        <f>TechData_R0!C120</f>
        <v>IMPOILHV43</v>
      </c>
      <c r="D120" s="376" t="str">
        <f>TechData_R0!D120</f>
        <v>Imported Imported Oil-High Sulfur, Very HG, PADD 4, Step 3</v>
      </c>
      <c r="E120" s="415" t="s">
        <v>384</v>
      </c>
      <c r="F120" s="415" t="s">
        <v>505</v>
      </c>
      <c r="G120" s="399" t="s">
        <v>2536</v>
      </c>
      <c r="H120" s="376"/>
      <c r="I120" s="376"/>
    </row>
    <row r="121" spans="2:9">
      <c r="B121" s="376" t="s">
        <v>1058</v>
      </c>
      <c r="C121" s="376" t="str">
        <f>TechData_R0!C121</f>
        <v>IMPOILHV41</v>
      </c>
      <c r="D121" s="376" t="str">
        <f>TechData_R0!D121</f>
        <v>Imported Imported Oil-High Sulfur, Very HG, PADD 4, Step 1</v>
      </c>
      <c r="E121" s="415" t="s">
        <v>384</v>
      </c>
      <c r="F121" s="415" t="s">
        <v>505</v>
      </c>
      <c r="G121" s="399" t="s">
        <v>2536</v>
      </c>
      <c r="H121" s="376"/>
      <c r="I121" s="376"/>
    </row>
    <row r="122" spans="2:9">
      <c r="B122" s="376" t="s">
        <v>1058</v>
      </c>
      <c r="C122" s="376" t="str">
        <f>TechData_R0!C122</f>
        <v>IMPOILHV42</v>
      </c>
      <c r="D122" s="376" t="str">
        <f>TechData_R0!D122</f>
        <v>Imported Imported Oil-High Sulfur, Very HG, PADD 4, Step 2</v>
      </c>
      <c r="E122" s="415" t="s">
        <v>384</v>
      </c>
      <c r="F122" s="415" t="s">
        <v>505</v>
      </c>
      <c r="G122" s="399" t="s">
        <v>2536</v>
      </c>
      <c r="H122" s="376"/>
      <c r="I122" s="376"/>
    </row>
    <row r="123" spans="2:9">
      <c r="B123" s="376" t="s">
        <v>1058</v>
      </c>
      <c r="C123" s="376" t="str">
        <f>TechData_R0!C123</f>
        <v>IMPOILHV44</v>
      </c>
      <c r="D123" s="376" t="str">
        <f>TechData_R0!D123</f>
        <v>Imported Imported Oil-High Sulfur, Very HG, PADD 4, Step 4</v>
      </c>
      <c r="E123" s="415" t="s">
        <v>384</v>
      </c>
      <c r="F123" s="415" t="s">
        <v>505</v>
      </c>
      <c r="G123" s="399" t="s">
        <v>2536</v>
      </c>
      <c r="H123" s="376"/>
      <c r="I123" s="376"/>
    </row>
    <row r="124" spans="2:9">
      <c r="B124" s="376" t="s">
        <v>1058</v>
      </c>
      <c r="C124" s="376" t="str">
        <f>TechData_R0!C124</f>
        <v>IMPOILHV45</v>
      </c>
      <c r="D124" s="376" t="str">
        <f>TechData_R0!D124</f>
        <v>Imported Imported Oil-High Sulfur, Very HG, PADD 4, Step 5</v>
      </c>
      <c r="E124" s="415" t="s">
        <v>384</v>
      </c>
      <c r="F124" s="415" t="s">
        <v>505</v>
      </c>
      <c r="G124" s="399" t="s">
        <v>2536</v>
      </c>
      <c r="H124" s="376"/>
      <c r="I124" s="376"/>
    </row>
    <row r="125" spans="2:9">
      <c r="B125" s="376" t="s">
        <v>1058</v>
      </c>
      <c r="C125" s="376" t="str">
        <f>TechData_R0!C125</f>
        <v>IMPOILLL43</v>
      </c>
      <c r="D125" s="376" t="str">
        <f>TechData_R0!D125</f>
        <v>Imported Imported Oil-Low Sulfur, Low G, PADD 4, Step 3</v>
      </c>
      <c r="E125" s="415" t="s">
        <v>384</v>
      </c>
      <c r="F125" s="415" t="s">
        <v>505</v>
      </c>
      <c r="G125" s="399" t="s">
        <v>2536</v>
      </c>
      <c r="H125" s="376"/>
      <c r="I125" s="376"/>
    </row>
    <row r="126" spans="2:9">
      <c r="B126" s="376" t="s">
        <v>1058</v>
      </c>
      <c r="C126" s="376" t="str">
        <f>TechData_R0!C126</f>
        <v>IMPOILLL41</v>
      </c>
      <c r="D126" s="376" t="str">
        <f>TechData_R0!D126</f>
        <v>Imported Imported Oil-Low Sulfur, Low G, PADD 4, Step 1</v>
      </c>
      <c r="E126" s="415" t="s">
        <v>384</v>
      </c>
      <c r="F126" s="415" t="s">
        <v>505</v>
      </c>
      <c r="G126" s="399" t="s">
        <v>2536</v>
      </c>
      <c r="H126" s="376"/>
      <c r="I126" s="376"/>
    </row>
    <row r="127" spans="2:9">
      <c r="B127" s="376" t="s">
        <v>1058</v>
      </c>
      <c r="C127" s="376" t="str">
        <f>TechData_R0!C127</f>
        <v>IMPOILLL42</v>
      </c>
      <c r="D127" s="376" t="str">
        <f>TechData_R0!D127</f>
        <v>Imported Imported Oil-Low Sulfur, Low G, PADD 4, Step 2</v>
      </c>
      <c r="E127" s="415" t="s">
        <v>384</v>
      </c>
      <c r="F127" s="415" t="s">
        <v>505</v>
      </c>
      <c r="G127" s="399" t="s">
        <v>2536</v>
      </c>
      <c r="H127" s="376"/>
      <c r="I127" s="376"/>
    </row>
    <row r="128" spans="2:9">
      <c r="B128" s="376" t="s">
        <v>1058</v>
      </c>
      <c r="C128" s="376" t="str">
        <f>TechData_R0!C128</f>
        <v>IMPOILLL44</v>
      </c>
      <c r="D128" s="376" t="str">
        <f>TechData_R0!D128</f>
        <v>Imported Imported Oil-Low Sulfur, Low G, PADD 4, Step 4</v>
      </c>
      <c r="E128" s="415" t="s">
        <v>384</v>
      </c>
      <c r="F128" s="415" t="s">
        <v>505</v>
      </c>
      <c r="G128" s="399" t="s">
        <v>2536</v>
      </c>
      <c r="H128" s="376"/>
      <c r="I128" s="376"/>
    </row>
    <row r="129" spans="2:9">
      <c r="B129" s="376" t="s">
        <v>1058</v>
      </c>
      <c r="C129" s="376" t="str">
        <f>TechData_R0!C129</f>
        <v>IMPOILLL45</v>
      </c>
      <c r="D129" s="376" t="str">
        <f>TechData_R0!D129</f>
        <v>Imported Imported Oil-Low Sulfur, Low G, PADD 4, Step 5</v>
      </c>
      <c r="E129" s="415" t="s">
        <v>384</v>
      </c>
      <c r="F129" s="415" t="s">
        <v>505</v>
      </c>
      <c r="G129" s="399" t="s">
        <v>2536</v>
      </c>
      <c r="H129" s="376"/>
      <c r="I129" s="376"/>
    </row>
    <row r="130" spans="2:9">
      <c r="B130" s="376" t="s">
        <v>1058</v>
      </c>
      <c r="C130" s="376" t="str">
        <f>TechData_R0!C130</f>
        <v>IMPOILMH43</v>
      </c>
      <c r="D130" s="376" t="str">
        <f>TechData_R0!D130</f>
        <v>Imported Imported Oil-Medium Sulfur, HG, PADD 4, Step 3</v>
      </c>
      <c r="E130" s="415" t="s">
        <v>384</v>
      </c>
      <c r="F130" s="415" t="s">
        <v>505</v>
      </c>
      <c r="G130" s="399" t="s">
        <v>2536</v>
      </c>
      <c r="H130" s="376"/>
      <c r="I130" s="376"/>
    </row>
    <row r="131" spans="2:9">
      <c r="B131" s="376" t="s">
        <v>1058</v>
      </c>
      <c r="C131" s="376" t="str">
        <f>TechData_R0!C131</f>
        <v>IMPOILMH41</v>
      </c>
      <c r="D131" s="376" t="str">
        <f>TechData_R0!D131</f>
        <v>Imported Imported Oil-Medium Sulfur, HG, PADD 4, Step 1</v>
      </c>
      <c r="E131" s="415" t="s">
        <v>384</v>
      </c>
      <c r="F131" s="415" t="s">
        <v>505</v>
      </c>
      <c r="G131" s="399" t="s">
        <v>2536</v>
      </c>
      <c r="H131" s="376"/>
      <c r="I131" s="376"/>
    </row>
    <row r="132" spans="2:9">
      <c r="B132" s="376" t="s">
        <v>1058</v>
      </c>
      <c r="C132" s="376" t="str">
        <f>TechData_R0!C132</f>
        <v>IMPOILMH42</v>
      </c>
      <c r="D132" s="376" t="str">
        <f>TechData_R0!D132</f>
        <v>Imported Imported Oil-Medium Sulfur, HG, PADD 4, Step 2</v>
      </c>
      <c r="E132" s="415" t="s">
        <v>384</v>
      </c>
      <c r="F132" s="415" t="s">
        <v>505</v>
      </c>
      <c r="G132" s="399" t="s">
        <v>2536</v>
      </c>
      <c r="H132" s="376"/>
      <c r="I132" s="376"/>
    </row>
    <row r="133" spans="2:9">
      <c r="B133" s="376" t="s">
        <v>1058</v>
      </c>
      <c r="C133" s="376" t="str">
        <f>TechData_R0!C133</f>
        <v>IMPOILMH44</v>
      </c>
      <c r="D133" s="376" t="str">
        <f>TechData_R0!D133</f>
        <v>Imported Imported Oil-Medium Sulfur, HG, PADD 4, Step 4</v>
      </c>
      <c r="E133" s="415" t="s">
        <v>384</v>
      </c>
      <c r="F133" s="415" t="s">
        <v>505</v>
      </c>
      <c r="G133" s="399" t="s">
        <v>2536</v>
      </c>
      <c r="H133" s="376"/>
      <c r="I133" s="376"/>
    </row>
    <row r="134" spans="2:9">
      <c r="B134" s="376" t="s">
        <v>1058</v>
      </c>
      <c r="C134" s="376" t="str">
        <f>TechData_R0!C134</f>
        <v>IMPOILMH45</v>
      </c>
      <c r="D134" s="376" t="str">
        <f>TechData_R0!D134</f>
        <v>Imported Imported Oil-Medium Sulfur, HG, PADD 4, Step 5</v>
      </c>
      <c r="E134" s="415" t="s">
        <v>384</v>
      </c>
      <c r="F134" s="415" t="s">
        <v>505</v>
      </c>
      <c r="G134" s="399" t="s">
        <v>2536</v>
      </c>
      <c r="H134" s="376"/>
      <c r="I134" s="376"/>
    </row>
    <row r="135" spans="2:9">
      <c r="B135" s="376" t="s">
        <v>588</v>
      </c>
      <c r="C135" s="376"/>
      <c r="D135" s="376"/>
      <c r="E135" s="415"/>
      <c r="F135" s="415"/>
      <c r="G135" s="399" t="s">
        <v>2536</v>
      </c>
      <c r="H135" s="376"/>
      <c r="I135" s="376"/>
    </row>
    <row r="136" spans="2:9">
      <c r="B136" s="376" t="s">
        <v>1058</v>
      </c>
      <c r="C136" s="376" t="str">
        <f>TechData_R0!C136</f>
        <v>IMPOILHH53</v>
      </c>
      <c r="D136" s="376" t="str">
        <f>TechData_R0!D136</f>
        <v>Imported Imported Oil-High Sulfur, Heavy G, PADD 5, Step 3</v>
      </c>
      <c r="E136" s="415" t="s">
        <v>384</v>
      </c>
      <c r="F136" s="415" t="s">
        <v>505</v>
      </c>
      <c r="G136" s="399" t="s">
        <v>2536</v>
      </c>
      <c r="H136" s="376"/>
      <c r="I136" s="376"/>
    </row>
    <row r="137" spans="2:9">
      <c r="B137" s="376" t="s">
        <v>1058</v>
      </c>
      <c r="C137" s="376" t="str">
        <f>TechData_R0!C137</f>
        <v>IMPOILHH51</v>
      </c>
      <c r="D137" s="376" t="str">
        <f>TechData_R0!D137</f>
        <v>Imported Imported Oil-High Sulfur, Heavy G, PADD 5, Step 1</v>
      </c>
      <c r="E137" s="415" t="s">
        <v>384</v>
      </c>
      <c r="F137" s="415" t="s">
        <v>505</v>
      </c>
      <c r="G137" s="399" t="s">
        <v>2536</v>
      </c>
      <c r="H137" s="376"/>
      <c r="I137" s="376"/>
    </row>
    <row r="138" spans="2:9">
      <c r="B138" s="376" t="s">
        <v>1058</v>
      </c>
      <c r="C138" s="376" t="str">
        <f>TechData_R0!C138</f>
        <v>IMPOILHH52</v>
      </c>
      <c r="D138" s="376" t="str">
        <f>TechData_R0!D138</f>
        <v>Imported Imported Oil-High Sulfur, Heavy G, PADD 5, Step 2</v>
      </c>
      <c r="E138" s="415" t="s">
        <v>384</v>
      </c>
      <c r="F138" s="415" t="s">
        <v>505</v>
      </c>
      <c r="G138" s="399" t="s">
        <v>2536</v>
      </c>
      <c r="H138" s="376"/>
      <c r="I138" s="376"/>
    </row>
    <row r="139" spans="2:9">
      <c r="B139" s="376" t="s">
        <v>1058</v>
      </c>
      <c r="C139" s="376" t="str">
        <f>TechData_R0!C139</f>
        <v>IMPOILHH54</v>
      </c>
      <c r="D139" s="376" t="str">
        <f>TechData_R0!D139</f>
        <v>Imported Imported Oil-High Sulfur, Heavy G, PADD 5, Step 4</v>
      </c>
      <c r="E139" s="415" t="s">
        <v>384</v>
      </c>
      <c r="F139" s="415" t="s">
        <v>505</v>
      </c>
      <c r="G139" s="399" t="s">
        <v>2536</v>
      </c>
      <c r="H139" s="376"/>
      <c r="I139" s="376"/>
    </row>
    <row r="140" spans="2:9">
      <c r="B140" s="376" t="s">
        <v>1058</v>
      </c>
      <c r="C140" s="376" t="str">
        <f>TechData_R0!C140</f>
        <v>IMPOILHH55</v>
      </c>
      <c r="D140" s="376" t="str">
        <f>TechData_R0!D140</f>
        <v>Imported Imported Oil-High Sulfur, Heavy G, PADD 5, Step 5</v>
      </c>
      <c r="E140" s="415" t="s">
        <v>384</v>
      </c>
      <c r="F140" s="415" t="s">
        <v>505</v>
      </c>
      <c r="G140" s="399" t="s">
        <v>2536</v>
      </c>
      <c r="H140" s="376"/>
      <c r="I140" s="376"/>
    </row>
    <row r="141" spans="2:9">
      <c r="B141" s="376" t="s">
        <v>1058</v>
      </c>
      <c r="C141" s="376" t="str">
        <f>TechData_R0!C141</f>
        <v>IMPOILHL53</v>
      </c>
      <c r="D141" s="376" t="str">
        <f>TechData_R0!D141</f>
        <v>Imported Imported Oil-High Sulfur, Low G, PADD 5, Step 3</v>
      </c>
      <c r="E141" s="415" t="s">
        <v>384</v>
      </c>
      <c r="F141" s="415" t="s">
        <v>505</v>
      </c>
      <c r="G141" s="399" t="s">
        <v>2536</v>
      </c>
      <c r="H141" s="376"/>
      <c r="I141" s="376"/>
    </row>
    <row r="142" spans="2:9">
      <c r="B142" s="376" t="s">
        <v>1058</v>
      </c>
      <c r="C142" s="376" t="str">
        <f>TechData_R0!C142</f>
        <v>IMPOILHL51</v>
      </c>
      <c r="D142" s="376" t="str">
        <f>TechData_R0!D142</f>
        <v>Imported Imported Oil-High Sulfur, Low G, PADD 5, Step 1</v>
      </c>
      <c r="E142" s="415" t="s">
        <v>384</v>
      </c>
      <c r="F142" s="415" t="s">
        <v>505</v>
      </c>
      <c r="G142" s="399" t="s">
        <v>2536</v>
      </c>
      <c r="H142" s="376"/>
      <c r="I142" s="376"/>
    </row>
    <row r="143" spans="2:9">
      <c r="B143" s="376" t="s">
        <v>1058</v>
      </c>
      <c r="C143" s="376" t="str">
        <f>TechData_R0!C143</f>
        <v>IMPOILHL52</v>
      </c>
      <c r="D143" s="376" t="str">
        <f>TechData_R0!D143</f>
        <v>Imported Imported Oil-High Sulfur, Low G, PADD 5, Step 2</v>
      </c>
      <c r="E143" s="415" t="s">
        <v>384</v>
      </c>
      <c r="F143" s="415" t="s">
        <v>505</v>
      </c>
      <c r="G143" s="399" t="s">
        <v>2536</v>
      </c>
      <c r="H143" s="376"/>
      <c r="I143" s="376"/>
    </row>
    <row r="144" spans="2:9">
      <c r="B144" s="376" t="s">
        <v>1058</v>
      </c>
      <c r="C144" s="376" t="str">
        <f>TechData_R0!C144</f>
        <v>IMPOILHL54</v>
      </c>
      <c r="D144" s="376" t="str">
        <f>TechData_R0!D144</f>
        <v>Imported Imported Oil-High Sulfur, Low G, PADD 5, Step 4</v>
      </c>
      <c r="E144" s="415" t="s">
        <v>384</v>
      </c>
      <c r="F144" s="415" t="s">
        <v>505</v>
      </c>
      <c r="G144" s="399" t="s">
        <v>2536</v>
      </c>
      <c r="H144" s="376"/>
      <c r="I144" s="376"/>
    </row>
    <row r="145" spans="2:9">
      <c r="B145" s="376" t="s">
        <v>1058</v>
      </c>
      <c r="C145" s="376" t="str">
        <f>TechData_R0!C145</f>
        <v>IMPOILHL55</v>
      </c>
      <c r="D145" s="376" t="str">
        <f>TechData_R0!D145</f>
        <v>Imported Imported Oil-High Sulfur, Low G, PADD 5, Step 5</v>
      </c>
      <c r="E145" s="415" t="s">
        <v>384</v>
      </c>
      <c r="F145" s="415" t="s">
        <v>505</v>
      </c>
      <c r="G145" s="399" t="s">
        <v>2536</v>
      </c>
      <c r="H145" s="376"/>
      <c r="I145" s="376"/>
    </row>
    <row r="146" spans="2:9">
      <c r="B146" s="376" t="s">
        <v>1058</v>
      </c>
      <c r="C146" s="376" t="str">
        <f>TechData_R0!C146</f>
        <v>IMPOILHV53</v>
      </c>
      <c r="D146" s="376" t="str">
        <f>TechData_R0!D146</f>
        <v>Imported Imported Oil-High Sulfur, Very HG, PADD 5, Step 3</v>
      </c>
      <c r="E146" s="415" t="s">
        <v>384</v>
      </c>
      <c r="F146" s="415" t="s">
        <v>505</v>
      </c>
      <c r="G146" s="399" t="s">
        <v>2536</v>
      </c>
      <c r="H146" s="376"/>
      <c r="I146" s="376"/>
    </row>
    <row r="147" spans="2:9">
      <c r="B147" s="376" t="s">
        <v>1058</v>
      </c>
      <c r="C147" s="376" t="str">
        <f>TechData_R0!C147</f>
        <v>IMPOILHV51</v>
      </c>
      <c r="D147" s="376" t="str">
        <f>TechData_R0!D147</f>
        <v>Imported Imported Oil-High Sulfur, Very HG, PADD 5, Step 1</v>
      </c>
      <c r="E147" s="415" t="s">
        <v>384</v>
      </c>
      <c r="F147" s="415" t="s">
        <v>505</v>
      </c>
      <c r="G147" s="399" t="s">
        <v>2536</v>
      </c>
      <c r="H147" s="376"/>
      <c r="I147" s="376"/>
    </row>
    <row r="148" spans="2:9">
      <c r="B148" s="376" t="s">
        <v>1058</v>
      </c>
      <c r="C148" s="376" t="str">
        <f>TechData_R0!C148</f>
        <v>IMPOILHV52</v>
      </c>
      <c r="D148" s="376" t="str">
        <f>TechData_R0!D148</f>
        <v>Imported Imported Oil-High Sulfur, Very HG, PADD 5, Step 2</v>
      </c>
      <c r="E148" s="415" t="s">
        <v>384</v>
      </c>
      <c r="F148" s="415" t="s">
        <v>505</v>
      </c>
      <c r="G148" s="399" t="s">
        <v>2536</v>
      </c>
      <c r="H148" s="376"/>
      <c r="I148" s="376"/>
    </row>
    <row r="149" spans="2:9">
      <c r="B149" s="376" t="s">
        <v>1058</v>
      </c>
      <c r="C149" s="376" t="str">
        <f>TechData_R0!C149</f>
        <v>IMPOILHV54</v>
      </c>
      <c r="D149" s="376" t="str">
        <f>TechData_R0!D149</f>
        <v>Imported Imported Oil-High Sulfur, Very HG, PADD 5, Step 4</v>
      </c>
      <c r="E149" s="415" t="s">
        <v>384</v>
      </c>
      <c r="F149" s="415" t="s">
        <v>505</v>
      </c>
      <c r="G149" s="399" t="s">
        <v>2536</v>
      </c>
      <c r="H149" s="376"/>
      <c r="I149" s="376"/>
    </row>
    <row r="150" spans="2:9">
      <c r="B150" s="376" t="s">
        <v>1058</v>
      </c>
      <c r="C150" s="376" t="str">
        <f>TechData_R0!C150</f>
        <v>IMPOILHV55</v>
      </c>
      <c r="D150" s="376" t="str">
        <f>TechData_R0!D150</f>
        <v>Imported Imported Oil-High Sulfur, Very HG, PADD 5, Step 5</v>
      </c>
      <c r="E150" s="415" t="s">
        <v>384</v>
      </c>
      <c r="F150" s="415" t="s">
        <v>505</v>
      </c>
      <c r="G150" s="399" t="s">
        <v>2536</v>
      </c>
      <c r="H150" s="376"/>
      <c r="I150" s="376"/>
    </row>
    <row r="151" spans="2:9">
      <c r="B151" s="376" t="s">
        <v>1058</v>
      </c>
      <c r="C151" s="376" t="str">
        <f>TechData_R0!C151</f>
        <v>IMPOILLL53</v>
      </c>
      <c r="D151" s="376" t="str">
        <f>TechData_R0!D151</f>
        <v>Imported Imported Oil-Low Sulfur, Low G, PADD 5, Step 3</v>
      </c>
      <c r="E151" s="415" t="s">
        <v>384</v>
      </c>
      <c r="F151" s="415" t="s">
        <v>505</v>
      </c>
      <c r="G151" s="399" t="s">
        <v>2536</v>
      </c>
      <c r="H151" s="376"/>
      <c r="I151" s="376"/>
    </row>
    <row r="152" spans="2:9">
      <c r="B152" s="376" t="s">
        <v>1058</v>
      </c>
      <c r="C152" s="376" t="str">
        <f>TechData_R0!C152</f>
        <v>IMPOILLL51</v>
      </c>
      <c r="D152" s="376" t="str">
        <f>TechData_R0!D152</f>
        <v>Imported Imported Oil-Low Sulfur, Low G, PADD 5, Step 1</v>
      </c>
      <c r="E152" s="415" t="s">
        <v>384</v>
      </c>
      <c r="F152" s="415" t="s">
        <v>505</v>
      </c>
      <c r="G152" s="399" t="s">
        <v>2536</v>
      </c>
      <c r="H152" s="376"/>
      <c r="I152" s="376"/>
    </row>
    <row r="153" spans="2:9">
      <c r="B153" s="376" t="s">
        <v>1058</v>
      </c>
      <c r="C153" s="376" t="str">
        <f>TechData_R0!C153</f>
        <v>IMPOILLL52</v>
      </c>
      <c r="D153" s="376" t="str">
        <f>TechData_R0!D153</f>
        <v>Imported Imported Oil-Low Sulfur, Low G, PADD 5, Step 2</v>
      </c>
      <c r="E153" s="415" t="s">
        <v>384</v>
      </c>
      <c r="F153" s="415" t="s">
        <v>505</v>
      </c>
      <c r="G153" s="399" t="s">
        <v>2536</v>
      </c>
      <c r="H153" s="376"/>
      <c r="I153" s="376"/>
    </row>
    <row r="154" spans="2:9">
      <c r="B154" s="376" t="s">
        <v>1058</v>
      </c>
      <c r="C154" s="376" t="str">
        <f>TechData_R0!C154</f>
        <v>IMPOILLL54</v>
      </c>
      <c r="D154" s="376" t="str">
        <f>TechData_R0!D154</f>
        <v>Imported Imported Oil-Low Sulfur, Low G, PADD 5, Step 4</v>
      </c>
      <c r="E154" s="415" t="s">
        <v>384</v>
      </c>
      <c r="F154" s="415" t="s">
        <v>505</v>
      </c>
      <c r="G154" s="399" t="s">
        <v>2536</v>
      </c>
      <c r="H154" s="376"/>
      <c r="I154" s="376"/>
    </row>
    <row r="155" spans="2:9">
      <c r="B155" s="376" t="s">
        <v>1058</v>
      </c>
      <c r="C155" s="376" t="str">
        <f>TechData_R0!C155</f>
        <v>IMPOILLL55</v>
      </c>
      <c r="D155" s="376" t="str">
        <f>TechData_R0!D155</f>
        <v>Imported Imported Oil-Low Sulfur, Low G, PADD 5, Step 5</v>
      </c>
      <c r="E155" s="415" t="s">
        <v>384</v>
      </c>
      <c r="F155" s="415" t="s">
        <v>505</v>
      </c>
      <c r="G155" s="399" t="s">
        <v>2536</v>
      </c>
      <c r="H155" s="376"/>
      <c r="I155" s="376"/>
    </row>
    <row r="156" spans="2:9">
      <c r="B156" s="376" t="s">
        <v>1058</v>
      </c>
      <c r="C156" s="376" t="str">
        <f>TechData_R0!C156</f>
        <v>IMPOILMH53</v>
      </c>
      <c r="D156" s="376" t="str">
        <f>TechData_R0!D156</f>
        <v>Imported Imported Oil-Medium Sulfur, HG, PADD 5, Step 3</v>
      </c>
      <c r="E156" s="415" t="s">
        <v>384</v>
      </c>
      <c r="F156" s="415" t="s">
        <v>505</v>
      </c>
      <c r="G156" s="399" t="s">
        <v>2536</v>
      </c>
      <c r="H156" s="376"/>
      <c r="I156" s="376"/>
    </row>
    <row r="157" spans="2:9">
      <c r="B157" s="376" t="s">
        <v>1058</v>
      </c>
      <c r="C157" s="376" t="str">
        <f>TechData_R0!C157</f>
        <v>IMPOILMH51</v>
      </c>
      <c r="D157" s="376" t="str">
        <f>TechData_R0!D157</f>
        <v>Imported Imported Oil-Medium Sulfur, HG, PADD 5, Step 1</v>
      </c>
      <c r="E157" s="415" t="s">
        <v>384</v>
      </c>
      <c r="F157" s="415" t="s">
        <v>505</v>
      </c>
      <c r="G157" s="399" t="s">
        <v>2536</v>
      </c>
      <c r="H157" s="376"/>
      <c r="I157" s="376"/>
    </row>
    <row r="158" spans="2:9">
      <c r="B158" s="376" t="s">
        <v>1058</v>
      </c>
      <c r="C158" s="376" t="str">
        <f>TechData_R0!C158</f>
        <v>IMPOILMH52</v>
      </c>
      <c r="D158" s="376" t="str">
        <f>TechData_R0!D158</f>
        <v>Imported Imported Oil-Medium Sulfur, HG, PADD 5, Step 2</v>
      </c>
      <c r="E158" s="415" t="s">
        <v>384</v>
      </c>
      <c r="F158" s="415" t="s">
        <v>505</v>
      </c>
      <c r="G158" s="399" t="s">
        <v>2536</v>
      </c>
      <c r="H158" s="376"/>
      <c r="I158" s="376"/>
    </row>
    <row r="159" spans="2:9">
      <c r="B159" s="376" t="s">
        <v>1058</v>
      </c>
      <c r="C159" s="376" t="str">
        <f>TechData_R0!C159</f>
        <v>IMPOILMH54</v>
      </c>
      <c r="D159" s="376" t="str">
        <f>TechData_R0!D159</f>
        <v>Imported Imported Oil-Medium Sulfur, HG, PADD 5, Step 4</v>
      </c>
      <c r="E159" s="415" t="s">
        <v>384</v>
      </c>
      <c r="F159" s="415" t="s">
        <v>505</v>
      </c>
      <c r="G159" s="399" t="s">
        <v>2536</v>
      </c>
      <c r="H159" s="376"/>
      <c r="I159" s="376"/>
    </row>
    <row r="160" spans="2:9">
      <c r="B160" s="376" t="s">
        <v>1058</v>
      </c>
      <c r="C160" s="376" t="str">
        <f>TechData_R0!C160</f>
        <v>IMPOILMH55</v>
      </c>
      <c r="D160" s="376" t="str">
        <f>TechData_R0!D160</f>
        <v>Imported Imported Oil-Medium Sulfur, HG, PADD 5, Step 5</v>
      </c>
      <c r="E160" s="415" t="s">
        <v>384</v>
      </c>
      <c r="F160" s="415" t="s">
        <v>505</v>
      </c>
      <c r="G160" s="399" t="s">
        <v>2536</v>
      </c>
      <c r="H160" s="376"/>
      <c r="I160" s="376"/>
    </row>
    <row r="161" spans="2:9">
      <c r="B161" s="372" t="s">
        <v>524</v>
      </c>
      <c r="C161" s="378"/>
      <c r="D161" s="378"/>
      <c r="E161" s="414"/>
      <c r="F161" s="414"/>
      <c r="G161" s="372"/>
      <c r="H161" s="378"/>
      <c r="I161" s="378"/>
    </row>
    <row r="162" spans="2:9">
      <c r="B162" s="376" t="str">
        <f>IF(LEFT(Commodities!B17,1)="*","*R1","R1")</f>
        <v>R1</v>
      </c>
      <c r="C162" s="376" t="str">
        <f>CONCATENATE("X",Commodities!C22)</f>
        <v>XOILHH1</v>
      </c>
      <c r="D162" s="376" t="str">
        <f>CONCATENATE("Convert ",Commodities!C22," to OILIP",RIGHT(Commodities!C22))</f>
        <v>Convert OILHH1 to OILIP1</v>
      </c>
      <c r="E162" s="415" t="s">
        <v>384</v>
      </c>
      <c r="F162" s="415" t="s">
        <v>505</v>
      </c>
      <c r="G162" s="399" t="s">
        <v>2534</v>
      </c>
      <c r="H162" s="376"/>
      <c r="I162" s="376"/>
    </row>
    <row r="163" spans="2:9">
      <c r="B163" s="376" t="str">
        <f>IF(LEFT(Commodities!B18,1)="*","*R1","R1")</f>
        <v>R1</v>
      </c>
      <c r="C163" s="376" t="str">
        <f>CONCATENATE("X",Commodities!C23)</f>
        <v>XOILHH2</v>
      </c>
      <c r="D163" s="376" t="str">
        <f>CONCATENATE("Convert ",Commodities!C23," to OILIP",RIGHT(Commodities!C23))</f>
        <v>Convert OILHH2 to OILIP2</v>
      </c>
      <c r="E163" s="415" t="s">
        <v>384</v>
      </c>
      <c r="F163" s="415" t="s">
        <v>505</v>
      </c>
      <c r="G163" s="399" t="s">
        <v>2534</v>
      </c>
      <c r="H163" s="376"/>
      <c r="I163" s="376"/>
    </row>
    <row r="164" spans="2:9">
      <c r="B164" s="376" t="str">
        <f>IF(LEFT(Commodities!B19,1)="*","*R1","R1")</f>
        <v>R1</v>
      </c>
      <c r="C164" s="376" t="str">
        <f>CONCATENATE("X",Commodities!C24)</f>
        <v>XOILHH3</v>
      </c>
      <c r="D164" s="376" t="str">
        <f>CONCATENATE("Convert ",Commodities!C24," to OILIP",RIGHT(Commodities!C24))</f>
        <v>Convert OILHH3 to OILIP3</v>
      </c>
      <c r="E164" s="415" t="s">
        <v>384</v>
      </c>
      <c r="F164" s="415" t="s">
        <v>505</v>
      </c>
      <c r="G164" s="399" t="s">
        <v>2534</v>
      </c>
      <c r="H164" s="376"/>
      <c r="I164" s="376"/>
    </row>
    <row r="165" spans="2:9">
      <c r="B165" s="376" t="s">
        <v>588</v>
      </c>
      <c r="C165" s="376" t="str">
        <f>CONCATENATE("X",Commodities!C25)</f>
        <v>XOILHH4</v>
      </c>
      <c r="D165" s="376" t="str">
        <f>CONCATENATE("Convert ",Commodities!C25," to OILIP",RIGHT(Commodities!C25))</f>
        <v>Convert OILHH4 to OILIP4</v>
      </c>
      <c r="E165" s="415" t="s">
        <v>384</v>
      </c>
      <c r="F165" s="415" t="s">
        <v>505</v>
      </c>
      <c r="G165" s="399" t="s">
        <v>2534</v>
      </c>
      <c r="H165" s="376"/>
      <c r="I165" s="376"/>
    </row>
    <row r="166" spans="2:9">
      <c r="B166" s="376" t="s">
        <v>588</v>
      </c>
      <c r="C166" s="376" t="str">
        <f>CONCATENATE("X",Commodities!C26)</f>
        <v>XOILHH5</v>
      </c>
      <c r="D166" s="376" t="str">
        <f>CONCATENATE("Convert ",Commodities!C26," to OILIP",RIGHT(Commodities!C26))</f>
        <v>Convert OILHH5 to OILIP5</v>
      </c>
      <c r="E166" s="415" t="s">
        <v>384</v>
      </c>
      <c r="F166" s="415" t="s">
        <v>505</v>
      </c>
      <c r="G166" s="399" t="s">
        <v>2534</v>
      </c>
      <c r="H166" s="376"/>
      <c r="I166" s="376"/>
    </row>
    <row r="167" spans="2:9">
      <c r="B167" s="376" t="str">
        <f>IF(LEFT(Commodities!B22,1)="*","*R1","R1")</f>
        <v>R1</v>
      </c>
      <c r="C167" s="376" t="str">
        <f>CONCATENATE("X",Commodities!C27)</f>
        <v>XOILHL1</v>
      </c>
      <c r="D167" s="376" t="str">
        <f>CONCATENATE("Convert ",Commodities!C27," to OILIP",RIGHT(Commodities!C27))</f>
        <v>Convert OILHL1 to OILIP1</v>
      </c>
      <c r="E167" s="415" t="s">
        <v>384</v>
      </c>
      <c r="F167" s="415" t="s">
        <v>505</v>
      </c>
      <c r="G167" s="399" t="s">
        <v>2534</v>
      </c>
      <c r="H167" s="376"/>
      <c r="I167" s="376"/>
    </row>
    <row r="168" spans="2:9">
      <c r="B168" s="376" t="str">
        <f>IF(LEFT(Commodities!B23,1)="*","*R1","R1")</f>
        <v>R1</v>
      </c>
      <c r="C168" s="376" t="str">
        <f>CONCATENATE("X",Commodities!C28)</f>
        <v>XOILHL2</v>
      </c>
      <c r="D168" s="376" t="str">
        <f>CONCATENATE("Convert ",Commodities!C28," to OILIP",RIGHT(Commodities!C28))</f>
        <v>Convert OILHL2 to OILIP2</v>
      </c>
      <c r="E168" s="415" t="s">
        <v>384</v>
      </c>
      <c r="F168" s="415" t="s">
        <v>505</v>
      </c>
      <c r="G168" s="399" t="s">
        <v>2534</v>
      </c>
      <c r="H168" s="376"/>
      <c r="I168" s="376"/>
    </row>
    <row r="169" spans="2:9">
      <c r="B169" s="376" t="str">
        <f>IF(LEFT(Commodities!B24,1)="*","*R1","R1")</f>
        <v>R1</v>
      </c>
      <c r="C169" s="376" t="str">
        <f>CONCATENATE("X",Commodities!C29)</f>
        <v>XOILHL3</v>
      </c>
      <c r="D169" s="376" t="str">
        <f>CONCATENATE("Convert ",Commodities!C29," to OILIP",RIGHT(Commodities!C29))</f>
        <v>Convert OILHL3 to OILIP3</v>
      </c>
      <c r="E169" s="415" t="s">
        <v>384</v>
      </c>
      <c r="F169" s="415" t="s">
        <v>505</v>
      </c>
      <c r="G169" s="399" t="s">
        <v>2534</v>
      </c>
      <c r="H169" s="376"/>
      <c r="I169" s="376"/>
    </row>
    <row r="170" spans="2:9">
      <c r="B170" s="376" t="s">
        <v>588</v>
      </c>
      <c r="C170" s="376" t="str">
        <f>CONCATENATE("X",Commodities!C30)</f>
        <v>XOILHL4</v>
      </c>
      <c r="D170" s="376" t="str">
        <f>CONCATENATE("Convert ",Commodities!C30," to OILIP",RIGHT(Commodities!C30))</f>
        <v>Convert OILHL4 to OILIP4</v>
      </c>
      <c r="E170" s="415" t="s">
        <v>384</v>
      </c>
      <c r="F170" s="415" t="s">
        <v>505</v>
      </c>
      <c r="G170" s="399" t="s">
        <v>2534</v>
      </c>
      <c r="H170" s="376"/>
      <c r="I170" s="376"/>
    </row>
    <row r="171" spans="2:9">
      <c r="B171" s="376" t="s">
        <v>588</v>
      </c>
      <c r="C171" s="376" t="str">
        <f>CONCATENATE("X",Commodities!C31)</f>
        <v>XOILHL5</v>
      </c>
      <c r="D171" s="376" t="str">
        <f>CONCATENATE("Convert ",Commodities!C31," to OILIP",RIGHT(Commodities!C31))</f>
        <v>Convert OILHL5 to OILIP5</v>
      </c>
      <c r="E171" s="415" t="s">
        <v>384</v>
      </c>
      <c r="F171" s="415" t="s">
        <v>505</v>
      </c>
      <c r="G171" s="399" t="s">
        <v>2534</v>
      </c>
      <c r="H171" s="376"/>
      <c r="I171" s="376"/>
    </row>
    <row r="172" spans="2:9">
      <c r="B172" s="376" t="str">
        <f>IF(LEFT(Commodities!B27,1)="*","*R1","R1")</f>
        <v>R1</v>
      </c>
      <c r="C172" s="376" t="str">
        <f>CONCATENATE("X",Commodities!C32)</f>
        <v>XOILHV1</v>
      </c>
      <c r="D172" s="376" t="str">
        <f>CONCATENATE("Convert ",Commodities!C32," to OILIP",RIGHT(Commodities!C32))</f>
        <v>Convert OILHV1 to OILIP1</v>
      </c>
      <c r="E172" s="415" t="s">
        <v>384</v>
      </c>
      <c r="F172" s="415" t="s">
        <v>505</v>
      </c>
      <c r="G172" s="399" t="s">
        <v>2534</v>
      </c>
      <c r="H172" s="376"/>
      <c r="I172" s="376"/>
    </row>
    <row r="173" spans="2:9">
      <c r="B173" s="376" t="str">
        <f>IF(LEFT(Commodities!B28,1)="*","*R1","R1")</f>
        <v>R1</v>
      </c>
      <c r="C173" s="376" t="str">
        <f>CONCATENATE("X",Commodities!C33)</f>
        <v>XOILHV2</v>
      </c>
      <c r="D173" s="376" t="str">
        <f>CONCATENATE("Convert ",Commodities!C33," to OILIP",RIGHT(Commodities!C33))</f>
        <v>Convert OILHV2 to OILIP2</v>
      </c>
      <c r="E173" s="415" t="s">
        <v>384</v>
      </c>
      <c r="F173" s="415" t="s">
        <v>505</v>
      </c>
      <c r="G173" s="399" t="s">
        <v>2534</v>
      </c>
      <c r="H173" s="376"/>
      <c r="I173" s="376"/>
    </row>
    <row r="174" spans="2:9">
      <c r="B174" s="376" t="str">
        <f>IF(LEFT(Commodities!B29,1)="*","*R1","R1")</f>
        <v>R1</v>
      </c>
      <c r="C174" s="376" t="str">
        <f>CONCATENATE("X",Commodities!C34)</f>
        <v>XOILHV3</v>
      </c>
      <c r="D174" s="376" t="str">
        <f>CONCATENATE("Convert ",Commodities!C34," to OILIP",RIGHT(Commodities!C34))</f>
        <v>Convert OILHV3 to OILIP3</v>
      </c>
      <c r="E174" s="415" t="s">
        <v>384</v>
      </c>
      <c r="F174" s="415" t="s">
        <v>505</v>
      </c>
      <c r="G174" s="399" t="s">
        <v>2534</v>
      </c>
      <c r="H174" s="376"/>
      <c r="I174" s="376"/>
    </row>
    <row r="175" spans="2:9">
      <c r="B175" s="376" t="s">
        <v>588</v>
      </c>
      <c r="C175" s="376" t="str">
        <f>CONCATENATE("X",Commodities!C35)</f>
        <v>XOILHV4</v>
      </c>
      <c r="D175" s="376" t="str">
        <f>CONCATENATE("Convert ",Commodities!C35," to OILIP",RIGHT(Commodities!C35))</f>
        <v>Convert OILHV4 to OILIP4</v>
      </c>
      <c r="E175" s="415" t="s">
        <v>384</v>
      </c>
      <c r="F175" s="415" t="s">
        <v>505</v>
      </c>
      <c r="G175" s="399" t="s">
        <v>2534</v>
      </c>
      <c r="H175" s="376"/>
      <c r="I175" s="376"/>
    </row>
    <row r="176" spans="2:9">
      <c r="B176" s="376" t="s">
        <v>588</v>
      </c>
      <c r="C176" s="376" t="str">
        <f>CONCATENATE("X",Commodities!C36)</f>
        <v>XOILHV5</v>
      </c>
      <c r="D176" s="376" t="str">
        <f>CONCATENATE("Convert ",Commodities!C36," to OILIP",RIGHT(Commodities!C36))</f>
        <v>Convert OILHV5 to OILIP5</v>
      </c>
      <c r="E176" s="415" t="s">
        <v>384</v>
      </c>
      <c r="F176" s="415" t="s">
        <v>505</v>
      </c>
      <c r="G176" s="399" t="s">
        <v>2534</v>
      </c>
      <c r="H176" s="376"/>
      <c r="I176" s="376"/>
    </row>
    <row r="177" spans="2:9">
      <c r="B177" s="376" t="str">
        <f>IF(LEFT(Commodities!B32,1)="*","*R1","R1")</f>
        <v>R1</v>
      </c>
      <c r="C177" s="376" t="str">
        <f>CONCATENATE("X",Commodities!C37)</f>
        <v>XOILLL1</v>
      </c>
      <c r="D177" s="376" t="str">
        <f>CONCATENATE("Convert ",Commodities!C37," to OILIP",RIGHT(Commodities!C37))</f>
        <v>Convert OILLL1 to OILIP1</v>
      </c>
      <c r="E177" s="415" t="s">
        <v>384</v>
      </c>
      <c r="F177" s="415" t="s">
        <v>505</v>
      </c>
      <c r="G177" s="399" t="s">
        <v>2534</v>
      </c>
      <c r="H177" s="376"/>
      <c r="I177" s="376"/>
    </row>
    <row r="178" spans="2:9">
      <c r="B178" s="376" t="str">
        <f>IF(LEFT(Commodities!B33,1)="*","*R1","R1")</f>
        <v>R1</v>
      </c>
      <c r="C178" s="376" t="str">
        <f>CONCATENATE("X",Commodities!C38)</f>
        <v>XOILLL2</v>
      </c>
      <c r="D178" s="376" t="str">
        <f>CONCATENATE("Convert ",Commodities!C38," to OILIP",RIGHT(Commodities!C38))</f>
        <v>Convert OILLL2 to OILIP2</v>
      </c>
      <c r="E178" s="415" t="s">
        <v>384</v>
      </c>
      <c r="F178" s="415" t="s">
        <v>505</v>
      </c>
      <c r="G178" s="399" t="s">
        <v>2534</v>
      </c>
      <c r="H178" s="376"/>
      <c r="I178" s="376"/>
    </row>
    <row r="179" spans="2:9">
      <c r="B179" s="376" t="str">
        <f>IF(LEFT(Commodities!B34,1)="*","*R1","R1")</f>
        <v>R1</v>
      </c>
      <c r="C179" s="376" t="str">
        <f>CONCATENATE("X",Commodities!C39)</f>
        <v>XOILLL3</v>
      </c>
      <c r="D179" s="376" t="str">
        <f>CONCATENATE("Convert ",Commodities!C39," to OILIP",RIGHT(Commodities!C39))</f>
        <v>Convert OILLL3 to OILIP3</v>
      </c>
      <c r="E179" s="415" t="s">
        <v>384</v>
      </c>
      <c r="F179" s="415" t="s">
        <v>505</v>
      </c>
      <c r="G179" s="399" t="s">
        <v>2534</v>
      </c>
      <c r="H179" s="376"/>
      <c r="I179" s="376"/>
    </row>
    <row r="180" spans="2:9">
      <c r="B180" s="376" t="s">
        <v>588</v>
      </c>
      <c r="C180" s="376" t="str">
        <f>CONCATENATE("X",Commodities!C40)</f>
        <v>XOILLL4</v>
      </c>
      <c r="D180" s="376" t="str">
        <f>CONCATENATE("Convert ",Commodities!C40," to OILIP",RIGHT(Commodities!C40))</f>
        <v>Convert OILLL4 to OILIP4</v>
      </c>
      <c r="E180" s="415" t="s">
        <v>384</v>
      </c>
      <c r="F180" s="415" t="s">
        <v>505</v>
      </c>
      <c r="G180" s="399" t="s">
        <v>2534</v>
      </c>
      <c r="H180" s="376"/>
      <c r="I180" s="376"/>
    </row>
    <row r="181" spans="2:9">
      <c r="B181" s="376" t="s">
        <v>588</v>
      </c>
      <c r="C181" s="376" t="str">
        <f>CONCATENATE("X",Commodities!C41)</f>
        <v>XOILLL5</v>
      </c>
      <c r="D181" s="376" t="str">
        <f>CONCATENATE("Convert ",Commodities!C41," to OILIP",RIGHT(Commodities!C41))</f>
        <v>Convert OILLL5 to OILIP5</v>
      </c>
      <c r="E181" s="415" t="s">
        <v>384</v>
      </c>
      <c r="F181" s="415" t="s">
        <v>505</v>
      </c>
      <c r="G181" s="399" t="s">
        <v>2534</v>
      </c>
      <c r="H181" s="376"/>
      <c r="I181" s="376"/>
    </row>
    <row r="182" spans="2:9">
      <c r="B182" s="376" t="str">
        <f>IF(LEFT(Commodities!B37,1)="*","*R1","R1")</f>
        <v>R1</v>
      </c>
      <c r="C182" s="376" t="str">
        <f>CONCATENATE("X",Commodities!C42)</f>
        <v>XOILMH1</v>
      </c>
      <c r="D182" s="376" t="str">
        <f>CONCATENATE("Convert ",Commodities!C42," to OILIP",RIGHT(Commodities!C42))</f>
        <v>Convert OILMH1 to OILIP1</v>
      </c>
      <c r="E182" s="415" t="s">
        <v>384</v>
      </c>
      <c r="F182" s="415" t="s">
        <v>505</v>
      </c>
      <c r="G182" s="399" t="s">
        <v>2534</v>
      </c>
      <c r="H182" s="376"/>
      <c r="I182" s="376"/>
    </row>
    <row r="183" spans="2:9">
      <c r="B183" s="376" t="str">
        <f>IF(LEFT(Commodities!B38,1)="*","*R1","R1")</f>
        <v>R1</v>
      </c>
      <c r="C183" s="376" t="str">
        <f>CONCATENATE("X",Commodities!C43)</f>
        <v>XOILMH2</v>
      </c>
      <c r="D183" s="376" t="str">
        <f>CONCATENATE("Convert ",Commodities!C43," to OILIP",RIGHT(Commodities!C43))</f>
        <v>Convert OILMH2 to OILIP2</v>
      </c>
      <c r="E183" s="415" t="s">
        <v>384</v>
      </c>
      <c r="F183" s="415" t="s">
        <v>505</v>
      </c>
      <c r="G183" s="399" t="s">
        <v>2534</v>
      </c>
      <c r="H183" s="376"/>
      <c r="I183" s="376"/>
    </row>
    <row r="184" spans="2:9">
      <c r="B184" s="376" t="str">
        <f>IF(LEFT(Commodities!B39,1)="*","*R1","R1")</f>
        <v>R1</v>
      </c>
      <c r="C184" s="376" t="str">
        <f>CONCATENATE("X",Commodities!C44)</f>
        <v>XOILMH3</v>
      </c>
      <c r="D184" s="376" t="str">
        <f>CONCATENATE("Convert ",Commodities!C44," to OILIP",RIGHT(Commodities!C44))</f>
        <v>Convert OILMH3 to OILIP3</v>
      </c>
      <c r="E184" s="415" t="s">
        <v>384</v>
      </c>
      <c r="F184" s="415" t="s">
        <v>505</v>
      </c>
      <c r="G184" s="399" t="s">
        <v>2534</v>
      </c>
      <c r="H184" s="376"/>
      <c r="I184" s="376"/>
    </row>
    <row r="185" spans="2:9">
      <c r="B185" s="376" t="s">
        <v>588</v>
      </c>
      <c r="C185" s="376" t="str">
        <f>CONCATENATE("X",Commodities!C45)</f>
        <v>XOILMH4</v>
      </c>
      <c r="D185" s="376" t="str">
        <f>CONCATENATE("Convert ",Commodities!C45," to OILIP",RIGHT(Commodities!C45))</f>
        <v>Convert OILMH4 to OILIP4</v>
      </c>
      <c r="E185" s="415" t="s">
        <v>384</v>
      </c>
      <c r="F185" s="415" t="s">
        <v>505</v>
      </c>
      <c r="G185" s="399" t="s">
        <v>2534</v>
      </c>
      <c r="H185" s="376"/>
      <c r="I185" s="376"/>
    </row>
    <row r="186" spans="2:9">
      <c r="B186" s="376" t="s">
        <v>588</v>
      </c>
      <c r="C186" s="376" t="str">
        <f>CONCATENATE("X",Commodities!C46)</f>
        <v>XOILMH5</v>
      </c>
      <c r="D186" s="376" t="str">
        <f>CONCATENATE("Convert ",Commodities!C46," to OILIP",RIGHT(Commodities!C46))</f>
        <v>Convert OILMH5 to OILIP5</v>
      </c>
      <c r="E186" s="415" t="s">
        <v>384</v>
      </c>
      <c r="F186" s="415" t="s">
        <v>505</v>
      </c>
      <c r="G186" s="399" t="s">
        <v>2534</v>
      </c>
      <c r="H186" s="376"/>
      <c r="I186" s="376"/>
    </row>
    <row r="187" spans="2:9">
      <c r="B187" s="372" t="s">
        <v>530</v>
      </c>
      <c r="C187" s="378"/>
      <c r="D187" s="378"/>
      <c r="E187" s="414"/>
      <c r="F187" s="414"/>
      <c r="G187" s="372"/>
      <c r="H187" s="378"/>
      <c r="I187" s="378"/>
    </row>
    <row r="188" spans="2:9">
      <c r="B188" s="376" t="str">
        <f>IF(LEFT(Commodities!B17,1)="*","*",Commodities!B17)</f>
        <v>R1</v>
      </c>
      <c r="C188" s="376" t="str">
        <f>CONCATENATE("X",Commodities!C17)</f>
        <v>XOILIP1</v>
      </c>
      <c r="D188" s="376" t="s">
        <v>531</v>
      </c>
      <c r="E188" s="415" t="s">
        <v>384</v>
      </c>
      <c r="F188" s="415" t="s">
        <v>505</v>
      </c>
      <c r="G188" s="399" t="s">
        <v>2534</v>
      </c>
      <c r="H188" s="376"/>
      <c r="I188" s="376"/>
    </row>
    <row r="189" spans="2:9">
      <c r="B189" s="376" t="str">
        <f>IF(LEFT(Commodities!B18,1)="*","*",Commodities!B18)</f>
        <v>R1</v>
      </c>
      <c r="C189" s="376" t="str">
        <f>CONCATENATE("X",Commodities!C18)</f>
        <v>XOILIP2</v>
      </c>
      <c r="D189" s="376" t="s">
        <v>532</v>
      </c>
      <c r="E189" s="415" t="s">
        <v>384</v>
      </c>
      <c r="F189" s="415" t="s">
        <v>505</v>
      </c>
      <c r="G189" s="399" t="s">
        <v>2534</v>
      </c>
      <c r="H189" s="376"/>
      <c r="I189" s="376"/>
    </row>
    <row r="190" spans="2:9">
      <c r="B190" s="376" t="str">
        <f>IF(LEFT(Commodities!B19,1)="*","*",Commodities!B19)</f>
        <v>R1</v>
      </c>
      <c r="C190" s="376" t="str">
        <f>CONCATENATE("X",Commodities!C19)</f>
        <v>XOILIP3</v>
      </c>
      <c r="D190" s="376" t="s">
        <v>533</v>
      </c>
      <c r="E190" s="415" t="s">
        <v>384</v>
      </c>
      <c r="F190" s="415" t="s">
        <v>505</v>
      </c>
      <c r="G190" s="399" t="s">
        <v>2534</v>
      </c>
      <c r="H190" s="376"/>
      <c r="I190" s="376"/>
    </row>
    <row r="191" spans="2:9">
      <c r="B191" s="376" t="str">
        <f>IF(LEFT(Commodities!B20,1)="*","*",Commodities!B20)</f>
        <v>*</v>
      </c>
      <c r="C191" s="376" t="str">
        <f>CONCATENATE("X",Commodities!C20)</f>
        <v>XOILIP4</v>
      </c>
      <c r="D191" s="376" t="s">
        <v>534</v>
      </c>
      <c r="E191" s="415" t="s">
        <v>384</v>
      </c>
      <c r="F191" s="415" t="s">
        <v>505</v>
      </c>
      <c r="G191" s="399" t="s">
        <v>2534</v>
      </c>
      <c r="H191" s="376"/>
      <c r="I191" s="376"/>
    </row>
    <row r="192" spans="2:9">
      <c r="B192" s="376" t="str">
        <f>IF(LEFT(Commodities!B21,1)="*","*",Commodities!B21)</f>
        <v>*</v>
      </c>
      <c r="C192" s="376" t="str">
        <f>CONCATENATE("X",Commodities!C21)</f>
        <v>XOILIP5</v>
      </c>
      <c r="D192" s="376" t="s">
        <v>535</v>
      </c>
      <c r="E192" s="415" t="s">
        <v>384</v>
      </c>
      <c r="F192" s="415" t="s">
        <v>505</v>
      </c>
      <c r="G192" s="399" t="s">
        <v>2534</v>
      </c>
      <c r="H192" s="376"/>
      <c r="I192" s="376"/>
    </row>
    <row r="193" spans="2:9">
      <c r="B193" s="372" t="s">
        <v>2550</v>
      </c>
      <c r="C193" s="378"/>
      <c r="D193" s="378"/>
      <c r="E193" s="414"/>
      <c r="F193" s="414"/>
      <c r="G193" s="372"/>
      <c r="H193" s="378"/>
      <c r="I193" s="378"/>
    </row>
    <row r="194" spans="2:9">
      <c r="B194" s="376" t="s">
        <v>2475</v>
      </c>
      <c r="C194" s="376" t="str">
        <f>TechData_DelOILNYC!C26</f>
        <v>XGSC</v>
      </c>
      <c r="D194" s="376" t="str">
        <f>TechData_DelOILNYC!D26</f>
        <v>Convert GSC to GSCR1</v>
      </c>
      <c r="E194" s="415" t="s">
        <v>384</v>
      </c>
      <c r="F194" s="415" t="s">
        <v>2551</v>
      </c>
      <c r="G194" s="399" t="s">
        <v>2534</v>
      </c>
      <c r="H194" s="376"/>
      <c r="I194" s="376"/>
    </row>
    <row r="195" spans="2:9">
      <c r="B195" s="376" t="s">
        <v>2475</v>
      </c>
      <c r="C195" s="376" t="str">
        <f>TechData_DelOILNYC!C27</f>
        <v>XGSR</v>
      </c>
      <c r="D195" s="376" t="str">
        <f>TechData_DelOILNYC!D27</f>
        <v>Convert GSR to GSRR1</v>
      </c>
      <c r="E195" s="415" t="s">
        <v>384</v>
      </c>
      <c r="F195" s="415" t="s">
        <v>2551</v>
      </c>
      <c r="G195" s="399" t="s">
        <v>2534</v>
      </c>
      <c r="H195" s="376"/>
      <c r="I195" s="376"/>
    </row>
    <row r="196" spans="2:9">
      <c r="B196" s="376" t="s">
        <v>2475</v>
      </c>
      <c r="C196" s="376" t="str">
        <f>TechData_DelOILNYC!C28</f>
        <v>XDSH</v>
      </c>
      <c r="D196" s="376" t="str">
        <f>TechData_DelOILNYC!D28</f>
        <v>Convert DSH to DSHR1</v>
      </c>
      <c r="E196" s="415" t="s">
        <v>384</v>
      </c>
      <c r="F196" s="415" t="s">
        <v>2551</v>
      </c>
      <c r="G196" s="399" t="s">
        <v>2534</v>
      </c>
      <c r="H196" s="376"/>
      <c r="I196" s="376"/>
    </row>
    <row r="197" spans="2:9">
      <c r="B197" s="376" t="s">
        <v>2475</v>
      </c>
      <c r="C197" s="376" t="str">
        <f>TechData_DelOILNYC!C29</f>
        <v>XDSL</v>
      </c>
      <c r="D197" s="376" t="str">
        <f>TechData_DelOILNYC!D29</f>
        <v>Convert DSL to DSLR1</v>
      </c>
      <c r="E197" s="415" t="s">
        <v>384</v>
      </c>
      <c r="F197" s="415" t="s">
        <v>2551</v>
      </c>
      <c r="G197" s="399" t="s">
        <v>2534</v>
      </c>
      <c r="H197" s="376"/>
      <c r="I197" s="376"/>
    </row>
    <row r="198" spans="2:9">
      <c r="B198" s="376" t="s">
        <v>2475</v>
      </c>
      <c r="C198" s="376" t="str">
        <f>TechData_DelOILNYC!C30</f>
        <v>XDSU</v>
      </c>
      <c r="D198" s="376" t="str">
        <f>TechData_DelOILNYC!D30</f>
        <v>Convert DSU to DSUR1</v>
      </c>
      <c r="E198" s="415" t="s">
        <v>384</v>
      </c>
      <c r="F198" s="415" t="s">
        <v>2551</v>
      </c>
      <c r="G198" s="399" t="s">
        <v>2534</v>
      </c>
      <c r="H198" s="376"/>
      <c r="I198" s="376"/>
    </row>
    <row r="199" spans="2:9">
      <c r="B199" s="376" t="s">
        <v>2475</v>
      </c>
      <c r="C199" s="376" t="str">
        <f>TechData_DelOILNYC!C31</f>
        <v>XRFL</v>
      </c>
      <c r="D199" s="376" t="str">
        <f>TechData_DelOILNYC!D31</f>
        <v>Convert RFL to RFLR1</v>
      </c>
      <c r="E199" s="415" t="s">
        <v>384</v>
      </c>
      <c r="F199" s="415" t="s">
        <v>2551</v>
      </c>
      <c r="G199" s="399" t="s">
        <v>2534</v>
      </c>
      <c r="H199" s="376"/>
      <c r="I199" s="376"/>
    </row>
    <row r="200" spans="2:9">
      <c r="B200" s="372" t="s">
        <v>536</v>
      </c>
      <c r="C200" s="378"/>
      <c r="D200" s="378"/>
      <c r="E200" s="414"/>
      <c r="F200" s="414"/>
      <c r="G200" s="372"/>
      <c r="H200" s="378"/>
      <c r="I200" s="378"/>
    </row>
    <row r="201" spans="2:9">
      <c r="B201" s="376" t="s">
        <v>438</v>
      </c>
      <c r="C201" s="376" t="e">
        <f>#REF!</f>
        <v>#REF!</v>
      </c>
      <c r="D201" s="376" t="e">
        <f>#REF!</f>
        <v>#REF!</v>
      </c>
      <c r="E201" s="415" t="s">
        <v>384</v>
      </c>
      <c r="F201" s="415" t="s">
        <v>505</v>
      </c>
      <c r="G201" s="399" t="s">
        <v>2536</v>
      </c>
      <c r="H201" s="376"/>
      <c r="I201" s="376"/>
    </row>
    <row r="202" spans="2:9">
      <c r="B202" s="376" t="s">
        <v>438</v>
      </c>
      <c r="C202" s="376" t="e">
        <f>#REF!</f>
        <v>#REF!</v>
      </c>
      <c r="D202" s="376" t="e">
        <f>#REF!</f>
        <v>#REF!</v>
      </c>
      <c r="E202" s="415" t="s">
        <v>384</v>
      </c>
      <c r="F202" s="415" t="s">
        <v>505</v>
      </c>
      <c r="G202" s="399" t="s">
        <v>2536</v>
      </c>
      <c r="H202" s="376"/>
      <c r="I202" s="376"/>
    </row>
    <row r="203" spans="2:9">
      <c r="B203" s="376" t="s">
        <v>438</v>
      </c>
      <c r="C203" s="376" t="e">
        <f>#REF!</f>
        <v>#REF!</v>
      </c>
      <c r="D203" s="376" t="e">
        <f>#REF!</f>
        <v>#REF!</v>
      </c>
      <c r="E203" s="415" t="s">
        <v>384</v>
      </c>
      <c r="F203" s="415" t="s">
        <v>505</v>
      </c>
      <c r="G203" s="399" t="s">
        <v>2536</v>
      </c>
      <c r="H203" s="376"/>
      <c r="I203" s="376"/>
    </row>
    <row r="204" spans="2:9">
      <c r="B204" s="376" t="s">
        <v>438</v>
      </c>
      <c r="C204" s="376" t="e">
        <f>#REF!</f>
        <v>#REF!</v>
      </c>
      <c r="D204" s="376" t="e">
        <f>#REF!</f>
        <v>#REF!</v>
      </c>
      <c r="E204" s="415" t="s">
        <v>384</v>
      </c>
      <c r="F204" s="415" t="s">
        <v>505</v>
      </c>
      <c r="G204" s="399" t="s">
        <v>2536</v>
      </c>
      <c r="H204" s="376"/>
      <c r="I204" s="376"/>
    </row>
    <row r="205" spans="2:9">
      <c r="B205" s="376" t="s">
        <v>438</v>
      </c>
      <c r="C205" s="376" t="e">
        <f>#REF!</f>
        <v>#REF!</v>
      </c>
      <c r="D205" s="376" t="e">
        <f>#REF!</f>
        <v>#REF!</v>
      </c>
      <c r="E205" s="415" t="s">
        <v>384</v>
      </c>
      <c r="F205" s="415" t="s">
        <v>505</v>
      </c>
      <c r="G205" s="399" t="s">
        <v>2536</v>
      </c>
      <c r="H205" s="376"/>
      <c r="I205" s="376"/>
    </row>
    <row r="206" spans="2:9">
      <c r="B206" s="376" t="str">
        <f>IF(OR(G$200="*",LEFT(Commodities!B$50,1)="*"),"*R0,R1,R2,R3,R4,R5,R6","R0,R1,R2,R3,R4,R5,R6")</f>
        <v>R0,R1,R2,R3,R4,R5,R6</v>
      </c>
      <c r="C206" s="376" t="e">
        <f>#REF!</f>
        <v>#REF!</v>
      </c>
      <c r="D206" s="376" t="e">
        <f>#REF!</f>
        <v>#REF!</v>
      </c>
      <c r="E206" s="415" t="s">
        <v>384</v>
      </c>
      <c r="F206" s="415" t="s">
        <v>505</v>
      </c>
      <c r="G206" s="399" t="s">
        <v>2536</v>
      </c>
      <c r="H206" s="376"/>
      <c r="I206" s="376"/>
    </row>
    <row r="207" spans="2:9">
      <c r="B207" s="376" t="str">
        <f>IF(OR(G$200="*",LEFT(Commodities!B$50,1)="*"),"*R0,R1,R2,R3,R4,R5,R6","R0,R1,R2,R3,R4,R5,R6")</f>
        <v>R0,R1,R2,R3,R4,R5,R6</v>
      </c>
      <c r="C207" s="376" t="e">
        <f>#REF!</f>
        <v>#REF!</v>
      </c>
      <c r="D207" s="376" t="e">
        <f>#REF!</f>
        <v>#REF!</v>
      </c>
      <c r="E207" s="415" t="s">
        <v>384</v>
      </c>
      <c r="F207" s="415" t="s">
        <v>505</v>
      </c>
      <c r="G207" s="399" t="s">
        <v>2536</v>
      </c>
      <c r="H207" s="376"/>
      <c r="I207" s="376"/>
    </row>
    <row r="208" spans="2:9">
      <c r="B208" s="376" t="str">
        <f>IF(OR(G$200="*",LEFT(Commodities!B$50,1)="*"),"*R0,R1,R2,R3,R4,R5,R6","R0,R1,R2,R3,R4,R5,R6")</f>
        <v>R0,R1,R2,R3,R4,R5,R6</v>
      </c>
      <c r="C208" s="376" t="e">
        <f>#REF!</f>
        <v>#REF!</v>
      </c>
      <c r="D208" s="376" t="e">
        <f>#REF!</f>
        <v>#REF!</v>
      </c>
      <c r="E208" s="415" t="s">
        <v>384</v>
      </c>
      <c r="F208" s="415" t="s">
        <v>505</v>
      </c>
      <c r="G208" s="399" t="s">
        <v>2536</v>
      </c>
      <c r="H208" s="376"/>
      <c r="I208" s="376"/>
    </row>
    <row r="209" spans="2:9">
      <c r="B209" s="376" t="str">
        <f>IF(OR(G$200="*",LEFT(Commodities!B$50,1)="*"),"*R0,R1,R2,R3,R4,R5,R6","R0,R1,R2,R3,R4,R5,R6")</f>
        <v>R0,R1,R2,R3,R4,R5,R6</v>
      </c>
      <c r="C209" s="376" t="e">
        <f>#REF!</f>
        <v>#REF!</v>
      </c>
      <c r="D209" s="376" t="e">
        <f>#REF!</f>
        <v>#REF!</v>
      </c>
      <c r="E209" s="415" t="s">
        <v>384</v>
      </c>
      <c r="F209" s="415" t="s">
        <v>505</v>
      </c>
      <c r="G209" s="399" t="s">
        <v>2536</v>
      </c>
      <c r="H209" s="376"/>
      <c r="I209" s="376"/>
    </row>
    <row r="210" spans="2:9">
      <c r="B210" s="376" t="str">
        <f>IF(OR(G$200="*",LEFT(Commodities!B$50,1)="*"),"*R0,R1,R2,R3,R4,R5,R6","R0,R1,R2,R3,R4,R5,R6")</f>
        <v>R0,R1,R2,R3,R4,R5,R6</v>
      </c>
      <c r="C210" s="376" t="e">
        <f>#REF!</f>
        <v>#REF!</v>
      </c>
      <c r="D210" s="376" t="e">
        <f>#REF!</f>
        <v>#REF!</v>
      </c>
      <c r="E210" s="415" t="s">
        <v>384</v>
      </c>
      <c r="F210" s="415" t="s">
        <v>505</v>
      </c>
      <c r="G210" s="399" t="s">
        <v>2536</v>
      </c>
      <c r="H210" s="376"/>
      <c r="I210" s="376"/>
    </row>
    <row r="211" spans="2:9">
      <c r="B211" s="376" t="str">
        <f>IF(OR(G$200="*",LEFT(Commodities!B$50,1)="*"),"*R0,R1,R2,R3,R4,R5,R6","R0,R1,R2,R3,R4,R5,R6")</f>
        <v>R0,R1,R2,R3,R4,R5,R6</v>
      </c>
      <c r="C211" s="376" t="e">
        <f>#REF!</f>
        <v>#REF!</v>
      </c>
      <c r="D211" s="376" t="e">
        <f>#REF!</f>
        <v>#REF!</v>
      </c>
      <c r="E211" s="415" t="s">
        <v>384</v>
      </c>
      <c r="F211" s="415" t="s">
        <v>505</v>
      </c>
      <c r="G211" s="399" t="s">
        <v>2536</v>
      </c>
      <c r="H211" s="376"/>
      <c r="I211" s="376"/>
    </row>
    <row r="212" spans="2:9">
      <c r="B212" s="376" t="str">
        <f>IF(OR(G$200="*",LEFT(Commodities!B$50,1)="*"),"*R0,R1,R2,R3,R4,R5,R6","R0,R1,R2,R3,R4,R5,R6")</f>
        <v>R0,R1,R2,R3,R4,R5,R6</v>
      </c>
      <c r="C212" s="376" t="e">
        <f>#REF!</f>
        <v>#REF!</v>
      </c>
      <c r="D212" s="376" t="e">
        <f>#REF!</f>
        <v>#REF!</v>
      </c>
      <c r="E212" s="415" t="s">
        <v>384</v>
      </c>
      <c r="F212" s="415" t="s">
        <v>505</v>
      </c>
      <c r="G212" s="399" t="s">
        <v>2536</v>
      </c>
      <c r="H212" s="376"/>
      <c r="I212" s="376"/>
    </row>
    <row r="213" spans="2:9">
      <c r="B213" s="376" t="str">
        <f>IF(OR(G$200="*",LEFT(Commodities!B$50,1)="*"),"*R0,R1,R2,R3,R4,R5,R6","R0,R1,R2,R3,R4,R5,R6")</f>
        <v>R0,R1,R2,R3,R4,R5,R6</v>
      </c>
      <c r="C213" s="376" t="e">
        <f>#REF!</f>
        <v>#REF!</v>
      </c>
      <c r="D213" s="376" t="e">
        <f>#REF!</f>
        <v>#REF!</v>
      </c>
      <c r="E213" s="415" t="s">
        <v>384</v>
      </c>
      <c r="F213" s="415" t="s">
        <v>505</v>
      </c>
      <c r="G213" s="399" t="s">
        <v>2536</v>
      </c>
      <c r="H213" s="376"/>
      <c r="I213" s="376"/>
    </row>
    <row r="214" spans="2:9">
      <c r="B214" s="376" t="str">
        <f>IF(OR(G$200="*",LEFT(Commodities!B$50,1)="*"),"*R0,R1,R2,R3,R4,R5,R6","R0,R1,R2,R3,R4,R5,R6")</f>
        <v>R0,R1,R2,R3,R4,R5,R6</v>
      </c>
      <c r="C214" s="376" t="e">
        <f>#REF!</f>
        <v>#REF!</v>
      </c>
      <c r="D214" s="376" t="e">
        <f>#REF!</f>
        <v>#REF!</v>
      </c>
      <c r="E214" s="415" t="s">
        <v>384</v>
      </c>
      <c r="F214" s="415" t="s">
        <v>505</v>
      </c>
      <c r="G214" s="399" t="s">
        <v>2536</v>
      </c>
      <c r="H214" s="376"/>
      <c r="I214" s="376"/>
    </row>
    <row r="215" spans="2:9">
      <c r="B215" s="376" t="str">
        <f>IF(OR(G$200="*",LEFT(Commodities!B$50,1)="*"),"*R0,R1,R2,R3,R4,R5,R6","R0,R1,R2,R3,R4,R5,R6")</f>
        <v>R0,R1,R2,R3,R4,R5,R6</v>
      </c>
      <c r="C215" s="376" t="e">
        <f>#REF!</f>
        <v>#REF!</v>
      </c>
      <c r="D215" s="376" t="e">
        <f>#REF!</f>
        <v>#REF!</v>
      </c>
      <c r="E215" s="415" t="s">
        <v>384</v>
      </c>
      <c r="F215" s="415" t="s">
        <v>505</v>
      </c>
      <c r="G215" s="399" t="s">
        <v>2536</v>
      </c>
      <c r="H215" s="376"/>
      <c r="I215" s="376"/>
    </row>
    <row r="216" spans="2:9">
      <c r="B216" s="376" t="s">
        <v>438</v>
      </c>
      <c r="C216" s="376" t="e">
        <f>#REF!</f>
        <v>#REF!</v>
      </c>
      <c r="D216" s="376" t="e">
        <f>#REF!</f>
        <v>#REF!</v>
      </c>
      <c r="E216" s="415" t="s">
        <v>384</v>
      </c>
      <c r="F216" s="415" t="s">
        <v>505</v>
      </c>
      <c r="G216" s="399" t="s">
        <v>2536</v>
      </c>
      <c r="H216" s="376"/>
      <c r="I216" s="376"/>
    </row>
    <row r="217" spans="2:9">
      <c r="B217" s="376" t="s">
        <v>438</v>
      </c>
      <c r="C217" s="376" t="e">
        <f>#REF!</f>
        <v>#REF!</v>
      </c>
      <c r="D217" s="376" t="e">
        <f>#REF!</f>
        <v>#REF!</v>
      </c>
      <c r="E217" s="415" t="s">
        <v>384</v>
      </c>
      <c r="F217" s="415" t="s">
        <v>505</v>
      </c>
      <c r="G217" s="399" t="s">
        <v>2536</v>
      </c>
      <c r="H217" s="376"/>
      <c r="I217" s="376"/>
    </row>
    <row r="218" spans="2:9">
      <c r="B218" s="376" t="s">
        <v>438</v>
      </c>
      <c r="C218" s="376" t="e">
        <f>#REF!</f>
        <v>#REF!</v>
      </c>
      <c r="D218" s="376" t="e">
        <f>#REF!</f>
        <v>#REF!</v>
      </c>
      <c r="E218" s="415" t="s">
        <v>384</v>
      </c>
      <c r="F218" s="415" t="s">
        <v>505</v>
      </c>
      <c r="G218" s="399" t="s">
        <v>2536</v>
      </c>
      <c r="H218" s="376"/>
      <c r="I218" s="376"/>
    </row>
    <row r="219" spans="2:9">
      <c r="B219" s="376" t="s">
        <v>438</v>
      </c>
      <c r="C219" s="376" t="e">
        <f>#REF!</f>
        <v>#REF!</v>
      </c>
      <c r="D219" s="376" t="e">
        <f>#REF!</f>
        <v>#REF!</v>
      </c>
      <c r="E219" s="415" t="s">
        <v>384</v>
      </c>
      <c r="F219" s="415" t="s">
        <v>505</v>
      </c>
      <c r="G219" s="399" t="s">
        <v>2536</v>
      </c>
      <c r="H219" s="376"/>
      <c r="I219" s="376"/>
    </row>
    <row r="220" spans="2:9">
      <c r="B220" s="376" t="s">
        <v>438</v>
      </c>
      <c r="C220" s="376" t="e">
        <f>#REF!</f>
        <v>#REF!</v>
      </c>
      <c r="D220" s="376" t="e">
        <f>#REF!</f>
        <v>#REF!</v>
      </c>
      <c r="E220" s="415" t="s">
        <v>384</v>
      </c>
      <c r="F220" s="415" t="s">
        <v>505</v>
      </c>
      <c r="G220" s="399" t="s">
        <v>2536</v>
      </c>
      <c r="H220" s="376"/>
      <c r="I220" s="376"/>
    </row>
    <row r="221" spans="2:9">
      <c r="B221" s="376" t="str">
        <f>IF(OR(G$200="*",LEFT(Commodities!B$50,1)="*"),"*R0,R1,R2,R3,R4,R5,R6","R0,R1,R2,R3,R4,R5,R6")</f>
        <v>R0,R1,R2,R3,R4,R5,R6</v>
      </c>
      <c r="C221" s="376" t="e">
        <f>#REF!</f>
        <v>#REF!</v>
      </c>
      <c r="D221" s="376" t="e">
        <f>#REF!</f>
        <v>#REF!</v>
      </c>
      <c r="E221" s="415" t="s">
        <v>384</v>
      </c>
      <c r="F221" s="415" t="s">
        <v>505</v>
      </c>
      <c r="G221" s="399" t="s">
        <v>2536</v>
      </c>
      <c r="H221" s="376"/>
      <c r="I221" s="376"/>
    </row>
    <row r="222" spans="2:9">
      <c r="B222" s="376" t="str">
        <f>IF(OR(G$200="*",LEFT(Commodities!B$50,1)="*"),"*R0,R1,R2,R3,R4,R5,R6","R0,R1,R2,R3,R4,R5,R6")</f>
        <v>R0,R1,R2,R3,R4,R5,R6</v>
      </c>
      <c r="C222" s="376" t="e">
        <f>#REF!</f>
        <v>#REF!</v>
      </c>
      <c r="D222" s="376" t="e">
        <f>#REF!</f>
        <v>#REF!</v>
      </c>
      <c r="E222" s="415" t="s">
        <v>384</v>
      </c>
      <c r="F222" s="415" t="s">
        <v>505</v>
      </c>
      <c r="G222" s="399" t="s">
        <v>2536</v>
      </c>
      <c r="H222" s="376"/>
      <c r="I222" s="376"/>
    </row>
    <row r="223" spans="2:9">
      <c r="B223" s="376" t="str">
        <f>IF(OR(G$200="*",LEFT(Commodities!B$50,1)="*"),"*R0,R1,R2,R3,R4,R5,R6","R0,R1,R2,R3,R4,R5,R6")</f>
        <v>R0,R1,R2,R3,R4,R5,R6</v>
      </c>
      <c r="C223" s="376" t="e">
        <f>#REF!</f>
        <v>#REF!</v>
      </c>
      <c r="D223" s="376" t="e">
        <f>#REF!</f>
        <v>#REF!</v>
      </c>
      <c r="E223" s="415" t="s">
        <v>384</v>
      </c>
      <c r="F223" s="415" t="s">
        <v>505</v>
      </c>
      <c r="G223" s="399" t="s">
        <v>2536</v>
      </c>
      <c r="H223" s="376"/>
      <c r="I223" s="376"/>
    </row>
    <row r="224" spans="2:9">
      <c r="B224" s="376" t="str">
        <f>IF(OR(G$200="*",LEFT(Commodities!B$50,1)="*"),"*R0,R1,R2,R3,R4,R5,R6","R0,R1,R2,R3,R4,R5,R6")</f>
        <v>R0,R1,R2,R3,R4,R5,R6</v>
      </c>
      <c r="C224" s="376" t="e">
        <f>#REF!</f>
        <v>#REF!</v>
      </c>
      <c r="D224" s="376" t="e">
        <f>#REF!</f>
        <v>#REF!</v>
      </c>
      <c r="E224" s="415" t="s">
        <v>384</v>
      </c>
      <c r="F224" s="415" t="s">
        <v>505</v>
      </c>
      <c r="G224" s="399" t="s">
        <v>2536</v>
      </c>
      <c r="H224" s="376"/>
      <c r="I224" s="376"/>
    </row>
    <row r="225" spans="2:9">
      <c r="B225" s="376" t="str">
        <f>IF(OR(G$200="*",LEFT(Commodities!B$50,1)="*"),"*R0,R1,R2,R3,R4,R5,R6","R0,R1,R2,R3,R4,R5,R6")</f>
        <v>R0,R1,R2,R3,R4,R5,R6</v>
      </c>
      <c r="C225" s="376" t="e">
        <f>#REF!</f>
        <v>#REF!</v>
      </c>
      <c r="D225" s="376" t="e">
        <f>#REF!</f>
        <v>#REF!</v>
      </c>
      <c r="E225" s="415" t="s">
        <v>384</v>
      </c>
      <c r="F225" s="415" t="s">
        <v>505</v>
      </c>
      <c r="G225" s="399" t="s">
        <v>2536</v>
      </c>
      <c r="H225" s="376"/>
      <c r="I225" s="376"/>
    </row>
    <row r="226" spans="2:9">
      <c r="B226" s="376" t="s">
        <v>438</v>
      </c>
      <c r="C226" s="376" t="e">
        <f>#REF!</f>
        <v>#REF!</v>
      </c>
      <c r="D226" s="376" t="e">
        <f>#REF!</f>
        <v>#REF!</v>
      </c>
      <c r="E226" s="415" t="s">
        <v>384</v>
      </c>
      <c r="F226" s="415" t="s">
        <v>505</v>
      </c>
      <c r="G226" s="399" t="s">
        <v>2536</v>
      </c>
      <c r="H226" s="376"/>
      <c r="I226" s="376"/>
    </row>
    <row r="227" spans="2:9">
      <c r="B227" s="376" t="s">
        <v>438</v>
      </c>
      <c r="C227" s="376" t="e">
        <f>#REF!</f>
        <v>#REF!</v>
      </c>
      <c r="D227" s="376" t="e">
        <f>#REF!</f>
        <v>#REF!</v>
      </c>
      <c r="E227" s="415" t="s">
        <v>384</v>
      </c>
      <c r="F227" s="415" t="s">
        <v>505</v>
      </c>
      <c r="G227" s="399" t="s">
        <v>2536</v>
      </c>
      <c r="H227" s="376"/>
      <c r="I227" s="376"/>
    </row>
    <row r="228" spans="2:9">
      <c r="B228" s="376" t="s">
        <v>438</v>
      </c>
      <c r="C228" s="376" t="e">
        <f>#REF!</f>
        <v>#REF!</v>
      </c>
      <c r="D228" s="376" t="e">
        <f>#REF!</f>
        <v>#REF!</v>
      </c>
      <c r="E228" s="415" t="s">
        <v>384</v>
      </c>
      <c r="F228" s="415" t="s">
        <v>505</v>
      </c>
      <c r="G228" s="399" t="s">
        <v>2536</v>
      </c>
      <c r="H228" s="376"/>
      <c r="I228" s="376"/>
    </row>
    <row r="229" spans="2:9">
      <c r="B229" s="376" t="s">
        <v>438</v>
      </c>
      <c r="C229" s="376" t="e">
        <f>#REF!</f>
        <v>#REF!</v>
      </c>
      <c r="D229" s="376" t="e">
        <f>#REF!</f>
        <v>#REF!</v>
      </c>
      <c r="E229" s="415" t="s">
        <v>384</v>
      </c>
      <c r="F229" s="415" t="s">
        <v>505</v>
      </c>
      <c r="G229" s="399" t="s">
        <v>2536</v>
      </c>
      <c r="H229" s="376"/>
      <c r="I229" s="376"/>
    </row>
    <row r="230" spans="2:9">
      <c r="B230" s="376" t="s">
        <v>438</v>
      </c>
      <c r="C230" s="376" t="e">
        <f>#REF!</f>
        <v>#REF!</v>
      </c>
      <c r="D230" s="376" t="e">
        <f>#REF!</f>
        <v>#REF!</v>
      </c>
      <c r="E230" s="415" t="s">
        <v>384</v>
      </c>
      <c r="F230" s="415" t="s">
        <v>505</v>
      </c>
      <c r="G230" s="399"/>
      <c r="H230" s="376"/>
      <c r="I230" s="376"/>
    </row>
    <row r="231" spans="2:9">
      <c r="B231" s="372" t="s">
        <v>575</v>
      </c>
      <c r="C231" s="378"/>
      <c r="D231" s="378"/>
      <c r="E231" s="414"/>
      <c r="F231" s="414"/>
      <c r="G231" s="372"/>
      <c r="H231" s="378"/>
      <c r="I231" s="378"/>
    </row>
    <row r="232" spans="2:9">
      <c r="B232" s="376" t="s">
        <v>438</v>
      </c>
      <c r="C232" s="376" t="str">
        <f>CONCATENATE("XI",Commodities!$C$93)&amp;"P1"</f>
        <v>XITRNJTFP1</v>
      </c>
      <c r="D232" s="376" t="str">
        <f>CONCATENATE("Delivery of Imported ",Commodities!$D$93)</f>
        <v>Delivery of Imported Jet Fuel</v>
      </c>
      <c r="E232" s="415" t="s">
        <v>384</v>
      </c>
      <c r="F232" s="415" t="s">
        <v>505</v>
      </c>
      <c r="G232" s="399" t="s">
        <v>2534</v>
      </c>
      <c r="H232" s="376"/>
      <c r="I232" s="376"/>
    </row>
    <row r="233" spans="2:9">
      <c r="B233" s="376" t="str">
        <f>IF(OR(G$231="*",LEFT(Commodities!B$87,1)="*"),"*",Commodities!B$87)</f>
        <v>R1,R2,R3,R4,R5,R6</v>
      </c>
      <c r="C233" s="376" t="str">
        <f>CONCATENATE("XI",Commodities!$C$87)&amp;"P1"</f>
        <v>XIRESDSLP1</v>
      </c>
      <c r="D233" s="376" t="str">
        <f>CONCATENATE("Delivery of Imported ",Commodities!$D$87)</f>
        <v>Delivery of Imported Distillate-Heating Oil No. 2 to the Residential Sector</v>
      </c>
      <c r="E233" s="415" t="s">
        <v>384</v>
      </c>
      <c r="F233" s="415" t="s">
        <v>505</v>
      </c>
      <c r="G233" s="399" t="s">
        <v>2534</v>
      </c>
      <c r="H233" s="376"/>
      <c r="I233" s="376"/>
    </row>
    <row r="234" spans="2:9">
      <c r="B234" s="376" t="str">
        <f>IF(OR(G$231="*",LEFT(Commodities!B$88,1)="*"),"*",Commodities!B$88)</f>
        <v>R1,R2,R3,R4,R5,R6</v>
      </c>
      <c r="C234" s="376" t="str">
        <f>CONCATENATE("XI",Commodities!$C$88)&amp;"P1"</f>
        <v>XICOMDSLP1</v>
      </c>
      <c r="D234" s="376" t="str">
        <f>CONCATENATE("Delivery of Imported ",Commodities!$D$88)</f>
        <v>Delivery of Imported Distillate-Heating Oil No. 2 to the Commercial Sector</v>
      </c>
      <c r="E234" s="415" t="s">
        <v>384</v>
      </c>
      <c r="F234" s="415" t="s">
        <v>505</v>
      </c>
      <c r="G234" s="399" t="s">
        <v>2534</v>
      </c>
      <c r="H234" s="376"/>
      <c r="I234" s="376"/>
    </row>
    <row r="235" spans="2:9">
      <c r="B235" s="376" t="str">
        <f>IF(OR(G$231="*",LEFT(Commodities!B$89,1)="*"),"*",Commodities!B$89)</f>
        <v>*</v>
      </c>
      <c r="C235" s="376" t="str">
        <f>CONCATENATE("XI",Commodities!$C$89)&amp;"P1"</f>
        <v>XIINDDSLP1</v>
      </c>
      <c r="D235" s="376" t="str">
        <f>CONCATENATE("Delivery of Imported ",Commodities!$D$89)</f>
        <v>Delivery of Imported Distillate-Heating Oil No. 2 to the Indistrial Sector</v>
      </c>
      <c r="E235" s="415" t="s">
        <v>384</v>
      </c>
      <c r="F235" s="415" t="s">
        <v>505</v>
      </c>
      <c r="G235" s="399" t="s">
        <v>2534</v>
      </c>
      <c r="H235" s="376"/>
      <c r="I235" s="376"/>
    </row>
    <row r="236" spans="2:9">
      <c r="B236" s="376" t="s">
        <v>2474</v>
      </c>
      <c r="C236" s="376" t="str">
        <f>CONCATENATE("XI",Commodities!$C$90)&amp;"P1"</f>
        <v>XIELCDSLP1</v>
      </c>
      <c r="D236" s="376" t="str">
        <f>CONCATENATE("Delivery of Imported ",Commodities!$D$90)</f>
        <v>Delivery of Imported Distillate-Heating Oil No. 2 to the Electricity Sector</v>
      </c>
      <c r="E236" s="415" t="s">
        <v>384</v>
      </c>
      <c r="F236" s="415" t="s">
        <v>505</v>
      </c>
      <c r="G236" s="399" t="s">
        <v>2534</v>
      </c>
      <c r="H236" s="376"/>
      <c r="I236" s="376"/>
    </row>
    <row r="237" spans="2:9">
      <c r="B237" s="372" t="s">
        <v>581</v>
      </c>
      <c r="C237" s="372"/>
      <c r="D237" s="372"/>
      <c r="E237" s="372"/>
      <c r="F237" s="372"/>
      <c r="G237" s="372" t="s">
        <v>2534</v>
      </c>
      <c r="H237" s="372"/>
      <c r="I237" s="372"/>
    </row>
    <row r="238" spans="2:9">
      <c r="B238" s="376" t="str">
        <f>IF(OR(LEFT(Commodities!B$85,1)="*",LEFT(Commodities!B$71,1)="*"),"*","R1,R2,R3,R4,R5,R6")</f>
        <v>R1,R2,R3,R4,R5,R6</v>
      </c>
      <c r="C238" s="376" t="str">
        <f>CONCATENATE("XP",Commodities!C$85,OILTrade!$N$56)</f>
        <v>XPTRGSLCR1</v>
      </c>
      <c r="D238" s="376" t="str">
        <f>CONCATENATE("Delivery of Pipeline Traded ",Commodities!C$85," from ", OILTrade!$N$56)</f>
        <v>Delivery of Pipeline Traded TRGSLC from R1</v>
      </c>
      <c r="E238" s="415" t="s">
        <v>384</v>
      </c>
      <c r="F238" s="415" t="s">
        <v>505</v>
      </c>
      <c r="G238" s="399" t="s">
        <v>2534</v>
      </c>
      <c r="H238" s="393"/>
      <c r="I238" s="376"/>
    </row>
    <row r="239" spans="2:9">
      <c r="B239" s="376" t="str">
        <f>IF(OR(LEFT(Commodities!B$86,1)="*",LEFT(Commodities!B$72,1)="*"),"*","R1,R2,R3,R4,R5,R6")</f>
        <v>R1,R2,R3,R4,R5,R6</v>
      </c>
      <c r="C239" s="376" t="str">
        <f>CONCATENATE("XP",Commodities!C$86,OILTrade!$N$56)</f>
        <v>XPTRGSLRR1</v>
      </c>
      <c r="D239" s="376" t="str">
        <f>CONCATENATE("Delivery of Pipeline Traded ",Commodities!C$86," from ", OILTrade!$N$56)</f>
        <v>Delivery of Pipeline Traded TRGSLR from R1</v>
      </c>
      <c r="E239" s="415" t="s">
        <v>384</v>
      </c>
      <c r="F239" s="415" t="s">
        <v>505</v>
      </c>
      <c r="G239" s="399" t="s">
        <v>2534</v>
      </c>
      <c r="H239" s="393"/>
      <c r="I239" s="376"/>
    </row>
    <row r="240" spans="2:9">
      <c r="B240" s="376" t="str">
        <f>IF(OR(LEFT(Commodities!B$87,1)="*",LEFT(Commodities!B$73,1)="*"),"*","R1,R2,R3,R4,R5,R6")</f>
        <v>R1,R2,R3,R4,R5,R6</v>
      </c>
      <c r="C240" s="376" t="str">
        <f>CONCATENATE("XP",Commodities!C$87,OILTrade!$N$56)</f>
        <v>XPRESDSLR1</v>
      </c>
      <c r="D240" s="376" t="str">
        <f>CONCATENATE("Delivery of Pipeline Traded ",Commodities!C$87," from ", OILTrade!$N$56)</f>
        <v>Delivery of Pipeline Traded RESDSL from R1</v>
      </c>
      <c r="E240" s="415" t="s">
        <v>384</v>
      </c>
      <c r="F240" s="415" t="s">
        <v>505</v>
      </c>
      <c r="G240" s="399" t="s">
        <v>2534</v>
      </c>
      <c r="H240" s="393"/>
      <c r="I240" s="376"/>
    </row>
    <row r="241" spans="2:9">
      <c r="B241" s="376" t="str">
        <f>IF(OR(LEFT(Commodities!B$88,1)="*",LEFT(Commodities!B$73,1)="*"),"*","R1,R2,R3,R4,R5,R6")</f>
        <v>R1,R2,R3,R4,R5,R6</v>
      </c>
      <c r="C241" s="376" t="str">
        <f>CONCATENATE("XP",Commodities!C$88,OILTrade!$N$56)</f>
        <v>XPCOMDSLR1</v>
      </c>
      <c r="D241" s="376" t="str">
        <f>CONCATENATE("Delivery of Pipeline Traded ",Commodities!C$88," from ", OILTrade!$N$56)</f>
        <v>Delivery of Pipeline Traded COMDSL from R1</v>
      </c>
      <c r="E241" s="415" t="s">
        <v>384</v>
      </c>
      <c r="F241" s="415" t="s">
        <v>505</v>
      </c>
      <c r="G241" s="399" t="s">
        <v>2534</v>
      </c>
      <c r="H241" s="393"/>
      <c r="I241" s="376"/>
    </row>
    <row r="242" spans="2:9">
      <c r="B242" s="376" t="str">
        <f>IF(OR(LEFT(Commodities!B$89,1)="*",LEFT(Commodities!B$73,1)="*"),"*","R1,R2,R3,R4,R5,R6")</f>
        <v>*</v>
      </c>
      <c r="C242" s="376" t="str">
        <f>CONCATENATE("XP",Commodities!C$89,OILTrade!$N$56)</f>
        <v>XPINDDSLR1</v>
      </c>
      <c r="D242" s="376" t="str">
        <f>CONCATENATE("Delivery of Pipeline Traded ",Commodities!C$89," from ", OILTrade!$N$56)</f>
        <v>Delivery of Pipeline Traded INDDSL from R1</v>
      </c>
      <c r="E242" s="415" t="s">
        <v>384</v>
      </c>
      <c r="F242" s="415" t="s">
        <v>505</v>
      </c>
      <c r="G242" s="399" t="s">
        <v>2534</v>
      </c>
      <c r="H242" s="393"/>
      <c r="I242" s="376"/>
    </row>
    <row r="243" spans="2:9">
      <c r="B243" s="376" t="str">
        <f>IF(OR(LEFT(Commodities!B$90,1)="*",LEFT(Commodities!B$73,1)="*"),"*","R1,R2,R3,R4,R5,R6")</f>
        <v>R1,R2,R3,R4,R5,R6</v>
      </c>
      <c r="C243" s="376" t="str">
        <f>CONCATENATE("XP",Commodities!C$90,OILTrade!$N$56)</f>
        <v>XPELCDSLR1</v>
      </c>
      <c r="D243" s="376" t="str">
        <f>CONCATENATE("Delivery of Pipeline Traded ",Commodities!C$90," from ", OILTrade!$N$56)</f>
        <v>Delivery of Pipeline Traded ELCDSL from R1</v>
      </c>
      <c r="E243" s="415" t="s">
        <v>384</v>
      </c>
      <c r="F243" s="415" t="s">
        <v>505</v>
      </c>
      <c r="G243" s="399" t="s">
        <v>2534</v>
      </c>
      <c r="H243" s="393"/>
      <c r="I243" s="376"/>
    </row>
    <row r="244" spans="2:9">
      <c r="B244" s="376" t="str">
        <f>IF(OR(LEFT(Commodities!B$91,1)="*",LEFT(Commodities!B$74,1)="*"),"*","R1,R2,R3,R4,R5,R6")</f>
        <v>R1,R2,R3,R4,R5,R6</v>
      </c>
      <c r="C244" s="376" t="str">
        <f>CONCATENATE("XP",Commodities!C$91,OILTrade!$N$56)</f>
        <v>XPTRDSLLR1</v>
      </c>
      <c r="D244" s="376" t="str">
        <f>CONCATENATE("Delivery of Pipeline Traded ",Commodities!C$91," from ", OILTrade!$N$56)</f>
        <v>Delivery of Pipeline Traded TRDSLL from R1</v>
      </c>
      <c r="E244" s="415" t="s">
        <v>384</v>
      </c>
      <c r="F244" s="415" t="s">
        <v>505</v>
      </c>
      <c r="G244" s="399" t="s">
        <v>2534</v>
      </c>
      <c r="H244" s="393"/>
      <c r="I244" s="376"/>
    </row>
    <row r="245" spans="2:9">
      <c r="B245" s="376" t="str">
        <f>IF(OR(LEFT(Commodities!B$92,1)="*",LEFT(Commodities!B$75,1)="*"),"*","R1,R2,R3,R4,R5,R6")</f>
        <v>R1,R2,R3,R4,R5,R6</v>
      </c>
      <c r="C245" s="376" t="str">
        <f>CONCATENATE("XP",Commodities!C$92,OILTrade!$N$56)</f>
        <v>XPTRDSLUR1</v>
      </c>
      <c r="D245" s="376" t="str">
        <f>CONCATENATE("Delivery of Pipeline Traded ",Commodities!C$92," from ", OILTrade!$N$56)</f>
        <v>Delivery of Pipeline Traded TRDSLU from R1</v>
      </c>
      <c r="E245" s="415" t="s">
        <v>384</v>
      </c>
      <c r="F245" s="415" t="s">
        <v>505</v>
      </c>
      <c r="G245" s="399" t="s">
        <v>2534</v>
      </c>
      <c r="H245" s="393"/>
      <c r="I245" s="376"/>
    </row>
    <row r="246" spans="2:9">
      <c r="B246" s="376" t="str">
        <f>IF(OR(LEFT(Commodities!B$93,1)="*",LEFT(Commodities!B$76,1)="*"),"*","R1,R2,R3,R4,R5,R6")</f>
        <v>R1,R2,R3,R4,R5,R6</v>
      </c>
      <c r="C246" s="376" t="str">
        <f>CONCATENATE("XP",Commodities!C$93,OILTrade!$N$56)</f>
        <v>XPTRNJTFR1</v>
      </c>
      <c r="D246" s="376" t="str">
        <f>CONCATENATE("Delivery of Pipeline Traded ",Commodities!C$93," from ", OILTrade!$N$56)</f>
        <v>Delivery of Pipeline Traded TRNJTF from R1</v>
      </c>
      <c r="E246" s="415" t="s">
        <v>384</v>
      </c>
      <c r="F246" s="415" t="s">
        <v>505</v>
      </c>
      <c r="G246" s="399" t="s">
        <v>2534</v>
      </c>
      <c r="H246" s="393"/>
      <c r="I246" s="376"/>
    </row>
    <row r="247" spans="2:9">
      <c r="B247" s="376" t="str">
        <f>IF(OR(LEFT(Commodities!B$94,1)="*",LEFT(Commodities!B$77,1)="*"),"*","R1,R2,R3,R4,R5,R6")</f>
        <v>*</v>
      </c>
      <c r="C247" s="376" t="str">
        <f>CONCATENATE("XP",Commodities!C$94,OILTrade!$N$56)</f>
        <v>XPRESKERR1</v>
      </c>
      <c r="D247" s="376" t="str">
        <f>CONCATENATE("Delivery of Pipeline Traded ",Commodities!C$94," from ", OILTrade!$N$56)</f>
        <v>Delivery of Pipeline Traded RESKER from R1</v>
      </c>
      <c r="E247" s="415" t="s">
        <v>384</v>
      </c>
      <c r="F247" s="415" t="s">
        <v>505</v>
      </c>
      <c r="G247" s="399" t="s">
        <v>2534</v>
      </c>
      <c r="H247" s="393"/>
      <c r="I247" s="376"/>
    </row>
    <row r="248" spans="2:9">
      <c r="B248" s="376" t="str">
        <f>IF(OR(LEFT(Commodities!B$95,1)="*",LEFT(Commodities!B$77,1)="*"),"*","R1,R2,R3,R4,R5,R6")</f>
        <v>*</v>
      </c>
      <c r="C248" s="376" t="str">
        <f>CONCATENATE("XP",Commodities!C$95,OILTrade!$N$56)</f>
        <v>XPCOMKERR1</v>
      </c>
      <c r="D248" s="376" t="str">
        <f>CONCATENATE("Delivery of Pipeline Traded ",Commodities!C$95," from ", OILTrade!$N$56)</f>
        <v>Delivery of Pipeline Traded COMKER from R1</v>
      </c>
      <c r="E248" s="415" t="s">
        <v>384</v>
      </c>
      <c r="F248" s="415" t="s">
        <v>505</v>
      </c>
      <c r="G248" s="399" t="s">
        <v>2534</v>
      </c>
      <c r="H248" s="393"/>
      <c r="I248" s="376"/>
    </row>
    <row r="249" spans="2:9">
      <c r="B249" s="376" t="str">
        <f>IF(OR(LEFT(Commodities!B$96,1)="*",LEFT(Commodities!B$77,1)="*"),"*","R1,R2,R3,R4,R5,R6")</f>
        <v>*</v>
      </c>
      <c r="C249" s="376" t="str">
        <f>CONCATENATE("XP",Commodities!C$96,OILTrade!$N$56)</f>
        <v>XPINDKERR1</v>
      </c>
      <c r="D249" s="376" t="str">
        <f>CONCATENATE("Delivery of Pipeline Traded ",Commodities!C$96," from ", OILTrade!$N$56)</f>
        <v>Delivery of Pipeline Traded INDKER from R1</v>
      </c>
      <c r="E249" s="415" t="s">
        <v>384</v>
      </c>
      <c r="F249" s="415" t="s">
        <v>505</v>
      </c>
      <c r="G249" s="399" t="s">
        <v>2534</v>
      </c>
      <c r="H249" s="393"/>
      <c r="I249" s="376"/>
    </row>
    <row r="250" spans="2:9">
      <c r="B250" s="376" t="str">
        <f>IF(OR(LEFT(Commodities!B$97,1)="*",LEFT(Commodities!B$78,1)="*"),"*","R1,R2,R3,R4,R5,R6")</f>
        <v>*</v>
      </c>
      <c r="C250" s="376" t="str">
        <f>CONCATENATE("XP",Commodities!C$97,OILTrade!$N$56)</f>
        <v>XPRESLPGR1</v>
      </c>
      <c r="D250" s="376" t="str">
        <f>CONCATENATE("Delivery of Pipeline Traded ",Commodities!C$97," from ", OILTrade!$N$56)</f>
        <v>Delivery of Pipeline Traded RESLPG from R1</v>
      </c>
      <c r="E250" s="415" t="s">
        <v>384</v>
      </c>
      <c r="F250" s="415" t="s">
        <v>505</v>
      </c>
      <c r="G250" s="399" t="s">
        <v>2534</v>
      </c>
      <c r="H250" s="393"/>
      <c r="I250" s="376"/>
    </row>
    <row r="251" spans="2:9">
      <c r="B251" s="376" t="str">
        <f>IF(OR(LEFT(Commodities!B$98,1)="*",LEFT(Commodities!B$78,1)="*"),"*","R1,R2,R3,R4,R5,R6")</f>
        <v>*</v>
      </c>
      <c r="C251" s="376" t="str">
        <f>CONCATENATE("XP",Commodities!C$98,OILTrade!$N$56)</f>
        <v>XPCOMLPGR1</v>
      </c>
      <c r="D251" s="376" t="str">
        <f>CONCATENATE("Delivery of Pipeline Traded ",Commodities!C$98," from ", OILTrade!$N$56)</f>
        <v>Delivery of Pipeline Traded COMLPG from R1</v>
      </c>
      <c r="E251" s="415" t="s">
        <v>384</v>
      </c>
      <c r="F251" s="415" t="s">
        <v>505</v>
      </c>
      <c r="G251" s="399" t="s">
        <v>2534</v>
      </c>
      <c r="H251" s="393"/>
      <c r="I251" s="376"/>
    </row>
    <row r="252" spans="2:9">
      <c r="B252" s="376" t="str">
        <f>IF(OR(LEFT(Commodities!B$99,1)="*",LEFT(Commodities!B$78,1)="*"),"*","R1,R2,R3,R4,R5,R6")</f>
        <v>*</v>
      </c>
      <c r="C252" s="376" t="str">
        <f>CONCATENATE("XP",Commodities!C$99,OILTrade!$N$56)</f>
        <v>XPINDLPGR1</v>
      </c>
      <c r="D252" s="376" t="str">
        <f>CONCATENATE("Delivery of Pipeline Traded ",Commodities!C$99," from ", OILTrade!$N$56)</f>
        <v>Delivery of Pipeline Traded INDLPG from R1</v>
      </c>
      <c r="E252" s="415" t="s">
        <v>384</v>
      </c>
      <c r="F252" s="415" t="s">
        <v>505</v>
      </c>
      <c r="G252" s="399" t="s">
        <v>2534</v>
      </c>
      <c r="H252" s="393"/>
      <c r="I252" s="376"/>
    </row>
    <row r="253" spans="2:9">
      <c r="B253" s="376" t="str">
        <f>IF(OR(LEFT(Commodities!B$100,1)="*",LEFT(Commodities!B$78,1)="*"),"*","R1,R2,R3,R4,R5,R6")</f>
        <v>*</v>
      </c>
      <c r="C253" s="376" t="str">
        <f>CONCATENATE("XP",Commodities!C$100,OILTrade!$N$56)</f>
        <v>XPTRNLPGR1</v>
      </c>
      <c r="D253" s="376" t="str">
        <f>CONCATENATE("Delivery of Pipeline Traded ",Commodities!C$100," from ", OILTrade!$N$56)</f>
        <v>Delivery of Pipeline Traded TRNLPG from R1</v>
      </c>
      <c r="E253" s="415" t="s">
        <v>384</v>
      </c>
      <c r="F253" s="415" t="s">
        <v>505</v>
      </c>
      <c r="G253" s="399" t="s">
        <v>2534</v>
      </c>
      <c r="H253" s="393"/>
      <c r="I253" s="376"/>
    </row>
    <row r="254" spans="2:9">
      <c r="B254" s="376" t="str">
        <f>IF(OR(LEFT(Commodities!B$101,1)="*",LEFT(Commodities!B$79,1)="*"),"*","R1,R2,R3,R4,R5,R6")</f>
        <v>*</v>
      </c>
      <c r="C254" s="376" t="str">
        <f>CONCATENATE("XP",Commodities!C$101,OILTrade!$N$56)</f>
        <v>XPTRNMTHR1</v>
      </c>
      <c r="D254" s="376" t="str">
        <f>CONCATENATE("Delivery of Pipeline Traded ",Commodities!C$101," from ", OILTrade!$N$56)</f>
        <v>Delivery of Pipeline Traded TRNMTH from R1</v>
      </c>
      <c r="E254" s="415" t="s">
        <v>384</v>
      </c>
      <c r="F254" s="415" t="s">
        <v>505</v>
      </c>
      <c r="G254" s="399" t="s">
        <v>2534</v>
      </c>
      <c r="H254" s="393"/>
      <c r="I254" s="376"/>
    </row>
    <row r="255" spans="2:9">
      <c r="B255" s="376" t="str">
        <f>IF(OR(LEFT(Commodities!B$102,1)="*",LEFT(Commodities!B$80,1)="*"),"*","R1,R2,R3,R4,R5,R6")</f>
        <v>*</v>
      </c>
      <c r="C255" s="376" t="str">
        <f>CONCATENATE("XP",Commodities!C$102,OILTrade!$N$56)</f>
        <v>XPINDPFSR1</v>
      </c>
      <c r="D255" s="376" t="str">
        <f>CONCATENATE("Delivery of Pipeline Traded ",Commodities!C$102," from ", OILTrade!$N$56)</f>
        <v>Delivery of Pipeline Traded INDPFS from R1</v>
      </c>
      <c r="E255" s="415" t="s">
        <v>384</v>
      </c>
      <c r="F255" s="415" t="s">
        <v>505</v>
      </c>
      <c r="G255" s="399" t="s">
        <v>2534</v>
      </c>
      <c r="H255" s="393"/>
      <c r="I255" s="376"/>
    </row>
    <row r="256" spans="2:9">
      <c r="B256" s="376" t="str">
        <f>IF(OR(LEFT(Commodities!B$103,1)="*",LEFT(Commodities!B$82,1)="*"),"*","R1,R2,R3,R4,R5,R6")</f>
        <v>*</v>
      </c>
      <c r="C256" s="376" t="str">
        <f>CONCATENATE("XP",Commodities!C$103,OILTrade!$N$56)</f>
        <v>XPRESRFLR1</v>
      </c>
      <c r="D256" s="376" t="str">
        <f>CONCATENATE("Delivery of Pipeline Traded ",Commodities!C$103," from ", OILTrade!$N$56)</f>
        <v>Delivery of Pipeline Traded RESRFL from R1</v>
      </c>
      <c r="E256" s="415" t="s">
        <v>384</v>
      </c>
      <c r="F256" s="415" t="s">
        <v>505</v>
      </c>
      <c r="G256" s="399" t="s">
        <v>2534</v>
      </c>
      <c r="H256" s="393"/>
      <c r="I256" s="376"/>
    </row>
    <row r="257" spans="2:9">
      <c r="B257" s="376" t="str">
        <f>IF(OR(LEFT(Commodities!B$104,1)="*",LEFT(Commodities!B$82,1)="*"),"*","R1,R2,R3,R4,R5,R6")</f>
        <v>*</v>
      </c>
      <c r="C257" s="376" t="str">
        <f>CONCATENATE("XP",Commodities!C$104,OILTrade!$N$56)</f>
        <v>XPCOMRFLR1</v>
      </c>
      <c r="D257" s="376" t="str">
        <f>CONCATENATE("Delivery of Pipeline Traded ",Commodities!C$104," from ", OILTrade!$N$56)</f>
        <v>Delivery of Pipeline Traded COMRFL from R1</v>
      </c>
      <c r="E257" s="415" t="s">
        <v>384</v>
      </c>
      <c r="F257" s="415" t="s">
        <v>505</v>
      </c>
      <c r="G257" s="399" t="s">
        <v>2534</v>
      </c>
      <c r="H257" s="393"/>
      <c r="I257" s="376"/>
    </row>
    <row r="258" spans="2:9">
      <c r="B258" s="376" t="str">
        <f>IF(OR(LEFT(Commodities!B$105,1)="*",LEFT(Commodities!B$82,1)="*"),"*","R1,R2,R3,R4,R5,R6")</f>
        <v>R1,R2,R3,R4,R5,R6</v>
      </c>
      <c r="C258" s="376" t="str">
        <f>CONCATENATE("XP",Commodities!C$105,OILTrade!$N$56)</f>
        <v>XPINDRFLR1</v>
      </c>
      <c r="D258" s="376" t="str">
        <f>CONCATENATE("Delivery of Pipeline Traded ",Commodities!C$105," from ", OILTrade!$N$56)</f>
        <v>Delivery of Pipeline Traded INDRFL from R1</v>
      </c>
      <c r="E258" s="415" t="s">
        <v>384</v>
      </c>
      <c r="F258" s="415" t="s">
        <v>505</v>
      </c>
      <c r="G258" s="399" t="s">
        <v>2534</v>
      </c>
      <c r="H258" s="393"/>
      <c r="I258" s="376"/>
    </row>
    <row r="259" spans="2:9">
      <c r="B259" s="376" t="str">
        <f>IF(OR(LEFT(Commodities!B$106,1)="*",LEFT(Commodities!B$82,1)="*"),"*","R1,R2,R3,R4,R5,R6")</f>
        <v>*</v>
      </c>
      <c r="C259" s="376" t="str">
        <f>CONCATENATE("XP",Commodities!C$106,OILTrade!$N$56)</f>
        <v>XPELCRFLR1</v>
      </c>
      <c r="D259" s="376" t="str">
        <f>CONCATENATE("Delivery of Pipeline Traded ",Commodities!C$106," from ", OILTrade!$N$56)</f>
        <v>Delivery of Pipeline Traded ELCRFL from R1</v>
      </c>
      <c r="E259" s="415" t="s">
        <v>384</v>
      </c>
      <c r="F259" s="415" t="s">
        <v>505</v>
      </c>
      <c r="G259" s="399" t="s">
        <v>2534</v>
      </c>
      <c r="H259" s="393"/>
      <c r="I259" s="376"/>
    </row>
    <row r="260" spans="2:9">
      <c r="B260" s="376" t="str">
        <f>IF(OR(LEFT(Commodities!B$107,1)="*",LEFT(Commodities!B$81,1)="*"),"*","R1,R2,R3,R4,R5,R6")</f>
        <v>*</v>
      </c>
      <c r="C260" s="376" t="str">
        <f>CONCATENATE("XP",Commodities!C$107,OILTrade!$N$56)</f>
        <v>XPTRNRFHR1</v>
      </c>
      <c r="D260" s="376" t="str">
        <f>CONCATENATE("Delivery of Pipeline Traded ",Commodities!C$107," from ", OILTrade!$N$56)</f>
        <v>Delivery of Pipeline Traded TRNRFH from R1</v>
      </c>
      <c r="E260" s="415" t="s">
        <v>384</v>
      </c>
      <c r="F260" s="415" t="s">
        <v>505</v>
      </c>
      <c r="G260" s="399" t="s">
        <v>2534</v>
      </c>
      <c r="H260" s="393"/>
      <c r="I260" s="376"/>
    </row>
    <row r="261" spans="2:9">
      <c r="B261" s="376" t="str">
        <f>IF(OR(LEFT(Commodities!B$108,1)="*",LEFT(Commodities!B$81,1)="*"),"*","R1,R2,R3,R4,R5,R6")</f>
        <v>*</v>
      </c>
      <c r="C261" s="376" t="str">
        <f>CONCATENATE("XP",Commodities!C$108,OILTrade!$N$56)</f>
        <v>XPELCRFHR1</v>
      </c>
      <c r="D261" s="376" t="str">
        <f>CONCATENATE("Delivery of Pipeline Traded ",Commodities!C$108," from ", OILTrade!$N$56)</f>
        <v>Delivery of Pipeline Traded ELCRFH from R1</v>
      </c>
      <c r="E261" s="415" t="s">
        <v>384</v>
      </c>
      <c r="F261" s="415" t="s">
        <v>505</v>
      </c>
      <c r="G261" s="399" t="s">
        <v>2534</v>
      </c>
      <c r="H261" s="393"/>
      <c r="I261" s="376"/>
    </row>
    <row r="262" spans="2:9">
      <c r="B262" s="376" t="str">
        <f>IF(OR(LEFT(Commodities!B$109,1)="*",LEFT(Commodities!B$83,1)="*"),"*","R1,R2,R3,R4,R5,R6")</f>
        <v>*</v>
      </c>
      <c r="C262" s="376" t="str">
        <f>CONCATENATE("XP",Commodities!C$109,OILTrade!$N$56)</f>
        <v>XPINDASPR1</v>
      </c>
      <c r="D262" s="376" t="str">
        <f>CONCATENATE("Delivery of Pipeline Traded ",Commodities!C$109," from ", OILTrade!$N$56)</f>
        <v>Delivery of Pipeline Traded INDASP from R1</v>
      </c>
      <c r="E262" s="415" t="s">
        <v>384</v>
      </c>
      <c r="F262" s="415" t="s">
        <v>505</v>
      </c>
      <c r="G262" s="399" t="s">
        <v>2534</v>
      </c>
      <c r="H262" s="393"/>
      <c r="I262" s="376"/>
    </row>
    <row r="263" spans="2:9">
      <c r="B263" s="376" t="str">
        <f>IF(LEFT(Commodities!B117,1)="*","*","R4,R6")</f>
        <v>*</v>
      </c>
      <c r="C263" s="376" t="str">
        <f>CONCATENATE("XP",Commodities!C$85,OILTrade!$N$58)</f>
        <v>XPTRGSLCR3</v>
      </c>
      <c r="D263" s="376" t="str">
        <f>CONCATENATE("Delivery of Pipeline Traded ",Commodities!C$85," from ", OILTrade!$N$58)</f>
        <v>Delivery of Pipeline Traded TRGSLC from R3</v>
      </c>
      <c r="E263" s="415" t="s">
        <v>384</v>
      </c>
      <c r="F263" s="415" t="s">
        <v>505</v>
      </c>
      <c r="G263" s="399" t="s">
        <v>2534</v>
      </c>
      <c r="H263" s="393"/>
      <c r="I263" s="376"/>
    </row>
    <row r="264" spans="2:9">
      <c r="B264" s="376" t="str">
        <f>IF(LEFT(Commodities!B118,1)="*","*","R4,R6")</f>
        <v>*</v>
      </c>
      <c r="C264" s="376" t="str">
        <f>CONCATENATE("XP",Commodities!C$86,OILTrade!$N$58)</f>
        <v>XPTRGSLRR3</v>
      </c>
      <c r="D264" s="376" t="str">
        <f>CONCATENATE("Delivery of Pipeline Traded ",Commodities!C$86," from ", OILTrade!$N$58)</f>
        <v>Delivery of Pipeline Traded TRGSLR from R3</v>
      </c>
      <c r="E264" s="415" t="s">
        <v>384</v>
      </c>
      <c r="F264" s="415" t="s">
        <v>505</v>
      </c>
      <c r="G264" s="399" t="s">
        <v>2534</v>
      </c>
      <c r="H264" s="393"/>
      <c r="I264" s="376"/>
    </row>
    <row r="265" spans="2:9">
      <c r="B265" s="376" t="str">
        <f>IF(LEFT(Commodities!B$119,1)="*","*","R4,R6")</f>
        <v>*</v>
      </c>
      <c r="C265" s="376" t="str">
        <f>CONCATENATE("XP",Commodities!C$87,OILTrade!$N$58)</f>
        <v>XPRESDSLR3</v>
      </c>
      <c r="D265" s="376" t="str">
        <f>CONCATENATE("Delivery of Pipeline Traded ",Commodities!C$87," from ", OILTrade!$N$58)</f>
        <v>Delivery of Pipeline Traded RESDSL from R3</v>
      </c>
      <c r="E265" s="415" t="s">
        <v>384</v>
      </c>
      <c r="F265" s="415" t="s">
        <v>505</v>
      </c>
      <c r="G265" s="399" t="s">
        <v>2534</v>
      </c>
      <c r="H265" s="393"/>
      <c r="I265" s="376"/>
    </row>
    <row r="266" spans="2:9">
      <c r="B266" s="376" t="str">
        <f>IF(LEFT(Commodities!B$119,1)="*","*","R4,R6")</f>
        <v>*</v>
      </c>
      <c r="C266" s="376" t="str">
        <f>CONCATENATE("XP",Commodities!C$88,OILTrade!$N$58)</f>
        <v>XPCOMDSLR3</v>
      </c>
      <c r="D266" s="376" t="str">
        <f>CONCATENATE("Delivery of Pipeline Traded ",Commodities!C$88," from ", OILTrade!$N$58)</f>
        <v>Delivery of Pipeline Traded COMDSL from R3</v>
      </c>
      <c r="E266" s="415" t="s">
        <v>384</v>
      </c>
      <c r="F266" s="415" t="s">
        <v>505</v>
      </c>
      <c r="G266" s="399" t="s">
        <v>2534</v>
      </c>
      <c r="H266" s="393"/>
      <c r="I266" s="376"/>
    </row>
    <row r="267" spans="2:9">
      <c r="B267" s="376" t="str">
        <f>IF(LEFT(Commodities!B$119,1)="*","*","R4,R6")</f>
        <v>*</v>
      </c>
      <c r="C267" s="376" t="str">
        <f>CONCATENATE("XP",Commodities!C$89,OILTrade!$N$58)</f>
        <v>XPINDDSLR3</v>
      </c>
      <c r="D267" s="376" t="str">
        <f>CONCATENATE("Delivery of Pipeline Traded ",Commodities!C$89," from ", OILTrade!$N$58)</f>
        <v>Delivery of Pipeline Traded INDDSL from R3</v>
      </c>
      <c r="E267" s="415" t="s">
        <v>384</v>
      </c>
      <c r="F267" s="415" t="s">
        <v>505</v>
      </c>
      <c r="G267" s="399" t="s">
        <v>2534</v>
      </c>
      <c r="H267" s="393"/>
      <c r="I267" s="376"/>
    </row>
    <row r="268" spans="2:9">
      <c r="B268" s="376" t="str">
        <f>IF(LEFT(Commodities!B$119,1)="*","*","R4,R6")</f>
        <v>*</v>
      </c>
      <c r="C268" s="376" t="str">
        <f>CONCATENATE("XP",Commodities!C$90,OILTrade!$N$58)</f>
        <v>XPELCDSLR3</v>
      </c>
      <c r="D268" s="376" t="str">
        <f>CONCATENATE("Delivery of Pipeline Traded ",Commodities!C$90," from ", OILTrade!$N$58)</f>
        <v>Delivery of Pipeline Traded ELCDSL from R3</v>
      </c>
      <c r="E268" s="415" t="s">
        <v>384</v>
      </c>
      <c r="F268" s="415" t="s">
        <v>505</v>
      </c>
      <c r="G268" s="399" t="s">
        <v>2534</v>
      </c>
      <c r="H268" s="393"/>
      <c r="I268" s="376"/>
    </row>
    <row r="269" spans="2:9">
      <c r="B269" s="376" t="str">
        <f>IF(OR(LEFT(Commodities!B$120,1)="*",LEFT(Commodities!B$51,1)="*"),"*","R4,R6")</f>
        <v>*</v>
      </c>
      <c r="C269" s="376" t="str">
        <f>CONCATENATE("XP",Commodities!C$91,OILTrade!$N$58)</f>
        <v>XPTRDSLLR3</v>
      </c>
      <c r="D269" s="376" t="str">
        <f>CONCATENATE("Delivery of Pipeline Traded ",Commodities!C$91," from ", OILTrade!$N$58)</f>
        <v>Delivery of Pipeline Traded TRDSLL from R3</v>
      </c>
      <c r="E269" s="415" t="s">
        <v>384</v>
      </c>
      <c r="F269" s="415" t="s">
        <v>505</v>
      </c>
      <c r="G269" s="399" t="s">
        <v>2534</v>
      </c>
      <c r="H269" s="393"/>
      <c r="I269" s="376"/>
    </row>
    <row r="270" spans="2:9">
      <c r="B270" s="376" t="str">
        <f>IF(OR(LEFT(Commodities!B$121,1)="*",LEFT(Commodities!B$52,1)="*"),"*","R4,R6")</f>
        <v>*</v>
      </c>
      <c r="C270" s="376" t="str">
        <f>CONCATENATE("XP",Commodities!C$92,OILTrade!$N$58)</f>
        <v>XPTRDSLUR3</v>
      </c>
      <c r="D270" s="376" t="str">
        <f>CONCATENATE("Delivery of Pipeline Traded ",Commodities!C$92," from ", OILTrade!$N$58)</f>
        <v>Delivery of Pipeline Traded TRDSLU from R3</v>
      </c>
      <c r="E270" s="415" t="s">
        <v>384</v>
      </c>
      <c r="F270" s="415" t="s">
        <v>505</v>
      </c>
      <c r="G270" s="399" t="s">
        <v>2534</v>
      </c>
      <c r="H270" s="393"/>
      <c r="I270" s="376"/>
    </row>
    <row r="271" spans="2:9">
      <c r="B271" s="376" t="s">
        <v>588</v>
      </c>
      <c r="C271" s="376" t="str">
        <f>CONCATENATE("XP",Commodities!C$93,OILTrade!$N$58)</f>
        <v>XPTRNJTFR3</v>
      </c>
      <c r="D271" s="376" t="str">
        <f>CONCATENATE("Delivery of Pipeline Traded ",Commodities!C$93," from ", OILTrade!$N$58)</f>
        <v>Delivery of Pipeline Traded TRNJTF from R3</v>
      </c>
      <c r="E271" s="415" t="s">
        <v>384</v>
      </c>
      <c r="F271" s="415" t="s">
        <v>505</v>
      </c>
      <c r="G271" s="399" t="s">
        <v>2534</v>
      </c>
      <c r="H271" s="393"/>
      <c r="I271" s="376"/>
    </row>
    <row r="272" spans="2:9">
      <c r="B272" s="376" t="str">
        <f>IF(LEFT(Commodities!B$94,1)="*","*","R4,R6")</f>
        <v>*</v>
      </c>
      <c r="C272" s="376" t="str">
        <f>CONCATENATE("XP",Commodities!C$94,OILTrade!$N$58)</f>
        <v>XPRESKERR3</v>
      </c>
      <c r="D272" s="376" t="str">
        <f>CONCATENATE("Delivery of Pipeline Traded ",Commodities!C$94," from ", OILTrade!$N$58)</f>
        <v>Delivery of Pipeline Traded RESKER from R3</v>
      </c>
      <c r="E272" s="415" t="s">
        <v>384</v>
      </c>
      <c r="F272" s="415" t="s">
        <v>505</v>
      </c>
      <c r="G272" s="399" t="s">
        <v>2534</v>
      </c>
      <c r="H272" s="393"/>
      <c r="I272" s="376"/>
    </row>
    <row r="273" spans="2:9">
      <c r="B273" s="376" t="str">
        <f>IF(LEFT(Commodities!B$95,1)="*","*","R4,R6")</f>
        <v>*</v>
      </c>
      <c r="C273" s="376" t="str">
        <f>CONCATENATE("XP",Commodities!C$95,OILTrade!$N$58)</f>
        <v>XPCOMKERR3</v>
      </c>
      <c r="D273" s="376" t="str">
        <f>CONCATENATE("Delivery of Pipeline Traded ",Commodities!C$95," from ", OILTrade!$N$58)</f>
        <v>Delivery of Pipeline Traded COMKER from R3</v>
      </c>
      <c r="E273" s="415" t="s">
        <v>384</v>
      </c>
      <c r="F273" s="415" t="s">
        <v>505</v>
      </c>
      <c r="G273" s="399" t="s">
        <v>2534</v>
      </c>
      <c r="H273" s="393"/>
      <c r="I273" s="376"/>
    </row>
    <row r="274" spans="2:9">
      <c r="B274" s="376" t="str">
        <f>IF(LEFT(Commodities!B$96,1)="*","*","R4,R6")</f>
        <v>*</v>
      </c>
      <c r="C274" s="376" t="str">
        <f>CONCATENATE("XP",Commodities!C$96,OILTrade!$N$58)</f>
        <v>XPINDKERR3</v>
      </c>
      <c r="D274" s="376" t="str">
        <f>CONCATENATE("Delivery of Pipeline Traded ",Commodities!C$96," from ", OILTrade!$N$58)</f>
        <v>Delivery of Pipeline Traded INDKER from R3</v>
      </c>
      <c r="E274" s="415" t="s">
        <v>384</v>
      </c>
      <c r="F274" s="415" t="s">
        <v>505</v>
      </c>
      <c r="G274" s="399" t="s">
        <v>2534</v>
      </c>
      <c r="H274" s="393"/>
      <c r="I274" s="376"/>
    </row>
    <row r="275" spans="2:9">
      <c r="B275" s="376" t="str">
        <f>IF(LEFT(Commodities!B$97,1)="*","*","R4,R6")</f>
        <v>*</v>
      </c>
      <c r="C275" s="376" t="str">
        <f>CONCATENATE("XP",Commodities!C$97,OILTrade!$N$58)</f>
        <v>XPRESLPGR3</v>
      </c>
      <c r="D275" s="376" t="str">
        <f>CONCATENATE("Delivery of Pipeline Traded ",Commodities!C$97," from ", OILTrade!$N$58)</f>
        <v>Delivery of Pipeline Traded RESLPG from R3</v>
      </c>
      <c r="E275" s="415" t="s">
        <v>384</v>
      </c>
      <c r="F275" s="415" t="s">
        <v>505</v>
      </c>
      <c r="G275" s="399" t="s">
        <v>2534</v>
      </c>
      <c r="H275" s="393"/>
      <c r="I275" s="376"/>
    </row>
    <row r="276" spans="2:9">
      <c r="B276" s="376" t="str">
        <f>IF(LEFT(Commodities!B$98,1)="*","*","R4,R6")</f>
        <v>*</v>
      </c>
      <c r="C276" s="376" t="str">
        <f>CONCATENATE("XP",Commodities!C$98,OILTrade!$N$58)</f>
        <v>XPCOMLPGR3</v>
      </c>
      <c r="D276" s="376" t="str">
        <f>CONCATENATE("Delivery of Pipeline Traded ",Commodities!C$98," from ", OILTrade!$N$58)</f>
        <v>Delivery of Pipeline Traded COMLPG from R3</v>
      </c>
      <c r="E276" s="415" t="s">
        <v>384</v>
      </c>
      <c r="F276" s="415" t="s">
        <v>505</v>
      </c>
      <c r="G276" s="399" t="s">
        <v>2534</v>
      </c>
      <c r="H276" s="393"/>
      <c r="I276" s="376"/>
    </row>
    <row r="277" spans="2:9">
      <c r="B277" s="376" t="str">
        <f>IF(LEFT(Commodities!B$99,1)="*","*","R4,R6")</f>
        <v>*</v>
      </c>
      <c r="C277" s="376" t="str">
        <f>CONCATENATE("XP",Commodities!C$99,OILTrade!$N$58)</f>
        <v>XPINDLPGR3</v>
      </c>
      <c r="D277" s="376" t="str">
        <f>CONCATENATE("Delivery of Pipeline Traded ",Commodities!C$99," from ", OILTrade!$N$58)</f>
        <v>Delivery of Pipeline Traded INDLPG from R3</v>
      </c>
      <c r="E277" s="415" t="s">
        <v>384</v>
      </c>
      <c r="F277" s="415" t="s">
        <v>505</v>
      </c>
      <c r="G277" s="399" t="s">
        <v>2534</v>
      </c>
      <c r="H277" s="393"/>
      <c r="I277" s="376"/>
    </row>
    <row r="278" spans="2:9">
      <c r="B278" s="376" t="str">
        <f>IF(LEFT(Commodities!B$100,1)="*","*","R4,R6")</f>
        <v>*</v>
      </c>
      <c r="C278" s="376" t="str">
        <f>CONCATENATE("XP",Commodities!C$100,OILTrade!$N$58)</f>
        <v>XPTRNLPGR3</v>
      </c>
      <c r="D278" s="376" t="str">
        <f>CONCATENATE("Delivery of Pipeline Traded ",Commodities!C$100," from ", OILTrade!$N$58)</f>
        <v>Delivery of Pipeline Traded TRNLPG from R3</v>
      </c>
      <c r="E278" s="415" t="s">
        <v>384</v>
      </c>
      <c r="F278" s="415" t="s">
        <v>505</v>
      </c>
      <c r="G278" s="399" t="s">
        <v>2534</v>
      </c>
      <c r="H278" s="393"/>
      <c r="I278" s="376"/>
    </row>
    <row r="279" spans="2:9">
      <c r="B279" s="376" t="str">
        <f>IF(LEFT(Commodities!B$101,1)="*","*","R4,R6")</f>
        <v>*</v>
      </c>
      <c r="C279" s="376" t="str">
        <f>CONCATENATE("XP",Commodities!C$101,OILTrade!$N$58)</f>
        <v>XPTRNMTHR3</v>
      </c>
      <c r="D279" s="376" t="str">
        <f>CONCATENATE("Delivery of Pipeline Traded ",Commodities!C$101," from ", OILTrade!$N$58)</f>
        <v>Delivery of Pipeline Traded TRNMTH from R3</v>
      </c>
      <c r="E279" s="415" t="s">
        <v>384</v>
      </c>
      <c r="F279" s="415" t="s">
        <v>505</v>
      </c>
      <c r="G279" s="399" t="s">
        <v>2534</v>
      </c>
      <c r="H279" s="393"/>
      <c r="I279" s="376"/>
    </row>
    <row r="280" spans="2:9">
      <c r="B280" s="376" t="str">
        <f>IF(LEFT(Commodities!B$102,1)="*","*","R4,R6")</f>
        <v>*</v>
      </c>
      <c r="C280" s="376" t="str">
        <f>CONCATENATE("XP",Commodities!C$102,OILTrade!$N$58)</f>
        <v>XPINDPFSR3</v>
      </c>
      <c r="D280" s="376" t="str">
        <f>CONCATENATE("Delivery of Pipeline Traded ",Commodities!C$102," from ", OILTrade!$N$58)</f>
        <v>Delivery of Pipeline Traded INDPFS from R3</v>
      </c>
      <c r="E280" s="415" t="s">
        <v>384</v>
      </c>
      <c r="F280" s="415" t="s">
        <v>505</v>
      </c>
      <c r="G280" s="399" t="s">
        <v>2534</v>
      </c>
      <c r="H280" s="393"/>
      <c r="I280" s="376"/>
    </row>
    <row r="281" spans="2:9">
      <c r="B281" s="376" t="str">
        <f>IF(LEFT(Commodities!B$128,1)="*","*","R4,R6")</f>
        <v>*</v>
      </c>
      <c r="C281" s="376" t="str">
        <f>CONCATENATE("XP",Commodities!C$103,OILTrade!$N$58)</f>
        <v>XPRESRFLR3</v>
      </c>
      <c r="D281" s="376" t="str">
        <f>CONCATENATE("Delivery of Pipeline Traded ",Commodities!C$103," from ", OILTrade!$N$58)</f>
        <v>Delivery of Pipeline Traded RESRFL from R3</v>
      </c>
      <c r="E281" s="415" t="s">
        <v>384</v>
      </c>
      <c r="F281" s="415" t="s">
        <v>505</v>
      </c>
      <c r="G281" s="399" t="s">
        <v>2534</v>
      </c>
      <c r="H281" s="393"/>
      <c r="I281" s="376"/>
    </row>
    <row r="282" spans="2:9">
      <c r="B282" s="376" t="str">
        <f>IF(LEFT(Commodities!B$128,1)="*","*","R4,R6")</f>
        <v>*</v>
      </c>
      <c r="C282" s="376" t="str">
        <f>CONCATENATE("XP",Commodities!C$104,OILTrade!$N$58)</f>
        <v>XPCOMRFLR3</v>
      </c>
      <c r="D282" s="376" t="str">
        <f>CONCATENATE("Delivery of Pipeline Traded ",Commodities!C$104," from ", OILTrade!$N$58)</f>
        <v>Delivery of Pipeline Traded COMRFL from R3</v>
      </c>
      <c r="E282" s="415" t="s">
        <v>384</v>
      </c>
      <c r="F282" s="415" t="s">
        <v>505</v>
      </c>
      <c r="G282" s="399" t="s">
        <v>2534</v>
      </c>
      <c r="H282" s="393"/>
      <c r="I282" s="376"/>
    </row>
    <row r="283" spans="2:9">
      <c r="B283" s="376" t="str">
        <f>IF(LEFT(Commodities!B$128,1)="*","*","R4,R6")</f>
        <v>*</v>
      </c>
      <c r="C283" s="376" t="str">
        <f>CONCATENATE("XP",Commodities!C$105,OILTrade!$N$58)</f>
        <v>XPINDRFLR3</v>
      </c>
      <c r="D283" s="376" t="str">
        <f>CONCATENATE("Delivery of Pipeline Traded ",Commodities!C$105," from ", OILTrade!$N$58)</f>
        <v>Delivery of Pipeline Traded INDRFL from R3</v>
      </c>
      <c r="E283" s="415" t="s">
        <v>384</v>
      </c>
      <c r="F283" s="415" t="s">
        <v>505</v>
      </c>
      <c r="G283" s="399" t="s">
        <v>2534</v>
      </c>
      <c r="H283" s="393"/>
      <c r="I283" s="376"/>
    </row>
    <row r="284" spans="2:9">
      <c r="B284" s="376" t="str">
        <f>IF(LEFT(Commodities!B$128,1)="*","*","R4,R6")</f>
        <v>*</v>
      </c>
      <c r="C284" s="376" t="str">
        <f>CONCATENATE("XP",Commodities!C$106,OILTrade!$N$58)</f>
        <v>XPELCRFLR3</v>
      </c>
      <c r="D284" s="376" t="str">
        <f>CONCATENATE("Delivery of Pipeline Traded ",Commodities!C$106," from ", OILTrade!$N$58)</f>
        <v>Delivery of Pipeline Traded ELCRFL from R3</v>
      </c>
      <c r="E284" s="415" t="s">
        <v>384</v>
      </c>
      <c r="F284" s="415" t="s">
        <v>505</v>
      </c>
      <c r="G284" s="399" t="s">
        <v>2534</v>
      </c>
      <c r="H284" s="393"/>
      <c r="I284" s="376"/>
    </row>
    <row r="285" spans="2:9">
      <c r="B285" s="376" t="str">
        <f>IF(LEFT(Commodities!B$107,1)="*","*","R4,R6")</f>
        <v>*</v>
      </c>
      <c r="C285" s="376" t="str">
        <f>CONCATENATE("XP",Commodities!C$107,OILTrade!$N$58)</f>
        <v>XPTRNRFHR3</v>
      </c>
      <c r="D285" s="376" t="str">
        <f>CONCATENATE("Delivery of Pipeline Traded ",Commodities!C$107," from ", OILTrade!$N$58)</f>
        <v>Delivery of Pipeline Traded TRNRFH from R3</v>
      </c>
      <c r="E285" s="415" t="s">
        <v>384</v>
      </c>
      <c r="F285" s="415" t="s">
        <v>505</v>
      </c>
      <c r="G285" s="399" t="s">
        <v>2534</v>
      </c>
      <c r="H285" s="393"/>
      <c r="I285" s="376"/>
    </row>
    <row r="286" spans="2:9">
      <c r="B286" s="376" t="str">
        <f>IF(LEFT(Commodities!B$108,1)="*","*","R4,R6")</f>
        <v>*</v>
      </c>
      <c r="C286" s="376" t="str">
        <f>CONCATENATE("XP",Commodities!C$108,OILTrade!$N$58)</f>
        <v>XPELCRFHR3</v>
      </c>
      <c r="D286" s="376" t="str">
        <f>CONCATENATE("Delivery of Pipeline Traded ",Commodities!C$108," from ", OILTrade!$N$58)</f>
        <v>Delivery of Pipeline Traded ELCRFH from R3</v>
      </c>
      <c r="E286" s="415" t="s">
        <v>384</v>
      </c>
      <c r="F286" s="415" t="s">
        <v>505</v>
      </c>
      <c r="G286" s="399" t="s">
        <v>2534</v>
      </c>
      <c r="H286" s="393"/>
      <c r="I286" s="376"/>
    </row>
    <row r="287" spans="2:9">
      <c r="B287" s="376" t="str">
        <f>IF(LEFT(Commodities!B$109,1)="*","*","R4,R6")</f>
        <v>*</v>
      </c>
      <c r="C287" s="376" t="str">
        <f>CONCATENATE("XP",Commodities!C$109,OILTrade!$N$58)</f>
        <v>XPINDASPR3</v>
      </c>
      <c r="D287" s="376" t="str">
        <f>CONCATENATE("Delivery of Pipeline Traded ",Commodities!C$109," from ", OILTrade!$N$58)</f>
        <v>Delivery of Pipeline Traded INDASP from R3</v>
      </c>
      <c r="E287" s="415" t="s">
        <v>384</v>
      </c>
      <c r="F287" s="415" t="s">
        <v>505</v>
      </c>
      <c r="G287" s="399" t="s">
        <v>2534</v>
      </c>
      <c r="H287" s="393"/>
      <c r="I287" s="376"/>
    </row>
    <row r="288" spans="2:9">
      <c r="B288" s="376" t="str">
        <f>IF(OR(LEFT(Commodities!B130,1)="*",LEFT(Commodities!B$48,1)="*"),"*","R2,R3,R5,R6")</f>
        <v>*</v>
      </c>
      <c r="C288" s="376" t="str">
        <f>CONCATENATE("XP",Commodities!C85,OILTrade!$N$59)</f>
        <v>XPTRGSLCR4</v>
      </c>
      <c r="D288" s="376" t="str">
        <f>CONCATENATE("Delivery of Pipeline Traded ",Commodities!C85," from ", OILTrade!$N$59)</f>
        <v>Delivery of Pipeline Traded TRGSLC from R4</v>
      </c>
      <c r="E288" s="415" t="s">
        <v>384</v>
      </c>
      <c r="F288" s="415" t="s">
        <v>505</v>
      </c>
      <c r="G288" s="399" t="s">
        <v>2534</v>
      </c>
      <c r="H288" s="376"/>
      <c r="I288" s="376"/>
    </row>
    <row r="289" spans="2:9">
      <c r="B289" s="376" t="str">
        <f>IF(OR(LEFT(Commodities!B131,1)="*",LEFT(Commodities!B$49,1)="*"),"*","R2,R3,R5,R6")</f>
        <v>*</v>
      </c>
      <c r="C289" s="376" t="str">
        <f>CONCATENATE("XP",Commodities!C86,OILTrade!$N$59)</f>
        <v>XPTRGSLRR4</v>
      </c>
      <c r="D289" s="376" t="str">
        <f>CONCATENATE("Delivery of Pipeline Traded ",Commodities!C86," from ", OILTrade!$N$59)</f>
        <v>Delivery of Pipeline Traded TRGSLR from R4</v>
      </c>
      <c r="E289" s="415" t="s">
        <v>384</v>
      </c>
      <c r="F289" s="415" t="s">
        <v>505</v>
      </c>
      <c r="G289" s="399" t="s">
        <v>2534</v>
      </c>
      <c r="H289" s="376"/>
      <c r="I289" s="376"/>
    </row>
    <row r="290" spans="2:9">
      <c r="B290" s="376" t="str">
        <f>IF(LEFT(Commodities!B$130,1)="*","*","R2,R3,R5,R6")</f>
        <v>*</v>
      </c>
      <c r="C290" s="376" t="str">
        <f>CONCATENATE("XP",Commodities!C87,OILTrade!$N$59)</f>
        <v>XPRESDSLR4</v>
      </c>
      <c r="D290" s="376" t="str">
        <f>CONCATENATE("Delivery of Pipeline Traded ",Commodities!C87," from ", OILTrade!$N$59)</f>
        <v>Delivery of Pipeline Traded RESDSL from R4</v>
      </c>
      <c r="E290" s="415" t="s">
        <v>384</v>
      </c>
      <c r="F290" s="415" t="s">
        <v>505</v>
      </c>
      <c r="G290" s="399" t="s">
        <v>2534</v>
      </c>
      <c r="H290" s="376"/>
      <c r="I290" s="376"/>
    </row>
    <row r="291" spans="2:9">
      <c r="B291" s="376" t="str">
        <f>IF(LEFT(Commodities!B$130,1)="*","*","R2,R3,R5,R6")</f>
        <v>*</v>
      </c>
      <c r="C291" s="376" t="str">
        <f>CONCATENATE("XP",Commodities!C88,OILTrade!$N$59)</f>
        <v>XPCOMDSLR4</v>
      </c>
      <c r="D291" s="376" t="str">
        <f>CONCATENATE("Delivery of Pipeline Traded ",Commodities!C88," from ", OILTrade!$N$59)</f>
        <v>Delivery of Pipeline Traded COMDSL from R4</v>
      </c>
      <c r="E291" s="415" t="s">
        <v>384</v>
      </c>
      <c r="F291" s="415" t="s">
        <v>505</v>
      </c>
      <c r="G291" s="399" t="s">
        <v>2534</v>
      </c>
      <c r="H291" s="376"/>
      <c r="I291" s="376"/>
    </row>
    <row r="292" spans="2:9">
      <c r="B292" s="376" t="str">
        <f>IF(LEFT(Commodities!B$130,1)="*","*","R2,R3,R5,R6")</f>
        <v>*</v>
      </c>
      <c r="C292" s="376" t="str">
        <f>CONCATENATE("XP",Commodities!C89,OILTrade!$N$59)</f>
        <v>XPINDDSLR4</v>
      </c>
      <c r="D292" s="376" t="str">
        <f>CONCATENATE("Delivery of Pipeline Traded ",Commodities!C89," from ", OILTrade!$N$59)</f>
        <v>Delivery of Pipeline Traded INDDSL from R4</v>
      </c>
      <c r="E292" s="415" t="s">
        <v>384</v>
      </c>
      <c r="F292" s="415" t="s">
        <v>505</v>
      </c>
      <c r="G292" s="399" t="s">
        <v>2534</v>
      </c>
      <c r="H292" s="376"/>
      <c r="I292" s="376"/>
    </row>
    <row r="293" spans="2:9">
      <c r="B293" s="376" t="str">
        <f>IF(LEFT(Commodities!B$130,1)="*","*","R2,R3,R5,R6")</f>
        <v>*</v>
      </c>
      <c r="C293" s="376" t="str">
        <f>CONCATENATE("XP",Commodities!C90,OILTrade!$N$59)</f>
        <v>XPELCDSLR4</v>
      </c>
      <c r="D293" s="376" t="str">
        <f>CONCATENATE("Delivery of Pipeline Traded ",Commodities!C90," from ", OILTrade!$N$59)</f>
        <v>Delivery of Pipeline Traded ELCDSL from R4</v>
      </c>
      <c r="E293" s="415" t="s">
        <v>384</v>
      </c>
      <c r="F293" s="415" t="s">
        <v>505</v>
      </c>
      <c r="G293" s="399" t="s">
        <v>2534</v>
      </c>
      <c r="H293" s="376"/>
      <c r="I293" s="376"/>
    </row>
    <row r="294" spans="2:9">
      <c r="B294" s="376" t="str">
        <f>IF(OR(LEFT(Commodities!B133,1)="*",LEFT(Commodities!B$51,1)="*"),"*","R2,R3,R5,R6")</f>
        <v>*</v>
      </c>
      <c r="C294" s="376" t="str">
        <f>CONCATENATE("XP",Commodities!C91,OILTrade!$N$59)</f>
        <v>XPTRDSLLR4</v>
      </c>
      <c r="D294" s="376" t="str">
        <f>CONCATENATE("Delivery of Pipeline Traded ",Commodities!C91," from ", OILTrade!$N$59)</f>
        <v>Delivery of Pipeline Traded TRDSLL from R4</v>
      </c>
      <c r="E294" s="415" t="s">
        <v>384</v>
      </c>
      <c r="F294" s="415" t="s">
        <v>505</v>
      </c>
      <c r="G294" s="399" t="s">
        <v>2534</v>
      </c>
      <c r="H294" s="376"/>
      <c r="I294" s="376"/>
    </row>
    <row r="295" spans="2:9">
      <c r="B295" s="376" t="str">
        <f>IF(OR(LEFT(Commodities!B134,1)="*",LEFT(Commodities!B$52,1)="*"),"*","R2,R3,R5,R6")</f>
        <v>*</v>
      </c>
      <c r="C295" s="376" t="str">
        <f>CONCATENATE("XP",Commodities!C92,OILTrade!$N$59)</f>
        <v>XPTRDSLUR4</v>
      </c>
      <c r="D295" s="376" t="str">
        <f>CONCATENATE("Delivery of Pipeline Traded ",Commodities!C92," from ", OILTrade!$N$59)</f>
        <v>Delivery of Pipeline Traded TRDSLU from R4</v>
      </c>
      <c r="E295" s="415" t="s">
        <v>384</v>
      </c>
      <c r="F295" s="415" t="s">
        <v>505</v>
      </c>
      <c r="G295" s="399" t="s">
        <v>2534</v>
      </c>
      <c r="H295" s="376"/>
      <c r="I295" s="376"/>
    </row>
    <row r="296" spans="2:9">
      <c r="B296" s="376" t="s">
        <v>588</v>
      </c>
      <c r="C296" s="376" t="str">
        <f>CONCATENATE("XP",Commodities!C93,OILTrade!$N$59)</f>
        <v>XPTRNJTFR4</v>
      </c>
      <c r="D296" s="376" t="str">
        <f>CONCATENATE("Delivery of Pipeline Traded ",Commodities!C93," from ", OILTrade!$N$59)</f>
        <v>Delivery of Pipeline Traded TRNJTF from R4</v>
      </c>
      <c r="E296" s="415" t="s">
        <v>384</v>
      </c>
      <c r="F296" s="415" t="s">
        <v>505</v>
      </c>
      <c r="G296" s="399" t="s">
        <v>2534</v>
      </c>
      <c r="H296" s="376"/>
      <c r="I296" s="376"/>
    </row>
    <row r="297" spans="2:9">
      <c r="B297" s="376" t="str">
        <f>IF(LEFT(Commodities!B$94,1)="*","*","R2,R3,R5,R6")</f>
        <v>*</v>
      </c>
      <c r="C297" s="376" t="str">
        <f>CONCATENATE("XP",Commodities!C94,OILTrade!$N$59)</f>
        <v>XPRESKERR4</v>
      </c>
      <c r="D297" s="376" t="str">
        <f>CONCATENATE("Delivery of Pipeline Traded ",Commodities!C94," from ", OILTrade!$N$59)</f>
        <v>Delivery of Pipeline Traded RESKER from R4</v>
      </c>
      <c r="E297" s="415" t="s">
        <v>384</v>
      </c>
      <c r="F297" s="415" t="s">
        <v>505</v>
      </c>
      <c r="G297" s="399" t="s">
        <v>2534</v>
      </c>
      <c r="H297" s="376"/>
      <c r="I297" s="376"/>
    </row>
    <row r="298" spans="2:9">
      <c r="B298" s="376" t="str">
        <f>IF(LEFT(Commodities!B$95,1)="*","*","R2,R3,R5,R6")</f>
        <v>*</v>
      </c>
      <c r="C298" s="376" t="str">
        <f>CONCATENATE("XP",Commodities!C95,OILTrade!$N$59)</f>
        <v>XPCOMKERR4</v>
      </c>
      <c r="D298" s="376" t="str">
        <f>CONCATENATE("Delivery of Pipeline Traded ",Commodities!C95," from ", OILTrade!$N$59)</f>
        <v>Delivery of Pipeline Traded COMKER from R4</v>
      </c>
      <c r="E298" s="415" t="s">
        <v>384</v>
      </c>
      <c r="F298" s="415" t="s">
        <v>505</v>
      </c>
      <c r="G298" s="399" t="s">
        <v>2534</v>
      </c>
      <c r="H298" s="376"/>
      <c r="I298" s="376"/>
    </row>
    <row r="299" spans="2:9">
      <c r="B299" s="376" t="str">
        <f>IF(LEFT(Commodities!B$96,1)="*","*","R2,R3,R5,R6")</f>
        <v>*</v>
      </c>
      <c r="C299" s="376" t="str">
        <f>CONCATENATE("XP",Commodities!C96,OILTrade!$N$59)</f>
        <v>XPINDKERR4</v>
      </c>
      <c r="D299" s="376" t="str">
        <f>CONCATENATE("Delivery of Pipeline Traded ",Commodities!C96," from ", OILTrade!$N$59)</f>
        <v>Delivery of Pipeline Traded INDKER from R4</v>
      </c>
      <c r="E299" s="415" t="s">
        <v>384</v>
      </c>
      <c r="F299" s="415" t="s">
        <v>505</v>
      </c>
      <c r="G299" s="399" t="s">
        <v>2534</v>
      </c>
      <c r="H299" s="376"/>
      <c r="I299" s="376"/>
    </row>
    <row r="300" spans="2:9">
      <c r="B300" s="376" t="str">
        <f>IF(LEFT(Commodities!B$97,1)="*","*","R2,R3,R5,R6")</f>
        <v>*</v>
      </c>
      <c r="C300" s="376" t="str">
        <f>CONCATENATE("XP",Commodities!C97,OILTrade!$N$59)</f>
        <v>XPRESLPGR4</v>
      </c>
      <c r="D300" s="376" t="str">
        <f>CONCATENATE("Delivery of Pipeline Traded ",Commodities!C97," from ", OILTrade!$N$59)</f>
        <v>Delivery of Pipeline Traded RESLPG from R4</v>
      </c>
      <c r="E300" s="415" t="s">
        <v>384</v>
      </c>
      <c r="F300" s="415" t="s">
        <v>505</v>
      </c>
      <c r="G300" s="399" t="s">
        <v>2534</v>
      </c>
      <c r="H300" s="376"/>
      <c r="I300" s="376"/>
    </row>
    <row r="301" spans="2:9">
      <c r="B301" s="376" t="str">
        <f>IF(LEFT(Commodities!B$98,1)="*","*","R2,R3,R5,R6")</f>
        <v>*</v>
      </c>
      <c r="C301" s="376" t="str">
        <f>CONCATENATE("XP",Commodities!C98,OILTrade!$N$59)</f>
        <v>XPCOMLPGR4</v>
      </c>
      <c r="D301" s="376" t="str">
        <f>CONCATENATE("Delivery of Pipeline Traded ",Commodities!C98," from ", OILTrade!$N$59)</f>
        <v>Delivery of Pipeline Traded COMLPG from R4</v>
      </c>
      <c r="E301" s="415" t="s">
        <v>384</v>
      </c>
      <c r="F301" s="415" t="s">
        <v>505</v>
      </c>
      <c r="G301" s="399" t="s">
        <v>2534</v>
      </c>
      <c r="H301" s="376"/>
      <c r="I301" s="376"/>
    </row>
    <row r="302" spans="2:9">
      <c r="B302" s="376" t="str">
        <f>IF(LEFT(Commodities!B$99,1)="*","*","R2,R3,R5,R6")</f>
        <v>*</v>
      </c>
      <c r="C302" s="376" t="str">
        <f>CONCATENATE("XP",Commodities!C99,OILTrade!$N$59)</f>
        <v>XPINDLPGR4</v>
      </c>
      <c r="D302" s="376" t="str">
        <f>CONCATENATE("Delivery of Pipeline Traded ",Commodities!C99," from ", OILTrade!$N$59)</f>
        <v>Delivery of Pipeline Traded INDLPG from R4</v>
      </c>
      <c r="E302" s="415" t="s">
        <v>384</v>
      </c>
      <c r="F302" s="415" t="s">
        <v>505</v>
      </c>
      <c r="G302" s="399" t="s">
        <v>2534</v>
      </c>
      <c r="H302" s="376"/>
      <c r="I302" s="376"/>
    </row>
    <row r="303" spans="2:9">
      <c r="B303" s="376" t="str">
        <f>IF(LEFT(Commodities!B$100,1)="*","*","R2,R3,R5,R6")</f>
        <v>*</v>
      </c>
      <c r="C303" s="376" t="str">
        <f>CONCATENATE("XP",Commodities!C100,OILTrade!$N$59)</f>
        <v>XPTRNLPGR4</v>
      </c>
      <c r="D303" s="376" t="str">
        <f>CONCATENATE("Delivery of Pipeline Traded ",Commodities!C100," from ", OILTrade!$N$59)</f>
        <v>Delivery of Pipeline Traded TRNLPG from R4</v>
      </c>
      <c r="E303" s="415" t="s">
        <v>384</v>
      </c>
      <c r="F303" s="415" t="s">
        <v>505</v>
      </c>
      <c r="G303" s="399" t="s">
        <v>2534</v>
      </c>
      <c r="H303" s="376"/>
      <c r="I303" s="376"/>
    </row>
    <row r="304" spans="2:9">
      <c r="B304" s="376" t="str">
        <f>IF(LEFT(Commodities!B$101,1)="*","*","R2,R3,R5,R6")</f>
        <v>*</v>
      </c>
      <c r="C304" s="376" t="str">
        <f>CONCATENATE("XP",Commodities!C101,OILTrade!$N$59)</f>
        <v>XPTRNMTHR4</v>
      </c>
      <c r="D304" s="376" t="str">
        <f>CONCATENATE("Delivery of Pipeline Traded ",Commodities!C101," from ", OILTrade!$N$59)</f>
        <v>Delivery of Pipeline Traded TRNMTH from R4</v>
      </c>
      <c r="E304" s="415" t="s">
        <v>384</v>
      </c>
      <c r="F304" s="415" t="s">
        <v>505</v>
      </c>
      <c r="G304" s="399" t="s">
        <v>2534</v>
      </c>
      <c r="H304" s="376"/>
      <c r="I304" s="376"/>
    </row>
    <row r="305" spans="2:9">
      <c r="B305" s="376" t="str">
        <f>IF(LEFT(Commodities!B$102,1)="*","*","R2,R3,R5,R6")</f>
        <v>*</v>
      </c>
      <c r="C305" s="376" t="str">
        <f>CONCATENATE("XP",Commodities!C102,OILTrade!$N$59)</f>
        <v>XPINDPFSR4</v>
      </c>
      <c r="D305" s="376" t="str">
        <f>CONCATENATE("Delivery of Pipeline Traded ",Commodities!C102," from ", OILTrade!$N$59)</f>
        <v>Delivery of Pipeline Traded INDPFS from R4</v>
      </c>
      <c r="E305" s="415" t="s">
        <v>384</v>
      </c>
      <c r="F305" s="415" t="s">
        <v>505</v>
      </c>
      <c r="G305" s="399" t="s">
        <v>2534</v>
      </c>
      <c r="H305" s="376"/>
      <c r="I305" s="376"/>
    </row>
    <row r="306" spans="2:9">
      <c r="B306" s="376" t="str">
        <f>IF(LEFT(Commodities!B$141,1)="*","*","R2,R3,R5,R6")</f>
        <v>*</v>
      </c>
      <c r="C306" s="376" t="str">
        <f>CONCATENATE("XP",Commodities!C103,OILTrade!$N$59)</f>
        <v>XPRESRFLR4</v>
      </c>
      <c r="D306" s="376" t="str">
        <f>CONCATENATE("Delivery of Pipeline Traded ",Commodities!C103," from ", OILTrade!$N$59)</f>
        <v>Delivery of Pipeline Traded RESRFL from R4</v>
      </c>
      <c r="E306" s="415" t="s">
        <v>384</v>
      </c>
      <c r="F306" s="415" t="s">
        <v>505</v>
      </c>
      <c r="G306" s="399" t="s">
        <v>2534</v>
      </c>
      <c r="H306" s="376"/>
      <c r="I306" s="376"/>
    </row>
    <row r="307" spans="2:9">
      <c r="B307" s="376" t="str">
        <f>IF(LEFT(Commodities!B$141,1)="*","*","R2,R3,R5,R6")</f>
        <v>*</v>
      </c>
      <c r="C307" s="376" t="str">
        <f>CONCATENATE("XP",Commodities!C104,OILTrade!$N$59)</f>
        <v>XPCOMRFLR4</v>
      </c>
      <c r="D307" s="376" t="str">
        <f>CONCATENATE("Delivery of Pipeline Traded ",Commodities!C104," from ", OILTrade!$N$59)</f>
        <v>Delivery of Pipeline Traded COMRFL from R4</v>
      </c>
      <c r="E307" s="415" t="s">
        <v>384</v>
      </c>
      <c r="F307" s="415" t="s">
        <v>505</v>
      </c>
      <c r="G307" s="399" t="s">
        <v>2534</v>
      </c>
      <c r="H307" s="376"/>
      <c r="I307" s="376"/>
    </row>
    <row r="308" spans="2:9">
      <c r="B308" s="376" t="str">
        <f>IF(LEFT(Commodities!B$141,1)="*","*","R2,R3,R5,R6")</f>
        <v>*</v>
      </c>
      <c r="C308" s="376" t="str">
        <f>CONCATENATE("XP",Commodities!C105,OILTrade!$N$59)</f>
        <v>XPINDRFLR4</v>
      </c>
      <c r="D308" s="376" t="str">
        <f>CONCATENATE("Delivery of Pipeline Traded ",Commodities!C105," from ", OILTrade!$N$59)</f>
        <v>Delivery of Pipeline Traded INDRFL from R4</v>
      </c>
      <c r="E308" s="415" t="s">
        <v>384</v>
      </c>
      <c r="F308" s="415" t="s">
        <v>505</v>
      </c>
      <c r="G308" s="399" t="s">
        <v>2534</v>
      </c>
      <c r="H308" s="376"/>
      <c r="I308" s="376"/>
    </row>
    <row r="309" spans="2:9">
      <c r="B309" s="376" t="str">
        <f>IF(LEFT(Commodities!B$141,1)="*","*","R2,R3,R5,R6")</f>
        <v>*</v>
      </c>
      <c r="C309" s="376" t="str">
        <f>CONCATENATE("XP",Commodities!C106,OILTrade!$N$59)</f>
        <v>XPELCRFLR4</v>
      </c>
      <c r="D309" s="376" t="str">
        <f>CONCATENATE("Delivery of Pipeline Traded ",Commodities!C106," from ", OILTrade!$N$59)</f>
        <v>Delivery of Pipeline Traded ELCRFL from R4</v>
      </c>
      <c r="E309" s="415" t="s">
        <v>384</v>
      </c>
      <c r="F309" s="415" t="s">
        <v>505</v>
      </c>
      <c r="G309" s="399" t="s">
        <v>2534</v>
      </c>
      <c r="H309" s="376"/>
      <c r="I309" s="376"/>
    </row>
    <row r="310" spans="2:9">
      <c r="B310" s="376" t="str">
        <f>IF(LEFT(Commodities!B$107,1)="*","*","R2,R3,R5,R6")</f>
        <v>*</v>
      </c>
      <c r="C310" s="376" t="str">
        <f>CONCATENATE("XP",Commodities!C107,OILTrade!$N$59)</f>
        <v>XPTRNRFHR4</v>
      </c>
      <c r="D310" s="376" t="str">
        <f>CONCATENATE("Delivery of Pipeline Traded ",Commodities!C107," from ", OILTrade!$N$59)</f>
        <v>Delivery of Pipeline Traded TRNRFH from R4</v>
      </c>
      <c r="E310" s="415" t="s">
        <v>384</v>
      </c>
      <c r="F310" s="415" t="s">
        <v>505</v>
      </c>
      <c r="G310" s="399" t="s">
        <v>2534</v>
      </c>
      <c r="H310" s="376"/>
      <c r="I310" s="376"/>
    </row>
    <row r="311" spans="2:9">
      <c r="B311" s="376" t="str">
        <f>IF(LEFT(Commodities!B$108,1)="*","*","R2,R3,R5,R6")</f>
        <v>*</v>
      </c>
      <c r="C311" s="376" t="str">
        <f>CONCATENATE("XP",Commodities!C108,OILTrade!$N$59)</f>
        <v>XPELCRFHR4</v>
      </c>
      <c r="D311" s="376" t="str">
        <f>CONCATENATE("Delivery of Pipeline Traded ",Commodities!C108," from ", OILTrade!$N$59)</f>
        <v>Delivery of Pipeline Traded ELCRFH from R4</v>
      </c>
      <c r="E311" s="415" t="s">
        <v>384</v>
      </c>
      <c r="F311" s="415" t="s">
        <v>505</v>
      </c>
      <c r="G311" s="399" t="s">
        <v>2534</v>
      </c>
      <c r="H311" s="376"/>
      <c r="I311" s="376"/>
    </row>
    <row r="312" spans="2:9">
      <c r="B312" s="376" t="str">
        <f>IF(LEFT(Commodities!B$109,1)="*","*","R2,R3,R5,R6")</f>
        <v>*</v>
      </c>
      <c r="C312" s="376" t="str">
        <f>CONCATENATE("XP",Commodities!C109,OILTrade!$N$59)</f>
        <v>XPINDASPR4</v>
      </c>
      <c r="D312" s="376" t="str">
        <f>CONCATENATE("Delivery of Pipeline Traded ",Commodities!C109," from ", OILTrade!$N$59)</f>
        <v>Delivery of Pipeline Traded INDASP from R4</v>
      </c>
      <c r="E312" s="415" t="s">
        <v>384</v>
      </c>
      <c r="F312" s="415" t="s">
        <v>505</v>
      </c>
      <c r="G312" s="399" t="s">
        <v>2534</v>
      </c>
      <c r="H312" s="376"/>
      <c r="I312" s="376"/>
    </row>
    <row r="313" spans="2:9">
      <c r="B313" s="376" t="str">
        <f>IF(OR(LEFT(Commodities!B143,1)="*",LEFT(Commodities!B$48,1)="*"),"*","R2,R5")</f>
        <v>*</v>
      </c>
      <c r="C313" s="376" t="str">
        <f>CONCATENATE("XP",Commodities!C85,OILTrade!$N$60)</f>
        <v>XPTRGSLCR5</v>
      </c>
      <c r="D313" s="376" t="str">
        <f>CONCATENATE("Delivery of Pipeline Traded ",Commodities!C85," from ", OILTrade!$N$60)</f>
        <v>Delivery of Pipeline Traded TRGSLC from R5</v>
      </c>
      <c r="E313" s="415" t="s">
        <v>384</v>
      </c>
      <c r="F313" s="415" t="s">
        <v>505</v>
      </c>
      <c r="G313" s="399" t="s">
        <v>2534</v>
      </c>
      <c r="H313" s="376"/>
      <c r="I313" s="376"/>
    </row>
    <row r="314" spans="2:9">
      <c r="B314" s="376" t="str">
        <f>IF(OR(LEFT(Commodities!B144,1)="*",LEFT(Commodities!B$49,1)="*"),"*","R2,R5")</f>
        <v>*</v>
      </c>
      <c r="C314" s="376" t="str">
        <f>CONCATENATE("XP",Commodities!C86,OILTrade!$N$60)</f>
        <v>XPTRGSLRR5</v>
      </c>
      <c r="D314" s="376" t="str">
        <f>CONCATENATE("Delivery of Pipeline Traded ",Commodities!C86," from ", OILTrade!$N$60)</f>
        <v>Delivery of Pipeline Traded TRGSLR from R5</v>
      </c>
      <c r="E314" s="415" t="s">
        <v>384</v>
      </c>
      <c r="F314" s="415" t="s">
        <v>505</v>
      </c>
      <c r="G314" s="399" t="s">
        <v>2534</v>
      </c>
      <c r="H314" s="376"/>
      <c r="I314" s="376"/>
    </row>
    <row r="315" spans="2:9">
      <c r="B315" s="376" t="str">
        <f>IF(LEFT(Commodities!B$143,1)="*","*","R2,R5")</f>
        <v>*</v>
      </c>
      <c r="C315" s="376" t="str">
        <f>CONCATENATE("XP",Commodities!C87,OILTrade!$N$60)</f>
        <v>XPRESDSLR5</v>
      </c>
      <c r="D315" s="376" t="str">
        <f>CONCATENATE("Delivery of Pipeline Traded ",Commodities!C87," from ", OILTrade!$N$60)</f>
        <v>Delivery of Pipeline Traded RESDSL from R5</v>
      </c>
      <c r="E315" s="415" t="s">
        <v>384</v>
      </c>
      <c r="F315" s="415" t="s">
        <v>505</v>
      </c>
      <c r="G315" s="399" t="s">
        <v>2534</v>
      </c>
      <c r="H315" s="376"/>
      <c r="I315" s="376"/>
    </row>
    <row r="316" spans="2:9">
      <c r="B316" s="376" t="str">
        <f>IF(LEFT(Commodities!B$143,1)="*","*","R2,R5")</f>
        <v>*</v>
      </c>
      <c r="C316" s="376" t="str">
        <f>CONCATENATE("XP",Commodities!C88,OILTrade!$N$60)</f>
        <v>XPCOMDSLR5</v>
      </c>
      <c r="D316" s="376" t="str">
        <f>CONCATENATE("Delivery of Pipeline Traded ",Commodities!C88," from ", OILTrade!$N$60)</f>
        <v>Delivery of Pipeline Traded COMDSL from R5</v>
      </c>
      <c r="E316" s="415" t="s">
        <v>384</v>
      </c>
      <c r="F316" s="415" t="s">
        <v>505</v>
      </c>
      <c r="G316" s="399" t="s">
        <v>2534</v>
      </c>
      <c r="H316" s="376"/>
      <c r="I316" s="376"/>
    </row>
    <row r="317" spans="2:9">
      <c r="B317" s="376" t="str">
        <f>IF(LEFT(Commodities!B$143,1)="*","*","R2,R5")</f>
        <v>*</v>
      </c>
      <c r="C317" s="376" t="str">
        <f>CONCATENATE("XP",Commodities!C89,OILTrade!$N$60)</f>
        <v>XPINDDSLR5</v>
      </c>
      <c r="D317" s="376" t="str">
        <f>CONCATENATE("Delivery of Pipeline Traded ",Commodities!C89," from ", OILTrade!$N$60)</f>
        <v>Delivery of Pipeline Traded INDDSL from R5</v>
      </c>
      <c r="E317" s="415" t="s">
        <v>384</v>
      </c>
      <c r="F317" s="415" t="s">
        <v>505</v>
      </c>
      <c r="G317" s="399" t="s">
        <v>2534</v>
      </c>
      <c r="H317" s="376"/>
      <c r="I317" s="376"/>
    </row>
    <row r="318" spans="2:9">
      <c r="B318" s="376" t="str">
        <f>IF(LEFT(Commodities!B$143,1)="*","*","R2,R5")</f>
        <v>*</v>
      </c>
      <c r="C318" s="376" t="str">
        <f>CONCATENATE("XP",Commodities!C90,OILTrade!$N$60)</f>
        <v>XPELCDSLR5</v>
      </c>
      <c r="D318" s="376" t="str">
        <f>CONCATENATE("Delivery of Pipeline Traded ",Commodities!C90," from ", OILTrade!$N$60)</f>
        <v>Delivery of Pipeline Traded ELCDSL from R5</v>
      </c>
      <c r="E318" s="415" t="s">
        <v>384</v>
      </c>
      <c r="F318" s="415" t="s">
        <v>505</v>
      </c>
      <c r="G318" s="399" t="s">
        <v>2534</v>
      </c>
      <c r="H318" s="376"/>
      <c r="I318" s="376"/>
    </row>
    <row r="319" spans="2:9">
      <c r="B319" s="376" t="str">
        <f>IF(OR(LEFT(Commodities!B146,1)="*",LEFT(Commodities!B$51,1)="*"),"*","R2,R5")</f>
        <v>*</v>
      </c>
      <c r="C319" s="376" t="str">
        <f>CONCATENATE("XP",Commodities!C91,OILTrade!$N$60)</f>
        <v>XPTRDSLLR5</v>
      </c>
      <c r="D319" s="376" t="str">
        <f>CONCATENATE("Delivery of Pipeline Traded ",Commodities!C91," from ", OILTrade!$N$60)</f>
        <v>Delivery of Pipeline Traded TRDSLL from R5</v>
      </c>
      <c r="E319" s="415" t="s">
        <v>384</v>
      </c>
      <c r="F319" s="415" t="s">
        <v>505</v>
      </c>
      <c r="G319" s="399" t="s">
        <v>2534</v>
      </c>
      <c r="H319" s="376"/>
      <c r="I319" s="376"/>
    </row>
    <row r="320" spans="2:9">
      <c r="B320" s="376" t="str">
        <f>IF(OR(LEFT(Commodities!B147,1)="*",LEFT(Commodities!B$52,1)="*"),"*","R2,R5")</f>
        <v>*</v>
      </c>
      <c r="C320" s="376" t="str">
        <f>CONCATENATE("XP",Commodities!C92,OILTrade!$N$60)</f>
        <v>XPTRDSLUR5</v>
      </c>
      <c r="D320" s="376" t="str">
        <f>CONCATENATE("Delivery of Pipeline Traded ",Commodities!C92," from ", OILTrade!$N$60)</f>
        <v>Delivery of Pipeline Traded TRDSLU from R5</v>
      </c>
      <c r="E320" s="415" t="s">
        <v>384</v>
      </c>
      <c r="F320" s="415" t="s">
        <v>505</v>
      </c>
      <c r="G320" s="399" t="s">
        <v>2534</v>
      </c>
      <c r="H320" s="376"/>
      <c r="I320" s="376"/>
    </row>
    <row r="321" spans="2:9">
      <c r="B321" s="376" t="s">
        <v>588</v>
      </c>
      <c r="C321" s="376" t="str">
        <f>CONCATENATE("XP",Commodities!C93,OILTrade!$N$60)</f>
        <v>XPTRNJTFR5</v>
      </c>
      <c r="D321" s="376" t="str">
        <f>CONCATENATE("Delivery of Pipeline Traded ",Commodities!C93," from ", OILTrade!$N$60)</f>
        <v>Delivery of Pipeline Traded TRNJTF from R5</v>
      </c>
      <c r="E321" s="415" t="s">
        <v>384</v>
      </c>
      <c r="F321" s="415" t="s">
        <v>505</v>
      </c>
      <c r="G321" s="399" t="s">
        <v>2534</v>
      </c>
      <c r="H321" s="376"/>
      <c r="I321" s="376"/>
    </row>
    <row r="322" spans="2:9">
      <c r="B322" s="376" t="str">
        <f>IF(LEFT(Commodities!B$94,1)="*","*","R2,R5")</f>
        <v>*</v>
      </c>
      <c r="C322" s="376" t="str">
        <f>CONCATENATE("XP",Commodities!C94,OILTrade!$N$60)</f>
        <v>XPRESKERR5</v>
      </c>
      <c r="D322" s="376" t="str">
        <f>CONCATENATE("Delivery of Pipeline Traded ",Commodities!C94," from ", OILTrade!$N$60)</f>
        <v>Delivery of Pipeline Traded RESKER from R5</v>
      </c>
      <c r="E322" s="415" t="s">
        <v>384</v>
      </c>
      <c r="F322" s="415" t="s">
        <v>505</v>
      </c>
      <c r="G322" s="399" t="s">
        <v>2534</v>
      </c>
      <c r="H322" s="376"/>
      <c r="I322" s="376"/>
    </row>
    <row r="323" spans="2:9">
      <c r="B323" s="376" t="str">
        <f>IF(LEFT(Commodities!B$95,1)="*","*","R2,R5")</f>
        <v>*</v>
      </c>
      <c r="C323" s="376" t="str">
        <f>CONCATENATE("XP",Commodities!C95,OILTrade!$N$60)</f>
        <v>XPCOMKERR5</v>
      </c>
      <c r="D323" s="376" t="str">
        <f>CONCATENATE("Delivery of Pipeline Traded ",Commodities!C95," from ", OILTrade!$N$60)</f>
        <v>Delivery of Pipeline Traded COMKER from R5</v>
      </c>
      <c r="E323" s="415" t="s">
        <v>384</v>
      </c>
      <c r="F323" s="415" t="s">
        <v>505</v>
      </c>
      <c r="G323" s="399" t="s">
        <v>2534</v>
      </c>
      <c r="H323" s="376"/>
      <c r="I323" s="376"/>
    </row>
    <row r="324" spans="2:9">
      <c r="B324" s="376" t="str">
        <f>IF(LEFT(Commodities!B$96,1)="*","*","R2,R5")</f>
        <v>*</v>
      </c>
      <c r="C324" s="376" t="str">
        <f>CONCATENATE("XP",Commodities!C96,OILTrade!$N$60)</f>
        <v>XPINDKERR5</v>
      </c>
      <c r="D324" s="376" t="str">
        <f>CONCATENATE("Delivery of Pipeline Traded ",Commodities!C96," from ", OILTrade!$N$60)</f>
        <v>Delivery of Pipeline Traded INDKER from R5</v>
      </c>
      <c r="E324" s="415" t="s">
        <v>384</v>
      </c>
      <c r="F324" s="415" t="s">
        <v>505</v>
      </c>
      <c r="G324" s="399" t="s">
        <v>2534</v>
      </c>
      <c r="H324" s="376"/>
      <c r="I324" s="376"/>
    </row>
    <row r="325" spans="2:9">
      <c r="B325" s="376" t="str">
        <f>IF(LEFT(Commodities!B$97,1)="*","*","R2,R5")</f>
        <v>*</v>
      </c>
      <c r="C325" s="376" t="str">
        <f>CONCATENATE("XP",Commodities!C97,OILTrade!$N$60)</f>
        <v>XPRESLPGR5</v>
      </c>
      <c r="D325" s="376" t="str">
        <f>CONCATENATE("Delivery of Pipeline Traded ",Commodities!C97," from ", OILTrade!$N$60)</f>
        <v>Delivery of Pipeline Traded RESLPG from R5</v>
      </c>
      <c r="E325" s="415" t="s">
        <v>384</v>
      </c>
      <c r="F325" s="415" t="s">
        <v>505</v>
      </c>
      <c r="G325" s="399" t="s">
        <v>2534</v>
      </c>
      <c r="H325" s="376"/>
      <c r="I325" s="376"/>
    </row>
    <row r="326" spans="2:9">
      <c r="B326" s="376" t="str">
        <f>IF(LEFT(Commodities!B$98,1)="*","*","R2,R5")</f>
        <v>*</v>
      </c>
      <c r="C326" s="376" t="str">
        <f>CONCATENATE("XP",Commodities!C98,OILTrade!$N$60)</f>
        <v>XPCOMLPGR5</v>
      </c>
      <c r="D326" s="376" t="str">
        <f>CONCATENATE("Delivery of Pipeline Traded ",Commodities!C98," from ", OILTrade!$N$60)</f>
        <v>Delivery of Pipeline Traded COMLPG from R5</v>
      </c>
      <c r="E326" s="415" t="s">
        <v>384</v>
      </c>
      <c r="F326" s="415" t="s">
        <v>505</v>
      </c>
      <c r="G326" s="399" t="s">
        <v>2534</v>
      </c>
      <c r="H326" s="376"/>
      <c r="I326" s="376"/>
    </row>
    <row r="327" spans="2:9">
      <c r="B327" s="376" t="str">
        <f>IF(LEFT(Commodities!B$99,1)="*","*","R2,R5")</f>
        <v>*</v>
      </c>
      <c r="C327" s="376" t="str">
        <f>CONCATENATE("XP",Commodities!C99,OILTrade!$N$60)</f>
        <v>XPINDLPGR5</v>
      </c>
      <c r="D327" s="376" t="str">
        <f>CONCATENATE("Delivery of Pipeline Traded ",Commodities!C99," from ", OILTrade!$N$60)</f>
        <v>Delivery of Pipeline Traded INDLPG from R5</v>
      </c>
      <c r="E327" s="415" t="s">
        <v>384</v>
      </c>
      <c r="F327" s="415" t="s">
        <v>505</v>
      </c>
      <c r="G327" s="399" t="s">
        <v>2534</v>
      </c>
      <c r="H327" s="376"/>
      <c r="I327" s="376"/>
    </row>
    <row r="328" spans="2:9">
      <c r="B328" s="376" t="str">
        <f>IF(LEFT(Commodities!B$100,1)="*","*","R2,R5")</f>
        <v>*</v>
      </c>
      <c r="C328" s="376" t="str">
        <f>CONCATENATE("XP",Commodities!C100,OILTrade!$N$60)</f>
        <v>XPTRNLPGR5</v>
      </c>
      <c r="D328" s="376" t="str">
        <f>CONCATENATE("Delivery of Pipeline Traded ",Commodities!C100," from ", OILTrade!$N$60)</f>
        <v>Delivery of Pipeline Traded TRNLPG from R5</v>
      </c>
      <c r="E328" s="415" t="s">
        <v>384</v>
      </c>
      <c r="F328" s="415" t="s">
        <v>505</v>
      </c>
      <c r="G328" s="399" t="s">
        <v>2534</v>
      </c>
      <c r="H328" s="376"/>
      <c r="I328" s="376"/>
    </row>
    <row r="329" spans="2:9">
      <c r="B329" s="376" t="str">
        <f>IF(LEFT(Commodities!B$101,1)="*","*","R2,R5")</f>
        <v>*</v>
      </c>
      <c r="C329" s="376" t="str">
        <f>CONCATENATE("XP",Commodities!C101,OILTrade!$N$60)</f>
        <v>XPTRNMTHR5</v>
      </c>
      <c r="D329" s="376" t="str">
        <f>CONCATENATE("Delivery of Pipeline Traded ",Commodities!C101," from ", OILTrade!$N$60)</f>
        <v>Delivery of Pipeline Traded TRNMTH from R5</v>
      </c>
      <c r="E329" s="415" t="s">
        <v>384</v>
      </c>
      <c r="F329" s="415" t="s">
        <v>505</v>
      </c>
      <c r="G329" s="399" t="s">
        <v>2534</v>
      </c>
      <c r="H329" s="376"/>
      <c r="I329" s="376"/>
    </row>
    <row r="330" spans="2:9">
      <c r="B330" s="376" t="str">
        <f>IF(LEFT(Commodities!B$102,1)="*","*","R2,R5")</f>
        <v>*</v>
      </c>
      <c r="C330" s="376" t="str">
        <f>CONCATENATE("XP",Commodities!C102,OILTrade!$N$60)</f>
        <v>XPINDPFSR5</v>
      </c>
      <c r="D330" s="376" t="str">
        <f>CONCATENATE("Delivery of Pipeline Traded ",Commodities!C102," from ", OILTrade!$N$60)</f>
        <v>Delivery of Pipeline Traded INDPFS from R5</v>
      </c>
      <c r="E330" s="415" t="s">
        <v>384</v>
      </c>
      <c r="F330" s="415" t="s">
        <v>505</v>
      </c>
      <c r="G330" s="399" t="s">
        <v>2534</v>
      </c>
      <c r="H330" s="376"/>
      <c r="I330" s="376"/>
    </row>
    <row r="331" spans="2:9">
      <c r="B331" s="376" t="str">
        <f>IF(LEFT(Commodities!B$154,1)="*","*","R2,R5")</f>
        <v>*</v>
      </c>
      <c r="C331" s="376" t="str">
        <f>CONCATENATE("XP",Commodities!C103,OILTrade!$N$60)</f>
        <v>XPRESRFLR5</v>
      </c>
      <c r="D331" s="376" t="str">
        <f>CONCATENATE("Delivery of Pipeline Traded ",Commodities!C103," from ", OILTrade!$N$60)</f>
        <v>Delivery of Pipeline Traded RESRFL from R5</v>
      </c>
      <c r="E331" s="415" t="s">
        <v>384</v>
      </c>
      <c r="F331" s="415" t="s">
        <v>505</v>
      </c>
      <c r="G331" s="399" t="s">
        <v>2534</v>
      </c>
      <c r="H331" s="376"/>
      <c r="I331" s="376"/>
    </row>
    <row r="332" spans="2:9">
      <c r="B332" s="376" t="str">
        <f>IF(LEFT(Commodities!B$154,1)="*","*","R2,R5")</f>
        <v>*</v>
      </c>
      <c r="C332" s="376" t="str">
        <f>CONCATENATE("XP",Commodities!C104,OILTrade!$N$60)</f>
        <v>XPCOMRFLR5</v>
      </c>
      <c r="D332" s="376" t="str">
        <f>CONCATENATE("Delivery of Pipeline Traded ",Commodities!C104," from ", OILTrade!$N$60)</f>
        <v>Delivery of Pipeline Traded COMRFL from R5</v>
      </c>
      <c r="E332" s="415" t="s">
        <v>384</v>
      </c>
      <c r="F332" s="415" t="s">
        <v>505</v>
      </c>
      <c r="G332" s="399" t="s">
        <v>2534</v>
      </c>
      <c r="H332" s="376"/>
      <c r="I332" s="376"/>
    </row>
    <row r="333" spans="2:9">
      <c r="B333" s="376" t="str">
        <f>IF(LEFT(Commodities!B$154,1)="*","*","R2,R5")</f>
        <v>*</v>
      </c>
      <c r="C333" s="376" t="str">
        <f>CONCATENATE("XP",Commodities!C105,OILTrade!$N$60)</f>
        <v>XPINDRFLR5</v>
      </c>
      <c r="D333" s="376" t="str">
        <f>CONCATENATE("Delivery of Pipeline Traded ",Commodities!C105," from ", OILTrade!$N$60)</f>
        <v>Delivery of Pipeline Traded INDRFL from R5</v>
      </c>
      <c r="E333" s="415" t="s">
        <v>384</v>
      </c>
      <c r="F333" s="415" t="s">
        <v>505</v>
      </c>
      <c r="G333" s="399" t="s">
        <v>2534</v>
      </c>
      <c r="H333" s="376"/>
      <c r="I333" s="376"/>
    </row>
    <row r="334" spans="2:9">
      <c r="B334" s="376" t="str">
        <f>IF(LEFT(Commodities!B$154,1)="*","*","R2,R5")</f>
        <v>*</v>
      </c>
      <c r="C334" s="376" t="str">
        <f>CONCATENATE("XP",Commodities!C106,OILTrade!$N$60)</f>
        <v>XPELCRFLR5</v>
      </c>
      <c r="D334" s="376" t="str">
        <f>CONCATENATE("Delivery of Pipeline Traded ",Commodities!C106," from ", OILTrade!$N$60)</f>
        <v>Delivery of Pipeline Traded ELCRFL from R5</v>
      </c>
      <c r="E334" s="415" t="s">
        <v>384</v>
      </c>
      <c r="F334" s="415" t="s">
        <v>505</v>
      </c>
      <c r="G334" s="399" t="s">
        <v>2534</v>
      </c>
      <c r="H334" s="376"/>
      <c r="I334" s="376"/>
    </row>
    <row r="335" spans="2:9">
      <c r="B335" s="376" t="str">
        <f>IF(LEFT(Commodities!B$107,1)="*","*","R2,R5")</f>
        <v>*</v>
      </c>
      <c r="C335" s="376" t="str">
        <f>CONCATENATE("XP",Commodities!C107,OILTrade!$N$60)</f>
        <v>XPTRNRFHR5</v>
      </c>
      <c r="D335" s="376" t="str">
        <f>CONCATENATE("Delivery of Pipeline Traded ",Commodities!C107," from ", OILTrade!$N$60)</f>
        <v>Delivery of Pipeline Traded TRNRFH from R5</v>
      </c>
      <c r="E335" s="415" t="s">
        <v>384</v>
      </c>
      <c r="F335" s="415" t="s">
        <v>505</v>
      </c>
      <c r="G335" s="399" t="s">
        <v>2534</v>
      </c>
      <c r="H335" s="376"/>
      <c r="I335" s="376"/>
    </row>
    <row r="336" spans="2:9">
      <c r="B336" s="376" t="str">
        <f>IF(LEFT(Commodities!B$108,1)="*","*","R2,R5")</f>
        <v>*</v>
      </c>
      <c r="C336" s="376" t="str">
        <f>CONCATENATE("XP",Commodities!C108,OILTrade!$N$60)</f>
        <v>XPELCRFHR5</v>
      </c>
      <c r="D336" s="376" t="str">
        <f>CONCATENATE("Delivery of Pipeline Traded ",Commodities!C108," from ", OILTrade!$N$60)</f>
        <v>Delivery of Pipeline Traded ELCRFH from R5</v>
      </c>
      <c r="E336" s="415" t="s">
        <v>384</v>
      </c>
      <c r="F336" s="415" t="s">
        <v>505</v>
      </c>
      <c r="G336" s="399" t="s">
        <v>2534</v>
      </c>
      <c r="H336" s="376"/>
      <c r="I336" s="376"/>
    </row>
    <row r="337" spans="2:9">
      <c r="B337" s="376" t="str">
        <f>IF(LEFT(Commodities!B$109,1)="*","*","R2,R5")</f>
        <v>*</v>
      </c>
      <c r="C337" s="376" t="str">
        <f>CONCATENATE("XP",Commodities!C109,OILTrade!$N$60)</f>
        <v>XPINDASPR5</v>
      </c>
      <c r="D337" s="376" t="str">
        <f>CONCATENATE("Delivery of Pipeline Traded ",Commodities!C109," from ", OILTrade!$N$60)</f>
        <v>Delivery of Pipeline Traded INDASP from R5</v>
      </c>
      <c r="E337" s="415" t="s">
        <v>384</v>
      </c>
      <c r="F337" s="415" t="s">
        <v>505</v>
      </c>
      <c r="G337" s="399" t="s">
        <v>2534</v>
      </c>
      <c r="H337" s="376"/>
      <c r="I337" s="376"/>
    </row>
    <row r="338" spans="2:9">
      <c r="B338" s="376" t="str">
        <f>IF(OR(LEFT(Commodities!B156,1)="*",LEFT(Commodities!B$48,1)="*"),"*","R2,R3,R4")</f>
        <v>*</v>
      </c>
      <c r="C338" s="376" t="str">
        <f>CONCATENATE("XP",Commodities!C85,OILTrade!$N$61)</f>
        <v>XPTRGSLCR6</v>
      </c>
      <c r="D338" s="376" t="str">
        <f>CONCATENATE("Delivery of Pipeline Traded ",Commodities!C85," from ", OILTrade!$N$61)</f>
        <v>Delivery of Pipeline Traded TRGSLC from R6</v>
      </c>
      <c r="E338" s="415" t="s">
        <v>384</v>
      </c>
      <c r="F338" s="415" t="s">
        <v>505</v>
      </c>
      <c r="G338" s="399" t="s">
        <v>2534</v>
      </c>
      <c r="H338" s="376"/>
      <c r="I338" s="376"/>
    </row>
    <row r="339" spans="2:9">
      <c r="B339" s="376" t="str">
        <f>IF(OR(LEFT(Commodities!B157,1)="*",LEFT(Commodities!B$49,1)="*"),"*","R2,R3,R4")</f>
        <v>*</v>
      </c>
      <c r="C339" s="376" t="str">
        <f>CONCATENATE("XP",Commodities!C86,OILTrade!$N$61)</f>
        <v>XPTRGSLRR6</v>
      </c>
      <c r="D339" s="376" t="str">
        <f>CONCATENATE("Delivery of Pipeline Traded ",Commodities!C86," from ", OILTrade!$N$61)</f>
        <v>Delivery of Pipeline Traded TRGSLR from R6</v>
      </c>
      <c r="E339" s="415" t="s">
        <v>384</v>
      </c>
      <c r="F339" s="415" t="s">
        <v>505</v>
      </c>
      <c r="G339" s="399" t="s">
        <v>2534</v>
      </c>
      <c r="H339" s="376"/>
      <c r="I339" s="376"/>
    </row>
    <row r="340" spans="2:9">
      <c r="B340" s="376" t="str">
        <f>IF(LEFT(Commodities!B$156,1)="*","*","R2,R3,R4")</f>
        <v>*</v>
      </c>
      <c r="C340" s="376" t="str">
        <f>CONCATENATE("XP",Commodities!C87,OILTrade!$N$61)</f>
        <v>XPRESDSLR6</v>
      </c>
      <c r="D340" s="376" t="str">
        <f>CONCATENATE("Delivery of Pipeline Traded ",Commodities!C87," from ", OILTrade!$N$61)</f>
        <v>Delivery of Pipeline Traded RESDSL from R6</v>
      </c>
      <c r="E340" s="415" t="s">
        <v>384</v>
      </c>
      <c r="F340" s="415" t="s">
        <v>505</v>
      </c>
      <c r="G340" s="399" t="s">
        <v>2534</v>
      </c>
      <c r="H340" s="376"/>
      <c r="I340" s="376"/>
    </row>
    <row r="341" spans="2:9">
      <c r="B341" s="376" t="str">
        <f>IF(LEFT(Commodities!B$156,1)="*","*","R2,R3,R4")</f>
        <v>*</v>
      </c>
      <c r="C341" s="376" t="str">
        <f>CONCATENATE("XP",Commodities!C88,OILTrade!$N$61)</f>
        <v>XPCOMDSLR6</v>
      </c>
      <c r="D341" s="376" t="str">
        <f>CONCATENATE("Delivery of Pipeline Traded ",Commodities!C88," from ", OILTrade!$N$61)</f>
        <v>Delivery of Pipeline Traded COMDSL from R6</v>
      </c>
      <c r="E341" s="415" t="s">
        <v>384</v>
      </c>
      <c r="F341" s="415" t="s">
        <v>505</v>
      </c>
      <c r="G341" s="399" t="s">
        <v>2534</v>
      </c>
      <c r="H341" s="376"/>
      <c r="I341" s="376"/>
    </row>
    <row r="342" spans="2:9">
      <c r="B342" s="376" t="str">
        <f>IF(LEFT(Commodities!B$156,1)="*","*","R2,R3,R4")</f>
        <v>*</v>
      </c>
      <c r="C342" s="376" t="str">
        <f>CONCATENATE("XP",Commodities!C89,OILTrade!$N$61)</f>
        <v>XPINDDSLR6</v>
      </c>
      <c r="D342" s="376" t="str">
        <f>CONCATENATE("Delivery of Pipeline Traded ",Commodities!C89," from ", OILTrade!$N$61)</f>
        <v>Delivery of Pipeline Traded INDDSL from R6</v>
      </c>
      <c r="E342" s="415" t="s">
        <v>384</v>
      </c>
      <c r="F342" s="415" t="s">
        <v>505</v>
      </c>
      <c r="G342" s="399" t="s">
        <v>2534</v>
      </c>
      <c r="H342" s="376"/>
      <c r="I342" s="376"/>
    </row>
    <row r="343" spans="2:9">
      <c r="B343" s="376" t="str">
        <f>IF(LEFT(Commodities!B$156,1)="*","*","R2,R3,R4")</f>
        <v>*</v>
      </c>
      <c r="C343" s="376" t="str">
        <f>CONCATENATE("XP",Commodities!C90,OILTrade!$N$61)</f>
        <v>XPELCDSLR6</v>
      </c>
      <c r="D343" s="376" t="str">
        <f>CONCATENATE("Delivery of Pipeline Traded ",Commodities!C90," from ", OILTrade!$N$61)</f>
        <v>Delivery of Pipeline Traded ELCDSL from R6</v>
      </c>
      <c r="E343" s="415" t="s">
        <v>384</v>
      </c>
      <c r="F343" s="415" t="s">
        <v>505</v>
      </c>
      <c r="G343" s="399" t="s">
        <v>2534</v>
      </c>
      <c r="H343" s="376"/>
      <c r="I343" s="376"/>
    </row>
    <row r="344" spans="2:9">
      <c r="B344" s="376" t="str">
        <f>IF(OR(LEFT(Commodities!B159,1)="*",LEFT(Commodities!B$51,1)="*"),"*","R2,R3,R4")</f>
        <v>*</v>
      </c>
      <c r="C344" s="376" t="str">
        <f>CONCATENATE("XP",Commodities!C91,OILTrade!$N$61)</f>
        <v>XPTRDSLLR6</v>
      </c>
      <c r="D344" s="376" t="str">
        <f>CONCATENATE("Delivery of Pipeline Traded ",Commodities!C91," from ", OILTrade!$N$61)</f>
        <v>Delivery of Pipeline Traded TRDSLL from R6</v>
      </c>
      <c r="E344" s="415" t="s">
        <v>384</v>
      </c>
      <c r="F344" s="415" t="s">
        <v>505</v>
      </c>
      <c r="G344" s="399" t="s">
        <v>2534</v>
      </c>
      <c r="H344" s="376"/>
      <c r="I344" s="376"/>
    </row>
    <row r="345" spans="2:9">
      <c r="B345" s="376" t="str">
        <f>IF(OR(LEFT(Commodities!B160,1)="*",LEFT(Commodities!B$52,1)="*"),"*","R2,R3,R4")</f>
        <v>*</v>
      </c>
      <c r="C345" s="376" t="str">
        <f>CONCATENATE("XP",Commodities!C92,OILTrade!$N$61)</f>
        <v>XPTRDSLUR6</v>
      </c>
      <c r="D345" s="376" t="str">
        <f>CONCATENATE("Delivery of Pipeline Traded ",Commodities!C92," from ", OILTrade!$N$61)</f>
        <v>Delivery of Pipeline Traded TRDSLU from R6</v>
      </c>
      <c r="E345" s="415" t="s">
        <v>384</v>
      </c>
      <c r="F345" s="415" t="s">
        <v>505</v>
      </c>
      <c r="G345" s="399" t="s">
        <v>2534</v>
      </c>
      <c r="H345" s="376"/>
      <c r="I345" s="376"/>
    </row>
    <row r="346" spans="2:9">
      <c r="B346" s="376" t="s">
        <v>588</v>
      </c>
      <c r="C346" s="376" t="str">
        <f>CONCATENATE("XP",Commodities!C93,OILTrade!$N$61)</f>
        <v>XPTRNJTFR6</v>
      </c>
      <c r="D346" s="376" t="str">
        <f>CONCATENATE("Delivery of Pipeline Traded ",Commodities!C93," from ", OILTrade!$N$61)</f>
        <v>Delivery of Pipeline Traded TRNJTF from R6</v>
      </c>
      <c r="E346" s="415" t="s">
        <v>384</v>
      </c>
      <c r="F346" s="415" t="s">
        <v>505</v>
      </c>
      <c r="G346" s="399" t="s">
        <v>2534</v>
      </c>
      <c r="H346" s="376"/>
      <c r="I346" s="376"/>
    </row>
    <row r="347" spans="2:9">
      <c r="B347" s="376" t="str">
        <f>IF(LEFT(Commodities!B$94,1)="*","*","R2,R3,R4")</f>
        <v>*</v>
      </c>
      <c r="C347" s="376" t="str">
        <f>CONCATENATE("XP",Commodities!C94,OILTrade!$N$61)</f>
        <v>XPRESKERR6</v>
      </c>
      <c r="D347" s="376" t="str">
        <f>CONCATENATE("Delivery of Pipeline Traded ",Commodities!C94," from ", OILTrade!$N$61)</f>
        <v>Delivery of Pipeline Traded RESKER from R6</v>
      </c>
      <c r="E347" s="415" t="s">
        <v>384</v>
      </c>
      <c r="F347" s="415" t="s">
        <v>505</v>
      </c>
      <c r="G347" s="399" t="s">
        <v>2534</v>
      </c>
      <c r="H347" s="376"/>
      <c r="I347" s="376"/>
    </row>
    <row r="348" spans="2:9">
      <c r="B348" s="376" t="str">
        <f>IF(LEFT(Commodities!B$95,1)="*","*","R2,R3,R4")</f>
        <v>*</v>
      </c>
      <c r="C348" s="376" t="str">
        <f>CONCATENATE("XP",Commodities!C95,OILTrade!$N$61)</f>
        <v>XPCOMKERR6</v>
      </c>
      <c r="D348" s="376" t="str">
        <f>CONCATENATE("Delivery of Pipeline Traded ",Commodities!C95," from ", OILTrade!$N$61)</f>
        <v>Delivery of Pipeline Traded COMKER from R6</v>
      </c>
      <c r="E348" s="415" t="s">
        <v>384</v>
      </c>
      <c r="F348" s="415" t="s">
        <v>505</v>
      </c>
      <c r="G348" s="399" t="s">
        <v>2534</v>
      </c>
      <c r="H348" s="376"/>
      <c r="I348" s="376"/>
    </row>
    <row r="349" spans="2:9">
      <c r="B349" s="376" t="str">
        <f>IF(LEFT(Commodities!B$96,1)="*","*","R2,R3,R4")</f>
        <v>*</v>
      </c>
      <c r="C349" s="376" t="str">
        <f>CONCATENATE("XP",Commodities!C96,OILTrade!$N$61)</f>
        <v>XPINDKERR6</v>
      </c>
      <c r="D349" s="376" t="str">
        <f>CONCATENATE("Delivery of Pipeline Traded ",Commodities!C96," from ", OILTrade!$N$61)</f>
        <v>Delivery of Pipeline Traded INDKER from R6</v>
      </c>
      <c r="E349" s="415" t="s">
        <v>384</v>
      </c>
      <c r="F349" s="415" t="s">
        <v>505</v>
      </c>
      <c r="G349" s="399" t="s">
        <v>2534</v>
      </c>
      <c r="H349" s="376"/>
      <c r="I349" s="376"/>
    </row>
    <row r="350" spans="2:9">
      <c r="B350" s="376" t="str">
        <f>IF(LEFT(Commodities!B$97,1)="*","*","R2,R3,R4")</f>
        <v>*</v>
      </c>
      <c r="C350" s="376" t="str">
        <f>CONCATENATE("XP",Commodities!C97,OILTrade!$N$61)</f>
        <v>XPRESLPGR6</v>
      </c>
      <c r="D350" s="376" t="str">
        <f>CONCATENATE("Delivery of Pipeline Traded ",Commodities!C97," from ", OILTrade!$N$61)</f>
        <v>Delivery of Pipeline Traded RESLPG from R6</v>
      </c>
      <c r="E350" s="415" t="s">
        <v>384</v>
      </c>
      <c r="F350" s="415" t="s">
        <v>505</v>
      </c>
      <c r="G350" s="399" t="s">
        <v>2534</v>
      </c>
      <c r="H350" s="376"/>
      <c r="I350" s="376"/>
    </row>
    <row r="351" spans="2:9">
      <c r="B351" s="376" t="str">
        <f>IF(LEFT(Commodities!B$98,1)="*","*","R2,R3,R4")</f>
        <v>*</v>
      </c>
      <c r="C351" s="376" t="str">
        <f>CONCATENATE("XP",Commodities!C98,OILTrade!$N$61)</f>
        <v>XPCOMLPGR6</v>
      </c>
      <c r="D351" s="376" t="str">
        <f>CONCATENATE("Delivery of Pipeline Traded ",Commodities!C98," from ", OILTrade!$N$61)</f>
        <v>Delivery of Pipeline Traded COMLPG from R6</v>
      </c>
      <c r="E351" s="415" t="s">
        <v>384</v>
      </c>
      <c r="F351" s="415" t="s">
        <v>505</v>
      </c>
      <c r="G351" s="399" t="s">
        <v>2534</v>
      </c>
      <c r="H351" s="376"/>
      <c r="I351" s="376"/>
    </row>
    <row r="352" spans="2:9">
      <c r="B352" s="376" t="str">
        <f>IF(LEFT(Commodities!B$99,1)="*","*","R2,R3,R4")</f>
        <v>*</v>
      </c>
      <c r="C352" s="376" t="str">
        <f>CONCATENATE("XP",Commodities!C99,OILTrade!$N$61)</f>
        <v>XPINDLPGR6</v>
      </c>
      <c r="D352" s="376" t="str">
        <f>CONCATENATE("Delivery of Pipeline Traded ",Commodities!C99," from ", OILTrade!$N$61)</f>
        <v>Delivery of Pipeline Traded INDLPG from R6</v>
      </c>
      <c r="E352" s="415" t="s">
        <v>384</v>
      </c>
      <c r="F352" s="415" t="s">
        <v>505</v>
      </c>
      <c r="G352" s="399" t="s">
        <v>2534</v>
      </c>
      <c r="H352" s="376"/>
      <c r="I352" s="376"/>
    </row>
    <row r="353" spans="2:9">
      <c r="B353" s="376" t="str">
        <f>IF(LEFT(Commodities!B$100,1)="*","*","R2,R3,R4")</f>
        <v>*</v>
      </c>
      <c r="C353" s="376" t="str">
        <f>CONCATENATE("XP",Commodities!C100,OILTrade!$N$61)</f>
        <v>XPTRNLPGR6</v>
      </c>
      <c r="D353" s="376" t="str">
        <f>CONCATENATE("Delivery of Pipeline Traded ",Commodities!C100," from ", OILTrade!$N$61)</f>
        <v>Delivery of Pipeline Traded TRNLPG from R6</v>
      </c>
      <c r="E353" s="415" t="s">
        <v>384</v>
      </c>
      <c r="F353" s="415" t="s">
        <v>505</v>
      </c>
      <c r="G353" s="399" t="s">
        <v>2534</v>
      </c>
      <c r="H353" s="376"/>
      <c r="I353" s="376"/>
    </row>
    <row r="354" spans="2:9">
      <c r="B354" s="376" t="str">
        <f>IF(LEFT(Commodities!B$101,1)="*","*","R2,R3,R4")</f>
        <v>*</v>
      </c>
      <c r="C354" s="376" t="str">
        <f>CONCATENATE("XP",Commodities!C101,OILTrade!$N$61)</f>
        <v>XPTRNMTHR6</v>
      </c>
      <c r="D354" s="376" t="str">
        <f>CONCATENATE("Delivery of Pipeline Traded ",Commodities!C101," from ", OILTrade!$N$61)</f>
        <v>Delivery of Pipeline Traded TRNMTH from R6</v>
      </c>
      <c r="E354" s="415" t="s">
        <v>384</v>
      </c>
      <c r="F354" s="415" t="s">
        <v>505</v>
      </c>
      <c r="G354" s="399" t="s">
        <v>2534</v>
      </c>
      <c r="H354" s="376"/>
      <c r="I354" s="376"/>
    </row>
    <row r="355" spans="2:9">
      <c r="B355" s="376" t="str">
        <f>IF(LEFT(Commodities!B$102,1)="*","*","R2,R3,R4")</f>
        <v>*</v>
      </c>
      <c r="C355" s="376" t="str">
        <f>CONCATENATE("XP",Commodities!C102,OILTrade!$N$61)</f>
        <v>XPINDPFSR6</v>
      </c>
      <c r="D355" s="376" t="str">
        <f>CONCATENATE("Delivery of Pipeline Traded ",Commodities!C102," from ", OILTrade!$N$61)</f>
        <v>Delivery of Pipeline Traded INDPFS from R6</v>
      </c>
      <c r="E355" s="415" t="s">
        <v>384</v>
      </c>
      <c r="F355" s="415" t="s">
        <v>505</v>
      </c>
      <c r="G355" s="399" t="s">
        <v>2534</v>
      </c>
      <c r="H355" s="376"/>
      <c r="I355" s="376"/>
    </row>
    <row r="356" spans="2:9">
      <c r="B356" s="376" t="str">
        <f>IF(LEFT(Commodities!B$167,1)="*","*","R2,R3,R4")</f>
        <v>*</v>
      </c>
      <c r="C356" s="376" t="str">
        <f>CONCATENATE("XP",Commodities!C103,OILTrade!$N$61)</f>
        <v>XPRESRFLR6</v>
      </c>
      <c r="D356" s="376" t="str">
        <f>CONCATENATE("Delivery of Pipeline Traded ",Commodities!C103," from ", OILTrade!$N$61)</f>
        <v>Delivery of Pipeline Traded RESRFL from R6</v>
      </c>
      <c r="E356" s="415" t="s">
        <v>384</v>
      </c>
      <c r="F356" s="415" t="s">
        <v>505</v>
      </c>
      <c r="G356" s="399" t="s">
        <v>2534</v>
      </c>
      <c r="H356" s="376"/>
      <c r="I356" s="376"/>
    </row>
    <row r="357" spans="2:9">
      <c r="B357" s="376" t="str">
        <f>IF(LEFT(Commodities!B$167,1)="*","*","R2,R3,R4")</f>
        <v>*</v>
      </c>
      <c r="C357" s="376" t="str">
        <f>CONCATENATE("XP",Commodities!C104,OILTrade!$N$61)</f>
        <v>XPCOMRFLR6</v>
      </c>
      <c r="D357" s="376" t="str">
        <f>CONCATENATE("Delivery of Pipeline Traded ",Commodities!C104," from ", OILTrade!$N$61)</f>
        <v>Delivery of Pipeline Traded COMRFL from R6</v>
      </c>
      <c r="E357" s="415" t="s">
        <v>384</v>
      </c>
      <c r="F357" s="415" t="s">
        <v>505</v>
      </c>
      <c r="G357" s="399" t="s">
        <v>2534</v>
      </c>
      <c r="H357" s="376"/>
      <c r="I357" s="376"/>
    </row>
    <row r="358" spans="2:9">
      <c r="B358" s="376" t="str">
        <f>IF(LEFT(Commodities!B$167,1)="*","*","R2,R3,R4")</f>
        <v>*</v>
      </c>
      <c r="C358" s="376" t="str">
        <f>CONCATENATE("XP",Commodities!C105,OILTrade!$N$61)</f>
        <v>XPINDRFLR6</v>
      </c>
      <c r="D358" s="376" t="str">
        <f>CONCATENATE("Delivery of Pipeline Traded ",Commodities!C105," from ", OILTrade!$N$61)</f>
        <v>Delivery of Pipeline Traded INDRFL from R6</v>
      </c>
      <c r="E358" s="415" t="s">
        <v>384</v>
      </c>
      <c r="F358" s="415" t="s">
        <v>505</v>
      </c>
      <c r="G358" s="399" t="s">
        <v>2534</v>
      </c>
      <c r="H358" s="376"/>
      <c r="I358" s="376"/>
    </row>
    <row r="359" spans="2:9">
      <c r="B359" s="376" t="str">
        <f>IF(LEFT(Commodities!B$167,1)="*","*","R2,R3,R4")</f>
        <v>*</v>
      </c>
      <c r="C359" s="376" t="str">
        <f>CONCATENATE("XP",Commodities!C106,OILTrade!$N$61)</f>
        <v>XPELCRFLR6</v>
      </c>
      <c r="D359" s="376" t="str">
        <f>CONCATENATE("Delivery of Pipeline Traded ",Commodities!C106," from ", OILTrade!$N$61)</f>
        <v>Delivery of Pipeline Traded ELCRFL from R6</v>
      </c>
      <c r="E359" s="415" t="s">
        <v>384</v>
      </c>
      <c r="F359" s="415" t="s">
        <v>505</v>
      </c>
      <c r="G359" s="399" t="s">
        <v>2534</v>
      </c>
      <c r="H359" s="376"/>
      <c r="I359" s="376"/>
    </row>
    <row r="360" spans="2:9">
      <c r="B360" s="376" t="str">
        <f>IF(LEFT(Commodities!B$107,1)="*","*","R2,R3,R4")</f>
        <v>*</v>
      </c>
      <c r="C360" s="376" t="str">
        <f>CONCATENATE("XP",Commodities!C107,OILTrade!$N$61)</f>
        <v>XPTRNRFHR6</v>
      </c>
      <c r="D360" s="376" t="str">
        <f>CONCATENATE("Delivery of Pipeline Traded ",Commodities!C107," from ", OILTrade!$N$61)</f>
        <v>Delivery of Pipeline Traded TRNRFH from R6</v>
      </c>
      <c r="E360" s="415" t="s">
        <v>384</v>
      </c>
      <c r="F360" s="415" t="s">
        <v>505</v>
      </c>
      <c r="G360" s="399" t="s">
        <v>2534</v>
      </c>
      <c r="H360" s="376"/>
      <c r="I360" s="376"/>
    </row>
    <row r="361" spans="2:9">
      <c r="B361" s="376" t="str">
        <f>IF(LEFT(Commodities!B$108,1)="*","*","R2,R3,R4")</f>
        <v>*</v>
      </c>
      <c r="C361" s="376" t="str">
        <f>CONCATENATE("XP",Commodities!C108,OILTrade!$N$61)</f>
        <v>XPELCRFHR6</v>
      </c>
      <c r="D361" s="376" t="str">
        <f>CONCATENATE("Delivery of Pipeline Traded ",Commodities!C108," from ", OILTrade!$N$61)</f>
        <v>Delivery of Pipeline Traded ELCRFH from R6</v>
      </c>
      <c r="E361" s="415" t="s">
        <v>384</v>
      </c>
      <c r="F361" s="415" t="s">
        <v>505</v>
      </c>
      <c r="G361" s="399" t="s">
        <v>2534</v>
      </c>
      <c r="H361" s="376"/>
      <c r="I361" s="376"/>
    </row>
    <row r="362" spans="2:9">
      <c r="B362" s="376" t="str">
        <f>IF(LEFT(Commodities!B$109,1)="*","*","R2,R3,R4")</f>
        <v>*</v>
      </c>
      <c r="C362" s="376" t="str">
        <f>CONCATENATE("XP",Commodities!C109,OILTrade!$N$61)</f>
        <v>XPINDASPR6</v>
      </c>
      <c r="D362" s="376" t="str">
        <f>CONCATENATE("Delivery of Pipeline Traded ",Commodities!C109," from ", OILTrade!$N$61)</f>
        <v>Delivery of Pipeline Traded INDASP from R6</v>
      </c>
      <c r="E362" s="415" t="s">
        <v>384</v>
      </c>
      <c r="F362" s="415" t="s">
        <v>505</v>
      </c>
      <c r="G362" s="399" t="s">
        <v>2534</v>
      </c>
      <c r="H362" s="376"/>
      <c r="I362" s="376"/>
    </row>
    <row r="363" spans="2:9">
      <c r="B363" s="376" t="s">
        <v>588</v>
      </c>
      <c r="C363" s="376" t="str">
        <f>CONCATENATE("XP",Commodities!C85,OILTrade!$N$62)</f>
        <v>XPTRGSLCR7</v>
      </c>
      <c r="D363" s="376" t="str">
        <f>CONCATENATE("Delivery of Pipeline Traded ",Commodities!C85," from ", OILTrade!$N$62)</f>
        <v>Delivery of Pipeline Traded TRGSLC from R7</v>
      </c>
      <c r="E363" s="415" t="s">
        <v>384</v>
      </c>
      <c r="F363" s="415" t="s">
        <v>505</v>
      </c>
      <c r="G363" s="399" t="s">
        <v>2534</v>
      </c>
      <c r="H363" s="376"/>
      <c r="I363" s="376"/>
    </row>
    <row r="364" spans="2:9">
      <c r="B364" s="376" t="s">
        <v>588</v>
      </c>
      <c r="C364" s="376" t="str">
        <f>CONCATENATE("XP",Commodities!C86,OILTrade!$N$62)</f>
        <v>XPTRGSLRR7</v>
      </c>
      <c r="D364" s="376" t="str">
        <f>CONCATENATE("Delivery of Pipeline Traded ",Commodities!C86," from ", OILTrade!$N$62)</f>
        <v>Delivery of Pipeline Traded TRGSLR from R7</v>
      </c>
      <c r="E364" s="415" t="s">
        <v>384</v>
      </c>
      <c r="F364" s="415" t="s">
        <v>505</v>
      </c>
      <c r="G364" s="399" t="s">
        <v>2534</v>
      </c>
      <c r="H364" s="376"/>
      <c r="I364" s="376"/>
    </row>
    <row r="365" spans="2:9">
      <c r="B365" s="376" t="s">
        <v>588</v>
      </c>
      <c r="C365" s="376" t="str">
        <f>CONCATENATE("XP",Commodities!C87,OILTrade!$N$62)</f>
        <v>XPRESDSLR7</v>
      </c>
      <c r="D365" s="376" t="str">
        <f>CONCATENATE("Delivery of Pipeline Traded ",Commodities!C87," from ", OILTrade!$N$62)</f>
        <v>Delivery of Pipeline Traded RESDSL from R7</v>
      </c>
      <c r="E365" s="415" t="s">
        <v>384</v>
      </c>
      <c r="F365" s="415" t="s">
        <v>505</v>
      </c>
      <c r="G365" s="399" t="s">
        <v>2534</v>
      </c>
      <c r="H365" s="376"/>
      <c r="I365" s="376"/>
    </row>
    <row r="366" spans="2:9">
      <c r="B366" s="376" t="s">
        <v>588</v>
      </c>
      <c r="C366" s="376" t="str">
        <f>CONCATENATE("XP",Commodities!C88,OILTrade!$N$62)</f>
        <v>XPCOMDSLR7</v>
      </c>
      <c r="D366" s="376" t="str">
        <f>CONCATENATE("Delivery of Pipeline Traded ",Commodities!C88," from ", OILTrade!$N$62)</f>
        <v>Delivery of Pipeline Traded COMDSL from R7</v>
      </c>
      <c r="E366" s="415" t="s">
        <v>384</v>
      </c>
      <c r="F366" s="415" t="s">
        <v>505</v>
      </c>
      <c r="G366" s="399" t="s">
        <v>2534</v>
      </c>
      <c r="H366" s="376"/>
      <c r="I366" s="376"/>
    </row>
    <row r="367" spans="2:9">
      <c r="B367" s="376" t="s">
        <v>588</v>
      </c>
      <c r="C367" s="376" t="str">
        <f>CONCATENATE("XP",Commodities!C89,OILTrade!$N$62)</f>
        <v>XPINDDSLR7</v>
      </c>
      <c r="D367" s="376" t="str">
        <f>CONCATENATE("Delivery of Pipeline Traded ",Commodities!C89," from ", OILTrade!$N$62)</f>
        <v>Delivery of Pipeline Traded INDDSL from R7</v>
      </c>
      <c r="E367" s="415" t="s">
        <v>384</v>
      </c>
      <c r="F367" s="415" t="s">
        <v>505</v>
      </c>
      <c r="G367" s="399" t="s">
        <v>2534</v>
      </c>
      <c r="H367" s="376"/>
      <c r="I367" s="376"/>
    </row>
    <row r="368" spans="2:9">
      <c r="B368" s="376" t="s">
        <v>588</v>
      </c>
      <c r="C368" s="376" t="str">
        <f>CONCATENATE("XP",Commodities!C90,OILTrade!$N$62)</f>
        <v>XPELCDSLR7</v>
      </c>
      <c r="D368" s="376" t="str">
        <f>CONCATENATE("Delivery of Pipeline Traded ",Commodities!C90," from ", OILTrade!$N$62)</f>
        <v>Delivery of Pipeline Traded ELCDSL from R7</v>
      </c>
      <c r="E368" s="415" t="s">
        <v>384</v>
      </c>
      <c r="F368" s="415" t="s">
        <v>505</v>
      </c>
      <c r="G368" s="399" t="s">
        <v>2534</v>
      </c>
      <c r="H368" s="376"/>
      <c r="I368" s="376"/>
    </row>
    <row r="369" spans="2:9">
      <c r="B369" s="376" t="s">
        <v>588</v>
      </c>
      <c r="C369" s="376" t="str">
        <f>CONCATENATE("XP",Commodities!C91,OILTrade!$N$62)</f>
        <v>XPTRDSLLR7</v>
      </c>
      <c r="D369" s="376" t="str">
        <f>CONCATENATE("Delivery of Pipeline Traded ",Commodities!C91," from ", OILTrade!$N$62)</f>
        <v>Delivery of Pipeline Traded TRDSLL from R7</v>
      </c>
      <c r="E369" s="415" t="s">
        <v>384</v>
      </c>
      <c r="F369" s="415" t="s">
        <v>505</v>
      </c>
      <c r="G369" s="399" t="s">
        <v>2534</v>
      </c>
      <c r="H369" s="376"/>
      <c r="I369" s="376"/>
    </row>
    <row r="370" spans="2:9">
      <c r="B370" s="376" t="s">
        <v>588</v>
      </c>
      <c r="C370" s="376" t="str">
        <f>CONCATENATE("XP",Commodities!C92,OILTrade!$N$62)</f>
        <v>XPTRDSLUR7</v>
      </c>
      <c r="D370" s="376" t="str">
        <f>CONCATENATE("Delivery of Pipeline Traded ",Commodities!C92," from ", OILTrade!$N$62)</f>
        <v>Delivery of Pipeline Traded TRDSLU from R7</v>
      </c>
      <c r="E370" s="415" t="s">
        <v>384</v>
      </c>
      <c r="F370" s="415" t="s">
        <v>505</v>
      </c>
      <c r="G370" s="399" t="s">
        <v>2534</v>
      </c>
      <c r="H370" s="376"/>
      <c r="I370" s="376"/>
    </row>
    <row r="371" spans="2:9">
      <c r="B371" s="376" t="s">
        <v>588</v>
      </c>
      <c r="C371" s="376" t="str">
        <f>CONCATENATE("XP",Commodities!C93,OILTrade!$N$62)</f>
        <v>XPTRNJTFR7</v>
      </c>
      <c r="D371" s="376" t="str">
        <f>CONCATENATE("Delivery of Pipeline Traded ",Commodities!C93," from ", OILTrade!$N$62)</f>
        <v>Delivery of Pipeline Traded TRNJTF from R7</v>
      </c>
      <c r="E371" s="415" t="s">
        <v>384</v>
      </c>
      <c r="F371" s="415" t="s">
        <v>505</v>
      </c>
      <c r="G371" s="399" t="s">
        <v>2534</v>
      </c>
      <c r="H371" s="376"/>
      <c r="I371" s="376"/>
    </row>
    <row r="372" spans="2:9">
      <c r="B372" s="376" t="s">
        <v>588</v>
      </c>
      <c r="C372" s="376" t="str">
        <f>CONCATENATE("XP",Commodities!C94,OILTrade!$N$62)</f>
        <v>XPRESKERR7</v>
      </c>
      <c r="D372" s="376" t="str">
        <f>CONCATENATE("Delivery of Pipeline Traded ",Commodities!C94," from ", OILTrade!$N$62)</f>
        <v>Delivery of Pipeline Traded RESKER from R7</v>
      </c>
      <c r="E372" s="415" t="s">
        <v>384</v>
      </c>
      <c r="F372" s="415" t="s">
        <v>505</v>
      </c>
      <c r="G372" s="399" t="s">
        <v>2534</v>
      </c>
      <c r="H372" s="376"/>
      <c r="I372" s="376"/>
    </row>
    <row r="373" spans="2:9">
      <c r="B373" s="376" t="s">
        <v>588</v>
      </c>
      <c r="C373" s="376" t="str">
        <f>CONCATENATE("XP",Commodities!C95,OILTrade!$N$62)</f>
        <v>XPCOMKERR7</v>
      </c>
      <c r="D373" s="376" t="str">
        <f>CONCATENATE("Delivery of Pipeline Traded ",Commodities!C95," from ", OILTrade!$N$62)</f>
        <v>Delivery of Pipeline Traded COMKER from R7</v>
      </c>
      <c r="E373" s="415" t="s">
        <v>384</v>
      </c>
      <c r="F373" s="415" t="s">
        <v>505</v>
      </c>
      <c r="G373" s="399" t="s">
        <v>2534</v>
      </c>
      <c r="H373" s="376"/>
      <c r="I373" s="376"/>
    </row>
    <row r="374" spans="2:9">
      <c r="B374" s="376" t="s">
        <v>588</v>
      </c>
      <c r="C374" s="376" t="str">
        <f>CONCATENATE("XP",Commodities!C96,OILTrade!$N$62)</f>
        <v>XPINDKERR7</v>
      </c>
      <c r="D374" s="376" t="str">
        <f>CONCATENATE("Delivery of Pipeline Traded ",Commodities!C96," from ", OILTrade!$N$62)</f>
        <v>Delivery of Pipeline Traded INDKER from R7</v>
      </c>
      <c r="E374" s="415" t="s">
        <v>384</v>
      </c>
      <c r="F374" s="415" t="s">
        <v>505</v>
      </c>
      <c r="G374" s="399" t="s">
        <v>2534</v>
      </c>
      <c r="H374" s="376"/>
      <c r="I374" s="376"/>
    </row>
    <row r="375" spans="2:9">
      <c r="B375" s="376" t="s">
        <v>588</v>
      </c>
      <c r="C375" s="376" t="str">
        <f>CONCATENATE("XP",Commodities!C97,OILTrade!$N$62)</f>
        <v>XPRESLPGR7</v>
      </c>
      <c r="D375" s="376" t="str">
        <f>CONCATENATE("Delivery of Pipeline Traded ",Commodities!C97," from ", OILTrade!$N$62)</f>
        <v>Delivery of Pipeline Traded RESLPG from R7</v>
      </c>
      <c r="E375" s="415" t="s">
        <v>384</v>
      </c>
      <c r="F375" s="415" t="s">
        <v>505</v>
      </c>
      <c r="G375" s="399" t="s">
        <v>2534</v>
      </c>
      <c r="H375" s="376"/>
      <c r="I375" s="376"/>
    </row>
    <row r="376" spans="2:9">
      <c r="B376" s="376" t="s">
        <v>588</v>
      </c>
      <c r="C376" s="376" t="str">
        <f>CONCATENATE("XP",Commodities!C98,OILTrade!$N$62)</f>
        <v>XPCOMLPGR7</v>
      </c>
      <c r="D376" s="376" t="str">
        <f>CONCATENATE("Delivery of Pipeline Traded ",Commodities!C98," from ", OILTrade!$N$62)</f>
        <v>Delivery of Pipeline Traded COMLPG from R7</v>
      </c>
      <c r="E376" s="415" t="s">
        <v>384</v>
      </c>
      <c r="F376" s="415" t="s">
        <v>505</v>
      </c>
      <c r="G376" s="399" t="s">
        <v>2534</v>
      </c>
      <c r="H376" s="376"/>
      <c r="I376" s="376"/>
    </row>
    <row r="377" spans="2:9">
      <c r="B377" s="376" t="s">
        <v>588</v>
      </c>
      <c r="C377" s="376" t="str">
        <f>CONCATENATE("XP",Commodities!C99,OILTrade!$N$62)</f>
        <v>XPINDLPGR7</v>
      </c>
      <c r="D377" s="376" t="str">
        <f>CONCATENATE("Delivery of Pipeline Traded ",Commodities!C99," from ", OILTrade!$N$62)</f>
        <v>Delivery of Pipeline Traded INDLPG from R7</v>
      </c>
      <c r="E377" s="415" t="s">
        <v>384</v>
      </c>
      <c r="F377" s="415" t="s">
        <v>505</v>
      </c>
      <c r="G377" s="399" t="s">
        <v>2534</v>
      </c>
      <c r="H377" s="376"/>
      <c r="I377" s="376"/>
    </row>
    <row r="378" spans="2:9">
      <c r="B378" s="376" t="s">
        <v>588</v>
      </c>
      <c r="C378" s="376" t="str">
        <f>CONCATENATE("XP",Commodities!C100,OILTrade!$N$62)</f>
        <v>XPTRNLPGR7</v>
      </c>
      <c r="D378" s="376" t="str">
        <f>CONCATENATE("Delivery of Pipeline Traded ",Commodities!C100," from ", OILTrade!$N$62)</f>
        <v>Delivery of Pipeline Traded TRNLPG from R7</v>
      </c>
      <c r="E378" s="415" t="s">
        <v>384</v>
      </c>
      <c r="F378" s="415" t="s">
        <v>505</v>
      </c>
      <c r="G378" s="399" t="s">
        <v>2534</v>
      </c>
      <c r="H378" s="376"/>
      <c r="I378" s="376"/>
    </row>
    <row r="379" spans="2:9">
      <c r="B379" s="376" t="s">
        <v>588</v>
      </c>
      <c r="C379" s="376" t="str">
        <f>CONCATENATE("XP",Commodities!C101,OILTrade!$N$62)</f>
        <v>XPTRNMTHR7</v>
      </c>
      <c r="D379" s="376" t="str">
        <f>CONCATENATE("Delivery of Pipeline Traded ",Commodities!C101," from ", OILTrade!$N$62)</f>
        <v>Delivery of Pipeline Traded TRNMTH from R7</v>
      </c>
      <c r="E379" s="415" t="s">
        <v>384</v>
      </c>
      <c r="F379" s="415" t="s">
        <v>505</v>
      </c>
      <c r="G379" s="399" t="s">
        <v>2534</v>
      </c>
      <c r="H379" s="376"/>
      <c r="I379" s="376"/>
    </row>
    <row r="380" spans="2:9">
      <c r="B380" s="376" t="s">
        <v>588</v>
      </c>
      <c r="C380" s="376" t="str">
        <f>CONCATENATE("XP",Commodities!C102,OILTrade!$N$62)</f>
        <v>XPINDPFSR7</v>
      </c>
      <c r="D380" s="376" t="str">
        <f>CONCATENATE("Delivery of Pipeline Traded ",Commodities!C102," from ", OILTrade!$N$62)</f>
        <v>Delivery of Pipeline Traded INDPFS from R7</v>
      </c>
      <c r="E380" s="415" t="s">
        <v>384</v>
      </c>
      <c r="F380" s="415" t="s">
        <v>505</v>
      </c>
      <c r="G380" s="399" t="s">
        <v>2534</v>
      </c>
      <c r="H380" s="376"/>
      <c r="I380" s="376"/>
    </row>
    <row r="381" spans="2:9">
      <c r="B381" s="376" t="s">
        <v>588</v>
      </c>
      <c r="C381" s="376" t="str">
        <f>CONCATENATE("XP",Commodities!C104,OILTrade!$N$62)</f>
        <v>XPCOMRFLR7</v>
      </c>
      <c r="D381" s="376" t="str">
        <f>CONCATENATE("Delivery of Pipeline Traded ",Commodities!C104," from ", OILTrade!$N$62)</f>
        <v>Delivery of Pipeline Traded COMRFL from R7</v>
      </c>
      <c r="E381" s="415" t="s">
        <v>384</v>
      </c>
      <c r="F381" s="415" t="s">
        <v>505</v>
      </c>
      <c r="G381" s="399" t="s">
        <v>2534</v>
      </c>
      <c r="H381" s="376"/>
      <c r="I381" s="376"/>
    </row>
    <row r="382" spans="2:9">
      <c r="B382" s="376" t="s">
        <v>588</v>
      </c>
      <c r="C382" s="376" t="str">
        <f>CONCATENATE("XP",Commodities!C105,OILTrade!$N$62)</f>
        <v>XPINDRFLR7</v>
      </c>
      <c r="D382" s="376" t="str">
        <f>CONCATENATE("Delivery of Pipeline Traded ",Commodities!C105," from ", OILTrade!$N$62)</f>
        <v>Delivery of Pipeline Traded INDRFL from R7</v>
      </c>
      <c r="E382" s="415" t="s">
        <v>384</v>
      </c>
      <c r="F382" s="415" t="s">
        <v>505</v>
      </c>
      <c r="G382" s="399" t="s">
        <v>2534</v>
      </c>
      <c r="H382" s="376"/>
      <c r="I382" s="376"/>
    </row>
    <row r="383" spans="2:9">
      <c r="B383" s="376" t="s">
        <v>588</v>
      </c>
      <c r="C383" s="376" t="str">
        <f>CONCATENATE("XP",Commodities!C106,OILTrade!$N$62)</f>
        <v>XPELCRFLR7</v>
      </c>
      <c r="D383" s="376" t="str">
        <f>CONCATENATE("Delivery of Pipeline Traded ",Commodities!C106," from ", OILTrade!$N$62)</f>
        <v>Delivery of Pipeline Traded ELCRFL from R7</v>
      </c>
      <c r="E383" s="415" t="s">
        <v>384</v>
      </c>
      <c r="F383" s="415" t="s">
        <v>505</v>
      </c>
      <c r="G383" s="399" t="s">
        <v>2534</v>
      </c>
      <c r="H383" s="376"/>
      <c r="I383" s="376"/>
    </row>
    <row r="384" spans="2:9">
      <c r="B384" s="376" t="s">
        <v>588</v>
      </c>
      <c r="C384" s="376" t="str">
        <f>CONCATENATE("XP",Commodities!C107,OILTrade!$N$62)</f>
        <v>XPTRNRFHR7</v>
      </c>
      <c r="D384" s="376" t="str">
        <f>CONCATENATE("Delivery of Pipeline Traded ",Commodities!C107," from ", OILTrade!$N$62)</f>
        <v>Delivery of Pipeline Traded TRNRFH from R7</v>
      </c>
      <c r="E384" s="415" t="s">
        <v>384</v>
      </c>
      <c r="F384" s="415" t="s">
        <v>505</v>
      </c>
      <c r="G384" s="399" t="s">
        <v>2534</v>
      </c>
      <c r="H384" s="376"/>
      <c r="I384" s="376"/>
    </row>
    <row r="385" spans="2:9">
      <c r="B385" s="376" t="s">
        <v>588</v>
      </c>
      <c r="C385" s="376" t="str">
        <f>CONCATENATE("XP",Commodities!C108,OILTrade!$N$62)</f>
        <v>XPELCRFHR7</v>
      </c>
      <c r="D385" s="376" t="str">
        <f>CONCATENATE("Delivery of Pipeline Traded ",Commodities!C108," from ", OILTrade!$N$62)</f>
        <v>Delivery of Pipeline Traded ELCRFH from R7</v>
      </c>
      <c r="E385" s="415" t="s">
        <v>384</v>
      </c>
      <c r="F385" s="415" t="s">
        <v>505</v>
      </c>
      <c r="G385" s="399" t="s">
        <v>2534</v>
      </c>
      <c r="H385" s="376"/>
      <c r="I385" s="376"/>
    </row>
    <row r="386" spans="2:9">
      <c r="B386" s="376" t="s">
        <v>588</v>
      </c>
      <c r="C386" s="376" t="str">
        <f>CONCATENATE("XP",Commodities!C109,OILTrade!$N$62)</f>
        <v>XPINDASPR7</v>
      </c>
      <c r="D386" s="376" t="str">
        <f>CONCATENATE("Delivery of Pipeline Traded ",Commodities!C109," from ", OILTrade!$N$62)</f>
        <v>Delivery of Pipeline Traded INDASP from R7</v>
      </c>
      <c r="E386" s="415" t="s">
        <v>384</v>
      </c>
      <c r="F386" s="415" t="s">
        <v>505</v>
      </c>
      <c r="G386" s="399" t="s">
        <v>2534</v>
      </c>
      <c r="H386" s="376"/>
      <c r="I386" s="376"/>
    </row>
    <row r="387" spans="2:9">
      <c r="B387" s="376" t="s">
        <v>588</v>
      </c>
      <c r="C387" s="376" t="str">
        <f>CONCATENATE("XP",Commodities!C85,OILTrade!$N$63)</f>
        <v>XPTRGSLCR8</v>
      </c>
      <c r="D387" s="376" t="str">
        <f>CONCATENATE("Delivery of Pipeline Traded ",Commodities!C85," from ", OILTrade!$N$63)</f>
        <v>Delivery of Pipeline Traded TRGSLC from R8</v>
      </c>
      <c r="E387" s="415" t="s">
        <v>384</v>
      </c>
      <c r="F387" s="415" t="s">
        <v>505</v>
      </c>
      <c r="G387" s="399" t="s">
        <v>2534</v>
      </c>
      <c r="H387" s="376"/>
      <c r="I387" s="376"/>
    </row>
    <row r="388" spans="2:9">
      <c r="B388" s="376" t="s">
        <v>588</v>
      </c>
      <c r="C388" s="376" t="str">
        <f>CONCATENATE("XP",Commodities!C86,OILTrade!$N$63)</f>
        <v>XPTRGSLRR8</v>
      </c>
      <c r="D388" s="376" t="str">
        <f>CONCATENATE("Delivery of Pipeline Traded ",Commodities!C86," from ", OILTrade!$N$63)</f>
        <v>Delivery of Pipeline Traded TRGSLR from R8</v>
      </c>
      <c r="E388" s="415" t="s">
        <v>384</v>
      </c>
      <c r="F388" s="415" t="s">
        <v>505</v>
      </c>
      <c r="G388" s="399" t="s">
        <v>2534</v>
      </c>
      <c r="H388" s="376"/>
      <c r="I388" s="376"/>
    </row>
    <row r="389" spans="2:9">
      <c r="B389" s="376" t="s">
        <v>588</v>
      </c>
      <c r="C389" s="376" t="str">
        <f>CONCATENATE("XP",Commodities!C87,OILTrade!$N$63)</f>
        <v>XPRESDSLR8</v>
      </c>
      <c r="D389" s="376" t="str">
        <f>CONCATENATE("Delivery of Pipeline Traded ",Commodities!C87," from ", OILTrade!$N$63)</f>
        <v>Delivery of Pipeline Traded RESDSL from R8</v>
      </c>
      <c r="E389" s="415" t="s">
        <v>384</v>
      </c>
      <c r="F389" s="415" t="s">
        <v>505</v>
      </c>
      <c r="G389" s="399" t="s">
        <v>2534</v>
      </c>
      <c r="H389" s="376"/>
      <c r="I389" s="376"/>
    </row>
    <row r="390" spans="2:9">
      <c r="B390" s="376" t="s">
        <v>588</v>
      </c>
      <c r="C390" s="376" t="str">
        <f>CONCATENATE("XP",Commodities!C88,OILTrade!$N$63)</f>
        <v>XPCOMDSLR8</v>
      </c>
      <c r="D390" s="376" t="str">
        <f>CONCATENATE("Delivery of Pipeline Traded ",Commodities!C88," from ", OILTrade!$N$63)</f>
        <v>Delivery of Pipeline Traded COMDSL from R8</v>
      </c>
      <c r="E390" s="415" t="s">
        <v>384</v>
      </c>
      <c r="F390" s="415" t="s">
        <v>505</v>
      </c>
      <c r="G390" s="399" t="s">
        <v>2534</v>
      </c>
      <c r="H390" s="376"/>
      <c r="I390" s="376"/>
    </row>
    <row r="391" spans="2:9">
      <c r="B391" s="376" t="s">
        <v>588</v>
      </c>
      <c r="C391" s="376" t="str">
        <f>CONCATENATE("XP",Commodities!C89,OILTrade!$N$63)</f>
        <v>XPINDDSLR8</v>
      </c>
      <c r="D391" s="376" t="str">
        <f>CONCATENATE("Delivery of Pipeline Traded ",Commodities!C89," from ", OILTrade!$N$63)</f>
        <v>Delivery of Pipeline Traded INDDSL from R8</v>
      </c>
      <c r="E391" s="415" t="s">
        <v>384</v>
      </c>
      <c r="F391" s="415" t="s">
        <v>505</v>
      </c>
      <c r="G391" s="399" t="s">
        <v>2534</v>
      </c>
      <c r="H391" s="376"/>
      <c r="I391" s="376"/>
    </row>
    <row r="392" spans="2:9">
      <c r="B392" s="376" t="s">
        <v>588</v>
      </c>
      <c r="C392" s="376" t="str">
        <f>CONCATENATE("XP",Commodities!C90,OILTrade!$N$63)</f>
        <v>XPELCDSLR8</v>
      </c>
      <c r="D392" s="376" t="str">
        <f>CONCATENATE("Delivery of Pipeline Traded ",Commodities!C90," from ", OILTrade!$N$63)</f>
        <v>Delivery of Pipeline Traded ELCDSL from R8</v>
      </c>
      <c r="E392" s="415" t="s">
        <v>384</v>
      </c>
      <c r="F392" s="415" t="s">
        <v>505</v>
      </c>
      <c r="G392" s="399" t="s">
        <v>2534</v>
      </c>
      <c r="H392" s="376"/>
      <c r="I392" s="376"/>
    </row>
    <row r="393" spans="2:9">
      <c r="B393" s="376" t="s">
        <v>588</v>
      </c>
      <c r="C393" s="376" t="str">
        <f>CONCATENATE("XP",Commodities!C91,OILTrade!$N$63)</f>
        <v>XPTRDSLLR8</v>
      </c>
      <c r="D393" s="376" t="str">
        <f>CONCATENATE("Delivery of Pipeline Traded ",Commodities!C91," from ", OILTrade!$N$63)</f>
        <v>Delivery of Pipeline Traded TRDSLL from R8</v>
      </c>
      <c r="E393" s="415" t="s">
        <v>384</v>
      </c>
      <c r="F393" s="415" t="s">
        <v>505</v>
      </c>
      <c r="G393" s="399" t="s">
        <v>2534</v>
      </c>
      <c r="H393" s="376"/>
      <c r="I393" s="376"/>
    </row>
    <row r="394" spans="2:9">
      <c r="B394" s="376" t="s">
        <v>588</v>
      </c>
      <c r="C394" s="376" t="str">
        <f>CONCATENATE("XP",Commodities!C92,OILTrade!$N$63)</f>
        <v>XPTRDSLUR8</v>
      </c>
      <c r="D394" s="376" t="str">
        <f>CONCATENATE("Delivery of Pipeline Traded ",Commodities!C92," from ", OILTrade!$N$63)</f>
        <v>Delivery of Pipeline Traded TRDSLU from R8</v>
      </c>
      <c r="E394" s="415" t="s">
        <v>384</v>
      </c>
      <c r="F394" s="415" t="s">
        <v>505</v>
      </c>
      <c r="G394" s="399" t="s">
        <v>2534</v>
      </c>
      <c r="H394" s="376"/>
      <c r="I394" s="376"/>
    </row>
    <row r="395" spans="2:9">
      <c r="B395" s="376" t="s">
        <v>588</v>
      </c>
      <c r="C395" s="376" t="str">
        <f>CONCATENATE("XP",Commodities!C93,OILTrade!$N$63)</f>
        <v>XPTRNJTFR8</v>
      </c>
      <c r="D395" s="376" t="str">
        <f>CONCATENATE("Delivery of Pipeline Traded ",Commodities!C93," from ", OILTrade!$N$63)</f>
        <v>Delivery of Pipeline Traded TRNJTF from R8</v>
      </c>
      <c r="E395" s="415" t="s">
        <v>384</v>
      </c>
      <c r="F395" s="415" t="s">
        <v>505</v>
      </c>
      <c r="G395" s="399" t="s">
        <v>2534</v>
      </c>
      <c r="H395" s="376"/>
      <c r="I395" s="376"/>
    </row>
    <row r="396" spans="2:9">
      <c r="B396" s="376" t="s">
        <v>588</v>
      </c>
      <c r="C396" s="376" t="str">
        <f>CONCATENATE("XP",Commodities!C94,OILTrade!$N$63)</f>
        <v>XPRESKERR8</v>
      </c>
      <c r="D396" s="376" t="str">
        <f>CONCATENATE("Delivery of Pipeline Traded ",Commodities!C94," from ", OILTrade!$N$63)</f>
        <v>Delivery of Pipeline Traded RESKER from R8</v>
      </c>
      <c r="E396" s="415" t="s">
        <v>384</v>
      </c>
      <c r="F396" s="415" t="s">
        <v>505</v>
      </c>
      <c r="G396" s="399" t="s">
        <v>2534</v>
      </c>
      <c r="H396" s="376"/>
      <c r="I396" s="376"/>
    </row>
    <row r="397" spans="2:9">
      <c r="B397" s="376" t="s">
        <v>588</v>
      </c>
      <c r="C397" s="376" t="str">
        <f>CONCATENATE("XP",Commodities!C95,OILTrade!$N$63)</f>
        <v>XPCOMKERR8</v>
      </c>
      <c r="D397" s="376" t="str">
        <f>CONCATENATE("Delivery of Pipeline Traded ",Commodities!C95," from ", OILTrade!$N$63)</f>
        <v>Delivery of Pipeline Traded COMKER from R8</v>
      </c>
      <c r="E397" s="415" t="s">
        <v>384</v>
      </c>
      <c r="F397" s="415" t="s">
        <v>505</v>
      </c>
      <c r="G397" s="399" t="s">
        <v>2534</v>
      </c>
      <c r="H397" s="376"/>
      <c r="I397" s="376"/>
    </row>
    <row r="398" spans="2:9">
      <c r="B398" s="376" t="s">
        <v>588</v>
      </c>
      <c r="C398" s="376" t="str">
        <f>CONCATENATE("XP",Commodities!C96,OILTrade!$N$63)</f>
        <v>XPINDKERR8</v>
      </c>
      <c r="D398" s="376" t="str">
        <f>CONCATENATE("Delivery of Pipeline Traded ",Commodities!C96," from ", OILTrade!$N$63)</f>
        <v>Delivery of Pipeline Traded INDKER from R8</v>
      </c>
      <c r="E398" s="415" t="s">
        <v>384</v>
      </c>
      <c r="F398" s="415" t="s">
        <v>505</v>
      </c>
      <c r="G398" s="399" t="s">
        <v>2534</v>
      </c>
      <c r="H398" s="376"/>
      <c r="I398" s="376"/>
    </row>
    <row r="399" spans="2:9">
      <c r="B399" s="376" t="s">
        <v>588</v>
      </c>
      <c r="C399" s="376" t="str">
        <f>CONCATENATE("XP",Commodities!C97,OILTrade!$N$63)</f>
        <v>XPRESLPGR8</v>
      </c>
      <c r="D399" s="376" t="str">
        <f>CONCATENATE("Delivery of Pipeline Traded ",Commodities!C97," from ", OILTrade!$N$63)</f>
        <v>Delivery of Pipeline Traded RESLPG from R8</v>
      </c>
      <c r="E399" s="415" t="s">
        <v>384</v>
      </c>
      <c r="F399" s="415" t="s">
        <v>505</v>
      </c>
      <c r="G399" s="399" t="s">
        <v>2534</v>
      </c>
      <c r="H399" s="376"/>
      <c r="I399" s="376"/>
    </row>
    <row r="400" spans="2:9">
      <c r="B400" s="376" t="s">
        <v>588</v>
      </c>
      <c r="C400" s="376" t="str">
        <f>CONCATENATE("XP",Commodities!C98,OILTrade!$N$63)</f>
        <v>XPCOMLPGR8</v>
      </c>
      <c r="D400" s="376" t="str">
        <f>CONCATENATE("Delivery of Pipeline Traded ",Commodities!C98," from ", OILTrade!$N$63)</f>
        <v>Delivery of Pipeline Traded COMLPG from R8</v>
      </c>
      <c r="E400" s="415" t="s">
        <v>384</v>
      </c>
      <c r="F400" s="415" t="s">
        <v>505</v>
      </c>
      <c r="G400" s="399" t="s">
        <v>2534</v>
      </c>
      <c r="H400" s="376"/>
      <c r="I400" s="376"/>
    </row>
    <row r="401" spans="2:9">
      <c r="B401" s="376" t="s">
        <v>588</v>
      </c>
      <c r="C401" s="376" t="str">
        <f>CONCATENATE("XP",Commodities!C99,OILTrade!$N$63)</f>
        <v>XPINDLPGR8</v>
      </c>
      <c r="D401" s="376" t="str">
        <f>CONCATENATE("Delivery of Pipeline Traded ",Commodities!C99," from ", OILTrade!$N$63)</f>
        <v>Delivery of Pipeline Traded INDLPG from R8</v>
      </c>
      <c r="E401" s="415" t="s">
        <v>384</v>
      </c>
      <c r="F401" s="415" t="s">
        <v>505</v>
      </c>
      <c r="G401" s="399" t="s">
        <v>2534</v>
      </c>
      <c r="H401" s="376"/>
      <c r="I401" s="376"/>
    </row>
    <row r="402" spans="2:9">
      <c r="B402" s="376" t="s">
        <v>588</v>
      </c>
      <c r="C402" s="376" t="str">
        <f>CONCATENATE("XP",Commodities!C100,OILTrade!$N$63)</f>
        <v>XPTRNLPGR8</v>
      </c>
      <c r="D402" s="376" t="str">
        <f>CONCATENATE("Delivery of Pipeline Traded ",Commodities!C100," from ", OILTrade!$N$63)</f>
        <v>Delivery of Pipeline Traded TRNLPG from R8</v>
      </c>
      <c r="E402" s="415" t="s">
        <v>384</v>
      </c>
      <c r="F402" s="415" t="s">
        <v>505</v>
      </c>
      <c r="G402" s="399" t="s">
        <v>2534</v>
      </c>
      <c r="H402" s="376"/>
      <c r="I402" s="376"/>
    </row>
    <row r="403" spans="2:9">
      <c r="B403" s="376" t="s">
        <v>588</v>
      </c>
      <c r="C403" s="376" t="str">
        <f>CONCATENATE("XP",Commodities!C101,OILTrade!$N$63)</f>
        <v>XPTRNMTHR8</v>
      </c>
      <c r="D403" s="376" t="str">
        <f>CONCATENATE("Delivery of Pipeline Traded ",Commodities!C101," from ", OILTrade!$N$63)</f>
        <v>Delivery of Pipeline Traded TRNMTH from R8</v>
      </c>
      <c r="E403" s="415" t="s">
        <v>384</v>
      </c>
      <c r="F403" s="415" t="s">
        <v>505</v>
      </c>
      <c r="G403" s="399" t="s">
        <v>2534</v>
      </c>
      <c r="H403" s="376"/>
      <c r="I403" s="376"/>
    </row>
    <row r="404" spans="2:9">
      <c r="B404" s="376" t="s">
        <v>588</v>
      </c>
      <c r="C404" s="376" t="str">
        <f>CONCATENATE("XP",Commodities!C102,OILTrade!$N$63)</f>
        <v>XPINDPFSR8</v>
      </c>
      <c r="D404" s="376" t="str">
        <f>CONCATENATE("Delivery of Pipeline Traded ",Commodities!C102," from ", OILTrade!$N$63)</f>
        <v>Delivery of Pipeline Traded INDPFS from R8</v>
      </c>
      <c r="E404" s="415" t="s">
        <v>384</v>
      </c>
      <c r="F404" s="415" t="s">
        <v>505</v>
      </c>
      <c r="G404" s="399" t="s">
        <v>2534</v>
      </c>
      <c r="H404" s="376"/>
      <c r="I404" s="376"/>
    </row>
    <row r="405" spans="2:9">
      <c r="B405" s="376" t="s">
        <v>588</v>
      </c>
      <c r="C405" s="376" t="str">
        <f>CONCATENATE("XP",Commodities!C104,OILTrade!$N$63)</f>
        <v>XPCOMRFLR8</v>
      </c>
      <c r="D405" s="376" t="str">
        <f>CONCATENATE("Delivery of Pipeline Traded ",Commodities!C104," from ", OILTrade!$N$63)</f>
        <v>Delivery of Pipeline Traded COMRFL from R8</v>
      </c>
      <c r="E405" s="415" t="s">
        <v>384</v>
      </c>
      <c r="F405" s="415" t="s">
        <v>505</v>
      </c>
      <c r="G405" s="399" t="s">
        <v>2534</v>
      </c>
      <c r="H405" s="376"/>
      <c r="I405" s="376"/>
    </row>
    <row r="406" spans="2:9">
      <c r="B406" s="376" t="s">
        <v>588</v>
      </c>
      <c r="C406" s="376" t="str">
        <f>CONCATENATE("XP",Commodities!C105,OILTrade!$N$63)</f>
        <v>XPINDRFLR8</v>
      </c>
      <c r="D406" s="376" t="str">
        <f>CONCATENATE("Delivery of Pipeline Traded ",Commodities!C105," from ", OILTrade!$N$63)</f>
        <v>Delivery of Pipeline Traded INDRFL from R8</v>
      </c>
      <c r="E406" s="415" t="s">
        <v>384</v>
      </c>
      <c r="F406" s="415" t="s">
        <v>505</v>
      </c>
      <c r="G406" s="399" t="s">
        <v>2534</v>
      </c>
      <c r="H406" s="376"/>
      <c r="I406" s="376"/>
    </row>
    <row r="407" spans="2:9">
      <c r="B407" s="376" t="s">
        <v>588</v>
      </c>
      <c r="C407" s="376" t="str">
        <f>CONCATENATE("XP",Commodities!C106,OILTrade!$N$63)</f>
        <v>XPELCRFLR8</v>
      </c>
      <c r="D407" s="376" t="str">
        <f>CONCATENATE("Delivery of Pipeline Traded ",Commodities!C106," from ", OILTrade!$N$63)</f>
        <v>Delivery of Pipeline Traded ELCRFL from R8</v>
      </c>
      <c r="E407" s="415" t="s">
        <v>384</v>
      </c>
      <c r="F407" s="415" t="s">
        <v>505</v>
      </c>
      <c r="G407" s="399" t="s">
        <v>2534</v>
      </c>
      <c r="H407" s="376"/>
      <c r="I407" s="376"/>
    </row>
    <row r="408" spans="2:9">
      <c r="B408" s="376" t="s">
        <v>588</v>
      </c>
      <c r="C408" s="376" t="str">
        <f>CONCATENATE("XP",Commodities!C107,OILTrade!$N$63)</f>
        <v>XPTRNRFHR8</v>
      </c>
      <c r="D408" s="376" t="str">
        <f>CONCATENATE("Delivery of Pipeline Traded ",Commodities!C107," from ", OILTrade!$N$63)</f>
        <v>Delivery of Pipeline Traded TRNRFH from R8</v>
      </c>
      <c r="E408" s="415" t="s">
        <v>384</v>
      </c>
      <c r="F408" s="415" t="s">
        <v>505</v>
      </c>
      <c r="G408" s="399" t="s">
        <v>2534</v>
      </c>
      <c r="H408" s="376"/>
      <c r="I408" s="376"/>
    </row>
    <row r="409" spans="2:9">
      <c r="B409" s="376" t="s">
        <v>588</v>
      </c>
      <c r="C409" s="376" t="str">
        <f>CONCATENATE("XP",Commodities!C108,OILTrade!$N$63)</f>
        <v>XPELCRFHR8</v>
      </c>
      <c r="D409" s="376" t="str">
        <f>CONCATENATE("Delivery of Pipeline Traded ",Commodities!C108," from ", OILTrade!$N$63)</f>
        <v>Delivery of Pipeline Traded ELCRFH from R8</v>
      </c>
      <c r="E409" s="415" t="s">
        <v>384</v>
      </c>
      <c r="F409" s="415" t="s">
        <v>505</v>
      </c>
      <c r="G409" s="399" t="s">
        <v>2534</v>
      </c>
      <c r="H409" s="376"/>
      <c r="I409" s="376"/>
    </row>
    <row r="410" spans="2:9">
      <c r="B410" s="376" t="s">
        <v>588</v>
      </c>
      <c r="C410" s="376" t="str">
        <f>CONCATENATE("XP",Commodities!C109,OILTrade!$N$63)</f>
        <v>XPINDASPR8</v>
      </c>
      <c r="D410" s="376" t="str">
        <f>CONCATENATE("Delivery of Pipeline Traded ",Commodities!C109," from ", OILTrade!$N$63)</f>
        <v>Delivery of Pipeline Traded INDASP from R8</v>
      </c>
      <c r="E410" s="415" t="s">
        <v>384</v>
      </c>
      <c r="F410" s="415" t="s">
        <v>505</v>
      </c>
      <c r="G410" s="399" t="s">
        <v>2534</v>
      </c>
      <c r="H410" s="376"/>
      <c r="I410" s="376"/>
    </row>
    <row r="415" spans="2:9">
      <c r="B415" s="376" t="str">
        <f>IF(OR(G$200="*",LEFT(Commodities!B$49,1)="*"),"*R0,R1,R2,R3,R4,R5,R6","R0,R1,R2,R3,R4,R5,R6")</f>
        <v>R0,R1,R2,R3,R4,R5,R6</v>
      </c>
      <c r="C415" s="376" t="e">
        <f>#REF!</f>
        <v>#REF!</v>
      </c>
      <c r="D415" s="376" t="e">
        <f>#REF!</f>
        <v>#REF!</v>
      </c>
      <c r="E415" s="415" t="s">
        <v>384</v>
      </c>
      <c r="F415" s="415" t="s">
        <v>505</v>
      </c>
      <c r="G415" s="399" t="s">
        <v>2536</v>
      </c>
      <c r="H415" s="376"/>
      <c r="I415" s="376"/>
    </row>
    <row r="416" spans="2:9">
      <c r="B416" s="376" t="str">
        <f>IF(OR(G$200="*",LEFT(Commodities!B$49,1)="*"),"*R0,R1,R2,R3,R4,R5,R6","R0,R1,R2,R3,R4,R5,R6")</f>
        <v>R0,R1,R2,R3,R4,R5,R6</v>
      </c>
      <c r="C416" s="376" t="e">
        <f>#REF!</f>
        <v>#REF!</v>
      </c>
      <c r="D416" s="376" t="e">
        <f>#REF!</f>
        <v>#REF!</v>
      </c>
      <c r="E416" s="415" t="s">
        <v>384</v>
      </c>
      <c r="F416" s="415" t="s">
        <v>505</v>
      </c>
      <c r="G416" s="399"/>
      <c r="H416" s="376"/>
      <c r="I416" s="376"/>
    </row>
    <row r="417" spans="2:9">
      <c r="B417" s="376" t="str">
        <f>IF(OR(G$200="*",LEFT(Commodities!B$49,1)="*"),"*R0,R1,R2,R3,R4,R5,R6","R0,R1,R2,R3,R4,R5,R6")</f>
        <v>R0,R1,R2,R3,R4,R5,R6</v>
      </c>
      <c r="C417" s="376" t="e">
        <f>#REF!</f>
        <v>#REF!</v>
      </c>
      <c r="D417" s="376" t="e">
        <f>#REF!</f>
        <v>#REF!</v>
      </c>
      <c r="E417" s="415" t="s">
        <v>384</v>
      </c>
      <c r="F417" s="415" t="s">
        <v>505</v>
      </c>
      <c r="G417" s="399"/>
      <c r="H417" s="376"/>
      <c r="I417" s="376"/>
    </row>
    <row r="418" spans="2:9">
      <c r="B418" s="376" t="str">
        <f>IF(OR(G$200="*",LEFT(Commodities!B$49,1)="*"),"*R0,R1,R2,R3,R4,R5,R6","R0,R1,R2,R3,R4,R5,R6")</f>
        <v>R0,R1,R2,R3,R4,R5,R6</v>
      </c>
      <c r="C418" s="376" t="e">
        <f>#REF!</f>
        <v>#REF!</v>
      </c>
      <c r="D418" s="376" t="e">
        <f>#REF!</f>
        <v>#REF!</v>
      </c>
      <c r="E418" s="415" t="s">
        <v>384</v>
      </c>
      <c r="F418" s="415" t="s">
        <v>505</v>
      </c>
      <c r="G418" s="399"/>
      <c r="H418" s="376"/>
      <c r="I418" s="376"/>
    </row>
    <row r="419" spans="2:9">
      <c r="B419" s="376" t="str">
        <f>IF(OR(G$200="*",LEFT(Commodities!B$49,1)="*"),"*R0,R1,R2,R3,R4,R5,R6","R0,R1,R2,R3,R4,R5,R6")</f>
        <v>R0,R1,R2,R3,R4,R5,R6</v>
      </c>
      <c r="C419" s="376" t="e">
        <f>#REF!</f>
        <v>#REF!</v>
      </c>
      <c r="D419" s="376" t="e">
        <f>#REF!</f>
        <v>#REF!</v>
      </c>
      <c r="E419" s="415" t="s">
        <v>384</v>
      </c>
      <c r="F419" s="415" t="s">
        <v>505</v>
      </c>
      <c r="G419" s="399"/>
      <c r="H419" s="376"/>
      <c r="I419" s="376"/>
    </row>
    <row r="420" spans="2:9">
      <c r="B420" s="376" t="str">
        <f>IF(OR(G$200="*",LEFT(Commodities!B$48,1)="*"),"*R0,R1,R2,R3,R4,R5,R6","R0,R1,R2,R3,R4,R5,R6")</f>
        <v>R0,R1,R2,R3,R4,R5,R6</v>
      </c>
      <c r="C420" s="376" t="e">
        <f>#REF!</f>
        <v>#REF!</v>
      </c>
      <c r="D420" s="376" t="e">
        <f>#REF!</f>
        <v>#REF!</v>
      </c>
      <c r="E420" s="415" t="s">
        <v>384</v>
      </c>
      <c r="F420" s="415" t="s">
        <v>505</v>
      </c>
      <c r="G420" s="399"/>
      <c r="H420" s="376"/>
      <c r="I420" s="376"/>
    </row>
    <row r="421" spans="2:9">
      <c r="B421" s="376" t="str">
        <f>IF(OR(G$200="*",LEFT(Commodities!B$48,1)="*"),"*R0,R1,R2,R3,R4,R5,R6","R0,R1,R2,R3,R4,R5,R6")</f>
        <v>R0,R1,R2,R3,R4,R5,R6</v>
      </c>
      <c r="C421" s="376" t="e">
        <f>#REF!</f>
        <v>#REF!</v>
      </c>
      <c r="D421" s="376" t="e">
        <f>#REF!</f>
        <v>#REF!</v>
      </c>
      <c r="E421" s="415" t="s">
        <v>384</v>
      </c>
      <c r="F421" s="415" t="s">
        <v>505</v>
      </c>
      <c r="G421" s="399"/>
      <c r="H421" s="376"/>
      <c r="I421" s="376"/>
    </row>
    <row r="422" spans="2:9">
      <c r="B422" s="376" t="str">
        <f>IF(OR(G$200="*",LEFT(Commodities!B$48,1)="*"),"*R0,R1,R2,R3,R4,R5,R6","R0,R1,R2,R3,R4,R5,R6")</f>
        <v>R0,R1,R2,R3,R4,R5,R6</v>
      </c>
      <c r="C422" s="376" t="e">
        <f>#REF!</f>
        <v>#REF!</v>
      </c>
      <c r="D422" s="376" t="e">
        <f>#REF!</f>
        <v>#REF!</v>
      </c>
      <c r="E422" s="415" t="s">
        <v>384</v>
      </c>
      <c r="F422" s="415" t="s">
        <v>505</v>
      </c>
      <c r="G422" s="399"/>
      <c r="H422" s="376"/>
      <c r="I422" s="376"/>
    </row>
    <row r="423" spans="2:9">
      <c r="B423" s="376" t="str">
        <f>IF(OR(G$200="*",LEFT(Commodities!B$48,1)="*"),"*R0,R1,R2,R3,R4,R5,R6","R0,R1,R2,R3,R4,R5,R6")</f>
        <v>R0,R1,R2,R3,R4,R5,R6</v>
      </c>
      <c r="C423" s="376" t="e">
        <f>#REF!</f>
        <v>#REF!</v>
      </c>
      <c r="D423" s="376" t="e">
        <f>#REF!</f>
        <v>#REF!</v>
      </c>
      <c r="E423" s="415" t="s">
        <v>384</v>
      </c>
      <c r="F423" s="415" t="s">
        <v>505</v>
      </c>
      <c r="G423" s="399"/>
      <c r="H423" s="376"/>
      <c r="I423" s="376"/>
    </row>
    <row r="424" spans="2:9">
      <c r="B424" s="376" t="str">
        <f>IF(OR(G$200="*",LEFT(Commodities!B$48,1)="*"),"*R0,R1,R2,R3,R4,R5,R6","R0,R1,R2,R3,R4,R5,R6")</f>
        <v>R0,R1,R2,R3,R4,R5,R6</v>
      </c>
      <c r="C424" s="376" t="e">
        <f>#REF!</f>
        <v>#REF!</v>
      </c>
      <c r="D424" s="376" t="e">
        <f>#REF!</f>
        <v>#REF!</v>
      </c>
      <c r="E424" s="415" t="s">
        <v>384</v>
      </c>
      <c r="F424" s="415" t="s">
        <v>505</v>
      </c>
      <c r="G424" s="399"/>
      <c r="H424" s="376"/>
      <c r="I424" s="376"/>
    </row>
    <row r="425" spans="2:9">
      <c r="B425" s="376" t="str">
        <f>IF(OR(G$200="*",LEFT(Commodities!B$51,1)="*"),"*R0,R1,R2,R3,R4,R5,R6","R0,R1,R2,R3,R4,R5,R6")</f>
        <v>R0,R1,R2,R3,R4,R5,R6</v>
      </c>
      <c r="C425" s="376" t="e">
        <f>#REF!</f>
        <v>#REF!</v>
      </c>
      <c r="D425" s="376" t="e">
        <f>#REF!</f>
        <v>#REF!</v>
      </c>
      <c r="E425" s="415" t="s">
        <v>384</v>
      </c>
      <c r="F425" s="415" t="s">
        <v>505</v>
      </c>
      <c r="G425" s="399"/>
      <c r="H425" s="376"/>
      <c r="I425" s="376"/>
    </row>
    <row r="426" spans="2:9">
      <c r="B426" s="376" t="str">
        <f>IF(OR(G$200="*",LEFT(Commodities!B$51,1)="*"),"*R0,R1,R2,R3,R4,R5,R6","R0,R1,R2,R3,R4,R5,R6")</f>
        <v>R0,R1,R2,R3,R4,R5,R6</v>
      </c>
      <c r="C426" s="376" t="e">
        <f>#REF!</f>
        <v>#REF!</v>
      </c>
      <c r="D426" s="376" t="e">
        <f>#REF!</f>
        <v>#REF!</v>
      </c>
      <c r="E426" s="415" t="s">
        <v>384</v>
      </c>
      <c r="F426" s="415" t="s">
        <v>505</v>
      </c>
      <c r="G426" s="399"/>
      <c r="H426" s="376"/>
      <c r="I426" s="376"/>
    </row>
    <row r="427" spans="2:9">
      <c r="B427" s="376" t="str">
        <f>IF(OR(G$200="*",LEFT(Commodities!B$51,1)="*"),"*R0,R1,R2,R3,R4,R5,R6","R0,R1,R2,R3,R4,R5,R6")</f>
        <v>R0,R1,R2,R3,R4,R5,R6</v>
      </c>
      <c r="C427" s="376" t="e">
        <f>#REF!</f>
        <v>#REF!</v>
      </c>
      <c r="D427" s="376" t="e">
        <f>#REF!</f>
        <v>#REF!</v>
      </c>
      <c r="E427" s="415" t="s">
        <v>384</v>
      </c>
      <c r="F427" s="415" t="s">
        <v>505</v>
      </c>
      <c r="G427" s="399"/>
      <c r="H427" s="376"/>
      <c r="I427" s="376"/>
    </row>
    <row r="428" spans="2:9">
      <c r="B428" s="376" t="str">
        <f>IF(OR(G$200="*",LEFT(Commodities!B$51,1)="*"),"*R0,R1,R2,R3,R4,R5,R6","R0,R1,R2,R3,R4,R5,R6")</f>
        <v>R0,R1,R2,R3,R4,R5,R6</v>
      </c>
      <c r="C428" s="376" t="e">
        <f>#REF!</f>
        <v>#REF!</v>
      </c>
      <c r="D428" s="376" t="e">
        <f>#REF!</f>
        <v>#REF!</v>
      </c>
      <c r="E428" s="415" t="s">
        <v>384</v>
      </c>
      <c r="F428" s="415" t="s">
        <v>505</v>
      </c>
      <c r="G428" s="399"/>
      <c r="H428" s="376"/>
      <c r="I428" s="376"/>
    </row>
    <row r="429" spans="2:9">
      <c r="B429" s="376" t="str">
        <f>IF(OR(G$200="*",LEFT(Commodities!B$51,1)="*"),"*R0,R1,R2,R3,R4,R5,R6","R0,R1,R2,R3,R4,R5,R6")</f>
        <v>R0,R1,R2,R3,R4,R5,R6</v>
      </c>
      <c r="C429" s="376" t="e">
        <f>#REF!</f>
        <v>#REF!</v>
      </c>
      <c r="D429" s="376" t="e">
        <f>#REF!</f>
        <v>#REF!</v>
      </c>
      <c r="E429" s="415" t="s">
        <v>384</v>
      </c>
      <c r="F429" s="415" t="s">
        <v>505</v>
      </c>
      <c r="G429" s="399"/>
      <c r="H429" s="376"/>
      <c r="I429" s="376"/>
    </row>
    <row r="430" spans="2:9">
      <c r="B430" s="376" t="str">
        <f>IF(OR(G$200="*",LEFT(Commodities!B$59,1)="*"),"*R0,R1,R2,R3,R4,R5,R6","R0,R1,R2,R3,R4,R5,R6")</f>
        <v>R0,R1,R2,R3,R4,R5,R6</v>
      </c>
      <c r="C430" s="376" t="e">
        <f>#REF!</f>
        <v>#REF!</v>
      </c>
      <c r="D430" s="376" t="e">
        <f>#REF!</f>
        <v>#REF!</v>
      </c>
      <c r="E430" s="415" t="s">
        <v>384</v>
      </c>
      <c r="F430" s="415" t="s">
        <v>505</v>
      </c>
      <c r="G430" s="399"/>
      <c r="H430" s="376"/>
      <c r="I430" s="376"/>
    </row>
    <row r="431" spans="2:9">
      <c r="B431" s="376" t="str">
        <f>IF(OR(G$200="*",LEFT(Commodities!B$59,1)="*"),"*R0,R1,R2,R3,R4,R5,R6","R0,R1,R2,R3,R4,R5,R6")</f>
        <v>R0,R1,R2,R3,R4,R5,R6</v>
      </c>
      <c r="C431" s="376" t="e">
        <f>#REF!</f>
        <v>#REF!</v>
      </c>
      <c r="D431" s="376" t="e">
        <f>#REF!</f>
        <v>#REF!</v>
      </c>
      <c r="E431" s="415" t="s">
        <v>384</v>
      </c>
      <c r="F431" s="415" t="s">
        <v>505</v>
      </c>
      <c r="G431" s="399"/>
      <c r="H431" s="376"/>
      <c r="I431" s="376"/>
    </row>
    <row r="432" spans="2:9">
      <c r="B432" s="376" t="str">
        <f>IF(OR(G$200="*",LEFT(Commodities!B$59,1)="*"),"*R0,R1,R2,R3,R4,R5,R6","R0,R1,R2,R3,R4,R5,R6")</f>
        <v>R0,R1,R2,R3,R4,R5,R6</v>
      </c>
      <c r="C432" s="376" t="e">
        <f>#REF!</f>
        <v>#REF!</v>
      </c>
      <c r="D432" s="376" t="e">
        <f>#REF!</f>
        <v>#REF!</v>
      </c>
      <c r="E432" s="415" t="s">
        <v>384</v>
      </c>
      <c r="F432" s="415" t="s">
        <v>505</v>
      </c>
      <c r="G432" s="399"/>
      <c r="H432" s="376"/>
      <c r="I432" s="376"/>
    </row>
    <row r="433" spans="2:9">
      <c r="B433" s="376" t="str">
        <f>IF(OR(G$200="*",LEFT(Commodities!B$59,1)="*"),"*R0,R1,R2,R3,R4,R5,R6","R0,R1,R2,R3,R4,R5,R6")</f>
        <v>R0,R1,R2,R3,R4,R5,R6</v>
      </c>
      <c r="C433" s="376" t="e">
        <f>#REF!</f>
        <v>#REF!</v>
      </c>
      <c r="D433" s="376" t="e">
        <f>#REF!</f>
        <v>#REF!</v>
      </c>
      <c r="E433" s="415" t="s">
        <v>384</v>
      </c>
      <c r="F433" s="415" t="s">
        <v>505</v>
      </c>
      <c r="G433" s="399"/>
      <c r="H433" s="376"/>
      <c r="I433" s="376"/>
    </row>
    <row r="434" spans="2:9">
      <c r="B434" s="376" t="str">
        <f>IF(OR(G$200="*",LEFT(Commodities!B$59,1)="*"),"*R0,R1,R2,R3,R4,R5,R6","R0,R1,R2,R3,R4,R5,R6")</f>
        <v>R0,R1,R2,R3,R4,R5,R6</v>
      </c>
      <c r="C434" s="376" t="e">
        <f>#REF!</f>
        <v>#REF!</v>
      </c>
      <c r="D434" s="376" t="e">
        <f>#REF!</f>
        <v>#REF!</v>
      </c>
      <c r="E434" s="415" t="s">
        <v>384</v>
      </c>
      <c r="F434" s="415" t="s">
        <v>505</v>
      </c>
      <c r="G434" s="399"/>
      <c r="H434" s="376"/>
      <c r="I434" s="376"/>
    </row>
    <row r="435" spans="2:9">
      <c r="B435" s="376" t="str">
        <f>IF(OR(G$200="*",LEFT(Commodities!B$58,1)="*"),"*R0,R1,R2,R3,R4,R5,R6","R0,R1,R2,R3,R4,R5,R6")</f>
        <v>*R0,R1,R2,R3,R4,R5,R6</v>
      </c>
      <c r="C435" s="376" t="e">
        <f>#REF!</f>
        <v>#REF!</v>
      </c>
      <c r="D435" s="376" t="e">
        <f>#REF!</f>
        <v>#REF!</v>
      </c>
      <c r="E435" s="415" t="s">
        <v>384</v>
      </c>
      <c r="F435" s="415" t="s">
        <v>505</v>
      </c>
      <c r="G435" s="399"/>
      <c r="H435" s="376"/>
      <c r="I435" s="376"/>
    </row>
    <row r="436" spans="2:9">
      <c r="B436" s="376" t="str">
        <f>IF(OR(G$200="*",LEFT(Commodities!B$58,1)="*"),"*R0,R1,R2,R3,R4,R5,R6","R0,R1,R2,R3,R4,R5,R6")</f>
        <v>*R0,R1,R2,R3,R4,R5,R6</v>
      </c>
      <c r="C436" s="376" t="e">
        <f>#REF!</f>
        <v>#REF!</v>
      </c>
      <c r="D436" s="376" t="e">
        <f>#REF!</f>
        <v>#REF!</v>
      </c>
      <c r="E436" s="415" t="s">
        <v>384</v>
      </c>
      <c r="F436" s="415" t="s">
        <v>505</v>
      </c>
      <c r="G436" s="399"/>
      <c r="H436" s="376"/>
      <c r="I436" s="376"/>
    </row>
    <row r="437" spans="2:9">
      <c r="B437" s="376" t="str">
        <f>IF(OR(G$200="*",LEFT(Commodities!B$58,1)="*"),"*R0,R1,R2,R3,R4,R5,R6","R0,R1,R2,R3,R4,R5,R6")</f>
        <v>*R0,R1,R2,R3,R4,R5,R6</v>
      </c>
      <c r="C437" s="376" t="e">
        <f>#REF!</f>
        <v>#REF!</v>
      </c>
      <c r="D437" s="376" t="e">
        <f>#REF!</f>
        <v>#REF!</v>
      </c>
      <c r="E437" s="415" t="s">
        <v>384</v>
      </c>
      <c r="F437" s="415" t="s">
        <v>505</v>
      </c>
      <c r="G437" s="399"/>
      <c r="H437" s="376"/>
      <c r="I437" s="376"/>
    </row>
    <row r="438" spans="2:9">
      <c r="B438" s="376" t="str">
        <f>IF(OR(G$200="*",LEFT(Commodities!B$58,1)="*"),"*R0,R1,R2,R3,R4,R5,R6","R0,R1,R2,R3,R4,R5,R6")</f>
        <v>*R0,R1,R2,R3,R4,R5,R6</v>
      </c>
      <c r="C438" s="376" t="e">
        <f>#REF!</f>
        <v>#REF!</v>
      </c>
      <c r="D438" s="376" t="e">
        <f>#REF!</f>
        <v>#REF!</v>
      </c>
      <c r="E438" s="415" t="s">
        <v>384</v>
      </c>
      <c r="F438" s="415" t="s">
        <v>505</v>
      </c>
      <c r="G438" s="399"/>
      <c r="H438" s="376"/>
      <c r="I438" s="376"/>
    </row>
    <row r="439" spans="2:9">
      <c r="B439" s="376" t="str">
        <f>IF(OR(G$200="*",LEFT(Commodities!B$58,1)="*"),"*R0,R1,R2,R3,R4,R5,R6","R0,R1,R2,R3,R4,R5,R6")</f>
        <v>*R0,R1,R2,R3,R4,R5,R6</v>
      </c>
      <c r="C439" s="376" t="e">
        <f>#REF!</f>
        <v>#REF!</v>
      </c>
      <c r="D439" s="376" t="e">
        <f>#REF!</f>
        <v>#REF!</v>
      </c>
      <c r="E439" s="415" t="s">
        <v>384</v>
      </c>
      <c r="F439" s="415" t="s">
        <v>505</v>
      </c>
      <c r="G439" s="399"/>
      <c r="H439" s="376"/>
      <c r="I439" s="376"/>
    </row>
    <row r="440" spans="2:9">
      <c r="B440" s="376" t="str">
        <f>IF(OR(G$200="*",LEFT(Commodities!B$55,1)="*"),"*R0,R1,R2,R3,R4,R5,R6","R0,R1,R2,R3,R4,R5,R6")</f>
        <v>*R0,R1,R2,R3,R4,R5,R6</v>
      </c>
      <c r="C440" s="376" t="e">
        <f>#REF!</f>
        <v>#REF!</v>
      </c>
      <c r="D440" s="376" t="e">
        <f>#REF!</f>
        <v>#REF!</v>
      </c>
      <c r="E440" s="415" t="s">
        <v>384</v>
      </c>
      <c r="F440" s="415" t="s">
        <v>505</v>
      </c>
      <c r="G440" s="399"/>
      <c r="H440" s="376"/>
      <c r="I440" s="376"/>
    </row>
    <row r="441" spans="2:9">
      <c r="B441" s="376" t="str">
        <f>IF(OR(G$200="*",LEFT(Commodities!B$55,1)="*"),"*R0,R1,R2,R3,R4,R5,R6","R0,R1,R2,R3,R4,R5,R6")</f>
        <v>*R0,R1,R2,R3,R4,R5,R6</v>
      </c>
      <c r="C441" s="376" t="e">
        <f>#REF!</f>
        <v>#REF!</v>
      </c>
      <c r="D441" s="376" t="e">
        <f>#REF!</f>
        <v>#REF!</v>
      </c>
      <c r="E441" s="415" t="s">
        <v>384</v>
      </c>
      <c r="F441" s="415" t="s">
        <v>505</v>
      </c>
      <c r="G441" s="399"/>
      <c r="H441" s="376"/>
      <c r="I441" s="376"/>
    </row>
    <row r="442" spans="2:9">
      <c r="B442" s="376" t="str">
        <f>IF(OR(G$200="*",LEFT(Commodities!B$55,1)="*"),"*R0,R1,R2,R3,R4,R5,R6","R0,R1,R2,R3,R4,R5,R6")</f>
        <v>*R0,R1,R2,R3,R4,R5,R6</v>
      </c>
      <c r="C442" s="376" t="e">
        <f>#REF!</f>
        <v>#REF!</v>
      </c>
      <c r="D442" s="376" t="e">
        <f>#REF!</f>
        <v>#REF!</v>
      </c>
      <c r="E442" s="415" t="s">
        <v>384</v>
      </c>
      <c r="F442" s="415" t="s">
        <v>505</v>
      </c>
      <c r="G442" s="399"/>
      <c r="H442" s="376"/>
      <c r="I442" s="376"/>
    </row>
    <row r="443" spans="2:9">
      <c r="B443" s="376" t="str">
        <f>IF(OR(G$200="*",LEFT(Commodities!B$55,1)="*"),"*R0,R1,R2,R3,R4,R5,R6","R0,R1,R2,R3,R4,R5,R6")</f>
        <v>*R0,R1,R2,R3,R4,R5,R6</v>
      </c>
      <c r="C443" s="376" t="e">
        <f>#REF!</f>
        <v>#REF!</v>
      </c>
      <c r="D443" s="376" t="e">
        <f>#REF!</f>
        <v>#REF!</v>
      </c>
      <c r="E443" s="415" t="s">
        <v>384</v>
      </c>
      <c r="F443" s="415" t="s">
        <v>505</v>
      </c>
      <c r="G443" s="399"/>
      <c r="H443" s="376"/>
      <c r="I443" s="376"/>
    </row>
    <row r="444" spans="2:9">
      <c r="B444" s="376" t="str">
        <f>IF(OR(G$200="*",LEFT(Commodities!B$55,1)="*"),"*R0,R1,R2,R3,R4,R5,R6","R0,R1,R2,R3,R4,R5,R6")</f>
        <v>*R0,R1,R2,R3,R4,R5,R6</v>
      </c>
      <c r="C444" s="376" t="e">
        <f>#REF!</f>
        <v>#REF!</v>
      </c>
      <c r="D444" s="376" t="e">
        <f>#REF!</f>
        <v>#REF!</v>
      </c>
      <c r="E444" s="415" t="s">
        <v>384</v>
      </c>
      <c r="F444" s="415" t="s">
        <v>505</v>
      </c>
      <c r="G444" s="399"/>
      <c r="H444" s="376"/>
      <c r="I444" s="376"/>
    </row>
    <row r="445" spans="2:9">
      <c r="B445" s="376" t="str">
        <f>IF(OR(G$200="*",LEFT(Commodities!B$57,1)="*"),"*R0,R1,R2,R3,R4,R5,R6","R0,R1,R2,R3,R4,R5,R6")</f>
        <v>*R0,R1,R2,R3,R4,R5,R6</v>
      </c>
      <c r="C445" s="376" t="e">
        <f>#REF!</f>
        <v>#REF!</v>
      </c>
      <c r="D445" s="376" t="e">
        <f>#REF!</f>
        <v>#REF!</v>
      </c>
      <c r="E445" s="415" t="s">
        <v>384</v>
      </c>
      <c r="F445" s="415" t="s">
        <v>505</v>
      </c>
      <c r="G445" s="399"/>
      <c r="H445" s="376"/>
      <c r="I445" s="376"/>
    </row>
    <row r="446" spans="2:9">
      <c r="B446" s="376" t="str">
        <f>IF(OR(G$200="*",LEFT(Commodities!B$57,1)="*"),"*R0,R1,R2,R3,R4,R5,R6","R0,R1,R2,R3,R4,R5,R6")</f>
        <v>*R0,R1,R2,R3,R4,R5,R6</v>
      </c>
      <c r="C446" s="376" t="e">
        <f>#REF!</f>
        <v>#REF!</v>
      </c>
      <c r="D446" s="376" t="e">
        <f>#REF!</f>
        <v>#REF!</v>
      </c>
      <c r="E446" s="415" t="s">
        <v>384</v>
      </c>
      <c r="F446" s="415" t="s">
        <v>505</v>
      </c>
      <c r="G446" s="399"/>
      <c r="H446" s="376"/>
      <c r="I446" s="376"/>
    </row>
    <row r="447" spans="2:9">
      <c r="B447" s="376" t="str">
        <f>IF(OR(G$200="*",LEFT(Commodities!B$57,1)="*"),"*R0,R1,R2,R3,R4,R5,R6","R0,R1,R2,R3,R4,R5,R6")</f>
        <v>*R0,R1,R2,R3,R4,R5,R6</v>
      </c>
      <c r="C447" s="376" t="e">
        <f>#REF!</f>
        <v>#REF!</v>
      </c>
      <c r="D447" s="376" t="e">
        <f>#REF!</f>
        <v>#REF!</v>
      </c>
      <c r="E447" s="415" t="s">
        <v>384</v>
      </c>
      <c r="F447" s="415" t="s">
        <v>505</v>
      </c>
      <c r="G447" s="399"/>
      <c r="H447" s="376"/>
      <c r="I447" s="376"/>
    </row>
    <row r="448" spans="2:9">
      <c r="B448" s="376" t="str">
        <f>IF(OR(G$200="*",LEFT(Commodities!B$57,1)="*"),"*R0,R1,R2,R3,R4,R5,R6","R0,R1,R2,R3,R4,R5,R6")</f>
        <v>*R0,R1,R2,R3,R4,R5,R6</v>
      </c>
      <c r="C448" s="376" t="e">
        <f>#REF!</f>
        <v>#REF!</v>
      </c>
      <c r="D448" s="376" t="e">
        <f>#REF!</f>
        <v>#REF!</v>
      </c>
      <c r="E448" s="415" t="s">
        <v>384</v>
      </c>
      <c r="F448" s="415" t="s">
        <v>505</v>
      </c>
      <c r="G448" s="399"/>
      <c r="H448" s="376"/>
      <c r="I448" s="376"/>
    </row>
    <row r="449" spans="2:9">
      <c r="B449" s="376" t="str">
        <f>IF(OR(G$200="*",LEFT(Commodities!B$57,1)="*"),"*R0,R1,R2,R3,R4,R5,R6","R0,R1,R2,R3,R4,R5,R6")</f>
        <v>*R0,R1,R2,R3,R4,R5,R6</v>
      </c>
      <c r="C449" s="376" t="e">
        <f>#REF!</f>
        <v>#REF!</v>
      </c>
      <c r="D449" s="376" t="e">
        <f>#REF!</f>
        <v>#REF!</v>
      </c>
      <c r="E449" s="415" t="s">
        <v>384</v>
      </c>
      <c r="F449" s="415" t="s">
        <v>505</v>
      </c>
      <c r="G449" s="399"/>
      <c r="H449" s="376"/>
      <c r="I449" s="376"/>
    </row>
    <row r="450" spans="2:9">
      <c r="B450" s="376" t="str">
        <f>IF(OR(G$200="*",LEFT(Commodities!B$54,1)="*"),"*R0,R1,R2,R3,R4,R5,R6","R0,R1,R2,R3,R4,R5,R6")</f>
        <v>*R0,R1,R2,R3,R4,R5,R6</v>
      </c>
      <c r="C450" s="376" t="e">
        <f>#REF!</f>
        <v>#REF!</v>
      </c>
      <c r="D450" s="376" t="e">
        <f>#REF!</f>
        <v>#REF!</v>
      </c>
      <c r="E450" s="415" t="s">
        <v>384</v>
      </c>
      <c r="F450" s="415" t="s">
        <v>505</v>
      </c>
      <c r="G450" s="399"/>
      <c r="H450" s="376"/>
      <c r="I450" s="376"/>
    </row>
    <row r="451" spans="2:9">
      <c r="B451" s="376" t="str">
        <f>IF(OR(G$200="*",LEFT(Commodities!B$54,1)="*"),"*R0,R1,R2,R3,R4,R5,R6","R0,R1,R2,R3,R4,R5,R6")</f>
        <v>*R0,R1,R2,R3,R4,R5,R6</v>
      </c>
      <c r="C451" s="376" t="e">
        <f>#REF!</f>
        <v>#REF!</v>
      </c>
      <c r="D451" s="376" t="e">
        <f>#REF!</f>
        <v>#REF!</v>
      </c>
      <c r="E451" s="415" t="s">
        <v>384</v>
      </c>
      <c r="F451" s="415" t="s">
        <v>505</v>
      </c>
      <c r="G451" s="399"/>
      <c r="H451" s="376"/>
      <c r="I451" s="376"/>
    </row>
    <row r="452" spans="2:9">
      <c r="B452" s="376" t="str">
        <f>IF(OR(G$200="*",LEFT(Commodities!B$54,1)="*"),"*R0,R1,R2,R3,R4,R5,R6","R0,R1,R2,R3,R4,R5,R6")</f>
        <v>*R0,R1,R2,R3,R4,R5,R6</v>
      </c>
      <c r="C452" s="376" t="e">
        <f>#REF!</f>
        <v>#REF!</v>
      </c>
      <c r="D452" s="376" t="e">
        <f>#REF!</f>
        <v>#REF!</v>
      </c>
      <c r="E452" s="415" t="s">
        <v>384</v>
      </c>
      <c r="F452" s="415" t="s">
        <v>505</v>
      </c>
      <c r="G452" s="399"/>
      <c r="H452" s="376"/>
      <c r="I452" s="376"/>
    </row>
    <row r="453" spans="2:9">
      <c r="B453" s="376" t="str">
        <f>IF(OR(G$200="*",LEFT(Commodities!B$54,1)="*"),"*R0,R1,R2,R3,R4,R5,R6","R0,R1,R2,R3,R4,R5,R6")</f>
        <v>*R0,R1,R2,R3,R4,R5,R6</v>
      </c>
      <c r="C453" s="376" t="e">
        <f>#REF!</f>
        <v>#REF!</v>
      </c>
      <c r="D453" s="376" t="e">
        <f>#REF!</f>
        <v>#REF!</v>
      </c>
      <c r="E453" s="415" t="s">
        <v>384</v>
      </c>
      <c r="F453" s="415" t="s">
        <v>505</v>
      </c>
      <c r="G453" s="399"/>
      <c r="H453" s="376"/>
      <c r="I453" s="376"/>
    </row>
    <row r="454" spans="2:9">
      <c r="B454" s="376" t="str">
        <f>IF(OR(G$200="*",LEFT(Commodities!B$54,1)="*"),"*R0,R1,R2,R3,R4,R5,R6","R0,R1,R2,R3,R4,R5,R6")</f>
        <v>*R0,R1,R2,R3,R4,R5,R6</v>
      </c>
      <c r="C454" s="376" t="e">
        <f>#REF!</f>
        <v>#REF!</v>
      </c>
      <c r="D454" s="376" t="e">
        <f>#REF!</f>
        <v>#REF!</v>
      </c>
      <c r="E454" s="415" t="s">
        <v>384</v>
      </c>
      <c r="F454" s="415" t="s">
        <v>505</v>
      </c>
      <c r="G454" s="399"/>
      <c r="H454" s="376"/>
      <c r="I454" s="376"/>
    </row>
    <row r="455" spans="2:9">
      <c r="B455" s="376" t="str">
        <f>IF(OR(G$200="*",LEFT(Commodities!B$56,1)="*"),"*R0,R1,R2,R3,R4,R5,R6","R0,R1,R2,R3,R4,R5,R6")</f>
        <v>*R0,R1,R2,R3,R4,R5,R6</v>
      </c>
      <c r="C455" s="376" t="e">
        <f>#REF!</f>
        <v>#REF!</v>
      </c>
      <c r="D455" s="376" t="e">
        <f>#REF!</f>
        <v>#REF!</v>
      </c>
      <c r="E455" s="415" t="s">
        <v>384</v>
      </c>
      <c r="F455" s="415" t="s">
        <v>505</v>
      </c>
      <c r="G455" s="399"/>
      <c r="H455" s="376"/>
      <c r="I455" s="376"/>
    </row>
    <row r="456" spans="2:9">
      <c r="B456" s="376" t="str">
        <f>IF(OR(G$200="*",LEFT(Commodities!B$56,1)="*"),"*R0,R1,R2,R3,R4,R5,R6","R0,R1,R2,R3,R4,R5,R6")</f>
        <v>*R0,R1,R2,R3,R4,R5,R6</v>
      </c>
      <c r="C456" s="376" t="e">
        <f>#REF!</f>
        <v>#REF!</v>
      </c>
      <c r="D456" s="376" t="e">
        <f>#REF!</f>
        <v>#REF!</v>
      </c>
      <c r="E456" s="415" t="s">
        <v>384</v>
      </c>
      <c r="F456" s="415" t="s">
        <v>505</v>
      </c>
      <c r="G456" s="399"/>
      <c r="H456" s="376"/>
      <c r="I456" s="376"/>
    </row>
    <row r="457" spans="2:9">
      <c r="B457" s="376" t="str">
        <f>IF(OR(G$200="*",LEFT(Commodities!B$56,1)="*"),"*R0,R1,R2,R3,R4,R5,R6","R0,R1,R2,R3,R4,R5,R6")</f>
        <v>*R0,R1,R2,R3,R4,R5,R6</v>
      </c>
      <c r="C457" s="376" t="e">
        <f>#REF!</f>
        <v>#REF!</v>
      </c>
      <c r="D457" s="376" t="e">
        <f>#REF!</f>
        <v>#REF!</v>
      </c>
      <c r="E457" s="415" t="s">
        <v>384</v>
      </c>
      <c r="F457" s="415" t="s">
        <v>505</v>
      </c>
      <c r="G457" s="399"/>
      <c r="H457" s="376"/>
      <c r="I457" s="376"/>
    </row>
    <row r="458" spans="2:9">
      <c r="B458" s="376" t="str">
        <f>IF(OR(G$200="*",LEFT(Commodities!B$56,1)="*"),"*R0,R1,R2,R3,R4,R5,R6","R0,R1,R2,R3,R4,R5,R6")</f>
        <v>*R0,R1,R2,R3,R4,R5,R6</v>
      </c>
      <c r="C458" s="376" t="e">
        <f>#REF!</f>
        <v>#REF!</v>
      </c>
      <c r="D458" s="376" t="e">
        <f>#REF!</f>
        <v>#REF!</v>
      </c>
      <c r="E458" s="415" t="s">
        <v>384</v>
      </c>
      <c r="F458" s="415" t="s">
        <v>505</v>
      </c>
      <c r="G458" s="399"/>
      <c r="H458" s="376"/>
      <c r="I458" s="376"/>
    </row>
    <row r="459" spans="2:9">
      <c r="B459" s="376" t="str">
        <f>IF(OR(G$200="*",LEFT(Commodities!B$56,1)="*"),"*R0,R1,R2,R3,R4,R5,R6","R0,R1,R2,R3,R4,R5,R6")</f>
        <v>*R0,R1,R2,R3,R4,R5,R6</v>
      </c>
      <c r="C459" s="376" t="e">
        <f>#REF!</f>
        <v>#REF!</v>
      </c>
      <c r="D459" s="376" t="e">
        <f>#REF!</f>
        <v>#REF!</v>
      </c>
      <c r="E459" s="415" t="s">
        <v>384</v>
      </c>
      <c r="F459" s="415" t="s">
        <v>505</v>
      </c>
      <c r="G459" s="399"/>
      <c r="H459" s="376"/>
      <c r="I459" s="376"/>
    </row>
    <row r="460" spans="2:9">
      <c r="B460" s="376" t="str">
        <f>IF(OR(G$200="*",LEFT(Commodities!B$52,1)="*"),"*R0,R1,R2,R3,R4,R5,R6","R0,R1,R2,R3,R4,R5,R6")</f>
        <v>R0,R1,R2,R3,R4,R5,R6</v>
      </c>
      <c r="C460" s="376" t="e">
        <f>#REF!</f>
        <v>#REF!</v>
      </c>
      <c r="D460" s="376" t="e">
        <f>#REF!</f>
        <v>#REF!</v>
      </c>
      <c r="E460" s="415" t="s">
        <v>384</v>
      </c>
      <c r="F460" s="415" t="s">
        <v>505</v>
      </c>
      <c r="G460" s="399"/>
      <c r="H460" s="376"/>
      <c r="I460" s="376"/>
    </row>
    <row r="461" spans="2:9">
      <c r="B461" s="376" t="str">
        <f>IF(OR(G$200="*",LEFT(Commodities!B$52,1)="*"),"*R0,R1,R2,R3,R4,R5,R6","R0,R1,R2,R3,R4,R5,R6")</f>
        <v>R0,R1,R2,R3,R4,R5,R6</v>
      </c>
      <c r="C461" s="376" t="e">
        <f>#REF!</f>
        <v>#REF!</v>
      </c>
      <c r="D461" s="376" t="e">
        <f>#REF!</f>
        <v>#REF!</v>
      </c>
      <c r="E461" s="415" t="s">
        <v>384</v>
      </c>
      <c r="F461" s="415" t="s">
        <v>505</v>
      </c>
      <c r="G461" s="399"/>
      <c r="H461" s="376"/>
      <c r="I461" s="376"/>
    </row>
    <row r="462" spans="2:9">
      <c r="B462" s="376" t="str">
        <f>IF(OR(G$200="*",LEFT(Commodities!B$52,1)="*"),"*R0,R1,R2,R3,R4,R5,R6","R0,R1,R2,R3,R4,R5,R6")</f>
        <v>R0,R1,R2,R3,R4,R5,R6</v>
      </c>
      <c r="C462" s="376" t="e">
        <f>#REF!</f>
        <v>#REF!</v>
      </c>
      <c r="D462" s="376" t="e">
        <f>#REF!</f>
        <v>#REF!</v>
      </c>
      <c r="E462" s="415" t="s">
        <v>384</v>
      </c>
      <c r="F462" s="415" t="s">
        <v>505</v>
      </c>
      <c r="G462" s="399"/>
      <c r="H462" s="376"/>
      <c r="I462" s="376"/>
    </row>
    <row r="463" spans="2:9">
      <c r="B463" s="376" t="str">
        <f>IF(OR(G$200="*",LEFT(Commodities!B$52,1)="*"),"*R0,R1,R2,R3,R4,R5,R6","R0,R1,R2,R3,R4,R5,R6")</f>
        <v>R0,R1,R2,R3,R4,R5,R6</v>
      </c>
      <c r="C463" s="376" t="e">
        <f>#REF!</f>
        <v>#REF!</v>
      </c>
      <c r="D463" s="376" t="e">
        <f>#REF!</f>
        <v>#REF!</v>
      </c>
      <c r="E463" s="415" t="s">
        <v>384</v>
      </c>
      <c r="F463" s="415" t="s">
        <v>505</v>
      </c>
      <c r="G463" s="399"/>
      <c r="H463" s="376"/>
      <c r="I463" s="376"/>
    </row>
    <row r="464" spans="2:9">
      <c r="B464" s="376" t="str">
        <f>IF(OR(G$200="*",LEFT(Commodities!B$52,1)="*"),"*R0,R1,R2,R3,R4,R5,R6","R0,R1,R2,R3,R4,R5,R6")</f>
        <v>R0,R1,R2,R3,R4,R5,R6</v>
      </c>
      <c r="C464" s="376" t="e">
        <f>#REF!</f>
        <v>#REF!</v>
      </c>
      <c r="D464" s="376" t="e">
        <f>#REF!</f>
        <v>#REF!</v>
      </c>
      <c r="E464" s="415" t="s">
        <v>384</v>
      </c>
      <c r="F464" s="415" t="s">
        <v>505</v>
      </c>
      <c r="G464" s="399"/>
      <c r="H464" s="376"/>
      <c r="I464" s="376"/>
    </row>
    <row r="465" spans="2:9">
      <c r="B465" s="376" t="s">
        <v>588</v>
      </c>
      <c r="C465" s="376"/>
      <c r="D465" s="376"/>
      <c r="E465" s="415"/>
      <c r="F465" s="415"/>
      <c r="G465" s="399"/>
      <c r="H465" s="376"/>
      <c r="I465" s="376"/>
    </row>
    <row r="466" spans="2:9">
      <c r="B466" s="376" t="s">
        <v>588</v>
      </c>
      <c r="C466" s="376"/>
      <c r="D466" s="376"/>
      <c r="E466" s="415"/>
      <c r="F466" s="415"/>
      <c r="G466" s="399"/>
      <c r="H466" s="376"/>
      <c r="I466" s="376"/>
    </row>
    <row r="467" spans="2:9">
      <c r="B467" s="376" t="str">
        <f>IF(OR(G$200="*",LEFT(Commodities!B$49,1)="*"),"*R0,R1,R2,R3,R4,R5,R6","R0,R1,R2,R3,R4,R5,R6")</f>
        <v>R0,R1,R2,R3,R4,R5,R6</v>
      </c>
      <c r="C467" s="376" t="e">
        <f>#REF!</f>
        <v>#REF!</v>
      </c>
      <c r="D467" s="376" t="e">
        <f>#REF!</f>
        <v>#REF!</v>
      </c>
      <c r="E467" s="415" t="s">
        <v>384</v>
      </c>
      <c r="F467" s="415" t="s">
        <v>505</v>
      </c>
      <c r="G467" s="399"/>
      <c r="H467" s="376"/>
      <c r="I467" s="376"/>
    </row>
    <row r="468" spans="2:9">
      <c r="B468" s="376" t="str">
        <f>IF(OR(G$200="*",LEFT(Commodities!B$49,1)="*"),"*R0,R1,R2,R3,R4,R5,R6","R0,R1,R2,R3,R4,R5,R6")</f>
        <v>R0,R1,R2,R3,R4,R5,R6</v>
      </c>
      <c r="C468" s="376" t="e">
        <f>#REF!</f>
        <v>#REF!</v>
      </c>
      <c r="D468" s="376" t="e">
        <f>#REF!</f>
        <v>#REF!</v>
      </c>
      <c r="E468" s="415" t="s">
        <v>384</v>
      </c>
      <c r="F468" s="415" t="s">
        <v>505</v>
      </c>
      <c r="G468" s="399"/>
      <c r="H468" s="376"/>
      <c r="I468" s="376"/>
    </row>
    <row r="469" spans="2:9">
      <c r="B469" s="376" t="str">
        <f>IF(OR(G$200="*",LEFT(Commodities!B$49,1)="*"),"*R0,R1,R2,R3,R4,R5,R6","R0,R1,R2,R3,R4,R5,R6")</f>
        <v>R0,R1,R2,R3,R4,R5,R6</v>
      </c>
      <c r="C469" s="376" t="e">
        <f>#REF!</f>
        <v>#REF!</v>
      </c>
      <c r="D469" s="376" t="e">
        <f>#REF!</f>
        <v>#REF!</v>
      </c>
      <c r="E469" s="415" t="s">
        <v>384</v>
      </c>
      <c r="F469" s="415" t="s">
        <v>505</v>
      </c>
      <c r="G469" s="399"/>
      <c r="H469" s="376"/>
      <c r="I469" s="376"/>
    </row>
    <row r="470" spans="2:9">
      <c r="B470" s="376" t="str">
        <f>IF(OR(G$200="*",LEFT(Commodities!B$49,1)="*"),"*R0,R1,R2,R3,R4,R5,R6","R0,R1,R2,R3,R4,R5,R6")</f>
        <v>R0,R1,R2,R3,R4,R5,R6</v>
      </c>
      <c r="C470" s="376" t="e">
        <f>#REF!</f>
        <v>#REF!</v>
      </c>
      <c r="D470" s="376" t="e">
        <f>#REF!</f>
        <v>#REF!</v>
      </c>
      <c r="E470" s="415" t="s">
        <v>384</v>
      </c>
      <c r="F470" s="415" t="s">
        <v>505</v>
      </c>
      <c r="G470" s="399"/>
      <c r="H470" s="376"/>
      <c r="I470" s="376"/>
    </row>
    <row r="471" spans="2:9">
      <c r="B471" s="376" t="str">
        <f>IF(OR(G$200="*",LEFT(Commodities!B$49,1)="*"),"*R0,R1,R2,R3,R4,R5,R6","R0,R1,R2,R3,R4,R5,R6")</f>
        <v>R0,R1,R2,R3,R4,R5,R6</v>
      </c>
      <c r="C471" s="376" t="e">
        <f>#REF!</f>
        <v>#REF!</v>
      </c>
      <c r="D471" s="376" t="e">
        <f>#REF!</f>
        <v>#REF!</v>
      </c>
      <c r="E471" s="415" t="s">
        <v>384</v>
      </c>
      <c r="F471" s="415" t="s">
        <v>505</v>
      </c>
      <c r="G471" s="399"/>
      <c r="H471" s="376"/>
      <c r="I471" s="376"/>
    </row>
    <row r="472" spans="2:9">
      <c r="B472" s="376" t="str">
        <f>IF(OR(G$200="*",LEFT(Commodities!B$48,1)="*"),"*R0,R1,R2,R3,R4,R5,R6","R0,R1,R2,R3,R4,R5,R6")</f>
        <v>R0,R1,R2,R3,R4,R5,R6</v>
      </c>
      <c r="C472" s="376" t="e">
        <f>#REF!</f>
        <v>#REF!</v>
      </c>
      <c r="D472" s="376" t="e">
        <f>#REF!</f>
        <v>#REF!</v>
      </c>
      <c r="E472" s="415" t="s">
        <v>384</v>
      </c>
      <c r="F472" s="415" t="s">
        <v>505</v>
      </c>
      <c r="G472" s="399"/>
      <c r="H472" s="376"/>
      <c r="I472" s="376"/>
    </row>
    <row r="473" spans="2:9">
      <c r="B473" s="376" t="str">
        <f>IF(OR(G$200="*",LEFT(Commodities!B$48,1)="*"),"*R0,R1,R2,R3,R4,R5,R6","R0,R1,R2,R3,R4,R5,R6")</f>
        <v>R0,R1,R2,R3,R4,R5,R6</v>
      </c>
      <c r="C473" s="376" t="e">
        <f>#REF!</f>
        <v>#REF!</v>
      </c>
      <c r="D473" s="376" t="e">
        <f>#REF!</f>
        <v>#REF!</v>
      </c>
      <c r="E473" s="415" t="s">
        <v>384</v>
      </c>
      <c r="F473" s="415" t="s">
        <v>505</v>
      </c>
      <c r="G473" s="399"/>
      <c r="H473" s="376"/>
      <c r="I473" s="376"/>
    </row>
    <row r="474" spans="2:9">
      <c r="B474" s="376" t="str">
        <f>IF(OR(G$200="*",LEFT(Commodities!B$48,1)="*"),"*R0,R1,R2,R3,R4,R5,R6","R0,R1,R2,R3,R4,R5,R6")</f>
        <v>R0,R1,R2,R3,R4,R5,R6</v>
      </c>
      <c r="C474" s="376" t="e">
        <f>#REF!</f>
        <v>#REF!</v>
      </c>
      <c r="D474" s="376" t="e">
        <f>#REF!</f>
        <v>#REF!</v>
      </c>
      <c r="E474" s="415" t="s">
        <v>384</v>
      </c>
      <c r="F474" s="415" t="s">
        <v>505</v>
      </c>
      <c r="G474" s="399"/>
      <c r="H474" s="376"/>
      <c r="I474" s="376"/>
    </row>
    <row r="475" spans="2:9">
      <c r="B475" s="376" t="str">
        <f>IF(OR(G$200="*",LEFT(Commodities!B$48,1)="*"),"*R0,R1,R2,R3,R4,R5,R6","R0,R1,R2,R3,R4,R5,R6")</f>
        <v>R0,R1,R2,R3,R4,R5,R6</v>
      </c>
      <c r="C475" s="376" t="e">
        <f>#REF!</f>
        <v>#REF!</v>
      </c>
      <c r="D475" s="376" t="e">
        <f>#REF!</f>
        <v>#REF!</v>
      </c>
      <c r="E475" s="415" t="s">
        <v>384</v>
      </c>
      <c r="F475" s="415" t="s">
        <v>505</v>
      </c>
      <c r="G475" s="399"/>
      <c r="H475" s="376"/>
      <c r="I475" s="376"/>
    </row>
    <row r="476" spans="2:9">
      <c r="B476" s="376" t="str">
        <f>IF(OR(G$200="*",LEFT(Commodities!B$48,1)="*"),"*R0,R1,R2,R3,R4,R5,R6","R0,R1,R2,R3,R4,R5,R6")</f>
        <v>R0,R1,R2,R3,R4,R5,R6</v>
      </c>
      <c r="C476" s="376" t="e">
        <f>#REF!</f>
        <v>#REF!</v>
      </c>
      <c r="D476" s="376" t="e">
        <f>#REF!</f>
        <v>#REF!</v>
      </c>
      <c r="E476" s="415" t="s">
        <v>384</v>
      </c>
      <c r="F476" s="415" t="s">
        <v>505</v>
      </c>
      <c r="G476" s="399"/>
      <c r="H476" s="376"/>
      <c r="I476" s="376"/>
    </row>
    <row r="477" spans="2:9">
      <c r="B477" s="376" t="str">
        <f>IF(OR(G$200="*",LEFT(Commodities!B$51,1)="*"),"*R0,R1,R2,R3,R4,R5,R6","R0,R1,R2,R3,R4,R5,R6")</f>
        <v>R0,R1,R2,R3,R4,R5,R6</v>
      </c>
      <c r="C477" s="376" t="e">
        <f>#REF!</f>
        <v>#REF!</v>
      </c>
      <c r="D477" s="376" t="e">
        <f>#REF!</f>
        <v>#REF!</v>
      </c>
      <c r="E477" s="415" t="s">
        <v>384</v>
      </c>
      <c r="F477" s="415" t="s">
        <v>505</v>
      </c>
      <c r="G477" s="399"/>
      <c r="H477" s="376"/>
      <c r="I477" s="376"/>
    </row>
    <row r="478" spans="2:9">
      <c r="B478" s="376" t="str">
        <f>IF(OR(G$200="*",LEFT(Commodities!B$51,1)="*"),"*R0,R1,R2,R3,R4,R5,R6","R0,R1,R2,R3,R4,R5,R6")</f>
        <v>R0,R1,R2,R3,R4,R5,R6</v>
      </c>
      <c r="C478" s="376" t="e">
        <f>#REF!</f>
        <v>#REF!</v>
      </c>
      <c r="D478" s="376" t="e">
        <f>#REF!</f>
        <v>#REF!</v>
      </c>
      <c r="E478" s="415" t="s">
        <v>384</v>
      </c>
      <c r="F478" s="415" t="s">
        <v>505</v>
      </c>
      <c r="G478" s="399"/>
      <c r="H478" s="376"/>
      <c r="I478" s="376"/>
    </row>
    <row r="479" spans="2:9">
      <c r="B479" s="376" t="str">
        <f>IF(OR(G$200="*",LEFT(Commodities!B$51,1)="*"),"*R0,R1,R2,R3,R4,R5,R6","R0,R1,R2,R3,R4,R5,R6")</f>
        <v>R0,R1,R2,R3,R4,R5,R6</v>
      </c>
      <c r="C479" s="376" t="e">
        <f>#REF!</f>
        <v>#REF!</v>
      </c>
      <c r="D479" s="376" t="e">
        <f>#REF!</f>
        <v>#REF!</v>
      </c>
      <c r="E479" s="415" t="s">
        <v>384</v>
      </c>
      <c r="F479" s="415" t="s">
        <v>505</v>
      </c>
      <c r="G479" s="399"/>
      <c r="H479" s="376"/>
      <c r="I479" s="376"/>
    </row>
    <row r="480" spans="2:9">
      <c r="B480" s="376" t="str">
        <f>IF(OR(G$200="*",LEFT(Commodities!B$51,1)="*"),"*R0,R1,R2,R3,R4,R5,R6","R0,R1,R2,R3,R4,R5,R6")</f>
        <v>R0,R1,R2,R3,R4,R5,R6</v>
      </c>
      <c r="C480" s="376" t="e">
        <f>#REF!</f>
        <v>#REF!</v>
      </c>
      <c r="D480" s="376" t="e">
        <f>#REF!</f>
        <v>#REF!</v>
      </c>
      <c r="E480" s="415" t="s">
        <v>384</v>
      </c>
      <c r="F480" s="415" t="s">
        <v>505</v>
      </c>
      <c r="G480" s="399"/>
      <c r="H480" s="376"/>
      <c r="I480" s="376"/>
    </row>
    <row r="481" spans="2:9">
      <c r="B481" s="376" t="str">
        <f>IF(OR(G$200="*",LEFT(Commodities!B$51,1)="*"),"*R0,R1,R2,R3,R4,R5,R6","R0,R1,R2,R3,R4,R5,R6")</f>
        <v>R0,R1,R2,R3,R4,R5,R6</v>
      </c>
      <c r="C481" s="376" t="e">
        <f>#REF!</f>
        <v>#REF!</v>
      </c>
      <c r="D481" s="376" t="e">
        <f>#REF!</f>
        <v>#REF!</v>
      </c>
      <c r="E481" s="415" t="s">
        <v>384</v>
      </c>
      <c r="F481" s="415" t="s">
        <v>505</v>
      </c>
      <c r="G481" s="399"/>
      <c r="H481" s="376"/>
      <c r="I481" s="376"/>
    </row>
    <row r="482" spans="2:9">
      <c r="B482" s="376" t="str">
        <f>IF(OR(G$200="*",LEFT(Commodities!B$59,1)="*"),"*R0,R1,R2,R3,R4,R5,R6","R0,R1,R2,R3,R4,R5,R6")</f>
        <v>R0,R1,R2,R3,R4,R5,R6</v>
      </c>
      <c r="C482" s="376" t="e">
        <f>#REF!</f>
        <v>#REF!</v>
      </c>
      <c r="D482" s="376" t="e">
        <f>#REF!</f>
        <v>#REF!</v>
      </c>
      <c r="E482" s="415" t="s">
        <v>384</v>
      </c>
      <c r="F482" s="415" t="s">
        <v>505</v>
      </c>
      <c r="G482" s="399"/>
      <c r="H482" s="376"/>
      <c r="I482" s="376"/>
    </row>
    <row r="483" spans="2:9">
      <c r="B483" s="376" t="str">
        <f>IF(OR(G$200="*",LEFT(Commodities!B$59,1)="*"),"*R0,R1,R2,R3,R4,R5,R6","R0,R1,R2,R3,R4,R5,R6")</f>
        <v>R0,R1,R2,R3,R4,R5,R6</v>
      </c>
      <c r="C483" s="376" t="e">
        <f>#REF!</f>
        <v>#REF!</v>
      </c>
      <c r="D483" s="376" t="e">
        <f>#REF!</f>
        <v>#REF!</v>
      </c>
      <c r="E483" s="415" t="s">
        <v>384</v>
      </c>
      <c r="F483" s="415" t="s">
        <v>505</v>
      </c>
      <c r="G483" s="399"/>
      <c r="H483" s="376"/>
      <c r="I483" s="376"/>
    </row>
    <row r="484" spans="2:9">
      <c r="B484" s="376" t="str">
        <f>IF(OR(G$200="*",LEFT(Commodities!B$59,1)="*"),"*R0,R1,R2,R3,R4,R5,R6","R0,R1,R2,R3,R4,R5,R6")</f>
        <v>R0,R1,R2,R3,R4,R5,R6</v>
      </c>
      <c r="C484" s="376" t="e">
        <f>#REF!</f>
        <v>#REF!</v>
      </c>
      <c r="D484" s="376" t="e">
        <f>#REF!</f>
        <v>#REF!</v>
      </c>
      <c r="E484" s="415" t="s">
        <v>384</v>
      </c>
      <c r="F484" s="415" t="s">
        <v>505</v>
      </c>
      <c r="G484" s="399"/>
      <c r="H484" s="376"/>
      <c r="I484" s="376"/>
    </row>
    <row r="485" spans="2:9">
      <c r="B485" s="376" t="str">
        <f>IF(OR(G$200="*",LEFT(Commodities!B$59,1)="*"),"*R0,R1,R2,R3,R4,R5,R6","R0,R1,R2,R3,R4,R5,R6")</f>
        <v>R0,R1,R2,R3,R4,R5,R6</v>
      </c>
      <c r="C485" s="376" t="e">
        <f>#REF!</f>
        <v>#REF!</v>
      </c>
      <c r="D485" s="376" t="e">
        <f>#REF!</f>
        <v>#REF!</v>
      </c>
      <c r="E485" s="415" t="s">
        <v>384</v>
      </c>
      <c r="F485" s="415" t="s">
        <v>505</v>
      </c>
      <c r="G485" s="399"/>
      <c r="H485" s="376"/>
      <c r="I485" s="376"/>
    </row>
    <row r="486" spans="2:9">
      <c r="B486" s="376" t="str">
        <f>IF(OR(G$200="*",LEFT(Commodities!B$59,1)="*"),"*R0,R1,R2,R3,R4,R5,R6","R0,R1,R2,R3,R4,R5,R6")</f>
        <v>R0,R1,R2,R3,R4,R5,R6</v>
      </c>
      <c r="C486" s="376" t="e">
        <f>#REF!</f>
        <v>#REF!</v>
      </c>
      <c r="D486" s="376" t="e">
        <f>#REF!</f>
        <v>#REF!</v>
      </c>
      <c r="E486" s="415" t="s">
        <v>384</v>
      </c>
      <c r="F486" s="415" t="s">
        <v>505</v>
      </c>
      <c r="G486" s="399"/>
      <c r="H486" s="376"/>
      <c r="I486" s="376"/>
    </row>
    <row r="487" spans="2:9">
      <c r="B487" s="376" t="str">
        <f>IF(OR(G$200="*",LEFT(Commodities!B$58,1)="*"),"*R0,R1,R2,R3,R4,R5,R6","R0,R1,R2,R3,R4,R5,R6")</f>
        <v>*R0,R1,R2,R3,R4,R5,R6</v>
      </c>
      <c r="C487" s="376" t="e">
        <f>#REF!</f>
        <v>#REF!</v>
      </c>
      <c r="D487" s="376" t="e">
        <f>#REF!</f>
        <v>#REF!</v>
      </c>
      <c r="E487" s="415" t="s">
        <v>384</v>
      </c>
      <c r="F487" s="415" t="s">
        <v>505</v>
      </c>
      <c r="G487" s="399"/>
      <c r="H487" s="376"/>
      <c r="I487" s="376"/>
    </row>
    <row r="488" spans="2:9">
      <c r="B488" s="376" t="str">
        <f>IF(OR(G$200="*",LEFT(Commodities!B$58,1)="*"),"*R0,R1,R2,R3,R4,R5,R6","R0,R1,R2,R3,R4,R5,R6")</f>
        <v>*R0,R1,R2,R3,R4,R5,R6</v>
      </c>
      <c r="C488" s="376" t="e">
        <f>#REF!</f>
        <v>#REF!</v>
      </c>
      <c r="D488" s="376" t="e">
        <f>#REF!</f>
        <v>#REF!</v>
      </c>
      <c r="E488" s="415" t="s">
        <v>384</v>
      </c>
      <c r="F488" s="415" t="s">
        <v>505</v>
      </c>
      <c r="G488" s="399"/>
      <c r="H488" s="376"/>
      <c r="I488" s="376"/>
    </row>
    <row r="489" spans="2:9">
      <c r="B489" s="376" t="str">
        <f>IF(OR(G$200="*",LEFT(Commodities!B$58,1)="*"),"*R0,R1,R2,R3,R4,R5,R6","R0,R1,R2,R3,R4,R5,R6")</f>
        <v>*R0,R1,R2,R3,R4,R5,R6</v>
      </c>
      <c r="C489" s="376" t="e">
        <f>#REF!</f>
        <v>#REF!</v>
      </c>
      <c r="D489" s="376" t="e">
        <f>#REF!</f>
        <v>#REF!</v>
      </c>
      <c r="E489" s="415" t="s">
        <v>384</v>
      </c>
      <c r="F489" s="415" t="s">
        <v>505</v>
      </c>
      <c r="G489" s="399"/>
      <c r="H489" s="376"/>
      <c r="I489" s="376"/>
    </row>
    <row r="490" spans="2:9">
      <c r="B490" s="376" t="str">
        <f>IF(OR(G$200="*",LEFT(Commodities!B$58,1)="*"),"*R0,R1,R2,R3,R4,R5,R6","R0,R1,R2,R3,R4,R5,R6")</f>
        <v>*R0,R1,R2,R3,R4,R5,R6</v>
      </c>
      <c r="C490" s="376" t="e">
        <f>#REF!</f>
        <v>#REF!</v>
      </c>
      <c r="D490" s="376" t="e">
        <f>#REF!</f>
        <v>#REF!</v>
      </c>
      <c r="E490" s="415" t="s">
        <v>384</v>
      </c>
      <c r="F490" s="415" t="s">
        <v>505</v>
      </c>
      <c r="G490" s="399"/>
      <c r="H490" s="376"/>
      <c r="I490" s="376"/>
    </row>
    <row r="491" spans="2:9">
      <c r="B491" s="376" t="str">
        <f>IF(OR(G$200="*",LEFT(Commodities!B$58,1)="*"),"*R0,R1,R2,R3,R4,R5,R6","R0,R1,R2,R3,R4,R5,R6")</f>
        <v>*R0,R1,R2,R3,R4,R5,R6</v>
      </c>
      <c r="C491" s="376" t="e">
        <f>#REF!</f>
        <v>#REF!</v>
      </c>
      <c r="D491" s="376" t="e">
        <f>#REF!</f>
        <v>#REF!</v>
      </c>
      <c r="E491" s="415" t="s">
        <v>384</v>
      </c>
      <c r="F491" s="415" t="s">
        <v>505</v>
      </c>
      <c r="G491" s="399"/>
      <c r="H491" s="376"/>
      <c r="I491" s="376"/>
    </row>
    <row r="492" spans="2:9">
      <c r="B492" s="376" t="str">
        <f>IF(OR(G$200="*",LEFT(Commodities!B$55,1)="*"),"*R0,R1,R2,R3,R4,R5,R6","R0,R1,R2,R3,R4,R5,R6")</f>
        <v>*R0,R1,R2,R3,R4,R5,R6</v>
      </c>
      <c r="C492" s="376" t="e">
        <f>#REF!</f>
        <v>#REF!</v>
      </c>
      <c r="D492" s="376" t="e">
        <f>#REF!</f>
        <v>#REF!</v>
      </c>
      <c r="E492" s="415" t="s">
        <v>384</v>
      </c>
      <c r="F492" s="415" t="s">
        <v>505</v>
      </c>
      <c r="G492" s="399"/>
      <c r="H492" s="376"/>
      <c r="I492" s="376"/>
    </row>
    <row r="493" spans="2:9">
      <c r="B493" s="376" t="str">
        <f>IF(OR(G$200="*",LEFT(Commodities!B$55,1)="*"),"*R0,R1,R2,R3,R4,R5,R6","R0,R1,R2,R3,R4,R5,R6")</f>
        <v>*R0,R1,R2,R3,R4,R5,R6</v>
      </c>
      <c r="C493" s="376" t="e">
        <f>#REF!</f>
        <v>#REF!</v>
      </c>
      <c r="D493" s="376" t="e">
        <f>#REF!</f>
        <v>#REF!</v>
      </c>
      <c r="E493" s="415" t="s">
        <v>384</v>
      </c>
      <c r="F493" s="415" t="s">
        <v>505</v>
      </c>
      <c r="G493" s="399"/>
      <c r="H493" s="376"/>
      <c r="I493" s="376"/>
    </row>
    <row r="494" spans="2:9">
      <c r="B494" s="376" t="str">
        <f>IF(OR(G$200="*",LEFT(Commodities!B$55,1)="*"),"*R0,R1,R2,R3,R4,R5,R6","R0,R1,R2,R3,R4,R5,R6")</f>
        <v>*R0,R1,R2,R3,R4,R5,R6</v>
      </c>
      <c r="C494" s="376" t="e">
        <f>#REF!</f>
        <v>#REF!</v>
      </c>
      <c r="D494" s="376" t="e">
        <f>#REF!</f>
        <v>#REF!</v>
      </c>
      <c r="E494" s="415" t="s">
        <v>384</v>
      </c>
      <c r="F494" s="415" t="s">
        <v>505</v>
      </c>
      <c r="G494" s="399"/>
      <c r="H494" s="376"/>
      <c r="I494" s="376"/>
    </row>
    <row r="495" spans="2:9">
      <c r="B495" s="376" t="str">
        <f>IF(OR(G$200="*",LEFT(Commodities!B$55,1)="*"),"*R0,R1,R2,R3,R4,R5,R6","R0,R1,R2,R3,R4,R5,R6")</f>
        <v>*R0,R1,R2,R3,R4,R5,R6</v>
      </c>
      <c r="C495" s="376" t="e">
        <f>#REF!</f>
        <v>#REF!</v>
      </c>
      <c r="D495" s="376" t="e">
        <f>#REF!</f>
        <v>#REF!</v>
      </c>
      <c r="E495" s="415" t="s">
        <v>384</v>
      </c>
      <c r="F495" s="415" t="s">
        <v>505</v>
      </c>
      <c r="G495" s="399"/>
      <c r="H495" s="376"/>
      <c r="I495" s="376"/>
    </row>
    <row r="496" spans="2:9">
      <c r="B496" s="376" t="str">
        <f>IF(OR(G$200="*",LEFT(Commodities!B$55,1)="*"),"*R0,R1,R2,R3,R4,R5,R6","R0,R1,R2,R3,R4,R5,R6")</f>
        <v>*R0,R1,R2,R3,R4,R5,R6</v>
      </c>
      <c r="C496" s="376" t="e">
        <f>#REF!</f>
        <v>#REF!</v>
      </c>
      <c r="D496" s="376" t="e">
        <f>#REF!</f>
        <v>#REF!</v>
      </c>
      <c r="E496" s="415" t="s">
        <v>384</v>
      </c>
      <c r="F496" s="415" t="s">
        <v>505</v>
      </c>
      <c r="G496" s="399"/>
      <c r="H496" s="376"/>
      <c r="I496" s="376"/>
    </row>
    <row r="497" spans="2:9">
      <c r="B497" s="376" t="str">
        <f>IF(OR(G$200="*",LEFT(Commodities!B$57,1)="*"),"*R0,R1,R2,R3,R4,R5,R6","R0,R1,R2,R3,R4,R5,R6")</f>
        <v>*R0,R1,R2,R3,R4,R5,R6</v>
      </c>
      <c r="C497" s="376" t="e">
        <f>#REF!</f>
        <v>#REF!</v>
      </c>
      <c r="D497" s="376" t="e">
        <f>#REF!</f>
        <v>#REF!</v>
      </c>
      <c r="E497" s="415" t="s">
        <v>384</v>
      </c>
      <c r="F497" s="415" t="s">
        <v>505</v>
      </c>
      <c r="G497" s="399"/>
      <c r="H497" s="376"/>
      <c r="I497" s="376"/>
    </row>
    <row r="498" spans="2:9">
      <c r="B498" s="376" t="str">
        <f>IF(OR(G$200="*",LEFT(Commodities!B$57,1)="*"),"*R0,R1,R2,R3,R4,R5,R6","R0,R1,R2,R3,R4,R5,R6")</f>
        <v>*R0,R1,R2,R3,R4,R5,R6</v>
      </c>
      <c r="C498" s="376" t="e">
        <f>#REF!</f>
        <v>#REF!</v>
      </c>
      <c r="D498" s="376" t="e">
        <f>#REF!</f>
        <v>#REF!</v>
      </c>
      <c r="E498" s="415" t="s">
        <v>384</v>
      </c>
      <c r="F498" s="415" t="s">
        <v>505</v>
      </c>
      <c r="G498" s="399"/>
      <c r="H498" s="376"/>
      <c r="I498" s="376"/>
    </row>
    <row r="499" spans="2:9">
      <c r="B499" s="376" t="str">
        <f>IF(OR(G$200="*",LEFT(Commodities!B$57,1)="*"),"*R0,R1,R2,R3,R4,R5,R6","R0,R1,R2,R3,R4,R5,R6")</f>
        <v>*R0,R1,R2,R3,R4,R5,R6</v>
      </c>
      <c r="C499" s="376" t="e">
        <f>#REF!</f>
        <v>#REF!</v>
      </c>
      <c r="D499" s="376" t="e">
        <f>#REF!</f>
        <v>#REF!</v>
      </c>
      <c r="E499" s="415" t="s">
        <v>384</v>
      </c>
      <c r="F499" s="415" t="s">
        <v>505</v>
      </c>
      <c r="G499" s="399"/>
      <c r="H499" s="376"/>
      <c r="I499" s="376"/>
    </row>
    <row r="500" spans="2:9">
      <c r="B500" s="376" t="str">
        <f>IF(OR(G$200="*",LEFT(Commodities!B$57,1)="*"),"*R0,R1,R2,R3,R4,R5,R6","R0,R1,R2,R3,R4,R5,R6")</f>
        <v>*R0,R1,R2,R3,R4,R5,R6</v>
      </c>
      <c r="C500" s="376" t="e">
        <f>#REF!</f>
        <v>#REF!</v>
      </c>
      <c r="D500" s="376" t="e">
        <f>#REF!</f>
        <v>#REF!</v>
      </c>
      <c r="E500" s="415" t="s">
        <v>384</v>
      </c>
      <c r="F500" s="415" t="s">
        <v>505</v>
      </c>
      <c r="G500" s="399"/>
      <c r="H500" s="376"/>
      <c r="I500" s="376"/>
    </row>
    <row r="501" spans="2:9">
      <c r="B501" s="376" t="str">
        <f>IF(OR(G$200="*",LEFT(Commodities!B$57,1)="*"),"*R0,R1,R2,R3,R4,R5,R6","R0,R1,R2,R3,R4,R5,R6")</f>
        <v>*R0,R1,R2,R3,R4,R5,R6</v>
      </c>
      <c r="C501" s="376" t="e">
        <f>#REF!</f>
        <v>#REF!</v>
      </c>
      <c r="D501" s="376" t="e">
        <f>#REF!</f>
        <v>#REF!</v>
      </c>
      <c r="E501" s="415" t="s">
        <v>384</v>
      </c>
      <c r="F501" s="415" t="s">
        <v>505</v>
      </c>
      <c r="G501" s="399"/>
      <c r="H501" s="376"/>
      <c r="I501" s="376"/>
    </row>
    <row r="502" spans="2:9">
      <c r="B502" s="376" t="str">
        <f>IF(OR(G$200="*",LEFT(Commodities!B$54,1)="*"),"*R0,R1,R2,R3,R4,R5,R6","R0,R1,R2,R3,R4,R5,R6")</f>
        <v>*R0,R1,R2,R3,R4,R5,R6</v>
      </c>
      <c r="C502" s="376" t="e">
        <f>#REF!</f>
        <v>#REF!</v>
      </c>
      <c r="D502" s="376" t="e">
        <f>#REF!</f>
        <v>#REF!</v>
      </c>
      <c r="E502" s="415" t="s">
        <v>384</v>
      </c>
      <c r="F502" s="415" t="s">
        <v>505</v>
      </c>
      <c r="G502" s="399"/>
      <c r="H502" s="376"/>
      <c r="I502" s="376"/>
    </row>
    <row r="503" spans="2:9">
      <c r="B503" s="376" t="str">
        <f>IF(OR(G$200="*",LEFT(Commodities!B$54,1)="*"),"*R0,R1,R2,R3,R4,R5,R6","R0,R1,R2,R3,R4,R5,R6")</f>
        <v>*R0,R1,R2,R3,R4,R5,R6</v>
      </c>
      <c r="C503" s="376" t="e">
        <f>#REF!</f>
        <v>#REF!</v>
      </c>
      <c r="D503" s="376" t="e">
        <f>#REF!</f>
        <v>#REF!</v>
      </c>
      <c r="E503" s="415" t="s">
        <v>384</v>
      </c>
      <c r="F503" s="415" t="s">
        <v>505</v>
      </c>
      <c r="G503" s="399"/>
      <c r="H503" s="376"/>
      <c r="I503" s="376"/>
    </row>
    <row r="504" spans="2:9">
      <c r="B504" s="376" t="str">
        <f>IF(OR(G$200="*",LEFT(Commodities!B$54,1)="*"),"*R0,R1,R2,R3,R4,R5,R6","R0,R1,R2,R3,R4,R5,R6")</f>
        <v>*R0,R1,R2,R3,R4,R5,R6</v>
      </c>
      <c r="C504" s="376" t="e">
        <f>#REF!</f>
        <v>#REF!</v>
      </c>
      <c r="D504" s="376" t="e">
        <f>#REF!</f>
        <v>#REF!</v>
      </c>
      <c r="E504" s="415" t="s">
        <v>384</v>
      </c>
      <c r="F504" s="415" t="s">
        <v>505</v>
      </c>
      <c r="G504" s="399"/>
      <c r="H504" s="376"/>
      <c r="I504" s="376"/>
    </row>
    <row r="505" spans="2:9">
      <c r="B505" s="376" t="str">
        <f>IF(OR(G$200="*",LEFT(Commodities!B$54,1)="*"),"*R0,R1,R2,R3,R4,R5,R6","R0,R1,R2,R3,R4,R5,R6")</f>
        <v>*R0,R1,R2,R3,R4,R5,R6</v>
      </c>
      <c r="C505" s="376" t="e">
        <f>#REF!</f>
        <v>#REF!</v>
      </c>
      <c r="D505" s="376" t="e">
        <f>#REF!</f>
        <v>#REF!</v>
      </c>
      <c r="E505" s="415" t="s">
        <v>384</v>
      </c>
      <c r="F505" s="415" t="s">
        <v>505</v>
      </c>
      <c r="G505" s="399"/>
      <c r="H505" s="376"/>
      <c r="I505" s="376"/>
    </row>
    <row r="506" spans="2:9">
      <c r="B506" s="376" t="str">
        <f>IF(OR(G$200="*",LEFT(Commodities!B$54,1)="*"),"*R0,R1,R2,R3,R4,R5,R6","R0,R1,R2,R3,R4,R5,R6")</f>
        <v>*R0,R1,R2,R3,R4,R5,R6</v>
      </c>
      <c r="C506" s="376" t="e">
        <f>#REF!</f>
        <v>#REF!</v>
      </c>
      <c r="D506" s="376" t="e">
        <f>#REF!</f>
        <v>#REF!</v>
      </c>
      <c r="E506" s="415" t="s">
        <v>384</v>
      </c>
      <c r="F506" s="415" t="s">
        <v>505</v>
      </c>
      <c r="G506" s="399"/>
      <c r="H506" s="376"/>
      <c r="I506" s="376"/>
    </row>
    <row r="507" spans="2:9">
      <c r="B507" s="376" t="str">
        <f>IF(OR(G$200="*",LEFT(Commodities!B$56,1)="*"),"*R0,R1,R2,R3,R4,R5,R6","R0,R1,R2,R3,R4,R5,R6")</f>
        <v>*R0,R1,R2,R3,R4,R5,R6</v>
      </c>
      <c r="C507" s="376" t="e">
        <f>#REF!</f>
        <v>#REF!</v>
      </c>
      <c r="D507" s="376" t="e">
        <f>#REF!</f>
        <v>#REF!</v>
      </c>
      <c r="E507" s="415" t="s">
        <v>384</v>
      </c>
      <c r="F507" s="415" t="s">
        <v>505</v>
      </c>
      <c r="G507" s="399"/>
      <c r="H507" s="376"/>
      <c r="I507" s="376"/>
    </row>
    <row r="508" spans="2:9">
      <c r="B508" s="376" t="str">
        <f>IF(OR(G$200="*",LEFT(Commodities!B$56,1)="*"),"*R0,R1,R2,R3,R4,R5,R6","R0,R1,R2,R3,R4,R5,R6")</f>
        <v>*R0,R1,R2,R3,R4,R5,R6</v>
      </c>
      <c r="C508" s="376" t="e">
        <f>#REF!</f>
        <v>#REF!</v>
      </c>
      <c r="D508" s="376" t="e">
        <f>#REF!</f>
        <v>#REF!</v>
      </c>
      <c r="E508" s="415" t="s">
        <v>384</v>
      </c>
      <c r="F508" s="415" t="s">
        <v>505</v>
      </c>
      <c r="G508" s="399"/>
      <c r="H508" s="376"/>
      <c r="I508" s="376"/>
    </row>
    <row r="509" spans="2:9">
      <c r="B509" s="376" t="str">
        <f>IF(OR(G$200="*",LEFT(Commodities!B$56,1)="*"),"*R0,R1,R2,R3,R4,R5,R6","R0,R1,R2,R3,R4,R5,R6")</f>
        <v>*R0,R1,R2,R3,R4,R5,R6</v>
      </c>
      <c r="C509" s="376" t="e">
        <f>#REF!</f>
        <v>#REF!</v>
      </c>
      <c r="D509" s="376" t="e">
        <f>#REF!</f>
        <v>#REF!</v>
      </c>
      <c r="E509" s="415" t="s">
        <v>384</v>
      </c>
      <c r="F509" s="415" t="s">
        <v>505</v>
      </c>
      <c r="G509" s="399"/>
      <c r="H509" s="376"/>
      <c r="I509" s="376"/>
    </row>
    <row r="510" spans="2:9">
      <c r="B510" s="376" t="str">
        <f>IF(OR(G$200="*",LEFT(Commodities!B$56,1)="*"),"*R0,R1,R2,R3,R4,R5,R6","R0,R1,R2,R3,R4,R5,R6")</f>
        <v>*R0,R1,R2,R3,R4,R5,R6</v>
      </c>
      <c r="C510" s="376" t="e">
        <f>#REF!</f>
        <v>#REF!</v>
      </c>
      <c r="D510" s="376" t="e">
        <f>#REF!</f>
        <v>#REF!</v>
      </c>
      <c r="E510" s="415" t="s">
        <v>384</v>
      </c>
      <c r="F510" s="415" t="s">
        <v>505</v>
      </c>
      <c r="G510" s="399"/>
      <c r="H510" s="376"/>
      <c r="I510" s="376"/>
    </row>
    <row r="511" spans="2:9">
      <c r="B511" s="376" t="str">
        <f>IF(OR(G$200="*",LEFT(Commodities!B$56,1)="*"),"*R0,R1,R2,R3,R4,R5,R6","R0,R1,R2,R3,R4,R5,R6")</f>
        <v>*R0,R1,R2,R3,R4,R5,R6</v>
      </c>
      <c r="C511" s="376" t="e">
        <f>#REF!</f>
        <v>#REF!</v>
      </c>
      <c r="D511" s="376" t="e">
        <f>#REF!</f>
        <v>#REF!</v>
      </c>
      <c r="E511" s="415" t="s">
        <v>384</v>
      </c>
      <c r="F511" s="415" t="s">
        <v>505</v>
      </c>
      <c r="G511" s="399"/>
      <c r="H511" s="376"/>
      <c r="I511" s="376"/>
    </row>
    <row r="512" spans="2:9">
      <c r="B512" s="376" t="str">
        <f>IF(OR(G$200="*",LEFT(Commodities!B$52,1)="*"),"*R0,R1,R2,R3,R4,R5,R6","R0,R1,R2,R3,R4,R5,R6")</f>
        <v>R0,R1,R2,R3,R4,R5,R6</v>
      </c>
      <c r="C512" s="376" t="e">
        <f>#REF!</f>
        <v>#REF!</v>
      </c>
      <c r="D512" s="376" t="e">
        <f>#REF!</f>
        <v>#REF!</v>
      </c>
      <c r="E512" s="415" t="s">
        <v>384</v>
      </c>
      <c r="F512" s="415" t="s">
        <v>505</v>
      </c>
      <c r="G512" s="399"/>
      <c r="H512" s="376"/>
      <c r="I512" s="376"/>
    </row>
    <row r="513" spans="2:9">
      <c r="B513" s="376" t="str">
        <f>IF(OR(G$200="*",LEFT(Commodities!B$52,1)="*"),"*R0,R1,R2,R3,R4,R5,R6","R0,R1,R2,R3,R4,R5,R6")</f>
        <v>R0,R1,R2,R3,R4,R5,R6</v>
      </c>
      <c r="C513" s="376" t="e">
        <f>#REF!</f>
        <v>#REF!</v>
      </c>
      <c r="D513" s="376" t="e">
        <f>#REF!</f>
        <v>#REF!</v>
      </c>
      <c r="E513" s="415" t="s">
        <v>384</v>
      </c>
      <c r="F513" s="415" t="s">
        <v>505</v>
      </c>
      <c r="G513" s="399"/>
      <c r="H513" s="376"/>
      <c r="I513" s="376"/>
    </row>
    <row r="514" spans="2:9">
      <c r="B514" s="376" t="str">
        <f>IF(OR(G$200="*",LEFT(Commodities!B$52,1)="*"),"*R0,R1,R2,R3,R4,R5,R6","R0,R1,R2,R3,R4,R5,R6")</f>
        <v>R0,R1,R2,R3,R4,R5,R6</v>
      </c>
      <c r="C514" s="376" t="e">
        <f>#REF!</f>
        <v>#REF!</v>
      </c>
      <c r="D514" s="376" t="e">
        <f>#REF!</f>
        <v>#REF!</v>
      </c>
      <c r="E514" s="415" t="s">
        <v>384</v>
      </c>
      <c r="F514" s="415" t="s">
        <v>505</v>
      </c>
      <c r="G514" s="399"/>
      <c r="H514" s="376"/>
      <c r="I514" s="376"/>
    </row>
    <row r="515" spans="2:9">
      <c r="B515" s="376" t="str">
        <f>IF(OR(G$200="*",LEFT(Commodities!B$52,1)="*"),"*R0,R1,R2,R3,R4,R5,R6","R0,R1,R2,R3,R4,R5,R6")</f>
        <v>R0,R1,R2,R3,R4,R5,R6</v>
      </c>
      <c r="C515" s="376" t="e">
        <f>#REF!</f>
        <v>#REF!</v>
      </c>
      <c r="D515" s="376" t="e">
        <f>#REF!</f>
        <v>#REF!</v>
      </c>
      <c r="E515" s="415" t="s">
        <v>384</v>
      </c>
      <c r="F515" s="415" t="s">
        <v>505</v>
      </c>
      <c r="G515" s="399"/>
      <c r="H515" s="376"/>
      <c r="I515" s="376"/>
    </row>
    <row r="516" spans="2:9">
      <c r="B516" s="376" t="str">
        <f>IF(OR(G$200="*",LEFT(Commodities!B$52,1)="*"),"*R0,R1,R2,R3,R4,R5,R6","R0,R1,R2,R3,R4,R5,R6")</f>
        <v>R0,R1,R2,R3,R4,R5,R6</v>
      </c>
      <c r="C516" s="376" t="e">
        <f>#REF!</f>
        <v>#REF!</v>
      </c>
      <c r="D516" s="376" t="e">
        <f>#REF!</f>
        <v>#REF!</v>
      </c>
      <c r="E516" s="415" t="s">
        <v>384</v>
      </c>
      <c r="F516" s="415" t="s">
        <v>505</v>
      </c>
      <c r="G516" s="399"/>
      <c r="H516" s="376"/>
      <c r="I516" s="376"/>
    </row>
    <row r="517" spans="2:9">
      <c r="B517" s="376" t="s">
        <v>588</v>
      </c>
      <c r="C517" s="376"/>
      <c r="D517" s="376"/>
      <c r="E517" s="415"/>
      <c r="F517" s="415"/>
      <c r="G517" s="399"/>
      <c r="H517" s="376"/>
      <c r="I517" s="376"/>
    </row>
    <row r="518" spans="2:9">
      <c r="B518" s="376" t="s">
        <v>588</v>
      </c>
      <c r="C518" s="376"/>
      <c r="D518" s="376"/>
      <c r="E518" s="415"/>
      <c r="F518" s="415"/>
      <c r="G518" s="399"/>
      <c r="H518" s="376"/>
      <c r="I518" s="376"/>
    </row>
    <row r="519" spans="2:9">
      <c r="B519" s="376" t="str">
        <f>IF(OR(G$200="*",LEFT(Commodities!B$49,1)="*"),"*R0,R1,R2,R3,R4,R5,R6","R0,R1,R2,R3,R4,R5,R6")</f>
        <v>R0,R1,R2,R3,R4,R5,R6</v>
      </c>
      <c r="C519" s="376" t="e">
        <f>#REF!</f>
        <v>#REF!</v>
      </c>
      <c r="D519" s="376" t="e">
        <f>#REF!</f>
        <v>#REF!</v>
      </c>
      <c r="E519" s="415" t="s">
        <v>384</v>
      </c>
      <c r="F519" s="415" t="s">
        <v>505</v>
      </c>
      <c r="G519" s="399"/>
      <c r="H519" s="376"/>
      <c r="I519" s="376"/>
    </row>
    <row r="520" spans="2:9">
      <c r="B520" s="376" t="str">
        <f>IF(OR(G$200="*",LEFT(Commodities!B$49,1)="*"),"*R0,R1,R2,R3,R4,R5,R6","R0,R1,R2,R3,R4,R5,R6")</f>
        <v>R0,R1,R2,R3,R4,R5,R6</v>
      </c>
      <c r="C520" s="376" t="e">
        <f>#REF!</f>
        <v>#REF!</v>
      </c>
      <c r="D520" s="376" t="e">
        <f>#REF!</f>
        <v>#REF!</v>
      </c>
      <c r="E520" s="415" t="s">
        <v>384</v>
      </c>
      <c r="F520" s="415" t="s">
        <v>505</v>
      </c>
      <c r="G520" s="399"/>
      <c r="H520" s="376"/>
      <c r="I520" s="376"/>
    </row>
    <row r="521" spans="2:9">
      <c r="B521" s="376" t="str">
        <f>IF(OR(G$200="*",LEFT(Commodities!B$49,1)="*"),"*R0,R1,R2,R3,R4,R5,R6","R0,R1,R2,R3,R4,R5,R6")</f>
        <v>R0,R1,R2,R3,R4,R5,R6</v>
      </c>
      <c r="C521" s="376" t="e">
        <f>#REF!</f>
        <v>#REF!</v>
      </c>
      <c r="D521" s="376" t="e">
        <f>#REF!</f>
        <v>#REF!</v>
      </c>
      <c r="E521" s="415" t="s">
        <v>384</v>
      </c>
      <c r="F521" s="415" t="s">
        <v>505</v>
      </c>
      <c r="G521" s="399"/>
      <c r="H521" s="376"/>
      <c r="I521" s="376"/>
    </row>
    <row r="522" spans="2:9">
      <c r="B522" s="376" t="str">
        <f>IF(OR(G$200="*",LEFT(Commodities!B$49,1)="*"),"*R0,R1,R2,R3,R4,R5,R6","R0,R1,R2,R3,R4,R5,R6")</f>
        <v>R0,R1,R2,R3,R4,R5,R6</v>
      </c>
      <c r="C522" s="376" t="e">
        <f>#REF!</f>
        <v>#REF!</v>
      </c>
      <c r="D522" s="376" t="e">
        <f>#REF!</f>
        <v>#REF!</v>
      </c>
      <c r="E522" s="415" t="s">
        <v>384</v>
      </c>
      <c r="F522" s="415" t="s">
        <v>505</v>
      </c>
      <c r="G522" s="399"/>
      <c r="H522" s="376"/>
      <c r="I522" s="376"/>
    </row>
    <row r="523" spans="2:9">
      <c r="B523" s="376" t="str">
        <f>IF(OR(G$200="*",LEFT(Commodities!B$49,1)="*"),"*R0,R1,R2,R3,R4,R5,R6","R0,R1,R2,R3,R4,R5,R6")</f>
        <v>R0,R1,R2,R3,R4,R5,R6</v>
      </c>
      <c r="C523" s="376" t="e">
        <f>#REF!</f>
        <v>#REF!</v>
      </c>
      <c r="D523" s="376" t="e">
        <f>#REF!</f>
        <v>#REF!</v>
      </c>
      <c r="E523" s="415" t="s">
        <v>384</v>
      </c>
      <c r="F523" s="415" t="s">
        <v>505</v>
      </c>
      <c r="G523" s="399"/>
      <c r="H523" s="376"/>
      <c r="I523" s="376"/>
    </row>
    <row r="524" spans="2:9">
      <c r="B524" s="376" t="str">
        <f>IF(OR(G$200="*",LEFT(Commodities!B$48,1)="*"),"*R0,R1,R2,R3,R4,R5,R6","R0,R1,R2,R3,R4,R5,R6")</f>
        <v>R0,R1,R2,R3,R4,R5,R6</v>
      </c>
      <c r="C524" s="376" t="e">
        <f>#REF!</f>
        <v>#REF!</v>
      </c>
      <c r="D524" s="376" t="e">
        <f>#REF!</f>
        <v>#REF!</v>
      </c>
      <c r="E524" s="415" t="s">
        <v>384</v>
      </c>
      <c r="F524" s="415" t="s">
        <v>505</v>
      </c>
      <c r="G524" s="399"/>
      <c r="H524" s="376"/>
      <c r="I524" s="376"/>
    </row>
    <row r="525" spans="2:9">
      <c r="B525" s="376" t="str">
        <f>IF(OR(G$200="*",LEFT(Commodities!B$48,1)="*"),"*R0,R1,R2,R3,R4,R5,R6","R0,R1,R2,R3,R4,R5,R6")</f>
        <v>R0,R1,R2,R3,R4,R5,R6</v>
      </c>
      <c r="C525" s="376" t="e">
        <f>#REF!</f>
        <v>#REF!</v>
      </c>
      <c r="D525" s="376" t="e">
        <f>#REF!</f>
        <v>#REF!</v>
      </c>
      <c r="E525" s="415" t="s">
        <v>384</v>
      </c>
      <c r="F525" s="415" t="s">
        <v>505</v>
      </c>
      <c r="G525" s="399"/>
      <c r="H525" s="376"/>
      <c r="I525" s="376"/>
    </row>
    <row r="526" spans="2:9">
      <c r="B526" s="376" t="str">
        <f>IF(OR(G$200="*",LEFT(Commodities!B$48,1)="*"),"*R0,R1,R2,R3,R4,R5,R6","R0,R1,R2,R3,R4,R5,R6")</f>
        <v>R0,R1,R2,R3,R4,R5,R6</v>
      </c>
      <c r="C526" s="376" t="e">
        <f>#REF!</f>
        <v>#REF!</v>
      </c>
      <c r="D526" s="376" t="e">
        <f>#REF!</f>
        <v>#REF!</v>
      </c>
      <c r="E526" s="415" t="s">
        <v>384</v>
      </c>
      <c r="F526" s="415" t="s">
        <v>505</v>
      </c>
      <c r="G526" s="399"/>
      <c r="H526" s="376"/>
      <c r="I526" s="376"/>
    </row>
    <row r="527" spans="2:9">
      <c r="B527" s="376" t="str">
        <f>IF(OR(G$200="*",LEFT(Commodities!B$48,1)="*"),"*R0,R1,R2,R3,R4,R5,R6","R0,R1,R2,R3,R4,R5,R6")</f>
        <v>R0,R1,R2,R3,R4,R5,R6</v>
      </c>
      <c r="C527" s="376" t="e">
        <f>#REF!</f>
        <v>#REF!</v>
      </c>
      <c r="D527" s="376" t="e">
        <f>#REF!</f>
        <v>#REF!</v>
      </c>
      <c r="E527" s="415" t="s">
        <v>384</v>
      </c>
      <c r="F527" s="415" t="s">
        <v>505</v>
      </c>
      <c r="G527" s="399"/>
      <c r="H527" s="376"/>
      <c r="I527" s="376"/>
    </row>
    <row r="528" spans="2:9">
      <c r="B528" s="376" t="str">
        <f>IF(OR(G$200="*",LEFT(Commodities!B$48,1)="*"),"*R0,R1,R2,R3,R4,R5,R6","R0,R1,R2,R3,R4,R5,R6")</f>
        <v>R0,R1,R2,R3,R4,R5,R6</v>
      </c>
      <c r="C528" s="376" t="e">
        <f>#REF!</f>
        <v>#REF!</v>
      </c>
      <c r="D528" s="376" t="e">
        <f>#REF!</f>
        <v>#REF!</v>
      </c>
      <c r="E528" s="415" t="s">
        <v>384</v>
      </c>
      <c r="F528" s="415" t="s">
        <v>505</v>
      </c>
      <c r="G528" s="399"/>
      <c r="H528" s="376"/>
      <c r="I528" s="376"/>
    </row>
    <row r="529" spans="2:9">
      <c r="B529" s="376" t="str">
        <f>IF(OR(G$200="*",LEFT(Commodities!B$51,1)="*"),"*R0,R1,R2,R3,R4,R5,R6","R0,R1,R2,R3,R4,R5,R6")</f>
        <v>R0,R1,R2,R3,R4,R5,R6</v>
      </c>
      <c r="C529" s="376" t="e">
        <f>#REF!</f>
        <v>#REF!</v>
      </c>
      <c r="D529" s="376" t="e">
        <f>#REF!</f>
        <v>#REF!</v>
      </c>
      <c r="E529" s="415" t="s">
        <v>384</v>
      </c>
      <c r="F529" s="415" t="s">
        <v>505</v>
      </c>
      <c r="G529" s="399"/>
      <c r="H529" s="376"/>
      <c r="I529" s="376"/>
    </row>
    <row r="530" spans="2:9">
      <c r="B530" s="376" t="str">
        <f>IF(OR(G$200="*",LEFT(Commodities!B$51,1)="*"),"*R0,R1,R2,R3,R4,R5,R6","R0,R1,R2,R3,R4,R5,R6")</f>
        <v>R0,R1,R2,R3,R4,R5,R6</v>
      </c>
      <c r="C530" s="376" t="e">
        <f>#REF!</f>
        <v>#REF!</v>
      </c>
      <c r="D530" s="376" t="e">
        <f>#REF!</f>
        <v>#REF!</v>
      </c>
      <c r="E530" s="415" t="s">
        <v>384</v>
      </c>
      <c r="F530" s="415" t="s">
        <v>505</v>
      </c>
      <c r="G530" s="399"/>
      <c r="H530" s="376"/>
      <c r="I530" s="376"/>
    </row>
    <row r="531" spans="2:9">
      <c r="B531" s="376" t="str">
        <f>IF(OR(G$200="*",LEFT(Commodities!B$51,1)="*"),"*R0,R1,R2,R3,R4,R5,R6","R0,R1,R2,R3,R4,R5,R6")</f>
        <v>R0,R1,R2,R3,R4,R5,R6</v>
      </c>
      <c r="C531" s="376" t="e">
        <f>#REF!</f>
        <v>#REF!</v>
      </c>
      <c r="D531" s="376" t="e">
        <f>#REF!</f>
        <v>#REF!</v>
      </c>
      <c r="E531" s="415" t="s">
        <v>384</v>
      </c>
      <c r="F531" s="415" t="s">
        <v>505</v>
      </c>
      <c r="G531" s="399"/>
      <c r="H531" s="376"/>
      <c r="I531" s="376"/>
    </row>
    <row r="532" spans="2:9">
      <c r="B532" s="376" t="str">
        <f>IF(OR(G$200="*",LEFT(Commodities!B$51,1)="*"),"*R0,R1,R2,R3,R4,R5,R6","R0,R1,R2,R3,R4,R5,R6")</f>
        <v>R0,R1,R2,R3,R4,R5,R6</v>
      </c>
      <c r="C532" s="376" t="e">
        <f>#REF!</f>
        <v>#REF!</v>
      </c>
      <c r="D532" s="376" t="e">
        <f>#REF!</f>
        <v>#REF!</v>
      </c>
      <c r="E532" s="415" t="s">
        <v>384</v>
      </c>
      <c r="F532" s="415" t="s">
        <v>505</v>
      </c>
      <c r="G532" s="399"/>
      <c r="H532" s="376"/>
      <c r="I532" s="376"/>
    </row>
    <row r="533" spans="2:9">
      <c r="B533" s="376" t="str">
        <f>IF(OR(G$200="*",LEFT(Commodities!B$51,1)="*"),"*R0,R1,R2,R3,R4,R5,R6","R0,R1,R2,R3,R4,R5,R6")</f>
        <v>R0,R1,R2,R3,R4,R5,R6</v>
      </c>
      <c r="C533" s="376" t="e">
        <f>#REF!</f>
        <v>#REF!</v>
      </c>
      <c r="D533" s="376" t="e">
        <f>#REF!</f>
        <v>#REF!</v>
      </c>
      <c r="E533" s="415" t="s">
        <v>384</v>
      </c>
      <c r="F533" s="415" t="s">
        <v>505</v>
      </c>
      <c r="G533" s="399"/>
      <c r="H533" s="376"/>
      <c r="I533" s="376"/>
    </row>
    <row r="534" spans="2:9">
      <c r="B534" s="376" t="str">
        <f>IF(OR(G$200="*",LEFT(Commodities!B$59,1)="*"),"*R0,R1,R2,R3,R4,R5,R6","R0,R1,R2,R3,R4,R5,R6")</f>
        <v>R0,R1,R2,R3,R4,R5,R6</v>
      </c>
      <c r="C534" s="376" t="e">
        <f>#REF!</f>
        <v>#REF!</v>
      </c>
      <c r="D534" s="376" t="e">
        <f>#REF!</f>
        <v>#REF!</v>
      </c>
      <c r="E534" s="415" t="s">
        <v>384</v>
      </c>
      <c r="F534" s="415" t="s">
        <v>505</v>
      </c>
      <c r="G534" s="399"/>
      <c r="H534" s="376"/>
      <c r="I534" s="376"/>
    </row>
    <row r="535" spans="2:9">
      <c r="B535" s="376" t="str">
        <f>IF(OR(G$200="*",LEFT(Commodities!B$59,1)="*"),"*R0,R1,R2,R3,R4,R5,R6","R0,R1,R2,R3,R4,R5,R6")</f>
        <v>R0,R1,R2,R3,R4,R5,R6</v>
      </c>
      <c r="C535" s="376" t="e">
        <f>#REF!</f>
        <v>#REF!</v>
      </c>
      <c r="D535" s="376" t="e">
        <f>#REF!</f>
        <v>#REF!</v>
      </c>
      <c r="E535" s="415" t="s">
        <v>384</v>
      </c>
      <c r="F535" s="415" t="s">
        <v>505</v>
      </c>
      <c r="G535" s="399"/>
      <c r="H535" s="376"/>
      <c r="I535" s="376"/>
    </row>
    <row r="536" spans="2:9">
      <c r="B536" s="376" t="str">
        <f>IF(OR(G$200="*",LEFT(Commodities!B$59,1)="*"),"*R0,R1,R2,R3,R4,R5,R6","R0,R1,R2,R3,R4,R5,R6")</f>
        <v>R0,R1,R2,R3,R4,R5,R6</v>
      </c>
      <c r="C536" s="376" t="e">
        <f>#REF!</f>
        <v>#REF!</v>
      </c>
      <c r="D536" s="376" t="e">
        <f>#REF!</f>
        <v>#REF!</v>
      </c>
      <c r="E536" s="415" t="s">
        <v>384</v>
      </c>
      <c r="F536" s="415" t="s">
        <v>505</v>
      </c>
      <c r="G536" s="399"/>
      <c r="H536" s="376"/>
      <c r="I536" s="376"/>
    </row>
    <row r="537" spans="2:9">
      <c r="B537" s="376" t="str">
        <f>IF(OR(G$200="*",LEFT(Commodities!B$59,1)="*"),"*R0,R1,R2,R3,R4,R5,R6","R0,R1,R2,R3,R4,R5,R6")</f>
        <v>R0,R1,R2,R3,R4,R5,R6</v>
      </c>
      <c r="C537" s="376" t="e">
        <f>#REF!</f>
        <v>#REF!</v>
      </c>
      <c r="D537" s="376" t="e">
        <f>#REF!</f>
        <v>#REF!</v>
      </c>
      <c r="E537" s="415" t="s">
        <v>384</v>
      </c>
      <c r="F537" s="415" t="s">
        <v>505</v>
      </c>
      <c r="G537" s="399"/>
      <c r="H537" s="376"/>
      <c r="I537" s="376"/>
    </row>
    <row r="538" spans="2:9">
      <c r="B538" s="376" t="str">
        <f>IF(OR(G$200="*",LEFT(Commodities!B$59,1)="*"),"*R0,R1,R2,R3,R4,R5,R6","R0,R1,R2,R3,R4,R5,R6")</f>
        <v>R0,R1,R2,R3,R4,R5,R6</v>
      </c>
      <c r="C538" s="376" t="e">
        <f>#REF!</f>
        <v>#REF!</v>
      </c>
      <c r="D538" s="376" t="e">
        <f>#REF!</f>
        <v>#REF!</v>
      </c>
      <c r="E538" s="415" t="s">
        <v>384</v>
      </c>
      <c r="F538" s="415" t="s">
        <v>505</v>
      </c>
      <c r="G538" s="399"/>
      <c r="H538" s="376"/>
      <c r="I538" s="376"/>
    </row>
    <row r="539" spans="2:9">
      <c r="B539" s="376" t="str">
        <f>IF(OR(G$200="*",LEFT(Commodities!B$58,1)="*"),"*R0,R1,R2,R3,R4,R5,R6","R0,R1,R2,R3,R4,R5,R6")</f>
        <v>*R0,R1,R2,R3,R4,R5,R6</v>
      </c>
      <c r="C539" s="376" t="e">
        <f>#REF!</f>
        <v>#REF!</v>
      </c>
      <c r="D539" s="376" t="e">
        <f>#REF!</f>
        <v>#REF!</v>
      </c>
      <c r="E539" s="415" t="s">
        <v>384</v>
      </c>
      <c r="F539" s="415" t="s">
        <v>505</v>
      </c>
      <c r="G539" s="399"/>
      <c r="H539" s="376"/>
      <c r="I539" s="376"/>
    </row>
    <row r="540" spans="2:9">
      <c r="B540" s="376" t="str">
        <f>IF(OR(G$200="*",LEFT(Commodities!B$58,1)="*"),"*R0,R1,R2,R3,R4,R5,R6","R0,R1,R2,R3,R4,R5,R6")</f>
        <v>*R0,R1,R2,R3,R4,R5,R6</v>
      </c>
      <c r="C540" s="376" t="e">
        <f>#REF!</f>
        <v>#REF!</v>
      </c>
      <c r="D540" s="376" t="e">
        <f>#REF!</f>
        <v>#REF!</v>
      </c>
      <c r="E540" s="415" t="s">
        <v>384</v>
      </c>
      <c r="F540" s="415" t="s">
        <v>505</v>
      </c>
      <c r="G540" s="399"/>
      <c r="H540" s="376"/>
      <c r="I540" s="376"/>
    </row>
    <row r="541" spans="2:9">
      <c r="B541" s="376" t="str">
        <f>IF(OR(G$200="*",LEFT(Commodities!B$58,1)="*"),"*R0,R1,R2,R3,R4,R5,R6","R0,R1,R2,R3,R4,R5,R6")</f>
        <v>*R0,R1,R2,R3,R4,R5,R6</v>
      </c>
      <c r="C541" s="376" t="e">
        <f>#REF!</f>
        <v>#REF!</v>
      </c>
      <c r="D541" s="376" t="e">
        <f>#REF!</f>
        <v>#REF!</v>
      </c>
      <c r="E541" s="415" t="s">
        <v>384</v>
      </c>
      <c r="F541" s="415" t="s">
        <v>505</v>
      </c>
      <c r="G541" s="399"/>
      <c r="H541" s="376"/>
      <c r="I541" s="376"/>
    </row>
    <row r="542" spans="2:9">
      <c r="B542" s="376" t="str">
        <f>IF(OR(G$200="*",LEFT(Commodities!B$58,1)="*"),"*R0,R1,R2,R3,R4,R5,R6","R0,R1,R2,R3,R4,R5,R6")</f>
        <v>*R0,R1,R2,R3,R4,R5,R6</v>
      </c>
      <c r="C542" s="376" t="e">
        <f>#REF!</f>
        <v>#REF!</v>
      </c>
      <c r="D542" s="376" t="e">
        <f>#REF!</f>
        <v>#REF!</v>
      </c>
      <c r="E542" s="415" t="s">
        <v>384</v>
      </c>
      <c r="F542" s="415" t="s">
        <v>505</v>
      </c>
      <c r="G542" s="399"/>
      <c r="H542" s="376"/>
      <c r="I542" s="376"/>
    </row>
    <row r="543" spans="2:9">
      <c r="B543" s="376" t="str">
        <f>IF(OR(G$200="*",LEFT(Commodities!B$58,1)="*"),"*R0,R1,R2,R3,R4,R5,R6","R0,R1,R2,R3,R4,R5,R6")</f>
        <v>*R0,R1,R2,R3,R4,R5,R6</v>
      </c>
      <c r="C543" s="376" t="e">
        <f>#REF!</f>
        <v>#REF!</v>
      </c>
      <c r="D543" s="376" t="e">
        <f>#REF!</f>
        <v>#REF!</v>
      </c>
      <c r="E543" s="415" t="s">
        <v>384</v>
      </c>
      <c r="F543" s="415" t="s">
        <v>505</v>
      </c>
      <c r="G543" s="399"/>
      <c r="H543" s="376"/>
      <c r="I543" s="376"/>
    </row>
    <row r="544" spans="2:9">
      <c r="B544" s="376" t="str">
        <f>IF(OR(G$200="*",LEFT(Commodities!B$55,1)="*"),"*R0,R1,R2,R3,R4,R5,R6","R0,R1,R2,R3,R4,R5,R6")</f>
        <v>*R0,R1,R2,R3,R4,R5,R6</v>
      </c>
      <c r="C544" s="376" t="e">
        <f>#REF!</f>
        <v>#REF!</v>
      </c>
      <c r="D544" s="376" t="e">
        <f>#REF!</f>
        <v>#REF!</v>
      </c>
      <c r="E544" s="415" t="s">
        <v>384</v>
      </c>
      <c r="F544" s="415" t="s">
        <v>505</v>
      </c>
      <c r="G544" s="399"/>
      <c r="H544" s="376"/>
      <c r="I544" s="376"/>
    </row>
    <row r="545" spans="2:9">
      <c r="B545" s="376" t="str">
        <f>IF(OR(G$200="*",LEFT(Commodities!B$55,1)="*"),"*R0,R1,R2,R3,R4,R5,R6","R0,R1,R2,R3,R4,R5,R6")</f>
        <v>*R0,R1,R2,R3,R4,R5,R6</v>
      </c>
      <c r="C545" s="376" t="e">
        <f>#REF!</f>
        <v>#REF!</v>
      </c>
      <c r="D545" s="376" t="e">
        <f>#REF!</f>
        <v>#REF!</v>
      </c>
      <c r="E545" s="415" t="s">
        <v>384</v>
      </c>
      <c r="F545" s="415" t="s">
        <v>505</v>
      </c>
      <c r="G545" s="399"/>
      <c r="H545" s="376"/>
      <c r="I545" s="376"/>
    </row>
    <row r="546" spans="2:9">
      <c r="B546" s="376" t="str">
        <f>IF(OR(G$200="*",LEFT(Commodities!B$55,1)="*"),"*R0,R1,R2,R3,R4,R5,R6","R0,R1,R2,R3,R4,R5,R6")</f>
        <v>*R0,R1,R2,R3,R4,R5,R6</v>
      </c>
      <c r="C546" s="376" t="e">
        <f>#REF!</f>
        <v>#REF!</v>
      </c>
      <c r="D546" s="376" t="e">
        <f>#REF!</f>
        <v>#REF!</v>
      </c>
      <c r="E546" s="415" t="s">
        <v>384</v>
      </c>
      <c r="F546" s="415" t="s">
        <v>505</v>
      </c>
      <c r="G546" s="399"/>
      <c r="H546" s="376"/>
      <c r="I546" s="376"/>
    </row>
    <row r="547" spans="2:9">
      <c r="B547" s="376" t="str">
        <f>IF(OR(G$200="*",LEFT(Commodities!B$55,1)="*"),"*R0,R1,R2,R3,R4,R5,R6","R0,R1,R2,R3,R4,R5,R6")</f>
        <v>*R0,R1,R2,R3,R4,R5,R6</v>
      </c>
      <c r="C547" s="376" t="e">
        <f>#REF!</f>
        <v>#REF!</v>
      </c>
      <c r="D547" s="376" t="e">
        <f>#REF!</f>
        <v>#REF!</v>
      </c>
      <c r="E547" s="415" t="s">
        <v>384</v>
      </c>
      <c r="F547" s="415" t="s">
        <v>505</v>
      </c>
      <c r="G547" s="399"/>
      <c r="H547" s="376"/>
      <c r="I547" s="376"/>
    </row>
    <row r="548" spans="2:9">
      <c r="B548" s="376" t="str">
        <f>IF(OR(G$200="*",LEFT(Commodities!B$55,1)="*"),"*R0,R1,R2,R3,R4,R5,R6","R0,R1,R2,R3,R4,R5,R6")</f>
        <v>*R0,R1,R2,R3,R4,R5,R6</v>
      </c>
      <c r="C548" s="376" t="e">
        <f>#REF!</f>
        <v>#REF!</v>
      </c>
      <c r="D548" s="376" t="e">
        <f>#REF!</f>
        <v>#REF!</v>
      </c>
      <c r="E548" s="415" t="s">
        <v>384</v>
      </c>
      <c r="F548" s="415" t="s">
        <v>505</v>
      </c>
      <c r="G548" s="399"/>
      <c r="H548" s="376"/>
      <c r="I548" s="376"/>
    </row>
    <row r="549" spans="2:9">
      <c r="B549" s="376" t="str">
        <f>IF(OR(G$200="*",LEFT(Commodities!B$57,1)="*"),"*R0,R1,R2,R3,R4,R5,R6","R0,R1,R2,R3,R4,R5,R6")</f>
        <v>*R0,R1,R2,R3,R4,R5,R6</v>
      </c>
      <c r="C549" s="376" t="e">
        <f>#REF!</f>
        <v>#REF!</v>
      </c>
      <c r="D549" s="376" t="e">
        <f>#REF!</f>
        <v>#REF!</v>
      </c>
      <c r="E549" s="415" t="s">
        <v>384</v>
      </c>
      <c r="F549" s="415" t="s">
        <v>505</v>
      </c>
      <c r="G549" s="399"/>
      <c r="H549" s="376"/>
      <c r="I549" s="376"/>
    </row>
    <row r="550" spans="2:9">
      <c r="B550" s="376" t="str">
        <f>IF(OR(G$200="*",LEFT(Commodities!B$57,1)="*"),"*R0,R1,R2,R3,R4,R5,R6","R0,R1,R2,R3,R4,R5,R6")</f>
        <v>*R0,R1,R2,R3,R4,R5,R6</v>
      </c>
      <c r="C550" s="376" t="e">
        <f>#REF!</f>
        <v>#REF!</v>
      </c>
      <c r="D550" s="376" t="e">
        <f>#REF!</f>
        <v>#REF!</v>
      </c>
      <c r="E550" s="415" t="s">
        <v>384</v>
      </c>
      <c r="F550" s="415" t="s">
        <v>505</v>
      </c>
      <c r="G550" s="399"/>
      <c r="H550" s="376"/>
      <c r="I550" s="376"/>
    </row>
    <row r="551" spans="2:9">
      <c r="B551" s="376" t="str">
        <f>IF(OR(G$200="*",LEFT(Commodities!B$57,1)="*"),"*R0,R1,R2,R3,R4,R5,R6","R0,R1,R2,R3,R4,R5,R6")</f>
        <v>*R0,R1,R2,R3,R4,R5,R6</v>
      </c>
      <c r="C551" s="376" t="e">
        <f>#REF!</f>
        <v>#REF!</v>
      </c>
      <c r="D551" s="376" t="e">
        <f>#REF!</f>
        <v>#REF!</v>
      </c>
      <c r="E551" s="415" t="s">
        <v>384</v>
      </c>
      <c r="F551" s="415" t="s">
        <v>505</v>
      </c>
      <c r="G551" s="399"/>
      <c r="H551" s="376"/>
      <c r="I551" s="376"/>
    </row>
    <row r="552" spans="2:9">
      <c r="B552" s="376" t="str">
        <f>IF(OR(G$200="*",LEFT(Commodities!B$57,1)="*"),"*R0,R1,R2,R3,R4,R5,R6","R0,R1,R2,R3,R4,R5,R6")</f>
        <v>*R0,R1,R2,R3,R4,R5,R6</v>
      </c>
      <c r="C552" s="376" t="e">
        <f>#REF!</f>
        <v>#REF!</v>
      </c>
      <c r="D552" s="376" t="e">
        <f>#REF!</f>
        <v>#REF!</v>
      </c>
      <c r="E552" s="415" t="s">
        <v>384</v>
      </c>
      <c r="F552" s="415" t="s">
        <v>505</v>
      </c>
      <c r="G552" s="399"/>
      <c r="H552" s="376"/>
      <c r="I552" s="376"/>
    </row>
    <row r="553" spans="2:9">
      <c r="B553" s="376" t="str">
        <f>IF(OR(G$200="*",LEFT(Commodities!B$57,1)="*"),"*R0,R1,R2,R3,R4,R5,R6","R0,R1,R2,R3,R4,R5,R6")</f>
        <v>*R0,R1,R2,R3,R4,R5,R6</v>
      </c>
      <c r="C553" s="376" t="e">
        <f>#REF!</f>
        <v>#REF!</v>
      </c>
      <c r="D553" s="376" t="e">
        <f>#REF!</f>
        <v>#REF!</v>
      </c>
      <c r="E553" s="415" t="s">
        <v>384</v>
      </c>
      <c r="F553" s="415" t="s">
        <v>505</v>
      </c>
      <c r="G553" s="399"/>
      <c r="H553" s="376"/>
      <c r="I553" s="376"/>
    </row>
    <row r="554" spans="2:9">
      <c r="B554" s="376" t="str">
        <f>IF(OR(G$200="*",LEFT(Commodities!B$54,1)="*"),"*R0,R1,R2,R3,R4,R5,R6","R0,R1,R2,R3,R4,R5,R6")</f>
        <v>*R0,R1,R2,R3,R4,R5,R6</v>
      </c>
      <c r="C554" s="376" t="e">
        <f>#REF!</f>
        <v>#REF!</v>
      </c>
      <c r="D554" s="376" t="e">
        <f>#REF!</f>
        <v>#REF!</v>
      </c>
      <c r="E554" s="415" t="s">
        <v>384</v>
      </c>
      <c r="F554" s="415" t="s">
        <v>505</v>
      </c>
      <c r="G554" s="399"/>
      <c r="H554" s="376"/>
      <c r="I554" s="376"/>
    </row>
    <row r="555" spans="2:9">
      <c r="B555" s="376" t="str">
        <f>IF(OR(G$200="*",LEFT(Commodities!B$54,1)="*"),"*R0,R1,R2,R3,R4,R5,R6","R0,R1,R2,R3,R4,R5,R6")</f>
        <v>*R0,R1,R2,R3,R4,R5,R6</v>
      </c>
      <c r="C555" s="376" t="e">
        <f>#REF!</f>
        <v>#REF!</v>
      </c>
      <c r="D555" s="376" t="e">
        <f>#REF!</f>
        <v>#REF!</v>
      </c>
      <c r="E555" s="415" t="s">
        <v>384</v>
      </c>
      <c r="F555" s="415" t="s">
        <v>505</v>
      </c>
      <c r="G555" s="399"/>
      <c r="H555" s="376"/>
      <c r="I555" s="376"/>
    </row>
    <row r="556" spans="2:9">
      <c r="B556" s="376" t="str">
        <f>IF(OR(G$200="*",LEFT(Commodities!B$54,1)="*"),"*R0,R1,R2,R3,R4,R5,R6","R0,R1,R2,R3,R4,R5,R6")</f>
        <v>*R0,R1,R2,R3,R4,R5,R6</v>
      </c>
      <c r="C556" s="376" t="e">
        <f>#REF!</f>
        <v>#REF!</v>
      </c>
      <c r="D556" s="376" t="e">
        <f>#REF!</f>
        <v>#REF!</v>
      </c>
      <c r="E556" s="415" t="s">
        <v>384</v>
      </c>
      <c r="F556" s="415" t="s">
        <v>505</v>
      </c>
      <c r="G556" s="399"/>
      <c r="H556" s="376"/>
      <c r="I556" s="376"/>
    </row>
    <row r="557" spans="2:9">
      <c r="B557" s="376" t="str">
        <f>IF(OR(G$200="*",LEFT(Commodities!B$54,1)="*"),"*R0,R1,R2,R3,R4,R5,R6","R0,R1,R2,R3,R4,R5,R6")</f>
        <v>*R0,R1,R2,R3,R4,R5,R6</v>
      </c>
      <c r="C557" s="376" t="e">
        <f>#REF!</f>
        <v>#REF!</v>
      </c>
      <c r="D557" s="376" t="e">
        <f>#REF!</f>
        <v>#REF!</v>
      </c>
      <c r="E557" s="415" t="s">
        <v>384</v>
      </c>
      <c r="F557" s="415" t="s">
        <v>505</v>
      </c>
      <c r="G557" s="399"/>
      <c r="H557" s="376"/>
      <c r="I557" s="376"/>
    </row>
    <row r="558" spans="2:9">
      <c r="B558" s="376" t="str">
        <f>IF(OR(G$200="*",LEFT(Commodities!B$54,1)="*"),"*R0,R1,R2,R3,R4,R5,R6","R0,R1,R2,R3,R4,R5,R6")</f>
        <v>*R0,R1,R2,R3,R4,R5,R6</v>
      </c>
      <c r="C558" s="376" t="e">
        <f>#REF!</f>
        <v>#REF!</v>
      </c>
      <c r="D558" s="376" t="e">
        <f>#REF!</f>
        <v>#REF!</v>
      </c>
      <c r="E558" s="415" t="s">
        <v>384</v>
      </c>
      <c r="F558" s="415" t="s">
        <v>505</v>
      </c>
      <c r="G558" s="399"/>
      <c r="H558" s="376"/>
      <c r="I558" s="376"/>
    </row>
    <row r="559" spans="2:9">
      <c r="B559" s="376" t="str">
        <f>IF(OR(G$200="*",LEFT(Commodities!B$56,1)="*"),"*R0,R1,R2,R3,R4,R5,R6","R0,R1,R2,R3,R4,R5,R6")</f>
        <v>*R0,R1,R2,R3,R4,R5,R6</v>
      </c>
      <c r="C559" s="376" t="e">
        <f>#REF!</f>
        <v>#REF!</v>
      </c>
      <c r="D559" s="376" t="e">
        <f>#REF!</f>
        <v>#REF!</v>
      </c>
      <c r="E559" s="415" t="s">
        <v>384</v>
      </c>
      <c r="F559" s="415" t="s">
        <v>505</v>
      </c>
      <c r="G559" s="399"/>
      <c r="H559" s="376"/>
      <c r="I559" s="376"/>
    </row>
    <row r="560" spans="2:9">
      <c r="B560" s="376" t="str">
        <f>IF(OR(G$200="*",LEFT(Commodities!B$56,1)="*"),"*R0,R1,R2,R3,R4,R5,R6","R0,R1,R2,R3,R4,R5,R6")</f>
        <v>*R0,R1,R2,R3,R4,R5,R6</v>
      </c>
      <c r="C560" s="376" t="e">
        <f>#REF!</f>
        <v>#REF!</v>
      </c>
      <c r="D560" s="376" t="e">
        <f>#REF!</f>
        <v>#REF!</v>
      </c>
      <c r="E560" s="415" t="s">
        <v>384</v>
      </c>
      <c r="F560" s="415" t="s">
        <v>505</v>
      </c>
      <c r="G560" s="399"/>
      <c r="H560" s="376"/>
      <c r="I560" s="376"/>
    </row>
    <row r="561" spans="2:9">
      <c r="B561" s="376" t="str">
        <f>IF(OR(G$200="*",LEFT(Commodities!B$56,1)="*"),"*R0,R1,R2,R3,R4,R5,R6","R0,R1,R2,R3,R4,R5,R6")</f>
        <v>*R0,R1,R2,R3,R4,R5,R6</v>
      </c>
      <c r="C561" s="376" t="e">
        <f>#REF!</f>
        <v>#REF!</v>
      </c>
      <c r="D561" s="376" t="e">
        <f>#REF!</f>
        <v>#REF!</v>
      </c>
      <c r="E561" s="415" t="s">
        <v>384</v>
      </c>
      <c r="F561" s="415" t="s">
        <v>505</v>
      </c>
      <c r="G561" s="399"/>
      <c r="H561" s="376"/>
      <c r="I561" s="376"/>
    </row>
    <row r="562" spans="2:9">
      <c r="B562" s="376" t="str">
        <f>IF(OR(G$200="*",LEFT(Commodities!B$56,1)="*"),"*R0,R1,R2,R3,R4,R5,R6","R0,R1,R2,R3,R4,R5,R6")</f>
        <v>*R0,R1,R2,R3,R4,R5,R6</v>
      </c>
      <c r="C562" s="376" t="e">
        <f>#REF!</f>
        <v>#REF!</v>
      </c>
      <c r="D562" s="376" t="e">
        <f>#REF!</f>
        <v>#REF!</v>
      </c>
      <c r="E562" s="415" t="s">
        <v>384</v>
      </c>
      <c r="F562" s="415" t="s">
        <v>505</v>
      </c>
      <c r="G562" s="399"/>
      <c r="H562" s="376"/>
      <c r="I562" s="376"/>
    </row>
    <row r="563" spans="2:9">
      <c r="B563" s="376" t="str">
        <f>IF(OR(G$200="*",LEFT(Commodities!B$56,1)="*"),"*R0,R1,R2,R3,R4,R5,R6","R0,R1,R2,R3,R4,R5,R6")</f>
        <v>*R0,R1,R2,R3,R4,R5,R6</v>
      </c>
      <c r="C563" s="376" t="e">
        <f>#REF!</f>
        <v>#REF!</v>
      </c>
      <c r="D563" s="376" t="e">
        <f>#REF!</f>
        <v>#REF!</v>
      </c>
      <c r="E563" s="415" t="s">
        <v>384</v>
      </c>
      <c r="F563" s="415" t="s">
        <v>505</v>
      </c>
      <c r="G563" s="399"/>
      <c r="H563" s="376"/>
      <c r="I563" s="376"/>
    </row>
    <row r="564" spans="2:9">
      <c r="B564" s="376" t="str">
        <f>IF(OR(G$200="*",LEFT(Commodities!B$52,1)="*"),"*R0,R1,R2,R3,R4,R5,R6","R0,R1,R2,R3,R4,R5,R6")</f>
        <v>R0,R1,R2,R3,R4,R5,R6</v>
      </c>
      <c r="C564" s="376" t="e">
        <f>#REF!</f>
        <v>#REF!</v>
      </c>
      <c r="D564" s="376" t="e">
        <f>#REF!</f>
        <v>#REF!</v>
      </c>
      <c r="E564" s="415" t="s">
        <v>384</v>
      </c>
      <c r="F564" s="415" t="s">
        <v>505</v>
      </c>
      <c r="G564" s="399"/>
      <c r="H564" s="376"/>
      <c r="I564" s="376"/>
    </row>
    <row r="565" spans="2:9">
      <c r="B565" s="376" t="str">
        <f>IF(OR(G$200="*",LEFT(Commodities!B$52,1)="*"),"*R0,R1,R2,R3,R4,R5,R6","R0,R1,R2,R3,R4,R5,R6")</f>
        <v>R0,R1,R2,R3,R4,R5,R6</v>
      </c>
      <c r="C565" s="376" t="e">
        <f>#REF!</f>
        <v>#REF!</v>
      </c>
      <c r="D565" s="376" t="e">
        <f>#REF!</f>
        <v>#REF!</v>
      </c>
      <c r="E565" s="415" t="s">
        <v>384</v>
      </c>
      <c r="F565" s="415" t="s">
        <v>505</v>
      </c>
      <c r="G565" s="399"/>
      <c r="H565" s="376"/>
      <c r="I565" s="376"/>
    </row>
    <row r="566" spans="2:9">
      <c r="B566" s="376" t="str">
        <f>IF(OR(G$200="*",LEFT(Commodities!B$52,1)="*"),"*R0,R1,R2,R3,R4,R5,R6","R0,R1,R2,R3,R4,R5,R6")</f>
        <v>R0,R1,R2,R3,R4,R5,R6</v>
      </c>
      <c r="C566" s="376" t="e">
        <f>#REF!</f>
        <v>#REF!</v>
      </c>
      <c r="D566" s="376" t="e">
        <f>#REF!</f>
        <v>#REF!</v>
      </c>
      <c r="E566" s="415" t="s">
        <v>384</v>
      </c>
      <c r="F566" s="415" t="s">
        <v>505</v>
      </c>
      <c r="G566" s="399"/>
      <c r="H566" s="376"/>
      <c r="I566" s="376"/>
    </row>
    <row r="567" spans="2:9">
      <c r="B567" s="376" t="str">
        <f>IF(OR(G$200="*",LEFT(Commodities!B$52,1)="*"),"*R0,R1,R2,R3,R4,R5,R6","R0,R1,R2,R3,R4,R5,R6")</f>
        <v>R0,R1,R2,R3,R4,R5,R6</v>
      </c>
      <c r="C567" s="376" t="e">
        <f>#REF!</f>
        <v>#REF!</v>
      </c>
      <c r="D567" s="376" t="e">
        <f>#REF!</f>
        <v>#REF!</v>
      </c>
      <c r="E567" s="415" t="s">
        <v>384</v>
      </c>
      <c r="F567" s="415" t="s">
        <v>505</v>
      </c>
      <c r="G567" s="399"/>
      <c r="H567" s="376"/>
      <c r="I567" s="376"/>
    </row>
    <row r="568" spans="2:9">
      <c r="B568" s="376" t="str">
        <f>IF(OR(G$200="*",LEFT(Commodities!B$52,1)="*"),"*R0,R1,R2,R3,R4,R5,R6","R0,R1,R2,R3,R4,R5,R6")</f>
        <v>R0,R1,R2,R3,R4,R5,R6</v>
      </c>
      <c r="C568" s="376" t="e">
        <f>#REF!</f>
        <v>#REF!</v>
      </c>
      <c r="D568" s="376" t="e">
        <f>#REF!</f>
        <v>#REF!</v>
      </c>
      <c r="E568" s="415" t="s">
        <v>384</v>
      </c>
      <c r="F568" s="415" t="s">
        <v>505</v>
      </c>
      <c r="G568" s="399"/>
      <c r="H568" s="376"/>
      <c r="I568" s="376"/>
    </row>
    <row r="569" spans="2:9">
      <c r="B569" s="376" t="s">
        <v>588</v>
      </c>
      <c r="C569" s="376"/>
      <c r="D569" s="376"/>
      <c r="E569" s="415"/>
      <c r="F569" s="415"/>
      <c r="G569" s="399"/>
      <c r="H569" s="376"/>
      <c r="I569" s="376"/>
    </row>
    <row r="570" spans="2:9">
      <c r="B570" s="376" t="s">
        <v>588</v>
      </c>
      <c r="C570" s="376"/>
      <c r="D570" s="376"/>
      <c r="E570" s="415"/>
      <c r="F570" s="415"/>
      <c r="G570" s="399"/>
      <c r="H570" s="376"/>
      <c r="I570" s="376"/>
    </row>
    <row r="571" spans="2:9">
      <c r="B571" s="376" t="s">
        <v>1058</v>
      </c>
      <c r="C571" s="376" t="e">
        <f>#REF!</f>
        <v>#REF!</v>
      </c>
      <c r="D571" s="376" t="e">
        <f>#REF!</f>
        <v>#REF!</v>
      </c>
      <c r="E571" s="415" t="s">
        <v>384</v>
      </c>
      <c r="F571" s="415" t="s">
        <v>505</v>
      </c>
      <c r="G571" s="399"/>
      <c r="H571" s="376"/>
      <c r="I571" s="376"/>
    </row>
    <row r="572" spans="2:9">
      <c r="B572" s="376" t="s">
        <v>1058</v>
      </c>
      <c r="C572" s="376" t="e">
        <f>#REF!</f>
        <v>#REF!</v>
      </c>
      <c r="D572" s="376" t="e">
        <f>#REF!</f>
        <v>#REF!</v>
      </c>
      <c r="E572" s="415" t="s">
        <v>384</v>
      </c>
      <c r="F572" s="415" t="s">
        <v>505</v>
      </c>
      <c r="G572" s="399"/>
      <c r="H572" s="376"/>
      <c r="I572" s="376"/>
    </row>
    <row r="573" spans="2:9">
      <c r="B573" s="376" t="s">
        <v>1058</v>
      </c>
      <c r="C573" s="376" t="e">
        <f>#REF!</f>
        <v>#REF!</v>
      </c>
      <c r="D573" s="376" t="e">
        <f>#REF!</f>
        <v>#REF!</v>
      </c>
      <c r="E573" s="415" t="s">
        <v>384</v>
      </c>
      <c r="F573" s="415" t="s">
        <v>505</v>
      </c>
      <c r="G573" s="399"/>
      <c r="H573" s="376"/>
      <c r="I573" s="376"/>
    </row>
    <row r="574" spans="2:9">
      <c r="B574" s="376" t="s">
        <v>1058</v>
      </c>
      <c r="C574" s="376" t="e">
        <f>#REF!</f>
        <v>#REF!</v>
      </c>
      <c r="D574" s="376" t="e">
        <f>#REF!</f>
        <v>#REF!</v>
      </c>
      <c r="E574" s="415" t="s">
        <v>384</v>
      </c>
      <c r="F574" s="415" t="s">
        <v>505</v>
      </c>
      <c r="G574" s="399"/>
      <c r="H574" s="376"/>
      <c r="I574" s="376"/>
    </row>
    <row r="575" spans="2:9">
      <c r="B575" s="376" t="s">
        <v>1058</v>
      </c>
      <c r="C575" s="376" t="e">
        <f>#REF!</f>
        <v>#REF!</v>
      </c>
      <c r="D575" s="376" t="e">
        <f>#REF!</f>
        <v>#REF!</v>
      </c>
      <c r="E575" s="415" t="s">
        <v>384</v>
      </c>
      <c r="F575" s="415" t="s">
        <v>505</v>
      </c>
      <c r="G575" s="399"/>
      <c r="H575" s="376"/>
      <c r="I575" s="376"/>
    </row>
    <row r="576" spans="2:9">
      <c r="B576" s="376" t="s">
        <v>1058</v>
      </c>
      <c r="C576" s="376" t="e">
        <f>#REF!</f>
        <v>#REF!</v>
      </c>
      <c r="D576" s="376" t="e">
        <f>#REF!</f>
        <v>#REF!</v>
      </c>
      <c r="E576" s="415" t="s">
        <v>384</v>
      </c>
      <c r="F576" s="415" t="s">
        <v>505</v>
      </c>
      <c r="G576" s="399"/>
      <c r="H576" s="376"/>
      <c r="I576" s="376"/>
    </row>
    <row r="577" spans="2:9">
      <c r="B577" s="376" t="s">
        <v>1058</v>
      </c>
      <c r="C577" s="376" t="e">
        <f>#REF!</f>
        <v>#REF!</v>
      </c>
      <c r="D577" s="376" t="e">
        <f>#REF!</f>
        <v>#REF!</v>
      </c>
      <c r="E577" s="415" t="s">
        <v>384</v>
      </c>
      <c r="F577" s="415" t="s">
        <v>505</v>
      </c>
      <c r="G577" s="399"/>
      <c r="H577" s="376"/>
      <c r="I577" s="376"/>
    </row>
    <row r="578" spans="2:9">
      <c r="B578" s="376" t="s">
        <v>1058</v>
      </c>
      <c r="C578" s="376" t="e">
        <f>#REF!</f>
        <v>#REF!</v>
      </c>
      <c r="D578" s="376" t="e">
        <f>#REF!</f>
        <v>#REF!</v>
      </c>
      <c r="E578" s="415" t="s">
        <v>384</v>
      </c>
      <c r="F578" s="415" t="s">
        <v>505</v>
      </c>
      <c r="G578" s="399"/>
      <c r="H578" s="376"/>
      <c r="I578" s="376"/>
    </row>
    <row r="579" spans="2:9">
      <c r="B579" s="376" t="s">
        <v>1058</v>
      </c>
      <c r="C579" s="376" t="e">
        <f>#REF!</f>
        <v>#REF!</v>
      </c>
      <c r="D579" s="376" t="e">
        <f>#REF!</f>
        <v>#REF!</v>
      </c>
      <c r="E579" s="415" t="s">
        <v>384</v>
      </c>
      <c r="F579" s="415" t="s">
        <v>505</v>
      </c>
      <c r="G579" s="399"/>
      <c r="H579" s="376"/>
      <c r="I579" s="376"/>
    </row>
    <row r="580" spans="2:9">
      <c r="B580" s="376" t="s">
        <v>1058</v>
      </c>
      <c r="C580" s="376" t="e">
        <f>#REF!</f>
        <v>#REF!</v>
      </c>
      <c r="D580" s="376" t="e">
        <f>#REF!</f>
        <v>#REF!</v>
      </c>
      <c r="E580" s="415" t="s">
        <v>384</v>
      </c>
      <c r="F580" s="415" t="s">
        <v>505</v>
      </c>
      <c r="G580" s="399"/>
      <c r="H580" s="376"/>
      <c r="I580" s="376"/>
    </row>
    <row r="581" spans="2:9">
      <c r="B581" s="376" t="s">
        <v>1058</v>
      </c>
      <c r="C581" s="376" t="e">
        <f>#REF!</f>
        <v>#REF!</v>
      </c>
      <c r="D581" s="376" t="e">
        <f>#REF!</f>
        <v>#REF!</v>
      </c>
      <c r="E581" s="415" t="s">
        <v>384</v>
      </c>
      <c r="F581" s="415" t="s">
        <v>505</v>
      </c>
      <c r="G581" s="399"/>
      <c r="H581" s="376"/>
      <c r="I581" s="376"/>
    </row>
    <row r="582" spans="2:9">
      <c r="B582" s="376" t="s">
        <v>1058</v>
      </c>
      <c r="C582" s="376" t="e">
        <f>#REF!</f>
        <v>#REF!</v>
      </c>
      <c r="D582" s="376" t="e">
        <f>#REF!</f>
        <v>#REF!</v>
      </c>
      <c r="E582" s="415" t="s">
        <v>384</v>
      </c>
      <c r="F582" s="415" t="s">
        <v>505</v>
      </c>
      <c r="G582" s="399"/>
      <c r="H582" s="376"/>
      <c r="I582" s="376"/>
    </row>
    <row r="583" spans="2:9">
      <c r="B583" s="376" t="s">
        <v>1058</v>
      </c>
      <c r="C583" s="376" t="e">
        <f>#REF!</f>
        <v>#REF!</v>
      </c>
      <c r="D583" s="376" t="e">
        <f>#REF!</f>
        <v>#REF!</v>
      </c>
      <c r="E583" s="415" t="s">
        <v>384</v>
      </c>
      <c r="F583" s="415" t="s">
        <v>505</v>
      </c>
      <c r="G583" s="399"/>
      <c r="H583" s="376"/>
      <c r="I583" s="376"/>
    </row>
    <row r="584" spans="2:9">
      <c r="B584" s="376" t="s">
        <v>1058</v>
      </c>
      <c r="C584" s="376" t="e">
        <f>#REF!</f>
        <v>#REF!</v>
      </c>
      <c r="D584" s="376" t="e">
        <f>#REF!</f>
        <v>#REF!</v>
      </c>
      <c r="E584" s="415" t="s">
        <v>384</v>
      </c>
      <c r="F584" s="415" t="s">
        <v>505</v>
      </c>
      <c r="G584" s="399"/>
      <c r="H584" s="376"/>
      <c r="I584" s="376"/>
    </row>
    <row r="585" spans="2:9">
      <c r="B585" s="376" t="s">
        <v>1058</v>
      </c>
      <c r="C585" s="376" t="e">
        <f>#REF!</f>
        <v>#REF!</v>
      </c>
      <c r="D585" s="376" t="e">
        <f>#REF!</f>
        <v>#REF!</v>
      </c>
      <c r="E585" s="415" t="s">
        <v>384</v>
      </c>
      <c r="F585" s="415" t="s">
        <v>505</v>
      </c>
      <c r="G585" s="399"/>
      <c r="H585" s="376"/>
      <c r="I585" s="376"/>
    </row>
    <row r="586" spans="2:9">
      <c r="B586" s="376" t="s">
        <v>1058</v>
      </c>
      <c r="C586" s="376" t="e">
        <f>#REF!</f>
        <v>#REF!</v>
      </c>
      <c r="D586" s="376" t="e">
        <f>#REF!</f>
        <v>#REF!</v>
      </c>
      <c r="E586" s="415" t="s">
        <v>384</v>
      </c>
      <c r="F586" s="415" t="s">
        <v>505</v>
      </c>
      <c r="G586" s="399"/>
      <c r="H586" s="376"/>
      <c r="I586" s="376"/>
    </row>
    <row r="587" spans="2:9">
      <c r="B587" s="376" t="s">
        <v>1058</v>
      </c>
      <c r="C587" s="376" t="e">
        <f>#REF!</f>
        <v>#REF!</v>
      </c>
      <c r="D587" s="376" t="e">
        <f>#REF!</f>
        <v>#REF!</v>
      </c>
      <c r="E587" s="415" t="s">
        <v>384</v>
      </c>
      <c r="F587" s="415" t="s">
        <v>505</v>
      </c>
      <c r="G587" s="399"/>
      <c r="H587" s="376"/>
      <c r="I587" s="376"/>
    </row>
    <row r="588" spans="2:9">
      <c r="B588" s="376" t="s">
        <v>1058</v>
      </c>
      <c r="C588" s="376" t="e">
        <f>#REF!</f>
        <v>#REF!</v>
      </c>
      <c r="D588" s="376" t="e">
        <f>#REF!</f>
        <v>#REF!</v>
      </c>
      <c r="E588" s="415" t="s">
        <v>384</v>
      </c>
      <c r="F588" s="415" t="s">
        <v>505</v>
      </c>
      <c r="G588" s="399"/>
      <c r="H588" s="376"/>
      <c r="I588" s="376"/>
    </row>
    <row r="589" spans="2:9">
      <c r="B589" s="376" t="s">
        <v>1058</v>
      </c>
      <c r="C589" s="376" t="e">
        <f>#REF!</f>
        <v>#REF!</v>
      </c>
      <c r="D589" s="376" t="e">
        <f>#REF!</f>
        <v>#REF!</v>
      </c>
      <c r="E589" s="415" t="s">
        <v>384</v>
      </c>
      <c r="F589" s="415" t="s">
        <v>505</v>
      </c>
      <c r="G589" s="399"/>
      <c r="H589" s="376"/>
      <c r="I589" s="376"/>
    </row>
    <row r="590" spans="2:9">
      <c r="B590" s="376" t="s">
        <v>1058</v>
      </c>
      <c r="C590" s="376" t="e">
        <f>#REF!</f>
        <v>#REF!</v>
      </c>
      <c r="D590" s="376" t="e">
        <f>#REF!</f>
        <v>#REF!</v>
      </c>
      <c r="E590" s="415" t="s">
        <v>384</v>
      </c>
      <c r="F590" s="415" t="s">
        <v>505</v>
      </c>
      <c r="G590" s="399"/>
      <c r="H590" s="376"/>
      <c r="I590" s="376"/>
    </row>
    <row r="591" spans="2:9">
      <c r="B591" s="376" t="s">
        <v>1058</v>
      </c>
      <c r="C591" s="376" t="e">
        <f>#REF!</f>
        <v>#REF!</v>
      </c>
      <c r="D591" s="376" t="e">
        <f>#REF!</f>
        <v>#REF!</v>
      </c>
      <c r="E591" s="415" t="s">
        <v>384</v>
      </c>
      <c r="F591" s="415" t="s">
        <v>505</v>
      </c>
      <c r="G591" s="399"/>
      <c r="H591" s="376"/>
      <c r="I591" s="376"/>
    </row>
    <row r="592" spans="2:9">
      <c r="B592" s="376" t="s">
        <v>1058</v>
      </c>
      <c r="C592" s="376" t="e">
        <f>#REF!</f>
        <v>#REF!</v>
      </c>
      <c r="D592" s="376" t="e">
        <f>#REF!</f>
        <v>#REF!</v>
      </c>
      <c r="E592" s="415" t="s">
        <v>384</v>
      </c>
      <c r="F592" s="415" t="s">
        <v>505</v>
      </c>
      <c r="G592" s="399"/>
      <c r="H592" s="376"/>
      <c r="I592" s="376"/>
    </row>
    <row r="593" spans="2:9">
      <c r="B593" s="376" t="s">
        <v>1058</v>
      </c>
      <c r="C593" s="376" t="e">
        <f>#REF!</f>
        <v>#REF!</v>
      </c>
      <c r="D593" s="376" t="e">
        <f>#REF!</f>
        <v>#REF!</v>
      </c>
      <c r="E593" s="415" t="s">
        <v>384</v>
      </c>
      <c r="F593" s="415" t="s">
        <v>505</v>
      </c>
      <c r="G593" s="399"/>
      <c r="H593" s="376"/>
      <c r="I593" s="376"/>
    </row>
    <row r="594" spans="2:9">
      <c r="B594" s="376" t="s">
        <v>1058</v>
      </c>
      <c r="C594" s="376" t="e">
        <f>#REF!</f>
        <v>#REF!</v>
      </c>
      <c r="D594" s="376" t="e">
        <f>#REF!</f>
        <v>#REF!</v>
      </c>
      <c r="E594" s="415" t="s">
        <v>384</v>
      </c>
      <c r="F594" s="415" t="s">
        <v>505</v>
      </c>
      <c r="G594" s="399"/>
      <c r="H594" s="376"/>
      <c r="I594" s="376"/>
    </row>
    <row r="595" spans="2:9">
      <c r="B595" s="376" t="s">
        <v>1058</v>
      </c>
      <c r="C595" s="376" t="e">
        <f>#REF!</f>
        <v>#REF!</v>
      </c>
      <c r="D595" s="376" t="e">
        <f>#REF!</f>
        <v>#REF!</v>
      </c>
      <c r="E595" s="415" t="s">
        <v>384</v>
      </c>
      <c r="F595" s="415" t="s">
        <v>505</v>
      </c>
      <c r="G595" s="399"/>
      <c r="H595" s="376"/>
      <c r="I595" s="376"/>
    </row>
    <row r="596" spans="2:9">
      <c r="B596" s="376" t="s">
        <v>1058</v>
      </c>
      <c r="C596" s="376" t="e">
        <f>#REF!</f>
        <v>#REF!</v>
      </c>
      <c r="D596" s="376" t="e">
        <f>#REF!</f>
        <v>#REF!</v>
      </c>
      <c r="E596" s="415" t="s">
        <v>384</v>
      </c>
      <c r="F596" s="415" t="s">
        <v>505</v>
      </c>
      <c r="G596" s="399"/>
      <c r="H596" s="376"/>
      <c r="I596" s="376"/>
    </row>
    <row r="597" spans="2:9">
      <c r="B597" s="376" t="s">
        <v>1058</v>
      </c>
      <c r="C597" s="376" t="e">
        <f>#REF!</f>
        <v>#REF!</v>
      </c>
      <c r="D597" s="376" t="e">
        <f>#REF!</f>
        <v>#REF!</v>
      </c>
      <c r="E597" s="415" t="s">
        <v>384</v>
      </c>
      <c r="F597" s="415" t="s">
        <v>505</v>
      </c>
      <c r="G597" s="399"/>
      <c r="H597" s="376"/>
      <c r="I597" s="376"/>
    </row>
    <row r="598" spans="2:9">
      <c r="B598" s="376" t="s">
        <v>1058</v>
      </c>
      <c r="C598" s="376" t="e">
        <f>#REF!</f>
        <v>#REF!</v>
      </c>
      <c r="D598" s="376" t="e">
        <f>#REF!</f>
        <v>#REF!</v>
      </c>
      <c r="E598" s="415" t="s">
        <v>384</v>
      </c>
      <c r="F598" s="415" t="s">
        <v>505</v>
      </c>
      <c r="G598" s="399"/>
      <c r="H598" s="376"/>
      <c r="I598" s="376"/>
    </row>
    <row r="599" spans="2:9">
      <c r="B599" s="376" t="s">
        <v>1058</v>
      </c>
      <c r="C599" s="376" t="e">
        <f>#REF!</f>
        <v>#REF!</v>
      </c>
      <c r="D599" s="376" t="e">
        <f>#REF!</f>
        <v>#REF!</v>
      </c>
      <c r="E599" s="415" t="s">
        <v>384</v>
      </c>
      <c r="F599" s="415" t="s">
        <v>505</v>
      </c>
      <c r="G599" s="399"/>
      <c r="H599" s="376"/>
      <c r="I599" s="376"/>
    </row>
    <row r="600" spans="2:9">
      <c r="B600" s="376" t="s">
        <v>1058</v>
      </c>
      <c r="C600" s="376" t="e">
        <f>#REF!</f>
        <v>#REF!</v>
      </c>
      <c r="D600" s="376" t="e">
        <f>#REF!</f>
        <v>#REF!</v>
      </c>
      <c r="E600" s="415" t="s">
        <v>384</v>
      </c>
      <c r="F600" s="415" t="s">
        <v>505</v>
      </c>
      <c r="G600" s="399"/>
      <c r="H600" s="376"/>
      <c r="I600" s="376"/>
    </row>
    <row r="601" spans="2:9">
      <c r="B601" s="376" t="s">
        <v>1058</v>
      </c>
      <c r="C601" s="376" t="e">
        <f>#REF!</f>
        <v>#REF!</v>
      </c>
      <c r="D601" s="376" t="e">
        <f>#REF!</f>
        <v>#REF!</v>
      </c>
      <c r="E601" s="415" t="s">
        <v>384</v>
      </c>
      <c r="F601" s="415" t="s">
        <v>505</v>
      </c>
      <c r="G601" s="399"/>
      <c r="H601" s="376"/>
      <c r="I601" s="376"/>
    </row>
    <row r="602" spans="2:9">
      <c r="B602" s="376" t="s">
        <v>1058</v>
      </c>
      <c r="C602" s="376" t="e">
        <f>#REF!</f>
        <v>#REF!</v>
      </c>
      <c r="D602" s="376" t="e">
        <f>#REF!</f>
        <v>#REF!</v>
      </c>
      <c r="E602" s="415" t="s">
        <v>384</v>
      </c>
      <c r="F602" s="415" t="s">
        <v>505</v>
      </c>
      <c r="G602" s="399"/>
      <c r="H602" s="376"/>
      <c r="I602" s="376"/>
    </row>
    <row r="603" spans="2:9">
      <c r="B603" s="376" t="s">
        <v>1058</v>
      </c>
      <c r="C603" s="376" t="e">
        <f>#REF!</f>
        <v>#REF!</v>
      </c>
      <c r="D603" s="376" t="e">
        <f>#REF!</f>
        <v>#REF!</v>
      </c>
      <c r="E603" s="415" t="s">
        <v>384</v>
      </c>
      <c r="F603" s="415" t="s">
        <v>505</v>
      </c>
      <c r="G603" s="399"/>
      <c r="H603" s="376"/>
      <c r="I603" s="376"/>
    </row>
    <row r="604" spans="2:9">
      <c r="B604" s="376" t="s">
        <v>1058</v>
      </c>
      <c r="C604" s="376" t="e">
        <f>#REF!</f>
        <v>#REF!</v>
      </c>
      <c r="D604" s="376" t="e">
        <f>#REF!</f>
        <v>#REF!</v>
      </c>
      <c r="E604" s="415" t="s">
        <v>384</v>
      </c>
      <c r="F604" s="415" t="s">
        <v>505</v>
      </c>
      <c r="G604" s="399"/>
      <c r="H604" s="376"/>
      <c r="I604" s="376"/>
    </row>
    <row r="605" spans="2:9">
      <c r="B605" s="376" t="s">
        <v>1058</v>
      </c>
      <c r="C605" s="376" t="e">
        <f>#REF!</f>
        <v>#REF!</v>
      </c>
      <c r="D605" s="376" t="e">
        <f>#REF!</f>
        <v>#REF!</v>
      </c>
      <c r="E605" s="415" t="s">
        <v>384</v>
      </c>
      <c r="F605" s="415" t="s">
        <v>505</v>
      </c>
      <c r="G605" s="399"/>
      <c r="H605" s="376"/>
      <c r="I605" s="376"/>
    </row>
    <row r="606" spans="2:9">
      <c r="B606" s="376" t="s">
        <v>1058</v>
      </c>
      <c r="C606" s="376" t="e">
        <f>#REF!</f>
        <v>#REF!</v>
      </c>
      <c r="D606" s="376" t="e">
        <f>#REF!</f>
        <v>#REF!</v>
      </c>
      <c r="E606" s="415" t="s">
        <v>384</v>
      </c>
      <c r="F606" s="415" t="s">
        <v>505</v>
      </c>
      <c r="G606" s="399"/>
      <c r="H606" s="376"/>
      <c r="I606" s="376"/>
    </row>
    <row r="607" spans="2:9">
      <c r="B607" s="376" t="s">
        <v>1058</v>
      </c>
      <c r="C607" s="376" t="e">
        <f>#REF!</f>
        <v>#REF!</v>
      </c>
      <c r="D607" s="376" t="e">
        <f>#REF!</f>
        <v>#REF!</v>
      </c>
      <c r="E607" s="415" t="s">
        <v>384</v>
      </c>
      <c r="F607" s="415" t="s">
        <v>505</v>
      </c>
      <c r="G607" s="399"/>
      <c r="H607" s="376"/>
      <c r="I607" s="376"/>
    </row>
    <row r="608" spans="2:9">
      <c r="B608" s="376" t="s">
        <v>1058</v>
      </c>
      <c r="C608" s="376" t="e">
        <f>#REF!</f>
        <v>#REF!</v>
      </c>
      <c r="D608" s="376" t="e">
        <f>#REF!</f>
        <v>#REF!</v>
      </c>
      <c r="E608" s="415" t="s">
        <v>384</v>
      </c>
      <c r="F608" s="415" t="s">
        <v>505</v>
      </c>
      <c r="G608" s="399"/>
      <c r="H608" s="376"/>
      <c r="I608" s="376"/>
    </row>
    <row r="609" spans="2:9">
      <c r="B609" s="376" t="s">
        <v>1058</v>
      </c>
      <c r="C609" s="376" t="e">
        <f>#REF!</f>
        <v>#REF!</v>
      </c>
      <c r="D609" s="376" t="e">
        <f>#REF!</f>
        <v>#REF!</v>
      </c>
      <c r="E609" s="415" t="s">
        <v>384</v>
      </c>
      <c r="F609" s="415" t="s">
        <v>505</v>
      </c>
      <c r="G609" s="399"/>
      <c r="H609" s="376"/>
      <c r="I609" s="376"/>
    </row>
    <row r="610" spans="2:9">
      <c r="B610" s="376" t="s">
        <v>1058</v>
      </c>
      <c r="C610" s="376" t="e">
        <f>#REF!</f>
        <v>#REF!</v>
      </c>
      <c r="D610" s="376" t="e">
        <f>#REF!</f>
        <v>#REF!</v>
      </c>
      <c r="E610" s="415" t="s">
        <v>384</v>
      </c>
      <c r="F610" s="415" t="s">
        <v>505</v>
      </c>
      <c r="G610" s="399"/>
      <c r="H610" s="376"/>
      <c r="I610" s="376"/>
    </row>
    <row r="611" spans="2:9">
      <c r="B611" s="376" t="s">
        <v>1058</v>
      </c>
      <c r="C611" s="376" t="e">
        <f>#REF!</f>
        <v>#REF!</v>
      </c>
      <c r="D611" s="376" t="e">
        <f>#REF!</f>
        <v>#REF!</v>
      </c>
      <c r="E611" s="415" t="s">
        <v>384</v>
      </c>
      <c r="F611" s="415" t="s">
        <v>505</v>
      </c>
      <c r="G611" s="399"/>
      <c r="H611" s="376"/>
      <c r="I611" s="376"/>
    </row>
    <row r="612" spans="2:9">
      <c r="B612" s="376" t="s">
        <v>1058</v>
      </c>
      <c r="C612" s="376" t="e">
        <f>#REF!</f>
        <v>#REF!</v>
      </c>
      <c r="D612" s="376" t="e">
        <f>#REF!</f>
        <v>#REF!</v>
      </c>
      <c r="E612" s="415" t="s">
        <v>384</v>
      </c>
      <c r="F612" s="415" t="s">
        <v>505</v>
      </c>
      <c r="G612" s="399"/>
      <c r="H612" s="376"/>
      <c r="I612" s="376"/>
    </row>
    <row r="613" spans="2:9">
      <c r="B613" s="376" t="s">
        <v>1058</v>
      </c>
      <c r="C613" s="376" t="e">
        <f>#REF!</f>
        <v>#REF!</v>
      </c>
      <c r="D613" s="376" t="e">
        <f>#REF!</f>
        <v>#REF!</v>
      </c>
      <c r="E613" s="415" t="s">
        <v>384</v>
      </c>
      <c r="F613" s="415" t="s">
        <v>505</v>
      </c>
      <c r="G613" s="399"/>
      <c r="H613" s="376"/>
      <c r="I613" s="376"/>
    </row>
    <row r="614" spans="2:9">
      <c r="B614" s="376" t="s">
        <v>1058</v>
      </c>
      <c r="C614" s="376" t="e">
        <f>#REF!</f>
        <v>#REF!</v>
      </c>
      <c r="D614" s="376" t="e">
        <f>#REF!</f>
        <v>#REF!</v>
      </c>
      <c r="E614" s="415" t="s">
        <v>384</v>
      </c>
      <c r="F614" s="415" t="s">
        <v>505</v>
      </c>
      <c r="G614" s="399"/>
      <c r="H614" s="376"/>
      <c r="I614" s="376"/>
    </row>
    <row r="615" spans="2:9">
      <c r="B615" s="376" t="s">
        <v>1058</v>
      </c>
      <c r="C615" s="376" t="e">
        <f>#REF!</f>
        <v>#REF!</v>
      </c>
      <c r="D615" s="376" t="e">
        <f>#REF!</f>
        <v>#REF!</v>
      </c>
      <c r="E615" s="415" t="s">
        <v>384</v>
      </c>
      <c r="F615" s="415" t="s">
        <v>505</v>
      </c>
      <c r="G615" s="399"/>
      <c r="H615" s="376"/>
      <c r="I615" s="376"/>
    </row>
    <row r="616" spans="2:9">
      <c r="B616" s="376" t="s">
        <v>1058</v>
      </c>
      <c r="C616" s="376" t="e">
        <f>#REF!</f>
        <v>#REF!</v>
      </c>
      <c r="D616" s="376" t="e">
        <f>#REF!</f>
        <v>#REF!</v>
      </c>
      <c r="E616" s="415" t="s">
        <v>384</v>
      </c>
      <c r="F616" s="415" t="s">
        <v>505</v>
      </c>
      <c r="G616" s="399"/>
      <c r="H616" s="376"/>
      <c r="I616" s="376"/>
    </row>
    <row r="617" spans="2:9">
      <c r="B617" s="376" t="s">
        <v>1058</v>
      </c>
      <c r="C617" s="376" t="e">
        <f>#REF!</f>
        <v>#REF!</v>
      </c>
      <c r="D617" s="376" t="e">
        <f>#REF!</f>
        <v>#REF!</v>
      </c>
      <c r="E617" s="415" t="s">
        <v>384</v>
      </c>
      <c r="F617" s="415" t="s">
        <v>505</v>
      </c>
      <c r="G617" s="399"/>
      <c r="H617" s="376"/>
      <c r="I617" s="376"/>
    </row>
    <row r="618" spans="2:9">
      <c r="B618" s="376" t="s">
        <v>1058</v>
      </c>
      <c r="C618" s="376" t="e">
        <f>#REF!</f>
        <v>#REF!</v>
      </c>
      <c r="D618" s="376" t="e">
        <f>#REF!</f>
        <v>#REF!</v>
      </c>
      <c r="E618" s="415" t="s">
        <v>384</v>
      </c>
      <c r="F618" s="415" t="s">
        <v>505</v>
      </c>
      <c r="G618" s="399"/>
      <c r="H618" s="376"/>
      <c r="I618" s="376"/>
    </row>
    <row r="619" spans="2:9">
      <c r="B619" s="376" t="s">
        <v>1058</v>
      </c>
      <c r="C619" s="376" t="e">
        <f>#REF!</f>
        <v>#REF!</v>
      </c>
      <c r="D619" s="376" t="e">
        <f>#REF!</f>
        <v>#REF!</v>
      </c>
      <c r="E619" s="415" t="s">
        <v>384</v>
      </c>
      <c r="F619" s="415" t="s">
        <v>505</v>
      </c>
      <c r="G619" s="399"/>
      <c r="H619" s="376"/>
      <c r="I619" s="376"/>
    </row>
    <row r="620" spans="2:9">
      <c r="B620" s="376" t="s">
        <v>1058</v>
      </c>
      <c r="C620" s="376" t="e">
        <f>#REF!</f>
        <v>#REF!</v>
      </c>
      <c r="D620" s="376" t="e">
        <f>#REF!</f>
        <v>#REF!</v>
      </c>
      <c r="E620" s="415" t="s">
        <v>384</v>
      </c>
      <c r="F620" s="415" t="s">
        <v>505</v>
      </c>
      <c r="G620" s="399"/>
      <c r="H620" s="376"/>
      <c r="I620" s="376"/>
    </row>
    <row r="621" spans="2:9">
      <c r="B621" s="376" t="s">
        <v>1058</v>
      </c>
      <c r="C621" s="376" t="e">
        <f>#REF!</f>
        <v>#REF!</v>
      </c>
      <c r="D621" s="376" t="e">
        <f>#REF!</f>
        <v>#REF!</v>
      </c>
      <c r="E621" s="415" t="s">
        <v>384</v>
      </c>
      <c r="F621" s="415" t="s">
        <v>505</v>
      </c>
      <c r="G621" s="399"/>
      <c r="H621" s="376"/>
      <c r="I621" s="376"/>
    </row>
    <row r="622" spans="2:9">
      <c r="B622" s="376" t="s">
        <v>1058</v>
      </c>
      <c r="C622" s="376" t="e">
        <f>#REF!</f>
        <v>#REF!</v>
      </c>
      <c r="D622" s="376" t="e">
        <f>#REF!</f>
        <v>#REF!</v>
      </c>
      <c r="E622" s="415" t="s">
        <v>384</v>
      </c>
      <c r="F622" s="415" t="s">
        <v>505</v>
      </c>
      <c r="G622" s="399"/>
      <c r="H622" s="376"/>
      <c r="I622" s="376"/>
    </row>
    <row r="623" spans="2:9">
      <c r="B623" s="376" t="s">
        <v>1058</v>
      </c>
      <c r="C623" s="376" t="e">
        <f>#REF!</f>
        <v>#REF!</v>
      </c>
      <c r="D623" s="376" t="e">
        <f>#REF!</f>
        <v>#REF!</v>
      </c>
      <c r="E623" s="415" t="s">
        <v>384</v>
      </c>
      <c r="F623" s="415" t="s">
        <v>505</v>
      </c>
      <c r="G623" s="399"/>
      <c r="H623" s="376"/>
      <c r="I623" s="376"/>
    </row>
    <row r="624" spans="2:9">
      <c r="B624" s="376" t="s">
        <v>1058</v>
      </c>
      <c r="C624" s="376" t="e">
        <f>#REF!</f>
        <v>#REF!</v>
      </c>
      <c r="D624" s="376" t="e">
        <f>#REF!</f>
        <v>#REF!</v>
      </c>
      <c r="E624" s="415" t="s">
        <v>384</v>
      </c>
      <c r="F624" s="415" t="s">
        <v>505</v>
      </c>
      <c r="G624" s="399"/>
      <c r="H624" s="376"/>
      <c r="I624" s="376"/>
    </row>
    <row r="625" spans="2:9">
      <c r="B625" s="376" t="s">
        <v>1058</v>
      </c>
      <c r="C625" s="376" t="e">
        <f>#REF!</f>
        <v>#REF!</v>
      </c>
      <c r="D625" s="376" t="e">
        <f>#REF!</f>
        <v>#REF!</v>
      </c>
      <c r="E625" s="415" t="s">
        <v>384</v>
      </c>
      <c r="F625" s="415" t="s">
        <v>505</v>
      </c>
      <c r="G625" s="399"/>
      <c r="H625" s="376"/>
      <c r="I625" s="376"/>
    </row>
    <row r="626" spans="2:9">
      <c r="B626" s="376" t="s">
        <v>1058</v>
      </c>
      <c r="C626" s="376" t="e">
        <f>#REF!</f>
        <v>#REF!</v>
      </c>
      <c r="D626" s="376" t="e">
        <f>#REF!</f>
        <v>#REF!</v>
      </c>
      <c r="E626" s="415" t="s">
        <v>384</v>
      </c>
      <c r="F626" s="415" t="s">
        <v>505</v>
      </c>
      <c r="G626" s="399"/>
      <c r="H626" s="376"/>
      <c r="I626" s="376"/>
    </row>
    <row r="627" spans="2:9">
      <c r="B627" s="376" t="s">
        <v>1058</v>
      </c>
      <c r="C627" s="376" t="e">
        <f>#REF!</f>
        <v>#REF!</v>
      </c>
      <c r="D627" s="376" t="e">
        <f>#REF!</f>
        <v>#REF!</v>
      </c>
      <c r="E627" s="415" t="s">
        <v>384</v>
      </c>
      <c r="F627" s="415" t="s">
        <v>505</v>
      </c>
      <c r="G627" s="399"/>
      <c r="H627" s="376"/>
      <c r="I627" s="376"/>
    </row>
    <row r="628" spans="2:9">
      <c r="B628" s="376" t="s">
        <v>1058</v>
      </c>
      <c r="C628" s="376" t="e">
        <f>#REF!</f>
        <v>#REF!</v>
      </c>
      <c r="D628" s="376" t="e">
        <f>#REF!</f>
        <v>#REF!</v>
      </c>
      <c r="E628" s="415" t="s">
        <v>384</v>
      </c>
      <c r="F628" s="415" t="s">
        <v>505</v>
      </c>
      <c r="G628" s="399"/>
      <c r="H628" s="376"/>
      <c r="I628" s="376"/>
    </row>
    <row r="629" spans="2:9">
      <c r="B629" s="376" t="s">
        <v>1058</v>
      </c>
      <c r="C629" s="376" t="e">
        <f>#REF!</f>
        <v>#REF!</v>
      </c>
      <c r="D629" s="376" t="e">
        <f>#REF!</f>
        <v>#REF!</v>
      </c>
      <c r="E629" s="415" t="s">
        <v>384</v>
      </c>
      <c r="F629" s="415" t="s">
        <v>505</v>
      </c>
      <c r="G629" s="399"/>
      <c r="H629" s="376"/>
      <c r="I629" s="376"/>
    </row>
    <row r="630" spans="2:9">
      <c r="B630" s="376" t="s">
        <v>1058</v>
      </c>
      <c r="C630" s="376" t="e">
        <f>#REF!</f>
        <v>#REF!</v>
      </c>
      <c r="D630" s="376" t="e">
        <f>#REF!</f>
        <v>#REF!</v>
      </c>
      <c r="E630" s="415" t="s">
        <v>384</v>
      </c>
      <c r="F630" s="415" t="s">
        <v>505</v>
      </c>
      <c r="G630" s="399"/>
      <c r="H630" s="376"/>
      <c r="I630" s="376"/>
    </row>
    <row r="631" spans="2:9">
      <c r="B631" s="376" t="s">
        <v>588</v>
      </c>
      <c r="C631" s="376"/>
      <c r="D631" s="376"/>
      <c r="E631" s="415"/>
      <c r="F631" s="415"/>
      <c r="G631" s="399"/>
      <c r="H631" s="376"/>
      <c r="I631" s="376"/>
    </row>
    <row r="632" spans="2:9">
      <c r="B632" s="376" t="s">
        <v>588</v>
      </c>
      <c r="C632" s="376"/>
      <c r="D632" s="376"/>
      <c r="E632" s="415"/>
      <c r="F632" s="415"/>
      <c r="G632" s="399"/>
      <c r="H632" s="376"/>
      <c r="I632" s="376"/>
    </row>
    <row r="633" spans="2:9">
      <c r="B633" s="376" t="s">
        <v>1058</v>
      </c>
      <c r="C633" s="376" t="e">
        <f>#REF!</f>
        <v>#REF!</v>
      </c>
      <c r="D633" s="376" t="e">
        <f>#REF!</f>
        <v>#REF!</v>
      </c>
      <c r="E633" s="415" t="s">
        <v>384</v>
      </c>
      <c r="F633" s="415" t="s">
        <v>505</v>
      </c>
      <c r="G633" s="399"/>
      <c r="H633" s="376"/>
      <c r="I633" s="376"/>
    </row>
    <row r="634" spans="2:9">
      <c r="B634" s="376" t="s">
        <v>1058</v>
      </c>
      <c r="C634" s="376" t="e">
        <f>#REF!</f>
        <v>#REF!</v>
      </c>
      <c r="D634" s="376" t="e">
        <f>#REF!</f>
        <v>#REF!</v>
      </c>
      <c r="E634" s="415" t="s">
        <v>384</v>
      </c>
      <c r="F634" s="415" t="s">
        <v>505</v>
      </c>
      <c r="G634" s="399"/>
      <c r="H634" s="376"/>
      <c r="I634" s="376"/>
    </row>
    <row r="635" spans="2:9">
      <c r="B635" s="376" t="s">
        <v>1058</v>
      </c>
      <c r="C635" s="376" t="e">
        <f>#REF!</f>
        <v>#REF!</v>
      </c>
      <c r="D635" s="376" t="e">
        <f>#REF!</f>
        <v>#REF!</v>
      </c>
      <c r="E635" s="415" t="s">
        <v>384</v>
      </c>
      <c r="F635" s="415" t="s">
        <v>505</v>
      </c>
      <c r="G635" s="399"/>
      <c r="H635" s="376"/>
      <c r="I635" s="376"/>
    </row>
    <row r="636" spans="2:9">
      <c r="B636" s="376" t="s">
        <v>1058</v>
      </c>
      <c r="C636" s="376" t="e">
        <f>#REF!</f>
        <v>#REF!</v>
      </c>
      <c r="D636" s="376" t="e">
        <f>#REF!</f>
        <v>#REF!</v>
      </c>
      <c r="E636" s="415" t="s">
        <v>384</v>
      </c>
      <c r="F636" s="415" t="s">
        <v>505</v>
      </c>
      <c r="G636" s="399"/>
      <c r="H636" s="376"/>
      <c r="I636" s="376"/>
    </row>
    <row r="637" spans="2:9">
      <c r="B637" s="376" t="s">
        <v>1058</v>
      </c>
      <c r="C637" s="376" t="e">
        <f>#REF!</f>
        <v>#REF!</v>
      </c>
      <c r="D637" s="376" t="e">
        <f>#REF!</f>
        <v>#REF!</v>
      </c>
      <c r="E637" s="415" t="s">
        <v>384</v>
      </c>
      <c r="F637" s="415" t="s">
        <v>505</v>
      </c>
      <c r="G637" s="399"/>
      <c r="H637" s="376"/>
      <c r="I637" s="376"/>
    </row>
    <row r="638" spans="2:9">
      <c r="B638" s="376" t="s">
        <v>1058</v>
      </c>
      <c r="C638" s="376" t="e">
        <f>#REF!</f>
        <v>#REF!</v>
      </c>
      <c r="D638" s="376" t="e">
        <f>#REF!</f>
        <v>#REF!</v>
      </c>
      <c r="E638" s="415" t="s">
        <v>384</v>
      </c>
      <c r="F638" s="415" t="s">
        <v>505</v>
      </c>
      <c r="G638" s="399"/>
      <c r="H638" s="376"/>
      <c r="I638" s="376"/>
    </row>
    <row r="639" spans="2:9">
      <c r="B639" s="376" t="s">
        <v>1058</v>
      </c>
      <c r="C639" s="376" t="e">
        <f>#REF!</f>
        <v>#REF!</v>
      </c>
      <c r="D639" s="376" t="e">
        <f>#REF!</f>
        <v>#REF!</v>
      </c>
      <c r="E639" s="415" t="s">
        <v>384</v>
      </c>
      <c r="F639" s="415" t="s">
        <v>505</v>
      </c>
      <c r="G639" s="399"/>
      <c r="H639" s="376"/>
      <c r="I639" s="376"/>
    </row>
    <row r="640" spans="2:9">
      <c r="B640" s="376" t="s">
        <v>1058</v>
      </c>
      <c r="C640" s="376" t="e">
        <f>#REF!</f>
        <v>#REF!</v>
      </c>
      <c r="D640" s="376" t="e">
        <f>#REF!</f>
        <v>#REF!</v>
      </c>
      <c r="E640" s="415" t="s">
        <v>384</v>
      </c>
      <c r="F640" s="415" t="s">
        <v>505</v>
      </c>
      <c r="G640" s="399"/>
      <c r="H640" s="376"/>
      <c r="I640" s="376"/>
    </row>
    <row r="641" spans="2:9">
      <c r="B641" s="376" t="s">
        <v>1058</v>
      </c>
      <c r="C641" s="376" t="e">
        <f>#REF!</f>
        <v>#REF!</v>
      </c>
      <c r="D641" s="376" t="e">
        <f>#REF!</f>
        <v>#REF!</v>
      </c>
      <c r="E641" s="415" t="s">
        <v>384</v>
      </c>
      <c r="F641" s="415" t="s">
        <v>505</v>
      </c>
      <c r="G641" s="399"/>
      <c r="H641" s="376"/>
      <c r="I641" s="376"/>
    </row>
    <row r="642" spans="2:9">
      <c r="B642" s="376" t="s">
        <v>1058</v>
      </c>
      <c r="C642" s="376" t="e">
        <f>#REF!</f>
        <v>#REF!</v>
      </c>
      <c r="D642" s="376" t="e">
        <f>#REF!</f>
        <v>#REF!</v>
      </c>
      <c r="E642" s="415" t="s">
        <v>384</v>
      </c>
      <c r="F642" s="415" t="s">
        <v>505</v>
      </c>
      <c r="G642" s="399"/>
      <c r="H642" s="376"/>
      <c r="I642" s="376"/>
    </row>
    <row r="643" spans="2:9">
      <c r="B643" s="376" t="s">
        <v>1058</v>
      </c>
      <c r="C643" s="376" t="e">
        <f>#REF!</f>
        <v>#REF!</v>
      </c>
      <c r="D643" s="376" t="e">
        <f>#REF!</f>
        <v>#REF!</v>
      </c>
      <c r="E643" s="415" t="s">
        <v>384</v>
      </c>
      <c r="F643" s="415" t="s">
        <v>505</v>
      </c>
      <c r="G643" s="399"/>
      <c r="H643" s="376"/>
      <c r="I643" s="376"/>
    </row>
    <row r="644" spans="2:9">
      <c r="B644" s="376" t="s">
        <v>1058</v>
      </c>
      <c r="C644" s="376" t="e">
        <f>#REF!</f>
        <v>#REF!</v>
      </c>
      <c r="D644" s="376" t="e">
        <f>#REF!</f>
        <v>#REF!</v>
      </c>
      <c r="E644" s="415" t="s">
        <v>384</v>
      </c>
      <c r="F644" s="415" t="s">
        <v>505</v>
      </c>
      <c r="G644" s="399"/>
      <c r="H644" s="376"/>
      <c r="I644" s="376"/>
    </row>
    <row r="645" spans="2:9">
      <c r="B645" s="376" t="s">
        <v>1058</v>
      </c>
      <c r="C645" s="376" t="e">
        <f>#REF!</f>
        <v>#REF!</v>
      </c>
      <c r="D645" s="376" t="e">
        <f>#REF!</f>
        <v>#REF!</v>
      </c>
      <c r="E645" s="415" t="s">
        <v>384</v>
      </c>
      <c r="F645" s="415" t="s">
        <v>505</v>
      </c>
      <c r="G645" s="399"/>
      <c r="H645" s="376"/>
      <c r="I645" s="376"/>
    </row>
    <row r="646" spans="2:9">
      <c r="B646" s="376" t="s">
        <v>1058</v>
      </c>
      <c r="C646" s="376" t="e">
        <f>#REF!</f>
        <v>#REF!</v>
      </c>
      <c r="D646" s="376" t="e">
        <f>#REF!</f>
        <v>#REF!</v>
      </c>
      <c r="E646" s="415" t="s">
        <v>384</v>
      </c>
      <c r="F646" s="415" t="s">
        <v>505</v>
      </c>
      <c r="G646" s="399"/>
      <c r="H646" s="376"/>
      <c r="I646" s="376"/>
    </row>
    <row r="647" spans="2:9">
      <c r="B647" s="376" t="s">
        <v>1058</v>
      </c>
      <c r="C647" s="376" t="e">
        <f>#REF!</f>
        <v>#REF!</v>
      </c>
      <c r="D647" s="376" t="e">
        <f>#REF!</f>
        <v>#REF!</v>
      </c>
      <c r="E647" s="415" t="s">
        <v>384</v>
      </c>
      <c r="F647" s="415" t="s">
        <v>505</v>
      </c>
      <c r="G647" s="399"/>
      <c r="H647" s="376"/>
      <c r="I647" s="376"/>
    </row>
    <row r="648" spans="2:9">
      <c r="B648" s="376" t="s">
        <v>1058</v>
      </c>
      <c r="C648" s="376" t="e">
        <f>#REF!</f>
        <v>#REF!</v>
      </c>
      <c r="D648" s="376" t="e">
        <f>#REF!</f>
        <v>#REF!</v>
      </c>
      <c r="E648" s="415" t="s">
        <v>384</v>
      </c>
      <c r="F648" s="415" t="s">
        <v>505</v>
      </c>
      <c r="G648" s="399"/>
      <c r="H648" s="376"/>
      <c r="I648" s="376"/>
    </row>
    <row r="649" spans="2:9">
      <c r="B649" s="376" t="s">
        <v>1058</v>
      </c>
      <c r="C649" s="376" t="e">
        <f>#REF!</f>
        <v>#REF!</v>
      </c>
      <c r="D649" s="376" t="e">
        <f>#REF!</f>
        <v>#REF!</v>
      </c>
      <c r="E649" s="415" t="s">
        <v>384</v>
      </c>
      <c r="F649" s="415" t="s">
        <v>505</v>
      </c>
      <c r="G649" s="399"/>
      <c r="H649" s="376"/>
      <c r="I649" s="376"/>
    </row>
    <row r="650" spans="2:9">
      <c r="B650" s="376" t="s">
        <v>1058</v>
      </c>
      <c r="C650" s="376" t="e">
        <f>#REF!</f>
        <v>#REF!</v>
      </c>
      <c r="D650" s="376" t="e">
        <f>#REF!</f>
        <v>#REF!</v>
      </c>
      <c r="E650" s="415" t="s">
        <v>384</v>
      </c>
      <c r="F650" s="415" t="s">
        <v>505</v>
      </c>
      <c r="G650" s="399"/>
      <c r="H650" s="376"/>
      <c r="I650" s="376"/>
    </row>
    <row r="651" spans="2:9">
      <c r="B651" s="376" t="s">
        <v>1058</v>
      </c>
      <c r="C651" s="376" t="e">
        <f>#REF!</f>
        <v>#REF!</v>
      </c>
      <c r="D651" s="376" t="e">
        <f>#REF!</f>
        <v>#REF!</v>
      </c>
      <c r="E651" s="415" t="s">
        <v>384</v>
      </c>
      <c r="F651" s="415" t="s">
        <v>505</v>
      </c>
      <c r="G651" s="399"/>
      <c r="H651" s="376"/>
      <c r="I651" s="376"/>
    </row>
    <row r="652" spans="2:9">
      <c r="B652" s="376" t="s">
        <v>1058</v>
      </c>
      <c r="C652" s="376" t="e">
        <f>#REF!</f>
        <v>#REF!</v>
      </c>
      <c r="D652" s="376" t="e">
        <f>#REF!</f>
        <v>#REF!</v>
      </c>
      <c r="E652" s="415" t="s">
        <v>384</v>
      </c>
      <c r="F652" s="415" t="s">
        <v>505</v>
      </c>
      <c r="G652" s="399"/>
      <c r="H652" s="376"/>
      <c r="I652" s="376"/>
    </row>
    <row r="653" spans="2:9">
      <c r="B653" s="376" t="s">
        <v>1058</v>
      </c>
      <c r="C653" s="376" t="e">
        <f>#REF!</f>
        <v>#REF!</v>
      </c>
      <c r="D653" s="376" t="e">
        <f>#REF!</f>
        <v>#REF!</v>
      </c>
      <c r="E653" s="415" t="s">
        <v>384</v>
      </c>
      <c r="F653" s="415" t="s">
        <v>505</v>
      </c>
      <c r="G653" s="399"/>
      <c r="H653" s="376"/>
      <c r="I653" s="376"/>
    </row>
    <row r="654" spans="2:9">
      <c r="B654" s="376" t="s">
        <v>1058</v>
      </c>
      <c r="C654" s="376" t="e">
        <f>#REF!</f>
        <v>#REF!</v>
      </c>
      <c r="D654" s="376" t="e">
        <f>#REF!</f>
        <v>#REF!</v>
      </c>
      <c r="E654" s="415" t="s">
        <v>384</v>
      </c>
      <c r="F654" s="415" t="s">
        <v>505</v>
      </c>
      <c r="G654" s="399"/>
      <c r="H654" s="376"/>
      <c r="I654" s="376"/>
    </row>
    <row r="655" spans="2:9">
      <c r="B655" s="376" t="s">
        <v>1058</v>
      </c>
      <c r="C655" s="376" t="e">
        <f>#REF!</f>
        <v>#REF!</v>
      </c>
      <c r="D655" s="376" t="e">
        <f>#REF!</f>
        <v>#REF!</v>
      </c>
      <c r="E655" s="415" t="s">
        <v>384</v>
      </c>
      <c r="F655" s="415" t="s">
        <v>505</v>
      </c>
      <c r="G655" s="399"/>
      <c r="H655" s="376"/>
      <c r="I655" s="376"/>
    </row>
    <row r="656" spans="2:9">
      <c r="B656" s="376" t="s">
        <v>1058</v>
      </c>
      <c r="C656" s="376" t="e">
        <f>#REF!</f>
        <v>#REF!</v>
      </c>
      <c r="D656" s="376" t="e">
        <f>#REF!</f>
        <v>#REF!</v>
      </c>
      <c r="E656" s="415" t="s">
        <v>384</v>
      </c>
      <c r="F656" s="415" t="s">
        <v>505</v>
      </c>
      <c r="G656" s="399"/>
      <c r="H656" s="376"/>
      <c r="I656" s="376"/>
    </row>
    <row r="657" spans="2:9">
      <c r="B657" s="376" t="s">
        <v>1058</v>
      </c>
      <c r="C657" s="376" t="e">
        <f>#REF!</f>
        <v>#REF!</v>
      </c>
      <c r="D657" s="376" t="e">
        <f>#REF!</f>
        <v>#REF!</v>
      </c>
      <c r="E657" s="415" t="s">
        <v>384</v>
      </c>
      <c r="F657" s="415" t="s">
        <v>505</v>
      </c>
      <c r="G657" s="399"/>
      <c r="H657" s="376"/>
      <c r="I657" s="376"/>
    </row>
    <row r="658" spans="2:9">
      <c r="B658" s="376" t="s">
        <v>1058</v>
      </c>
      <c r="C658" s="376" t="e">
        <f>#REF!</f>
        <v>#REF!</v>
      </c>
      <c r="D658" s="376" t="e">
        <f>#REF!</f>
        <v>#REF!</v>
      </c>
      <c r="E658" s="415" t="s">
        <v>384</v>
      </c>
      <c r="F658" s="415" t="s">
        <v>505</v>
      </c>
      <c r="G658" s="399"/>
      <c r="H658" s="376"/>
      <c r="I658" s="376"/>
    </row>
    <row r="659" spans="2:9">
      <c r="B659" s="376" t="s">
        <v>1058</v>
      </c>
      <c r="C659" s="376" t="e">
        <f>#REF!</f>
        <v>#REF!</v>
      </c>
      <c r="D659" s="376" t="e">
        <f>#REF!</f>
        <v>#REF!</v>
      </c>
      <c r="E659" s="415" t="s">
        <v>384</v>
      </c>
      <c r="F659" s="415" t="s">
        <v>505</v>
      </c>
      <c r="G659" s="399"/>
      <c r="H659" s="376"/>
      <c r="I659" s="376"/>
    </row>
    <row r="660" spans="2:9">
      <c r="B660" s="376" t="s">
        <v>1058</v>
      </c>
      <c r="C660" s="376" t="e">
        <f>#REF!</f>
        <v>#REF!</v>
      </c>
      <c r="D660" s="376" t="e">
        <f>#REF!</f>
        <v>#REF!</v>
      </c>
      <c r="E660" s="415" t="s">
        <v>384</v>
      </c>
      <c r="F660" s="415" t="s">
        <v>505</v>
      </c>
      <c r="G660" s="399"/>
      <c r="H660" s="376"/>
      <c r="I660" s="376"/>
    </row>
    <row r="661" spans="2:9">
      <c r="B661" s="376" t="s">
        <v>1058</v>
      </c>
      <c r="C661" s="376" t="e">
        <f>#REF!</f>
        <v>#REF!</v>
      </c>
      <c r="D661" s="376" t="e">
        <f>#REF!</f>
        <v>#REF!</v>
      </c>
      <c r="E661" s="415" t="s">
        <v>384</v>
      </c>
      <c r="F661" s="415" t="s">
        <v>505</v>
      </c>
      <c r="G661" s="399"/>
      <c r="H661" s="376"/>
      <c r="I661" s="376"/>
    </row>
    <row r="662" spans="2:9">
      <c r="B662" s="376" t="s">
        <v>1058</v>
      </c>
      <c r="C662" s="376" t="e">
        <f>#REF!</f>
        <v>#REF!</v>
      </c>
      <c r="D662" s="376" t="e">
        <f>#REF!</f>
        <v>#REF!</v>
      </c>
      <c r="E662" s="415" t="s">
        <v>384</v>
      </c>
      <c r="F662" s="415" t="s">
        <v>505</v>
      </c>
      <c r="G662" s="399"/>
      <c r="H662" s="376"/>
      <c r="I662" s="376"/>
    </row>
    <row r="663" spans="2:9">
      <c r="B663" s="376" t="s">
        <v>1058</v>
      </c>
      <c r="C663" s="376" t="e">
        <f>#REF!</f>
        <v>#REF!</v>
      </c>
      <c r="D663" s="376" t="e">
        <f>#REF!</f>
        <v>#REF!</v>
      </c>
      <c r="E663" s="415" t="s">
        <v>384</v>
      </c>
      <c r="F663" s="415" t="s">
        <v>505</v>
      </c>
      <c r="G663" s="399"/>
      <c r="H663" s="376"/>
      <c r="I663" s="376"/>
    </row>
    <row r="664" spans="2:9">
      <c r="B664" s="376" t="s">
        <v>1058</v>
      </c>
      <c r="C664" s="376" t="e">
        <f>#REF!</f>
        <v>#REF!</v>
      </c>
      <c r="D664" s="376" t="e">
        <f>#REF!</f>
        <v>#REF!</v>
      </c>
      <c r="E664" s="415" t="s">
        <v>384</v>
      </c>
      <c r="F664" s="415" t="s">
        <v>505</v>
      </c>
      <c r="G664" s="399"/>
      <c r="H664" s="376"/>
      <c r="I664" s="376"/>
    </row>
    <row r="665" spans="2:9">
      <c r="B665" s="376" t="s">
        <v>1058</v>
      </c>
      <c r="C665" s="376" t="e">
        <f>#REF!</f>
        <v>#REF!</v>
      </c>
      <c r="D665" s="376" t="e">
        <f>#REF!</f>
        <v>#REF!</v>
      </c>
      <c r="E665" s="415" t="s">
        <v>384</v>
      </c>
      <c r="F665" s="415" t="s">
        <v>505</v>
      </c>
      <c r="G665" s="399"/>
      <c r="H665" s="376"/>
      <c r="I665" s="376"/>
    </row>
    <row r="666" spans="2:9">
      <c r="B666" s="376" t="s">
        <v>1058</v>
      </c>
      <c r="C666" s="376" t="e">
        <f>#REF!</f>
        <v>#REF!</v>
      </c>
      <c r="D666" s="376" t="e">
        <f>#REF!</f>
        <v>#REF!</v>
      </c>
      <c r="E666" s="415" t="s">
        <v>384</v>
      </c>
      <c r="F666" s="415" t="s">
        <v>505</v>
      </c>
      <c r="G666" s="399"/>
      <c r="H666" s="376"/>
      <c r="I666" s="376"/>
    </row>
    <row r="667" spans="2:9">
      <c r="B667" s="376" t="s">
        <v>1058</v>
      </c>
      <c r="C667" s="376" t="e">
        <f>#REF!</f>
        <v>#REF!</v>
      </c>
      <c r="D667" s="376" t="e">
        <f>#REF!</f>
        <v>#REF!</v>
      </c>
      <c r="E667" s="415" t="s">
        <v>384</v>
      </c>
      <c r="F667" s="415" t="s">
        <v>505</v>
      </c>
      <c r="G667" s="399"/>
      <c r="H667" s="376"/>
      <c r="I667" s="376"/>
    </row>
    <row r="668" spans="2:9">
      <c r="B668" s="376" t="s">
        <v>1058</v>
      </c>
      <c r="C668" s="376" t="e">
        <f>#REF!</f>
        <v>#REF!</v>
      </c>
      <c r="D668" s="376" t="e">
        <f>#REF!</f>
        <v>#REF!</v>
      </c>
      <c r="E668" s="415" t="s">
        <v>384</v>
      </c>
      <c r="F668" s="415" t="s">
        <v>505</v>
      </c>
      <c r="G668" s="399"/>
      <c r="H668" s="376"/>
      <c r="I668" s="376"/>
    </row>
    <row r="669" spans="2:9">
      <c r="B669" s="376" t="s">
        <v>1058</v>
      </c>
      <c r="C669" s="376" t="e">
        <f>#REF!</f>
        <v>#REF!</v>
      </c>
      <c r="D669" s="376" t="e">
        <f>#REF!</f>
        <v>#REF!</v>
      </c>
      <c r="E669" s="415" t="s">
        <v>384</v>
      </c>
      <c r="F669" s="415" t="s">
        <v>505</v>
      </c>
      <c r="G669" s="399"/>
      <c r="H669" s="376"/>
      <c r="I669" s="376"/>
    </row>
    <row r="670" spans="2:9">
      <c r="B670" s="376" t="s">
        <v>1058</v>
      </c>
      <c r="C670" s="376" t="e">
        <f>#REF!</f>
        <v>#REF!</v>
      </c>
      <c r="D670" s="376" t="e">
        <f>#REF!</f>
        <v>#REF!</v>
      </c>
      <c r="E670" s="415" t="s">
        <v>384</v>
      </c>
      <c r="F670" s="415" t="s">
        <v>505</v>
      </c>
      <c r="G670" s="399"/>
      <c r="H670" s="376"/>
      <c r="I670" s="376"/>
    </row>
    <row r="671" spans="2:9">
      <c r="B671" s="376" t="s">
        <v>1058</v>
      </c>
      <c r="C671" s="376" t="e">
        <f>#REF!</f>
        <v>#REF!</v>
      </c>
      <c r="D671" s="376" t="e">
        <f>#REF!</f>
        <v>#REF!</v>
      </c>
      <c r="E671" s="415" t="s">
        <v>384</v>
      </c>
      <c r="F671" s="415" t="s">
        <v>505</v>
      </c>
      <c r="G671" s="399"/>
      <c r="H671" s="376"/>
      <c r="I671" s="376"/>
    </row>
    <row r="672" spans="2:9">
      <c r="B672" s="376" t="s">
        <v>1058</v>
      </c>
      <c r="C672" s="376" t="e">
        <f>#REF!</f>
        <v>#REF!</v>
      </c>
      <c r="D672" s="376" t="e">
        <f>#REF!</f>
        <v>#REF!</v>
      </c>
      <c r="E672" s="415" t="s">
        <v>384</v>
      </c>
      <c r="F672" s="415" t="s">
        <v>505</v>
      </c>
      <c r="G672" s="399"/>
      <c r="H672" s="376"/>
      <c r="I672" s="376"/>
    </row>
    <row r="673" spans="2:9">
      <c r="B673" s="376" t="s">
        <v>1058</v>
      </c>
      <c r="C673" s="376" t="e">
        <f>#REF!</f>
        <v>#REF!</v>
      </c>
      <c r="D673" s="376" t="e">
        <f>#REF!</f>
        <v>#REF!</v>
      </c>
      <c r="E673" s="415" t="s">
        <v>384</v>
      </c>
      <c r="F673" s="415" t="s">
        <v>505</v>
      </c>
      <c r="G673" s="399"/>
      <c r="H673" s="376"/>
      <c r="I673" s="376"/>
    </row>
    <row r="674" spans="2:9">
      <c r="B674" s="376" t="s">
        <v>1058</v>
      </c>
      <c r="C674" s="376" t="e">
        <f>#REF!</f>
        <v>#REF!</v>
      </c>
      <c r="D674" s="376" t="e">
        <f>#REF!</f>
        <v>#REF!</v>
      </c>
      <c r="E674" s="415" t="s">
        <v>384</v>
      </c>
      <c r="F674" s="415" t="s">
        <v>505</v>
      </c>
      <c r="G674" s="399"/>
      <c r="H674" s="376"/>
      <c r="I674" s="376"/>
    </row>
    <row r="675" spans="2:9">
      <c r="B675" s="376" t="s">
        <v>1058</v>
      </c>
      <c r="C675" s="376" t="e">
        <f>#REF!</f>
        <v>#REF!</v>
      </c>
      <c r="D675" s="376" t="e">
        <f>#REF!</f>
        <v>#REF!</v>
      </c>
      <c r="E675" s="415" t="s">
        <v>384</v>
      </c>
      <c r="F675" s="415" t="s">
        <v>505</v>
      </c>
      <c r="G675" s="399"/>
      <c r="H675" s="376"/>
      <c r="I675" s="376"/>
    </row>
    <row r="676" spans="2:9">
      <c r="B676" s="376" t="s">
        <v>1058</v>
      </c>
      <c r="C676" s="376" t="e">
        <f>#REF!</f>
        <v>#REF!</v>
      </c>
      <c r="D676" s="376" t="e">
        <f>#REF!</f>
        <v>#REF!</v>
      </c>
      <c r="E676" s="415" t="s">
        <v>384</v>
      </c>
      <c r="F676" s="415" t="s">
        <v>505</v>
      </c>
      <c r="G676" s="399"/>
      <c r="H676" s="376"/>
      <c r="I676" s="376"/>
    </row>
    <row r="677" spans="2:9">
      <c r="B677" s="376" t="s">
        <v>1058</v>
      </c>
      <c r="C677" s="376" t="e">
        <f>#REF!</f>
        <v>#REF!</v>
      </c>
      <c r="D677" s="376" t="e">
        <f>#REF!</f>
        <v>#REF!</v>
      </c>
      <c r="E677" s="415" t="s">
        <v>384</v>
      </c>
      <c r="F677" s="415" t="s">
        <v>505</v>
      </c>
      <c r="G677" s="399"/>
      <c r="H677" s="376"/>
      <c r="I677" s="376"/>
    </row>
    <row r="678" spans="2:9">
      <c r="B678" s="376" t="s">
        <v>1058</v>
      </c>
      <c r="C678" s="376" t="e">
        <f>#REF!</f>
        <v>#REF!</v>
      </c>
      <c r="D678" s="376" t="e">
        <f>#REF!</f>
        <v>#REF!</v>
      </c>
      <c r="E678" s="415" t="s">
        <v>384</v>
      </c>
      <c r="F678" s="415" t="s">
        <v>505</v>
      </c>
      <c r="G678" s="399"/>
      <c r="H678" s="376"/>
      <c r="I678" s="376"/>
    </row>
    <row r="679" spans="2:9">
      <c r="B679" s="376" t="s">
        <v>1058</v>
      </c>
      <c r="C679" s="376" t="e">
        <f>#REF!</f>
        <v>#REF!</v>
      </c>
      <c r="D679" s="376" t="e">
        <f>#REF!</f>
        <v>#REF!</v>
      </c>
      <c r="E679" s="415" t="s">
        <v>384</v>
      </c>
      <c r="F679" s="415" t="s">
        <v>505</v>
      </c>
      <c r="G679" s="399"/>
      <c r="H679" s="376"/>
      <c r="I679" s="376"/>
    </row>
    <row r="680" spans="2:9">
      <c r="B680" s="376" t="s">
        <v>1058</v>
      </c>
      <c r="C680" s="376" t="e">
        <f>#REF!</f>
        <v>#REF!</v>
      </c>
      <c r="D680" s="376" t="e">
        <f>#REF!</f>
        <v>#REF!</v>
      </c>
      <c r="E680" s="415" t="s">
        <v>384</v>
      </c>
      <c r="F680" s="415" t="s">
        <v>505</v>
      </c>
      <c r="G680" s="399"/>
      <c r="H680" s="376"/>
      <c r="I680" s="376"/>
    </row>
    <row r="681" spans="2:9">
      <c r="B681" s="376" t="s">
        <v>1058</v>
      </c>
      <c r="C681" s="376" t="e">
        <f>#REF!</f>
        <v>#REF!</v>
      </c>
      <c r="D681" s="376" t="e">
        <f>#REF!</f>
        <v>#REF!</v>
      </c>
      <c r="E681" s="415" t="s">
        <v>384</v>
      </c>
      <c r="F681" s="415" t="s">
        <v>505</v>
      </c>
      <c r="G681" s="399"/>
      <c r="H681" s="376"/>
      <c r="I681" s="376"/>
    </row>
    <row r="682" spans="2:9">
      <c r="B682" s="376" t="s">
        <v>1058</v>
      </c>
      <c r="C682" s="376" t="e">
        <f>#REF!</f>
        <v>#REF!</v>
      </c>
      <c r="D682" s="376" t="e">
        <f>#REF!</f>
        <v>#REF!</v>
      </c>
      <c r="E682" s="415" t="s">
        <v>384</v>
      </c>
      <c r="F682" s="415" t="s">
        <v>505</v>
      </c>
      <c r="G682" s="399"/>
      <c r="H682" s="376"/>
      <c r="I682" s="376"/>
    </row>
    <row r="683" spans="2:9">
      <c r="B683" s="376" t="s">
        <v>1058</v>
      </c>
      <c r="C683" s="376" t="e">
        <f>#REF!</f>
        <v>#REF!</v>
      </c>
      <c r="D683" s="376" t="e">
        <f>#REF!</f>
        <v>#REF!</v>
      </c>
      <c r="E683" s="415" t="s">
        <v>384</v>
      </c>
      <c r="F683" s="415" t="s">
        <v>505</v>
      </c>
      <c r="G683" s="399"/>
      <c r="H683" s="376"/>
      <c r="I683" s="376"/>
    </row>
    <row r="684" spans="2:9">
      <c r="B684" s="376" t="s">
        <v>1058</v>
      </c>
      <c r="C684" s="376" t="e">
        <f>#REF!</f>
        <v>#REF!</v>
      </c>
      <c r="D684" s="376" t="e">
        <f>#REF!</f>
        <v>#REF!</v>
      </c>
      <c r="E684" s="415" t="s">
        <v>384</v>
      </c>
      <c r="F684" s="415" t="s">
        <v>505</v>
      </c>
      <c r="G684" s="399"/>
      <c r="H684" s="376"/>
      <c r="I684" s="376"/>
    </row>
    <row r="685" spans="2:9">
      <c r="B685" s="376" t="s">
        <v>1058</v>
      </c>
      <c r="C685" s="376" t="e">
        <f>#REF!</f>
        <v>#REF!</v>
      </c>
      <c r="D685" s="376" t="e">
        <f>#REF!</f>
        <v>#REF!</v>
      </c>
      <c r="E685" s="415" t="s">
        <v>384</v>
      </c>
      <c r="F685" s="415" t="s">
        <v>505</v>
      </c>
      <c r="G685" s="399"/>
      <c r="H685" s="376"/>
      <c r="I685" s="376"/>
    </row>
    <row r="686" spans="2:9">
      <c r="B686" s="376" t="s">
        <v>1058</v>
      </c>
      <c r="C686" s="376" t="e">
        <f>#REF!</f>
        <v>#REF!</v>
      </c>
      <c r="D686" s="376" t="e">
        <f>#REF!</f>
        <v>#REF!</v>
      </c>
      <c r="E686" s="415" t="s">
        <v>384</v>
      </c>
      <c r="F686" s="415" t="s">
        <v>505</v>
      </c>
      <c r="G686" s="399"/>
      <c r="H686" s="376"/>
      <c r="I686" s="376"/>
    </row>
    <row r="687" spans="2:9">
      <c r="B687" s="376" t="s">
        <v>1058</v>
      </c>
      <c r="C687" s="376" t="e">
        <f>#REF!</f>
        <v>#REF!</v>
      </c>
      <c r="D687" s="376" t="e">
        <f>#REF!</f>
        <v>#REF!</v>
      </c>
      <c r="E687" s="415" t="s">
        <v>384</v>
      </c>
      <c r="F687" s="415" t="s">
        <v>505</v>
      </c>
      <c r="G687" s="399"/>
      <c r="H687" s="376"/>
      <c r="I687" s="376"/>
    </row>
    <row r="688" spans="2:9">
      <c r="B688" s="376" t="s">
        <v>1058</v>
      </c>
      <c r="C688" s="376" t="e">
        <f>#REF!</f>
        <v>#REF!</v>
      </c>
      <c r="D688" s="376" t="e">
        <f>#REF!</f>
        <v>#REF!</v>
      </c>
      <c r="E688" s="415" t="s">
        <v>384</v>
      </c>
      <c r="F688" s="415" t="s">
        <v>505</v>
      </c>
      <c r="G688" s="399"/>
      <c r="H688" s="376"/>
      <c r="I688" s="376"/>
    </row>
    <row r="689" spans="2:9">
      <c r="B689" s="376" t="s">
        <v>1058</v>
      </c>
      <c r="C689" s="376" t="e">
        <f>#REF!</f>
        <v>#REF!</v>
      </c>
      <c r="D689" s="376" t="e">
        <f>#REF!</f>
        <v>#REF!</v>
      </c>
      <c r="E689" s="415" t="s">
        <v>384</v>
      </c>
      <c r="F689" s="415" t="s">
        <v>505</v>
      </c>
      <c r="G689" s="399"/>
      <c r="H689" s="376"/>
      <c r="I689" s="376"/>
    </row>
    <row r="690" spans="2:9">
      <c r="B690" s="376" t="s">
        <v>1058</v>
      </c>
      <c r="C690" s="376" t="e">
        <f>#REF!</f>
        <v>#REF!</v>
      </c>
      <c r="D690" s="376" t="e">
        <f>#REF!</f>
        <v>#REF!</v>
      </c>
      <c r="E690" s="415" t="s">
        <v>384</v>
      </c>
      <c r="F690" s="415" t="s">
        <v>505</v>
      </c>
      <c r="G690" s="399"/>
      <c r="H690" s="376"/>
      <c r="I690" s="376"/>
    </row>
    <row r="691" spans="2:9">
      <c r="B691" s="376" t="s">
        <v>1058</v>
      </c>
      <c r="C691" s="376" t="e">
        <f>#REF!</f>
        <v>#REF!</v>
      </c>
      <c r="D691" s="376" t="e">
        <f>#REF!</f>
        <v>#REF!</v>
      </c>
      <c r="E691" s="415" t="s">
        <v>384</v>
      </c>
      <c r="F691" s="415" t="s">
        <v>505</v>
      </c>
      <c r="G691" s="399"/>
      <c r="H691" s="376"/>
      <c r="I691" s="376"/>
    </row>
    <row r="692" spans="2:9">
      <c r="B692" s="376" t="s">
        <v>1058</v>
      </c>
      <c r="C692" s="376" t="e">
        <f>#REF!</f>
        <v>#REF!</v>
      </c>
      <c r="D692" s="376" t="e">
        <f>#REF!</f>
        <v>#REF!</v>
      </c>
      <c r="E692" s="415" t="s">
        <v>384</v>
      </c>
      <c r="F692" s="415" t="s">
        <v>505</v>
      </c>
      <c r="G692" s="399"/>
      <c r="H692" s="376"/>
      <c r="I692" s="376"/>
    </row>
    <row r="693" spans="2:9">
      <c r="B693" s="376" t="s">
        <v>588</v>
      </c>
      <c r="C693" s="376"/>
      <c r="D693" s="376"/>
      <c r="E693" s="415"/>
      <c r="F693" s="415"/>
      <c r="G693" s="399"/>
      <c r="H693" s="376"/>
      <c r="I693" s="376"/>
    </row>
    <row r="694" spans="2:9">
      <c r="B694" s="376" t="s">
        <v>1058</v>
      </c>
      <c r="C694" s="376" t="s">
        <v>537</v>
      </c>
      <c r="D694" s="376" t="s">
        <v>732</v>
      </c>
      <c r="E694" s="415" t="s">
        <v>384</v>
      </c>
      <c r="F694" s="415" t="s">
        <v>505</v>
      </c>
      <c r="G694" s="399"/>
      <c r="H694" s="376"/>
      <c r="I694" s="376"/>
    </row>
    <row r="695" spans="2:9">
      <c r="B695" s="376" t="s">
        <v>1058</v>
      </c>
      <c r="C695" s="376" t="s">
        <v>539</v>
      </c>
      <c r="D695" s="376" t="s">
        <v>733</v>
      </c>
      <c r="E695" s="415" t="s">
        <v>384</v>
      </c>
      <c r="F695" s="415" t="s">
        <v>505</v>
      </c>
      <c r="G695" s="399"/>
      <c r="H695" s="376"/>
      <c r="I695" s="376"/>
    </row>
    <row r="696" spans="2:9">
      <c r="B696" s="376" t="s">
        <v>1058</v>
      </c>
      <c r="C696" s="376" t="s">
        <v>541</v>
      </c>
      <c r="D696" s="376" t="s">
        <v>734</v>
      </c>
      <c r="E696" s="415" t="s">
        <v>384</v>
      </c>
      <c r="F696" s="415" t="s">
        <v>505</v>
      </c>
      <c r="G696" s="399"/>
      <c r="H696" s="376"/>
      <c r="I696" s="376"/>
    </row>
    <row r="697" spans="2:9">
      <c r="B697" s="376" t="s">
        <v>1058</v>
      </c>
      <c r="C697" s="376" t="s">
        <v>543</v>
      </c>
      <c r="D697" s="376" t="s">
        <v>735</v>
      </c>
      <c r="E697" s="415" t="s">
        <v>384</v>
      </c>
      <c r="F697" s="415" t="s">
        <v>505</v>
      </c>
      <c r="G697" s="399"/>
      <c r="H697" s="376"/>
      <c r="I697" s="376"/>
    </row>
    <row r="698" spans="2:9">
      <c r="B698" s="376" t="s">
        <v>1058</v>
      </c>
      <c r="C698" s="376" t="s">
        <v>544</v>
      </c>
      <c r="D698" s="376" t="s">
        <v>731</v>
      </c>
      <c r="E698" s="415" t="s">
        <v>384</v>
      </c>
      <c r="F698" s="415" t="s">
        <v>505</v>
      </c>
      <c r="G698" s="399"/>
      <c r="H698" s="376"/>
      <c r="I698" s="376"/>
    </row>
    <row r="702" spans="2:9">
      <c r="B702" s="376" t="str">
        <f>IF(OR(G$231="*",LEFT(Commodities!B$48,1)="*"),"*",Commodities!B$49)</f>
        <v>R0,R1,R2,R3,R4,R5,R6</v>
      </c>
      <c r="C702" s="376" t="str">
        <f>CONCATENATE("XI",Commodities!$C$85)&amp;"P1"</f>
        <v>XITRGSLCP1</v>
      </c>
      <c r="D702" s="376" t="str">
        <f>CONCATENATE("Delivery of Imported ",Commodities!$D$85)</f>
        <v>Delivery of Imported Conventional Gasoline</v>
      </c>
      <c r="E702" s="415" t="s">
        <v>384</v>
      </c>
      <c r="F702" s="415" t="s">
        <v>505</v>
      </c>
      <c r="G702" s="399" t="s">
        <v>2534</v>
      </c>
      <c r="H702" s="376"/>
      <c r="I702" s="376"/>
    </row>
    <row r="703" spans="2:9">
      <c r="B703" s="376" t="str">
        <f>IF(OR(G$231="*",LEFT(Commodities!B$49,1)="*"),"*",Commodities!B$48)</f>
        <v>R0,R1,R2,R3,R4,R5,R6</v>
      </c>
      <c r="C703" s="376" t="str">
        <f>CONCATENATE("XI",Commodities!$C$86)&amp;"P1"</f>
        <v>XITRGSLRP1</v>
      </c>
      <c r="D703" s="376" t="str">
        <f>CONCATENATE("Delivery of Imported ",Commodities!$D$86)</f>
        <v>Delivery of Imported Reformulated Gasoline</v>
      </c>
      <c r="E703" s="415" t="s">
        <v>384</v>
      </c>
      <c r="F703" s="415" t="s">
        <v>505</v>
      </c>
      <c r="G703" s="399" t="s">
        <v>2534</v>
      </c>
      <c r="H703" s="376"/>
      <c r="I703" s="376"/>
    </row>
    <row r="704" spans="2:9">
      <c r="B704" s="376" t="str">
        <f>IF(OR(G$231="*",LEFT(Commodities!B$51,1)="*"),"*",Commodities!B$51)</f>
        <v>R0,R1,R2,R3,R4,R5,R6</v>
      </c>
      <c r="C704" s="376" t="str">
        <f>CONCATENATE("XI",Commodities!$C$91)&amp;"P1"</f>
        <v>XITRDSLLP1</v>
      </c>
      <c r="D704" s="376" t="str">
        <f>CONCATENATE("Delivery of Imported ",Commodities!$D$91)</f>
        <v>Delivery of Imported Distillate-Low Sulfur Highway Diesel (500 ppm)</v>
      </c>
      <c r="E704" s="415" t="s">
        <v>384</v>
      </c>
      <c r="F704" s="415" t="s">
        <v>505</v>
      </c>
      <c r="G704" s="399" t="s">
        <v>2534</v>
      </c>
      <c r="H704" s="376"/>
      <c r="I704" s="376"/>
    </row>
    <row r="705" spans="2:9">
      <c r="B705" s="376" t="str">
        <f>IF(OR(G$231="*",LEFT(Commodities!B$52,1)="*"),"*",Commodities!B$52)</f>
        <v>R0,R1,R2,R3,R4,R5,R6</v>
      </c>
      <c r="C705" s="376" t="str">
        <f>CONCATENATE("XI",Commodities!$C$92)&amp;"P1"</f>
        <v>XITRDSLUP1</v>
      </c>
      <c r="D705" s="376" t="str">
        <f>CONCATENATE("Delivery of Imported ",Commodities!$D$92)</f>
        <v>Delivery of Imported Distillate-Ultralow Sulfur Highway Diesel (15 ppm)</v>
      </c>
      <c r="E705" s="415" t="s">
        <v>384</v>
      </c>
      <c r="F705" s="415" t="s">
        <v>505</v>
      </c>
      <c r="G705" s="399" t="s">
        <v>2534</v>
      </c>
      <c r="H705" s="376"/>
      <c r="I705" s="376"/>
    </row>
    <row r="706" spans="2:9">
      <c r="B706" s="376" t="str">
        <f>IF(OR(G$231="*",LEFT(Commodities!B$94,1)="*"),"*",Commodities!B$94)</f>
        <v>*</v>
      </c>
      <c r="C706" s="376" t="str">
        <f>CONCATENATE("XI",Commodities!$C$94)&amp;"P1"</f>
        <v>XIRESKERP1</v>
      </c>
      <c r="D706" s="376" t="str">
        <f>CONCATENATE("Delivery of Imported ",Commodities!$D$94)</f>
        <v>Delivery of Imported Kerosene and Other Refined Products to the Residential Sector</v>
      </c>
      <c r="E706" s="415" t="s">
        <v>384</v>
      </c>
      <c r="F706" s="415" t="s">
        <v>505</v>
      </c>
      <c r="G706" s="399" t="s">
        <v>2534</v>
      </c>
      <c r="H706" s="376"/>
      <c r="I706" s="376"/>
    </row>
    <row r="707" spans="2:9">
      <c r="B707" s="376" t="str">
        <f>IF(OR(G$231="*",LEFT(Commodities!B$95,1)="*"),"*",Commodities!B$95)</f>
        <v>*</v>
      </c>
      <c r="C707" s="376" t="str">
        <f>CONCATENATE("XI",Commodities!$C$95)&amp;"P1"</f>
        <v>XICOMKERP1</v>
      </c>
      <c r="D707" s="376" t="str">
        <f>CONCATENATE("Delivery of Imported ",Commodities!$D$95)</f>
        <v>Delivery of Imported Kerosene and Other Refined Products to the Commercial Sector</v>
      </c>
      <c r="E707" s="415" t="s">
        <v>384</v>
      </c>
      <c r="F707" s="415" t="s">
        <v>505</v>
      </c>
      <c r="G707" s="399" t="s">
        <v>2534</v>
      </c>
      <c r="H707" s="376"/>
      <c r="I707" s="376"/>
    </row>
    <row r="708" spans="2:9">
      <c r="B708" s="376" t="str">
        <f>IF(OR(G$231="*",LEFT(Commodities!B$96,1)="*"),"*",Commodities!B$96)</f>
        <v>*</v>
      </c>
      <c r="C708" s="376" t="str">
        <f>CONCATENATE("XI",Commodities!$C$96)&amp;"P1"</f>
        <v>XIINDKERP1</v>
      </c>
      <c r="D708" s="376" t="str">
        <f>CONCATENATE("Delivery of Imported ",Commodities!$D$96)</f>
        <v>Delivery of Imported Kerosene and Other Refined Products to the Industrial Sector</v>
      </c>
      <c r="E708" s="415" t="s">
        <v>384</v>
      </c>
      <c r="F708" s="415" t="s">
        <v>505</v>
      </c>
      <c r="G708" s="399" t="s">
        <v>2534</v>
      </c>
      <c r="H708" s="376"/>
      <c r="I708" s="376"/>
    </row>
    <row r="709" spans="2:9">
      <c r="B709" s="376" t="str">
        <f>IF(OR(G$231="*",LEFT(Commodities!B$97,1)="*"),"*",Commodities!B$97)</f>
        <v>*</v>
      </c>
      <c r="C709" s="376" t="str">
        <f>CONCATENATE("XI",Commodities!$C$97)&amp;"P1"</f>
        <v>XIRESLPGP1</v>
      </c>
      <c r="D709" s="376" t="str">
        <f>CONCATENATE("Delivery of Imported ",Commodities!$D$97)</f>
        <v>Delivery of Imported LPG to the Residential Sector</v>
      </c>
      <c r="E709" s="415" t="s">
        <v>384</v>
      </c>
      <c r="F709" s="415" t="s">
        <v>505</v>
      </c>
      <c r="G709" s="399" t="s">
        <v>2534</v>
      </c>
      <c r="H709" s="376"/>
      <c r="I709" s="376"/>
    </row>
    <row r="710" spans="2:9">
      <c r="B710" s="376" t="str">
        <f>IF(OR(G$231="*",LEFT(Commodities!B$98,1)="*"),"*",Commodities!B$98)</f>
        <v>*</v>
      </c>
      <c r="C710" s="376" t="str">
        <f>CONCATENATE("XI",Commodities!$C$98)&amp;"P1"</f>
        <v>XICOMLPGP1</v>
      </c>
      <c r="D710" s="376" t="str">
        <f>CONCATENATE("Delivery of Imported ",Commodities!$D$98)</f>
        <v>Delivery of Imported LPG to the Commercial Sector</v>
      </c>
      <c r="E710" s="415" t="s">
        <v>384</v>
      </c>
      <c r="F710" s="415" t="s">
        <v>505</v>
      </c>
      <c r="G710" s="399" t="s">
        <v>2534</v>
      </c>
      <c r="H710" s="376"/>
      <c r="I710" s="376"/>
    </row>
    <row r="711" spans="2:9">
      <c r="B711" s="376" t="str">
        <f>IF(OR(G$231="*",LEFT(Commodities!B$99,1)="*"),"*",Commodities!B$99)</f>
        <v>*</v>
      </c>
      <c r="C711" s="376" t="str">
        <f>CONCATENATE("XI",Commodities!$C$99)&amp;"P1"</f>
        <v>XIINDLPGP1</v>
      </c>
      <c r="D711" s="376" t="str">
        <f>CONCATENATE("Delivery of Imported ",Commodities!$D$99)</f>
        <v>Delivery of Imported LPG to the Industrial Sector</v>
      </c>
      <c r="E711" s="415" t="s">
        <v>384</v>
      </c>
      <c r="F711" s="415" t="s">
        <v>505</v>
      </c>
      <c r="G711" s="399" t="s">
        <v>2534</v>
      </c>
      <c r="H711" s="376"/>
      <c r="I711" s="376"/>
    </row>
    <row r="712" spans="2:9">
      <c r="B712" s="376" t="str">
        <f>IF(OR(G$231="*",LEFT(Commodities!B$100,1)="*"),"*",Commodities!B$100)</f>
        <v>*</v>
      </c>
      <c r="C712" s="376" t="str">
        <f>CONCATENATE("XI",Commodities!$C$100)&amp;"P1"</f>
        <v>XITRNLPGP1</v>
      </c>
      <c r="D712" s="376" t="str">
        <f>CONCATENATE("Delivery of Imported ",Commodities!$D$100)</f>
        <v>Delivery of Imported LPG to the Transportation Sector</v>
      </c>
      <c r="E712" s="415" t="s">
        <v>384</v>
      </c>
      <c r="F712" s="415" t="s">
        <v>505</v>
      </c>
      <c r="G712" s="399" t="s">
        <v>2534</v>
      </c>
      <c r="H712" s="376"/>
      <c r="I712" s="376"/>
    </row>
    <row r="713" spans="2:9">
      <c r="B713" s="376" t="str">
        <f>IF(OR(G$231="*",LEFT(Commodities!B$101,1)="*"),"*",Commodities!B$101)</f>
        <v>*</v>
      </c>
      <c r="C713" s="376" t="str">
        <f>CONCATENATE("XI",Commodities!$C$101)&amp;"P1"</f>
        <v>XITRNMTHP1</v>
      </c>
      <c r="D713" s="376" t="str">
        <f>CONCATENATE("Delivery of Imported ",Commodities!$D$101)</f>
        <v>Delivery of Imported Methanol</v>
      </c>
      <c r="E713" s="415" t="s">
        <v>384</v>
      </c>
      <c r="F713" s="415" t="s">
        <v>505</v>
      </c>
      <c r="G713" s="399" t="s">
        <v>2534</v>
      </c>
      <c r="H713" s="376"/>
      <c r="I713" s="376"/>
    </row>
    <row r="714" spans="2:9">
      <c r="B714" s="376" t="str">
        <f>IF(OR(G$231="*",LEFT(Commodities!B$102,1)="*"),"*",Commodities!B$102)</f>
        <v>*</v>
      </c>
      <c r="C714" s="376" t="str">
        <f>CONCATENATE("XI",Commodities!$C$102)&amp;"P1"</f>
        <v>XIINDPFSP1</v>
      </c>
      <c r="D714" s="376" t="str">
        <f>CONCATENATE("Delivery of Imported ",Commodities!$D$102)</f>
        <v>Delivery of Imported Petrochemical Feedstocks</v>
      </c>
      <c r="E714" s="415" t="s">
        <v>384</v>
      </c>
      <c r="F714" s="415" t="s">
        <v>505</v>
      </c>
      <c r="G714" s="399" t="s">
        <v>2534</v>
      </c>
      <c r="H714" s="376"/>
      <c r="I714" s="376"/>
    </row>
    <row r="715" spans="2:9">
      <c r="B715" s="376" t="str">
        <f>IF(OR(G$231="*",LEFT(Commodities!B$103,1)="*"),"*",Commodities!B$103)</f>
        <v>*</v>
      </c>
      <c r="C715" s="376" t="str">
        <f>CONCATENATE("XI",Commodities!$C$103)&amp;"P1"</f>
        <v>XIRESRFLP1</v>
      </c>
      <c r="D715" s="376" t="str">
        <f>CONCATENATE("Delivery of Imported ",Commodities!$D$103)</f>
        <v>Delivery of Imported Low Sulfur Residual Fuel Oil to Residential Sector</v>
      </c>
      <c r="E715" s="415" t="s">
        <v>384</v>
      </c>
      <c r="F715" s="415" t="s">
        <v>505</v>
      </c>
      <c r="G715" s="399" t="s">
        <v>2534</v>
      </c>
      <c r="H715" s="376"/>
      <c r="I715" s="376"/>
    </row>
    <row r="716" spans="2:9">
      <c r="B716" s="376" t="str">
        <f>IF(OR(G$231="*",LEFT(Commodities!B$104,1)="*"),"*",Commodities!B$104)</f>
        <v>*</v>
      </c>
      <c r="C716" s="376" t="str">
        <f>CONCATENATE("XI",Commodities!$C$104)&amp;"P1"</f>
        <v>XICOMRFLP1</v>
      </c>
      <c r="D716" s="376" t="str">
        <f>CONCATENATE("Delivery of Imported ",Commodities!$D$104)</f>
        <v>Delivery of Imported Low Sulfur Residual Fuel Oil to Commercial Sector</v>
      </c>
      <c r="E716" s="415" t="s">
        <v>384</v>
      </c>
      <c r="F716" s="415" t="s">
        <v>505</v>
      </c>
      <c r="G716" s="399" t="s">
        <v>2534</v>
      </c>
      <c r="H716" s="376"/>
      <c r="I716" s="376"/>
    </row>
    <row r="717" spans="2:9">
      <c r="B717" s="376" t="str">
        <f>IF(OR(G$231="*",LEFT(Commodities!B$105,1)="*"),"*",Commodities!B$105)</f>
        <v>R1,R2,R3,R4,R5,R6</v>
      </c>
      <c r="C717" s="376" t="str">
        <f>CONCATENATE("XI",Commodities!$C$105)&amp;"P1"</f>
        <v>XIINDRFLP1</v>
      </c>
      <c r="D717" s="376" t="str">
        <f>CONCATENATE("Delivery of Imported ",Commodities!$D$105)</f>
        <v>Delivery of Imported Low Sulfur Residual Fuel Oil to Industrial Sector</v>
      </c>
      <c r="E717" s="415" t="s">
        <v>384</v>
      </c>
      <c r="F717" s="415" t="s">
        <v>505</v>
      </c>
      <c r="G717" s="399" t="s">
        <v>2534</v>
      </c>
      <c r="H717" s="376"/>
      <c r="I717" s="376"/>
    </row>
    <row r="718" spans="2:9">
      <c r="B718" s="376" t="str">
        <f>IF(OR(G$231="*",LEFT(Commodities!B$106,1)="*"),"*",Commodities!B$106)</f>
        <v>*</v>
      </c>
      <c r="C718" s="376" t="str">
        <f>CONCATENATE("XI",Commodities!$C$106)&amp;"P1"</f>
        <v>XIELCRFLP1</v>
      </c>
      <c r="D718" s="376" t="str">
        <f>CONCATENATE("Delivery of Imported ",Commodities!$D$106)</f>
        <v>Delivery of Imported Low Sulfur Residual Fuel Oil to Electricity Sector</v>
      </c>
      <c r="E718" s="415" t="s">
        <v>384</v>
      </c>
      <c r="F718" s="415" t="s">
        <v>505</v>
      </c>
      <c r="G718" s="399" t="s">
        <v>2534</v>
      </c>
      <c r="H718" s="376"/>
      <c r="I718" s="376"/>
    </row>
    <row r="719" spans="2:9">
      <c r="B719" s="376" t="str">
        <f>IF(OR(G$231="*",LEFT(Commodities!B$107,1)="*"),"*",Commodities!B$107)</f>
        <v>*</v>
      </c>
      <c r="C719" s="376" t="str">
        <f>CONCATENATE("XI",Commodities!$C$107)&amp;"P1"</f>
        <v>XITRNRFHP1</v>
      </c>
      <c r="D719" s="376" t="str">
        <f>CONCATENATE("Delivery of Imported ",Commodities!$D$107)</f>
        <v>Delivery of Imported High Sulfur Residual Fuel Oil to Transportation Sector</v>
      </c>
      <c r="E719" s="415" t="s">
        <v>384</v>
      </c>
      <c r="F719" s="415" t="s">
        <v>505</v>
      </c>
      <c r="G719" s="399" t="s">
        <v>2534</v>
      </c>
      <c r="H719" s="376"/>
      <c r="I719" s="376"/>
    </row>
    <row r="720" spans="2:9">
      <c r="B720" s="376" t="str">
        <f>IF(OR(G$231="*",LEFT(Commodities!B$108,1)="*"),"*",Commodities!B$108)</f>
        <v>*</v>
      </c>
      <c r="C720" s="376" t="str">
        <f>CONCATENATE("XI",Commodities!$C$108)&amp;"P1"</f>
        <v>XIELCRFHP1</v>
      </c>
      <c r="D720" s="376" t="str">
        <f>CONCATENATE("Delivery of Imported ",Commodities!$D$108)</f>
        <v>Delivery of Imported High Sulfur Residual Fuel Oil to Electricity Sector</v>
      </c>
      <c r="E720" s="415" t="s">
        <v>384</v>
      </c>
      <c r="F720" s="415" t="s">
        <v>505</v>
      </c>
      <c r="G720" s="399" t="s">
        <v>2534</v>
      </c>
      <c r="H720" s="376"/>
      <c r="I720" s="376"/>
    </row>
    <row r="721" spans="2:9">
      <c r="B721" s="376" t="str">
        <f>IF(OR(G$231="*",LEFT(Commodities!B$109,1)="*"),"*",Commodities!B$109)</f>
        <v>*</v>
      </c>
      <c r="C721" s="376" t="s">
        <v>2552</v>
      </c>
      <c r="D721" s="376" t="s">
        <v>576</v>
      </c>
      <c r="E721" s="415" t="s">
        <v>384</v>
      </c>
      <c r="F721" s="415" t="s">
        <v>505</v>
      </c>
      <c r="G721" s="399" t="s">
        <v>2534</v>
      </c>
      <c r="H721" s="376"/>
      <c r="I721" s="376"/>
    </row>
    <row r="722" spans="2:9">
      <c r="B722" s="376" t="str">
        <f>IF(OR(G$231="*",LEFT(Commodities!B$48,1)="*"),"*",Commodities!B$49)</f>
        <v>R0,R1,R2,R3,R4,R5,R6</v>
      </c>
      <c r="C722" s="376" t="str">
        <f>CONCATENATE("XI",Commodities!$C$85)&amp;"P2"</f>
        <v>XITRGSLCP2</v>
      </c>
      <c r="D722" s="376" t="str">
        <f>CONCATENATE("Delivery of Imported ",Commodities!$D$85)</f>
        <v>Delivery of Imported Conventional Gasoline</v>
      </c>
      <c r="E722" s="415" t="s">
        <v>384</v>
      </c>
      <c r="F722" s="415" t="s">
        <v>505</v>
      </c>
      <c r="G722" s="399" t="s">
        <v>2534</v>
      </c>
      <c r="H722" s="376"/>
      <c r="I722" s="376"/>
    </row>
    <row r="723" spans="2:9">
      <c r="B723" s="376" t="str">
        <f>IF(OR(G$231="*",LEFT(Commodities!B$49,1)="*"),"*",Commodities!B$48)</f>
        <v>R0,R1,R2,R3,R4,R5,R6</v>
      </c>
      <c r="C723" s="376" t="str">
        <f>CONCATENATE("XI",Commodities!$C$86)&amp;"P2"</f>
        <v>XITRGSLRP2</v>
      </c>
      <c r="D723" s="376" t="str">
        <f>CONCATENATE("Delivery of Imported ",Commodities!$D$86)</f>
        <v>Delivery of Imported Reformulated Gasoline</v>
      </c>
      <c r="E723" s="415" t="s">
        <v>384</v>
      </c>
      <c r="F723" s="415" t="s">
        <v>505</v>
      </c>
      <c r="G723" s="399" t="s">
        <v>2534</v>
      </c>
      <c r="H723" s="376"/>
      <c r="I723" s="376"/>
    </row>
    <row r="724" spans="2:9">
      <c r="B724" s="376" t="str">
        <f>IF(OR(G$231="*",LEFT(Commodities!B$87,1)="*"),"*",Commodities!B$87)</f>
        <v>R1,R2,R3,R4,R5,R6</v>
      </c>
      <c r="C724" s="376" t="str">
        <f>CONCATENATE("XI",Commodities!$C$87)&amp;"P2"</f>
        <v>XIRESDSLP2</v>
      </c>
      <c r="D724" s="376" t="str">
        <f>CONCATENATE("Delivery of Imported ",Commodities!$D$87)</f>
        <v>Delivery of Imported Distillate-Heating Oil No. 2 to the Residential Sector</v>
      </c>
      <c r="E724" s="415" t="s">
        <v>384</v>
      </c>
      <c r="F724" s="415" t="s">
        <v>505</v>
      </c>
      <c r="G724" s="399" t="s">
        <v>2534</v>
      </c>
      <c r="H724" s="376"/>
      <c r="I724" s="376"/>
    </row>
    <row r="725" spans="2:9">
      <c r="B725" s="376" t="str">
        <f>IF(OR(G$231="*",LEFT(Commodities!B$88,1)="*"),"*",Commodities!B$88)</f>
        <v>R1,R2,R3,R4,R5,R6</v>
      </c>
      <c r="C725" s="376" t="str">
        <f>CONCATENATE("XI",Commodities!$C$88)&amp;"P2"</f>
        <v>XICOMDSLP2</v>
      </c>
      <c r="D725" s="376" t="str">
        <f>CONCATENATE("Delivery of Imported ",Commodities!$D$88)</f>
        <v>Delivery of Imported Distillate-Heating Oil No. 2 to the Commercial Sector</v>
      </c>
      <c r="E725" s="415" t="s">
        <v>384</v>
      </c>
      <c r="F725" s="415" t="s">
        <v>505</v>
      </c>
      <c r="G725" s="399" t="s">
        <v>2534</v>
      </c>
      <c r="H725" s="376"/>
      <c r="I725" s="376"/>
    </row>
    <row r="726" spans="2:9">
      <c r="B726" s="376" t="str">
        <f>IF(OR(G$231="*",LEFT(Commodities!B$89,1)="*"),"*",Commodities!B$89)</f>
        <v>*</v>
      </c>
      <c r="C726" s="376" t="str">
        <f>CONCATENATE("XI",Commodities!$C$89)&amp;"P2"</f>
        <v>XIINDDSLP2</v>
      </c>
      <c r="D726" s="376" t="str">
        <f>CONCATENATE("Delivery of Imported ",Commodities!$D$89)</f>
        <v>Delivery of Imported Distillate-Heating Oil No. 2 to the Indistrial Sector</v>
      </c>
      <c r="E726" s="415" t="s">
        <v>384</v>
      </c>
      <c r="F726" s="415" t="s">
        <v>505</v>
      </c>
      <c r="G726" s="399" t="s">
        <v>2534</v>
      </c>
      <c r="H726" s="376"/>
      <c r="I726" s="376"/>
    </row>
    <row r="727" spans="2:9">
      <c r="B727" s="376" t="s">
        <v>2474</v>
      </c>
      <c r="C727" s="376" t="str">
        <f>CONCATENATE("XI",Commodities!$C$90)&amp;"P2"</f>
        <v>XIELCDSLP2</v>
      </c>
      <c r="D727" s="376" t="str">
        <f>CONCATENATE("Delivery of Imported ",Commodities!$D$90)</f>
        <v>Delivery of Imported Distillate-Heating Oil No. 2 to the Electricity Sector</v>
      </c>
      <c r="E727" s="415" t="s">
        <v>384</v>
      </c>
      <c r="F727" s="415" t="s">
        <v>505</v>
      </c>
      <c r="G727" s="399" t="s">
        <v>2534</v>
      </c>
      <c r="H727" s="376"/>
      <c r="I727" s="376"/>
    </row>
    <row r="728" spans="2:9">
      <c r="B728" s="376" t="str">
        <f>IF(OR(G$231="*",LEFT(Commodities!B$51,1)="*"),"*",Commodities!B$51)</f>
        <v>R0,R1,R2,R3,R4,R5,R6</v>
      </c>
      <c r="C728" s="376" t="str">
        <f>CONCATENATE("XI",Commodities!$C$91)&amp;"P2"</f>
        <v>XITRDSLLP2</v>
      </c>
      <c r="D728" s="376" t="str">
        <f>CONCATENATE("Delivery of Imported ",Commodities!$D$91)</f>
        <v>Delivery of Imported Distillate-Low Sulfur Highway Diesel (500 ppm)</v>
      </c>
      <c r="E728" s="415" t="s">
        <v>384</v>
      </c>
      <c r="F728" s="415" t="s">
        <v>505</v>
      </c>
      <c r="G728" s="399" t="s">
        <v>2534</v>
      </c>
      <c r="H728" s="376"/>
      <c r="I728" s="376"/>
    </row>
    <row r="729" spans="2:9">
      <c r="B729" s="376" t="str">
        <f>IF(OR(G$231="*",LEFT(Commodities!B$52,1)="*"),"*",Commodities!B$52)</f>
        <v>R0,R1,R2,R3,R4,R5,R6</v>
      </c>
      <c r="C729" s="376" t="str">
        <f>CONCATENATE("XI",Commodities!$C$92)&amp;"P2"</f>
        <v>XITRDSLUP2</v>
      </c>
      <c r="D729" s="376" t="str">
        <f>CONCATENATE("Delivery of Imported ",Commodities!$D$92)</f>
        <v>Delivery of Imported Distillate-Ultralow Sulfur Highway Diesel (15 ppm)</v>
      </c>
      <c r="E729" s="415" t="s">
        <v>384</v>
      </c>
      <c r="F729" s="415" t="s">
        <v>505</v>
      </c>
      <c r="G729" s="399" t="s">
        <v>2534</v>
      </c>
      <c r="H729" s="376"/>
      <c r="I729" s="376"/>
    </row>
    <row r="730" spans="2:9">
      <c r="B730" s="376" t="str">
        <f>IF(OR(G$231="*",LEFT(Commodities!B$53,1)="*"),"*",Commodities!B$53)</f>
        <v>R1,R2,R3,R4,R5,R6</v>
      </c>
      <c r="C730" s="376" t="str">
        <f>CONCATENATE("XI",Commodities!$C$93)&amp;"P2"</f>
        <v>XITRNJTFP2</v>
      </c>
      <c r="D730" s="376" t="str">
        <f>CONCATENATE("Delivery of Imported ",Commodities!$D$93)</f>
        <v>Delivery of Imported Jet Fuel</v>
      </c>
      <c r="E730" s="415" t="s">
        <v>384</v>
      </c>
      <c r="F730" s="415" t="s">
        <v>505</v>
      </c>
      <c r="G730" s="399" t="s">
        <v>2534</v>
      </c>
      <c r="H730" s="376"/>
      <c r="I730" s="376"/>
    </row>
    <row r="731" spans="2:9">
      <c r="B731" s="376" t="str">
        <f>IF(OR(G$231="*",LEFT(Commodities!B$94,1)="*"),"*",Commodities!B$94)</f>
        <v>*</v>
      </c>
      <c r="C731" s="376" t="str">
        <f>CONCATENATE("XI",Commodities!$C$94)&amp;"P2"</f>
        <v>XIRESKERP2</v>
      </c>
      <c r="D731" s="376" t="str">
        <f>CONCATENATE("Delivery of Imported ",Commodities!$D$94)</f>
        <v>Delivery of Imported Kerosene and Other Refined Products to the Residential Sector</v>
      </c>
      <c r="E731" s="415" t="s">
        <v>384</v>
      </c>
      <c r="F731" s="415" t="s">
        <v>505</v>
      </c>
      <c r="G731" s="399" t="s">
        <v>2534</v>
      </c>
      <c r="H731" s="376"/>
      <c r="I731" s="376"/>
    </row>
    <row r="732" spans="2:9">
      <c r="B732" s="376" t="str">
        <f>IF(OR(G$231="*",LEFT(Commodities!B$95,1)="*"),"*",Commodities!B$95)</f>
        <v>*</v>
      </c>
      <c r="C732" s="376" t="str">
        <f>CONCATENATE("XI",Commodities!$C$95)&amp;"P2"</f>
        <v>XICOMKERP2</v>
      </c>
      <c r="D732" s="376" t="str">
        <f>CONCATENATE("Delivery of Imported ",Commodities!$D$95)</f>
        <v>Delivery of Imported Kerosene and Other Refined Products to the Commercial Sector</v>
      </c>
      <c r="E732" s="415" t="s">
        <v>384</v>
      </c>
      <c r="F732" s="415" t="s">
        <v>505</v>
      </c>
      <c r="G732" s="399" t="s">
        <v>2534</v>
      </c>
      <c r="H732" s="376"/>
      <c r="I732" s="376"/>
    </row>
    <row r="733" spans="2:9">
      <c r="B733" s="376" t="str">
        <f>IF(OR(G$231="*",LEFT(Commodities!B$96,1)="*"),"*",Commodities!B$96)</f>
        <v>*</v>
      </c>
      <c r="C733" s="376" t="str">
        <f>CONCATENATE("XI",Commodities!$C$96)&amp;"P2"</f>
        <v>XIINDKERP2</v>
      </c>
      <c r="D733" s="376" t="str">
        <f>CONCATENATE("Delivery of Imported ",Commodities!$D$96)</f>
        <v>Delivery of Imported Kerosene and Other Refined Products to the Industrial Sector</v>
      </c>
      <c r="E733" s="415" t="s">
        <v>384</v>
      </c>
      <c r="F733" s="415" t="s">
        <v>505</v>
      </c>
      <c r="G733" s="399" t="s">
        <v>2534</v>
      </c>
      <c r="H733" s="376"/>
      <c r="I733" s="376"/>
    </row>
    <row r="734" spans="2:9">
      <c r="B734" s="376" t="str">
        <f>IF(OR(G$231="*",LEFT(Commodities!B$97,1)="*"),"*",Commodities!B$97)</f>
        <v>*</v>
      </c>
      <c r="C734" s="376" t="str">
        <f>CONCATENATE("XI",Commodities!$C$97)&amp;"P2"</f>
        <v>XIRESLPGP2</v>
      </c>
      <c r="D734" s="376" t="str">
        <f>CONCATENATE("Delivery of Imported ",Commodities!$D$97)</f>
        <v>Delivery of Imported LPG to the Residential Sector</v>
      </c>
      <c r="E734" s="415" t="s">
        <v>384</v>
      </c>
      <c r="F734" s="415" t="s">
        <v>505</v>
      </c>
      <c r="G734" s="399" t="s">
        <v>2534</v>
      </c>
      <c r="H734" s="376"/>
      <c r="I734" s="376"/>
    </row>
    <row r="735" spans="2:9">
      <c r="B735" s="376" t="str">
        <f>IF(OR(G$231="*",LEFT(Commodities!B$98,1)="*"),"*",Commodities!B$98)</f>
        <v>*</v>
      </c>
      <c r="C735" s="376" t="str">
        <f>CONCATENATE("XI",Commodities!$C$98)&amp;"P2"</f>
        <v>XICOMLPGP2</v>
      </c>
      <c r="D735" s="376" t="str">
        <f>CONCATENATE("Delivery of Imported ",Commodities!$D$98)</f>
        <v>Delivery of Imported LPG to the Commercial Sector</v>
      </c>
      <c r="E735" s="415" t="s">
        <v>384</v>
      </c>
      <c r="F735" s="415" t="s">
        <v>505</v>
      </c>
      <c r="G735" s="399" t="s">
        <v>2534</v>
      </c>
      <c r="H735" s="376"/>
      <c r="I735" s="376"/>
    </row>
    <row r="736" spans="2:9">
      <c r="B736" s="376" t="str">
        <f>IF(OR(G$231="*",LEFT(Commodities!B$99,1)="*"),"*",Commodities!B$99)</f>
        <v>*</v>
      </c>
      <c r="C736" s="376" t="str">
        <f>CONCATENATE("XI",Commodities!$C$99)&amp;"P2"</f>
        <v>XIINDLPGP2</v>
      </c>
      <c r="D736" s="376" t="str">
        <f>CONCATENATE("Delivery of Imported ",Commodities!$D$99)</f>
        <v>Delivery of Imported LPG to the Industrial Sector</v>
      </c>
      <c r="E736" s="415" t="s">
        <v>384</v>
      </c>
      <c r="F736" s="415" t="s">
        <v>505</v>
      </c>
      <c r="G736" s="399" t="s">
        <v>2534</v>
      </c>
      <c r="H736" s="376"/>
      <c r="I736" s="376"/>
    </row>
    <row r="737" spans="2:9">
      <c r="B737" s="376" t="str">
        <f>IF(OR(G$231="*",LEFT(Commodities!B$100,1)="*"),"*",Commodities!B$100)</f>
        <v>*</v>
      </c>
      <c r="C737" s="376" t="str">
        <f>CONCATENATE("XI",Commodities!$C$100)&amp;"P2"</f>
        <v>XITRNLPGP2</v>
      </c>
      <c r="D737" s="376" t="str">
        <f>CONCATENATE("Delivery of Imported ",Commodities!$D$100)</f>
        <v>Delivery of Imported LPG to the Transportation Sector</v>
      </c>
      <c r="E737" s="415" t="s">
        <v>384</v>
      </c>
      <c r="F737" s="415" t="s">
        <v>505</v>
      </c>
      <c r="G737" s="399" t="s">
        <v>2534</v>
      </c>
      <c r="H737" s="376"/>
      <c r="I737" s="376"/>
    </row>
    <row r="738" spans="2:9">
      <c r="B738" s="376" t="str">
        <f>IF(OR(G$231="*",LEFT(Commodities!B$101,1)="*"),"*",Commodities!B$101)</f>
        <v>*</v>
      </c>
      <c r="C738" s="376" t="str">
        <f>CONCATENATE("XI",Commodities!$C$101)&amp;"P2"</f>
        <v>XITRNMTHP2</v>
      </c>
      <c r="D738" s="376" t="str">
        <f>CONCATENATE("Delivery of Imported ",Commodities!$D$101)</f>
        <v>Delivery of Imported Methanol</v>
      </c>
      <c r="E738" s="415" t="s">
        <v>384</v>
      </c>
      <c r="F738" s="415" t="s">
        <v>505</v>
      </c>
      <c r="G738" s="399" t="s">
        <v>2534</v>
      </c>
      <c r="H738" s="376"/>
      <c r="I738" s="376"/>
    </row>
    <row r="739" spans="2:9">
      <c r="B739" s="376" t="str">
        <f>IF(OR(G$231="*",LEFT(Commodities!B$102,1)="*"),"*",Commodities!B$102)</f>
        <v>*</v>
      </c>
      <c r="C739" s="376" t="str">
        <f>CONCATENATE("XI",Commodities!$C$102)&amp;"P2"</f>
        <v>XIINDPFSP2</v>
      </c>
      <c r="D739" s="376" t="str">
        <f>CONCATENATE("Delivery of Imported ",Commodities!$D$102)</f>
        <v>Delivery of Imported Petrochemical Feedstocks</v>
      </c>
      <c r="E739" s="415" t="s">
        <v>384</v>
      </c>
      <c r="F739" s="415" t="s">
        <v>505</v>
      </c>
      <c r="G739" s="399" t="s">
        <v>2534</v>
      </c>
      <c r="H739" s="376"/>
      <c r="I739" s="376"/>
    </row>
    <row r="740" spans="2:9">
      <c r="B740" s="376" t="str">
        <f>IF(OR(G$231="*",LEFT(Commodities!B$103,1)="*"),"*",Commodities!B$103)</f>
        <v>*</v>
      </c>
      <c r="C740" s="376" t="str">
        <f>CONCATENATE("XI",Commodities!$C$103)&amp;"P2"</f>
        <v>XIRESRFLP2</v>
      </c>
      <c r="D740" s="376" t="str">
        <f>CONCATENATE("Delivery of Imported ",Commodities!$D$103)</f>
        <v>Delivery of Imported Low Sulfur Residual Fuel Oil to Residential Sector</v>
      </c>
      <c r="E740" s="415" t="s">
        <v>384</v>
      </c>
      <c r="F740" s="415" t="s">
        <v>505</v>
      </c>
      <c r="G740" s="399" t="s">
        <v>2534</v>
      </c>
      <c r="H740" s="376"/>
      <c r="I740" s="376"/>
    </row>
    <row r="741" spans="2:9">
      <c r="B741" s="376" t="str">
        <f>IF(OR(G$231="*",LEFT(Commodities!B$104,1)="*"),"*",Commodities!B$104)</f>
        <v>*</v>
      </c>
      <c r="C741" s="376" t="str">
        <f>CONCATENATE("XI",Commodities!$C$104)&amp;"P2"</f>
        <v>XICOMRFLP2</v>
      </c>
      <c r="D741" s="376" t="str">
        <f>CONCATENATE("Delivery of Imported ",Commodities!$D$104)</f>
        <v>Delivery of Imported Low Sulfur Residual Fuel Oil to Commercial Sector</v>
      </c>
      <c r="E741" s="415" t="s">
        <v>384</v>
      </c>
      <c r="F741" s="415" t="s">
        <v>505</v>
      </c>
      <c r="G741" s="399" t="s">
        <v>2534</v>
      </c>
      <c r="H741" s="376"/>
      <c r="I741" s="376"/>
    </row>
    <row r="742" spans="2:9">
      <c r="B742" s="376" t="str">
        <f>IF(OR(G$231="*",LEFT(Commodities!B$105,1)="*"),"*",Commodities!B$105)</f>
        <v>R1,R2,R3,R4,R5,R6</v>
      </c>
      <c r="C742" s="376" t="str">
        <f>CONCATENATE("XI",Commodities!$C$105)&amp;"P2"</f>
        <v>XIINDRFLP2</v>
      </c>
      <c r="D742" s="376" t="str">
        <f>CONCATENATE("Delivery of Imported ",Commodities!$D$105)</f>
        <v>Delivery of Imported Low Sulfur Residual Fuel Oil to Industrial Sector</v>
      </c>
      <c r="E742" s="415" t="s">
        <v>384</v>
      </c>
      <c r="F742" s="415" t="s">
        <v>505</v>
      </c>
      <c r="G742" s="399" t="s">
        <v>2534</v>
      </c>
      <c r="H742" s="376"/>
      <c r="I742" s="376"/>
    </row>
    <row r="743" spans="2:9">
      <c r="B743" s="376" t="str">
        <f>IF(OR(G$231="*",LEFT(Commodities!B$106,1)="*"),"*",Commodities!B$106)</f>
        <v>*</v>
      </c>
      <c r="C743" s="376" t="str">
        <f>CONCATENATE("XI",Commodities!$C$106)&amp;"P2"</f>
        <v>XIELCRFLP2</v>
      </c>
      <c r="D743" s="376" t="str">
        <f>CONCATENATE("Delivery of Imported ",Commodities!$D$106)</f>
        <v>Delivery of Imported Low Sulfur Residual Fuel Oil to Electricity Sector</v>
      </c>
      <c r="E743" s="415" t="s">
        <v>384</v>
      </c>
      <c r="F743" s="415" t="s">
        <v>505</v>
      </c>
      <c r="G743" s="399" t="s">
        <v>2534</v>
      </c>
      <c r="H743" s="376"/>
      <c r="I743" s="376"/>
    </row>
    <row r="744" spans="2:9">
      <c r="B744" s="376" t="str">
        <f>IF(OR(G$231="*",LEFT(Commodities!B$107,1)="*"),"*",Commodities!B$107)</f>
        <v>*</v>
      </c>
      <c r="C744" s="376" t="str">
        <f>CONCATENATE("XI",Commodities!$C$107)&amp;"P2"</f>
        <v>XITRNRFHP2</v>
      </c>
      <c r="D744" s="376" t="str">
        <f>CONCATENATE("Delivery of Imported ",Commodities!$D$107)</f>
        <v>Delivery of Imported High Sulfur Residual Fuel Oil to Transportation Sector</v>
      </c>
      <c r="E744" s="415" t="s">
        <v>384</v>
      </c>
      <c r="F744" s="415" t="s">
        <v>505</v>
      </c>
      <c r="G744" s="399" t="s">
        <v>2534</v>
      </c>
      <c r="H744" s="376"/>
      <c r="I744" s="376"/>
    </row>
    <row r="745" spans="2:9">
      <c r="B745" s="376" t="str">
        <f>IF(OR(G$231="*",LEFT(Commodities!B$108,1)="*"),"*",Commodities!B$108)</f>
        <v>*</v>
      </c>
      <c r="C745" s="376" t="str">
        <f>CONCATENATE("XI",Commodities!$C$108)&amp;"P2"</f>
        <v>XIELCRFHP2</v>
      </c>
      <c r="D745" s="376" t="str">
        <f>CONCATENATE("Delivery of Imported ",Commodities!$D$108)</f>
        <v>Delivery of Imported High Sulfur Residual Fuel Oil to Electricity Sector</v>
      </c>
      <c r="E745" s="415" t="s">
        <v>384</v>
      </c>
      <c r="F745" s="415" t="s">
        <v>505</v>
      </c>
      <c r="G745" s="399" t="s">
        <v>2534</v>
      </c>
      <c r="H745" s="376"/>
      <c r="I745" s="376"/>
    </row>
    <row r="746" spans="2:9">
      <c r="B746" s="376" t="str">
        <f>IF(OR(G$231="*",LEFT(Commodities!B$109,1)="*"),"*",Commodities!B$109)</f>
        <v>*</v>
      </c>
      <c r="C746" s="376" t="s">
        <v>2553</v>
      </c>
      <c r="D746" s="376" t="s">
        <v>576</v>
      </c>
      <c r="E746" s="415" t="s">
        <v>384</v>
      </c>
      <c r="F746" s="415" t="s">
        <v>505</v>
      </c>
      <c r="G746" s="399" t="s">
        <v>2534</v>
      </c>
      <c r="H746" s="376"/>
      <c r="I746" s="376"/>
    </row>
    <row r="747" spans="2:9">
      <c r="B747" s="376" t="str">
        <f>IF(OR(G$231="*",LEFT(Commodities!B$48,1)="*"),"*",Commodities!B$49)</f>
        <v>R0,R1,R2,R3,R4,R5,R6</v>
      </c>
      <c r="C747" s="376" t="str">
        <f>CONCATENATE("XI",Commodities!$C$85)&amp;"P3"</f>
        <v>XITRGSLCP3</v>
      </c>
      <c r="D747" s="376" t="str">
        <f>CONCATENATE("Delivery of Imported ",Commodities!$D$85)</f>
        <v>Delivery of Imported Conventional Gasoline</v>
      </c>
      <c r="E747" s="415" t="s">
        <v>384</v>
      </c>
      <c r="F747" s="415" t="s">
        <v>505</v>
      </c>
      <c r="G747" s="399" t="s">
        <v>2534</v>
      </c>
      <c r="H747" s="376"/>
      <c r="I747" s="376"/>
    </row>
    <row r="748" spans="2:9">
      <c r="B748" s="376" t="str">
        <f>IF(OR(G$231="*",LEFT(Commodities!B$49,1)="*"),"*",Commodities!B$48)</f>
        <v>R0,R1,R2,R3,R4,R5,R6</v>
      </c>
      <c r="C748" s="376" t="str">
        <f>CONCATENATE("XI",Commodities!$C$86)&amp;"P3"</f>
        <v>XITRGSLRP3</v>
      </c>
      <c r="D748" s="376" t="str">
        <f>CONCATENATE("Delivery of Imported ",Commodities!$D$86)</f>
        <v>Delivery of Imported Reformulated Gasoline</v>
      </c>
      <c r="E748" s="415" t="s">
        <v>384</v>
      </c>
      <c r="F748" s="415" t="s">
        <v>505</v>
      </c>
      <c r="G748" s="399" t="s">
        <v>2534</v>
      </c>
      <c r="H748" s="376"/>
      <c r="I748" s="376"/>
    </row>
    <row r="749" spans="2:9">
      <c r="B749" s="376" t="str">
        <f>IF(OR(G$231="*",LEFT(Commodities!B$87,1)="*"),"*",Commodities!B$87)</f>
        <v>R1,R2,R3,R4,R5,R6</v>
      </c>
      <c r="C749" s="376" t="str">
        <f>CONCATENATE("XI",Commodities!$C$87)&amp;"P3"</f>
        <v>XIRESDSLP3</v>
      </c>
      <c r="D749" s="376" t="str">
        <f>CONCATENATE("Delivery of Imported ",Commodities!$D$87)</f>
        <v>Delivery of Imported Distillate-Heating Oil No. 2 to the Residential Sector</v>
      </c>
      <c r="E749" s="415" t="s">
        <v>384</v>
      </c>
      <c r="F749" s="415" t="s">
        <v>505</v>
      </c>
      <c r="G749" s="399" t="s">
        <v>2534</v>
      </c>
      <c r="H749" s="376"/>
      <c r="I749" s="376"/>
    </row>
    <row r="750" spans="2:9">
      <c r="B750" s="376" t="str">
        <f>IF(OR(G$231="*",LEFT(Commodities!B$88,1)="*"),"*",Commodities!B$88)</f>
        <v>R1,R2,R3,R4,R5,R6</v>
      </c>
      <c r="C750" s="376" t="str">
        <f>CONCATENATE("XI",Commodities!$C$88)&amp;"P3"</f>
        <v>XICOMDSLP3</v>
      </c>
      <c r="D750" s="376" t="str">
        <f>CONCATENATE("Delivery of Imported ",Commodities!$D$88)</f>
        <v>Delivery of Imported Distillate-Heating Oil No. 2 to the Commercial Sector</v>
      </c>
      <c r="E750" s="415" t="s">
        <v>384</v>
      </c>
      <c r="F750" s="415" t="s">
        <v>505</v>
      </c>
      <c r="G750" s="399" t="s">
        <v>2534</v>
      </c>
      <c r="H750" s="376"/>
      <c r="I750" s="376"/>
    </row>
    <row r="751" spans="2:9">
      <c r="B751" s="376" t="str">
        <f>IF(OR(G$231="*",LEFT(Commodities!B$89,1)="*"),"*",Commodities!B$89)</f>
        <v>*</v>
      </c>
      <c r="C751" s="376" t="str">
        <f>CONCATENATE("XI",Commodities!$C$89)&amp;"P3"</f>
        <v>XIINDDSLP3</v>
      </c>
      <c r="D751" s="376" t="str">
        <f>CONCATENATE("Delivery of Imported ",Commodities!$D$89)</f>
        <v>Delivery of Imported Distillate-Heating Oil No. 2 to the Indistrial Sector</v>
      </c>
      <c r="E751" s="415" t="s">
        <v>384</v>
      </c>
      <c r="F751" s="415" t="s">
        <v>505</v>
      </c>
      <c r="G751" s="399" t="s">
        <v>2534</v>
      </c>
      <c r="H751" s="376"/>
      <c r="I751" s="376"/>
    </row>
    <row r="752" spans="2:9">
      <c r="B752" s="376" t="s">
        <v>2474</v>
      </c>
      <c r="C752" s="376" t="str">
        <f>CONCATENATE("XI",Commodities!$C$90)&amp;"P3"</f>
        <v>XIELCDSLP3</v>
      </c>
      <c r="D752" s="376" t="str">
        <f>CONCATENATE("Delivery of Imported ",Commodities!$D$90)</f>
        <v>Delivery of Imported Distillate-Heating Oil No. 2 to the Electricity Sector</v>
      </c>
      <c r="E752" s="415" t="s">
        <v>384</v>
      </c>
      <c r="F752" s="415" t="s">
        <v>505</v>
      </c>
      <c r="G752" s="399" t="s">
        <v>2534</v>
      </c>
      <c r="H752" s="376"/>
      <c r="I752" s="376"/>
    </row>
    <row r="753" spans="2:9">
      <c r="B753" s="376" t="str">
        <f>IF(OR(G$231="*",LEFT(Commodities!B$51,1)="*"),"*",Commodities!B$51)</f>
        <v>R0,R1,R2,R3,R4,R5,R6</v>
      </c>
      <c r="C753" s="376" t="str">
        <f>CONCATENATE("XI",Commodities!$C$91)&amp;"P3"</f>
        <v>XITRDSLLP3</v>
      </c>
      <c r="D753" s="376" t="str">
        <f>CONCATENATE("Delivery of Imported ",Commodities!$D$91)</f>
        <v>Delivery of Imported Distillate-Low Sulfur Highway Diesel (500 ppm)</v>
      </c>
      <c r="E753" s="415" t="s">
        <v>384</v>
      </c>
      <c r="F753" s="415" t="s">
        <v>505</v>
      </c>
      <c r="G753" s="399" t="s">
        <v>2534</v>
      </c>
      <c r="H753" s="376"/>
      <c r="I753" s="376"/>
    </row>
    <row r="754" spans="2:9">
      <c r="B754" s="376" t="str">
        <f>IF(OR(G$231="*",LEFT(Commodities!B$52,1)="*"),"*",Commodities!B$52)</f>
        <v>R0,R1,R2,R3,R4,R5,R6</v>
      </c>
      <c r="C754" s="376" t="str">
        <f>CONCATENATE("XI",Commodities!$C$92)&amp;"P3"</f>
        <v>XITRDSLUP3</v>
      </c>
      <c r="D754" s="376" t="str">
        <f>CONCATENATE("Delivery of Imported ",Commodities!$D$92)</f>
        <v>Delivery of Imported Distillate-Ultralow Sulfur Highway Diesel (15 ppm)</v>
      </c>
      <c r="E754" s="415" t="s">
        <v>384</v>
      </c>
      <c r="F754" s="415" t="s">
        <v>505</v>
      </c>
      <c r="G754" s="399" t="s">
        <v>2534</v>
      </c>
      <c r="H754" s="376"/>
      <c r="I754" s="376"/>
    </row>
    <row r="755" spans="2:9">
      <c r="B755" s="376" t="str">
        <f>IF(OR(G$231="*",LEFT(Commodities!B$53,1)="*"),"*",Commodities!B$53)</f>
        <v>R1,R2,R3,R4,R5,R6</v>
      </c>
      <c r="C755" s="376" t="str">
        <f>CONCATENATE("XI",Commodities!$C$93)&amp;"P3"</f>
        <v>XITRNJTFP3</v>
      </c>
      <c r="D755" s="376" t="str">
        <f>CONCATENATE("Delivery of Imported ",Commodities!$D$93)</f>
        <v>Delivery of Imported Jet Fuel</v>
      </c>
      <c r="E755" s="415" t="s">
        <v>384</v>
      </c>
      <c r="F755" s="415" t="s">
        <v>505</v>
      </c>
      <c r="G755" s="399" t="s">
        <v>2534</v>
      </c>
      <c r="H755" s="376"/>
      <c r="I755" s="376"/>
    </row>
    <row r="756" spans="2:9">
      <c r="B756" s="376" t="str">
        <f>IF(OR(G$231="*",LEFT(Commodities!B$94,1)="*"),"*",Commodities!B$94)</f>
        <v>*</v>
      </c>
      <c r="C756" s="376" t="str">
        <f>CONCATENATE("XI",Commodities!$C$94)&amp;"P3"</f>
        <v>XIRESKERP3</v>
      </c>
      <c r="D756" s="376" t="str">
        <f>CONCATENATE("Delivery of Imported ",Commodities!$D$94)</f>
        <v>Delivery of Imported Kerosene and Other Refined Products to the Residential Sector</v>
      </c>
      <c r="E756" s="415" t="s">
        <v>384</v>
      </c>
      <c r="F756" s="415" t="s">
        <v>505</v>
      </c>
      <c r="G756" s="399" t="s">
        <v>2534</v>
      </c>
      <c r="H756" s="376"/>
      <c r="I756" s="376"/>
    </row>
    <row r="757" spans="2:9">
      <c r="B757" s="376" t="str">
        <f>IF(OR(G$231="*",LEFT(Commodities!B$95,1)="*"),"*",Commodities!B$95)</f>
        <v>*</v>
      </c>
      <c r="C757" s="376" t="str">
        <f>CONCATENATE("XI",Commodities!$C$95)&amp;"P3"</f>
        <v>XICOMKERP3</v>
      </c>
      <c r="D757" s="376" t="str">
        <f>CONCATENATE("Delivery of Imported ",Commodities!$D$95)</f>
        <v>Delivery of Imported Kerosene and Other Refined Products to the Commercial Sector</v>
      </c>
      <c r="E757" s="415" t="s">
        <v>384</v>
      </c>
      <c r="F757" s="415" t="s">
        <v>505</v>
      </c>
      <c r="G757" s="399" t="s">
        <v>2534</v>
      </c>
      <c r="H757" s="376"/>
      <c r="I757" s="376"/>
    </row>
    <row r="758" spans="2:9">
      <c r="B758" s="376" t="str">
        <f>IF(OR(G$231="*",LEFT(Commodities!B$96,1)="*"),"*",Commodities!B$96)</f>
        <v>*</v>
      </c>
      <c r="C758" s="376" t="str">
        <f>CONCATENATE("XI",Commodities!$C$96)&amp;"P3"</f>
        <v>XIINDKERP3</v>
      </c>
      <c r="D758" s="376" t="str">
        <f>CONCATENATE("Delivery of Imported ",Commodities!$D$96)</f>
        <v>Delivery of Imported Kerosene and Other Refined Products to the Industrial Sector</v>
      </c>
      <c r="E758" s="415" t="s">
        <v>384</v>
      </c>
      <c r="F758" s="415" t="s">
        <v>505</v>
      </c>
      <c r="G758" s="399" t="s">
        <v>2534</v>
      </c>
      <c r="H758" s="376"/>
      <c r="I758" s="376"/>
    </row>
    <row r="759" spans="2:9">
      <c r="B759" s="376" t="str">
        <f>IF(OR(G$231="*",LEFT(Commodities!B$97,1)="*"),"*",Commodities!B$97)</f>
        <v>*</v>
      </c>
      <c r="C759" s="376" t="str">
        <f>CONCATENATE("XI",Commodities!$C$97)&amp;"P3"</f>
        <v>XIRESLPGP3</v>
      </c>
      <c r="D759" s="376" t="str">
        <f>CONCATENATE("Delivery of Imported ",Commodities!$D$97)</f>
        <v>Delivery of Imported LPG to the Residential Sector</v>
      </c>
      <c r="E759" s="415" t="s">
        <v>384</v>
      </c>
      <c r="F759" s="415" t="s">
        <v>505</v>
      </c>
      <c r="G759" s="399" t="s">
        <v>2534</v>
      </c>
      <c r="H759" s="376"/>
      <c r="I759" s="376"/>
    </row>
    <row r="760" spans="2:9">
      <c r="B760" s="376" t="str">
        <f>IF(OR(G$231="*",LEFT(Commodities!B$98,1)="*"),"*",Commodities!B$98)</f>
        <v>*</v>
      </c>
      <c r="C760" s="376" t="str">
        <f>CONCATENATE("XI",Commodities!$C$98)&amp;"P3"</f>
        <v>XICOMLPGP3</v>
      </c>
      <c r="D760" s="376" t="str">
        <f>CONCATENATE("Delivery of Imported ",Commodities!$D$98)</f>
        <v>Delivery of Imported LPG to the Commercial Sector</v>
      </c>
      <c r="E760" s="415" t="s">
        <v>384</v>
      </c>
      <c r="F760" s="415" t="s">
        <v>505</v>
      </c>
      <c r="G760" s="399" t="s">
        <v>2534</v>
      </c>
      <c r="H760" s="376"/>
      <c r="I760" s="376"/>
    </row>
    <row r="761" spans="2:9">
      <c r="B761" s="376" t="str">
        <f>IF(OR(G$231="*",LEFT(Commodities!B$99,1)="*"),"*",Commodities!B$99)</f>
        <v>*</v>
      </c>
      <c r="C761" s="376" t="str">
        <f>CONCATENATE("XI",Commodities!$C$99)&amp;"P3"</f>
        <v>XIINDLPGP3</v>
      </c>
      <c r="D761" s="376" t="str">
        <f>CONCATENATE("Delivery of Imported ",Commodities!$D$99)</f>
        <v>Delivery of Imported LPG to the Industrial Sector</v>
      </c>
      <c r="E761" s="415" t="s">
        <v>384</v>
      </c>
      <c r="F761" s="415" t="s">
        <v>505</v>
      </c>
      <c r="G761" s="399" t="s">
        <v>2534</v>
      </c>
      <c r="H761" s="376"/>
      <c r="I761" s="376"/>
    </row>
    <row r="762" spans="2:9">
      <c r="B762" s="376" t="str">
        <f>IF(OR(G$231="*",LEFT(Commodities!B$100,1)="*"),"*",Commodities!B$100)</f>
        <v>*</v>
      </c>
      <c r="C762" s="376" t="str">
        <f>CONCATENATE("XI",Commodities!$C$100)&amp;"P3"</f>
        <v>XITRNLPGP3</v>
      </c>
      <c r="D762" s="376" t="str">
        <f>CONCATENATE("Delivery of Imported ",Commodities!$D$100)</f>
        <v>Delivery of Imported LPG to the Transportation Sector</v>
      </c>
      <c r="E762" s="415" t="s">
        <v>384</v>
      </c>
      <c r="F762" s="415" t="s">
        <v>505</v>
      </c>
      <c r="G762" s="399" t="s">
        <v>2534</v>
      </c>
      <c r="H762" s="376"/>
      <c r="I762" s="376"/>
    </row>
    <row r="763" spans="2:9">
      <c r="B763" s="376" t="str">
        <f>IF(OR(G$231="*",LEFT(Commodities!B$101,1)="*"),"*",Commodities!B$101)</f>
        <v>*</v>
      </c>
      <c r="C763" s="376" t="str">
        <f>CONCATENATE("XI",Commodities!$C$101)&amp;"P3"</f>
        <v>XITRNMTHP3</v>
      </c>
      <c r="D763" s="376" t="str">
        <f>CONCATENATE("Delivery of Imported ",Commodities!$D$101)</f>
        <v>Delivery of Imported Methanol</v>
      </c>
      <c r="E763" s="415" t="s">
        <v>384</v>
      </c>
      <c r="F763" s="415" t="s">
        <v>505</v>
      </c>
      <c r="G763" s="399" t="s">
        <v>2534</v>
      </c>
      <c r="H763" s="376"/>
      <c r="I763" s="376"/>
    </row>
    <row r="764" spans="2:9">
      <c r="B764" s="376" t="str">
        <f>IF(OR(G$231="*",LEFT(Commodities!B$102,1)="*"),"*",Commodities!B$102)</f>
        <v>*</v>
      </c>
      <c r="C764" s="376" t="str">
        <f>CONCATENATE("XI",Commodities!$C$102)&amp;"P3"</f>
        <v>XIINDPFSP3</v>
      </c>
      <c r="D764" s="376" t="str">
        <f>CONCATENATE("Delivery of Imported ",Commodities!$D$102)</f>
        <v>Delivery of Imported Petrochemical Feedstocks</v>
      </c>
      <c r="E764" s="415" t="s">
        <v>384</v>
      </c>
      <c r="F764" s="415" t="s">
        <v>505</v>
      </c>
      <c r="G764" s="399" t="s">
        <v>2534</v>
      </c>
      <c r="H764" s="376"/>
      <c r="I764" s="376"/>
    </row>
    <row r="765" spans="2:9">
      <c r="B765" s="376" t="str">
        <f>IF(OR(G$231="*",LEFT(Commodities!B$103,1)="*"),"*",Commodities!B$103)</f>
        <v>*</v>
      </c>
      <c r="C765" s="376" t="str">
        <f>CONCATENATE("XI",Commodities!$C$103)&amp;"P3"</f>
        <v>XIRESRFLP3</v>
      </c>
      <c r="D765" s="376" t="str">
        <f>CONCATENATE("Delivery of Imported ",Commodities!$D$103)</f>
        <v>Delivery of Imported Low Sulfur Residual Fuel Oil to Residential Sector</v>
      </c>
      <c r="E765" s="415" t="s">
        <v>384</v>
      </c>
      <c r="F765" s="415" t="s">
        <v>505</v>
      </c>
      <c r="G765" s="399" t="s">
        <v>2534</v>
      </c>
      <c r="H765" s="376"/>
      <c r="I765" s="376"/>
    </row>
    <row r="766" spans="2:9">
      <c r="B766" s="376" t="str">
        <f>IF(OR(G$231="*",LEFT(Commodities!B$104,1)="*"),"*",Commodities!B$104)</f>
        <v>*</v>
      </c>
      <c r="C766" s="376" t="str">
        <f>CONCATENATE("XI",Commodities!$C$104)&amp;"P3"</f>
        <v>XICOMRFLP3</v>
      </c>
      <c r="D766" s="376" t="str">
        <f>CONCATENATE("Delivery of Imported ",Commodities!$D$104)</f>
        <v>Delivery of Imported Low Sulfur Residual Fuel Oil to Commercial Sector</v>
      </c>
      <c r="E766" s="415" t="s">
        <v>384</v>
      </c>
      <c r="F766" s="415" t="s">
        <v>505</v>
      </c>
      <c r="G766" s="399" t="s">
        <v>2534</v>
      </c>
      <c r="H766" s="376"/>
      <c r="I766" s="376"/>
    </row>
    <row r="767" spans="2:9">
      <c r="B767" s="376" t="str">
        <f>IF(OR(G$231="*",LEFT(Commodities!B$105,1)="*"),"*",Commodities!B$105)</f>
        <v>R1,R2,R3,R4,R5,R6</v>
      </c>
      <c r="C767" s="376" t="str">
        <f>CONCATENATE("XI",Commodities!$C$105)&amp;"P3"</f>
        <v>XIINDRFLP3</v>
      </c>
      <c r="D767" s="376" t="str">
        <f>CONCATENATE("Delivery of Imported ",Commodities!$D$105)</f>
        <v>Delivery of Imported Low Sulfur Residual Fuel Oil to Industrial Sector</v>
      </c>
      <c r="E767" s="415" t="s">
        <v>384</v>
      </c>
      <c r="F767" s="415" t="s">
        <v>505</v>
      </c>
      <c r="G767" s="399" t="s">
        <v>2534</v>
      </c>
      <c r="H767" s="376"/>
      <c r="I767" s="376"/>
    </row>
    <row r="768" spans="2:9">
      <c r="B768" s="376" t="str">
        <f>IF(OR(G$231="*",LEFT(Commodities!B$106,1)="*"),"*",Commodities!B$106)</f>
        <v>*</v>
      </c>
      <c r="C768" s="376" t="str">
        <f>CONCATENATE("XI",Commodities!$C$106)&amp;"P3"</f>
        <v>XIELCRFLP3</v>
      </c>
      <c r="D768" s="376" t="str">
        <f>CONCATENATE("Delivery of Imported ",Commodities!$D$106)</f>
        <v>Delivery of Imported Low Sulfur Residual Fuel Oil to Electricity Sector</v>
      </c>
      <c r="E768" s="415" t="s">
        <v>384</v>
      </c>
      <c r="F768" s="415" t="s">
        <v>505</v>
      </c>
      <c r="G768" s="399" t="s">
        <v>2534</v>
      </c>
      <c r="H768" s="376"/>
      <c r="I768" s="376"/>
    </row>
    <row r="769" spans="2:9">
      <c r="B769" s="376" t="str">
        <f>IF(OR(G$231="*",LEFT(Commodities!B$107,1)="*"),"*",Commodities!B$107)</f>
        <v>*</v>
      </c>
      <c r="C769" s="376" t="str">
        <f>CONCATENATE("XI",Commodities!$C$107)&amp;"P3"</f>
        <v>XITRNRFHP3</v>
      </c>
      <c r="D769" s="376" t="str">
        <f>CONCATENATE("Delivery of Imported ",Commodities!$D$107)</f>
        <v>Delivery of Imported High Sulfur Residual Fuel Oil to Transportation Sector</v>
      </c>
      <c r="E769" s="415" t="s">
        <v>384</v>
      </c>
      <c r="F769" s="415" t="s">
        <v>505</v>
      </c>
      <c r="G769" s="399" t="s">
        <v>2534</v>
      </c>
      <c r="H769" s="376"/>
      <c r="I769" s="376"/>
    </row>
    <row r="770" spans="2:9">
      <c r="B770" s="376" t="str">
        <f>IF(OR(G$231="*",LEFT(Commodities!B$108,1)="*"),"*",Commodities!B$108)</f>
        <v>*</v>
      </c>
      <c r="C770" s="376" t="str">
        <f>CONCATENATE("XI",Commodities!$C$108)&amp;"P3"</f>
        <v>XIELCRFHP3</v>
      </c>
      <c r="D770" s="376" t="str">
        <f>CONCATENATE("Delivery of Imported ",Commodities!$D$108)</f>
        <v>Delivery of Imported High Sulfur Residual Fuel Oil to Electricity Sector</v>
      </c>
      <c r="E770" s="415" t="s">
        <v>384</v>
      </c>
      <c r="F770" s="415" t="s">
        <v>505</v>
      </c>
      <c r="G770" s="399" t="s">
        <v>2534</v>
      </c>
      <c r="H770" s="376"/>
      <c r="I770" s="376"/>
    </row>
    <row r="771" spans="2:9">
      <c r="B771" s="376" t="str">
        <f>IF(OR(G$231="*",LEFT(Commodities!B$109,1)="*"),"*",Commodities!B$109)</f>
        <v>*</v>
      </c>
      <c r="C771" s="376" t="s">
        <v>2554</v>
      </c>
      <c r="D771" s="376" t="s">
        <v>576</v>
      </c>
      <c r="E771" s="415" t="s">
        <v>384</v>
      </c>
      <c r="F771" s="415" t="s">
        <v>505</v>
      </c>
      <c r="G771" s="399" t="s">
        <v>2534</v>
      </c>
      <c r="H771" s="376"/>
      <c r="I771" s="376"/>
    </row>
    <row r="773" spans="2:9">
      <c r="B773" s="364" t="s">
        <v>584</v>
      </c>
    </row>
    <row r="774" spans="2:9">
      <c r="B774" s="365" t="str">
        <f>Commodities!B288</f>
        <v>*R1</v>
      </c>
      <c r="C774" s="365" t="str">
        <f>CONCATENATE("PCAP",LEFT(Commodities!C288,4))</f>
        <v>PCAPP1R1</v>
      </c>
      <c r="D774" s="365" t="str">
        <f>CONCATENATE("Capacity Limit of Pipeline for ",RIGHT(Commodities!D288,8))</f>
        <v>Capacity Limit of Pipeline for 1 to *R1</v>
      </c>
      <c r="E774" s="381" t="s">
        <v>384</v>
      </c>
      <c r="F774" s="381" t="s">
        <v>505</v>
      </c>
      <c r="G774" s="364" t="s">
        <v>585</v>
      </c>
    </row>
    <row r="775" spans="2:9">
      <c r="B775" s="365" t="s">
        <v>588</v>
      </c>
      <c r="C775" s="365" t="str">
        <f>CONCATENATE("PCAP",LEFT(Commodities!C289,4))</f>
        <v>PCAPP1R2</v>
      </c>
      <c r="D775" s="365" t="str">
        <f>CONCATENATE("Capacity Limit of Pipeline for ",RIGHT(Commodities!D289,8))</f>
        <v>Capacity Limit of Pipeline for 1 to *R2</v>
      </c>
      <c r="E775" s="381" t="s">
        <v>384</v>
      </c>
      <c r="F775" s="381" t="s">
        <v>505</v>
      </c>
      <c r="G775" s="364" t="s">
        <v>585</v>
      </c>
    </row>
    <row r="776" spans="2:9">
      <c r="B776" s="365" t="s">
        <v>588</v>
      </c>
      <c r="C776" s="365" t="str">
        <f>CONCATENATE("PCAP",LEFT(Commodities!C290,4))</f>
        <v>PCAPP1R3</v>
      </c>
      <c r="D776" s="365" t="str">
        <f>CONCATENATE("Capacity Limit of Pipeline for ",RIGHT(Commodities!D290,8))</f>
        <v>Capacity Limit of Pipeline for 1 to *R3</v>
      </c>
      <c r="E776" s="381" t="s">
        <v>384</v>
      </c>
      <c r="F776" s="381" t="s">
        <v>505</v>
      </c>
      <c r="G776" s="364" t="s">
        <v>585</v>
      </c>
    </row>
    <row r="777" spans="2:9">
      <c r="B777" s="365" t="s">
        <v>588</v>
      </c>
      <c r="C777" s="365" t="str">
        <f>CONCATENATE("PCAP",LEFT(Commodities!C291,4))</f>
        <v>PCAPP1R4</v>
      </c>
      <c r="D777" s="365" t="str">
        <f>CONCATENATE("Capacity Limit of Pipeline for ",RIGHT(Commodities!D291,8))</f>
        <v>Capacity Limit of Pipeline for 1 to *R4</v>
      </c>
      <c r="E777" s="381" t="s">
        <v>384</v>
      </c>
      <c r="F777" s="381" t="s">
        <v>505</v>
      </c>
      <c r="G777" s="364" t="s">
        <v>585</v>
      </c>
    </row>
    <row r="778" spans="2:9">
      <c r="B778" s="365" t="s">
        <v>588</v>
      </c>
      <c r="C778" s="365" t="str">
        <f>CONCATENATE("PCAP",LEFT(Commodities!C292,4))</f>
        <v>PCAPP1R5</v>
      </c>
      <c r="D778" s="365" t="str">
        <f>CONCATENATE("Capacity Limit of Pipeline for ",RIGHT(Commodities!D292,8))</f>
        <v>Capacity Limit of Pipeline for 1 to *R5</v>
      </c>
      <c r="E778" s="381" t="s">
        <v>384</v>
      </c>
      <c r="F778" s="381" t="s">
        <v>505</v>
      </c>
      <c r="G778" s="364" t="s">
        <v>585</v>
      </c>
    </row>
    <row r="779" spans="2:9">
      <c r="B779" s="365" t="s">
        <v>588</v>
      </c>
      <c r="C779" s="365" t="str">
        <f>CONCATENATE("PCAP",LEFT(Commodities!C293,4))</f>
        <v>PCAPP1R6</v>
      </c>
      <c r="D779" s="365" t="str">
        <f>CONCATENATE("Capacity Limit of Pipeline for ",RIGHT(Commodities!D293,8))</f>
        <v>Capacity Limit of Pipeline for 1 to *R6</v>
      </c>
      <c r="E779" s="381" t="s">
        <v>384</v>
      </c>
      <c r="F779" s="381" t="s">
        <v>505</v>
      </c>
      <c r="G779" s="364" t="s">
        <v>585</v>
      </c>
    </row>
    <row r="780" spans="2:9">
      <c r="B780" s="365" t="str">
        <f>Commodities!B294</f>
        <v>*R1</v>
      </c>
      <c r="C780" s="365" t="str">
        <f>CONCATENATE("PCAP",LEFT(Commodities!C294,4))</f>
        <v>PCAPP2R1</v>
      </c>
      <c r="D780" s="365" t="str">
        <f>CONCATENATE("Capacity Limit of Pipeline for ",RIGHT(Commodities!D294,8))</f>
        <v>Capacity Limit of Pipeline for 2 to *R1</v>
      </c>
      <c r="E780" s="381" t="s">
        <v>384</v>
      </c>
      <c r="F780" s="381" t="s">
        <v>505</v>
      </c>
      <c r="G780" s="364" t="s">
        <v>585</v>
      </c>
    </row>
    <row r="781" spans="2:9">
      <c r="B781" s="365" t="str">
        <f>Commodities!B295</f>
        <v>*R4</v>
      </c>
      <c r="C781" s="365" t="str">
        <f>CONCATENATE("PCAP",LEFT(Commodities!C295,4))</f>
        <v>PCAPP2R4</v>
      </c>
      <c r="D781" s="365" t="str">
        <f>CONCATENATE("Capacity Limit of Pipeline for ",RIGHT(Commodities!D295,8))</f>
        <v>Capacity Limit of Pipeline for 2 to *R4</v>
      </c>
      <c r="E781" s="381" t="s">
        <v>384</v>
      </c>
      <c r="F781" s="381" t="s">
        <v>505</v>
      </c>
      <c r="G781" s="364" t="s">
        <v>585</v>
      </c>
    </row>
    <row r="782" spans="2:9">
      <c r="B782" s="365" t="str">
        <f>Commodities!B296</f>
        <v>*R6</v>
      </c>
      <c r="C782" s="365" t="str">
        <f>CONCATENATE("PCAP",LEFT(Commodities!C296,4))</f>
        <v>PCAPP3R6</v>
      </c>
      <c r="D782" s="365" t="str">
        <f>CONCATENATE("Capacity Limit of Pipeline for ",RIGHT(Commodities!D296,8))</f>
        <v>Capacity Limit of Pipeline for 3 to *R6</v>
      </c>
      <c r="E782" s="381" t="s">
        <v>384</v>
      </c>
      <c r="F782" s="381" t="s">
        <v>505</v>
      </c>
      <c r="G782" s="364" t="s">
        <v>585</v>
      </c>
    </row>
    <row r="783" spans="2:9">
      <c r="B783" s="365" t="str">
        <f>Commodities!B297</f>
        <v>*R1</v>
      </c>
      <c r="C783" s="365" t="str">
        <f>CONCATENATE("PCAP",LEFT(Commodities!C297,4))</f>
        <v>PCAPP3R1</v>
      </c>
      <c r="D783" s="365" t="str">
        <f>CONCATENATE("Capacity Limit of Pipeline for ",RIGHT(Commodities!D297,8))</f>
        <v>Capacity Limit of Pipeline for 3 to *R1</v>
      </c>
      <c r="E783" s="381" t="s">
        <v>384</v>
      </c>
      <c r="F783" s="381" t="s">
        <v>505</v>
      </c>
      <c r="G783" s="364" t="s">
        <v>585</v>
      </c>
    </row>
    <row r="784" spans="2:9">
      <c r="B784" s="365" t="str">
        <f>Commodities!B298</f>
        <v>*R8</v>
      </c>
      <c r="C784" s="365" t="str">
        <f>CONCATENATE("PCAP",LEFT(Commodities!C298,4))</f>
        <v>PCAPP4R8</v>
      </c>
      <c r="D784" s="365" t="str">
        <f>CONCATENATE("Capacity Limit of Pipeline for ",RIGHT(Commodities!D298,8))</f>
        <v>Capacity Limit of Pipeline for 4 to *R8</v>
      </c>
      <c r="E784" s="381" t="s">
        <v>384</v>
      </c>
      <c r="F784" s="381" t="s">
        <v>505</v>
      </c>
      <c r="G784" s="364" t="s">
        <v>585</v>
      </c>
    </row>
    <row r="785" spans="2:7">
      <c r="B785" s="365" t="str">
        <f>Commodities!B299</f>
        <v>*R9</v>
      </c>
      <c r="C785" s="365" t="str">
        <f>CONCATENATE("PCAP",LEFT(Commodities!C299,4))</f>
        <v>PCAPP5R9</v>
      </c>
      <c r="D785" s="365" t="str">
        <f>CONCATENATE("Capacity Limit of Pipeline for ",RIGHT(Commodities!D299,8))</f>
        <v>Capacity Limit of Pipeline for 5 to *R9</v>
      </c>
      <c r="E785" s="381" t="s">
        <v>384</v>
      </c>
      <c r="F785" s="381" t="s">
        <v>505</v>
      </c>
      <c r="G785" s="364" t="s">
        <v>585</v>
      </c>
    </row>
    <row r="786" spans="2:7">
      <c r="B786" s="365" t="str">
        <f>Commodities!B288</f>
        <v>*R1</v>
      </c>
      <c r="C786" s="365" t="str">
        <f>CONCATENATE("PINV",LEFT(Commodities!C288,4))</f>
        <v>PINVP1R1</v>
      </c>
      <c r="D786" s="365" t="str">
        <f>CONCATENATE("Investment in Pipeline Expansion for ",RIGHT(Commodities!D288,8))</f>
        <v>Investment in Pipeline Expansion for 1 to *R1</v>
      </c>
      <c r="E786" s="381" t="s">
        <v>384</v>
      </c>
      <c r="F786" s="381" t="s">
        <v>505</v>
      </c>
      <c r="G786" s="364" t="s">
        <v>585</v>
      </c>
    </row>
    <row r="787" spans="2:7">
      <c r="B787" s="365" t="str">
        <f>Commodities!B289</f>
        <v>*R2</v>
      </c>
      <c r="C787" s="365" t="str">
        <f>CONCATENATE("PINV",LEFT(Commodities!C289,4))</f>
        <v>PINVP1R2</v>
      </c>
      <c r="D787" s="365" t="str">
        <f>CONCATENATE("Investment in Pipeline Expansion for ",RIGHT(Commodities!D289,8))</f>
        <v>Investment in Pipeline Expansion for 1 to *R2</v>
      </c>
      <c r="E787" s="381" t="s">
        <v>384</v>
      </c>
      <c r="F787" s="381" t="s">
        <v>505</v>
      </c>
      <c r="G787" s="364" t="s">
        <v>585</v>
      </c>
    </row>
    <row r="788" spans="2:7">
      <c r="B788" s="365" t="str">
        <f>Commodities!B292</f>
        <v>*R5</v>
      </c>
      <c r="C788" s="365" t="str">
        <f>CONCATENATE("PINV",LEFT(Commodities!C292,4))</f>
        <v>PINVP1R5</v>
      </c>
      <c r="D788" s="365" t="str">
        <f>CONCATENATE("Investment in Pipeline Expansion for ",RIGHT(Commodities!D292,8))</f>
        <v>Investment in Pipeline Expansion for 1 to *R5</v>
      </c>
      <c r="E788" s="381" t="s">
        <v>384</v>
      </c>
      <c r="F788" s="381" t="s">
        <v>505</v>
      </c>
      <c r="G788" s="364" t="s">
        <v>585</v>
      </c>
    </row>
    <row r="789" spans="2:7">
      <c r="B789" s="365" t="str">
        <f>Commodities!B294</f>
        <v>*R1</v>
      </c>
      <c r="C789" s="365" t="str">
        <f>CONCATENATE("PINV",LEFT(Commodities!C294,4))</f>
        <v>PINVP2R1</v>
      </c>
      <c r="D789" s="365" t="str">
        <f>CONCATENATE("Investment in Pipeline Expansion for ",RIGHT(Commodities!D294,8))</f>
        <v>Investment in Pipeline Expansion for 2 to *R1</v>
      </c>
      <c r="E789" s="381" t="s">
        <v>384</v>
      </c>
      <c r="F789" s="381" t="s">
        <v>505</v>
      </c>
      <c r="G789" s="364" t="s">
        <v>585</v>
      </c>
    </row>
    <row r="790" spans="2:7">
      <c r="B790" s="365" t="str">
        <f>Commodities!B295</f>
        <v>*R4</v>
      </c>
      <c r="C790" s="365" t="str">
        <f>CONCATENATE("PINV",LEFT(Commodities!C295,4))</f>
        <v>PINVP2R4</v>
      </c>
      <c r="D790" s="365" t="str">
        <f>CONCATENATE("Investment in Pipeline Expansion for ",RIGHT(Commodities!D295,8))</f>
        <v>Investment in Pipeline Expansion for 2 to *R4</v>
      </c>
      <c r="E790" s="381" t="s">
        <v>384</v>
      </c>
      <c r="F790" s="381" t="s">
        <v>505</v>
      </c>
      <c r="G790" s="364" t="s">
        <v>585</v>
      </c>
    </row>
    <row r="791" spans="2:7">
      <c r="B791" s="365" t="str">
        <f>Commodities!B296</f>
        <v>*R6</v>
      </c>
      <c r="C791" s="365" t="str">
        <f>CONCATENATE("PINV",LEFT(Commodities!C296,4))</f>
        <v>PINVP3R6</v>
      </c>
      <c r="D791" s="365" t="str">
        <f>CONCATENATE("Investment in Pipeline Expansion for ",RIGHT(Commodities!D296,8))</f>
        <v>Investment in Pipeline Expansion for 3 to *R6</v>
      </c>
      <c r="E791" s="381" t="s">
        <v>384</v>
      </c>
      <c r="F791" s="381" t="s">
        <v>505</v>
      </c>
      <c r="G791" s="364" t="s">
        <v>585</v>
      </c>
    </row>
    <row r="792" spans="2:7">
      <c r="B792" s="365" t="str">
        <f>Commodities!B297</f>
        <v>*R1</v>
      </c>
      <c r="C792" s="365" t="str">
        <f>CONCATENATE("PINV",LEFT(Commodities!C297,4))</f>
        <v>PINVP3R1</v>
      </c>
      <c r="D792" s="365" t="str">
        <f>CONCATENATE("Investment in Pipeline Expansion for ",RIGHT(Commodities!D297,8))</f>
        <v>Investment in Pipeline Expansion for 3 to *R1</v>
      </c>
      <c r="E792" s="381" t="s">
        <v>384</v>
      </c>
      <c r="F792" s="381" t="s">
        <v>505</v>
      </c>
      <c r="G792" s="364" t="s">
        <v>585</v>
      </c>
    </row>
    <row r="793" spans="2:7">
      <c r="B793" s="365" t="str">
        <f>Commodities!B298</f>
        <v>*R8</v>
      </c>
      <c r="C793" s="365" t="str">
        <f>CONCATENATE("PINV",LEFT(Commodities!C298,4))</f>
        <v>PINVP4R8</v>
      </c>
      <c r="D793" s="365" t="str">
        <f>CONCATENATE("Investment in Pipeline Expansion for ",RIGHT(Commodities!D298,8))</f>
        <v>Investment in Pipeline Expansion for 4 to *R8</v>
      </c>
      <c r="E793" s="381" t="s">
        <v>384</v>
      </c>
      <c r="F793" s="381" t="s">
        <v>505</v>
      </c>
      <c r="G793" s="364" t="s">
        <v>585</v>
      </c>
    </row>
    <row r="794" spans="2:7">
      <c r="B794" s="365" t="str">
        <f>Commodities!B299</f>
        <v>*R9</v>
      </c>
      <c r="C794" s="365" t="str">
        <f>CONCATENATE("PINV",LEFT(Commodities!C299,4))</f>
        <v>PINVP5R9</v>
      </c>
      <c r="D794" s="365" t="str">
        <f>CONCATENATE("Investment in Pipeline Expansion for ",RIGHT(Commodities!D299,8))</f>
        <v>Investment in Pipeline Expansion for 5 to *R9</v>
      </c>
      <c r="E794" s="381" t="s">
        <v>384</v>
      </c>
      <c r="F794" s="381" t="s">
        <v>505</v>
      </c>
      <c r="G794" s="364" t="s">
        <v>585</v>
      </c>
    </row>
    <row r="795" spans="2:7">
      <c r="B795" s="364" t="s">
        <v>586</v>
      </c>
    </row>
    <row r="796" spans="2:7">
      <c r="B796" s="365" t="str">
        <f>Commodities!B302</f>
        <v>*R4</v>
      </c>
      <c r="C796" s="365" t="str">
        <f>CONCATENATE("PCAP",LEFT(Commodities!C302,4))</f>
        <v>PCAPR3R4</v>
      </c>
      <c r="D796" s="365" t="str">
        <f>CONCATENATE("Capacity Limit of Pipeline for ",RIGHT(Commodities!D302,8))</f>
        <v>Capacity Limit of Pipeline for 3 to *R4</v>
      </c>
      <c r="E796" s="381" t="s">
        <v>384</v>
      </c>
      <c r="F796" s="381" t="s">
        <v>505</v>
      </c>
      <c r="G796" s="364" t="s">
        <v>585</v>
      </c>
    </row>
    <row r="797" spans="2:7">
      <c r="B797" s="365" t="str">
        <f>Commodities!B303</f>
        <v>*R6</v>
      </c>
      <c r="C797" s="365" t="str">
        <f>CONCATENATE("PCAP",LEFT(Commodities!C303,4))</f>
        <v>PCAPR3R6</v>
      </c>
      <c r="D797" s="365" t="str">
        <f>CONCATENATE("Capacity Limit of Pipeline for ",RIGHT(Commodities!D303,8))</f>
        <v>Capacity Limit of Pipeline for 3 to *R6</v>
      </c>
      <c r="E797" s="381" t="s">
        <v>384</v>
      </c>
      <c r="F797" s="381" t="s">
        <v>505</v>
      </c>
      <c r="G797" s="364" t="s">
        <v>585</v>
      </c>
    </row>
    <row r="798" spans="2:7">
      <c r="B798" s="365" t="str">
        <f>Commodities!B304</f>
        <v>*R6</v>
      </c>
      <c r="C798" s="365" t="str">
        <f>CONCATENATE("PCAP",LEFT(Commodities!C304,4))</f>
        <v>PCAPR2R6</v>
      </c>
      <c r="D798" s="365" t="str">
        <f>CONCATENATE("Capacity Limit of Pipeline for ",RIGHT(Commodities!D304,8))</f>
        <v>Capacity Limit of Pipeline for 2 to *R6</v>
      </c>
      <c r="E798" s="381" t="s">
        <v>384</v>
      </c>
      <c r="F798" s="381" t="s">
        <v>505</v>
      </c>
      <c r="G798" s="364" t="s">
        <v>585</v>
      </c>
    </row>
    <row r="799" spans="2:7">
      <c r="B799" s="365" t="str">
        <f>Commodities!B305</f>
        <v>*R5</v>
      </c>
      <c r="C799" s="365" t="str">
        <f>CONCATENATE("PCAP",LEFT(Commodities!C305,4))</f>
        <v>PCAPR2R5</v>
      </c>
      <c r="D799" s="365" t="str">
        <f>CONCATENATE("Capacity Limit of Pipeline for ",RIGHT(Commodities!D305,8))</f>
        <v>Capacity Limit of Pipeline for 2 to *R5</v>
      </c>
      <c r="E799" s="381" t="s">
        <v>384</v>
      </c>
      <c r="F799" s="381" t="s">
        <v>505</v>
      </c>
      <c r="G799" s="364" t="s">
        <v>585</v>
      </c>
    </row>
    <row r="800" spans="2:7">
      <c r="B800" s="365" t="str">
        <f>Commodities!B306</f>
        <v>*R2</v>
      </c>
      <c r="C800" s="365" t="str">
        <f>CONCATENATE("PCAP",LEFT(Commodities!C306,4))</f>
        <v>PCAPR4R2</v>
      </c>
      <c r="D800" s="365" t="str">
        <f>CONCATENATE("Capacity Limit of Pipeline for ",RIGHT(Commodities!D306,8))</f>
        <v>Capacity Limit of Pipeline for 4 to *R2</v>
      </c>
      <c r="E800" s="381" t="s">
        <v>384</v>
      </c>
      <c r="F800" s="381" t="s">
        <v>505</v>
      </c>
      <c r="G800" s="364" t="s">
        <v>585</v>
      </c>
    </row>
    <row r="801" spans="2:7">
      <c r="B801" s="365" t="str">
        <f>Commodities!B307</f>
        <v>*R6</v>
      </c>
      <c r="C801" s="365" t="str">
        <f>CONCATENATE("PCAP",LEFT(Commodities!C307,4))</f>
        <v>PCAPR4R6</v>
      </c>
      <c r="D801" s="365" t="str">
        <f>CONCATENATE("Capacity Limit of Pipeline for ",RIGHT(Commodities!D307,8))</f>
        <v>Capacity Limit of Pipeline for 4 to *R6</v>
      </c>
      <c r="E801" s="381" t="s">
        <v>384</v>
      </c>
      <c r="F801" s="381" t="s">
        <v>505</v>
      </c>
      <c r="G801" s="364" t="s">
        <v>585</v>
      </c>
    </row>
    <row r="802" spans="2:7">
      <c r="B802" s="365" t="str">
        <f>Commodities!B308</f>
        <v>*R3</v>
      </c>
      <c r="C802" s="365" t="str">
        <f>CONCATENATE("PCAP",LEFT(Commodities!C308,4))</f>
        <v>PCAPR4R3</v>
      </c>
      <c r="D802" s="365" t="str">
        <f>CONCATENATE("Capacity Limit of Pipeline for ",RIGHT(Commodities!D308,8))</f>
        <v>Capacity Limit of Pipeline for 4 to *R3</v>
      </c>
      <c r="E802" s="381" t="s">
        <v>384</v>
      </c>
      <c r="F802" s="381" t="s">
        <v>505</v>
      </c>
      <c r="G802" s="364" t="s">
        <v>585</v>
      </c>
    </row>
    <row r="803" spans="2:7">
      <c r="B803" s="365" t="str">
        <f>Commodities!B309</f>
        <v>*R5</v>
      </c>
      <c r="C803" s="365" t="str">
        <f>CONCATENATE("PCAP",LEFT(Commodities!C309,4))</f>
        <v>PCAPR4R5</v>
      </c>
      <c r="D803" s="365" t="str">
        <f>CONCATENATE("Capacity Limit of Pipeline for ",RIGHT(Commodities!D309,8))</f>
        <v>Capacity Limit of Pipeline for 4 to *R5</v>
      </c>
      <c r="E803" s="381" t="s">
        <v>384</v>
      </c>
      <c r="F803" s="381" t="s">
        <v>505</v>
      </c>
      <c r="G803" s="364" t="s">
        <v>585</v>
      </c>
    </row>
    <row r="804" spans="2:7">
      <c r="B804" s="365" t="str">
        <f>Commodities!B310</f>
        <v>*R2</v>
      </c>
      <c r="C804" s="365" t="str">
        <f>CONCATENATE("PCAP",LEFT(Commodities!C310,4))</f>
        <v>PCAPR5R2</v>
      </c>
      <c r="D804" s="365" t="str">
        <f>CONCATENATE("Capacity Limit of Pipeline for ",RIGHT(Commodities!D310,8))</f>
        <v>Capacity Limit of Pipeline for 5 to *R2</v>
      </c>
      <c r="E804" s="381" t="s">
        <v>384</v>
      </c>
      <c r="F804" s="381" t="s">
        <v>505</v>
      </c>
      <c r="G804" s="364" t="s">
        <v>585</v>
      </c>
    </row>
    <row r="805" spans="2:7">
      <c r="B805" s="365" t="str">
        <f>Commodities!B311</f>
        <v>*R4</v>
      </c>
      <c r="C805" s="365" t="str">
        <f>CONCATENATE("PCAP",LEFT(Commodities!C311,4))</f>
        <v>PCAPR5R4</v>
      </c>
      <c r="D805" s="365" t="str">
        <f>CONCATENATE("Capacity Limit of Pipeline for ",RIGHT(Commodities!D311,8))</f>
        <v>Capacity Limit of Pipeline for 5 to *R4</v>
      </c>
      <c r="E805" s="381" t="s">
        <v>384</v>
      </c>
      <c r="F805" s="381" t="s">
        <v>505</v>
      </c>
      <c r="G805" s="364" t="s">
        <v>585</v>
      </c>
    </row>
    <row r="806" spans="2:7">
      <c r="B806" s="365" t="str">
        <f>Commodities!B312</f>
        <v>*R3</v>
      </c>
      <c r="C806" s="365" t="str">
        <f>CONCATENATE("PCAP",LEFT(Commodities!C312,4))</f>
        <v>PCAPR6R3</v>
      </c>
      <c r="D806" s="365" t="str">
        <f>CONCATENATE("Capacity Limit of Pipeline for ",RIGHT(Commodities!D312,8))</f>
        <v>Capacity Limit of Pipeline for 6 to *R3</v>
      </c>
      <c r="E806" s="381" t="s">
        <v>384</v>
      </c>
      <c r="F806" s="381" t="s">
        <v>505</v>
      </c>
      <c r="G806" s="364" t="s">
        <v>585</v>
      </c>
    </row>
    <row r="807" spans="2:7">
      <c r="B807" s="365" t="str">
        <f>Commodities!B313</f>
        <v>*R4</v>
      </c>
      <c r="C807" s="365" t="str">
        <f>CONCATENATE("PCAP",LEFT(Commodities!C313,4))</f>
        <v>PCAPR6R4</v>
      </c>
      <c r="D807" s="365" t="str">
        <f>CONCATENATE("Capacity Limit of Pipeline for ",RIGHT(Commodities!D313,8))</f>
        <v>Capacity Limit of Pipeline for 6 to *R4</v>
      </c>
      <c r="E807" s="381" t="s">
        <v>384</v>
      </c>
      <c r="F807" s="381" t="s">
        <v>505</v>
      </c>
      <c r="G807" s="364" t="s">
        <v>585</v>
      </c>
    </row>
    <row r="808" spans="2:7">
      <c r="B808" s="365" t="str">
        <f>Commodities!B314</f>
        <v>*R2</v>
      </c>
      <c r="C808" s="365" t="str">
        <f>CONCATENATE("PCAP",LEFT(Commodities!C314,4))</f>
        <v>PCAPR6R2</v>
      </c>
      <c r="D808" s="365" t="str">
        <f>CONCATENATE("Capacity Limit of Pipeline for ",RIGHT(Commodities!D314,8))</f>
        <v>Capacity Limit of Pipeline for 6 to *R2</v>
      </c>
      <c r="E808" s="381" t="s">
        <v>384</v>
      </c>
      <c r="F808" s="381" t="s">
        <v>505</v>
      </c>
      <c r="G808" s="364" t="s">
        <v>585</v>
      </c>
    </row>
    <row r="809" spans="2:7">
      <c r="B809" s="365" t="str">
        <f>Commodities!B315</f>
        <v>R2</v>
      </c>
      <c r="C809" s="365" t="str">
        <f>CONCATENATE("PCAP",LEFT(Commodities!C315,4))</f>
        <v>PCAPR1R2</v>
      </c>
      <c r="D809" s="365" t="str">
        <f>CONCATENATE("Capacity Limit of Pipeline for ",RIGHT(Commodities!D315,8))</f>
        <v>Capacity Limit of Pipeline for R1 to R2</v>
      </c>
      <c r="E809" s="381" t="s">
        <v>384</v>
      </c>
      <c r="F809" s="381" t="s">
        <v>505</v>
      </c>
      <c r="G809" s="364" t="s">
        <v>585</v>
      </c>
    </row>
    <row r="810" spans="2:7">
      <c r="B810" s="365" t="str">
        <f>Commodities!B316</f>
        <v>R3</v>
      </c>
      <c r="C810" s="365" t="str">
        <f>CONCATENATE("PCAP",LEFT(Commodities!C316,4))</f>
        <v>PCAPR1R3</v>
      </c>
      <c r="D810" s="365" t="str">
        <f>CONCATENATE("Capacity Limit of Pipeline for ",RIGHT(Commodities!D316,8))</f>
        <v>Capacity Limit of Pipeline for R1 to R3</v>
      </c>
      <c r="E810" s="381" t="s">
        <v>384</v>
      </c>
      <c r="F810" s="381" t="s">
        <v>505</v>
      </c>
      <c r="G810" s="364" t="s">
        <v>585</v>
      </c>
    </row>
    <row r="811" spans="2:7">
      <c r="B811" s="365" t="str">
        <f>Commodities!B317</f>
        <v>R4</v>
      </c>
      <c r="C811" s="365" t="str">
        <f>CONCATENATE("PCAP",LEFT(Commodities!C317,4))</f>
        <v>PCAPR1R4</v>
      </c>
      <c r="D811" s="365" t="str">
        <f>CONCATENATE("Capacity Limit of Pipeline for ",RIGHT(Commodities!D317,8))</f>
        <v>Capacity Limit of Pipeline for R1 to R4</v>
      </c>
      <c r="E811" s="381" t="s">
        <v>384</v>
      </c>
      <c r="F811" s="381" t="s">
        <v>505</v>
      </c>
      <c r="G811" s="364" t="s">
        <v>585</v>
      </c>
    </row>
    <row r="812" spans="2:7">
      <c r="B812" s="365" t="str">
        <f>Commodities!B318</f>
        <v>R5</v>
      </c>
      <c r="C812" s="365" t="str">
        <f>CONCATENATE("PCAP",LEFT(Commodities!C318,4))</f>
        <v>PCAPR1R5</v>
      </c>
      <c r="D812" s="365" t="str">
        <f>CONCATENATE("Capacity Limit of Pipeline for ",RIGHT(Commodities!D318,8))</f>
        <v>Capacity Limit of Pipeline for R1 to R5</v>
      </c>
      <c r="E812" s="381" t="s">
        <v>384</v>
      </c>
      <c r="F812" s="381" t="s">
        <v>505</v>
      </c>
      <c r="G812" s="364" t="s">
        <v>585</v>
      </c>
    </row>
    <row r="813" spans="2:7">
      <c r="B813" s="365" t="str">
        <f>Commodities!B319</f>
        <v>R6</v>
      </c>
      <c r="C813" s="365" t="str">
        <f>CONCATENATE("PCAP",LEFT(Commodities!C319,4))</f>
        <v>PCAPR1R6</v>
      </c>
      <c r="D813" s="365" t="str">
        <f>CONCATENATE("Capacity Limit of Pipeline for ",RIGHT(Commodities!D319,8))</f>
        <v>Capacity Limit of Pipeline for R1 to R6</v>
      </c>
      <c r="E813" s="381" t="s">
        <v>384</v>
      </c>
      <c r="F813" s="381" t="s">
        <v>505</v>
      </c>
      <c r="G813" s="364" t="s">
        <v>585</v>
      </c>
    </row>
    <row r="814" spans="2:7">
      <c r="B814" s="365" t="str">
        <f>Commodities!B320</f>
        <v>*R4</v>
      </c>
      <c r="C814" s="365" t="str">
        <f>CONCATENATE("PCAP",LEFT(Commodities!C320,4))</f>
        <v>PCAPR8R4</v>
      </c>
      <c r="D814" s="365" t="str">
        <f>CONCATENATE("Capacity Limit of Pipeline for ",RIGHT(Commodities!D320,8))</f>
        <v>Capacity Limit of Pipeline for 8 to *R4</v>
      </c>
      <c r="E814" s="381" t="s">
        <v>384</v>
      </c>
      <c r="F814" s="381" t="s">
        <v>505</v>
      </c>
      <c r="G814" s="364" t="s">
        <v>585</v>
      </c>
    </row>
    <row r="815" spans="2:7">
      <c r="B815" s="365" t="str">
        <f>Commodities!B321</f>
        <v>*R9</v>
      </c>
      <c r="C815" s="365" t="str">
        <f>CONCATENATE("PCAP",LEFT(Commodities!C321,4))</f>
        <v>PCAPR8R9</v>
      </c>
      <c r="D815" s="365" t="str">
        <f>CONCATENATE("Capacity Limit of Pipeline for ",RIGHT(Commodities!D321,8))</f>
        <v>Capacity Limit of Pipeline for 8 to *R9</v>
      </c>
      <c r="E815" s="381" t="s">
        <v>384</v>
      </c>
      <c r="F815" s="381" t="s">
        <v>505</v>
      </c>
      <c r="G815" s="364" t="s">
        <v>585</v>
      </c>
    </row>
    <row r="816" spans="2:7">
      <c r="B816" s="365" t="str">
        <f>Commodities!B302</f>
        <v>*R4</v>
      </c>
      <c r="C816" s="365" t="str">
        <f>CONCATENATE("PINV",LEFT(Commodities!C302,4))</f>
        <v>PINVR3R4</v>
      </c>
      <c r="D816" s="365" t="str">
        <f>CONCATENATE("Investment in Pipeline Expansion for ",RIGHT(Commodities!D302,8))</f>
        <v>Investment in Pipeline Expansion for 3 to *R4</v>
      </c>
      <c r="E816" s="381" t="s">
        <v>384</v>
      </c>
      <c r="F816" s="381" t="s">
        <v>505</v>
      </c>
      <c r="G816" s="364" t="s">
        <v>585</v>
      </c>
    </row>
    <row r="817" spans="2:7">
      <c r="B817" s="365" t="str">
        <f>Commodities!B303</f>
        <v>*R6</v>
      </c>
      <c r="C817" s="365" t="str">
        <f>CONCATENATE("PINV",LEFT(Commodities!C303,4))</f>
        <v>PINVR3R6</v>
      </c>
      <c r="D817" s="365" t="str">
        <f>CONCATENATE("Investment in Pipeline Expansion for ",RIGHT(Commodities!D303,8))</f>
        <v>Investment in Pipeline Expansion for 3 to *R6</v>
      </c>
      <c r="E817" s="381" t="s">
        <v>384</v>
      </c>
      <c r="F817" s="381" t="s">
        <v>505</v>
      </c>
      <c r="G817" s="364" t="s">
        <v>585</v>
      </c>
    </row>
    <row r="818" spans="2:7">
      <c r="B818" s="365" t="str">
        <f>Commodities!B304</f>
        <v>*R6</v>
      </c>
      <c r="C818" s="365" t="str">
        <f>CONCATENATE("PINV",LEFT(Commodities!C304,4))</f>
        <v>PINVR2R6</v>
      </c>
      <c r="D818" s="365" t="str">
        <f>CONCATENATE("Investment in Pipeline Expansion for ",RIGHT(Commodities!D304,8))</f>
        <v>Investment in Pipeline Expansion for 2 to *R6</v>
      </c>
      <c r="E818" s="381" t="s">
        <v>384</v>
      </c>
      <c r="F818" s="381" t="s">
        <v>505</v>
      </c>
      <c r="G818" s="364" t="s">
        <v>585</v>
      </c>
    </row>
    <row r="819" spans="2:7">
      <c r="B819" s="365" t="str">
        <f>Commodities!B305</f>
        <v>*R5</v>
      </c>
      <c r="C819" s="365" t="str">
        <f>CONCATENATE("PINV",LEFT(Commodities!C305,4))</f>
        <v>PINVR2R5</v>
      </c>
      <c r="D819" s="365" t="str">
        <f>CONCATENATE("Investment in Pipeline Expansion for ",RIGHT(Commodities!D305,8))</f>
        <v>Investment in Pipeline Expansion for 2 to *R5</v>
      </c>
      <c r="E819" s="381" t="s">
        <v>384</v>
      </c>
      <c r="F819" s="381" t="s">
        <v>505</v>
      </c>
      <c r="G819" s="364" t="s">
        <v>585</v>
      </c>
    </row>
    <row r="820" spans="2:7">
      <c r="B820" s="365" t="str">
        <f>Commodities!B306</f>
        <v>*R2</v>
      </c>
      <c r="C820" s="365" t="str">
        <f>CONCATENATE("PINV",LEFT(Commodities!C306,4))</f>
        <v>PINVR4R2</v>
      </c>
      <c r="D820" s="365" t="str">
        <f>CONCATENATE("Investment in Pipeline Expansion for ",RIGHT(Commodities!D306,8))</f>
        <v>Investment in Pipeline Expansion for 4 to *R2</v>
      </c>
      <c r="E820" s="381" t="s">
        <v>384</v>
      </c>
      <c r="F820" s="381" t="s">
        <v>505</v>
      </c>
      <c r="G820" s="364" t="s">
        <v>585</v>
      </c>
    </row>
    <row r="821" spans="2:7">
      <c r="B821" s="365" t="str">
        <f>Commodities!B307</f>
        <v>*R6</v>
      </c>
      <c r="C821" s="365" t="str">
        <f>CONCATENATE("PINV",LEFT(Commodities!C307,4))</f>
        <v>PINVR4R6</v>
      </c>
      <c r="D821" s="365" t="str">
        <f>CONCATENATE("Investment in Pipeline Expansion for ",RIGHT(Commodities!D307,8))</f>
        <v>Investment in Pipeline Expansion for 4 to *R6</v>
      </c>
      <c r="E821" s="381" t="s">
        <v>384</v>
      </c>
      <c r="F821" s="381" t="s">
        <v>505</v>
      </c>
      <c r="G821" s="364" t="s">
        <v>585</v>
      </c>
    </row>
    <row r="822" spans="2:7">
      <c r="B822" s="365" t="str">
        <f>Commodities!B308</f>
        <v>*R3</v>
      </c>
      <c r="C822" s="365" t="str">
        <f>CONCATENATE("PINV",LEFT(Commodities!C308,4))</f>
        <v>PINVR4R3</v>
      </c>
      <c r="D822" s="365" t="str">
        <f>CONCATENATE("Investment in Pipeline Expansion for ",RIGHT(Commodities!D308,8))</f>
        <v>Investment in Pipeline Expansion for 4 to *R3</v>
      </c>
      <c r="E822" s="381" t="s">
        <v>384</v>
      </c>
      <c r="F822" s="381" t="s">
        <v>505</v>
      </c>
      <c r="G822" s="364" t="s">
        <v>585</v>
      </c>
    </row>
    <row r="823" spans="2:7">
      <c r="B823" s="365" t="str">
        <f>Commodities!B309</f>
        <v>*R5</v>
      </c>
      <c r="C823" s="365" t="str">
        <f>CONCATENATE("PINV",LEFT(Commodities!C309,4))</f>
        <v>PINVR4R5</v>
      </c>
      <c r="D823" s="365" t="str">
        <f>CONCATENATE("Investment in Pipeline Expansion for ",RIGHT(Commodities!D309,8))</f>
        <v>Investment in Pipeline Expansion for 4 to *R5</v>
      </c>
      <c r="E823" s="381" t="s">
        <v>384</v>
      </c>
      <c r="F823" s="381" t="s">
        <v>505</v>
      </c>
      <c r="G823" s="364" t="s">
        <v>585</v>
      </c>
    </row>
    <row r="824" spans="2:7">
      <c r="B824" s="365" t="str">
        <f>Commodities!B310</f>
        <v>*R2</v>
      </c>
      <c r="C824" s="365" t="str">
        <f>CONCATENATE("PINV",LEFT(Commodities!C310,4))</f>
        <v>PINVR5R2</v>
      </c>
      <c r="D824" s="365" t="str">
        <f>CONCATENATE("Investment in Pipeline Expansion for ",RIGHT(Commodities!D310,8))</f>
        <v>Investment in Pipeline Expansion for 5 to *R2</v>
      </c>
      <c r="E824" s="381" t="s">
        <v>384</v>
      </c>
      <c r="F824" s="381" t="s">
        <v>505</v>
      </c>
      <c r="G824" s="364" t="s">
        <v>585</v>
      </c>
    </row>
    <row r="825" spans="2:7">
      <c r="B825" s="365" t="str">
        <f>Commodities!B311</f>
        <v>*R4</v>
      </c>
      <c r="C825" s="365" t="str">
        <f>CONCATENATE("PINV",LEFT(Commodities!C311,4))</f>
        <v>PINVR5R4</v>
      </c>
      <c r="D825" s="365" t="str">
        <f>CONCATENATE("Investment in Pipeline Expansion for ",RIGHT(Commodities!D311,8))</f>
        <v>Investment in Pipeline Expansion for 5 to *R4</v>
      </c>
      <c r="E825" s="381" t="s">
        <v>384</v>
      </c>
      <c r="F825" s="381" t="s">
        <v>505</v>
      </c>
      <c r="G825" s="364" t="s">
        <v>585</v>
      </c>
    </row>
    <row r="826" spans="2:7">
      <c r="B826" s="365" t="str">
        <f>Commodities!B312</f>
        <v>*R3</v>
      </c>
      <c r="C826" s="365" t="str">
        <f>CONCATENATE("PINV",LEFT(Commodities!C312,4))</f>
        <v>PINVR6R3</v>
      </c>
      <c r="D826" s="365" t="str">
        <f>CONCATENATE("Investment in Pipeline Expansion for ",RIGHT(Commodities!D312,8))</f>
        <v>Investment in Pipeline Expansion for 6 to *R3</v>
      </c>
      <c r="E826" s="381" t="s">
        <v>384</v>
      </c>
      <c r="F826" s="381" t="s">
        <v>505</v>
      </c>
      <c r="G826" s="364" t="s">
        <v>585</v>
      </c>
    </row>
    <row r="827" spans="2:7">
      <c r="B827" s="365" t="str">
        <f>Commodities!B313</f>
        <v>*R4</v>
      </c>
      <c r="C827" s="365" t="str">
        <f>CONCATENATE("PINV",LEFT(Commodities!C313,4))</f>
        <v>PINVR6R4</v>
      </c>
      <c r="D827" s="365" t="str">
        <f>CONCATENATE("Investment in Pipeline Expansion for ",RIGHT(Commodities!D313,8))</f>
        <v>Investment in Pipeline Expansion for 6 to *R4</v>
      </c>
      <c r="E827" s="381" t="s">
        <v>384</v>
      </c>
      <c r="F827" s="381" t="s">
        <v>505</v>
      </c>
      <c r="G827" s="364" t="s">
        <v>585</v>
      </c>
    </row>
    <row r="828" spans="2:7">
      <c r="B828" s="365" t="str">
        <f>Commodities!B314</f>
        <v>*R2</v>
      </c>
      <c r="C828" s="365" t="str">
        <f>CONCATENATE("PINV",LEFT(Commodities!C314,4))</f>
        <v>PINVR6R2</v>
      </c>
      <c r="D828" s="365" t="str">
        <f>CONCATENATE("Investment in Pipeline Expansion for ",RIGHT(Commodities!D314,8))</f>
        <v>Investment in Pipeline Expansion for 6 to *R2</v>
      </c>
      <c r="E828" s="381" t="s">
        <v>384</v>
      </c>
      <c r="F828" s="381" t="s">
        <v>505</v>
      </c>
      <c r="G828" s="364" t="s">
        <v>585</v>
      </c>
    </row>
    <row r="829" spans="2:7">
      <c r="B829" s="365" t="str">
        <f>Commodities!B315</f>
        <v>R2</v>
      </c>
      <c r="C829" s="365" t="str">
        <f>CONCATENATE("PINV",LEFT(Commodities!C315,4))</f>
        <v>PINVR1R2</v>
      </c>
      <c r="D829" s="365" t="str">
        <f>CONCATENATE("Investment in Pipeline Expansion for ",RIGHT(Commodities!D315,8))</f>
        <v>Investment in Pipeline Expansion for R1 to R2</v>
      </c>
      <c r="E829" s="381" t="s">
        <v>384</v>
      </c>
      <c r="F829" s="381" t="s">
        <v>505</v>
      </c>
      <c r="G829" s="364" t="s">
        <v>585</v>
      </c>
    </row>
    <row r="830" spans="2:7">
      <c r="B830" s="365" t="str">
        <f>Commodities!B316</f>
        <v>R3</v>
      </c>
      <c r="C830" s="365" t="str">
        <f>CONCATENATE("PINV",LEFT(Commodities!C316,4))</f>
        <v>PINVR1R3</v>
      </c>
      <c r="D830" s="365" t="str">
        <f>CONCATENATE("Investment in Pipeline Expansion for ",RIGHT(Commodities!D316,8))</f>
        <v>Investment in Pipeline Expansion for R1 to R3</v>
      </c>
      <c r="E830" s="381" t="s">
        <v>384</v>
      </c>
      <c r="F830" s="381" t="s">
        <v>505</v>
      </c>
      <c r="G830" s="364" t="s">
        <v>585</v>
      </c>
    </row>
    <row r="831" spans="2:7">
      <c r="B831" s="365" t="str">
        <f>Commodities!B317</f>
        <v>R4</v>
      </c>
      <c r="C831" s="365" t="str">
        <f>CONCATENATE("PINV",LEFT(Commodities!C317,4))</f>
        <v>PINVR1R4</v>
      </c>
      <c r="D831" s="365" t="str">
        <f>CONCATENATE("Investment in Pipeline Expansion for ",RIGHT(Commodities!D317,8))</f>
        <v>Investment in Pipeline Expansion for R1 to R4</v>
      </c>
      <c r="E831" s="381" t="s">
        <v>384</v>
      </c>
      <c r="F831" s="381" t="s">
        <v>505</v>
      </c>
      <c r="G831" s="364" t="s">
        <v>585</v>
      </c>
    </row>
    <row r="832" spans="2:7">
      <c r="B832" s="365" t="str">
        <f>Commodities!B318</f>
        <v>R5</v>
      </c>
      <c r="C832" s="365" t="str">
        <f>CONCATENATE("PINV",LEFT(Commodities!C318,4))</f>
        <v>PINVR1R5</v>
      </c>
      <c r="D832" s="365" t="str">
        <f>CONCATENATE("Investment in Pipeline Expansion for ",RIGHT(Commodities!D318,8))</f>
        <v>Investment in Pipeline Expansion for R1 to R5</v>
      </c>
      <c r="E832" s="381" t="s">
        <v>384</v>
      </c>
      <c r="F832" s="381" t="s">
        <v>505</v>
      </c>
      <c r="G832" s="364" t="s">
        <v>585</v>
      </c>
    </row>
    <row r="833" spans="2:8">
      <c r="B833" s="365" t="str">
        <f>Commodities!B319</f>
        <v>R6</v>
      </c>
      <c r="C833" s="365" t="str">
        <f>CONCATENATE("PINV",LEFT(Commodities!C319,4))</f>
        <v>PINVR1R6</v>
      </c>
      <c r="D833" s="365" t="str">
        <f>CONCATENATE("Investment in Pipeline Expansion for ",RIGHT(Commodities!D319,8))</f>
        <v>Investment in Pipeline Expansion for R1 to R6</v>
      </c>
      <c r="E833" s="381" t="s">
        <v>384</v>
      </c>
      <c r="F833" s="381" t="s">
        <v>505</v>
      </c>
      <c r="G833" s="364" t="s">
        <v>585</v>
      </c>
    </row>
    <row r="834" spans="2:8">
      <c r="B834" s="365" t="str">
        <f>Commodities!B320</f>
        <v>*R4</v>
      </c>
      <c r="C834" s="365" t="str">
        <f>CONCATENATE("PINV",LEFT(Commodities!C320,4))</f>
        <v>PINVR8R4</v>
      </c>
      <c r="D834" s="365" t="str">
        <f>CONCATENATE("Investment in Pipeline Expansion for ",RIGHT(Commodities!D320,8))</f>
        <v>Investment in Pipeline Expansion for 8 to *R4</v>
      </c>
      <c r="E834" s="381" t="s">
        <v>384</v>
      </c>
      <c r="F834" s="381" t="s">
        <v>505</v>
      </c>
      <c r="G834" s="364" t="s">
        <v>585</v>
      </c>
    </row>
    <row r="835" spans="2:8">
      <c r="B835" s="365" t="str">
        <f>Commodities!B321</f>
        <v>*R9</v>
      </c>
      <c r="C835" s="365" t="str">
        <f>CONCATENATE("PINV",LEFT(Commodities!C321,4))</f>
        <v>PINVR8R9</v>
      </c>
      <c r="D835" s="365" t="str">
        <f>CONCATENATE("Investment in Pipeline Expansion for ",RIGHT(Commodities!D321,8))</f>
        <v>Investment in Pipeline Expansion for 8 to *R9</v>
      </c>
      <c r="E835" s="381" t="s">
        <v>384</v>
      </c>
      <c r="F835" s="381" t="s">
        <v>505</v>
      </c>
      <c r="G835" s="364" t="s">
        <v>585</v>
      </c>
    </row>
    <row r="836" spans="2:8">
      <c r="B836" s="364"/>
      <c r="D836" s="383"/>
      <c r="F836" s="384"/>
    </row>
    <row r="837" spans="2:8">
      <c r="D837" s="383"/>
      <c r="F837" s="384"/>
    </row>
    <row r="838" spans="2:8">
      <c r="D838" s="383"/>
      <c r="F838" s="384"/>
    </row>
    <row r="839" spans="2:8">
      <c r="D839" s="383"/>
      <c r="F839" s="384"/>
      <c r="H839" s="364"/>
    </row>
    <row r="840" spans="2:8">
      <c r="B840" s="364"/>
      <c r="D840" s="383"/>
    </row>
    <row r="841" spans="2:8">
      <c r="D841" s="383"/>
      <c r="E841" s="382"/>
      <c r="F841" s="385"/>
    </row>
    <row r="842" spans="2:8">
      <c r="D842" s="383"/>
    </row>
    <row r="843" spans="2:8">
      <c r="D843" s="383"/>
    </row>
    <row r="844" spans="2:8">
      <c r="D844" s="383"/>
    </row>
    <row r="845" spans="2:8">
      <c r="D845" s="383"/>
    </row>
    <row r="846" spans="2:8">
      <c r="B846" s="365" t="s">
        <v>588</v>
      </c>
      <c r="E846" s="381" t="s">
        <v>384</v>
      </c>
      <c r="F846" s="381" t="s">
        <v>505</v>
      </c>
    </row>
    <row r="847" spans="2:8">
      <c r="B847" s="365" t="s">
        <v>1086</v>
      </c>
      <c r="C847" s="365" t="s">
        <v>858</v>
      </c>
      <c r="D847" s="365" t="s">
        <v>885</v>
      </c>
      <c r="E847" s="381" t="s">
        <v>384</v>
      </c>
      <c r="F847" s="381" t="s">
        <v>505</v>
      </c>
    </row>
    <row r="848" spans="2:8">
      <c r="B848" s="365" t="s">
        <v>1087</v>
      </c>
      <c r="C848" s="365" t="s">
        <v>859</v>
      </c>
      <c r="D848" s="365" t="s">
        <v>886</v>
      </c>
      <c r="E848" s="381" t="s">
        <v>384</v>
      </c>
      <c r="F848" s="381" t="s">
        <v>505</v>
      </c>
    </row>
    <row r="849" spans="2:6">
      <c r="B849" s="365" t="s">
        <v>1088</v>
      </c>
      <c r="C849" s="365" t="s">
        <v>1083</v>
      </c>
      <c r="D849" s="365" t="s">
        <v>1084</v>
      </c>
      <c r="E849" s="381" t="s">
        <v>384</v>
      </c>
      <c r="F849" s="381" t="s">
        <v>505</v>
      </c>
    </row>
    <row r="850" spans="2:6">
      <c r="B850" s="365" t="s">
        <v>1089</v>
      </c>
      <c r="C850" s="365" t="s">
        <v>860</v>
      </c>
      <c r="D850" s="365" t="s">
        <v>887</v>
      </c>
      <c r="E850" s="381" t="s">
        <v>384</v>
      </c>
      <c r="F850" s="381" t="s">
        <v>505</v>
      </c>
    </row>
    <row r="851" spans="2:6">
      <c r="B851" s="365" t="s">
        <v>1086</v>
      </c>
      <c r="C851" s="365" t="s">
        <v>861</v>
      </c>
      <c r="D851" s="365" t="s">
        <v>888</v>
      </c>
      <c r="E851" s="381" t="s">
        <v>384</v>
      </c>
      <c r="F851" s="381" t="s">
        <v>505</v>
      </c>
    </row>
    <row r="852" spans="2:6">
      <c r="B852" s="365" t="s">
        <v>1087</v>
      </c>
      <c r="C852" s="365" t="s">
        <v>862</v>
      </c>
      <c r="D852" s="365" t="s">
        <v>889</v>
      </c>
      <c r="E852" s="381" t="s">
        <v>384</v>
      </c>
      <c r="F852" s="381" t="s">
        <v>505</v>
      </c>
    </row>
    <row r="853" spans="2:6">
      <c r="B853" s="365" t="s">
        <v>1089</v>
      </c>
      <c r="C853" s="365" t="s">
        <v>863</v>
      </c>
      <c r="D853" s="365" t="s">
        <v>890</v>
      </c>
      <c r="E853" s="381" t="s">
        <v>384</v>
      </c>
      <c r="F853" s="381" t="s">
        <v>505</v>
      </c>
    </row>
    <row r="854" spans="2:6">
      <c r="B854" s="365" t="s">
        <v>1071</v>
      </c>
      <c r="C854" s="365" t="s">
        <v>864</v>
      </c>
      <c r="D854" s="365" t="s">
        <v>1064</v>
      </c>
      <c r="E854" s="381" t="s">
        <v>384</v>
      </c>
      <c r="F854" s="381" t="s">
        <v>505</v>
      </c>
    </row>
    <row r="855" spans="2:6">
      <c r="B855" s="365" t="s">
        <v>1085</v>
      </c>
      <c r="C855" s="365" t="s">
        <v>901</v>
      </c>
      <c r="D855" s="365" t="s">
        <v>891</v>
      </c>
      <c r="E855" s="381" t="s">
        <v>384</v>
      </c>
      <c r="F855" s="381" t="s">
        <v>505</v>
      </c>
    </row>
    <row r="856" spans="2:6">
      <c r="B856" s="365" t="s">
        <v>1088</v>
      </c>
      <c r="C856" s="365" t="s">
        <v>865</v>
      </c>
      <c r="D856" s="365" t="s">
        <v>892</v>
      </c>
      <c r="E856" s="381" t="s">
        <v>384</v>
      </c>
      <c r="F856" s="381" t="s">
        <v>505</v>
      </c>
    </row>
    <row r="857" spans="2:6">
      <c r="B857" s="365" t="s">
        <v>1089</v>
      </c>
      <c r="C857" s="365" t="s">
        <v>866</v>
      </c>
      <c r="D857" s="365" t="s">
        <v>893</v>
      </c>
      <c r="E857" s="381" t="s">
        <v>384</v>
      </c>
      <c r="F857" s="381" t="s">
        <v>505</v>
      </c>
    </row>
    <row r="858" spans="2:6">
      <c r="B858" s="365" t="s">
        <v>1059</v>
      </c>
      <c r="C858" s="365" t="s">
        <v>867</v>
      </c>
      <c r="D858" s="365" t="s">
        <v>1065</v>
      </c>
      <c r="E858" s="381" t="s">
        <v>384</v>
      </c>
      <c r="F858" s="381" t="s">
        <v>505</v>
      </c>
    </row>
    <row r="859" spans="2:6">
      <c r="B859" s="365" t="s">
        <v>1025</v>
      </c>
      <c r="C859" s="365" t="s">
        <v>868</v>
      </c>
      <c r="D859" s="365" t="s">
        <v>1072</v>
      </c>
      <c r="E859" s="381" t="s">
        <v>384</v>
      </c>
      <c r="F859" s="381" t="s">
        <v>505</v>
      </c>
    </row>
    <row r="860" spans="2:6">
      <c r="B860" s="365" t="s">
        <v>1085</v>
      </c>
      <c r="C860" s="365" t="s">
        <v>902</v>
      </c>
      <c r="D860" s="365" t="s">
        <v>894</v>
      </c>
      <c r="E860" s="381" t="s">
        <v>384</v>
      </c>
      <c r="F860" s="381" t="s">
        <v>505</v>
      </c>
    </row>
    <row r="861" spans="2:6">
      <c r="B861" s="365" t="s">
        <v>1088</v>
      </c>
      <c r="C861" s="365" t="s">
        <v>869</v>
      </c>
      <c r="D861" s="365" t="s">
        <v>895</v>
      </c>
      <c r="E861" s="381" t="s">
        <v>384</v>
      </c>
      <c r="F861" s="381" t="s">
        <v>505</v>
      </c>
    </row>
    <row r="862" spans="2:6">
      <c r="B862" s="365" t="s">
        <v>1089</v>
      </c>
      <c r="C862" s="365" t="s">
        <v>870</v>
      </c>
      <c r="D862" s="365" t="s">
        <v>896</v>
      </c>
      <c r="E862" s="381" t="s">
        <v>384</v>
      </c>
      <c r="F862" s="381" t="s">
        <v>505</v>
      </c>
    </row>
    <row r="863" spans="2:6">
      <c r="B863" s="365" t="s">
        <v>1059</v>
      </c>
      <c r="C863" s="365" t="s">
        <v>871</v>
      </c>
      <c r="D863" s="365" t="s">
        <v>1066</v>
      </c>
      <c r="E863" s="381" t="s">
        <v>384</v>
      </c>
      <c r="F863" s="381" t="s">
        <v>505</v>
      </c>
    </row>
    <row r="864" spans="2:6">
      <c r="B864" s="365" t="s">
        <v>1025</v>
      </c>
      <c r="C864" s="365" t="s">
        <v>872</v>
      </c>
      <c r="D864" s="365" t="s">
        <v>1073</v>
      </c>
      <c r="E864" s="381" t="s">
        <v>384</v>
      </c>
      <c r="F864" s="381" t="s">
        <v>505</v>
      </c>
    </row>
    <row r="865" spans="2:7">
      <c r="B865" s="365" t="s">
        <v>1085</v>
      </c>
      <c r="C865" s="365" t="s">
        <v>873</v>
      </c>
      <c r="D865" s="365" t="s">
        <v>897</v>
      </c>
      <c r="E865" s="381" t="s">
        <v>384</v>
      </c>
      <c r="F865" s="381" t="s">
        <v>505</v>
      </c>
    </row>
    <row r="866" spans="2:7">
      <c r="B866" s="365" t="s">
        <v>1086</v>
      </c>
      <c r="C866" s="365" t="s">
        <v>903</v>
      </c>
      <c r="D866" s="365" t="s">
        <v>898</v>
      </c>
      <c r="E866" s="381" t="s">
        <v>384</v>
      </c>
      <c r="F866" s="381" t="s">
        <v>505</v>
      </c>
    </row>
    <row r="867" spans="2:7">
      <c r="B867" s="365" t="s">
        <v>1087</v>
      </c>
      <c r="C867" s="365" t="s">
        <v>874</v>
      </c>
      <c r="D867" s="365" t="s">
        <v>899</v>
      </c>
      <c r="E867" s="381" t="s">
        <v>384</v>
      </c>
      <c r="F867" s="381" t="s">
        <v>505</v>
      </c>
    </row>
    <row r="868" spans="2:7">
      <c r="B868" s="365" t="s">
        <v>1088</v>
      </c>
      <c r="C868" s="365" t="s">
        <v>875</v>
      </c>
      <c r="D868" s="365" t="s">
        <v>900</v>
      </c>
      <c r="E868" s="381" t="s">
        <v>384</v>
      </c>
      <c r="F868" s="381" t="s">
        <v>505</v>
      </c>
    </row>
    <row r="869" spans="2:7">
      <c r="B869" s="365" t="s">
        <v>1085</v>
      </c>
      <c r="C869" s="365" t="s">
        <v>876</v>
      </c>
      <c r="D869" s="365" t="s">
        <v>1067</v>
      </c>
      <c r="E869" s="381" t="s">
        <v>384</v>
      </c>
      <c r="F869" s="381" t="s">
        <v>505</v>
      </c>
    </row>
    <row r="870" spans="2:7">
      <c r="B870" s="365" t="s">
        <v>1086</v>
      </c>
      <c r="C870" s="365" t="s">
        <v>904</v>
      </c>
      <c r="D870" s="365" t="s">
        <v>1068</v>
      </c>
      <c r="E870" s="381" t="s">
        <v>384</v>
      </c>
      <c r="F870" s="381" t="s">
        <v>505</v>
      </c>
    </row>
    <row r="871" spans="2:7">
      <c r="B871" s="365" t="s">
        <v>1087</v>
      </c>
      <c r="C871" s="365" t="s">
        <v>877</v>
      </c>
      <c r="D871" s="365" t="s">
        <v>1069</v>
      </c>
      <c r="E871" s="381" t="s">
        <v>384</v>
      </c>
      <c r="F871" s="381" t="s">
        <v>505</v>
      </c>
    </row>
    <row r="872" spans="2:7">
      <c r="B872" s="365" t="s">
        <v>1088</v>
      </c>
      <c r="C872" s="365" t="s">
        <v>878</v>
      </c>
      <c r="D872" s="365" t="s">
        <v>1070</v>
      </c>
      <c r="E872" s="381" t="s">
        <v>384</v>
      </c>
      <c r="F872" s="381" t="s">
        <v>505</v>
      </c>
    </row>
    <row r="873" spans="2:7">
      <c r="B873" s="365" t="s">
        <v>1086</v>
      </c>
      <c r="C873" s="365" t="s">
        <v>879</v>
      </c>
      <c r="D873" s="365" t="s">
        <v>1074</v>
      </c>
      <c r="E873" s="381" t="s">
        <v>384</v>
      </c>
      <c r="F873" s="381" t="s">
        <v>505</v>
      </c>
    </row>
    <row r="874" spans="2:7">
      <c r="B874" s="365" t="s">
        <v>1087</v>
      </c>
      <c r="C874" s="365" t="s">
        <v>905</v>
      </c>
      <c r="D874" s="365" t="s">
        <v>1075</v>
      </c>
      <c r="E874" s="381" t="s">
        <v>384</v>
      </c>
      <c r="F874" s="381" t="s">
        <v>505</v>
      </c>
    </row>
    <row r="875" spans="2:7">
      <c r="B875" s="365" t="s">
        <v>1089</v>
      </c>
      <c r="C875" s="365" t="s">
        <v>880</v>
      </c>
      <c r="D875" s="365" t="s">
        <v>1076</v>
      </c>
      <c r="E875" s="381" t="s">
        <v>384</v>
      </c>
      <c r="F875" s="381" t="s">
        <v>505</v>
      </c>
    </row>
    <row r="876" spans="2:7">
      <c r="B876" s="365" t="s">
        <v>1071</v>
      </c>
      <c r="C876" s="365" t="s">
        <v>881</v>
      </c>
      <c r="D876" s="365" t="s">
        <v>1077</v>
      </c>
      <c r="E876" s="381" t="s">
        <v>384</v>
      </c>
      <c r="F876" s="381" t="s">
        <v>505</v>
      </c>
    </row>
    <row r="877" spans="2:7">
      <c r="B877" s="365" t="s">
        <v>1085</v>
      </c>
      <c r="C877" s="365" t="s">
        <v>882</v>
      </c>
      <c r="D877" s="365" t="s">
        <v>1079</v>
      </c>
      <c r="E877" s="381" t="s">
        <v>384</v>
      </c>
      <c r="F877" s="381" t="s">
        <v>505</v>
      </c>
    </row>
    <row r="878" spans="2:7">
      <c r="B878" s="365" t="s">
        <v>1086</v>
      </c>
      <c r="C878" s="365" t="s">
        <v>883</v>
      </c>
      <c r="D878" s="365" t="s">
        <v>1080</v>
      </c>
      <c r="E878" s="381" t="s">
        <v>384</v>
      </c>
      <c r="F878" s="381" t="s">
        <v>505</v>
      </c>
    </row>
    <row r="879" spans="2:7">
      <c r="B879" s="365" t="s">
        <v>1087</v>
      </c>
      <c r="C879" s="365" t="s">
        <v>884</v>
      </c>
      <c r="D879" s="365" t="s">
        <v>1081</v>
      </c>
      <c r="E879" s="381" t="s">
        <v>384</v>
      </c>
      <c r="F879" s="381" t="s">
        <v>505</v>
      </c>
    </row>
    <row r="880" spans="2:7">
      <c r="B880" s="365" t="s">
        <v>1091</v>
      </c>
      <c r="C880" s="365" t="s">
        <v>1034</v>
      </c>
      <c r="D880" s="365" t="s">
        <v>1030</v>
      </c>
      <c r="E880" s="381" t="s">
        <v>384</v>
      </c>
      <c r="F880" s="381" t="s">
        <v>505</v>
      </c>
      <c r="G880" s="364" t="s">
        <v>2535</v>
      </c>
    </row>
    <row r="881" spans="2:6">
      <c r="B881" s="365" t="s">
        <v>1091</v>
      </c>
      <c r="C881" s="365" t="s">
        <v>1035</v>
      </c>
      <c r="D881" s="365" t="s">
        <v>1031</v>
      </c>
      <c r="E881" s="381" t="s">
        <v>384</v>
      </c>
      <c r="F881" s="381" t="s">
        <v>505</v>
      </c>
    </row>
    <row r="882" spans="2:6">
      <c r="B882" s="365" t="s">
        <v>1091</v>
      </c>
      <c r="C882" s="365" t="s">
        <v>1036</v>
      </c>
      <c r="D882" s="365" t="s">
        <v>1032</v>
      </c>
      <c r="E882" s="381" t="s">
        <v>384</v>
      </c>
      <c r="F882" s="381" t="s">
        <v>505</v>
      </c>
    </row>
    <row r="883" spans="2:6">
      <c r="B883" s="365" t="s">
        <v>1091</v>
      </c>
      <c r="C883" s="365" t="s">
        <v>1037</v>
      </c>
      <c r="D883" s="365" t="s">
        <v>1033</v>
      </c>
      <c r="E883" s="381" t="s">
        <v>384</v>
      </c>
      <c r="F883" s="381" t="s">
        <v>505</v>
      </c>
    </row>
    <row r="884" spans="2:6">
      <c r="B884" s="365" t="s">
        <v>1091</v>
      </c>
      <c r="C884" s="365" t="s">
        <v>1038</v>
      </c>
      <c r="D884" s="365" t="s">
        <v>1039</v>
      </c>
      <c r="E884" s="381" t="s">
        <v>384</v>
      </c>
      <c r="F884" s="381" t="s">
        <v>505</v>
      </c>
    </row>
    <row r="885" spans="2:6">
      <c r="B885" s="365" t="s">
        <v>1085</v>
      </c>
      <c r="C885" s="365" t="s">
        <v>829</v>
      </c>
      <c r="D885" s="365" t="s">
        <v>792</v>
      </c>
      <c r="E885" s="381" t="s">
        <v>384</v>
      </c>
      <c r="F885" s="381" t="s">
        <v>505</v>
      </c>
    </row>
    <row r="886" spans="2:6">
      <c r="B886" s="365" t="s">
        <v>1085</v>
      </c>
      <c r="C886" s="365" t="s">
        <v>830</v>
      </c>
      <c r="D886" s="365" t="s">
        <v>793</v>
      </c>
      <c r="E886" s="381" t="s">
        <v>384</v>
      </c>
      <c r="F886" s="381" t="s">
        <v>505</v>
      </c>
    </row>
    <row r="887" spans="2:6">
      <c r="B887" s="365" t="s">
        <v>1085</v>
      </c>
      <c r="C887" s="365" t="s">
        <v>1041</v>
      </c>
      <c r="D887" s="365" t="s">
        <v>1040</v>
      </c>
      <c r="E887" s="381" t="s">
        <v>384</v>
      </c>
      <c r="F887" s="381" t="s">
        <v>505</v>
      </c>
    </row>
    <row r="888" spans="2:6">
      <c r="B888" s="365" t="s">
        <v>1085</v>
      </c>
      <c r="C888" s="365" t="s">
        <v>782</v>
      </c>
      <c r="D888" s="365" t="s">
        <v>794</v>
      </c>
      <c r="E888" s="381" t="s">
        <v>384</v>
      </c>
      <c r="F888" s="381" t="s">
        <v>505</v>
      </c>
    </row>
    <row r="889" spans="2:6">
      <c r="B889" s="365" t="s">
        <v>1088</v>
      </c>
      <c r="C889" s="365" t="s">
        <v>1099</v>
      </c>
      <c r="D889" s="365" t="s">
        <v>1048</v>
      </c>
      <c r="E889" s="381" t="s">
        <v>384</v>
      </c>
      <c r="F889" s="381" t="s">
        <v>505</v>
      </c>
    </row>
    <row r="890" spans="2:6">
      <c r="B890" s="365" t="s">
        <v>1088</v>
      </c>
      <c r="C890" s="365" t="s">
        <v>785</v>
      </c>
      <c r="D890" s="365" t="s">
        <v>795</v>
      </c>
      <c r="E890" s="381" t="s">
        <v>384</v>
      </c>
      <c r="F890" s="381" t="s">
        <v>505</v>
      </c>
    </row>
    <row r="891" spans="2:6">
      <c r="B891" s="365" t="s">
        <v>1088</v>
      </c>
      <c r="C891" s="365" t="s">
        <v>786</v>
      </c>
      <c r="D891" s="365" t="s">
        <v>796</v>
      </c>
      <c r="E891" s="381" t="s">
        <v>384</v>
      </c>
      <c r="F891" s="381" t="s">
        <v>505</v>
      </c>
    </row>
    <row r="892" spans="2:6">
      <c r="B892" s="365" t="s">
        <v>1088</v>
      </c>
      <c r="C892" s="365" t="s">
        <v>831</v>
      </c>
      <c r="D892" s="365" t="s">
        <v>797</v>
      </c>
      <c r="E892" s="381" t="s">
        <v>384</v>
      </c>
      <c r="F892" s="381" t="s">
        <v>505</v>
      </c>
    </row>
    <row r="893" spans="2:6">
      <c r="B893" s="365" t="s">
        <v>1086</v>
      </c>
      <c r="C893" s="365" t="s">
        <v>1043</v>
      </c>
      <c r="D893" s="365" t="s">
        <v>798</v>
      </c>
      <c r="E893" s="381" t="s">
        <v>384</v>
      </c>
      <c r="F893" s="381" t="s">
        <v>505</v>
      </c>
    </row>
    <row r="894" spans="2:6">
      <c r="B894" s="365" t="s">
        <v>1086</v>
      </c>
      <c r="C894" s="365" t="s">
        <v>1044</v>
      </c>
      <c r="D894" s="365" t="s">
        <v>1042</v>
      </c>
      <c r="E894" s="381" t="s">
        <v>384</v>
      </c>
      <c r="F894" s="381" t="s">
        <v>505</v>
      </c>
    </row>
    <row r="895" spans="2:6">
      <c r="B895" s="365" t="s">
        <v>1086</v>
      </c>
      <c r="C895" s="365" t="s">
        <v>783</v>
      </c>
      <c r="D895" s="365" t="s">
        <v>799</v>
      </c>
      <c r="E895" s="381" t="s">
        <v>384</v>
      </c>
      <c r="F895" s="381" t="s">
        <v>505</v>
      </c>
    </row>
    <row r="896" spans="2:6">
      <c r="B896" s="365" t="s">
        <v>1086</v>
      </c>
      <c r="C896" s="365" t="s">
        <v>832</v>
      </c>
      <c r="D896" s="365" t="s">
        <v>800</v>
      </c>
      <c r="E896" s="381" t="s">
        <v>384</v>
      </c>
      <c r="F896" s="381" t="s">
        <v>505</v>
      </c>
    </row>
    <row r="897" spans="2:7">
      <c r="B897" s="365" t="s">
        <v>1087</v>
      </c>
      <c r="C897" s="365" t="s">
        <v>1046</v>
      </c>
      <c r="D897" s="365" t="s">
        <v>801</v>
      </c>
      <c r="E897" s="381" t="s">
        <v>384</v>
      </c>
      <c r="F897" s="381" t="s">
        <v>505</v>
      </c>
    </row>
    <row r="898" spans="2:7">
      <c r="B898" s="365" t="s">
        <v>1087</v>
      </c>
      <c r="C898" s="365" t="s">
        <v>1047</v>
      </c>
      <c r="D898" s="365" t="s">
        <v>1045</v>
      </c>
      <c r="E898" s="381" t="s">
        <v>384</v>
      </c>
      <c r="F898" s="381" t="s">
        <v>505</v>
      </c>
    </row>
    <row r="899" spans="2:7">
      <c r="B899" s="365" t="s">
        <v>1087</v>
      </c>
      <c r="C899" s="365" t="s">
        <v>833</v>
      </c>
      <c r="D899" s="365" t="s">
        <v>802</v>
      </c>
      <c r="E899" s="381" t="s">
        <v>384</v>
      </c>
      <c r="F899" s="381" t="s">
        <v>505</v>
      </c>
    </row>
    <row r="900" spans="2:7">
      <c r="B900" s="365" t="s">
        <v>1087</v>
      </c>
      <c r="C900" s="365" t="s">
        <v>784</v>
      </c>
      <c r="D900" s="365" t="s">
        <v>803</v>
      </c>
      <c r="E900" s="381" t="s">
        <v>384</v>
      </c>
      <c r="F900" s="381" t="s">
        <v>505</v>
      </c>
    </row>
    <row r="901" spans="2:7">
      <c r="B901" s="365" t="s">
        <v>1089</v>
      </c>
      <c r="C901" s="365" t="s">
        <v>834</v>
      </c>
      <c r="D901" s="365" t="s">
        <v>804</v>
      </c>
      <c r="E901" s="381" t="s">
        <v>384</v>
      </c>
      <c r="F901" s="381" t="s">
        <v>505</v>
      </c>
    </row>
    <row r="902" spans="2:7">
      <c r="B902" s="365" t="s">
        <v>1089</v>
      </c>
      <c r="C902" s="365" t="s">
        <v>1100</v>
      </c>
      <c r="D902" s="365" t="s">
        <v>805</v>
      </c>
      <c r="E902" s="381" t="s">
        <v>384</v>
      </c>
      <c r="F902" s="381" t="s">
        <v>505</v>
      </c>
    </row>
    <row r="903" spans="2:7">
      <c r="B903" s="365" t="s">
        <v>1089</v>
      </c>
      <c r="C903" s="365" t="s">
        <v>835</v>
      </c>
      <c r="D903" s="365" t="s">
        <v>806</v>
      </c>
      <c r="E903" s="381" t="s">
        <v>384</v>
      </c>
      <c r="F903" s="381" t="s">
        <v>505</v>
      </c>
    </row>
    <row r="904" spans="2:7">
      <c r="B904" s="365" t="s">
        <v>1089</v>
      </c>
      <c r="C904" s="365" t="s">
        <v>836</v>
      </c>
      <c r="D904" s="365" t="s">
        <v>807</v>
      </c>
      <c r="E904" s="381" t="s">
        <v>384</v>
      </c>
      <c r="F904" s="381" t="s">
        <v>505</v>
      </c>
    </row>
    <row r="905" spans="2:7">
      <c r="B905" s="365" t="s">
        <v>588</v>
      </c>
    </row>
    <row r="906" spans="2:7">
      <c r="B906" s="365" t="s">
        <v>1086</v>
      </c>
      <c r="C906" s="365" t="s">
        <v>837</v>
      </c>
      <c r="D906" s="365" t="s">
        <v>813</v>
      </c>
      <c r="E906" s="381" t="s">
        <v>384</v>
      </c>
      <c r="F906" s="381" t="s">
        <v>505</v>
      </c>
      <c r="G906" s="364" t="s">
        <v>2536</v>
      </c>
    </row>
    <row r="907" spans="2:7">
      <c r="B907" s="365" t="s">
        <v>1087</v>
      </c>
      <c r="C907" s="365" t="s">
        <v>838</v>
      </c>
      <c r="D907" s="365" t="s">
        <v>814</v>
      </c>
      <c r="E907" s="381" t="s">
        <v>384</v>
      </c>
      <c r="F907" s="381" t="s">
        <v>505</v>
      </c>
    </row>
    <row r="908" spans="2:7">
      <c r="B908" s="365" t="s">
        <v>1088</v>
      </c>
      <c r="C908" s="365" t="s">
        <v>1050</v>
      </c>
      <c r="D908" s="365" t="s">
        <v>1049</v>
      </c>
      <c r="E908" s="381" t="s">
        <v>384</v>
      </c>
      <c r="F908" s="381" t="s">
        <v>505</v>
      </c>
    </row>
    <row r="909" spans="2:7">
      <c r="B909" s="365" t="s">
        <v>1089</v>
      </c>
      <c r="C909" s="365" t="s">
        <v>808</v>
      </c>
      <c r="D909" s="365" t="s">
        <v>815</v>
      </c>
      <c r="E909" s="381" t="s">
        <v>384</v>
      </c>
      <c r="F909" s="381" t="s">
        <v>505</v>
      </c>
    </row>
    <row r="910" spans="2:7">
      <c r="B910" s="365" t="s">
        <v>1085</v>
      </c>
      <c r="C910" s="365" t="s">
        <v>1052</v>
      </c>
      <c r="D910" s="365" t="s">
        <v>1051</v>
      </c>
      <c r="E910" s="381" t="s">
        <v>384</v>
      </c>
      <c r="F910" s="381" t="s">
        <v>505</v>
      </c>
    </row>
    <row r="911" spans="2:7">
      <c r="B911" s="365" t="s">
        <v>1086</v>
      </c>
      <c r="C911" s="365" t="s">
        <v>811</v>
      </c>
      <c r="D911" s="365" t="s">
        <v>816</v>
      </c>
      <c r="E911" s="381" t="s">
        <v>384</v>
      </c>
      <c r="F911" s="381" t="s">
        <v>505</v>
      </c>
    </row>
    <row r="912" spans="2:7">
      <c r="B912" s="365" t="s">
        <v>1087</v>
      </c>
      <c r="C912" s="365" t="s">
        <v>812</v>
      </c>
      <c r="D912" s="365" t="s">
        <v>817</v>
      </c>
      <c r="E912" s="381" t="s">
        <v>384</v>
      </c>
      <c r="F912" s="381" t="s">
        <v>505</v>
      </c>
    </row>
    <row r="913" spans="2:7">
      <c r="B913" s="365" t="s">
        <v>1089</v>
      </c>
      <c r="C913" s="365" t="s">
        <v>839</v>
      </c>
      <c r="D913" s="365" t="s">
        <v>818</v>
      </c>
      <c r="E913" s="381" t="s">
        <v>384</v>
      </c>
      <c r="F913" s="381" t="s">
        <v>505</v>
      </c>
    </row>
    <row r="914" spans="2:7">
      <c r="B914" s="365" t="s">
        <v>1085</v>
      </c>
      <c r="C914" s="365" t="s">
        <v>1054</v>
      </c>
      <c r="D914" s="365" t="s">
        <v>819</v>
      </c>
      <c r="E914" s="381" t="s">
        <v>384</v>
      </c>
      <c r="F914" s="381" t="s">
        <v>505</v>
      </c>
    </row>
    <row r="915" spans="2:7">
      <c r="B915" s="365" t="s">
        <v>1087</v>
      </c>
      <c r="C915" s="365" t="s">
        <v>1103</v>
      </c>
      <c r="D915" s="365" t="s">
        <v>1053</v>
      </c>
      <c r="E915" s="381" t="s">
        <v>384</v>
      </c>
      <c r="F915" s="381" t="s">
        <v>505</v>
      </c>
    </row>
    <row r="916" spans="2:7">
      <c r="B916" s="365" t="s">
        <v>1088</v>
      </c>
      <c r="C916" s="365" t="s">
        <v>809</v>
      </c>
      <c r="D916" s="365" t="s">
        <v>820</v>
      </c>
      <c r="E916" s="381" t="s">
        <v>384</v>
      </c>
      <c r="F916" s="381" t="s">
        <v>505</v>
      </c>
    </row>
    <row r="917" spans="2:7">
      <c r="B917" s="365" t="s">
        <v>1089</v>
      </c>
      <c r="C917" s="365" t="s">
        <v>840</v>
      </c>
      <c r="D917" s="365" t="s">
        <v>821</v>
      </c>
      <c r="E917" s="381" t="s">
        <v>384</v>
      </c>
      <c r="F917" s="381" t="s">
        <v>505</v>
      </c>
    </row>
    <row r="918" spans="2:7">
      <c r="B918" s="365" t="s">
        <v>1085</v>
      </c>
      <c r="C918" s="365" t="s">
        <v>1056</v>
      </c>
      <c r="D918" s="365" t="s">
        <v>822</v>
      </c>
      <c r="E918" s="381" t="s">
        <v>384</v>
      </c>
      <c r="F918" s="381" t="s">
        <v>505</v>
      </c>
    </row>
    <row r="919" spans="2:7">
      <c r="B919" s="365" t="s">
        <v>1086</v>
      </c>
      <c r="C919" s="365" t="s">
        <v>1057</v>
      </c>
      <c r="D919" s="365" t="s">
        <v>1055</v>
      </c>
      <c r="E919" s="381" t="s">
        <v>384</v>
      </c>
      <c r="F919" s="381" t="s">
        <v>505</v>
      </c>
    </row>
    <row r="920" spans="2:7">
      <c r="B920" s="365" t="s">
        <v>1088</v>
      </c>
      <c r="C920" s="365" t="s">
        <v>841</v>
      </c>
      <c r="D920" s="365" t="s">
        <v>823</v>
      </c>
      <c r="E920" s="381" t="s">
        <v>384</v>
      </c>
      <c r="F920" s="381" t="s">
        <v>505</v>
      </c>
    </row>
    <row r="921" spans="2:7">
      <c r="B921" s="365" t="s">
        <v>1089</v>
      </c>
      <c r="C921" s="365" t="s">
        <v>810</v>
      </c>
      <c r="D921" s="365" t="s">
        <v>824</v>
      </c>
      <c r="E921" s="381" t="s">
        <v>384</v>
      </c>
      <c r="F921" s="381" t="s">
        <v>505</v>
      </c>
    </row>
    <row r="922" spans="2:7">
      <c r="B922" s="365" t="s">
        <v>1085</v>
      </c>
      <c r="C922" s="365" t="s">
        <v>842</v>
      </c>
      <c r="D922" s="365" t="s">
        <v>825</v>
      </c>
      <c r="E922" s="381" t="s">
        <v>384</v>
      </c>
      <c r="F922" s="381" t="s">
        <v>505</v>
      </c>
    </row>
    <row r="923" spans="2:7">
      <c r="B923" s="365" t="s">
        <v>1086</v>
      </c>
      <c r="C923" s="365" t="s">
        <v>1101</v>
      </c>
      <c r="D923" s="365" t="s">
        <v>826</v>
      </c>
      <c r="E923" s="381" t="s">
        <v>384</v>
      </c>
      <c r="F923" s="381" t="s">
        <v>505</v>
      </c>
    </row>
    <row r="924" spans="2:7">
      <c r="B924" s="365" t="s">
        <v>1087</v>
      </c>
      <c r="C924" s="365" t="s">
        <v>843</v>
      </c>
      <c r="D924" s="365" t="s">
        <v>827</v>
      </c>
      <c r="E924" s="381" t="s">
        <v>384</v>
      </c>
      <c r="F924" s="381" t="s">
        <v>505</v>
      </c>
    </row>
    <row r="925" spans="2:7">
      <c r="B925" s="365" t="s">
        <v>1088</v>
      </c>
      <c r="C925" s="365" t="s">
        <v>844</v>
      </c>
      <c r="D925" s="365" t="s">
        <v>828</v>
      </c>
      <c r="E925" s="381" t="s">
        <v>384</v>
      </c>
      <c r="F925" s="381" t="s">
        <v>505</v>
      </c>
    </row>
    <row r="926" spans="2:7">
      <c r="B926" s="364" t="s">
        <v>525</v>
      </c>
    </row>
    <row r="927" spans="2:7">
      <c r="B927" s="365" t="s">
        <v>1058</v>
      </c>
      <c r="C927" s="365" t="str">
        <f>CONCATENATE("EXP",Commodities!C17,1)</f>
        <v>EXPOILIP11</v>
      </c>
      <c r="D927" s="365" t="str">
        <f>CONCATENATE("Export All Types Crude Oil, PADD 1 to R",RIGHT(C927))</f>
        <v>Export All Types Crude Oil, PADD 1 to R1</v>
      </c>
      <c r="E927" s="381" t="s">
        <v>384</v>
      </c>
      <c r="F927" s="381" t="s">
        <v>505</v>
      </c>
      <c r="G927" s="364" t="s">
        <v>2535</v>
      </c>
    </row>
    <row r="928" spans="2:7">
      <c r="B928" s="365" t="s">
        <v>1058</v>
      </c>
      <c r="C928" s="365" t="str">
        <f>CONCATENATE("EXP",Commodities!C17,5)</f>
        <v>EXPOILIP15</v>
      </c>
      <c r="D928" s="365" t="str">
        <f>CONCATENATE("Export All Types Crude Oil, PADD 1 to R",RIGHT(C928))</f>
        <v>Export All Types Crude Oil, PADD 1 to R5</v>
      </c>
      <c r="E928" s="381" t="s">
        <v>384</v>
      </c>
      <c r="F928" s="381" t="s">
        <v>505</v>
      </c>
    </row>
    <row r="929" spans="2:9">
      <c r="B929" s="365" t="s">
        <v>1058</v>
      </c>
      <c r="C929" s="365" t="str">
        <f>CONCATENATE("EXP",Commodities!C18,1)</f>
        <v>EXPOILIP21</v>
      </c>
      <c r="D929" s="365" t="str">
        <f>CONCATENATE("Export All Types Crude Oil, PADD 2 to R",RIGHT(C929))</f>
        <v>Export All Types Crude Oil, PADD 2 to R1</v>
      </c>
      <c r="E929" s="381" t="s">
        <v>384</v>
      </c>
      <c r="F929" s="381" t="s">
        <v>505</v>
      </c>
    </row>
    <row r="930" spans="2:9">
      <c r="B930" s="365" t="s">
        <v>1058</v>
      </c>
      <c r="C930" s="365" t="str">
        <f>CONCATENATE("EXP",Commodities!C18,4)</f>
        <v>EXPOILIP24</v>
      </c>
      <c r="D930" s="365" t="str">
        <f>CONCATENATE("Export All Types Crude Oil, PADD 2 to R",RIGHT(C930))</f>
        <v>Export All Types Crude Oil, PADD 2 to R4</v>
      </c>
      <c r="E930" s="381" t="s">
        <v>384</v>
      </c>
      <c r="F930" s="381" t="s">
        <v>505</v>
      </c>
    </row>
    <row r="931" spans="2:9">
      <c r="B931" s="365" t="s">
        <v>1058</v>
      </c>
      <c r="C931" s="365" t="str">
        <f>CONCATENATE("EXP",Commodities!C19,1)</f>
        <v>EXPOILIP31</v>
      </c>
      <c r="D931" s="365" t="str">
        <f>CONCATENATE("Export All Types Crude Oil, PADD 3 to R",RIGHT(C931))</f>
        <v>Export All Types Crude Oil, PADD 3 to R1</v>
      </c>
      <c r="E931" s="381" t="s">
        <v>384</v>
      </c>
      <c r="F931" s="381" t="s">
        <v>505</v>
      </c>
    </row>
    <row r="932" spans="2:9">
      <c r="B932" s="365" t="s">
        <v>1058</v>
      </c>
      <c r="C932" s="365" t="str">
        <f>CONCATENATE("EXP",Commodities!C19,7)</f>
        <v>EXPOILIP37</v>
      </c>
      <c r="D932" s="365" t="str">
        <f>CONCATENATE("Export All Types Crude Oil, PADD 3 to R",RIGHT(C932))</f>
        <v>Export All Types Crude Oil, PADD 3 to R7</v>
      </c>
      <c r="E932" s="381" t="s">
        <v>384</v>
      </c>
      <c r="F932" s="381" t="s">
        <v>505</v>
      </c>
    </row>
    <row r="933" spans="2:9">
      <c r="B933" s="365" t="s">
        <v>1058</v>
      </c>
      <c r="C933" s="365" t="str">
        <f>CONCATENATE("EXP",Commodities!C20,8)</f>
        <v>EXPOILIP48</v>
      </c>
      <c r="D933" s="365" t="str">
        <f>CONCATENATE("Export All Types Crude Oil, PADD 4 to R",RIGHT(C933))</f>
        <v>Export All Types Crude Oil, PADD 4 to R8</v>
      </c>
      <c r="E933" s="381" t="s">
        <v>384</v>
      </c>
      <c r="F933" s="381" t="s">
        <v>505</v>
      </c>
    </row>
    <row r="934" spans="2:9">
      <c r="B934" s="365" t="s">
        <v>1058</v>
      </c>
      <c r="C934" s="365" t="str">
        <f>CONCATENATE("EXP",Commodities!C21,9)</f>
        <v>EXPOILIP59</v>
      </c>
      <c r="D934" s="365" t="str">
        <f>CONCATENATE("Export All Types Crude Oil, PADD 5 to R",RIGHT(C934))</f>
        <v>Export All Types Crude Oil, PADD 5 to R9</v>
      </c>
      <c r="E934" s="381" t="s">
        <v>384</v>
      </c>
      <c r="F934" s="381" t="s">
        <v>505</v>
      </c>
    </row>
    <row r="935" spans="2:9">
      <c r="B935" s="364" t="s">
        <v>526</v>
      </c>
    </row>
    <row r="936" spans="2:9">
      <c r="B936" s="365" t="s">
        <v>1091</v>
      </c>
      <c r="C936" s="365" t="str">
        <f>CONCATENATE("IMP",Commodities!C17,1)</f>
        <v>IMPOILIP11</v>
      </c>
      <c r="D936" s="365" t="str">
        <f>CONCATENATE("Import All Types Crude Oil, PADD 1 to R",RIGHT(C936))</f>
        <v>Import All Types Crude Oil, PADD 1 to R1</v>
      </c>
      <c r="E936" s="381" t="s">
        <v>384</v>
      </c>
      <c r="F936" s="381" t="s">
        <v>505</v>
      </c>
      <c r="G936" s="364" t="s">
        <v>2536</v>
      </c>
    </row>
    <row r="937" spans="2:9">
      <c r="B937" s="365" t="s">
        <v>1088</v>
      </c>
      <c r="C937" s="365" t="str">
        <f>CONCATENATE("IMP",Commodities!C17,5)</f>
        <v>IMPOILIP15</v>
      </c>
      <c r="D937" s="365" t="str">
        <f>CONCATENATE("Import All Types Crude Oil, PADD 1 to R",RIGHT(C937))</f>
        <v>Import All Types Crude Oil, PADD 1 to R5</v>
      </c>
      <c r="E937" s="381" t="s">
        <v>384</v>
      </c>
      <c r="F937" s="381" t="s">
        <v>505</v>
      </c>
    </row>
    <row r="938" spans="2:9">
      <c r="B938" s="365" t="s">
        <v>1091</v>
      </c>
      <c r="C938" s="365" t="str">
        <f>CONCATENATE("IMP",Commodities!C18,1)</f>
        <v>IMPOILIP21</v>
      </c>
      <c r="D938" s="365" t="str">
        <f>CONCATENATE("Import All Types Crude Oil, PADD 2 to R",RIGHT(C938))</f>
        <v>Import All Types Crude Oil, PADD 2 to R1</v>
      </c>
      <c r="E938" s="381" t="s">
        <v>384</v>
      </c>
      <c r="F938" s="381" t="s">
        <v>505</v>
      </c>
    </row>
    <row r="939" spans="2:9">
      <c r="B939" s="365" t="s">
        <v>1087</v>
      </c>
      <c r="C939" s="365" t="str">
        <f>CONCATENATE("IMP",Commodities!C18,4)</f>
        <v>IMPOILIP24</v>
      </c>
      <c r="D939" s="365" t="str">
        <f>CONCATENATE("Import All Types Crude Oil, PADD 2 to R",RIGHT(C939))</f>
        <v>Import All Types Crude Oil, PADD 2 to R4</v>
      </c>
      <c r="E939" s="381" t="s">
        <v>384</v>
      </c>
      <c r="F939" s="381" t="s">
        <v>505</v>
      </c>
    </row>
    <row r="940" spans="2:9">
      <c r="B940" s="365" t="s">
        <v>1091</v>
      </c>
      <c r="C940" s="365" t="str">
        <f>CONCATENATE("IMP",Commodities!C19,1)</f>
        <v>IMPOILIP31</v>
      </c>
      <c r="D940" s="365" t="str">
        <f>CONCATENATE("Import All Types Crude Oil, PADD 3 to R",RIGHT(C940))</f>
        <v>Import All Types Crude Oil, PADD 3 to R1</v>
      </c>
      <c r="E940" s="381" t="s">
        <v>384</v>
      </c>
      <c r="F940" s="381" t="s">
        <v>505</v>
      </c>
    </row>
    <row r="941" spans="2:9">
      <c r="B941" s="365" t="s">
        <v>1059</v>
      </c>
      <c r="C941" s="365" t="str">
        <f>CONCATENATE("IMP",Commodities!C19,7)</f>
        <v>IMPOILIP37</v>
      </c>
      <c r="D941" s="365" t="str">
        <f>CONCATENATE("Import All Types Crude Oil, PADD 3 to R",RIGHT(C941))</f>
        <v>Import All Types Crude Oil, PADD 3 to R7</v>
      </c>
      <c r="E941" s="381" t="s">
        <v>384</v>
      </c>
      <c r="F941" s="381" t="s">
        <v>505</v>
      </c>
    </row>
    <row r="942" spans="2:9">
      <c r="B942" s="365" t="s">
        <v>1025</v>
      </c>
      <c r="C942" s="365" t="str">
        <f>CONCATENATE("IMP",Commodities!C20,8)</f>
        <v>IMPOILIP48</v>
      </c>
      <c r="D942" s="365" t="str">
        <f>CONCATENATE("Import All Types Crude Oil, PADD 4 to R",RIGHT(C942))</f>
        <v>Import All Types Crude Oil, PADD 4 to R8</v>
      </c>
      <c r="E942" s="381" t="s">
        <v>384</v>
      </c>
      <c r="F942" s="381" t="s">
        <v>505</v>
      </c>
    </row>
    <row r="943" spans="2:9">
      <c r="B943" s="365" t="s">
        <v>1026</v>
      </c>
      <c r="C943" s="365" t="str">
        <f>CONCATENATE("IMP",Commodities!C21,9)</f>
        <v>IMPOILIP59</v>
      </c>
      <c r="D943" s="365" t="str">
        <f>CONCATENATE("Import All Types Crude Oil, PADD 5 to R",RIGHT(C943))</f>
        <v>Import All Types Crude Oil, PADD 5 to R9</v>
      </c>
    </row>
    <row r="944" spans="2:9">
      <c r="B944" s="378" t="s">
        <v>545</v>
      </c>
      <c r="C944" s="378"/>
      <c r="D944" s="378"/>
      <c r="E944" s="414"/>
      <c r="F944" s="414"/>
      <c r="G944" s="372" t="s">
        <v>588</v>
      </c>
      <c r="H944" s="378"/>
      <c r="I944" s="378"/>
    </row>
    <row r="945" spans="2:7">
      <c r="B945" s="365" t="str">
        <f>IF(OR(G$944="*",LEFT(Commodities!B$65,1)="*"),"*R0","R0")</f>
        <v>*R0</v>
      </c>
      <c r="C945" s="365" t="str">
        <f>CONCATENATE("EXP",Commodities!C65,1)</f>
        <v>EXPDSHP11</v>
      </c>
      <c r="D945" s="365" t="str">
        <f>CONCATENATE("Export of Imported ",VLOOKUP(MID(C945,4,3),Types!$B$2:$C$13,2,FALSE),", PADD ",MID(C945,9,1)," to R",RIGHT(C945,1))</f>
        <v>Export of Imported Distillate-Heating Oil No. 2, PADD 1 to R1</v>
      </c>
      <c r="E945" s="381" t="s">
        <v>384</v>
      </c>
      <c r="F945" s="381" t="s">
        <v>505</v>
      </c>
      <c r="G945" s="364" t="s">
        <v>2535</v>
      </c>
    </row>
    <row r="946" spans="2:7">
      <c r="B946" s="365" t="str">
        <f>IF(OR(G$944="*",LEFT(Commodities!B$323,1)="*"),"*R0","R0")</f>
        <v>*R0</v>
      </c>
      <c r="C946" s="365" t="str">
        <f>CONCATENATE("EXP",Commodities!C323,1)</f>
        <v>EXPDSLP11</v>
      </c>
      <c r="D946" s="365" t="str">
        <f>CONCATENATE("Export of Imported ",VLOOKUP(MID(C946,4,3),Types!$B$2:$C$13,2,FALSE),", PADD ",MID(C946,9,1)," to R",RIGHT(C946,1))</f>
        <v>Export of Imported Distillate-Low Sulfur Highway Diesel (500 ppm), PADD 1 to R1</v>
      </c>
      <c r="E946" s="381" t="s">
        <v>384</v>
      </c>
      <c r="F946" s="381" t="s">
        <v>505</v>
      </c>
    </row>
    <row r="947" spans="2:7">
      <c r="B947" s="365" t="str">
        <f>IF(OR(G$944="*",LEFT(Commodities!B$324,1)="*"),"*R0","R0")</f>
        <v>*R0</v>
      </c>
      <c r="C947" s="365" t="str">
        <f>CONCATENATE("EXP",Commodities!C324,1)</f>
        <v>EXPDSUP11</v>
      </c>
      <c r="D947" s="365" t="str">
        <f>CONCATENATE("Export of Imported ",VLOOKUP(MID(C947,4,3),Types!$B$2:$C$13,2,FALSE),", PADD ",MID(C947,9,1)," to R",RIGHT(C947,1))</f>
        <v>Export of Imported Distillate-Ultralow Sulfur Highway Diesel (15 ppm), PADD 1 to R1</v>
      </c>
      <c r="E947" s="381" t="s">
        <v>384</v>
      </c>
      <c r="F947" s="381" t="s">
        <v>505</v>
      </c>
    </row>
    <row r="948" spans="2:7">
      <c r="B948" s="365" t="str">
        <f>IF(OR(G$944="*",LEFT(Commodities!B$325,1)="*"),"*R0","R0")</f>
        <v>*R0</v>
      </c>
      <c r="C948" s="365" t="str">
        <f>CONCATENATE("EXP",Commodities!C325,1)</f>
        <v>EXPGSCP11</v>
      </c>
      <c r="D948" s="365" t="str">
        <f>CONCATENATE("Export of Imported ",VLOOKUP(MID(C948,4,3),Types!$B$2:$C$13,2,FALSE),", PADD ",MID(C948,9,1)," to R",RIGHT(C948,1))</f>
        <v>Export of Imported Conventional Gasoline, PADD 1 to R1</v>
      </c>
      <c r="E948" s="381" t="s">
        <v>384</v>
      </c>
      <c r="F948" s="381" t="s">
        <v>505</v>
      </c>
    </row>
    <row r="949" spans="2:7">
      <c r="B949" s="365" t="str">
        <f>IF(OR(G$944="*",LEFT(Commodities!B$326,1)="*"),"*R0","R0")</f>
        <v>*R0</v>
      </c>
      <c r="C949" s="365" t="str">
        <f>CONCATENATE("EXP",Commodities!C326,1)</f>
        <v>EXPGSRP11</v>
      </c>
      <c r="D949" s="365" t="str">
        <f>CONCATENATE("Export of Imported ",VLOOKUP(MID(C949,4,3),Types!$B$2:$C$13,2,FALSE),", PADD ",MID(C949,9,1)," to R",RIGHT(C949,1))</f>
        <v>Export of Imported Reformulated Gasoline, PADD 1 to R1</v>
      </c>
      <c r="E949" s="381" t="s">
        <v>384</v>
      </c>
      <c r="F949" s="381" t="s">
        <v>505</v>
      </c>
    </row>
    <row r="950" spans="2:7">
      <c r="B950" s="365" t="str">
        <f>IF(OR(G$944="*",LEFT(Commodities!B$64,1)="*"),"*R0","R0")</f>
        <v>*R0</v>
      </c>
      <c r="C950" s="365" t="str">
        <f>CONCATENATE("EXP",Commodities!C64,1)</f>
        <v>EXPJTFP11</v>
      </c>
      <c r="D950" s="365" t="str">
        <f>CONCATENATE("Export of Imported ",VLOOKUP(MID(C950,4,3),Types!$B$2:$C$13,2,FALSE),", PADD ",MID(C950,8,1)," to R",RIGHT(C950,1))</f>
        <v>Export of Imported Jet Fuel, PADD 1 to R1</v>
      </c>
      <c r="E950" s="381" t="s">
        <v>384</v>
      </c>
      <c r="F950" s="381" t="s">
        <v>505</v>
      </c>
    </row>
    <row r="951" spans="2:7">
      <c r="B951" s="365" t="str">
        <f>IF(OR(G$944="*",LEFT(Commodities!B$327,1)="*"),"*R0","R0")</f>
        <v>*R0</v>
      </c>
      <c r="C951" s="365" t="str">
        <f>CONCATENATE("EXP",Commodities!C327,1)</f>
        <v>EXPKERP11</v>
      </c>
      <c r="D951" s="365" t="str">
        <f>CONCATENATE("Export of Imported ",VLOOKUP(MID(C951,4,3),Types!$B$2:$C$13,2,FALSE),", PADD ",MID(C951,8,1)," to R",RIGHT(C951,1))</f>
        <v>Export of Imported Kerosene and Other Refined Products, PADD 1 to R1</v>
      </c>
      <c r="E951" s="381" t="s">
        <v>384</v>
      </c>
      <c r="F951" s="381" t="s">
        <v>505</v>
      </c>
    </row>
    <row r="952" spans="2:7">
      <c r="B952" s="365" t="str">
        <f>IF(OR(G$944="*",LEFT(Commodities!B$328,1)="*"),"*R0","R0")</f>
        <v>*R0</v>
      </c>
      <c r="C952" s="365" t="str">
        <f>CONCATENATE("EXP",Commodities!C328,1)</f>
        <v>EXPLPGP11</v>
      </c>
      <c r="D952" s="365" t="str">
        <f>CONCATENATE("Export of Imported ",VLOOKUP(MID(C952,4,3),Types!$B$2:$C$13,2,FALSE),", PADD ",MID(C952,8,1)," to R",RIGHT(C952,1))</f>
        <v>Export of Imported LPG, PADD 1 to R1</v>
      </c>
      <c r="E952" s="381" t="s">
        <v>384</v>
      </c>
      <c r="F952" s="381" t="s">
        <v>505</v>
      </c>
    </row>
    <row r="953" spans="2:7">
      <c r="B953" s="365" t="str">
        <f>IF(OR(G$944="*",LEFT(Commodities!B$329,1)="*"),"*R0","R0")</f>
        <v>*R0</v>
      </c>
      <c r="C953" s="365" t="str">
        <f>CONCATENATE("EXP",Commodities!C329,1)</f>
        <v>EXPMTHP11</v>
      </c>
      <c r="D953" s="365" t="str">
        <f>CONCATENATE("Export of Imported ",VLOOKUP(MID(C953,4,3),Types!$B$2:$C$13,2,FALSE),", PADD ",MID(C953,8,1)," to R",RIGHT(C953,1))</f>
        <v>Export of Imported Methanol, PADD 1 to R1</v>
      </c>
      <c r="E953" s="381" t="s">
        <v>384</v>
      </c>
      <c r="F953" s="381" t="s">
        <v>505</v>
      </c>
    </row>
    <row r="954" spans="2:7">
      <c r="B954" s="365" t="str">
        <f>IF(OR(G$944="*",LEFT(Commodities!B$330,1)="*"),"*R0","R0")</f>
        <v>*R0</v>
      </c>
      <c r="C954" s="365" t="str">
        <f>CONCATENATE("EXP",Commodities!C330,1)</f>
        <v>EXPPFSP11</v>
      </c>
      <c r="D954" s="365" t="str">
        <f>CONCATENATE("Export of Imported ",VLOOKUP(MID(C954,4,3),Types!$B$2:$C$13,2,FALSE),", PADD ",MID(C954,8,1)," to R",RIGHT(C954,1))</f>
        <v>Export of Imported Petrochemical Feedstocks, PADD 1 to R1</v>
      </c>
      <c r="E954" s="381" t="s">
        <v>384</v>
      </c>
      <c r="F954" s="381" t="s">
        <v>505</v>
      </c>
    </row>
    <row r="955" spans="2:7">
      <c r="B955" s="365" t="str">
        <f>IF(OR(G$944="*",LEFT(Commodities!B$331,1)="*"),"*R0","R0")</f>
        <v>*R0</v>
      </c>
      <c r="C955" s="365" t="str">
        <f>CONCATENATE("EXP",Commodities!C331,1)</f>
        <v>EXPRFHP11</v>
      </c>
      <c r="D955" s="365" t="str">
        <f>CONCATENATE("Export of Imported ",VLOOKUP(MID(C955,4,3),Types!$B$2:$C$13,2,FALSE),", PADD ",MID(C955,8,1)," to R",RIGHT(C955,1))</f>
        <v>Export of Imported High Sulfur Residual Fuel Oil, PADD 1 to R1</v>
      </c>
      <c r="E955" s="381" t="s">
        <v>384</v>
      </c>
      <c r="F955" s="381" t="s">
        <v>505</v>
      </c>
    </row>
    <row r="956" spans="2:7">
      <c r="B956" s="365" t="str">
        <f>IF(OR(G$944="*",LEFT(Commodities!B$332,1)="*"),"*R0","R0")</f>
        <v>*R0</v>
      </c>
      <c r="C956" s="365" t="str">
        <f>CONCATENATE("EXP",Commodities!C332,1)</f>
        <v>EXPRFLP11</v>
      </c>
      <c r="D956" s="365" t="str">
        <f>CONCATENATE("Export of Imported ",VLOOKUP(MID(C956,4,3),Types!$B$2:$C$13,2,FALSE),", PADD ",MID(C956,8,1)," to R",RIGHT(C956,1))</f>
        <v>Export of Imported Low Sulfur Residual Fuel Oil, PADD 1 to R1</v>
      </c>
      <c r="E956" s="381" t="s">
        <v>384</v>
      </c>
      <c r="F956" s="381" t="s">
        <v>505</v>
      </c>
    </row>
    <row r="957" spans="2:7">
      <c r="B957" s="365" t="str">
        <f>IF(OR(G$944="*",LEFT(Commodities!B$333,1)="*"),"*R0","R0")</f>
        <v>*R0</v>
      </c>
      <c r="C957" s="365" t="s">
        <v>546</v>
      </c>
      <c r="D957" s="365" t="s">
        <v>547</v>
      </c>
      <c r="E957" s="381" t="s">
        <v>384</v>
      </c>
      <c r="F957" s="381" t="s">
        <v>505</v>
      </c>
    </row>
    <row r="958" spans="2:7">
      <c r="B958" s="365" t="str">
        <f>IF(OR(G$944="*",LEFT(Commodities!B$65,1)="*"),"*R0","R0")</f>
        <v>*R0</v>
      </c>
      <c r="C958" s="365" t="str">
        <f>CONCATENATE("EXP",Commodities!C65,2)</f>
        <v>EXPDSHP12</v>
      </c>
      <c r="D958" s="365" t="str">
        <f>CONCATENATE("Export of Imported ",VLOOKUP(MID(C958,4,3),Types!$B$2:$C$13,2,FALSE),", PADD ",MID(C958,8,1)," to R",RIGHT(C958,1))</f>
        <v>Export of Imported Distillate-Heating Oil No. 2, PADD 1 to R2</v>
      </c>
      <c r="E958" s="381" t="s">
        <v>384</v>
      </c>
      <c r="F958" s="381" t="s">
        <v>505</v>
      </c>
    </row>
    <row r="959" spans="2:7">
      <c r="B959" s="365" t="str">
        <f>IF(OR(G$944="*",LEFT(Commodities!B$323,1)="*"),"*R0","R0")</f>
        <v>*R0</v>
      </c>
      <c r="C959" s="365" t="str">
        <f>CONCATENATE("EXP",Commodities!C323,2)</f>
        <v>EXPDSLP12</v>
      </c>
      <c r="D959" s="365" t="str">
        <f>CONCATENATE("Export of Imported ",VLOOKUP(MID(C959,4,3),Types!$B$2:$C$13,2,FALSE),", PADD ",MID(C959,8,1)," to R",RIGHT(C959,1))</f>
        <v>Export of Imported Distillate-Low Sulfur Highway Diesel (500 ppm), PADD 1 to R2</v>
      </c>
      <c r="E959" s="381" t="s">
        <v>384</v>
      </c>
      <c r="F959" s="381" t="s">
        <v>505</v>
      </c>
    </row>
    <row r="960" spans="2:7">
      <c r="B960" s="365" t="str">
        <f>IF(OR(G$944="*",LEFT(Commodities!B$324,1)="*"),"*R0","R0")</f>
        <v>*R0</v>
      </c>
      <c r="C960" s="365" t="str">
        <f>CONCATENATE("EXP",Commodities!C324,2)</f>
        <v>EXPDSUP12</v>
      </c>
      <c r="D960" s="365" t="str">
        <f>CONCATENATE("Export of Imported ",VLOOKUP(MID(C960,4,3),Types!$B$2:$C$13,2,FALSE),", PADD ",MID(C960,8,1)," to R",RIGHT(C960,1))</f>
        <v>Export of Imported Distillate-Ultralow Sulfur Highway Diesel (15 ppm), PADD 1 to R2</v>
      </c>
      <c r="E960" s="381" t="s">
        <v>384</v>
      </c>
      <c r="F960" s="381" t="s">
        <v>505</v>
      </c>
    </row>
    <row r="961" spans="2:6">
      <c r="B961" s="365" t="str">
        <f>IF(OR(G$944="*",LEFT(Commodities!B$325,1)="*"),"*R0","R0")</f>
        <v>*R0</v>
      </c>
      <c r="C961" s="365" t="str">
        <f>CONCATENATE("EXP",Commodities!C325,2)</f>
        <v>EXPGSCP12</v>
      </c>
      <c r="D961" s="365" t="str">
        <f>CONCATENATE("Export of Imported ",VLOOKUP(MID(C961,4,3),Types!$B$2:$C$13,2,FALSE),", PADD ",MID(C961,8,1)," to R",RIGHT(C961,1))</f>
        <v>Export of Imported Conventional Gasoline, PADD 1 to R2</v>
      </c>
      <c r="E961" s="381" t="s">
        <v>384</v>
      </c>
      <c r="F961" s="381" t="s">
        <v>505</v>
      </c>
    </row>
    <row r="962" spans="2:6">
      <c r="B962" s="365" t="str">
        <f>IF(OR(G$944="*",LEFT(Commodities!B$326,1)="*"),"*R0","R0")</f>
        <v>*R0</v>
      </c>
      <c r="C962" s="365" t="str">
        <f>CONCATENATE("EXP",Commodities!C326,2)</f>
        <v>EXPGSRP12</v>
      </c>
      <c r="D962" s="365" t="str">
        <f>CONCATENATE("Export of Imported ",VLOOKUP(MID(C962,4,3),Types!$B$2:$C$13,2,FALSE),", PADD ",MID(C962,8,1)," to R",RIGHT(C962,1))</f>
        <v>Export of Imported Reformulated Gasoline, PADD 1 to R2</v>
      </c>
      <c r="E962" s="381" t="s">
        <v>384</v>
      </c>
      <c r="F962" s="381" t="s">
        <v>505</v>
      </c>
    </row>
    <row r="963" spans="2:6">
      <c r="B963" s="365" t="str">
        <f>IF(OR(G$944="*",LEFT(Commodities!B$64,1)="*"),"*R0","R0")</f>
        <v>*R0</v>
      </c>
      <c r="C963" s="365" t="str">
        <f>CONCATENATE("EXP",Commodities!C64,2)</f>
        <v>EXPJTFP12</v>
      </c>
      <c r="D963" s="365" t="str">
        <f>CONCATENATE("Export of Imported ",VLOOKUP(MID(C963,4,3),Types!$B$2:$C$13,2,FALSE),", PADD ",MID(C963,8,1)," to R",RIGHT(C963,1))</f>
        <v>Export of Imported Jet Fuel, PADD 1 to R2</v>
      </c>
      <c r="E963" s="381" t="s">
        <v>384</v>
      </c>
      <c r="F963" s="381" t="s">
        <v>505</v>
      </c>
    </row>
    <row r="964" spans="2:6">
      <c r="B964" s="365" t="str">
        <f>IF(OR(G$944="*",LEFT(Commodities!B$327,1)="*"),"*R0","R0")</f>
        <v>*R0</v>
      </c>
      <c r="C964" s="365" t="str">
        <f>CONCATENATE("EXP",Commodities!C327,2)</f>
        <v>EXPKERP12</v>
      </c>
      <c r="D964" s="365" t="str">
        <f>CONCATENATE("Export of Imported ",VLOOKUP(MID(C964,4,3),Types!$B$2:$C$13,2,FALSE),", PADD ",MID(C964,8,1)," to R",RIGHT(C964,1))</f>
        <v>Export of Imported Kerosene and Other Refined Products, PADD 1 to R2</v>
      </c>
      <c r="E964" s="381" t="s">
        <v>384</v>
      </c>
      <c r="F964" s="381" t="s">
        <v>505</v>
      </c>
    </row>
    <row r="965" spans="2:6">
      <c r="B965" s="365" t="str">
        <f>IF(OR(G$944="*",LEFT(Commodities!B$328,1)="*"),"*R0","R0")</f>
        <v>*R0</v>
      </c>
      <c r="C965" s="365" t="str">
        <f>CONCATENATE("EXP",Commodities!C328,2)</f>
        <v>EXPLPGP12</v>
      </c>
      <c r="D965" s="365" t="str">
        <f>CONCATENATE("Export of Imported ",VLOOKUP(MID(C965,4,3),Types!$B$2:$C$13,2,FALSE),", PADD ",MID(C965,8,1)," to R",RIGHT(C965,1))</f>
        <v>Export of Imported LPG, PADD 1 to R2</v>
      </c>
      <c r="E965" s="381" t="s">
        <v>384</v>
      </c>
      <c r="F965" s="381" t="s">
        <v>505</v>
      </c>
    </row>
    <row r="966" spans="2:6">
      <c r="B966" s="365" t="str">
        <f>IF(OR(G$944="*",LEFT(Commodities!B$329,1)="*"),"*R0","R0")</f>
        <v>*R0</v>
      </c>
      <c r="C966" s="365" t="str">
        <f>CONCATENATE("EXP",Commodities!C329,2)</f>
        <v>EXPMTHP12</v>
      </c>
      <c r="D966" s="365" t="str">
        <f>CONCATENATE("Export of Imported ",VLOOKUP(MID(C966,4,3),Types!$B$2:$C$13,2,FALSE),", PADD ",MID(C966,8,1)," to R",RIGHT(C966,1))</f>
        <v>Export of Imported Methanol, PADD 1 to R2</v>
      </c>
      <c r="E966" s="381" t="s">
        <v>384</v>
      </c>
      <c r="F966" s="381" t="s">
        <v>505</v>
      </c>
    </row>
    <row r="967" spans="2:6">
      <c r="B967" s="365" t="str">
        <f>IF(OR(G$944="*",LEFT(Commodities!B$330,1)="*"),"*R0","R0")</f>
        <v>*R0</v>
      </c>
      <c r="C967" s="365" t="str">
        <f>CONCATENATE("EXP",Commodities!C330,2)</f>
        <v>EXPPFSP12</v>
      </c>
      <c r="D967" s="365" t="str">
        <f>CONCATENATE("Export of Imported ",VLOOKUP(MID(C967,4,3),Types!$B$2:$C$13,2,FALSE),", PADD ",MID(C967,8,1)," to R",RIGHT(C967,1))</f>
        <v>Export of Imported Petrochemical Feedstocks, PADD 1 to R2</v>
      </c>
      <c r="E967" s="381" t="s">
        <v>384</v>
      </c>
      <c r="F967" s="381" t="s">
        <v>505</v>
      </c>
    </row>
    <row r="968" spans="2:6">
      <c r="B968" s="365" t="str">
        <f>IF(OR(G$944="*",LEFT(Commodities!B$331,1)="*"),"*R0","R0")</f>
        <v>*R0</v>
      </c>
      <c r="C968" s="365" t="str">
        <f>CONCATENATE("EXP",Commodities!C331,2)</f>
        <v>EXPRFHP12</v>
      </c>
      <c r="D968" s="365" t="str">
        <f>CONCATENATE("Export of Imported ",VLOOKUP(MID(C968,4,3),Types!$B$2:$C$13,2,FALSE),", PADD ",MID(C968,8,1)," to R",RIGHT(C968,1))</f>
        <v>Export of Imported High Sulfur Residual Fuel Oil, PADD 1 to R2</v>
      </c>
      <c r="E968" s="381" t="s">
        <v>384</v>
      </c>
      <c r="F968" s="381" t="s">
        <v>505</v>
      </c>
    </row>
    <row r="969" spans="2:6">
      <c r="B969" s="365" t="str">
        <f>IF(OR(G$944="*",LEFT(Commodities!B$332,1)="*"),"*R0","R0")</f>
        <v>*R0</v>
      </c>
      <c r="C969" s="365" t="str">
        <f>CONCATENATE("EXP",Commodities!C332,2)</f>
        <v>EXPRFLP12</v>
      </c>
      <c r="D969" s="365" t="str">
        <f>CONCATENATE("Export of Imported ",VLOOKUP(MID(C969,4,3),Types!$B$2:$C$13,2,FALSE),", PADD ",MID(C969,8,1)," to R",RIGHT(C969,1))</f>
        <v>Export of Imported Low Sulfur Residual Fuel Oil, PADD 1 to R2</v>
      </c>
      <c r="E969" s="381" t="s">
        <v>384</v>
      </c>
      <c r="F969" s="381" t="s">
        <v>505</v>
      </c>
    </row>
    <row r="970" spans="2:6">
      <c r="B970" s="365" t="str">
        <f>IF(OR(G$944="*",LEFT(Commodities!B$333,1)="*"),"*R0","R0")</f>
        <v>*R0</v>
      </c>
      <c r="C970" s="365" t="s">
        <v>548</v>
      </c>
      <c r="D970" s="365" t="s">
        <v>549</v>
      </c>
      <c r="E970" s="381" t="s">
        <v>384</v>
      </c>
      <c r="F970" s="381" t="s">
        <v>505</v>
      </c>
    </row>
    <row r="971" spans="2:6">
      <c r="B971" s="365" t="str">
        <f>IF(OR(G$944="*",LEFT(Commodities!B$65,1)="*"),"*R0","R0")</f>
        <v>*R0</v>
      </c>
      <c r="C971" s="365" t="str">
        <f>CONCATENATE("EXP",Commodities!C65,3)</f>
        <v>EXPDSHP13</v>
      </c>
      <c r="D971" s="365" t="str">
        <f>CONCATENATE("Export of Imported ",VLOOKUP(MID(C971,4,3),Types!$B$2:$C$13,2,FALSE),", PADD ",MID(C971,8,1)," to R",RIGHT(C971,1))</f>
        <v>Export of Imported Distillate-Heating Oil No. 2, PADD 1 to R3</v>
      </c>
      <c r="E971" s="381" t="s">
        <v>384</v>
      </c>
      <c r="F971" s="381" t="s">
        <v>505</v>
      </c>
    </row>
    <row r="972" spans="2:6">
      <c r="B972" s="365" t="str">
        <f>IF(OR(G$944="*",LEFT(Commodities!B$323,1)="*"),"*R0","R0")</f>
        <v>*R0</v>
      </c>
      <c r="C972" s="365" t="str">
        <f>CONCATENATE("EXP",Commodities!C323,3)</f>
        <v>EXPDSLP13</v>
      </c>
      <c r="D972" s="365" t="str">
        <f>CONCATENATE("Export of Imported ",VLOOKUP(MID(C972,4,3),Types!$B$2:$C$13,2,FALSE),", PADD ",MID(C972,8,1)," to R",RIGHT(C972,1))</f>
        <v>Export of Imported Distillate-Low Sulfur Highway Diesel (500 ppm), PADD 1 to R3</v>
      </c>
      <c r="E972" s="381" t="s">
        <v>384</v>
      </c>
      <c r="F972" s="381" t="s">
        <v>505</v>
      </c>
    </row>
    <row r="973" spans="2:6">
      <c r="B973" s="365" t="str">
        <f>IF(OR(G$944="*",LEFT(Commodities!B$324,1)="*"),"*R0","R0")</f>
        <v>*R0</v>
      </c>
      <c r="C973" s="365" t="str">
        <f>CONCATENATE("EXP",Commodities!C324,3)</f>
        <v>EXPDSUP13</v>
      </c>
      <c r="D973" s="365" t="str">
        <f>CONCATENATE("Export of Imported ",VLOOKUP(MID(C973,4,3),Types!$B$2:$C$13,2,FALSE),", PADD ",MID(C973,8,1)," to R",RIGHT(C973,1))</f>
        <v>Export of Imported Distillate-Ultralow Sulfur Highway Diesel (15 ppm), PADD 1 to R3</v>
      </c>
      <c r="E973" s="381" t="s">
        <v>384</v>
      </c>
      <c r="F973" s="381" t="s">
        <v>505</v>
      </c>
    </row>
    <row r="974" spans="2:6">
      <c r="B974" s="365" t="str">
        <f>IF(OR(G$944="*",LEFT(Commodities!B$325,1)="*"),"*R0","R0")</f>
        <v>*R0</v>
      </c>
      <c r="C974" s="365" t="str">
        <f>CONCATENATE("EXP",Commodities!C325,3)</f>
        <v>EXPGSCP13</v>
      </c>
      <c r="D974" s="365" t="str">
        <f>CONCATENATE("Export of Imported ",VLOOKUP(MID(C974,4,3),Types!$B$2:$C$13,2,FALSE),", PADD ",MID(C974,8,1)," to R",RIGHT(C974,1))</f>
        <v>Export of Imported Conventional Gasoline, PADD 1 to R3</v>
      </c>
      <c r="E974" s="381" t="s">
        <v>384</v>
      </c>
      <c r="F974" s="381" t="s">
        <v>505</v>
      </c>
    </row>
    <row r="975" spans="2:6">
      <c r="B975" s="365" t="str">
        <f>IF(OR(G$944="*",LEFT(Commodities!B$326,1)="*"),"*R0","R0")</f>
        <v>*R0</v>
      </c>
      <c r="C975" s="365" t="str">
        <f>CONCATENATE("EXP",Commodities!C326,3)</f>
        <v>EXPGSRP13</v>
      </c>
      <c r="D975" s="365" t="str">
        <f>CONCATENATE("Export of Imported ",VLOOKUP(MID(C975,4,3),Types!$B$2:$C$13,2,FALSE),", PADD ",MID(C975,8,1)," to R",RIGHT(C975,1))</f>
        <v>Export of Imported Reformulated Gasoline, PADD 1 to R3</v>
      </c>
      <c r="E975" s="381" t="s">
        <v>384</v>
      </c>
      <c r="F975" s="381" t="s">
        <v>505</v>
      </c>
    </row>
    <row r="976" spans="2:6">
      <c r="B976" s="365" t="str">
        <f>IF(OR(G$944="*",LEFT(Commodities!B$64,1)="*"),"*R0","R0")</f>
        <v>*R0</v>
      </c>
      <c r="C976" s="365" t="str">
        <f>CONCATENATE("EXP",Commodities!C64,3)</f>
        <v>EXPJTFP13</v>
      </c>
      <c r="D976" s="365" t="str">
        <f>CONCATENATE("Export of Imported ",VLOOKUP(MID(C976,4,3),Types!$B$2:$C$13,2,FALSE),", PADD ",MID(C976,8,1)," to R",RIGHT(C976,1))</f>
        <v>Export of Imported Jet Fuel, PADD 1 to R3</v>
      </c>
      <c r="E976" s="381" t="s">
        <v>384</v>
      </c>
      <c r="F976" s="381" t="s">
        <v>505</v>
      </c>
    </row>
    <row r="977" spans="2:6">
      <c r="B977" s="365" t="str">
        <f>IF(OR(G$944="*",LEFT(Commodities!B$327,1)="*"),"*R0","R0")</f>
        <v>*R0</v>
      </c>
      <c r="C977" s="365" t="str">
        <f>CONCATENATE("EXP",Commodities!C327,3)</f>
        <v>EXPKERP13</v>
      </c>
      <c r="D977" s="365" t="str">
        <f>CONCATENATE("Export of Imported ",VLOOKUP(MID(C977,4,3),Types!$B$2:$C$13,2,FALSE),", PADD ",MID(C977,8,1)," to R",RIGHT(C977,1))</f>
        <v>Export of Imported Kerosene and Other Refined Products, PADD 1 to R3</v>
      </c>
      <c r="E977" s="381" t="s">
        <v>384</v>
      </c>
      <c r="F977" s="381" t="s">
        <v>505</v>
      </c>
    </row>
    <row r="978" spans="2:6">
      <c r="B978" s="365" t="str">
        <f>IF(OR(G$944="*",LEFT(Commodities!B$328,1)="*"),"*R0","R0")</f>
        <v>*R0</v>
      </c>
      <c r="C978" s="365" t="str">
        <f>CONCATENATE("EXP",Commodities!C328,3)</f>
        <v>EXPLPGP13</v>
      </c>
      <c r="D978" s="365" t="str">
        <f>CONCATENATE("Export of Imported ",VLOOKUP(MID(C978,4,3),Types!$B$2:$C$13,2,FALSE),", PADD ",MID(C978,8,1)," to R",RIGHT(C978,1))</f>
        <v>Export of Imported LPG, PADD 1 to R3</v>
      </c>
      <c r="E978" s="381" t="s">
        <v>384</v>
      </c>
      <c r="F978" s="381" t="s">
        <v>505</v>
      </c>
    </row>
    <row r="979" spans="2:6">
      <c r="B979" s="365" t="str">
        <f>IF(OR(G$944="*",LEFT(Commodities!B$329,1)="*"),"*R0","R0")</f>
        <v>*R0</v>
      </c>
      <c r="C979" s="365" t="str">
        <f>CONCATENATE("EXP",Commodities!C329,3)</f>
        <v>EXPMTHP13</v>
      </c>
      <c r="D979" s="365" t="str">
        <f>CONCATENATE("Export of Imported ",VLOOKUP(MID(C979,4,3),Types!$B$2:$C$13,2,FALSE),", PADD ",MID(C979,8,1)," to R",RIGHT(C979,1))</f>
        <v>Export of Imported Methanol, PADD 1 to R3</v>
      </c>
      <c r="E979" s="381" t="s">
        <v>384</v>
      </c>
      <c r="F979" s="381" t="s">
        <v>505</v>
      </c>
    </row>
    <row r="980" spans="2:6">
      <c r="B980" s="365" t="str">
        <f>IF(OR(G$944="*",LEFT(Commodities!B$330,1)="*"),"*R0","R0")</f>
        <v>*R0</v>
      </c>
      <c r="C980" s="365" t="str">
        <f>CONCATENATE("EXP",Commodities!C330,3)</f>
        <v>EXPPFSP13</v>
      </c>
      <c r="D980" s="365" t="str">
        <f>CONCATENATE("Export of Imported ",VLOOKUP(MID(C980,4,3),Types!$B$2:$C$13,2,FALSE),", PADD ",MID(C980,8,1)," to R",RIGHT(C980,1))</f>
        <v>Export of Imported Petrochemical Feedstocks, PADD 1 to R3</v>
      </c>
      <c r="E980" s="381" t="s">
        <v>384</v>
      </c>
      <c r="F980" s="381" t="s">
        <v>505</v>
      </c>
    </row>
    <row r="981" spans="2:6">
      <c r="B981" s="365" t="str">
        <f>IF(OR(G$944="*",LEFT(Commodities!B$331,1)="*"),"*R0","R0")</f>
        <v>*R0</v>
      </c>
      <c r="C981" s="365" t="str">
        <f>CONCATENATE("EXP",Commodities!C331,3)</f>
        <v>EXPRFHP13</v>
      </c>
      <c r="D981" s="365" t="str">
        <f>CONCATENATE("Export of Imported ",VLOOKUP(MID(C981,4,3),Types!$B$2:$C$13,2,FALSE),", PADD ",MID(C981,8,1)," to R",RIGHT(C981,1))</f>
        <v>Export of Imported High Sulfur Residual Fuel Oil, PADD 1 to R3</v>
      </c>
      <c r="E981" s="381" t="s">
        <v>384</v>
      </c>
      <c r="F981" s="381" t="s">
        <v>505</v>
      </c>
    </row>
    <row r="982" spans="2:6">
      <c r="B982" s="365" t="str">
        <f>IF(OR(G$944="*",LEFT(Commodities!B$332,1)="*"),"*R0","R0")</f>
        <v>*R0</v>
      </c>
      <c r="C982" s="365" t="str">
        <f>CONCATENATE("EXP",Commodities!C332,3)</f>
        <v>EXPRFLP13</v>
      </c>
      <c r="D982" s="365" t="str">
        <f>CONCATENATE("Export of Imported ",VLOOKUP(MID(C982,4,3),Types!$B$2:$C$13,2,FALSE),", PADD ",MID(C982,8,1)," to R",RIGHT(C982,1))</f>
        <v>Export of Imported Low Sulfur Residual Fuel Oil, PADD 1 to R3</v>
      </c>
      <c r="E982" s="381" t="s">
        <v>384</v>
      </c>
      <c r="F982" s="381" t="s">
        <v>505</v>
      </c>
    </row>
    <row r="983" spans="2:6">
      <c r="B983" s="365" t="str">
        <f>IF(OR(G$944="*",LEFT(Commodities!B$333,1)="*"),"*R0","R0")</f>
        <v>*R0</v>
      </c>
      <c r="C983" s="365" t="s">
        <v>2446</v>
      </c>
      <c r="D983" s="365" t="s">
        <v>2451</v>
      </c>
      <c r="E983" s="381" t="s">
        <v>384</v>
      </c>
      <c r="F983" s="381" t="s">
        <v>505</v>
      </c>
    </row>
    <row r="984" spans="2:6">
      <c r="B984" s="365" t="str">
        <f>IF(OR(G$944="*",LEFT(Commodities!B$65,1)="*"),"*R0","R0")</f>
        <v>*R0</v>
      </c>
      <c r="C984" s="365" t="str">
        <f>CONCATENATE("EXP",Commodities!C65,4)</f>
        <v>EXPDSHP14</v>
      </c>
      <c r="D984" s="365" t="str">
        <f>CONCATENATE("Export of Imported ",VLOOKUP(MID(C984,4,3),Types!$B$2:$C$13,2,FALSE),", PADD ",MID(C984,8,1)," to R",RIGHT(C984,1))</f>
        <v>Export of Imported Distillate-Heating Oil No. 2, PADD 1 to R4</v>
      </c>
      <c r="E984" s="381" t="s">
        <v>384</v>
      </c>
      <c r="F984" s="381" t="s">
        <v>505</v>
      </c>
    </row>
    <row r="985" spans="2:6">
      <c r="B985" s="365" t="str">
        <f>IF(OR(G$944="*",LEFT(Commodities!B$323,1)="*"),"*R0","R0")</f>
        <v>*R0</v>
      </c>
      <c r="C985" s="365" t="str">
        <f>CONCATENATE("EXP",Commodities!C323,4)</f>
        <v>EXPDSLP14</v>
      </c>
      <c r="D985" s="365" t="str">
        <f>CONCATENATE("Export of Imported ",VLOOKUP(MID(C985,4,3),Types!$B$2:$C$13,2,FALSE),", PADD ",MID(C985,8,1)," to R",RIGHT(C985,1))</f>
        <v>Export of Imported Distillate-Low Sulfur Highway Diesel (500 ppm), PADD 1 to R4</v>
      </c>
      <c r="E985" s="381" t="s">
        <v>384</v>
      </c>
      <c r="F985" s="381" t="s">
        <v>505</v>
      </c>
    </row>
    <row r="986" spans="2:6">
      <c r="B986" s="365" t="str">
        <f>IF(OR(G$944="*",LEFT(Commodities!B$324,1)="*"),"*R0","R0")</f>
        <v>*R0</v>
      </c>
      <c r="C986" s="365" t="str">
        <f>CONCATENATE("EXP",Commodities!C324,4)</f>
        <v>EXPDSUP14</v>
      </c>
      <c r="D986" s="365" t="str">
        <f>CONCATENATE("Export of Imported ",VLOOKUP(MID(C986,4,3),Types!$B$2:$C$13,2,FALSE),", PADD ",MID(C986,8,1)," to R",RIGHT(C986,1))</f>
        <v>Export of Imported Distillate-Ultralow Sulfur Highway Diesel (15 ppm), PADD 1 to R4</v>
      </c>
      <c r="E986" s="381" t="s">
        <v>384</v>
      </c>
      <c r="F986" s="381" t="s">
        <v>505</v>
      </c>
    </row>
    <row r="987" spans="2:6">
      <c r="B987" s="365" t="str">
        <f>IF(OR(G$944="*",LEFT(Commodities!B$325,1)="*"),"*R0","R0")</f>
        <v>*R0</v>
      </c>
      <c r="C987" s="365" t="str">
        <f>CONCATENATE("EXP",Commodities!C325,4)</f>
        <v>EXPGSCP14</v>
      </c>
      <c r="D987" s="365" t="str">
        <f>CONCATENATE("Export of Imported ",VLOOKUP(MID(C987,4,3),Types!$B$2:$C$13,2,FALSE),", PADD ",MID(C987,8,1)," to R",RIGHT(C987,1))</f>
        <v>Export of Imported Conventional Gasoline, PADD 1 to R4</v>
      </c>
      <c r="E987" s="381" t="s">
        <v>384</v>
      </c>
      <c r="F987" s="381" t="s">
        <v>505</v>
      </c>
    </row>
    <row r="988" spans="2:6">
      <c r="B988" s="365" t="str">
        <f>IF(OR(G$944="*",LEFT(Commodities!B$326,1)="*"),"*R0","R0")</f>
        <v>*R0</v>
      </c>
      <c r="C988" s="365" t="str">
        <f>CONCATENATE("EXP",Commodities!C326,4)</f>
        <v>EXPGSRP14</v>
      </c>
      <c r="D988" s="365" t="str">
        <f>CONCATENATE("Export of Imported ",VLOOKUP(MID(C988,4,3),Types!$B$2:$C$13,2,FALSE),", PADD ",MID(C988,8,1)," to R",RIGHT(C988,1))</f>
        <v>Export of Imported Reformulated Gasoline, PADD 1 to R4</v>
      </c>
      <c r="E988" s="381" t="s">
        <v>384</v>
      </c>
      <c r="F988" s="381" t="s">
        <v>505</v>
      </c>
    </row>
    <row r="989" spans="2:6">
      <c r="B989" s="365" t="str">
        <f>IF(OR(G$944="*",LEFT(Commodities!B$64,1)="*"),"*R0","R0")</f>
        <v>*R0</v>
      </c>
      <c r="C989" s="365" t="str">
        <f>CONCATENATE("EXP",Commodities!C64,4)</f>
        <v>EXPJTFP14</v>
      </c>
      <c r="D989" s="365" t="str">
        <f>CONCATENATE("Export of Imported ",VLOOKUP(MID(C989,4,3),Types!$B$2:$C$13,2,FALSE),", PADD ",MID(C989,8,1)," to R",RIGHT(C989,1))</f>
        <v>Export of Imported Jet Fuel, PADD 1 to R4</v>
      </c>
      <c r="E989" s="381" t="s">
        <v>384</v>
      </c>
      <c r="F989" s="381" t="s">
        <v>505</v>
      </c>
    </row>
    <row r="990" spans="2:6">
      <c r="B990" s="365" t="str">
        <f>IF(OR(G$944="*",LEFT(Commodities!B$327,1)="*"),"*R0","R0")</f>
        <v>*R0</v>
      </c>
      <c r="C990" s="365" t="str">
        <f>CONCATENATE("EXP",Commodities!C327,4)</f>
        <v>EXPKERP14</v>
      </c>
      <c r="D990" s="365" t="str">
        <f>CONCATENATE("Export of Imported ",VLOOKUP(MID(C990,4,3),Types!$B$2:$C$13,2,FALSE),", PADD ",MID(C990,8,1)," to R",RIGHT(C990,1))</f>
        <v>Export of Imported Kerosene and Other Refined Products, PADD 1 to R4</v>
      </c>
      <c r="E990" s="381" t="s">
        <v>384</v>
      </c>
      <c r="F990" s="381" t="s">
        <v>505</v>
      </c>
    </row>
    <row r="991" spans="2:6">
      <c r="B991" s="365" t="str">
        <f>IF(OR(G$944="*",LEFT(Commodities!B$328,1)="*"),"*R0","R0")</f>
        <v>*R0</v>
      </c>
      <c r="C991" s="365" t="str">
        <f>CONCATENATE("EXP",Commodities!C328,4)</f>
        <v>EXPLPGP14</v>
      </c>
      <c r="D991" s="365" t="str">
        <f>CONCATENATE("Export of Imported ",VLOOKUP(MID(C991,4,3),Types!$B$2:$C$13,2,FALSE),", PADD ",MID(C991,8,1)," to R",RIGHT(C991,1))</f>
        <v>Export of Imported LPG, PADD 1 to R4</v>
      </c>
      <c r="E991" s="381" t="s">
        <v>384</v>
      </c>
      <c r="F991" s="381" t="s">
        <v>505</v>
      </c>
    </row>
    <row r="992" spans="2:6">
      <c r="B992" s="365" t="str">
        <f>IF(OR(G$944="*",LEFT(Commodities!B$329,1)="*"),"*R0","R0")</f>
        <v>*R0</v>
      </c>
      <c r="C992" s="365" t="str">
        <f>CONCATENATE("EXP",Commodities!C329,4)</f>
        <v>EXPMTHP14</v>
      </c>
      <c r="D992" s="365" t="str">
        <f>CONCATENATE("Export of Imported ",VLOOKUP(MID(C992,4,3),Types!$B$2:$C$13,2,FALSE),", PADD ",MID(C992,8,1)," to R",RIGHT(C992,1))</f>
        <v>Export of Imported Methanol, PADD 1 to R4</v>
      </c>
      <c r="E992" s="381" t="s">
        <v>384</v>
      </c>
      <c r="F992" s="381" t="s">
        <v>505</v>
      </c>
    </row>
    <row r="993" spans="2:6">
      <c r="B993" s="365" t="str">
        <f>IF(OR(G$944="*",LEFT(Commodities!B$330,1)="*"),"*R0","R0")</f>
        <v>*R0</v>
      </c>
      <c r="C993" s="365" t="str">
        <f>CONCATENATE("EXP",Commodities!C330,4)</f>
        <v>EXPPFSP14</v>
      </c>
      <c r="D993" s="365" t="str">
        <f>CONCATENATE("Export of Imported ",VLOOKUP(MID(C993,4,3),Types!$B$2:$C$13,2,FALSE),", PADD ",MID(C993,8,1)," to R",RIGHT(C993,1))</f>
        <v>Export of Imported Petrochemical Feedstocks, PADD 1 to R4</v>
      </c>
      <c r="E993" s="381" t="s">
        <v>384</v>
      </c>
      <c r="F993" s="381" t="s">
        <v>505</v>
      </c>
    </row>
    <row r="994" spans="2:6">
      <c r="B994" s="365" t="str">
        <f>IF(OR(G$944="*",LEFT(Commodities!B$331,1)="*"),"*R0","R0")</f>
        <v>*R0</v>
      </c>
      <c r="C994" s="365" t="str">
        <f>CONCATENATE("EXP",Commodities!C331,4)</f>
        <v>EXPRFHP14</v>
      </c>
      <c r="D994" s="365" t="str">
        <f>CONCATENATE("Export of Imported ",VLOOKUP(MID(C994,4,3),Types!$B$2:$C$13,2,FALSE),", PADD ",MID(C994,8,1)," to R",RIGHT(C994,1))</f>
        <v>Export of Imported High Sulfur Residual Fuel Oil, PADD 1 to R4</v>
      </c>
      <c r="E994" s="381" t="s">
        <v>384</v>
      </c>
      <c r="F994" s="381" t="s">
        <v>505</v>
      </c>
    </row>
    <row r="995" spans="2:6">
      <c r="B995" s="365" t="str">
        <f>IF(OR(G$944="*",LEFT(Commodities!B$332,1)="*"),"*R0","R0")</f>
        <v>*R0</v>
      </c>
      <c r="C995" s="365" t="str">
        <f>CONCATENATE("EXP",Commodities!C332,4)</f>
        <v>EXPRFLP14</v>
      </c>
      <c r="D995" s="365" t="str">
        <f>CONCATENATE("Export of Imported ",VLOOKUP(MID(C995,4,3),Types!$B$2:$C$13,2,FALSE),", PADD ",MID(C995,8,1)," to R",RIGHT(C995,1))</f>
        <v>Export of Imported Low Sulfur Residual Fuel Oil, PADD 1 to R4</v>
      </c>
      <c r="E995" s="381" t="s">
        <v>384</v>
      </c>
      <c r="F995" s="381" t="s">
        <v>505</v>
      </c>
    </row>
    <row r="996" spans="2:6">
      <c r="B996" s="365" t="str">
        <f>IF(OR(G$944="*",LEFT(Commodities!B$333,1)="*"),"*R0","R0")</f>
        <v>*R0</v>
      </c>
      <c r="C996" s="365" t="s">
        <v>2447</v>
      </c>
      <c r="D996" s="365" t="s">
        <v>2450</v>
      </c>
      <c r="E996" s="381" t="s">
        <v>384</v>
      </c>
      <c r="F996" s="381" t="s">
        <v>505</v>
      </c>
    </row>
    <row r="997" spans="2:6">
      <c r="B997" s="365" t="str">
        <f>IF(OR(G$944="*",LEFT(Commodities!B$65,1)="*"),"*R0","R0")</f>
        <v>*R0</v>
      </c>
      <c r="C997" s="365" t="str">
        <f>CONCATENATE("EXP",Commodities!C65,5)</f>
        <v>EXPDSHP15</v>
      </c>
      <c r="D997" s="365" t="str">
        <f>CONCATENATE("Export of Imported ",VLOOKUP(MID(C997,4,3),Types!$B$2:$C$13,2,FALSE),", PADD ",MID(C997,8,1)," to R",RIGHT(C997,1))</f>
        <v>Export of Imported Distillate-Heating Oil No. 2, PADD 1 to R5</v>
      </c>
      <c r="E997" s="381" t="s">
        <v>384</v>
      </c>
      <c r="F997" s="381" t="s">
        <v>505</v>
      </c>
    </row>
    <row r="998" spans="2:6">
      <c r="B998" s="365" t="str">
        <f>IF(OR(G$944="*",LEFT(Commodities!B$323,1)="*"),"*R0","R0")</f>
        <v>*R0</v>
      </c>
      <c r="C998" s="365" t="str">
        <f>CONCATENATE("EXP",Commodities!C323,5)</f>
        <v>EXPDSLP15</v>
      </c>
      <c r="D998" s="365" t="str">
        <f>CONCATENATE("Export of Imported ",VLOOKUP(MID(C998,4,3),Types!$B$2:$C$13,2,FALSE),", PADD ",MID(C998,8,1)," to R",RIGHT(C998,1))</f>
        <v>Export of Imported Distillate-Low Sulfur Highway Diesel (500 ppm), PADD 1 to R5</v>
      </c>
      <c r="E998" s="381" t="s">
        <v>384</v>
      </c>
      <c r="F998" s="381" t="s">
        <v>505</v>
      </c>
    </row>
    <row r="999" spans="2:6">
      <c r="B999" s="365" t="str">
        <f>IF(OR(G$944="*",LEFT(Commodities!B$324,1)="*"),"*R0","R0")</f>
        <v>*R0</v>
      </c>
      <c r="C999" s="365" t="str">
        <f>CONCATENATE("EXP",Commodities!C324,5)</f>
        <v>EXPDSUP15</v>
      </c>
      <c r="D999" s="365" t="str">
        <f>CONCATENATE("Export of Imported ",VLOOKUP(MID(C999,4,3),Types!$B$2:$C$13,2,FALSE),", PADD ",MID(C999,8,1)," to R",RIGHT(C999,1))</f>
        <v>Export of Imported Distillate-Ultralow Sulfur Highway Diesel (15 ppm), PADD 1 to R5</v>
      </c>
      <c r="E999" s="381" t="s">
        <v>384</v>
      </c>
      <c r="F999" s="381" t="s">
        <v>505</v>
      </c>
    </row>
    <row r="1000" spans="2:6">
      <c r="B1000" s="365" t="str">
        <f>IF(OR(G$944="*",LEFT(Commodities!B$325,1)="*"),"*R0","R0")</f>
        <v>*R0</v>
      </c>
      <c r="C1000" s="365" t="str">
        <f>CONCATENATE("EXP",Commodities!C325,5)</f>
        <v>EXPGSCP15</v>
      </c>
      <c r="D1000" s="365" t="str">
        <f>CONCATENATE("Export of Imported ",VLOOKUP(MID(C1000,4,3),Types!$B$2:$C$13,2,FALSE),", PADD ",MID(C1000,8,1)," to R",RIGHT(C1000,1))</f>
        <v>Export of Imported Conventional Gasoline, PADD 1 to R5</v>
      </c>
      <c r="E1000" s="381" t="s">
        <v>384</v>
      </c>
      <c r="F1000" s="381" t="s">
        <v>505</v>
      </c>
    </row>
    <row r="1001" spans="2:6">
      <c r="B1001" s="365" t="str">
        <f>IF(OR(G$944="*",LEFT(Commodities!B$326,1)="*"),"*R0","R0")</f>
        <v>*R0</v>
      </c>
      <c r="C1001" s="365" t="str">
        <f>CONCATENATE("EXP",Commodities!C326,5)</f>
        <v>EXPGSRP15</v>
      </c>
      <c r="D1001" s="365" t="str">
        <f>CONCATENATE("Export of Imported ",VLOOKUP(MID(C1001,4,3),Types!$B$2:$C$13,2,FALSE),", PADD ",MID(C1001,8,1)," to R",RIGHT(C1001,1))</f>
        <v>Export of Imported Reformulated Gasoline, PADD 1 to R5</v>
      </c>
      <c r="E1001" s="381" t="s">
        <v>384</v>
      </c>
      <c r="F1001" s="381" t="s">
        <v>505</v>
      </c>
    </row>
    <row r="1002" spans="2:6">
      <c r="B1002" s="365" t="str">
        <f>IF(OR(G$944="*",LEFT(Commodities!B$64,1)="*"),"*R0","R0")</f>
        <v>*R0</v>
      </c>
      <c r="C1002" s="365" t="str">
        <f>CONCATENATE("EXP",Commodities!C64,5)</f>
        <v>EXPJTFP15</v>
      </c>
      <c r="D1002" s="365" t="str">
        <f>CONCATENATE("Export of Imported ",VLOOKUP(MID(C1002,4,3),Types!$B$2:$C$13,2,FALSE),", PADD ",MID(C1002,8,1)," to R",RIGHT(C1002,1))</f>
        <v>Export of Imported Jet Fuel, PADD 1 to R5</v>
      </c>
      <c r="E1002" s="381" t="s">
        <v>384</v>
      </c>
      <c r="F1002" s="381" t="s">
        <v>505</v>
      </c>
    </row>
    <row r="1003" spans="2:6">
      <c r="B1003" s="365" t="str">
        <f>IF(OR(G$944="*",LEFT(Commodities!B$327,1)="*"),"*R0","R0")</f>
        <v>*R0</v>
      </c>
      <c r="C1003" s="365" t="str">
        <f>CONCATENATE("EXP",Commodities!C327,5)</f>
        <v>EXPKERP15</v>
      </c>
      <c r="D1003" s="365" t="str">
        <f>CONCATENATE("Export of Imported ",VLOOKUP(MID(C1003,4,3),Types!$B$2:$C$13,2,FALSE),", PADD ",MID(C1003,8,1)," to R",RIGHT(C1003,1))</f>
        <v>Export of Imported Kerosene and Other Refined Products, PADD 1 to R5</v>
      </c>
      <c r="E1003" s="381" t="s">
        <v>384</v>
      </c>
      <c r="F1003" s="381" t="s">
        <v>505</v>
      </c>
    </row>
    <row r="1004" spans="2:6">
      <c r="B1004" s="365" t="str">
        <f>IF(OR(G$944="*",LEFT(Commodities!B$328,1)="*"),"*R0","R0")</f>
        <v>*R0</v>
      </c>
      <c r="C1004" s="365" t="str">
        <f>CONCATENATE("EXP",Commodities!C328,5)</f>
        <v>EXPLPGP15</v>
      </c>
      <c r="D1004" s="365" t="str">
        <f>CONCATENATE("Export of Imported ",VLOOKUP(MID(C1004,4,3),Types!$B$2:$C$13,2,FALSE),", PADD ",MID(C1004,8,1)," to R",RIGHT(C1004,1))</f>
        <v>Export of Imported LPG, PADD 1 to R5</v>
      </c>
      <c r="E1004" s="381" t="s">
        <v>384</v>
      </c>
      <c r="F1004" s="381" t="s">
        <v>505</v>
      </c>
    </row>
    <row r="1005" spans="2:6">
      <c r="B1005" s="365" t="str">
        <f>IF(OR(G$944="*",LEFT(Commodities!B$329,1)="*"),"*R0","R0")</f>
        <v>*R0</v>
      </c>
      <c r="C1005" s="365" t="str">
        <f>CONCATENATE("EXP",Commodities!C329,5)</f>
        <v>EXPMTHP15</v>
      </c>
      <c r="D1005" s="365" t="str">
        <f>CONCATENATE("Export of Imported ",VLOOKUP(MID(C1005,4,3),Types!$B$2:$C$13,2,FALSE),", PADD ",MID(C1005,8,1)," to R",RIGHT(C1005,1))</f>
        <v>Export of Imported Methanol, PADD 1 to R5</v>
      </c>
      <c r="E1005" s="381" t="s">
        <v>384</v>
      </c>
      <c r="F1005" s="381" t="s">
        <v>505</v>
      </c>
    </row>
    <row r="1006" spans="2:6">
      <c r="B1006" s="365" t="str">
        <f>IF(OR(G$944="*",LEFT(Commodities!B$330,1)="*"),"*R0","R0")</f>
        <v>*R0</v>
      </c>
      <c r="C1006" s="365" t="str">
        <f>CONCATENATE("EXP",Commodities!C330,5)</f>
        <v>EXPPFSP15</v>
      </c>
      <c r="D1006" s="365" t="str">
        <f>CONCATENATE("Export of Imported ",VLOOKUP(MID(C1006,4,3),Types!$B$2:$C$13,2,FALSE),", PADD ",MID(C1006,8,1)," to R",RIGHT(C1006,1))</f>
        <v>Export of Imported Petrochemical Feedstocks, PADD 1 to R5</v>
      </c>
      <c r="E1006" s="381" t="s">
        <v>384</v>
      </c>
      <c r="F1006" s="381" t="s">
        <v>505</v>
      </c>
    </row>
    <row r="1007" spans="2:6">
      <c r="B1007" s="365" t="str">
        <f>IF(OR(G$944="*",LEFT(Commodities!B$331,1)="*"),"*R0","R0")</f>
        <v>*R0</v>
      </c>
      <c r="C1007" s="365" t="str">
        <f>CONCATENATE("EXP",Commodities!C331,5)</f>
        <v>EXPRFHP15</v>
      </c>
      <c r="D1007" s="365" t="str">
        <f>CONCATENATE("Export of Imported ",VLOOKUP(MID(C1007,4,3),Types!$B$2:$C$13,2,FALSE),", PADD ",MID(C1007,8,1)," to R",RIGHT(C1007,1))</f>
        <v>Export of Imported High Sulfur Residual Fuel Oil, PADD 1 to R5</v>
      </c>
      <c r="E1007" s="381" t="s">
        <v>384</v>
      </c>
      <c r="F1007" s="381" t="s">
        <v>505</v>
      </c>
    </row>
    <row r="1008" spans="2:6">
      <c r="B1008" s="365" t="str">
        <f>IF(OR(G$944="*",LEFT(Commodities!B$332,1)="*"),"*R0","R0")</f>
        <v>*R0</v>
      </c>
      <c r="C1008" s="365" t="str">
        <f>CONCATENATE("EXP",Commodities!C332,5)</f>
        <v>EXPRFLP15</v>
      </c>
      <c r="D1008" s="365" t="str">
        <f>CONCATENATE("Export of Imported ",VLOOKUP(MID(C1008,4,3),Types!$B$2:$C$13,2,FALSE),", PADD ",MID(C1008,8,1)," to R",RIGHT(C1008,1))</f>
        <v>Export of Imported Low Sulfur Residual Fuel Oil, PADD 1 to R5</v>
      </c>
      <c r="E1008" s="381" t="s">
        <v>384</v>
      </c>
      <c r="F1008" s="381" t="s">
        <v>505</v>
      </c>
    </row>
    <row r="1009" spans="2:6">
      <c r="B1009" s="365" t="str">
        <f>IF(OR(G$944="*",LEFT(Commodities!B$333,1)="*"),"*R0","R0")</f>
        <v>*R0</v>
      </c>
      <c r="C1009" s="365" t="s">
        <v>550</v>
      </c>
      <c r="D1009" s="365" t="s">
        <v>551</v>
      </c>
      <c r="E1009" s="381" t="s">
        <v>384</v>
      </c>
      <c r="F1009" s="381" t="s">
        <v>505</v>
      </c>
    </row>
    <row r="1010" spans="2:6">
      <c r="B1010" s="365" t="str">
        <f>IF(OR(G$944="*",LEFT(Commodities!B$65,1)="*"),"*R0","R0")</f>
        <v>*R0</v>
      </c>
      <c r="C1010" s="365" t="str">
        <f>CONCATENATE("EXP",Commodities!C65,6)</f>
        <v>EXPDSHP16</v>
      </c>
      <c r="D1010" s="365" t="str">
        <f>CONCATENATE("Export of Imported ",VLOOKUP(MID(C1010,4,3),Types!$B$2:$C$13,2,FALSE),", PADD ",MID(C1010,8,1)," to R",RIGHT(C1010,1))</f>
        <v>Export of Imported Distillate-Heating Oil No. 2, PADD 1 to R6</v>
      </c>
      <c r="E1010" s="381" t="s">
        <v>384</v>
      </c>
      <c r="F1010" s="381" t="s">
        <v>505</v>
      </c>
    </row>
    <row r="1011" spans="2:6">
      <c r="B1011" s="365" t="str">
        <f>IF(OR(G$944="*",LEFT(Commodities!B$323,1)="*"),"*R0","R0")</f>
        <v>*R0</v>
      </c>
      <c r="C1011" s="365" t="str">
        <f>CONCATENATE("EXP",Commodities!C323,6)</f>
        <v>EXPDSLP16</v>
      </c>
      <c r="D1011" s="365" t="str">
        <f>CONCATENATE("Export of Imported ",VLOOKUP(MID(C1011,4,3),Types!$B$2:$C$13,2,FALSE),", PADD ",MID(C1011,8,1)," to R",RIGHT(C1011,1))</f>
        <v>Export of Imported Distillate-Low Sulfur Highway Diesel (500 ppm), PADD 1 to R6</v>
      </c>
      <c r="E1011" s="381" t="s">
        <v>384</v>
      </c>
      <c r="F1011" s="381" t="s">
        <v>505</v>
      </c>
    </row>
    <row r="1012" spans="2:6">
      <c r="B1012" s="365" t="str">
        <f>IF(OR(G$944="*",LEFT(Commodities!B$324,1)="*"),"*R0","R0")</f>
        <v>*R0</v>
      </c>
      <c r="C1012" s="365" t="str">
        <f>CONCATENATE("EXP",Commodities!C324,6)</f>
        <v>EXPDSUP16</v>
      </c>
      <c r="D1012" s="365" t="str">
        <f>CONCATENATE("Export of Imported ",VLOOKUP(MID(C1012,4,3),Types!$B$2:$C$13,2,FALSE),", PADD ",MID(C1012,8,1)," to R",RIGHT(C1012,1))</f>
        <v>Export of Imported Distillate-Ultralow Sulfur Highway Diesel (15 ppm), PADD 1 to R6</v>
      </c>
      <c r="E1012" s="381" t="s">
        <v>384</v>
      </c>
      <c r="F1012" s="381" t="s">
        <v>505</v>
      </c>
    </row>
    <row r="1013" spans="2:6">
      <c r="B1013" s="365" t="str">
        <f>IF(OR(G$944="*",LEFT(Commodities!B$325,1)="*"),"*R0","R0")</f>
        <v>*R0</v>
      </c>
      <c r="C1013" s="365" t="str">
        <f>CONCATENATE("EXP",Commodities!C325,6)</f>
        <v>EXPGSCP16</v>
      </c>
      <c r="D1013" s="365" t="str">
        <f>CONCATENATE("Export of Imported ",VLOOKUP(MID(C1013,4,3),Types!$B$2:$C$13,2,FALSE),", PADD ",MID(C1013,8,1)," to R",RIGHT(C1013,1))</f>
        <v>Export of Imported Conventional Gasoline, PADD 1 to R6</v>
      </c>
      <c r="E1013" s="381" t="s">
        <v>384</v>
      </c>
      <c r="F1013" s="381" t="s">
        <v>505</v>
      </c>
    </row>
    <row r="1014" spans="2:6">
      <c r="B1014" s="365" t="str">
        <f>IF(OR(G$944="*",LEFT(Commodities!B$326,1)="*"),"*R0","R0")</f>
        <v>*R0</v>
      </c>
      <c r="C1014" s="365" t="str">
        <f>CONCATENATE("EXP",Commodities!C326,6)</f>
        <v>EXPGSRP16</v>
      </c>
      <c r="D1014" s="365" t="str">
        <f>CONCATENATE("Export of Imported ",VLOOKUP(MID(C1014,4,3),Types!$B$2:$C$13,2,FALSE),", PADD ",MID(C1014,8,1)," to R",RIGHT(C1014,1))</f>
        <v>Export of Imported Reformulated Gasoline, PADD 1 to R6</v>
      </c>
      <c r="E1014" s="381" t="s">
        <v>384</v>
      </c>
      <c r="F1014" s="381" t="s">
        <v>505</v>
      </c>
    </row>
    <row r="1015" spans="2:6">
      <c r="B1015" s="365" t="str">
        <f>IF(OR(G$944="*",LEFT(Commodities!B$64,1)="*"),"*R0","R0")</f>
        <v>*R0</v>
      </c>
      <c r="C1015" s="365" t="str">
        <f>CONCATENATE("EXP",Commodities!C64,6)</f>
        <v>EXPJTFP16</v>
      </c>
      <c r="D1015" s="365" t="str">
        <f>CONCATENATE("Export of Imported ",VLOOKUP(MID(C1015,4,3),Types!$B$2:$C$13,2,FALSE),", PADD ",MID(C1015,8,1)," to R",RIGHT(C1015,1))</f>
        <v>Export of Imported Jet Fuel, PADD 1 to R6</v>
      </c>
      <c r="E1015" s="381" t="s">
        <v>384</v>
      </c>
      <c r="F1015" s="381" t="s">
        <v>505</v>
      </c>
    </row>
    <row r="1016" spans="2:6">
      <c r="B1016" s="365" t="str">
        <f>IF(OR(G$944="*",LEFT(Commodities!B$327,1)="*"),"*R0","R0")</f>
        <v>*R0</v>
      </c>
      <c r="C1016" s="365" t="str">
        <f>CONCATENATE("EXP",Commodities!C327,6)</f>
        <v>EXPKERP16</v>
      </c>
      <c r="D1016" s="365" t="str">
        <f>CONCATENATE("Export of Imported ",VLOOKUP(MID(C1016,4,3),Types!$B$2:$C$13,2,FALSE),", PADD ",MID(C1016,8,1)," to R",RIGHT(C1016,1))</f>
        <v>Export of Imported Kerosene and Other Refined Products, PADD 1 to R6</v>
      </c>
      <c r="E1016" s="381" t="s">
        <v>384</v>
      </c>
      <c r="F1016" s="381" t="s">
        <v>505</v>
      </c>
    </row>
    <row r="1017" spans="2:6">
      <c r="B1017" s="365" t="str">
        <f>IF(OR(G$944="*",LEFT(Commodities!B$328,1)="*"),"*R0","R0")</f>
        <v>*R0</v>
      </c>
      <c r="C1017" s="365" t="str">
        <f>CONCATENATE("EXP",Commodities!C328,6)</f>
        <v>EXPLPGP16</v>
      </c>
      <c r="D1017" s="365" t="str">
        <f>CONCATENATE("Export of Imported ",VLOOKUP(MID(C1017,4,3),Types!$B$2:$C$13,2,FALSE),", PADD ",MID(C1017,8,1)," to R",RIGHT(C1017,1))</f>
        <v>Export of Imported LPG, PADD 1 to R6</v>
      </c>
      <c r="E1017" s="381" t="s">
        <v>384</v>
      </c>
      <c r="F1017" s="381" t="s">
        <v>505</v>
      </c>
    </row>
    <row r="1018" spans="2:6">
      <c r="B1018" s="365" t="str">
        <f>IF(OR(G$944="*",LEFT(Commodities!B$329,1)="*"),"*R0","R0")</f>
        <v>*R0</v>
      </c>
      <c r="C1018" s="365" t="str">
        <f>CONCATENATE("EXP",Commodities!C329,6)</f>
        <v>EXPMTHP16</v>
      </c>
      <c r="D1018" s="365" t="str">
        <f>CONCATENATE("Export of Imported ",VLOOKUP(MID(C1018,4,3),Types!$B$2:$C$13,2,FALSE),", PADD ",MID(C1018,8,1)," to R",RIGHT(C1018,1))</f>
        <v>Export of Imported Methanol, PADD 1 to R6</v>
      </c>
      <c r="E1018" s="381" t="s">
        <v>384</v>
      </c>
      <c r="F1018" s="381" t="s">
        <v>505</v>
      </c>
    </row>
    <row r="1019" spans="2:6">
      <c r="B1019" s="365" t="str">
        <f>IF(OR(G$944="*",LEFT(Commodities!B$330,1)="*"),"*R0","R0")</f>
        <v>*R0</v>
      </c>
      <c r="C1019" s="365" t="str">
        <f>CONCATENATE("EXP",Commodities!C330,6)</f>
        <v>EXPPFSP16</v>
      </c>
      <c r="D1019" s="365" t="str">
        <f>CONCATENATE("Export of Imported ",VLOOKUP(MID(C1019,4,3),Types!$B$2:$C$13,2,FALSE),", PADD ",MID(C1019,8,1)," to R",RIGHT(C1019,1))</f>
        <v>Export of Imported Petrochemical Feedstocks, PADD 1 to R6</v>
      </c>
      <c r="E1019" s="381" t="s">
        <v>384</v>
      </c>
      <c r="F1019" s="381" t="s">
        <v>505</v>
      </c>
    </row>
    <row r="1020" spans="2:6">
      <c r="B1020" s="365" t="str">
        <f>IF(OR(G$944="*",LEFT(Commodities!B$331,1)="*"),"*R0","R0")</f>
        <v>*R0</v>
      </c>
      <c r="C1020" s="365" t="str">
        <f>CONCATENATE("EXP",Commodities!C331,6)</f>
        <v>EXPRFHP16</v>
      </c>
      <c r="D1020" s="365" t="str">
        <f>CONCATENATE("Export of Imported ",VLOOKUP(MID(C1020,4,3),Types!$B$2:$C$13,2,FALSE),", PADD ",MID(C1020,8,1)," to R",RIGHT(C1020,1))</f>
        <v>Export of Imported High Sulfur Residual Fuel Oil, PADD 1 to R6</v>
      </c>
      <c r="E1020" s="381" t="s">
        <v>384</v>
      </c>
      <c r="F1020" s="381" t="s">
        <v>505</v>
      </c>
    </row>
    <row r="1021" spans="2:6">
      <c r="B1021" s="365" t="str">
        <f>IF(OR(G$944="*",LEFT(Commodities!B$332,1)="*"),"*R0","R0")</f>
        <v>*R0</v>
      </c>
      <c r="C1021" s="365" t="str">
        <f>CONCATENATE("EXP",Commodities!C332,6)</f>
        <v>EXPRFLP16</v>
      </c>
      <c r="D1021" s="365" t="str">
        <f>CONCATENATE("Export of Imported ",VLOOKUP(MID(C1021,4,3),Types!$B$2:$C$13,2,FALSE),", PADD ",MID(C1021,8,1)," to R",RIGHT(C1021,1))</f>
        <v>Export of Imported Low Sulfur Residual Fuel Oil, PADD 1 to R6</v>
      </c>
      <c r="E1021" s="381" t="s">
        <v>384</v>
      </c>
      <c r="F1021" s="381" t="s">
        <v>505</v>
      </c>
    </row>
    <row r="1022" spans="2:6">
      <c r="B1022" s="365" t="str">
        <f>IF(OR(G$944="*",LEFT(Commodities!B$333,1)="*"),"*R0","R0")</f>
        <v>*R0</v>
      </c>
      <c r="C1022" s="365" t="s">
        <v>2448</v>
      </c>
      <c r="D1022" s="365" t="s">
        <v>2449</v>
      </c>
      <c r="E1022" s="381" t="s">
        <v>384</v>
      </c>
      <c r="F1022" s="381" t="s">
        <v>505</v>
      </c>
    </row>
    <row r="1023" spans="2:6">
      <c r="B1023" s="365" t="str">
        <f>IF(OR(G$944="*",LEFT(Commodities!B$65,1)="*"),"*R0","R0")</f>
        <v>*R0</v>
      </c>
      <c r="C1023" s="365" t="str">
        <f>CONCATENATE("EXP",Commodities!C67,1)</f>
        <v>EXPDSHP21</v>
      </c>
      <c r="D1023" s="365" t="str">
        <f>CONCATENATE("Export of Imported ",VLOOKUP(MID(C1023,4,3),Types!$B$2:$C$13,2,FALSE),", PADD ",MID(C1023,8,1)," to R",RIGHT(C1023,1))</f>
        <v>Export of Imported Distillate-Heating Oil No. 2, PADD 2 to R1</v>
      </c>
      <c r="E1023" s="381" t="s">
        <v>384</v>
      </c>
      <c r="F1023" s="381" t="s">
        <v>505</v>
      </c>
    </row>
    <row r="1024" spans="2:6">
      <c r="B1024" s="365" t="str">
        <f>IF(OR(G$944="*",LEFT(Commodities!B$323,1)="*"),"*R0","R0")</f>
        <v>*R0</v>
      </c>
      <c r="C1024" s="365" t="str">
        <f>CONCATENATE("EXP",Commodities!C334,1)</f>
        <v>EXPDSLP21</v>
      </c>
      <c r="D1024" s="365" t="str">
        <f>CONCATENATE("Export of Imported ",VLOOKUP(MID(C1024,4,3),Types!$B$2:$C$13,2,FALSE),", PADD ",MID(C1024,8,1)," to R",RIGHT(C1024,1))</f>
        <v>Export of Imported Distillate-Low Sulfur Highway Diesel (500 ppm), PADD 2 to R1</v>
      </c>
      <c r="E1024" s="381" t="s">
        <v>384</v>
      </c>
      <c r="F1024" s="381" t="s">
        <v>505</v>
      </c>
    </row>
    <row r="1025" spans="2:6">
      <c r="B1025" s="365" t="str">
        <f>IF(OR(G$944="*",LEFT(Commodities!B$324,1)="*"),"*R0","R0")</f>
        <v>*R0</v>
      </c>
      <c r="C1025" s="365" t="str">
        <f>CONCATENATE("EXP",Commodities!C335,1)</f>
        <v>EXPDSUP21</v>
      </c>
      <c r="D1025" s="365" t="str">
        <f>CONCATENATE("Export of Imported ",VLOOKUP(MID(C1025,4,3),Types!$B$2:$C$13,2,FALSE),", PADD ",MID(C1025,8,1)," to R",RIGHT(C1025,1))</f>
        <v>Export of Imported Distillate-Ultralow Sulfur Highway Diesel (15 ppm), PADD 2 to R1</v>
      </c>
      <c r="E1025" s="381" t="s">
        <v>384</v>
      </c>
      <c r="F1025" s="381" t="s">
        <v>505</v>
      </c>
    </row>
    <row r="1026" spans="2:6">
      <c r="B1026" s="365" t="str">
        <f>IF(OR(G$944="*",LEFT(Commodities!B$325,1)="*"),"*R0","R0")</f>
        <v>*R0</v>
      </c>
      <c r="C1026" s="365" t="str">
        <f>CONCATENATE("EXP",Commodities!C336,1)</f>
        <v>EXPGSCP21</v>
      </c>
      <c r="D1026" s="365" t="str">
        <f>CONCATENATE("Export of Imported ",VLOOKUP(MID(C1026,4,3),Types!$B$2:$C$13,2,FALSE),", PADD ",MID(C1026,8,1)," to R",RIGHT(C1026,1))</f>
        <v>Export of Imported Conventional Gasoline, PADD 2 to R1</v>
      </c>
      <c r="E1026" s="381" t="s">
        <v>384</v>
      </c>
      <c r="F1026" s="381" t="s">
        <v>505</v>
      </c>
    </row>
    <row r="1027" spans="2:6">
      <c r="B1027" s="365" t="str">
        <f>IF(OR(G$944="*",LEFT(Commodities!B$326,1)="*"),"*R0","R0")</f>
        <v>*R0</v>
      </c>
      <c r="C1027" s="365" t="str">
        <f>CONCATENATE("EXP",Commodities!C337,1)</f>
        <v>EXPGSRP21</v>
      </c>
      <c r="D1027" s="365" t="str">
        <f>CONCATENATE("Export of Imported ",VLOOKUP(MID(C1027,4,3),Types!$B$2:$C$13,2,FALSE),", PADD ",MID(C1027,8,1)," to R",RIGHT(C1027,1))</f>
        <v>Export of Imported Reformulated Gasoline, PADD 2 to R1</v>
      </c>
      <c r="E1027" s="381" t="s">
        <v>384</v>
      </c>
      <c r="F1027" s="381" t="s">
        <v>505</v>
      </c>
    </row>
    <row r="1028" spans="2:6">
      <c r="B1028" s="365" t="str">
        <f>IF(OR(G$944="*",LEFT(Commodities!B$64,1)="*"),"*R0","R0")</f>
        <v>*R0</v>
      </c>
      <c r="C1028" s="365" t="str">
        <f>CONCATENATE("EXP",Commodities!C66,1)</f>
        <v>EXPJTFP21</v>
      </c>
      <c r="D1028" s="365" t="str">
        <f>CONCATENATE("Export of Imported ",VLOOKUP(MID(C1028,4,3),Types!$B$2:$C$13,2,FALSE),", PADD ",MID(C1028,8,1)," to R",RIGHT(C1028,1))</f>
        <v>Export of Imported Jet Fuel, PADD 2 to R1</v>
      </c>
      <c r="E1028" s="381" t="s">
        <v>384</v>
      </c>
      <c r="F1028" s="381" t="s">
        <v>505</v>
      </c>
    </row>
    <row r="1029" spans="2:6">
      <c r="B1029" s="365" t="str">
        <f>IF(OR(G$944="*",LEFT(Commodities!B$327,1)="*"),"*R0","R0")</f>
        <v>*R0</v>
      </c>
      <c r="C1029" s="365" t="str">
        <f>CONCATENATE("EXP",Commodities!C338,1)</f>
        <v>EXPKERP21</v>
      </c>
      <c r="D1029" s="365" t="str">
        <f>CONCATENATE("Export of Imported ",VLOOKUP(MID(C1029,4,3),Types!$B$2:$C$13,2,FALSE),", PADD ",MID(C1029,8,1)," to R",RIGHT(C1029,1))</f>
        <v>Export of Imported Kerosene and Other Refined Products, PADD 2 to R1</v>
      </c>
      <c r="E1029" s="381" t="s">
        <v>384</v>
      </c>
      <c r="F1029" s="381" t="s">
        <v>505</v>
      </c>
    </row>
    <row r="1030" spans="2:6">
      <c r="B1030" s="365" t="str">
        <f>IF(OR(G$944="*",LEFT(Commodities!B$328,1)="*"),"*R0","R0")</f>
        <v>*R0</v>
      </c>
      <c r="C1030" s="365" t="str">
        <f>CONCATENATE("EXP",Commodities!C339,1)</f>
        <v>EXPLPGP21</v>
      </c>
      <c r="D1030" s="365" t="str">
        <f>CONCATENATE("Export of Imported ",VLOOKUP(MID(C1030,4,3),Types!$B$2:$C$13,2,FALSE),", PADD ",MID(C1030,8,1)," to R",RIGHT(C1030,1))</f>
        <v>Export of Imported LPG, PADD 2 to R1</v>
      </c>
      <c r="E1030" s="381" t="s">
        <v>384</v>
      </c>
      <c r="F1030" s="381" t="s">
        <v>505</v>
      </c>
    </row>
    <row r="1031" spans="2:6">
      <c r="B1031" s="365" t="str">
        <f>IF(OR(G$944="*",LEFT(Commodities!B$329,1)="*"),"*R0","R0")</f>
        <v>*R0</v>
      </c>
      <c r="C1031" s="365" t="str">
        <f>CONCATENATE("EXP",Commodities!C340,1)</f>
        <v>EXPMTHP21</v>
      </c>
      <c r="D1031" s="365" t="str">
        <f>CONCATENATE("Export of Imported ",VLOOKUP(MID(C1031,4,3),Types!$B$2:$C$13,2,FALSE),", PADD ",MID(C1031,8,1)," to R",RIGHT(C1031,1))</f>
        <v>Export of Imported Methanol, PADD 2 to R1</v>
      </c>
      <c r="E1031" s="381" t="s">
        <v>384</v>
      </c>
      <c r="F1031" s="381" t="s">
        <v>505</v>
      </c>
    </row>
    <row r="1032" spans="2:6">
      <c r="B1032" s="365" t="str">
        <f>IF(OR(G$944="*",LEFT(Commodities!B$330,1)="*"),"*R0","R0")</f>
        <v>*R0</v>
      </c>
      <c r="C1032" s="365" t="str">
        <f>CONCATENATE("EXP",Commodities!C341,1)</f>
        <v>EXPPFSP21</v>
      </c>
      <c r="D1032" s="365" t="str">
        <f>CONCATENATE("Export of Imported ",VLOOKUP(MID(C1032,4,3),Types!$B$2:$C$13,2,FALSE),", PADD ",MID(C1032,8,1)," to R",RIGHT(C1032,1))</f>
        <v>Export of Imported Petrochemical Feedstocks, PADD 2 to R1</v>
      </c>
      <c r="E1032" s="381" t="s">
        <v>384</v>
      </c>
      <c r="F1032" s="381" t="s">
        <v>505</v>
      </c>
    </row>
    <row r="1033" spans="2:6">
      <c r="B1033" s="365" t="str">
        <f>IF(OR(G$944="*",LEFT(Commodities!B$331,1)="*"),"*R0","R0")</f>
        <v>*R0</v>
      </c>
      <c r="C1033" s="365" t="str">
        <f>CONCATENATE("EXP",Commodities!C342,1)</f>
        <v>EXPRFHP21</v>
      </c>
      <c r="D1033" s="365" t="str">
        <f>CONCATENATE("Export of Imported ",VLOOKUP(MID(C1033,4,3),Types!$B$2:$C$13,2,FALSE),", PADD ",MID(C1033,8,1)," to R",RIGHT(C1033,1))</f>
        <v>Export of Imported High Sulfur Residual Fuel Oil, PADD 2 to R1</v>
      </c>
      <c r="E1033" s="381" t="s">
        <v>384</v>
      </c>
      <c r="F1033" s="381" t="s">
        <v>505</v>
      </c>
    </row>
    <row r="1034" spans="2:6">
      <c r="B1034" s="365" t="str">
        <f>IF(OR(G$944="*",LEFT(Commodities!B$332,1)="*"),"*R0","R0")</f>
        <v>*R0</v>
      </c>
      <c r="C1034" s="365" t="str">
        <f>CONCATENATE("EXP",Commodities!C343,1)</f>
        <v>EXPRFLP21</v>
      </c>
      <c r="D1034" s="365" t="str">
        <f>CONCATENATE("Export of Imported ",VLOOKUP(MID(C1034,4,3),Types!$B$2:$C$13,2,FALSE),", PADD ",MID(C1034,8,1)," to R",RIGHT(C1034,1))</f>
        <v>Export of Imported Low Sulfur Residual Fuel Oil, PADD 2 to R1</v>
      </c>
      <c r="E1034" s="381" t="s">
        <v>384</v>
      </c>
      <c r="F1034" s="381" t="s">
        <v>505</v>
      </c>
    </row>
    <row r="1035" spans="2:6">
      <c r="B1035" s="365" t="str">
        <f>IF(OR(G$944="*",LEFT(Commodities!B$333,1)="*"),"*R0","R0")</f>
        <v>*R0</v>
      </c>
      <c r="C1035" s="365" t="s">
        <v>552</v>
      </c>
      <c r="D1035" s="365" t="s">
        <v>553</v>
      </c>
      <c r="E1035" s="381" t="s">
        <v>384</v>
      </c>
      <c r="F1035" s="381" t="s">
        <v>505</v>
      </c>
    </row>
    <row r="1036" spans="2:6">
      <c r="B1036" s="365" t="s">
        <v>588</v>
      </c>
      <c r="C1036" s="365" t="str">
        <f>CONCATENATE("EXP",Commodities!C67,4)</f>
        <v>EXPDSHP24</v>
      </c>
      <c r="D1036" s="365" t="str">
        <f>CONCATENATE("Export of Imported ",VLOOKUP(MID(C1036,4,3),Types!$B$2:$C$13,2,FALSE),", PADD ",MID(C1036,8,1)," to R",RIGHT(C1036,1))</f>
        <v>Export of Imported Distillate-Heating Oil No. 2, PADD 2 to R4</v>
      </c>
      <c r="E1036" s="381" t="s">
        <v>384</v>
      </c>
      <c r="F1036" s="381" t="s">
        <v>505</v>
      </c>
    </row>
    <row r="1037" spans="2:6">
      <c r="B1037" s="365" t="s">
        <v>588</v>
      </c>
      <c r="C1037" s="365" t="str">
        <f>CONCATENATE("EXP",Commodities!C334,4)</f>
        <v>EXPDSLP24</v>
      </c>
      <c r="D1037" s="365" t="str">
        <f>CONCATENATE("Export of Imported ",VLOOKUP(MID(C1037,4,3),Types!$B$2:$C$13,2,FALSE),", PADD ",MID(C1037,8,1)," to R",RIGHT(C1037,1))</f>
        <v>Export of Imported Distillate-Low Sulfur Highway Diesel (500 ppm), PADD 2 to R4</v>
      </c>
      <c r="E1037" s="381" t="s">
        <v>384</v>
      </c>
      <c r="F1037" s="381" t="s">
        <v>505</v>
      </c>
    </row>
    <row r="1038" spans="2:6">
      <c r="B1038" s="365" t="s">
        <v>588</v>
      </c>
      <c r="C1038" s="365" t="str">
        <f>CONCATENATE("EXP",Commodities!C335,4)</f>
        <v>EXPDSUP24</v>
      </c>
      <c r="D1038" s="365" t="str">
        <f>CONCATENATE("Export of Imported ",VLOOKUP(MID(C1038,4,3),Types!$B$2:$C$13,2,FALSE),", PADD ",MID(C1038,8,1)," to R",RIGHT(C1038,1))</f>
        <v>Export of Imported Distillate-Ultralow Sulfur Highway Diesel (15 ppm), PADD 2 to R4</v>
      </c>
      <c r="E1038" s="381" t="s">
        <v>384</v>
      </c>
      <c r="F1038" s="381" t="s">
        <v>505</v>
      </c>
    </row>
    <row r="1039" spans="2:6">
      <c r="B1039" s="365" t="s">
        <v>588</v>
      </c>
      <c r="C1039" s="365" t="str">
        <f>CONCATENATE("EXP",Commodities!C336,4)</f>
        <v>EXPGSCP24</v>
      </c>
      <c r="D1039" s="365" t="str">
        <f>CONCATENATE("Export of Imported ",VLOOKUP(MID(C1039,4,3),Types!$B$2:$C$13,2,FALSE),", PADD ",MID(C1039,8,1)," to R",RIGHT(C1039,1))</f>
        <v>Export of Imported Conventional Gasoline, PADD 2 to R4</v>
      </c>
      <c r="E1039" s="381" t="s">
        <v>384</v>
      </c>
      <c r="F1039" s="381" t="s">
        <v>505</v>
      </c>
    </row>
    <row r="1040" spans="2:6">
      <c r="B1040" s="365" t="s">
        <v>588</v>
      </c>
      <c r="C1040" s="365" t="str">
        <f>CONCATENATE("EXP",Commodities!C337,4)</f>
        <v>EXPGSRP24</v>
      </c>
      <c r="D1040" s="365" t="str">
        <f>CONCATENATE("Export of Imported ",VLOOKUP(MID(C1040,4,3),Types!$B$2:$C$13,2,FALSE),", PADD ",MID(C1040,8,1)," to R",RIGHT(C1040,1))</f>
        <v>Export of Imported Reformulated Gasoline, PADD 2 to R4</v>
      </c>
      <c r="E1040" s="381" t="s">
        <v>384</v>
      </c>
      <c r="F1040" s="381" t="s">
        <v>505</v>
      </c>
    </row>
    <row r="1041" spans="2:6">
      <c r="B1041" s="365" t="s">
        <v>588</v>
      </c>
      <c r="C1041" s="365" t="str">
        <f>CONCATENATE("EXP",Commodities!C66,4)</f>
        <v>EXPJTFP24</v>
      </c>
      <c r="D1041" s="365" t="str">
        <f>CONCATENATE("Export of Imported ",VLOOKUP(MID(C1041,4,3),Types!$B$2:$C$13,2,FALSE),", PADD ",MID(C1041,8,1)," to R",RIGHT(C1041,1))</f>
        <v>Export of Imported Jet Fuel, PADD 2 to R4</v>
      </c>
      <c r="E1041" s="381" t="s">
        <v>384</v>
      </c>
      <c r="F1041" s="381" t="s">
        <v>505</v>
      </c>
    </row>
    <row r="1042" spans="2:6">
      <c r="B1042" s="365" t="s">
        <v>588</v>
      </c>
      <c r="C1042" s="365" t="str">
        <f>CONCATENATE("EXP",Commodities!C338,4)</f>
        <v>EXPKERP24</v>
      </c>
      <c r="D1042" s="365" t="str">
        <f>CONCATENATE("Export of Imported ",VLOOKUP(MID(C1042,4,3),Types!$B$2:$C$13,2,FALSE),", PADD ",MID(C1042,8,1)," to R",RIGHT(C1042,1))</f>
        <v>Export of Imported Kerosene and Other Refined Products, PADD 2 to R4</v>
      </c>
      <c r="E1042" s="381" t="s">
        <v>384</v>
      </c>
      <c r="F1042" s="381" t="s">
        <v>505</v>
      </c>
    </row>
    <row r="1043" spans="2:6">
      <c r="B1043" s="365" t="s">
        <v>588</v>
      </c>
      <c r="C1043" s="365" t="str">
        <f>CONCATENATE("EXP",Commodities!C339,4)</f>
        <v>EXPLPGP24</v>
      </c>
      <c r="D1043" s="365" t="str">
        <f>CONCATENATE("Export of Imported ",VLOOKUP(MID(C1043,4,3),Types!$B$2:$C$13,2,FALSE),", PADD ",MID(C1043,8,1)," to R",RIGHT(C1043,1))</f>
        <v>Export of Imported LPG, PADD 2 to R4</v>
      </c>
      <c r="E1043" s="381" t="s">
        <v>384</v>
      </c>
      <c r="F1043" s="381" t="s">
        <v>505</v>
      </c>
    </row>
    <row r="1044" spans="2:6">
      <c r="B1044" s="365" t="s">
        <v>588</v>
      </c>
      <c r="C1044" s="365" t="str">
        <f>CONCATENATE("EXP",Commodities!C340,4)</f>
        <v>EXPMTHP24</v>
      </c>
      <c r="D1044" s="365" t="str">
        <f>CONCATENATE("Export of Imported ",VLOOKUP(MID(C1044,4,3),Types!$B$2:$C$13,2,FALSE),", PADD ",MID(C1044,8,1)," to R",RIGHT(C1044,1))</f>
        <v>Export of Imported Methanol, PADD 2 to R4</v>
      </c>
      <c r="E1044" s="381" t="s">
        <v>384</v>
      </c>
      <c r="F1044" s="381" t="s">
        <v>505</v>
      </c>
    </row>
    <row r="1045" spans="2:6">
      <c r="B1045" s="365" t="s">
        <v>588</v>
      </c>
      <c r="C1045" s="365" t="str">
        <f>CONCATENATE("EXP",Commodities!C341,4)</f>
        <v>EXPPFSP24</v>
      </c>
      <c r="D1045" s="365" t="str">
        <f>CONCATENATE("Export of Imported ",VLOOKUP(MID(C1045,4,3),Types!$B$2:$C$13,2,FALSE),", PADD ",MID(C1045,8,1)," to R",RIGHT(C1045,1))</f>
        <v>Export of Imported Petrochemical Feedstocks, PADD 2 to R4</v>
      </c>
      <c r="E1045" s="381" t="s">
        <v>384</v>
      </c>
      <c r="F1045" s="381" t="s">
        <v>505</v>
      </c>
    </row>
    <row r="1046" spans="2:6">
      <c r="B1046" s="365" t="s">
        <v>588</v>
      </c>
      <c r="C1046" s="365" t="str">
        <f>CONCATENATE("EXP",Commodities!C342,4)</f>
        <v>EXPRFHP24</v>
      </c>
      <c r="D1046" s="365" t="str">
        <f>CONCATENATE("Export of Imported ",VLOOKUP(MID(C1046,4,3),Types!$B$2:$C$13,2,FALSE),", PADD ",MID(C1046,8,1)," to R",RIGHT(C1046,1))</f>
        <v>Export of Imported High Sulfur Residual Fuel Oil, PADD 2 to R4</v>
      </c>
      <c r="E1046" s="381" t="s">
        <v>384</v>
      </c>
      <c r="F1046" s="381" t="s">
        <v>505</v>
      </c>
    </row>
    <row r="1047" spans="2:6">
      <c r="B1047" s="365" t="s">
        <v>588</v>
      </c>
      <c r="C1047" s="365" t="str">
        <f>CONCATENATE("EXP",Commodities!C343,4)</f>
        <v>EXPRFLP24</v>
      </c>
      <c r="D1047" s="365" t="str">
        <f>CONCATENATE("Export of Imported ",VLOOKUP(MID(C1047,4,3),Types!$B$2:$C$13,2,FALSE),", PADD ",MID(C1047,8,1)," to R",RIGHT(C1047,1))</f>
        <v>Export of Imported Low Sulfur Residual Fuel Oil, PADD 2 to R4</v>
      </c>
      <c r="E1047" s="381" t="s">
        <v>384</v>
      </c>
      <c r="F1047" s="381" t="s">
        <v>505</v>
      </c>
    </row>
    <row r="1048" spans="2:6">
      <c r="B1048" s="365" t="s">
        <v>588</v>
      </c>
      <c r="C1048" s="365" t="s">
        <v>554</v>
      </c>
      <c r="D1048" s="365" t="s">
        <v>555</v>
      </c>
      <c r="E1048" s="381" t="s">
        <v>384</v>
      </c>
      <c r="F1048" s="381" t="s">
        <v>505</v>
      </c>
    </row>
    <row r="1049" spans="2:6">
      <c r="B1049" s="365" t="s">
        <v>588</v>
      </c>
      <c r="C1049" s="365" t="str">
        <f>CONCATENATE("EXP",Commodities!C69,6)</f>
        <v>EXPDSHP36</v>
      </c>
      <c r="D1049" s="365" t="str">
        <f>CONCATENATE("Export of Imported ",VLOOKUP(MID(C1049,4,3),Types!$B$2:$C$13,2,FALSE),", PADD ",MID(C1049,8,1)," to R",RIGHT(C1049,1))</f>
        <v>Export of Imported Distillate-Heating Oil No. 2, PADD 3 to R6</v>
      </c>
      <c r="E1049" s="381" t="s">
        <v>384</v>
      </c>
      <c r="F1049" s="381" t="s">
        <v>505</v>
      </c>
    </row>
    <row r="1050" spans="2:6">
      <c r="B1050" s="365" t="s">
        <v>588</v>
      </c>
      <c r="C1050" s="365" t="str">
        <f>CONCATENATE("EXP",Commodities!C345,6)</f>
        <v>EXPDSLP36</v>
      </c>
      <c r="D1050" s="365" t="str">
        <f>CONCATENATE("Export of Imported ",VLOOKUP(MID(C1050,4,3),Types!$B$2:$C$13,2,FALSE),", PADD ",MID(C1050,8,1)," to R",RIGHT(C1050,1))</f>
        <v>Export of Imported Distillate-Low Sulfur Highway Diesel (500 ppm), PADD 3 to R6</v>
      </c>
      <c r="E1050" s="381" t="s">
        <v>384</v>
      </c>
      <c r="F1050" s="381" t="s">
        <v>505</v>
      </c>
    </row>
    <row r="1051" spans="2:6">
      <c r="B1051" s="365" t="s">
        <v>588</v>
      </c>
      <c r="C1051" s="365" t="str">
        <f>CONCATENATE("EXP",Commodities!C346,6)</f>
        <v>EXPDSUP36</v>
      </c>
      <c r="D1051" s="365" t="str">
        <f>CONCATENATE("Export of Imported ",VLOOKUP(MID(C1051,4,3),Types!$B$2:$C$13,2,FALSE),", PADD ",MID(C1051,8,1)," to R",RIGHT(C1051,1))</f>
        <v>Export of Imported Distillate-Ultralow Sulfur Highway Diesel (15 ppm), PADD 3 to R6</v>
      </c>
      <c r="E1051" s="381" t="s">
        <v>384</v>
      </c>
      <c r="F1051" s="381" t="s">
        <v>505</v>
      </c>
    </row>
    <row r="1052" spans="2:6">
      <c r="B1052" s="365" t="s">
        <v>588</v>
      </c>
      <c r="C1052" s="365" t="str">
        <f>CONCATENATE("EXP",Commodities!C347,6)</f>
        <v>EXPGSCP36</v>
      </c>
      <c r="D1052" s="365" t="str">
        <f>CONCATENATE("Export of Imported ",VLOOKUP(MID(C1052,4,3),Types!$B$2:$C$13,2,FALSE),", PADD ",MID(C1052,8,1)," to R",RIGHT(C1052,1))</f>
        <v>Export of Imported Conventional Gasoline, PADD 3 to R6</v>
      </c>
      <c r="E1052" s="381" t="s">
        <v>384</v>
      </c>
      <c r="F1052" s="381" t="s">
        <v>505</v>
      </c>
    </row>
    <row r="1053" spans="2:6">
      <c r="B1053" s="365" t="s">
        <v>588</v>
      </c>
      <c r="C1053" s="365" t="str">
        <f>CONCATENATE("EXP",Commodities!C348,6)</f>
        <v>EXPGSRP36</v>
      </c>
      <c r="D1053" s="365" t="str">
        <f>CONCATENATE("Export of Imported ",VLOOKUP(MID(C1053,4,3),Types!$B$2:$C$13,2,FALSE),", PADD ",MID(C1053,8,1)," to R",RIGHT(C1053,1))</f>
        <v>Export of Imported Reformulated Gasoline, PADD 3 to R6</v>
      </c>
      <c r="E1053" s="381" t="s">
        <v>384</v>
      </c>
      <c r="F1053" s="381" t="s">
        <v>505</v>
      </c>
    </row>
    <row r="1054" spans="2:6">
      <c r="B1054" s="365" t="s">
        <v>588</v>
      </c>
      <c r="C1054" s="365" t="str">
        <f>CONCATENATE("EXP",Commodities!C68,6)</f>
        <v>EXPJTFP36</v>
      </c>
      <c r="D1054" s="365" t="str">
        <f>CONCATENATE("Export of Imported ",VLOOKUP(MID(C1054,4,3),Types!$B$2:$C$13,2,FALSE),", PADD ",MID(C1054,8,1)," to R",RIGHT(C1054,1))</f>
        <v>Export of Imported Jet Fuel, PADD 3 to R6</v>
      </c>
      <c r="E1054" s="381" t="s">
        <v>384</v>
      </c>
      <c r="F1054" s="381" t="s">
        <v>505</v>
      </c>
    </row>
    <row r="1055" spans="2:6">
      <c r="B1055" s="365" t="s">
        <v>588</v>
      </c>
      <c r="C1055" s="365" t="str">
        <f>CONCATENATE("EXP",Commodities!C349,6)</f>
        <v>EXPKERP36</v>
      </c>
      <c r="D1055" s="365" t="str">
        <f>CONCATENATE("Export of Imported ",VLOOKUP(MID(C1055,4,3),Types!$B$2:$C$13,2,FALSE),", PADD ",MID(C1055,8,1)," to R",RIGHT(C1055,1))</f>
        <v>Export of Imported Kerosene and Other Refined Products, PADD 3 to R6</v>
      </c>
      <c r="E1055" s="381" t="s">
        <v>384</v>
      </c>
      <c r="F1055" s="381" t="s">
        <v>505</v>
      </c>
    </row>
    <row r="1056" spans="2:6">
      <c r="B1056" s="365" t="s">
        <v>588</v>
      </c>
      <c r="C1056" s="365" t="str">
        <f>CONCATENATE("EXP",Commodities!C350,6)</f>
        <v>EXPLPGP36</v>
      </c>
      <c r="D1056" s="365" t="str">
        <f>CONCATENATE("Export of Imported ",VLOOKUP(MID(C1056,4,3),Types!$B$2:$C$13,2,FALSE),", PADD ",MID(C1056,8,1)," to R",RIGHT(C1056,1))</f>
        <v>Export of Imported LPG, PADD 3 to R6</v>
      </c>
      <c r="E1056" s="381" t="s">
        <v>384</v>
      </c>
      <c r="F1056" s="381" t="s">
        <v>505</v>
      </c>
    </row>
    <row r="1057" spans="2:6">
      <c r="B1057" s="365" t="s">
        <v>588</v>
      </c>
      <c r="C1057" s="365" t="str">
        <f>CONCATENATE("EXP",Commodities!C351,6)</f>
        <v>EXPMTHP36</v>
      </c>
      <c r="D1057" s="365" t="str">
        <f>CONCATENATE("Export of Imported ",VLOOKUP(MID(C1057,4,3),Types!$B$2:$C$13,2,FALSE),", PADD ",MID(C1057,8,1)," to R",RIGHT(C1057,1))</f>
        <v>Export of Imported Methanol, PADD 3 to R6</v>
      </c>
      <c r="E1057" s="381" t="s">
        <v>384</v>
      </c>
      <c r="F1057" s="381" t="s">
        <v>505</v>
      </c>
    </row>
    <row r="1058" spans="2:6">
      <c r="B1058" s="365" t="s">
        <v>588</v>
      </c>
      <c r="C1058" s="365" t="str">
        <f>CONCATENATE("EXP",Commodities!C352,6)</f>
        <v>EXPPFSP36</v>
      </c>
      <c r="D1058" s="365" t="str">
        <f>CONCATENATE("Export of Imported ",VLOOKUP(MID(C1058,4,3),Types!$B$2:$C$13,2,FALSE),", PADD ",MID(C1058,8,1)," to R",RIGHT(C1058,1))</f>
        <v>Export of Imported Petrochemical Feedstocks, PADD 3 to R6</v>
      </c>
      <c r="E1058" s="381" t="s">
        <v>384</v>
      </c>
      <c r="F1058" s="381" t="s">
        <v>505</v>
      </c>
    </row>
    <row r="1059" spans="2:6">
      <c r="B1059" s="365" t="s">
        <v>588</v>
      </c>
      <c r="C1059" s="365" t="str">
        <f>CONCATENATE("EXP",Commodities!C353,6)</f>
        <v>EXPRFHP36</v>
      </c>
      <c r="D1059" s="365" t="str">
        <f>CONCATENATE("Export of Imported ",VLOOKUP(MID(C1059,4,3),Types!$B$2:$C$13,2,FALSE),", PADD ",MID(C1059,8,1)," to R",RIGHT(C1059,1))</f>
        <v>Export of Imported High Sulfur Residual Fuel Oil, PADD 3 to R6</v>
      </c>
      <c r="E1059" s="381" t="s">
        <v>384</v>
      </c>
      <c r="F1059" s="381" t="s">
        <v>505</v>
      </c>
    </row>
    <row r="1060" spans="2:6">
      <c r="B1060" s="365" t="s">
        <v>588</v>
      </c>
      <c r="C1060" s="365" t="str">
        <f>CONCATENATE("EXP",Commodities!C354,6)</f>
        <v>EXPRFLP36</v>
      </c>
      <c r="D1060" s="365" t="str">
        <f>CONCATENATE("Export of Imported ",VLOOKUP(MID(C1060,4,3),Types!$B$2:$C$13,2,FALSE),", PADD ",MID(C1060,8,1)," to R",RIGHT(C1060,1))</f>
        <v>Export of Imported Low Sulfur Residual Fuel Oil, PADD 3 to R6</v>
      </c>
      <c r="E1060" s="381" t="s">
        <v>384</v>
      </c>
      <c r="F1060" s="381" t="s">
        <v>505</v>
      </c>
    </row>
    <row r="1061" spans="2:6">
      <c r="B1061" s="365" t="s">
        <v>588</v>
      </c>
      <c r="C1061" s="365" t="s">
        <v>556</v>
      </c>
      <c r="D1061" s="365" t="s">
        <v>557</v>
      </c>
      <c r="E1061" s="381" t="s">
        <v>384</v>
      </c>
      <c r="F1061" s="381" t="s">
        <v>505</v>
      </c>
    </row>
    <row r="1062" spans="2:6">
      <c r="B1062" s="365" t="str">
        <f>IF(OR(G$944="*",LEFT(Commodities!B$65,1)="*"),"*R0","R0")</f>
        <v>*R0</v>
      </c>
      <c r="C1062" s="365" t="str">
        <f>CONCATENATE("EXP",Commodities!C69,1)</f>
        <v>EXPDSHP31</v>
      </c>
      <c r="D1062" s="365" t="str">
        <f>CONCATENATE("Export of Imported ",VLOOKUP(MID(C1062,4,3),Types!$B$2:$C$13,2,FALSE),", PADD ",MID(C1062,8,1)," to R",RIGHT(C1062,1))</f>
        <v>Export of Imported Distillate-Heating Oil No. 2, PADD 3 to R1</v>
      </c>
      <c r="E1062" s="381" t="s">
        <v>384</v>
      </c>
      <c r="F1062" s="381" t="s">
        <v>505</v>
      </c>
    </row>
    <row r="1063" spans="2:6">
      <c r="B1063" s="365" t="str">
        <f>IF(OR(G$944="*",LEFT(Commodities!B$323,1)="*"),"*R0","R0")</f>
        <v>*R0</v>
      </c>
      <c r="C1063" s="365" t="str">
        <f>CONCATENATE("EXP",Commodities!C345,1)</f>
        <v>EXPDSLP31</v>
      </c>
      <c r="D1063" s="365" t="str">
        <f>CONCATENATE("Export of Imported ",VLOOKUP(MID(C1063,4,3),Types!$B$2:$C$13,2,FALSE),", PADD ",MID(C1063,8,1)," to R",RIGHT(C1063,1))</f>
        <v>Export of Imported Distillate-Low Sulfur Highway Diesel (500 ppm), PADD 3 to R1</v>
      </c>
      <c r="E1063" s="381" t="s">
        <v>384</v>
      </c>
      <c r="F1063" s="381" t="s">
        <v>505</v>
      </c>
    </row>
    <row r="1064" spans="2:6">
      <c r="B1064" s="365" t="str">
        <f>IF(OR(G$944="*",LEFT(Commodities!B$324,1)="*"),"*R0","R0")</f>
        <v>*R0</v>
      </c>
      <c r="C1064" s="365" t="str">
        <f>CONCATENATE("EXP",Commodities!C346,1)</f>
        <v>EXPDSUP31</v>
      </c>
      <c r="D1064" s="365" t="str">
        <f>CONCATENATE("Export of Imported ",VLOOKUP(MID(C1064,4,3),Types!$B$2:$C$13,2,FALSE),", PADD ",MID(C1064,8,1)," to R",RIGHT(C1064,1))</f>
        <v>Export of Imported Distillate-Ultralow Sulfur Highway Diesel (15 ppm), PADD 3 to R1</v>
      </c>
      <c r="E1064" s="381" t="s">
        <v>384</v>
      </c>
      <c r="F1064" s="381" t="s">
        <v>505</v>
      </c>
    </row>
    <row r="1065" spans="2:6">
      <c r="B1065" s="365" t="str">
        <f>IF(OR(G$944="*",LEFT(Commodities!B$325,1)="*"),"*R0","R0")</f>
        <v>*R0</v>
      </c>
      <c r="C1065" s="365" t="str">
        <f>CONCATENATE("EXP",Commodities!C347,1)</f>
        <v>EXPGSCP31</v>
      </c>
      <c r="D1065" s="365" t="str">
        <f>CONCATENATE("Export of Imported ",VLOOKUP(MID(C1065,4,3),Types!$B$2:$C$13,2,FALSE),", PADD ",MID(C1065,8,1)," to R",RIGHT(C1065,1))</f>
        <v>Export of Imported Conventional Gasoline, PADD 3 to R1</v>
      </c>
      <c r="E1065" s="381" t="s">
        <v>384</v>
      </c>
      <c r="F1065" s="381" t="s">
        <v>505</v>
      </c>
    </row>
    <row r="1066" spans="2:6">
      <c r="B1066" s="365" t="str">
        <f>IF(OR(G$944="*",LEFT(Commodities!B$326,1)="*"),"*R0","R0")</f>
        <v>*R0</v>
      </c>
      <c r="C1066" s="365" t="str">
        <f>CONCATENATE("EXP",Commodities!C348,1)</f>
        <v>EXPGSRP31</v>
      </c>
      <c r="D1066" s="365" t="str">
        <f>CONCATENATE("Export of Imported ",VLOOKUP(MID(C1066,4,3),Types!$B$2:$C$13,2,FALSE),", PADD ",MID(C1066,8,1)," to R",RIGHT(C1066,1))</f>
        <v>Export of Imported Reformulated Gasoline, PADD 3 to R1</v>
      </c>
      <c r="E1066" s="381" t="s">
        <v>384</v>
      </c>
      <c r="F1066" s="381" t="s">
        <v>505</v>
      </c>
    </row>
    <row r="1067" spans="2:6">
      <c r="B1067" s="365" t="str">
        <f>IF(OR(G$944="*",LEFT(Commodities!B$64,1)="*"),"*R0","R0")</f>
        <v>*R0</v>
      </c>
      <c r="C1067" s="365" t="str">
        <f>CONCATENATE("EXP",Commodities!C68,1)</f>
        <v>EXPJTFP31</v>
      </c>
      <c r="D1067" s="365" t="str">
        <f>CONCATENATE("Export of Imported ",VLOOKUP(MID(C1067,4,3),Types!$B$2:$C$13,2,FALSE),", PADD ",MID(C1067,8,1)," to R",RIGHT(C1067,1))</f>
        <v>Export of Imported Jet Fuel, PADD 3 to R1</v>
      </c>
      <c r="E1067" s="381" t="s">
        <v>384</v>
      </c>
      <c r="F1067" s="381" t="s">
        <v>505</v>
      </c>
    </row>
    <row r="1068" spans="2:6">
      <c r="B1068" s="365" t="str">
        <f>IF(OR(G$944="*",LEFT(Commodities!B$327,1)="*"),"*R0","R0")</f>
        <v>*R0</v>
      </c>
      <c r="C1068" s="365" t="str">
        <f>CONCATENATE("EXP",Commodities!C349,1)</f>
        <v>EXPKERP31</v>
      </c>
      <c r="D1068" s="365" t="str">
        <f>CONCATENATE("Export of Imported ",VLOOKUP(MID(C1068,4,3),Types!$B$2:$C$13,2,FALSE),", PADD ",MID(C1068,8,1)," to R",RIGHT(C1068,1))</f>
        <v>Export of Imported Kerosene and Other Refined Products, PADD 3 to R1</v>
      </c>
      <c r="E1068" s="381" t="s">
        <v>384</v>
      </c>
      <c r="F1068" s="381" t="s">
        <v>505</v>
      </c>
    </row>
    <row r="1069" spans="2:6">
      <c r="B1069" s="365" t="str">
        <f>IF(OR(G$944="*",LEFT(Commodities!B$328,1)="*"),"*R0","R0")</f>
        <v>*R0</v>
      </c>
      <c r="C1069" s="365" t="str">
        <f>CONCATENATE("EXP",Commodities!C350,1)</f>
        <v>EXPLPGP31</v>
      </c>
      <c r="D1069" s="365" t="str">
        <f>CONCATENATE("Export of Imported ",VLOOKUP(MID(C1069,4,3),Types!$B$2:$C$13,2,FALSE),", PADD ",MID(C1069,8,1)," to R",RIGHT(C1069,1))</f>
        <v>Export of Imported LPG, PADD 3 to R1</v>
      </c>
      <c r="E1069" s="381" t="s">
        <v>384</v>
      </c>
      <c r="F1069" s="381" t="s">
        <v>505</v>
      </c>
    </row>
    <row r="1070" spans="2:6">
      <c r="B1070" s="365" t="str">
        <f>IF(OR(G$944="*",LEFT(Commodities!B$329,1)="*"),"*R0","R0")</f>
        <v>*R0</v>
      </c>
      <c r="C1070" s="365" t="str">
        <f>CONCATENATE("EXP",Commodities!C351,1)</f>
        <v>EXPMTHP31</v>
      </c>
      <c r="D1070" s="365" t="str">
        <f>CONCATENATE("Export of Imported ",VLOOKUP(MID(C1070,4,3),Types!$B$2:$C$13,2,FALSE),", PADD ",MID(C1070,8,1)," to R",RIGHT(C1070,1))</f>
        <v>Export of Imported Methanol, PADD 3 to R1</v>
      </c>
      <c r="E1070" s="381" t="s">
        <v>384</v>
      </c>
      <c r="F1070" s="381" t="s">
        <v>505</v>
      </c>
    </row>
    <row r="1071" spans="2:6">
      <c r="B1071" s="365" t="str">
        <f>IF(OR(G$944="*",LEFT(Commodities!B$330,1)="*"),"*R0","R0")</f>
        <v>*R0</v>
      </c>
      <c r="C1071" s="365" t="str">
        <f>CONCATENATE("EXP",Commodities!C352,1)</f>
        <v>EXPPFSP31</v>
      </c>
      <c r="D1071" s="365" t="str">
        <f>CONCATENATE("Export of Imported ",VLOOKUP(MID(C1071,4,3),Types!$B$2:$C$13,2,FALSE),", PADD ",MID(C1071,8,1)," to R",RIGHT(C1071,1))</f>
        <v>Export of Imported Petrochemical Feedstocks, PADD 3 to R1</v>
      </c>
      <c r="E1071" s="381" t="s">
        <v>384</v>
      </c>
      <c r="F1071" s="381" t="s">
        <v>505</v>
      </c>
    </row>
    <row r="1072" spans="2:6">
      <c r="B1072" s="365" t="str">
        <f>IF(OR(G$944="*",LEFT(Commodities!B$331,1)="*"),"*R0","R0")</f>
        <v>*R0</v>
      </c>
      <c r="C1072" s="365" t="str">
        <f>CONCATENATE("EXP",Commodities!C353,1)</f>
        <v>EXPRFHP31</v>
      </c>
      <c r="D1072" s="365" t="str">
        <f>CONCATENATE("Export of Imported ",VLOOKUP(MID(C1072,4,3),Types!$B$2:$C$13,2,FALSE),", PADD ",MID(C1072,8,1)," to R",RIGHT(C1072,1))</f>
        <v>Export of Imported High Sulfur Residual Fuel Oil, PADD 3 to R1</v>
      </c>
      <c r="E1072" s="381" t="s">
        <v>384</v>
      </c>
      <c r="F1072" s="381" t="s">
        <v>505</v>
      </c>
    </row>
    <row r="1073" spans="2:6">
      <c r="B1073" s="365" t="str">
        <f>IF(OR(G$944="*",LEFT(Commodities!B$332,1)="*"),"*R0","R0")</f>
        <v>*R0</v>
      </c>
      <c r="C1073" s="365" t="str">
        <f>CONCATENATE("EXP",Commodities!C354,1)</f>
        <v>EXPRFLP31</v>
      </c>
      <c r="D1073" s="365" t="str">
        <f>CONCATENATE("Export of Imported ",VLOOKUP(MID(C1073,4,3),Types!$B$2:$C$13,2,FALSE),", PADD ",MID(C1073,8,1)," to R",RIGHT(C1073,1))</f>
        <v>Export of Imported Low Sulfur Residual Fuel Oil, PADD 3 to R1</v>
      </c>
      <c r="E1073" s="381" t="s">
        <v>384</v>
      </c>
      <c r="F1073" s="381" t="s">
        <v>505</v>
      </c>
    </row>
    <row r="1074" spans="2:6">
      <c r="B1074" s="365" t="str">
        <f>IF(OR(G$944="*",LEFT(Commodities!B$333,1)="*"),"*R0","R0")</f>
        <v>*R0</v>
      </c>
      <c r="C1074" s="365" t="s">
        <v>2463</v>
      </c>
      <c r="D1074" s="365" t="s">
        <v>2464</v>
      </c>
      <c r="E1074" s="381" t="s">
        <v>384</v>
      </c>
      <c r="F1074" s="381" t="s">
        <v>505</v>
      </c>
    </row>
    <row r="1075" spans="2:6">
      <c r="B1075" s="365" t="s">
        <v>588</v>
      </c>
      <c r="C1075" s="365" t="str">
        <f>CONCATENATE("EXP",Commodities!C356,8)</f>
        <v>EXPDSHP48</v>
      </c>
      <c r="D1075" s="365" t="str">
        <f>CONCATENATE("Export of Imported ",VLOOKUP(MID(C1075,4,3),Types!$B$2:$C$13,2,FALSE),", PADD ",MID(C1075,8,1)," to R",RIGHT(C1075,1))</f>
        <v>Export of Imported Distillate-Heating Oil No. 2, PADD 4 to R8</v>
      </c>
      <c r="E1075" s="381" t="s">
        <v>384</v>
      </c>
      <c r="F1075" s="381" t="s">
        <v>505</v>
      </c>
    </row>
    <row r="1076" spans="2:6">
      <c r="B1076" s="365" t="s">
        <v>588</v>
      </c>
      <c r="C1076" s="365" t="str">
        <f>CONCATENATE("EXP",Commodities!C357,8)</f>
        <v>EXPDSLP48</v>
      </c>
      <c r="D1076" s="365" t="str">
        <f>CONCATENATE("Export of Imported ",VLOOKUP(MID(C1076,4,3),Types!$B$2:$C$13,2,FALSE),", PADD ",MID(C1076,8,1)," to R",RIGHT(C1076,1))</f>
        <v>Export of Imported Distillate-Low Sulfur Highway Diesel (500 ppm), PADD 4 to R8</v>
      </c>
      <c r="E1076" s="381" t="s">
        <v>384</v>
      </c>
      <c r="F1076" s="381" t="s">
        <v>505</v>
      </c>
    </row>
    <row r="1077" spans="2:6">
      <c r="B1077" s="365" t="s">
        <v>588</v>
      </c>
      <c r="C1077" s="365" t="str">
        <f>CONCATENATE("EXP",Commodities!C358,8)</f>
        <v>EXPDSUP48</v>
      </c>
      <c r="D1077" s="365" t="str">
        <f>CONCATENATE("Export of Imported ",VLOOKUP(MID(C1077,4,3),Types!$B$2:$C$13,2,FALSE),", PADD ",MID(C1077,8,1)," to R",RIGHT(C1077,1))</f>
        <v>Export of Imported Distillate-Ultralow Sulfur Highway Diesel (15 ppm), PADD 4 to R8</v>
      </c>
      <c r="E1077" s="381" t="s">
        <v>384</v>
      </c>
      <c r="F1077" s="381" t="s">
        <v>505</v>
      </c>
    </row>
    <row r="1078" spans="2:6">
      <c r="B1078" s="365" t="s">
        <v>588</v>
      </c>
      <c r="C1078" s="365" t="str">
        <f>CONCATENATE("EXP",Commodities!C359,8)</f>
        <v>EXPGSCP48</v>
      </c>
      <c r="D1078" s="365" t="str">
        <f>CONCATENATE("Export of Imported ",VLOOKUP(MID(C1078,4,3),Types!$B$2:$C$13,2,FALSE),", PADD ",MID(C1078,8,1)," to R",RIGHT(C1078,1))</f>
        <v>Export of Imported Conventional Gasoline, PADD 4 to R8</v>
      </c>
      <c r="E1078" s="381" t="s">
        <v>384</v>
      </c>
      <c r="F1078" s="381" t="s">
        <v>505</v>
      </c>
    </row>
    <row r="1079" spans="2:6">
      <c r="B1079" s="365" t="s">
        <v>588</v>
      </c>
      <c r="C1079" s="365" t="str">
        <f>CONCATENATE("EXP",Commodities!C360,8)</f>
        <v>EXPGSRP48</v>
      </c>
      <c r="D1079" s="365" t="str">
        <f>CONCATENATE("Export of Imported ",VLOOKUP(MID(C1079,4,3),Types!$B$2:$C$13,2,FALSE),", PADD ",MID(C1079,8,1)," to R",RIGHT(C1079,1))</f>
        <v>Export of Imported Reformulated Gasoline, PADD 4 to R8</v>
      </c>
      <c r="E1079" s="381" t="s">
        <v>384</v>
      </c>
      <c r="F1079" s="381" t="s">
        <v>505</v>
      </c>
    </row>
    <row r="1080" spans="2:6">
      <c r="B1080" s="365" t="s">
        <v>588</v>
      </c>
      <c r="C1080" s="365" t="str">
        <f>CONCATENATE("EXP",Commodities!C361,8)</f>
        <v>EXPJTFP48</v>
      </c>
      <c r="D1080" s="365" t="str">
        <f>CONCATENATE("Export of Imported ",VLOOKUP(MID(C1080,4,3),Types!$B$2:$C$13,2,FALSE),", PADD ",MID(C1080,8,1)," to R",RIGHT(C1080,1))</f>
        <v>Export of Imported Jet Fuel, PADD 4 to R8</v>
      </c>
      <c r="E1080" s="381" t="s">
        <v>384</v>
      </c>
      <c r="F1080" s="381" t="s">
        <v>505</v>
      </c>
    </row>
    <row r="1081" spans="2:6">
      <c r="B1081" s="365" t="s">
        <v>588</v>
      </c>
      <c r="C1081" s="365" t="str">
        <f>CONCATENATE("EXP",Commodities!C362,8)</f>
        <v>EXPKERP48</v>
      </c>
      <c r="D1081" s="365" t="str">
        <f>CONCATENATE("Export of Imported ",VLOOKUP(MID(C1081,4,3),Types!$B$2:$C$13,2,FALSE),", PADD ",MID(C1081,8,1)," to R",RIGHT(C1081,1))</f>
        <v>Export of Imported Kerosene and Other Refined Products, PADD 4 to R8</v>
      </c>
      <c r="E1081" s="381" t="s">
        <v>384</v>
      </c>
      <c r="F1081" s="381" t="s">
        <v>505</v>
      </c>
    </row>
    <row r="1082" spans="2:6">
      <c r="B1082" s="365" t="s">
        <v>588</v>
      </c>
      <c r="C1082" s="365" t="str">
        <f>CONCATENATE("EXP",Commodities!C363,8)</f>
        <v>EXPLPGP48</v>
      </c>
      <c r="D1082" s="365" t="str">
        <f>CONCATENATE("Export of Imported ",VLOOKUP(MID(C1082,4,3),Types!$B$2:$C$13,2,FALSE),", PADD ",MID(C1082,8,1)," to R",RIGHT(C1082,1))</f>
        <v>Export of Imported LPG, PADD 4 to R8</v>
      </c>
      <c r="E1082" s="381" t="s">
        <v>384</v>
      </c>
      <c r="F1082" s="381" t="s">
        <v>505</v>
      </c>
    </row>
    <row r="1083" spans="2:6">
      <c r="B1083" s="365" t="s">
        <v>588</v>
      </c>
      <c r="C1083" s="365" t="str">
        <f>CONCATENATE("EXP",Commodities!C364,8)</f>
        <v>EXPMTHP48</v>
      </c>
      <c r="D1083" s="365" t="str">
        <f>CONCATENATE("Export of Imported ",VLOOKUP(MID(C1083,4,3),Types!$B$2:$C$13,2,FALSE),", PADD ",MID(C1083,8,1)," to R",RIGHT(C1083,1))</f>
        <v>Export of Imported Methanol, PADD 4 to R8</v>
      </c>
      <c r="E1083" s="381" t="s">
        <v>384</v>
      </c>
      <c r="F1083" s="381" t="s">
        <v>505</v>
      </c>
    </row>
    <row r="1084" spans="2:6">
      <c r="B1084" s="365" t="s">
        <v>588</v>
      </c>
      <c r="C1084" s="365" t="str">
        <f>CONCATENATE("EXP",Commodities!C365,8)</f>
        <v>EXPPFSP48</v>
      </c>
      <c r="D1084" s="365" t="str">
        <f>CONCATENATE("Export of Imported ",VLOOKUP(MID(C1084,4,3),Types!$B$2:$C$13,2,FALSE),", PADD ",MID(C1084,8,1)," to R",RIGHT(C1084,1))</f>
        <v>Export of Imported Petrochemical Feedstocks, PADD 4 to R8</v>
      </c>
      <c r="E1084" s="381" t="s">
        <v>384</v>
      </c>
      <c r="F1084" s="381" t="s">
        <v>505</v>
      </c>
    </row>
    <row r="1085" spans="2:6">
      <c r="B1085" s="365" t="s">
        <v>588</v>
      </c>
      <c r="C1085" s="365" t="str">
        <f>CONCATENATE("EXP",Commodities!C366,8)</f>
        <v>EXPRFHP48</v>
      </c>
      <c r="D1085" s="365" t="str">
        <f>CONCATENATE("Export of Imported ",VLOOKUP(MID(C1085,4,3),Types!$B$2:$C$13,2,FALSE),", PADD ",MID(C1085,8,1)," to R",RIGHT(C1085,1))</f>
        <v>Export of Imported High Sulfur Residual Fuel Oil, PADD 4 to R8</v>
      </c>
      <c r="E1085" s="381" t="s">
        <v>384</v>
      </c>
      <c r="F1085" s="381" t="s">
        <v>505</v>
      </c>
    </row>
    <row r="1086" spans="2:6">
      <c r="B1086" s="365" t="s">
        <v>588</v>
      </c>
      <c r="C1086" s="365" t="str">
        <f>CONCATENATE("EXP",Commodities!C367,8)</f>
        <v>EXPRFLP48</v>
      </c>
      <c r="D1086" s="365" t="str">
        <f>CONCATENATE("Export of Imported ",VLOOKUP(MID(C1086,4,3),Types!$B$2:$C$13,2,FALSE),", PADD ",MID(C1086,8,1)," to R",RIGHT(C1086,1))</f>
        <v>Export of Imported Low Sulfur Residual Fuel Oil, PADD 4 to R8</v>
      </c>
      <c r="E1086" s="381" t="s">
        <v>384</v>
      </c>
      <c r="F1086" s="381" t="s">
        <v>505</v>
      </c>
    </row>
    <row r="1087" spans="2:6">
      <c r="B1087" s="365" t="s">
        <v>588</v>
      </c>
      <c r="C1087" s="365" t="s">
        <v>558</v>
      </c>
      <c r="D1087" s="365" t="s">
        <v>1078</v>
      </c>
      <c r="E1087" s="381" t="s">
        <v>384</v>
      </c>
      <c r="F1087" s="381" t="s">
        <v>505</v>
      </c>
    </row>
    <row r="1088" spans="2:6">
      <c r="B1088" s="365" t="s">
        <v>588</v>
      </c>
      <c r="C1088" s="365" t="str">
        <f>CONCATENATE("EXP",Commodities!C369,9)</f>
        <v>EXPDSHP59</v>
      </c>
      <c r="D1088" s="365" t="str">
        <f>CONCATENATE("Export of Imported ",VLOOKUP(MID(C1088,4,3),Types!$B$2:$C$13,2,FALSE),", PADD ",MID(C1088,8,1)," to R",RIGHT(C1088,1))</f>
        <v>Export of Imported Distillate-Heating Oil No. 2, PADD 5 to R9</v>
      </c>
      <c r="E1088" s="381" t="s">
        <v>384</v>
      </c>
      <c r="F1088" s="381" t="s">
        <v>505</v>
      </c>
    </row>
    <row r="1089" spans="2:7">
      <c r="B1089" s="365" t="s">
        <v>588</v>
      </c>
      <c r="C1089" s="365" t="str">
        <f>CONCATENATE("EXP",Commodities!C370,9)</f>
        <v>EXPDSLP59</v>
      </c>
      <c r="D1089" s="365" t="str">
        <f>CONCATENATE("Export of Imported ",VLOOKUP(MID(C1089,4,3),Types!$B$2:$C$13,2,FALSE),", PADD ",MID(C1089,8,1)," to R",RIGHT(C1089,1))</f>
        <v>Export of Imported Distillate-Low Sulfur Highway Diesel (500 ppm), PADD 5 to R9</v>
      </c>
      <c r="E1089" s="381" t="s">
        <v>384</v>
      </c>
      <c r="F1089" s="381" t="s">
        <v>505</v>
      </c>
    </row>
    <row r="1090" spans="2:7">
      <c r="B1090" s="365" t="s">
        <v>588</v>
      </c>
      <c r="C1090" s="365" t="str">
        <f>CONCATENATE("EXP",Commodities!C371,9)</f>
        <v>EXPDSUP59</v>
      </c>
      <c r="D1090" s="365" t="str">
        <f>CONCATENATE("Export of Imported ",VLOOKUP(MID(C1090,4,3),Types!$B$2:$C$13,2,FALSE),", PADD ",MID(C1090,8,1)," to R",RIGHT(C1090,1))</f>
        <v>Export of Imported Distillate-Ultralow Sulfur Highway Diesel (15 ppm), PADD 5 to R9</v>
      </c>
      <c r="E1090" s="381" t="s">
        <v>384</v>
      </c>
      <c r="F1090" s="381" t="s">
        <v>505</v>
      </c>
    </row>
    <row r="1091" spans="2:7">
      <c r="B1091" s="365" t="s">
        <v>588</v>
      </c>
      <c r="C1091" s="365" t="str">
        <f>CONCATENATE("EXP",Commodities!C372,9)</f>
        <v>EXPGSCP59</v>
      </c>
      <c r="D1091" s="365" t="str">
        <f>CONCATENATE("Export of Imported ",VLOOKUP(MID(C1091,4,3),Types!$B$2:$C$13,2,FALSE),", PADD ",MID(C1091,8,1)," to R",RIGHT(C1091,1))</f>
        <v>Export of Imported Conventional Gasoline, PADD 5 to R9</v>
      </c>
      <c r="E1091" s="381" t="s">
        <v>384</v>
      </c>
      <c r="F1091" s="381" t="s">
        <v>505</v>
      </c>
    </row>
    <row r="1092" spans="2:7">
      <c r="B1092" s="365" t="s">
        <v>588</v>
      </c>
      <c r="C1092" s="365" t="str">
        <f>CONCATENATE("EXP",Commodities!C373,9)</f>
        <v>EXPGSRP59</v>
      </c>
      <c r="D1092" s="365" t="str">
        <f>CONCATENATE("Export of Imported ",VLOOKUP(MID(C1092,4,3),Types!$B$2:$C$13,2,FALSE),", PADD ",MID(C1092,8,1)," to R",RIGHT(C1092,1))</f>
        <v>Export of Imported Reformulated Gasoline, PADD 5 to R9</v>
      </c>
      <c r="E1092" s="381" t="s">
        <v>384</v>
      </c>
      <c r="F1092" s="381" t="s">
        <v>505</v>
      </c>
    </row>
    <row r="1093" spans="2:7">
      <c r="B1093" s="365" t="s">
        <v>588</v>
      </c>
      <c r="C1093" s="365" t="str">
        <f>CONCATENATE("EXP",Commodities!C374,9)</f>
        <v>EXPJTFP59</v>
      </c>
      <c r="D1093" s="365" t="str">
        <f>CONCATENATE("Export of Imported ",VLOOKUP(MID(C1093,4,3),Types!$B$2:$C$13,2,FALSE),", PADD ",MID(C1093,8,1)," to R",RIGHT(C1093,1))</f>
        <v>Export of Imported Jet Fuel, PADD 5 to R9</v>
      </c>
      <c r="E1093" s="381" t="s">
        <v>384</v>
      </c>
      <c r="F1093" s="381" t="s">
        <v>505</v>
      </c>
    </row>
    <row r="1094" spans="2:7">
      <c r="B1094" s="365" t="s">
        <v>588</v>
      </c>
      <c r="C1094" s="365" t="str">
        <f>CONCATENATE("EXP",Commodities!C375,9)</f>
        <v>EXPKERP59</v>
      </c>
      <c r="D1094" s="365" t="str">
        <f>CONCATENATE("Export of Imported ",VLOOKUP(MID(C1094,4,3),Types!$B$2:$C$13,2,FALSE),", PADD ",MID(C1094,8,1)," to R",RIGHT(C1094,1))</f>
        <v>Export of Imported Kerosene and Other Refined Products, PADD 5 to R9</v>
      </c>
      <c r="E1094" s="381" t="s">
        <v>384</v>
      </c>
      <c r="F1094" s="381" t="s">
        <v>505</v>
      </c>
    </row>
    <row r="1095" spans="2:7">
      <c r="B1095" s="365" t="s">
        <v>588</v>
      </c>
      <c r="C1095" s="365" t="str">
        <f>CONCATENATE("EXP",Commodities!C376,9)</f>
        <v>EXPLPGP59</v>
      </c>
      <c r="D1095" s="365" t="str">
        <f>CONCATENATE("Export of Imported ",VLOOKUP(MID(C1095,4,3),Types!$B$2:$C$13,2,FALSE),", PADD ",MID(C1095,8,1)," to R",RIGHT(C1095,1))</f>
        <v>Export of Imported LPG, PADD 5 to R9</v>
      </c>
      <c r="E1095" s="381" t="s">
        <v>384</v>
      </c>
      <c r="F1095" s="381" t="s">
        <v>505</v>
      </c>
    </row>
    <row r="1096" spans="2:7">
      <c r="B1096" s="365" t="s">
        <v>588</v>
      </c>
      <c r="C1096" s="365" t="str">
        <f>CONCATENATE("EXP",Commodities!C377,9)</f>
        <v>EXPMTHP59</v>
      </c>
      <c r="D1096" s="365" t="str">
        <f>CONCATENATE("Export of Imported ",VLOOKUP(MID(C1096,4,3),Types!$B$2:$C$13,2,FALSE),", PADD ",MID(C1096,8,1)," to R",RIGHT(C1096,1))</f>
        <v>Export of Imported Methanol, PADD 5 to R9</v>
      </c>
      <c r="E1096" s="381" t="s">
        <v>384</v>
      </c>
      <c r="F1096" s="381" t="s">
        <v>505</v>
      </c>
    </row>
    <row r="1097" spans="2:7">
      <c r="B1097" s="365" t="s">
        <v>588</v>
      </c>
      <c r="C1097" s="365" t="str">
        <f>CONCATENATE("EXP",Commodities!C378,9)</f>
        <v>EXPPFSP59</v>
      </c>
      <c r="D1097" s="365" t="str">
        <f>CONCATENATE("Export of Imported ",VLOOKUP(MID(C1097,4,3),Types!$B$2:$C$13,2,FALSE),", PADD ",MID(C1097,8,1)," to R",RIGHT(C1097,1))</f>
        <v>Export of Imported Petrochemical Feedstocks, PADD 5 to R9</v>
      </c>
      <c r="E1097" s="381" t="s">
        <v>384</v>
      </c>
      <c r="F1097" s="381" t="s">
        <v>505</v>
      </c>
    </row>
    <row r="1098" spans="2:7">
      <c r="B1098" s="365" t="s">
        <v>588</v>
      </c>
      <c r="C1098" s="365" t="str">
        <f>CONCATENATE("EXP",Commodities!C379,9)</f>
        <v>EXPRFHP59</v>
      </c>
      <c r="D1098" s="365" t="str">
        <f>CONCATENATE("Export of Imported ",VLOOKUP(MID(C1098,4,3),Types!$B$2:$C$13,2,FALSE),", PADD ",MID(C1098,8,1)," to R",RIGHT(C1098,1))</f>
        <v>Export of Imported High Sulfur Residual Fuel Oil, PADD 5 to R9</v>
      </c>
      <c r="E1098" s="381" t="s">
        <v>384</v>
      </c>
      <c r="F1098" s="381" t="s">
        <v>505</v>
      </c>
    </row>
    <row r="1099" spans="2:7">
      <c r="B1099" s="365" t="s">
        <v>588</v>
      </c>
      <c r="C1099" s="365" t="str">
        <f>CONCATENATE("EXP",Commodities!C380,9)</f>
        <v>EXPRFLP59</v>
      </c>
      <c r="D1099" s="365" t="str">
        <f>CONCATENATE("Export of Imported ",VLOOKUP(MID(C1099,4,3),Types!$B$2:$C$13,2,FALSE),", PADD ",MID(C1099,8,1)," to R",RIGHT(C1099,1))</f>
        <v>Export of Imported Low Sulfur Residual Fuel Oil, PADD 5 to R9</v>
      </c>
      <c r="E1099" s="381" t="s">
        <v>384</v>
      </c>
      <c r="F1099" s="381" t="s">
        <v>505</v>
      </c>
    </row>
    <row r="1100" spans="2:7">
      <c r="B1100" s="365" t="s">
        <v>588</v>
      </c>
      <c r="C1100" s="365" t="s">
        <v>559</v>
      </c>
      <c r="D1100" s="365" t="s">
        <v>1082</v>
      </c>
      <c r="E1100" s="381" t="s">
        <v>384</v>
      </c>
      <c r="F1100" s="381" t="s">
        <v>505</v>
      </c>
    </row>
    <row r="1101" spans="2:7">
      <c r="B1101" s="365" t="s">
        <v>560</v>
      </c>
    </row>
    <row r="1102" spans="2:7">
      <c r="B1102" s="365" t="str">
        <f t="shared" ref="B1102:B1114" si="0">IF(LEFT(B945,1)="*","*R1","R1")</f>
        <v>*R1</v>
      </c>
      <c r="C1102" s="365" t="str">
        <f>CONCATENATE("IMP",Commodities!C65,1)</f>
        <v>IMPDSHP11</v>
      </c>
      <c r="D1102" s="365" t="str">
        <f>CONCATENATE("R",RIGHT(C1102,1)," Import of Imported ",VLOOKUP(MID(C1102,4,3),Types!$B$2:$C$13,2,FALSE),", from PADD ",MID(C1102,8,1))</f>
        <v>R1 Import of Imported Distillate-Heating Oil No. 2, from PADD 1</v>
      </c>
      <c r="E1102" s="381" t="s">
        <v>384</v>
      </c>
      <c r="F1102" s="381" t="s">
        <v>505</v>
      </c>
      <c r="G1102" s="364" t="s">
        <v>2536</v>
      </c>
    </row>
    <row r="1103" spans="2:7">
      <c r="B1103" s="365" t="str">
        <f t="shared" si="0"/>
        <v>*R1</v>
      </c>
      <c r="C1103" s="365" t="str">
        <f>CONCATENATE("IMP",Commodities!C323,1)</f>
        <v>IMPDSLP11</v>
      </c>
      <c r="D1103" s="365" t="str">
        <f>CONCATENATE("R",RIGHT(C1103,1)," Import of Imported ",VLOOKUP(MID(C1103,4,3),Types!$B$2:$C$13,2,FALSE),", from PADD ",MID(C1103,8,1))</f>
        <v>R1 Import of Imported Distillate-Low Sulfur Highway Diesel (500 ppm), from PADD 1</v>
      </c>
      <c r="E1103" s="381" t="s">
        <v>384</v>
      </c>
      <c r="F1103" s="381" t="s">
        <v>505</v>
      </c>
    </row>
    <row r="1104" spans="2:7">
      <c r="B1104" s="365" t="str">
        <f t="shared" si="0"/>
        <v>*R1</v>
      </c>
      <c r="C1104" s="365" t="str">
        <f>CONCATENATE("IMP",Commodities!C324,1)</f>
        <v>IMPDSUP11</v>
      </c>
      <c r="D1104" s="365" t="str">
        <f>CONCATENATE("R",RIGHT(C1104,1)," Import of Imported ",VLOOKUP(MID(C1104,4,3),Types!$B$2:$C$13,2,FALSE),", from PADD ",MID(C1104,8,1))</f>
        <v>R1 Import of Imported Distillate-Ultralow Sulfur Highway Diesel (15 ppm), from PADD 1</v>
      </c>
      <c r="E1104" s="381" t="s">
        <v>384</v>
      </c>
      <c r="F1104" s="381" t="s">
        <v>505</v>
      </c>
    </row>
    <row r="1105" spans="2:6">
      <c r="B1105" s="365" t="str">
        <f t="shared" si="0"/>
        <v>*R1</v>
      </c>
      <c r="C1105" s="365" t="str">
        <f>CONCATENATE("IMP",Commodities!C325,1)</f>
        <v>IMPGSCP11</v>
      </c>
      <c r="D1105" s="365" t="str">
        <f>CONCATENATE("R",RIGHT(C1105,1)," Import of Imported ",VLOOKUP(MID(C1105,4,3),Types!$B$2:$C$13,2,FALSE),", from PADD ",MID(C1105,8,1))</f>
        <v>R1 Import of Imported Conventional Gasoline, from PADD 1</v>
      </c>
      <c r="E1105" s="381" t="s">
        <v>384</v>
      </c>
      <c r="F1105" s="381" t="s">
        <v>505</v>
      </c>
    </row>
    <row r="1106" spans="2:6">
      <c r="B1106" s="365" t="str">
        <f t="shared" si="0"/>
        <v>*R1</v>
      </c>
      <c r="C1106" s="365" t="str">
        <f>CONCATENATE("IMP",Commodities!C326,1)</f>
        <v>IMPGSRP11</v>
      </c>
      <c r="D1106" s="365" t="str">
        <f>CONCATENATE("R",RIGHT(C1106,1)," Import of Imported ",VLOOKUP(MID(C1106,4,3),Types!$B$2:$C$13,2,FALSE),", from PADD ",MID(C1106,8,1))</f>
        <v>R1 Import of Imported Reformulated Gasoline, from PADD 1</v>
      </c>
      <c r="E1106" s="381" t="s">
        <v>384</v>
      </c>
      <c r="F1106" s="381" t="s">
        <v>505</v>
      </c>
    </row>
    <row r="1107" spans="2:6">
      <c r="B1107" s="365" t="str">
        <f t="shared" si="0"/>
        <v>*R1</v>
      </c>
      <c r="C1107" s="365" t="str">
        <f>CONCATENATE("IMP",Commodities!C64,1)</f>
        <v>IMPJTFP11</v>
      </c>
      <c r="D1107" s="365" t="str">
        <f>CONCATENATE("R",RIGHT(C1107,1)," Import of Imported ",VLOOKUP(MID(C1107,4,3),Types!$B$2:$C$13,2,FALSE),", from PADD ",MID(C1107,8,1))</f>
        <v>R1 Import of Imported Jet Fuel, from PADD 1</v>
      </c>
      <c r="E1107" s="381" t="s">
        <v>384</v>
      </c>
      <c r="F1107" s="381" t="s">
        <v>505</v>
      </c>
    </row>
    <row r="1108" spans="2:6">
      <c r="B1108" s="365" t="str">
        <f t="shared" si="0"/>
        <v>*R1</v>
      </c>
      <c r="C1108" s="365" t="str">
        <f>CONCATENATE("IMP",Commodities!C327,1)</f>
        <v>IMPKERP11</v>
      </c>
      <c r="D1108" s="365" t="str">
        <f>CONCATENATE("R",RIGHT(C1108,1)," Import of Imported ",VLOOKUP(MID(C1108,4,3),Types!$B$2:$C$13,2,FALSE),", from PADD ",MID(C1108,8,1))</f>
        <v>R1 Import of Imported Kerosene and Other Refined Products, from PADD 1</v>
      </c>
      <c r="E1108" s="381" t="s">
        <v>384</v>
      </c>
      <c r="F1108" s="381" t="s">
        <v>505</v>
      </c>
    </row>
    <row r="1109" spans="2:6">
      <c r="B1109" s="365" t="str">
        <f t="shared" si="0"/>
        <v>*R1</v>
      </c>
      <c r="C1109" s="365" t="str">
        <f>CONCATENATE("IMP",Commodities!C328,1)</f>
        <v>IMPLPGP11</v>
      </c>
      <c r="D1109" s="365" t="str">
        <f>CONCATENATE("R",RIGHT(C1109,1)," Import of Imported ",VLOOKUP(MID(C1109,4,3),Types!$B$2:$C$13,2,FALSE),", from PADD ",MID(C1109,8,1))</f>
        <v>R1 Import of Imported LPG, from PADD 1</v>
      </c>
      <c r="E1109" s="381" t="s">
        <v>384</v>
      </c>
      <c r="F1109" s="381" t="s">
        <v>505</v>
      </c>
    </row>
    <row r="1110" spans="2:6">
      <c r="B1110" s="365" t="str">
        <f t="shared" si="0"/>
        <v>*R1</v>
      </c>
      <c r="C1110" s="365" t="str">
        <f>CONCATENATE("IMP",Commodities!C329,1)</f>
        <v>IMPMTHP11</v>
      </c>
      <c r="D1110" s="365" t="str">
        <f>CONCATENATE("R",RIGHT(C1110,1)," Import of Imported ",VLOOKUP(MID(C1110,4,3),Types!$B$2:$C$13,2,FALSE),", from PADD ",MID(C1110,8,1))</f>
        <v>R1 Import of Imported Methanol, from PADD 1</v>
      </c>
      <c r="E1110" s="381" t="s">
        <v>384</v>
      </c>
      <c r="F1110" s="381" t="s">
        <v>505</v>
      </c>
    </row>
    <row r="1111" spans="2:6">
      <c r="B1111" s="365" t="str">
        <f t="shared" si="0"/>
        <v>*R1</v>
      </c>
      <c r="C1111" s="365" t="str">
        <f>CONCATENATE("IMP",Commodities!C330,1)</f>
        <v>IMPPFSP11</v>
      </c>
      <c r="D1111" s="365" t="str">
        <f>CONCATENATE("R",RIGHT(C1111,1)," Import of Imported ",VLOOKUP(MID(C1111,4,3),Types!$B$2:$C$13,2,FALSE),", from PADD ",MID(C1111,8,1))</f>
        <v>R1 Import of Imported Petrochemical Feedstocks, from PADD 1</v>
      </c>
      <c r="E1111" s="381" t="s">
        <v>384</v>
      </c>
      <c r="F1111" s="381" t="s">
        <v>505</v>
      </c>
    </row>
    <row r="1112" spans="2:6">
      <c r="B1112" s="365" t="str">
        <f t="shared" si="0"/>
        <v>*R1</v>
      </c>
      <c r="C1112" s="365" t="str">
        <f>CONCATENATE("IMP",Commodities!C331,1)</f>
        <v>IMPRFHP11</v>
      </c>
      <c r="D1112" s="365" t="str">
        <f>CONCATENATE("R",RIGHT(C1112,1)," Import of Imported ",VLOOKUP(MID(C1112,4,3),Types!$B$2:$C$13,2,FALSE),", from PADD ",MID(C1112,8,1))</f>
        <v>R1 Import of Imported High Sulfur Residual Fuel Oil, from PADD 1</v>
      </c>
      <c r="E1112" s="381" t="s">
        <v>384</v>
      </c>
      <c r="F1112" s="381" t="s">
        <v>505</v>
      </c>
    </row>
    <row r="1113" spans="2:6">
      <c r="B1113" s="365" t="str">
        <f t="shared" si="0"/>
        <v>*R1</v>
      </c>
      <c r="C1113" s="365" t="str">
        <f>CONCATENATE("IMP",Commodities!C332,1)</f>
        <v>IMPRFLP11</v>
      </c>
      <c r="D1113" s="365" t="str">
        <f>CONCATENATE("R",RIGHT(C1113,1)," Import of Imported ",VLOOKUP(MID(C1113,4,3),Types!$B$2:$C$13,2,FALSE),", from PADD ",MID(C1113,8,1))</f>
        <v>R1 Import of Imported Low Sulfur Residual Fuel Oil, from PADD 1</v>
      </c>
      <c r="E1113" s="381" t="s">
        <v>384</v>
      </c>
      <c r="F1113" s="381" t="s">
        <v>505</v>
      </c>
    </row>
    <row r="1114" spans="2:6">
      <c r="B1114" s="365" t="str">
        <f t="shared" si="0"/>
        <v>*R1</v>
      </c>
      <c r="C1114" s="365" t="s">
        <v>561</v>
      </c>
      <c r="D1114" s="365" t="s">
        <v>562</v>
      </c>
      <c r="E1114" s="381" t="s">
        <v>384</v>
      </c>
      <c r="F1114" s="381" t="s">
        <v>505</v>
      </c>
    </row>
    <row r="1115" spans="2:6">
      <c r="B1115" s="365" t="str">
        <f t="shared" ref="B1115:B1127" si="1">IF(LEFT(B958,1)="*","*R2","R2")</f>
        <v>*R2</v>
      </c>
      <c r="C1115" s="365" t="str">
        <f>CONCATENATE("IMP",Commodities!C65,2)</f>
        <v>IMPDSHP12</v>
      </c>
      <c r="D1115" s="365" t="str">
        <f>CONCATENATE("R",RIGHT(C1115,1)," Import of Imported ",VLOOKUP(MID(C1115,4,3),Types!$B$2:$C$13,2,FALSE),", from PADD ",MID(C1115,8,1))</f>
        <v>R2 Import of Imported Distillate-Heating Oil No. 2, from PADD 1</v>
      </c>
      <c r="E1115" s="381" t="s">
        <v>384</v>
      </c>
      <c r="F1115" s="381" t="s">
        <v>505</v>
      </c>
    </row>
    <row r="1116" spans="2:6">
      <c r="B1116" s="365" t="str">
        <f t="shared" si="1"/>
        <v>*R2</v>
      </c>
      <c r="C1116" s="365" t="str">
        <f>CONCATENATE("IMP",Commodities!C323,2)</f>
        <v>IMPDSLP12</v>
      </c>
      <c r="D1116" s="365" t="str">
        <f>CONCATENATE("R",RIGHT(C1116,1)," Import of Imported ",VLOOKUP(MID(C1116,4,3),Types!$B$2:$C$13,2,FALSE),", from PADD ",MID(C1116,8,1))</f>
        <v>R2 Import of Imported Distillate-Low Sulfur Highway Diesel (500 ppm), from PADD 1</v>
      </c>
      <c r="E1116" s="381" t="s">
        <v>384</v>
      </c>
      <c r="F1116" s="381" t="s">
        <v>505</v>
      </c>
    </row>
    <row r="1117" spans="2:6">
      <c r="B1117" s="365" t="str">
        <f t="shared" si="1"/>
        <v>*R2</v>
      </c>
      <c r="C1117" s="365" t="str">
        <f>CONCATENATE("IMP",Commodities!C324,2)</f>
        <v>IMPDSUP12</v>
      </c>
      <c r="D1117" s="365" t="str">
        <f>CONCATENATE("R",RIGHT(C1117,1)," Import of Imported ",VLOOKUP(MID(C1117,4,3),Types!$B$2:$C$13,2,FALSE),", from PADD ",MID(C1117,8,1))</f>
        <v>R2 Import of Imported Distillate-Ultralow Sulfur Highway Diesel (15 ppm), from PADD 1</v>
      </c>
      <c r="E1117" s="381" t="s">
        <v>384</v>
      </c>
      <c r="F1117" s="381" t="s">
        <v>505</v>
      </c>
    </row>
    <row r="1118" spans="2:6">
      <c r="B1118" s="365" t="str">
        <f t="shared" si="1"/>
        <v>*R2</v>
      </c>
      <c r="C1118" s="365" t="str">
        <f>CONCATENATE("IMP",Commodities!C325,2)</f>
        <v>IMPGSCP12</v>
      </c>
      <c r="D1118" s="365" t="str">
        <f>CONCATENATE("R",RIGHT(C1118,1)," Import of Imported ",VLOOKUP(MID(C1118,4,3),Types!$B$2:$C$13,2,FALSE),", from PADD ",MID(C1118,8,1))</f>
        <v>R2 Import of Imported Conventional Gasoline, from PADD 1</v>
      </c>
      <c r="E1118" s="381" t="s">
        <v>384</v>
      </c>
      <c r="F1118" s="381" t="s">
        <v>505</v>
      </c>
    </row>
    <row r="1119" spans="2:6">
      <c r="B1119" s="365" t="str">
        <f t="shared" si="1"/>
        <v>*R2</v>
      </c>
      <c r="C1119" s="365" t="str">
        <f>CONCATENATE("IMP",Commodities!C326,2)</f>
        <v>IMPGSRP12</v>
      </c>
      <c r="D1119" s="365" t="str">
        <f>CONCATENATE("R",RIGHT(C1119,1)," Import of Imported ",VLOOKUP(MID(C1119,4,3),Types!$B$2:$C$13,2,FALSE),", from PADD ",MID(C1119,8,1))</f>
        <v>R2 Import of Imported Reformulated Gasoline, from PADD 1</v>
      </c>
      <c r="E1119" s="381" t="s">
        <v>384</v>
      </c>
      <c r="F1119" s="381" t="s">
        <v>505</v>
      </c>
    </row>
    <row r="1120" spans="2:6">
      <c r="B1120" s="365" t="str">
        <f t="shared" si="1"/>
        <v>*R2</v>
      </c>
      <c r="C1120" s="365" t="str">
        <f>CONCATENATE("IMP",Commodities!C64,2)</f>
        <v>IMPJTFP12</v>
      </c>
      <c r="D1120" s="365" t="str">
        <f>CONCATENATE("R",RIGHT(C1120,1)," Import of Imported ",VLOOKUP(MID(C1120,4,3),Types!$B$2:$C$13,2,FALSE),", from PADD ",MID(C1120,8,1))</f>
        <v>R2 Import of Imported Jet Fuel, from PADD 1</v>
      </c>
      <c r="E1120" s="381" t="s">
        <v>384</v>
      </c>
      <c r="F1120" s="381" t="s">
        <v>505</v>
      </c>
    </row>
    <row r="1121" spans="2:6">
      <c r="B1121" s="365" t="str">
        <f t="shared" si="1"/>
        <v>*R2</v>
      </c>
      <c r="C1121" s="365" t="str">
        <f>CONCATENATE("IMP",Commodities!C327,2)</f>
        <v>IMPKERP12</v>
      </c>
      <c r="D1121" s="365" t="str">
        <f>CONCATENATE("R",RIGHT(C1121,1)," Import of Imported ",VLOOKUP(MID(C1121,4,3),Types!$B$2:$C$13,2,FALSE),", from PADD ",MID(C1121,8,1))</f>
        <v>R2 Import of Imported Kerosene and Other Refined Products, from PADD 1</v>
      </c>
      <c r="E1121" s="381" t="s">
        <v>384</v>
      </c>
      <c r="F1121" s="381" t="s">
        <v>505</v>
      </c>
    </row>
    <row r="1122" spans="2:6">
      <c r="B1122" s="365" t="str">
        <f t="shared" si="1"/>
        <v>*R2</v>
      </c>
      <c r="C1122" s="365" t="str">
        <f>CONCATENATE("IMP",Commodities!C328,2)</f>
        <v>IMPLPGP12</v>
      </c>
      <c r="D1122" s="365" t="str">
        <f>CONCATENATE("R",RIGHT(C1122,1)," Import of Imported ",VLOOKUP(MID(C1122,4,3),Types!$B$2:$C$13,2,FALSE),", from PADD ",MID(C1122,8,1))</f>
        <v>R2 Import of Imported LPG, from PADD 1</v>
      </c>
      <c r="E1122" s="381" t="s">
        <v>384</v>
      </c>
      <c r="F1122" s="381" t="s">
        <v>505</v>
      </c>
    </row>
    <row r="1123" spans="2:6">
      <c r="B1123" s="365" t="str">
        <f t="shared" si="1"/>
        <v>*R2</v>
      </c>
      <c r="C1123" s="365" t="str">
        <f>CONCATENATE("IMP",Commodities!C329,2)</f>
        <v>IMPMTHP12</v>
      </c>
      <c r="D1123" s="365" t="str">
        <f>CONCATENATE("R",RIGHT(C1123,1)," Import of Imported ",VLOOKUP(MID(C1123,4,3),Types!$B$2:$C$13,2,FALSE),", from PADD ",MID(C1123,8,1))</f>
        <v>R2 Import of Imported Methanol, from PADD 1</v>
      </c>
      <c r="E1123" s="381" t="s">
        <v>384</v>
      </c>
      <c r="F1123" s="381" t="s">
        <v>505</v>
      </c>
    </row>
    <row r="1124" spans="2:6">
      <c r="B1124" s="365" t="str">
        <f t="shared" si="1"/>
        <v>*R2</v>
      </c>
      <c r="C1124" s="365" t="str">
        <f>CONCATENATE("IMP",Commodities!C330,2)</f>
        <v>IMPPFSP12</v>
      </c>
      <c r="D1124" s="365" t="str">
        <f>CONCATENATE("R",RIGHT(C1124,1)," Import of Imported ",VLOOKUP(MID(C1124,4,3),Types!$B$2:$C$13,2,FALSE),", from PADD ",MID(C1124,8,1))</f>
        <v>R2 Import of Imported Petrochemical Feedstocks, from PADD 1</v>
      </c>
      <c r="E1124" s="381" t="s">
        <v>384</v>
      </c>
      <c r="F1124" s="381" t="s">
        <v>505</v>
      </c>
    </row>
    <row r="1125" spans="2:6">
      <c r="B1125" s="365" t="str">
        <f t="shared" si="1"/>
        <v>*R2</v>
      </c>
      <c r="C1125" s="365" t="str">
        <f>CONCATENATE("IMP",Commodities!C331,2)</f>
        <v>IMPRFHP12</v>
      </c>
      <c r="D1125" s="365" t="str">
        <f>CONCATENATE("R",RIGHT(C1125,1)," Import of Imported ",VLOOKUP(MID(C1125,4,3),Types!$B$2:$C$13,2,FALSE),", from PADD ",MID(C1125,8,1))</f>
        <v>R2 Import of Imported High Sulfur Residual Fuel Oil, from PADD 1</v>
      </c>
      <c r="E1125" s="381" t="s">
        <v>384</v>
      </c>
      <c r="F1125" s="381" t="s">
        <v>505</v>
      </c>
    </row>
    <row r="1126" spans="2:6">
      <c r="B1126" s="365" t="str">
        <f t="shared" si="1"/>
        <v>*R2</v>
      </c>
      <c r="C1126" s="365" t="str">
        <f>CONCATENATE("IMP",Commodities!C332,2)</f>
        <v>IMPRFLP12</v>
      </c>
      <c r="D1126" s="365" t="str">
        <f>CONCATENATE("R",RIGHT(C1126,1)," Import of Imported ",VLOOKUP(MID(C1126,4,3),Types!$B$2:$C$13,2,FALSE),", from PADD ",MID(C1126,8,1))</f>
        <v>R2 Import of Imported Low Sulfur Residual Fuel Oil, from PADD 1</v>
      </c>
      <c r="E1126" s="381" t="s">
        <v>384</v>
      </c>
      <c r="F1126" s="381" t="s">
        <v>505</v>
      </c>
    </row>
    <row r="1127" spans="2:6">
      <c r="B1127" s="365" t="str">
        <f t="shared" si="1"/>
        <v>*R2</v>
      </c>
      <c r="C1127" s="365" t="s">
        <v>563</v>
      </c>
      <c r="D1127" s="365" t="s">
        <v>564</v>
      </c>
      <c r="E1127" s="381" t="s">
        <v>384</v>
      </c>
      <c r="F1127" s="381" t="s">
        <v>505</v>
      </c>
    </row>
    <row r="1128" spans="2:6">
      <c r="B1128" s="365" t="str">
        <f t="shared" ref="B1128:B1140" si="2">IF(LEFT(B971,1)="*","*R3","R3")</f>
        <v>*R3</v>
      </c>
      <c r="C1128" s="365" t="str">
        <f>CONCATENATE("IMP",Commodities!C65,3)</f>
        <v>IMPDSHP13</v>
      </c>
      <c r="D1128" s="365" t="str">
        <f>CONCATENATE("R",RIGHT(C1128,1)," Import of Imported ",VLOOKUP(MID(C1128,4,3),Types!$B$2:$C$13,2,FALSE),", from PADD ",MID(C1128,8,1))</f>
        <v>R3 Import of Imported Distillate-Heating Oil No. 2, from PADD 1</v>
      </c>
      <c r="E1128" s="381" t="s">
        <v>384</v>
      </c>
      <c r="F1128" s="381" t="s">
        <v>505</v>
      </c>
    </row>
    <row r="1129" spans="2:6">
      <c r="B1129" s="365" t="str">
        <f t="shared" si="2"/>
        <v>*R3</v>
      </c>
      <c r="C1129" s="365" t="str">
        <f>CONCATENATE("IMP",Commodities!C323,3)</f>
        <v>IMPDSLP13</v>
      </c>
      <c r="D1129" s="365" t="str">
        <f>CONCATENATE("R",RIGHT(C1129,1)," Import of Imported ",VLOOKUP(MID(C1129,4,3),Types!$B$2:$C$13,2,FALSE),", from PADD ",MID(C1129,8,1))</f>
        <v>R3 Import of Imported Distillate-Low Sulfur Highway Diesel (500 ppm), from PADD 1</v>
      </c>
      <c r="E1129" s="381" t="s">
        <v>384</v>
      </c>
      <c r="F1129" s="381" t="s">
        <v>505</v>
      </c>
    </row>
    <row r="1130" spans="2:6">
      <c r="B1130" s="365" t="str">
        <f t="shared" si="2"/>
        <v>*R3</v>
      </c>
      <c r="C1130" s="365" t="str">
        <f>CONCATENATE("IMP",Commodities!C324,3)</f>
        <v>IMPDSUP13</v>
      </c>
      <c r="D1130" s="365" t="str">
        <f>CONCATENATE("R",RIGHT(C1130,1)," Import of Imported ",VLOOKUP(MID(C1130,4,3),Types!$B$2:$C$13,2,FALSE),", from PADD ",MID(C1130,8,1))</f>
        <v>R3 Import of Imported Distillate-Ultralow Sulfur Highway Diesel (15 ppm), from PADD 1</v>
      </c>
      <c r="E1130" s="381" t="s">
        <v>384</v>
      </c>
      <c r="F1130" s="381" t="s">
        <v>505</v>
      </c>
    </row>
    <row r="1131" spans="2:6">
      <c r="B1131" s="365" t="str">
        <f t="shared" si="2"/>
        <v>*R3</v>
      </c>
      <c r="C1131" s="365" t="str">
        <f>CONCATENATE("IMP",Commodities!C325,3)</f>
        <v>IMPGSCP13</v>
      </c>
      <c r="D1131" s="365" t="str">
        <f>CONCATENATE("R",RIGHT(C1131,1)," Import of Imported ",VLOOKUP(MID(C1131,4,3),Types!$B$2:$C$13,2,FALSE),", from PADD ",MID(C1131,8,1))</f>
        <v>R3 Import of Imported Conventional Gasoline, from PADD 1</v>
      </c>
      <c r="E1131" s="381" t="s">
        <v>384</v>
      </c>
      <c r="F1131" s="381" t="s">
        <v>505</v>
      </c>
    </row>
    <row r="1132" spans="2:6">
      <c r="B1132" s="365" t="str">
        <f t="shared" si="2"/>
        <v>*R3</v>
      </c>
      <c r="C1132" s="365" t="str">
        <f>CONCATENATE("IMP",Commodities!C326,3)</f>
        <v>IMPGSRP13</v>
      </c>
      <c r="D1132" s="365" t="str">
        <f>CONCATENATE("R",RIGHT(C1132,1)," Import of Imported ",VLOOKUP(MID(C1132,4,3),Types!$B$2:$C$13,2,FALSE),", from PADD ",MID(C1132,8,1))</f>
        <v>R3 Import of Imported Reformulated Gasoline, from PADD 1</v>
      </c>
      <c r="E1132" s="381" t="s">
        <v>384</v>
      </c>
      <c r="F1132" s="381" t="s">
        <v>505</v>
      </c>
    </row>
    <row r="1133" spans="2:6">
      <c r="B1133" s="365" t="str">
        <f t="shared" si="2"/>
        <v>*R3</v>
      </c>
      <c r="C1133" s="365" t="str">
        <f>CONCATENATE("IMP",Commodities!C64,3)</f>
        <v>IMPJTFP13</v>
      </c>
      <c r="D1133" s="365" t="str">
        <f>CONCATENATE("R",RIGHT(C1133,1)," Import of Imported ",VLOOKUP(MID(C1133,4,3),Types!$B$2:$C$13,2,FALSE),", from PADD ",MID(C1133,8,1))</f>
        <v>R3 Import of Imported Jet Fuel, from PADD 1</v>
      </c>
      <c r="E1133" s="381" t="s">
        <v>384</v>
      </c>
      <c r="F1133" s="381" t="s">
        <v>505</v>
      </c>
    </row>
    <row r="1134" spans="2:6">
      <c r="B1134" s="365" t="str">
        <f t="shared" si="2"/>
        <v>*R3</v>
      </c>
      <c r="C1134" s="365" t="str">
        <f>CONCATENATE("IMP",Commodities!C327,3)</f>
        <v>IMPKERP13</v>
      </c>
      <c r="D1134" s="365" t="str">
        <f>CONCATENATE("R",RIGHT(C1134,1)," Import of Imported ",VLOOKUP(MID(C1134,4,3),Types!$B$2:$C$13,2,FALSE),", from PADD ",MID(C1134,8,1))</f>
        <v>R3 Import of Imported Kerosene and Other Refined Products, from PADD 1</v>
      </c>
      <c r="E1134" s="381" t="s">
        <v>384</v>
      </c>
      <c r="F1134" s="381" t="s">
        <v>505</v>
      </c>
    </row>
    <row r="1135" spans="2:6">
      <c r="B1135" s="365" t="str">
        <f t="shared" si="2"/>
        <v>*R3</v>
      </c>
      <c r="C1135" s="365" t="str">
        <f>CONCATENATE("IMP",Commodities!C328,3)</f>
        <v>IMPLPGP13</v>
      </c>
      <c r="D1135" s="365" t="str">
        <f>CONCATENATE("R",RIGHT(C1135,1)," Import of Imported ",VLOOKUP(MID(C1135,4,3),Types!$B$2:$C$13,2,FALSE),", from PADD ",MID(C1135,8,1))</f>
        <v>R3 Import of Imported LPG, from PADD 1</v>
      </c>
      <c r="E1135" s="381" t="s">
        <v>384</v>
      </c>
      <c r="F1135" s="381" t="s">
        <v>505</v>
      </c>
    </row>
    <row r="1136" spans="2:6">
      <c r="B1136" s="365" t="str">
        <f t="shared" si="2"/>
        <v>*R3</v>
      </c>
      <c r="C1136" s="365" t="str">
        <f>CONCATENATE("IMP",Commodities!C329,3)</f>
        <v>IMPMTHP13</v>
      </c>
      <c r="D1136" s="365" t="str">
        <f>CONCATENATE("R",RIGHT(C1136,1)," Import of Imported ",VLOOKUP(MID(C1136,4,3),Types!$B$2:$C$13,2,FALSE),", from PADD ",MID(C1136,8,1))</f>
        <v>R3 Import of Imported Methanol, from PADD 1</v>
      </c>
      <c r="E1136" s="381" t="s">
        <v>384</v>
      </c>
      <c r="F1136" s="381" t="s">
        <v>505</v>
      </c>
    </row>
    <row r="1137" spans="2:6">
      <c r="B1137" s="365" t="str">
        <f t="shared" si="2"/>
        <v>*R3</v>
      </c>
      <c r="C1137" s="365" t="str">
        <f>CONCATENATE("IMP",Commodities!C330,3)</f>
        <v>IMPPFSP13</v>
      </c>
      <c r="D1137" s="365" t="str">
        <f>CONCATENATE("R",RIGHT(C1137,1)," Import of Imported ",VLOOKUP(MID(C1137,4,3),Types!$B$2:$C$13,2,FALSE),", from PADD ",MID(C1137,8,1))</f>
        <v>R3 Import of Imported Petrochemical Feedstocks, from PADD 1</v>
      </c>
      <c r="E1137" s="381" t="s">
        <v>384</v>
      </c>
      <c r="F1137" s="381" t="s">
        <v>505</v>
      </c>
    </row>
    <row r="1138" spans="2:6">
      <c r="B1138" s="365" t="str">
        <f t="shared" si="2"/>
        <v>*R3</v>
      </c>
      <c r="C1138" s="365" t="str">
        <f>CONCATENATE("IMP",Commodities!C331,3)</f>
        <v>IMPRFHP13</v>
      </c>
      <c r="D1138" s="365" t="str">
        <f>CONCATENATE("R",RIGHT(C1138,1)," Import of Imported ",VLOOKUP(MID(C1138,4,3),Types!$B$2:$C$13,2,FALSE),", from PADD ",MID(C1138,8,1))</f>
        <v>R3 Import of Imported High Sulfur Residual Fuel Oil, from PADD 1</v>
      </c>
      <c r="E1138" s="381" t="s">
        <v>384</v>
      </c>
      <c r="F1138" s="381" t="s">
        <v>505</v>
      </c>
    </row>
    <row r="1139" spans="2:6">
      <c r="B1139" s="365" t="str">
        <f t="shared" si="2"/>
        <v>*R3</v>
      </c>
      <c r="C1139" s="365" t="str">
        <f>CONCATENATE("IMP",Commodities!C332,3)</f>
        <v>IMPRFLP13</v>
      </c>
      <c r="D1139" s="365" t="str">
        <f>CONCATENATE("R",RIGHT(C1139,1)," Import of Imported ",VLOOKUP(MID(C1139,4,3),Types!$B$2:$C$13,2,FALSE),", from PADD ",MID(C1139,8,1))</f>
        <v>R3 Import of Imported Low Sulfur Residual Fuel Oil, from PADD 1</v>
      </c>
      <c r="E1139" s="381" t="s">
        <v>384</v>
      </c>
      <c r="F1139" s="381" t="s">
        <v>505</v>
      </c>
    </row>
    <row r="1140" spans="2:6">
      <c r="B1140" s="365" t="str">
        <f t="shared" si="2"/>
        <v>*R3</v>
      </c>
      <c r="C1140" s="365" t="s">
        <v>2452</v>
      </c>
      <c r="D1140" s="365" t="s">
        <v>2453</v>
      </c>
      <c r="E1140" s="381" t="s">
        <v>384</v>
      </c>
      <c r="F1140" s="381" t="s">
        <v>505</v>
      </c>
    </row>
    <row r="1141" spans="2:6">
      <c r="B1141" s="365" t="str">
        <f t="shared" ref="B1141:B1153" si="3">IF(LEFT(B984,1)="*","*R4","R4")</f>
        <v>*R4</v>
      </c>
      <c r="C1141" s="365" t="str">
        <f>CONCATENATE("IMP",Commodities!C65,4)</f>
        <v>IMPDSHP14</v>
      </c>
      <c r="D1141" s="365" t="str">
        <f>CONCATENATE("R",RIGHT(C1141,1)," Import of Imported ",VLOOKUP(MID(C1141,4,3),Types!$B$2:$C$13,2,FALSE),", from PADD ",MID(C1141,8,1))</f>
        <v>R4 Import of Imported Distillate-Heating Oil No. 2, from PADD 1</v>
      </c>
      <c r="E1141" s="381" t="s">
        <v>384</v>
      </c>
      <c r="F1141" s="381" t="s">
        <v>505</v>
      </c>
    </row>
    <row r="1142" spans="2:6">
      <c r="B1142" s="365" t="str">
        <f t="shared" si="3"/>
        <v>*R4</v>
      </c>
      <c r="C1142" s="365" t="str">
        <f>CONCATENATE("IMP",Commodities!C323,4)</f>
        <v>IMPDSLP14</v>
      </c>
      <c r="D1142" s="365" t="str">
        <f>CONCATENATE("R",RIGHT(C1142,1)," Import of Imported ",VLOOKUP(MID(C1142,4,3),Types!$B$2:$C$13,2,FALSE),", from PADD ",MID(C1142,8,1))</f>
        <v>R4 Import of Imported Distillate-Low Sulfur Highway Diesel (500 ppm), from PADD 1</v>
      </c>
      <c r="E1142" s="381" t="s">
        <v>384</v>
      </c>
      <c r="F1142" s="381" t="s">
        <v>505</v>
      </c>
    </row>
    <row r="1143" spans="2:6">
      <c r="B1143" s="365" t="str">
        <f t="shared" si="3"/>
        <v>*R4</v>
      </c>
      <c r="C1143" s="365" t="str">
        <f>CONCATENATE("IMP",Commodities!C324,4)</f>
        <v>IMPDSUP14</v>
      </c>
      <c r="D1143" s="365" t="str">
        <f>CONCATENATE("R",RIGHT(C1143,1)," Import of Imported ",VLOOKUP(MID(C1143,4,3),Types!$B$2:$C$13,2,FALSE),", from PADD ",MID(C1143,8,1))</f>
        <v>R4 Import of Imported Distillate-Ultralow Sulfur Highway Diesel (15 ppm), from PADD 1</v>
      </c>
      <c r="E1143" s="381" t="s">
        <v>384</v>
      </c>
      <c r="F1143" s="381" t="s">
        <v>505</v>
      </c>
    </row>
    <row r="1144" spans="2:6">
      <c r="B1144" s="365" t="str">
        <f t="shared" si="3"/>
        <v>*R4</v>
      </c>
      <c r="C1144" s="365" t="str">
        <f>CONCATENATE("IMP",Commodities!C325,4)</f>
        <v>IMPGSCP14</v>
      </c>
      <c r="D1144" s="365" t="str">
        <f>CONCATENATE("R",RIGHT(C1144,1)," Import of Imported ",VLOOKUP(MID(C1144,4,3),Types!$B$2:$C$13,2,FALSE),", from PADD ",MID(C1144,8,1))</f>
        <v>R4 Import of Imported Conventional Gasoline, from PADD 1</v>
      </c>
      <c r="E1144" s="381" t="s">
        <v>384</v>
      </c>
      <c r="F1144" s="381" t="s">
        <v>505</v>
      </c>
    </row>
    <row r="1145" spans="2:6">
      <c r="B1145" s="365" t="str">
        <f t="shared" si="3"/>
        <v>*R4</v>
      </c>
      <c r="C1145" s="365" t="str">
        <f>CONCATENATE("IMP",Commodities!C326,4)</f>
        <v>IMPGSRP14</v>
      </c>
      <c r="D1145" s="365" t="str">
        <f>CONCATENATE("R",RIGHT(C1145,1)," Import of Imported ",VLOOKUP(MID(C1145,4,3),Types!$B$2:$C$13,2,FALSE),", from PADD ",MID(C1145,8,1))</f>
        <v>R4 Import of Imported Reformulated Gasoline, from PADD 1</v>
      </c>
      <c r="E1145" s="381" t="s">
        <v>384</v>
      </c>
      <c r="F1145" s="381" t="s">
        <v>505</v>
      </c>
    </row>
    <row r="1146" spans="2:6">
      <c r="B1146" s="365" t="str">
        <f t="shared" si="3"/>
        <v>*R4</v>
      </c>
      <c r="C1146" s="365" t="str">
        <f>CONCATENATE("IMP",Commodities!C64,4)</f>
        <v>IMPJTFP14</v>
      </c>
      <c r="D1146" s="365" t="str">
        <f>CONCATENATE("R",RIGHT(C1146,1)," Import of Imported ",VLOOKUP(MID(C1146,4,3),Types!$B$2:$C$13,2,FALSE),", from PADD ",MID(C1146,8,1))</f>
        <v>R4 Import of Imported Jet Fuel, from PADD 1</v>
      </c>
      <c r="E1146" s="381" t="s">
        <v>384</v>
      </c>
      <c r="F1146" s="381" t="s">
        <v>505</v>
      </c>
    </row>
    <row r="1147" spans="2:6">
      <c r="B1147" s="365" t="str">
        <f t="shared" si="3"/>
        <v>*R4</v>
      </c>
      <c r="C1147" s="365" t="str">
        <f>CONCATENATE("IMP",Commodities!C327,4)</f>
        <v>IMPKERP14</v>
      </c>
      <c r="D1147" s="365" t="str">
        <f>CONCATENATE("R",RIGHT(C1147,1)," Import of Imported ",VLOOKUP(MID(C1147,4,3),Types!$B$2:$C$13,2,FALSE),", from PADD ",MID(C1147,8,1))</f>
        <v>R4 Import of Imported Kerosene and Other Refined Products, from PADD 1</v>
      </c>
      <c r="E1147" s="381" t="s">
        <v>384</v>
      </c>
      <c r="F1147" s="381" t="s">
        <v>505</v>
      </c>
    </row>
    <row r="1148" spans="2:6">
      <c r="B1148" s="365" t="str">
        <f t="shared" si="3"/>
        <v>*R4</v>
      </c>
      <c r="C1148" s="365" t="str">
        <f>CONCATENATE("IMP",Commodities!C328,4)</f>
        <v>IMPLPGP14</v>
      </c>
      <c r="D1148" s="365" t="str">
        <f>CONCATENATE("R",RIGHT(C1148,1)," Import of Imported ",VLOOKUP(MID(C1148,4,3),Types!$B$2:$C$13,2,FALSE),", from PADD ",MID(C1148,8,1))</f>
        <v>R4 Import of Imported LPG, from PADD 1</v>
      </c>
      <c r="E1148" s="381" t="s">
        <v>384</v>
      </c>
      <c r="F1148" s="381" t="s">
        <v>505</v>
      </c>
    </row>
    <row r="1149" spans="2:6">
      <c r="B1149" s="365" t="str">
        <f t="shared" si="3"/>
        <v>*R4</v>
      </c>
      <c r="C1149" s="365" t="str">
        <f>CONCATENATE("IMP",Commodities!C329,4)</f>
        <v>IMPMTHP14</v>
      </c>
      <c r="D1149" s="365" t="str">
        <f>CONCATENATE("R",RIGHT(C1149,1)," Import of Imported ",VLOOKUP(MID(C1149,4,3),Types!$B$2:$C$13,2,FALSE),", from PADD ",MID(C1149,8,1))</f>
        <v>R4 Import of Imported Methanol, from PADD 1</v>
      </c>
      <c r="E1149" s="381" t="s">
        <v>384</v>
      </c>
      <c r="F1149" s="381" t="s">
        <v>505</v>
      </c>
    </row>
    <row r="1150" spans="2:6">
      <c r="B1150" s="365" t="str">
        <f t="shared" si="3"/>
        <v>*R4</v>
      </c>
      <c r="C1150" s="365" t="str">
        <f>CONCATENATE("IMP",Commodities!C330,4)</f>
        <v>IMPPFSP14</v>
      </c>
      <c r="D1150" s="365" t="str">
        <f>CONCATENATE("R",RIGHT(C1150,1)," Import of Imported ",VLOOKUP(MID(C1150,4,3),Types!$B$2:$C$13,2,FALSE),", from PADD ",MID(C1150,8,1))</f>
        <v>R4 Import of Imported Petrochemical Feedstocks, from PADD 1</v>
      </c>
      <c r="E1150" s="381" t="s">
        <v>384</v>
      </c>
      <c r="F1150" s="381" t="s">
        <v>505</v>
      </c>
    </row>
    <row r="1151" spans="2:6">
      <c r="B1151" s="365" t="str">
        <f t="shared" si="3"/>
        <v>*R4</v>
      </c>
      <c r="C1151" s="365" t="str">
        <f>CONCATENATE("IMP",Commodities!C331,4)</f>
        <v>IMPRFHP14</v>
      </c>
      <c r="D1151" s="365" t="str">
        <f>CONCATENATE("R",RIGHT(C1151,1)," Import of Imported ",VLOOKUP(MID(C1151,4,3),Types!$B$2:$C$13,2,FALSE),", from PADD ",MID(C1151,8,1))</f>
        <v>R4 Import of Imported High Sulfur Residual Fuel Oil, from PADD 1</v>
      </c>
      <c r="E1151" s="381" t="s">
        <v>384</v>
      </c>
      <c r="F1151" s="381" t="s">
        <v>505</v>
      </c>
    </row>
    <row r="1152" spans="2:6">
      <c r="B1152" s="365" t="str">
        <f t="shared" si="3"/>
        <v>*R4</v>
      </c>
      <c r="C1152" s="365" t="str">
        <f>CONCATENATE("IMP",Commodities!C332,4)</f>
        <v>IMPRFLP14</v>
      </c>
      <c r="D1152" s="365" t="str">
        <f>CONCATENATE("R",RIGHT(C1152,1)," Import of Imported ",VLOOKUP(MID(C1152,4,3),Types!$B$2:$C$13,2,FALSE),", from PADD ",MID(C1152,8,1))</f>
        <v>R4 Import of Imported Low Sulfur Residual Fuel Oil, from PADD 1</v>
      </c>
      <c r="E1152" s="381" t="s">
        <v>384</v>
      </c>
      <c r="F1152" s="381" t="s">
        <v>505</v>
      </c>
    </row>
    <row r="1153" spans="2:6">
      <c r="B1153" s="365" t="str">
        <f t="shared" si="3"/>
        <v>*R4</v>
      </c>
      <c r="C1153" s="365" t="str">
        <f>CONCATENATE("IMP",Commodities!C333,4)</f>
        <v>IMPASPP14</v>
      </c>
      <c r="D1153" s="365" t="s">
        <v>2454</v>
      </c>
      <c r="E1153" s="381" t="s">
        <v>384</v>
      </c>
      <c r="F1153" s="381" t="s">
        <v>505</v>
      </c>
    </row>
    <row r="1154" spans="2:6">
      <c r="B1154" s="365" t="str">
        <f t="shared" ref="B1154:B1166" si="4">IF(LEFT(B997,1)="*","*R5","R5")</f>
        <v>*R5</v>
      </c>
      <c r="C1154" s="365" t="str">
        <f>CONCATENATE("IMP",Commodities!C65,5)</f>
        <v>IMPDSHP15</v>
      </c>
      <c r="D1154" s="365" t="str">
        <f>CONCATENATE("R",RIGHT(C1154,1)," Import of Imported ",VLOOKUP(MID(C1154,4,3),Types!$B$2:$C$13,2,FALSE),", from PADD ",MID(C1154,8,1))</f>
        <v>R5 Import of Imported Distillate-Heating Oil No. 2, from PADD 1</v>
      </c>
      <c r="E1154" s="381" t="s">
        <v>384</v>
      </c>
      <c r="F1154" s="381" t="s">
        <v>505</v>
      </c>
    </row>
    <row r="1155" spans="2:6">
      <c r="B1155" s="365" t="str">
        <f t="shared" si="4"/>
        <v>*R5</v>
      </c>
      <c r="C1155" s="365" t="str">
        <f>CONCATENATE("IMP",Commodities!C323,5)</f>
        <v>IMPDSLP15</v>
      </c>
      <c r="D1155" s="365" t="str">
        <f>CONCATENATE("R",RIGHT(C1155,1)," Import of Imported ",VLOOKUP(MID(C1155,4,3),Types!$B$2:$C$13,2,FALSE),", from PADD ",MID(C1155,8,1))</f>
        <v>R5 Import of Imported Distillate-Low Sulfur Highway Diesel (500 ppm), from PADD 1</v>
      </c>
      <c r="E1155" s="381" t="s">
        <v>384</v>
      </c>
      <c r="F1155" s="381" t="s">
        <v>505</v>
      </c>
    </row>
    <row r="1156" spans="2:6">
      <c r="B1156" s="365" t="str">
        <f t="shared" si="4"/>
        <v>*R5</v>
      </c>
      <c r="C1156" s="365" t="str">
        <f>CONCATENATE("IMP",Commodities!C324,5)</f>
        <v>IMPDSUP15</v>
      </c>
      <c r="D1156" s="365" t="str">
        <f>CONCATENATE("R",RIGHT(C1156,1)," Import of Imported ",VLOOKUP(MID(C1156,4,3),Types!$B$2:$C$13,2,FALSE),", from PADD ",MID(C1156,8,1))</f>
        <v>R5 Import of Imported Distillate-Ultralow Sulfur Highway Diesel (15 ppm), from PADD 1</v>
      </c>
      <c r="E1156" s="381" t="s">
        <v>384</v>
      </c>
      <c r="F1156" s="381" t="s">
        <v>505</v>
      </c>
    </row>
    <row r="1157" spans="2:6">
      <c r="B1157" s="365" t="str">
        <f t="shared" si="4"/>
        <v>*R5</v>
      </c>
      <c r="C1157" s="365" t="str">
        <f>CONCATENATE("IMP",Commodities!C325,5)</f>
        <v>IMPGSCP15</v>
      </c>
      <c r="D1157" s="365" t="str">
        <f>CONCATENATE("R",RIGHT(C1157,1)," Import of Imported ",VLOOKUP(MID(C1157,4,3),Types!$B$2:$C$13,2,FALSE),", from PADD ",MID(C1157,8,1))</f>
        <v>R5 Import of Imported Conventional Gasoline, from PADD 1</v>
      </c>
      <c r="E1157" s="381" t="s">
        <v>384</v>
      </c>
      <c r="F1157" s="381" t="s">
        <v>505</v>
      </c>
    </row>
    <row r="1158" spans="2:6">
      <c r="B1158" s="365" t="str">
        <f t="shared" si="4"/>
        <v>*R5</v>
      </c>
      <c r="C1158" s="365" t="str">
        <f>CONCATENATE("IMP",Commodities!C326,5)</f>
        <v>IMPGSRP15</v>
      </c>
      <c r="D1158" s="365" t="str">
        <f>CONCATENATE("R",RIGHT(C1158,1)," Import of Imported ",VLOOKUP(MID(C1158,4,3),Types!$B$2:$C$13,2,FALSE),", from PADD ",MID(C1158,8,1))</f>
        <v>R5 Import of Imported Reformulated Gasoline, from PADD 1</v>
      </c>
      <c r="E1158" s="381" t="s">
        <v>384</v>
      </c>
      <c r="F1158" s="381" t="s">
        <v>505</v>
      </c>
    </row>
    <row r="1159" spans="2:6">
      <c r="B1159" s="365" t="str">
        <f t="shared" si="4"/>
        <v>*R5</v>
      </c>
      <c r="C1159" s="365" t="str">
        <f>CONCATENATE("IMP",Commodities!C64,5)</f>
        <v>IMPJTFP15</v>
      </c>
      <c r="D1159" s="365" t="str">
        <f>CONCATENATE("R",RIGHT(C1159,1)," Import of Imported ",VLOOKUP(MID(C1159,4,3),Types!$B$2:$C$13,2,FALSE),", from PADD ",MID(C1159,8,1))</f>
        <v>R5 Import of Imported Jet Fuel, from PADD 1</v>
      </c>
      <c r="E1159" s="381" t="s">
        <v>384</v>
      </c>
      <c r="F1159" s="381" t="s">
        <v>505</v>
      </c>
    </row>
    <row r="1160" spans="2:6">
      <c r="B1160" s="365" t="str">
        <f t="shared" si="4"/>
        <v>*R5</v>
      </c>
      <c r="C1160" s="365" t="str">
        <f>CONCATENATE("IMP",Commodities!C327,5)</f>
        <v>IMPKERP15</v>
      </c>
      <c r="D1160" s="365" t="str">
        <f>CONCATENATE("R",RIGHT(C1160,1)," Import of Imported ",VLOOKUP(MID(C1160,4,3),Types!$B$2:$C$13,2,FALSE),", from PADD ",MID(C1160,8,1))</f>
        <v>R5 Import of Imported Kerosene and Other Refined Products, from PADD 1</v>
      </c>
      <c r="E1160" s="381" t="s">
        <v>384</v>
      </c>
      <c r="F1160" s="381" t="s">
        <v>505</v>
      </c>
    </row>
    <row r="1161" spans="2:6">
      <c r="B1161" s="365" t="str">
        <f t="shared" si="4"/>
        <v>*R5</v>
      </c>
      <c r="C1161" s="365" t="str">
        <f>CONCATENATE("IMP",Commodities!C328,5)</f>
        <v>IMPLPGP15</v>
      </c>
      <c r="D1161" s="365" t="str">
        <f>CONCATENATE("R",RIGHT(C1161,1)," Import of Imported ",VLOOKUP(MID(C1161,4,3),Types!$B$2:$C$13,2,FALSE),", from PADD ",MID(C1161,8,1))</f>
        <v>R5 Import of Imported LPG, from PADD 1</v>
      </c>
      <c r="E1161" s="381" t="s">
        <v>384</v>
      </c>
      <c r="F1161" s="381" t="s">
        <v>505</v>
      </c>
    </row>
    <row r="1162" spans="2:6">
      <c r="B1162" s="365" t="str">
        <f t="shared" si="4"/>
        <v>*R5</v>
      </c>
      <c r="C1162" s="365" t="str">
        <f>CONCATENATE("IMP",Commodities!C329,5)</f>
        <v>IMPMTHP15</v>
      </c>
      <c r="D1162" s="365" t="str">
        <f>CONCATENATE("R",RIGHT(C1162,1)," Import of Imported ",VLOOKUP(MID(C1162,4,3),Types!$B$2:$C$13,2,FALSE),", from PADD ",MID(C1162,8,1))</f>
        <v>R5 Import of Imported Methanol, from PADD 1</v>
      </c>
      <c r="E1162" s="381" t="s">
        <v>384</v>
      </c>
      <c r="F1162" s="381" t="s">
        <v>505</v>
      </c>
    </row>
    <row r="1163" spans="2:6">
      <c r="B1163" s="365" t="str">
        <f t="shared" si="4"/>
        <v>*R5</v>
      </c>
      <c r="C1163" s="365" t="str">
        <f>CONCATENATE("IMP",Commodities!C330,5)</f>
        <v>IMPPFSP15</v>
      </c>
      <c r="D1163" s="365" t="str">
        <f>CONCATENATE("R",RIGHT(C1163,1)," Import of Imported ",VLOOKUP(MID(C1163,4,3),Types!$B$2:$C$13,2,FALSE),", from PADD ",MID(C1163,8,1))</f>
        <v>R5 Import of Imported Petrochemical Feedstocks, from PADD 1</v>
      </c>
      <c r="E1163" s="381" t="s">
        <v>384</v>
      </c>
      <c r="F1163" s="381" t="s">
        <v>505</v>
      </c>
    </row>
    <row r="1164" spans="2:6">
      <c r="B1164" s="365" t="str">
        <f t="shared" si="4"/>
        <v>*R5</v>
      </c>
      <c r="C1164" s="365" t="str">
        <f>CONCATENATE("IMP",Commodities!C331,5)</f>
        <v>IMPRFHP15</v>
      </c>
      <c r="D1164" s="365" t="str">
        <f>CONCATENATE("R",RIGHT(C1164,1)," Import of Imported ",VLOOKUP(MID(C1164,4,3),Types!$B$2:$C$13,2,FALSE),", from PADD ",MID(C1164,8,1))</f>
        <v>R5 Import of Imported High Sulfur Residual Fuel Oil, from PADD 1</v>
      </c>
      <c r="E1164" s="381" t="s">
        <v>384</v>
      </c>
      <c r="F1164" s="381" t="s">
        <v>505</v>
      </c>
    </row>
    <row r="1165" spans="2:6">
      <c r="B1165" s="365" t="str">
        <f t="shared" si="4"/>
        <v>*R5</v>
      </c>
      <c r="C1165" s="365" t="str">
        <f>CONCATENATE("IMP",Commodities!C332,5)</f>
        <v>IMPRFLP15</v>
      </c>
      <c r="D1165" s="365" t="str">
        <f>CONCATENATE("R",RIGHT(C1165,1)," Import of Imported ",VLOOKUP(MID(C1165,4,3),Types!$B$2:$C$13,2,FALSE),", from PADD ",MID(C1165,8,1))</f>
        <v>R5 Import of Imported Low Sulfur Residual Fuel Oil, from PADD 1</v>
      </c>
      <c r="E1165" s="381" t="s">
        <v>384</v>
      </c>
      <c r="F1165" s="381" t="s">
        <v>505</v>
      </c>
    </row>
    <row r="1166" spans="2:6">
      <c r="B1166" s="365" t="str">
        <f t="shared" si="4"/>
        <v>*R5</v>
      </c>
      <c r="C1166" s="365" t="s">
        <v>565</v>
      </c>
      <c r="D1166" s="365" t="s">
        <v>566</v>
      </c>
      <c r="E1166" s="381" t="s">
        <v>384</v>
      </c>
      <c r="F1166" s="381" t="s">
        <v>505</v>
      </c>
    </row>
    <row r="1167" spans="2:6">
      <c r="B1167" s="365" t="str">
        <f t="shared" ref="B1167:B1179" si="5">IF(LEFT(B1010,1)="*","*R6","R6")</f>
        <v>*R6</v>
      </c>
      <c r="C1167" s="365" t="str">
        <f>CONCATENATE("IMP",Commodities!C65,6)</f>
        <v>IMPDSHP16</v>
      </c>
      <c r="D1167" s="365" t="str">
        <f>CONCATENATE("R",RIGHT(C1167,1)," Import of Imported ",VLOOKUP(MID(C1167,4,3),Types!$B$2:$C$13,2,FALSE),", from PADD ",MID(C1167,8,1))</f>
        <v>R6 Import of Imported Distillate-Heating Oil No. 2, from PADD 1</v>
      </c>
      <c r="E1167" s="381" t="s">
        <v>384</v>
      </c>
      <c r="F1167" s="381" t="s">
        <v>505</v>
      </c>
    </row>
    <row r="1168" spans="2:6">
      <c r="B1168" s="365" t="str">
        <f t="shared" si="5"/>
        <v>*R6</v>
      </c>
      <c r="C1168" s="365" t="str">
        <f>CONCATENATE("IMP",Commodities!C323,6)</f>
        <v>IMPDSLP16</v>
      </c>
      <c r="D1168" s="365" t="str">
        <f>CONCATENATE("R",RIGHT(C1168,1)," Import of Imported ",VLOOKUP(MID(C1168,4,3),Types!$B$2:$C$13,2,FALSE),", from PADD ",MID(C1168,8,1))</f>
        <v>R6 Import of Imported Distillate-Low Sulfur Highway Diesel (500 ppm), from PADD 1</v>
      </c>
      <c r="E1168" s="381" t="s">
        <v>384</v>
      </c>
      <c r="F1168" s="381" t="s">
        <v>505</v>
      </c>
    </row>
    <row r="1169" spans="2:6">
      <c r="B1169" s="365" t="str">
        <f t="shared" si="5"/>
        <v>*R6</v>
      </c>
      <c r="C1169" s="365" t="str">
        <f>CONCATENATE("IMP",Commodities!C324,6)</f>
        <v>IMPDSUP16</v>
      </c>
      <c r="D1169" s="365" t="str">
        <f>CONCATENATE("R",RIGHT(C1169,1)," Import of Imported ",VLOOKUP(MID(C1169,4,3),Types!$B$2:$C$13,2,FALSE),", from PADD ",MID(C1169,8,1))</f>
        <v>R6 Import of Imported Distillate-Ultralow Sulfur Highway Diesel (15 ppm), from PADD 1</v>
      </c>
      <c r="E1169" s="381" t="s">
        <v>384</v>
      </c>
      <c r="F1169" s="381" t="s">
        <v>505</v>
      </c>
    </row>
    <row r="1170" spans="2:6">
      <c r="B1170" s="365" t="str">
        <f t="shared" si="5"/>
        <v>*R6</v>
      </c>
      <c r="C1170" s="365" t="str">
        <f>CONCATENATE("IMP",Commodities!C325,6)</f>
        <v>IMPGSCP16</v>
      </c>
      <c r="D1170" s="365" t="str">
        <f>CONCATENATE("R",RIGHT(C1170,1)," Import of Imported ",VLOOKUP(MID(C1170,4,3),Types!$B$2:$C$13,2,FALSE),", from PADD ",MID(C1170,8,1))</f>
        <v>R6 Import of Imported Conventional Gasoline, from PADD 1</v>
      </c>
      <c r="E1170" s="381" t="s">
        <v>384</v>
      </c>
      <c r="F1170" s="381" t="s">
        <v>505</v>
      </c>
    </row>
    <row r="1171" spans="2:6">
      <c r="B1171" s="365" t="str">
        <f t="shared" si="5"/>
        <v>*R6</v>
      </c>
      <c r="C1171" s="365" t="str">
        <f>CONCATENATE("IMP",Commodities!C326,6)</f>
        <v>IMPGSRP16</v>
      </c>
      <c r="D1171" s="365" t="str">
        <f>CONCATENATE("R",RIGHT(C1171,1)," Import of Imported ",VLOOKUP(MID(C1171,4,3),Types!$B$2:$C$13,2,FALSE),", from PADD ",MID(C1171,8,1))</f>
        <v>R6 Import of Imported Reformulated Gasoline, from PADD 1</v>
      </c>
      <c r="E1171" s="381" t="s">
        <v>384</v>
      </c>
      <c r="F1171" s="381" t="s">
        <v>505</v>
      </c>
    </row>
    <row r="1172" spans="2:6">
      <c r="B1172" s="365" t="str">
        <f t="shared" si="5"/>
        <v>*R6</v>
      </c>
      <c r="C1172" s="365" t="str">
        <f>CONCATENATE("IMP",Commodities!C64,6)</f>
        <v>IMPJTFP16</v>
      </c>
      <c r="D1172" s="365" t="str">
        <f>CONCATENATE("R",RIGHT(C1172,1)," Import of Imported ",VLOOKUP(MID(C1172,4,3),Types!$B$2:$C$13,2,FALSE),", from PADD ",MID(C1172,8,1))</f>
        <v>R6 Import of Imported Jet Fuel, from PADD 1</v>
      </c>
      <c r="E1172" s="381" t="s">
        <v>384</v>
      </c>
      <c r="F1172" s="381" t="s">
        <v>505</v>
      </c>
    </row>
    <row r="1173" spans="2:6">
      <c r="B1173" s="365" t="str">
        <f t="shared" si="5"/>
        <v>*R6</v>
      </c>
      <c r="C1173" s="365" t="str">
        <f>CONCATENATE("IMP",Commodities!C327,6)</f>
        <v>IMPKERP16</v>
      </c>
      <c r="D1173" s="365" t="str">
        <f>CONCATENATE("R",RIGHT(C1173,1)," Import of Imported ",VLOOKUP(MID(C1173,4,3),Types!$B$2:$C$13,2,FALSE),", from PADD ",MID(C1173,8,1))</f>
        <v>R6 Import of Imported Kerosene and Other Refined Products, from PADD 1</v>
      </c>
      <c r="E1173" s="381" t="s">
        <v>384</v>
      </c>
      <c r="F1173" s="381" t="s">
        <v>505</v>
      </c>
    </row>
    <row r="1174" spans="2:6">
      <c r="B1174" s="365" t="str">
        <f t="shared" si="5"/>
        <v>*R6</v>
      </c>
      <c r="C1174" s="365" t="str">
        <f>CONCATENATE("IMP",Commodities!C328,6)</f>
        <v>IMPLPGP16</v>
      </c>
      <c r="D1174" s="365" t="str">
        <f>CONCATENATE("R",RIGHT(C1174,1)," Import of Imported ",VLOOKUP(MID(C1174,4,3),Types!$B$2:$C$13,2,FALSE),", from PADD ",MID(C1174,8,1))</f>
        <v>R6 Import of Imported LPG, from PADD 1</v>
      </c>
      <c r="E1174" s="381" t="s">
        <v>384</v>
      </c>
      <c r="F1174" s="381" t="s">
        <v>505</v>
      </c>
    </row>
    <row r="1175" spans="2:6">
      <c r="B1175" s="365" t="str">
        <f t="shared" si="5"/>
        <v>*R6</v>
      </c>
      <c r="C1175" s="365" t="str">
        <f>CONCATENATE("IMP",Commodities!C329,6)</f>
        <v>IMPMTHP16</v>
      </c>
      <c r="D1175" s="365" t="str">
        <f>CONCATENATE("R",RIGHT(C1175,1)," Import of Imported ",VLOOKUP(MID(C1175,4,3),Types!$B$2:$C$13,2,FALSE),", from PADD ",MID(C1175,8,1))</f>
        <v>R6 Import of Imported Methanol, from PADD 1</v>
      </c>
      <c r="E1175" s="381" t="s">
        <v>384</v>
      </c>
      <c r="F1175" s="381" t="s">
        <v>505</v>
      </c>
    </row>
    <row r="1176" spans="2:6">
      <c r="B1176" s="365" t="str">
        <f t="shared" si="5"/>
        <v>*R6</v>
      </c>
      <c r="C1176" s="365" t="str">
        <f>CONCATENATE("IMP",Commodities!C330,6)</f>
        <v>IMPPFSP16</v>
      </c>
      <c r="D1176" s="365" t="str">
        <f>CONCATENATE("R",RIGHT(C1176,1)," Import of Imported ",VLOOKUP(MID(C1176,4,3),Types!$B$2:$C$13,2,FALSE),", from PADD ",MID(C1176,8,1))</f>
        <v>R6 Import of Imported Petrochemical Feedstocks, from PADD 1</v>
      </c>
      <c r="E1176" s="381" t="s">
        <v>384</v>
      </c>
      <c r="F1176" s="381" t="s">
        <v>505</v>
      </c>
    </row>
    <row r="1177" spans="2:6">
      <c r="B1177" s="365" t="str">
        <f t="shared" si="5"/>
        <v>*R6</v>
      </c>
      <c r="C1177" s="365" t="str">
        <f>CONCATENATE("IMP",Commodities!C331,6)</f>
        <v>IMPRFHP16</v>
      </c>
      <c r="D1177" s="365" t="str">
        <f>CONCATENATE("R",RIGHT(C1177,1)," Import of Imported ",VLOOKUP(MID(C1177,4,3),Types!$B$2:$C$13,2,FALSE),", from PADD ",MID(C1177,8,1))</f>
        <v>R6 Import of Imported High Sulfur Residual Fuel Oil, from PADD 1</v>
      </c>
      <c r="E1177" s="381" t="s">
        <v>384</v>
      </c>
      <c r="F1177" s="381" t="s">
        <v>505</v>
      </c>
    </row>
    <row r="1178" spans="2:6">
      <c r="B1178" s="365" t="str">
        <f t="shared" si="5"/>
        <v>*R6</v>
      </c>
      <c r="C1178" s="365" t="str">
        <f>CONCATENATE("IMP",Commodities!C332,6)</f>
        <v>IMPRFLP16</v>
      </c>
      <c r="D1178" s="365" t="str">
        <f>CONCATENATE("R",RIGHT(C1178,1)," Import of Imported ",VLOOKUP(MID(C1178,4,3),Types!$B$2:$C$13,2,FALSE),", from PADD ",MID(C1178,8,1))</f>
        <v>R6 Import of Imported Low Sulfur Residual Fuel Oil, from PADD 1</v>
      </c>
      <c r="E1178" s="381" t="s">
        <v>384</v>
      </c>
      <c r="F1178" s="381" t="s">
        <v>505</v>
      </c>
    </row>
    <row r="1179" spans="2:6">
      <c r="B1179" s="365" t="str">
        <f t="shared" si="5"/>
        <v>*R6</v>
      </c>
      <c r="C1179" s="365" t="s">
        <v>2455</v>
      </c>
      <c r="D1179" s="365" t="s">
        <v>2456</v>
      </c>
      <c r="E1179" s="381" t="s">
        <v>384</v>
      </c>
      <c r="F1179" s="381" t="s">
        <v>505</v>
      </c>
    </row>
    <row r="1180" spans="2:6">
      <c r="B1180" s="365" t="str">
        <f t="shared" ref="B1180:B1192" si="6">IF(LEFT(B1023,1)="*","*R1","R1")</f>
        <v>*R1</v>
      </c>
      <c r="C1180" s="365" t="str">
        <f>CONCATENATE("IMP",Commodities!C67,1)</f>
        <v>IMPDSHP21</v>
      </c>
      <c r="D1180" s="365" t="str">
        <f>CONCATENATE("R",RIGHT(C1180,1)," Import of Imported ",VLOOKUP(MID(C1180,4,3),Types!$B$2:$C$13,2,FALSE),", from PADD ",MID(C1180,8,1))</f>
        <v>R1 Import of Imported Distillate-Heating Oil No. 2, from PADD 2</v>
      </c>
      <c r="E1180" s="381" t="s">
        <v>384</v>
      </c>
      <c r="F1180" s="381" t="s">
        <v>505</v>
      </c>
    </row>
    <row r="1181" spans="2:6">
      <c r="B1181" s="365" t="str">
        <f t="shared" si="6"/>
        <v>*R1</v>
      </c>
      <c r="C1181" s="365" t="str">
        <f>CONCATENATE("IMP",Commodities!C334,1)</f>
        <v>IMPDSLP21</v>
      </c>
      <c r="D1181" s="365" t="str">
        <f>CONCATENATE("R",RIGHT(C1181,1)," Import of Imported ",VLOOKUP(MID(C1181,4,3),Types!$B$2:$C$13,2,FALSE),", from PADD ",MID(C1181,8,1))</f>
        <v>R1 Import of Imported Distillate-Low Sulfur Highway Diesel (500 ppm), from PADD 2</v>
      </c>
      <c r="E1181" s="381" t="s">
        <v>384</v>
      </c>
      <c r="F1181" s="381" t="s">
        <v>505</v>
      </c>
    </row>
    <row r="1182" spans="2:6">
      <c r="B1182" s="365" t="str">
        <f t="shared" si="6"/>
        <v>*R1</v>
      </c>
      <c r="C1182" s="365" t="str">
        <f>CONCATENATE("IMP",Commodities!C335,1)</f>
        <v>IMPDSUP21</v>
      </c>
      <c r="D1182" s="365" t="str">
        <f>CONCATENATE("R",RIGHT(C1182,1)," Import of Imported ",VLOOKUP(MID(C1182,4,3),Types!$B$2:$C$13,2,FALSE),", from PADD ",MID(C1182,8,1))</f>
        <v>R1 Import of Imported Distillate-Ultralow Sulfur Highway Diesel (15 ppm), from PADD 2</v>
      </c>
      <c r="E1182" s="381" t="s">
        <v>384</v>
      </c>
      <c r="F1182" s="381" t="s">
        <v>505</v>
      </c>
    </row>
    <row r="1183" spans="2:6">
      <c r="B1183" s="365" t="str">
        <f t="shared" si="6"/>
        <v>*R1</v>
      </c>
      <c r="C1183" s="365" t="str">
        <f>CONCATENATE("IMP",Commodities!C336,1)</f>
        <v>IMPGSCP21</v>
      </c>
      <c r="D1183" s="365" t="str">
        <f>CONCATENATE("R",RIGHT(C1183,1)," Import of Imported ",VLOOKUP(MID(C1183,4,3),Types!$B$2:$C$13,2,FALSE),", from PADD ",MID(C1183,8,1))</f>
        <v>R1 Import of Imported Conventional Gasoline, from PADD 2</v>
      </c>
      <c r="E1183" s="381" t="s">
        <v>384</v>
      </c>
      <c r="F1183" s="381" t="s">
        <v>505</v>
      </c>
    </row>
    <row r="1184" spans="2:6">
      <c r="B1184" s="365" t="str">
        <f t="shared" si="6"/>
        <v>*R1</v>
      </c>
      <c r="C1184" s="365" t="str">
        <f>CONCATENATE("IMP",Commodities!C337,1)</f>
        <v>IMPGSRP21</v>
      </c>
      <c r="D1184" s="365" t="str">
        <f>CONCATENATE("R",RIGHT(C1184,1)," Import of Imported ",VLOOKUP(MID(C1184,4,3),Types!$B$2:$C$13,2,FALSE),", from PADD ",MID(C1184,8,1))</f>
        <v>R1 Import of Imported Reformulated Gasoline, from PADD 2</v>
      </c>
      <c r="E1184" s="381" t="s">
        <v>384</v>
      </c>
      <c r="F1184" s="381" t="s">
        <v>505</v>
      </c>
    </row>
    <row r="1185" spans="2:6">
      <c r="B1185" s="365" t="str">
        <f t="shared" si="6"/>
        <v>*R1</v>
      </c>
      <c r="C1185" s="365" t="str">
        <f>CONCATENATE("IMP",Commodities!C66,1)</f>
        <v>IMPJTFP21</v>
      </c>
      <c r="D1185" s="365" t="str">
        <f>CONCATENATE("R",RIGHT(C1185,1)," Import of Imported ",VLOOKUP(MID(C1185,4,3),Types!$B$2:$C$13,2,FALSE),", from PADD ",MID(C1185,8,1))</f>
        <v>R1 Import of Imported Jet Fuel, from PADD 2</v>
      </c>
      <c r="E1185" s="381" t="s">
        <v>384</v>
      </c>
      <c r="F1185" s="381" t="s">
        <v>505</v>
      </c>
    </row>
    <row r="1186" spans="2:6">
      <c r="B1186" s="365" t="str">
        <f t="shared" si="6"/>
        <v>*R1</v>
      </c>
      <c r="C1186" s="365" t="str">
        <f>CONCATENATE("IMP",Commodities!C338,1)</f>
        <v>IMPKERP21</v>
      </c>
      <c r="D1186" s="365" t="str">
        <f>CONCATENATE("R",RIGHT(C1186,1)," Import of Imported ",VLOOKUP(MID(C1186,4,3),Types!$B$2:$C$13,2,FALSE),", from PADD ",MID(C1186,8,1))</f>
        <v>R1 Import of Imported Kerosene and Other Refined Products, from PADD 2</v>
      </c>
      <c r="E1186" s="381" t="s">
        <v>384</v>
      </c>
      <c r="F1186" s="381" t="s">
        <v>505</v>
      </c>
    </row>
    <row r="1187" spans="2:6">
      <c r="B1187" s="365" t="str">
        <f t="shared" si="6"/>
        <v>*R1</v>
      </c>
      <c r="C1187" s="365" t="str">
        <f>CONCATENATE("IMP",Commodities!C339,1)</f>
        <v>IMPLPGP21</v>
      </c>
      <c r="D1187" s="365" t="str">
        <f>CONCATENATE("R",RIGHT(C1187,1)," Import of Imported ",VLOOKUP(MID(C1187,4,3),Types!$B$2:$C$13,2,FALSE),", from PADD ",MID(C1187,8,1))</f>
        <v>R1 Import of Imported LPG, from PADD 2</v>
      </c>
      <c r="E1187" s="381" t="s">
        <v>384</v>
      </c>
      <c r="F1187" s="381" t="s">
        <v>505</v>
      </c>
    </row>
    <row r="1188" spans="2:6">
      <c r="B1188" s="365" t="str">
        <f t="shared" si="6"/>
        <v>*R1</v>
      </c>
      <c r="C1188" s="365" t="str">
        <f>CONCATENATE("IMP",Commodities!C340,1)</f>
        <v>IMPMTHP21</v>
      </c>
      <c r="D1188" s="365" t="str">
        <f>CONCATENATE("R",RIGHT(C1188,1)," Import of Imported ",VLOOKUP(MID(C1188,4,3),Types!$B$2:$C$13,2,FALSE),", from PADD ",MID(C1188,8,1))</f>
        <v>R1 Import of Imported Methanol, from PADD 2</v>
      </c>
      <c r="E1188" s="381" t="s">
        <v>384</v>
      </c>
      <c r="F1188" s="381" t="s">
        <v>505</v>
      </c>
    </row>
    <row r="1189" spans="2:6">
      <c r="B1189" s="365" t="str">
        <f t="shared" si="6"/>
        <v>*R1</v>
      </c>
      <c r="C1189" s="365" t="str">
        <f>CONCATENATE("IMP",Commodities!C341,1)</f>
        <v>IMPPFSP21</v>
      </c>
      <c r="D1189" s="365" t="str">
        <f>CONCATENATE("R",RIGHT(C1189,1)," Import of Imported ",VLOOKUP(MID(C1189,4,3),Types!$B$2:$C$13,2,FALSE),", from PADD ",MID(C1189,8,1))</f>
        <v>R1 Import of Imported Petrochemical Feedstocks, from PADD 2</v>
      </c>
      <c r="E1189" s="381" t="s">
        <v>384</v>
      </c>
      <c r="F1189" s="381" t="s">
        <v>505</v>
      </c>
    </row>
    <row r="1190" spans="2:6">
      <c r="B1190" s="365" t="str">
        <f t="shared" si="6"/>
        <v>*R1</v>
      </c>
      <c r="C1190" s="365" t="str">
        <f>CONCATENATE("IMP",Commodities!C342,1)</f>
        <v>IMPRFHP21</v>
      </c>
      <c r="D1190" s="365" t="str">
        <f>CONCATENATE("R",RIGHT(C1190,1)," Import of Imported ",VLOOKUP(MID(C1190,4,3),Types!$B$2:$C$13,2,FALSE),", from PADD ",MID(C1190,8,1))</f>
        <v>R1 Import of Imported High Sulfur Residual Fuel Oil, from PADD 2</v>
      </c>
      <c r="E1190" s="381" t="s">
        <v>384</v>
      </c>
      <c r="F1190" s="381" t="s">
        <v>505</v>
      </c>
    </row>
    <row r="1191" spans="2:6">
      <c r="B1191" s="365" t="str">
        <f t="shared" si="6"/>
        <v>*R1</v>
      </c>
      <c r="C1191" s="365" t="str">
        <f>CONCATENATE("IMP",Commodities!C343,1)</f>
        <v>IMPRFLP21</v>
      </c>
      <c r="D1191" s="365" t="str">
        <f>CONCATENATE("R",RIGHT(C1191,1)," Import of Imported ",VLOOKUP(MID(C1191,4,3),Types!$B$2:$C$13,2,FALSE),", from PADD ",MID(C1191,8,1))</f>
        <v>R1 Import of Imported Low Sulfur Residual Fuel Oil, from PADD 2</v>
      </c>
      <c r="E1191" s="381" t="s">
        <v>384</v>
      </c>
      <c r="F1191" s="381" t="s">
        <v>505</v>
      </c>
    </row>
    <row r="1192" spans="2:6">
      <c r="B1192" s="365" t="str">
        <f t="shared" si="6"/>
        <v>*R1</v>
      </c>
      <c r="C1192" s="365" t="s">
        <v>2465</v>
      </c>
      <c r="D1192" s="365" t="s">
        <v>2466</v>
      </c>
      <c r="E1192" s="381" t="s">
        <v>384</v>
      </c>
      <c r="F1192" s="381" t="s">
        <v>505</v>
      </c>
    </row>
    <row r="1193" spans="2:6">
      <c r="B1193" s="365" t="str">
        <f t="shared" ref="B1193:B1218" si="7">CONCATENATE("*",LEFT(D1193,2))</f>
        <v>*R4</v>
      </c>
      <c r="C1193" s="365" t="str">
        <f>CONCATENATE("IMP",Commodities!C67,4)</f>
        <v>IMPDSHP24</v>
      </c>
      <c r="D1193" s="365" t="str">
        <f>CONCATENATE("R",RIGHT(C1193,1)," Import of Imported ",VLOOKUP(MID(C1193,4,3),Types!$B$2:$C$13,2,FALSE),", from PADD ",MID(C1193,8,1))</f>
        <v>R4 Import of Imported Distillate-Heating Oil No. 2, from PADD 2</v>
      </c>
      <c r="E1193" s="381" t="s">
        <v>384</v>
      </c>
      <c r="F1193" s="381" t="s">
        <v>505</v>
      </c>
    </row>
    <row r="1194" spans="2:6">
      <c r="B1194" s="365" t="str">
        <f t="shared" si="7"/>
        <v>*R4</v>
      </c>
      <c r="C1194" s="365" t="str">
        <f>CONCATENATE("IMP",Commodities!C334,4)</f>
        <v>IMPDSLP24</v>
      </c>
      <c r="D1194" s="365" t="str">
        <f>CONCATENATE("R",RIGHT(C1194,1)," Import of Imported ",VLOOKUP(MID(C1194,4,3),Types!$B$2:$C$13,2,FALSE),", from PADD ",MID(C1194,8,1))</f>
        <v>R4 Import of Imported Distillate-Low Sulfur Highway Diesel (500 ppm), from PADD 2</v>
      </c>
      <c r="E1194" s="381" t="s">
        <v>384</v>
      </c>
      <c r="F1194" s="381" t="s">
        <v>505</v>
      </c>
    </row>
    <row r="1195" spans="2:6">
      <c r="B1195" s="365" t="str">
        <f t="shared" si="7"/>
        <v>*R4</v>
      </c>
      <c r="C1195" s="365" t="str">
        <f>CONCATENATE("IMP",Commodities!C335,4)</f>
        <v>IMPDSUP24</v>
      </c>
      <c r="D1195" s="365" t="str">
        <f>CONCATENATE("R",RIGHT(C1195,1)," Import of Imported ",VLOOKUP(MID(C1195,4,3),Types!$B$2:$C$13,2,FALSE),", from PADD ",MID(C1195,8,1))</f>
        <v>R4 Import of Imported Distillate-Ultralow Sulfur Highway Diesel (15 ppm), from PADD 2</v>
      </c>
      <c r="E1195" s="381" t="s">
        <v>384</v>
      </c>
      <c r="F1195" s="381" t="s">
        <v>505</v>
      </c>
    </row>
    <row r="1196" spans="2:6">
      <c r="B1196" s="365" t="str">
        <f t="shared" si="7"/>
        <v>*R4</v>
      </c>
      <c r="C1196" s="365" t="str">
        <f>CONCATENATE("IMP",Commodities!C336,4)</f>
        <v>IMPGSCP24</v>
      </c>
      <c r="D1196" s="365" t="str">
        <f>CONCATENATE("R",RIGHT(C1196,1)," Import of Imported ",VLOOKUP(MID(C1196,4,3),Types!$B$2:$C$13,2,FALSE),", from PADD ",MID(C1196,8,1))</f>
        <v>R4 Import of Imported Conventional Gasoline, from PADD 2</v>
      </c>
      <c r="E1196" s="381" t="s">
        <v>384</v>
      </c>
      <c r="F1196" s="381" t="s">
        <v>505</v>
      </c>
    </row>
    <row r="1197" spans="2:6">
      <c r="B1197" s="365" t="str">
        <f t="shared" si="7"/>
        <v>*R4</v>
      </c>
      <c r="C1197" s="365" t="str">
        <f>CONCATENATE("IMP",Commodities!C337,4)</f>
        <v>IMPGSRP24</v>
      </c>
      <c r="D1197" s="365" t="str">
        <f>CONCATENATE("R",RIGHT(C1197,1)," Import of Imported ",VLOOKUP(MID(C1197,4,3),Types!$B$2:$C$13,2,FALSE),", from PADD ",MID(C1197,8,1))</f>
        <v>R4 Import of Imported Reformulated Gasoline, from PADD 2</v>
      </c>
      <c r="E1197" s="381" t="s">
        <v>384</v>
      </c>
      <c r="F1197" s="381" t="s">
        <v>505</v>
      </c>
    </row>
    <row r="1198" spans="2:6">
      <c r="B1198" s="365" t="str">
        <f t="shared" si="7"/>
        <v>*R4</v>
      </c>
      <c r="C1198" s="365" t="str">
        <f>CONCATENATE("IMP",Commodities!C66,4)</f>
        <v>IMPJTFP24</v>
      </c>
      <c r="D1198" s="365" t="str">
        <f>CONCATENATE("R",RIGHT(C1198,1)," Import of Imported ",VLOOKUP(MID(C1198,4,3),Types!$B$2:$C$13,2,FALSE),", from PADD ",MID(C1198,8,1))</f>
        <v>R4 Import of Imported Jet Fuel, from PADD 2</v>
      </c>
      <c r="E1198" s="381" t="s">
        <v>384</v>
      </c>
      <c r="F1198" s="381" t="s">
        <v>505</v>
      </c>
    </row>
    <row r="1199" spans="2:6">
      <c r="B1199" s="365" t="str">
        <f t="shared" si="7"/>
        <v>*R4</v>
      </c>
      <c r="C1199" s="365" t="str">
        <f>CONCATENATE("IMP",Commodities!C338,4)</f>
        <v>IMPKERP24</v>
      </c>
      <c r="D1199" s="365" t="str">
        <f>CONCATENATE("R",RIGHT(C1199,1)," Import of Imported ",VLOOKUP(MID(C1199,4,3),Types!$B$2:$C$13,2,FALSE),", from PADD ",MID(C1199,8,1))</f>
        <v>R4 Import of Imported Kerosene and Other Refined Products, from PADD 2</v>
      </c>
      <c r="E1199" s="381" t="s">
        <v>384</v>
      </c>
      <c r="F1199" s="381" t="s">
        <v>505</v>
      </c>
    </row>
    <row r="1200" spans="2:6">
      <c r="B1200" s="365" t="str">
        <f t="shared" si="7"/>
        <v>*R4</v>
      </c>
      <c r="C1200" s="365" t="str">
        <f>CONCATENATE("IMP",Commodities!C339,4)</f>
        <v>IMPLPGP24</v>
      </c>
      <c r="D1200" s="365" t="str">
        <f>CONCATENATE("R",RIGHT(C1200,1)," Import of Imported ",VLOOKUP(MID(C1200,4,3),Types!$B$2:$C$13,2,FALSE),", from PADD ",MID(C1200,8,1))</f>
        <v>R4 Import of Imported LPG, from PADD 2</v>
      </c>
      <c r="E1200" s="381" t="s">
        <v>384</v>
      </c>
      <c r="F1200" s="381" t="s">
        <v>505</v>
      </c>
    </row>
    <row r="1201" spans="2:6">
      <c r="B1201" s="365" t="str">
        <f t="shared" si="7"/>
        <v>*R4</v>
      </c>
      <c r="C1201" s="365" t="str">
        <f>CONCATENATE("IMP",Commodities!C340,4)</f>
        <v>IMPMTHP24</v>
      </c>
      <c r="D1201" s="365" t="str">
        <f>CONCATENATE("R",RIGHT(C1201,1)," Import of Imported ",VLOOKUP(MID(C1201,4,3),Types!$B$2:$C$13,2,FALSE),", from PADD ",MID(C1201,8,1))</f>
        <v>R4 Import of Imported Methanol, from PADD 2</v>
      </c>
      <c r="E1201" s="381" t="s">
        <v>384</v>
      </c>
      <c r="F1201" s="381" t="s">
        <v>505</v>
      </c>
    </row>
    <row r="1202" spans="2:6">
      <c r="B1202" s="365" t="str">
        <f t="shared" si="7"/>
        <v>*R4</v>
      </c>
      <c r="C1202" s="365" t="str">
        <f>CONCATENATE("IMP",Commodities!C341,4)</f>
        <v>IMPPFSP24</v>
      </c>
      <c r="D1202" s="365" t="str">
        <f>CONCATENATE("R",RIGHT(C1202,1)," Import of Imported ",VLOOKUP(MID(C1202,4,3),Types!$B$2:$C$13,2,FALSE),", from PADD ",MID(C1202,8,1))</f>
        <v>R4 Import of Imported Petrochemical Feedstocks, from PADD 2</v>
      </c>
      <c r="E1202" s="381" t="s">
        <v>384</v>
      </c>
      <c r="F1202" s="381" t="s">
        <v>505</v>
      </c>
    </row>
    <row r="1203" spans="2:6">
      <c r="B1203" s="365" t="str">
        <f t="shared" si="7"/>
        <v>*R4</v>
      </c>
      <c r="C1203" s="365" t="str">
        <f>CONCATENATE("IMP",Commodities!C342,4)</f>
        <v>IMPRFHP24</v>
      </c>
      <c r="D1203" s="365" t="str">
        <f>CONCATENATE("R",RIGHT(C1203,1)," Import of Imported ",VLOOKUP(MID(C1203,4,3),Types!$B$2:$C$13,2,FALSE),", from PADD ",MID(C1203,8,1))</f>
        <v>R4 Import of Imported High Sulfur Residual Fuel Oil, from PADD 2</v>
      </c>
      <c r="E1203" s="381" t="s">
        <v>384</v>
      </c>
      <c r="F1203" s="381" t="s">
        <v>505</v>
      </c>
    </row>
    <row r="1204" spans="2:6">
      <c r="B1204" s="365" t="str">
        <f t="shared" si="7"/>
        <v>*R4</v>
      </c>
      <c r="C1204" s="365" t="str">
        <f>CONCATENATE("IMP",Commodities!C343,4)</f>
        <v>IMPRFLP24</v>
      </c>
      <c r="D1204" s="365" t="str">
        <f>CONCATENATE("R",RIGHT(C1204,1)," Import of Imported ",VLOOKUP(MID(C1204,4,3),Types!$B$2:$C$13,2,FALSE),", from PADD ",MID(C1204,8,1))</f>
        <v>R4 Import of Imported Low Sulfur Residual Fuel Oil, from PADD 2</v>
      </c>
      <c r="E1204" s="381" t="s">
        <v>384</v>
      </c>
      <c r="F1204" s="381" t="s">
        <v>505</v>
      </c>
    </row>
    <row r="1205" spans="2:6">
      <c r="B1205" s="365" t="str">
        <f t="shared" si="7"/>
        <v>*R4</v>
      </c>
      <c r="C1205" s="365" t="s">
        <v>567</v>
      </c>
      <c r="D1205" s="365" t="s">
        <v>568</v>
      </c>
      <c r="E1205" s="381" t="s">
        <v>384</v>
      </c>
      <c r="F1205" s="381" t="s">
        <v>505</v>
      </c>
    </row>
    <row r="1206" spans="2:6">
      <c r="B1206" s="365" t="str">
        <f t="shared" si="7"/>
        <v>*R6</v>
      </c>
      <c r="C1206" s="365" t="str">
        <f>CONCATENATE("IMP",Commodities!C69,6)</f>
        <v>IMPDSHP36</v>
      </c>
      <c r="D1206" s="365" t="str">
        <f>CONCATENATE("R",RIGHT(C1206,1)," Import of Imported ",VLOOKUP(MID(C1206,4,3),Types!$B$2:$C$13,2,FALSE),", from PADD ",MID(C1206,8,1))</f>
        <v>R6 Import of Imported Distillate-Heating Oil No. 2, from PADD 3</v>
      </c>
      <c r="E1206" s="381" t="s">
        <v>384</v>
      </c>
      <c r="F1206" s="381" t="s">
        <v>505</v>
      </c>
    </row>
    <row r="1207" spans="2:6">
      <c r="B1207" s="365" t="str">
        <f t="shared" si="7"/>
        <v>*R6</v>
      </c>
      <c r="C1207" s="365" t="str">
        <f>CONCATENATE("IMP",Commodities!C345,6)</f>
        <v>IMPDSLP36</v>
      </c>
      <c r="D1207" s="365" t="str">
        <f>CONCATENATE("R",RIGHT(C1207,1)," Import of Imported ",VLOOKUP(MID(C1207,4,3),Types!$B$2:$C$13,2,FALSE),", from PADD ",MID(C1207,8,1))</f>
        <v>R6 Import of Imported Distillate-Low Sulfur Highway Diesel (500 ppm), from PADD 3</v>
      </c>
      <c r="E1207" s="381" t="s">
        <v>384</v>
      </c>
      <c r="F1207" s="381" t="s">
        <v>505</v>
      </c>
    </row>
    <row r="1208" spans="2:6">
      <c r="B1208" s="365" t="str">
        <f t="shared" si="7"/>
        <v>*R6</v>
      </c>
      <c r="C1208" s="365" t="str">
        <f>CONCATENATE("IMP",Commodities!C346,6)</f>
        <v>IMPDSUP36</v>
      </c>
      <c r="D1208" s="365" t="str">
        <f>CONCATENATE("R",RIGHT(C1208,1)," Import of Imported ",VLOOKUP(MID(C1208,4,3),Types!$B$2:$C$13,2,FALSE),", from PADD ",MID(C1208,8,1))</f>
        <v>R6 Import of Imported Distillate-Ultralow Sulfur Highway Diesel (15 ppm), from PADD 3</v>
      </c>
      <c r="E1208" s="381" t="s">
        <v>384</v>
      </c>
      <c r="F1208" s="381" t="s">
        <v>505</v>
      </c>
    </row>
    <row r="1209" spans="2:6">
      <c r="B1209" s="365" t="str">
        <f t="shared" si="7"/>
        <v>*R6</v>
      </c>
      <c r="C1209" s="365" t="str">
        <f>CONCATENATE("IMP",Commodities!C347,6)</f>
        <v>IMPGSCP36</v>
      </c>
      <c r="D1209" s="365" t="str">
        <f>CONCATENATE("R",RIGHT(C1209,1)," Import of Imported ",VLOOKUP(MID(C1209,4,3),Types!$B$2:$C$13,2,FALSE),", from PADD ",MID(C1209,8,1))</f>
        <v>R6 Import of Imported Conventional Gasoline, from PADD 3</v>
      </c>
      <c r="E1209" s="381" t="s">
        <v>384</v>
      </c>
      <c r="F1209" s="381" t="s">
        <v>505</v>
      </c>
    </row>
    <row r="1210" spans="2:6">
      <c r="B1210" s="365" t="str">
        <f t="shared" si="7"/>
        <v>*R6</v>
      </c>
      <c r="C1210" s="365" t="str">
        <f>CONCATENATE("IMP",Commodities!C348,6)</f>
        <v>IMPGSRP36</v>
      </c>
      <c r="D1210" s="365" t="str">
        <f>CONCATENATE("R",RIGHT(C1210,1)," Import of Imported ",VLOOKUP(MID(C1210,4,3),Types!$B$2:$C$13,2,FALSE),", from PADD ",MID(C1210,8,1))</f>
        <v>R6 Import of Imported Reformulated Gasoline, from PADD 3</v>
      </c>
      <c r="E1210" s="381" t="s">
        <v>384</v>
      </c>
      <c r="F1210" s="381" t="s">
        <v>505</v>
      </c>
    </row>
    <row r="1211" spans="2:6">
      <c r="B1211" s="365" t="str">
        <f t="shared" si="7"/>
        <v>*R6</v>
      </c>
      <c r="C1211" s="365" t="str">
        <f>CONCATENATE("IMP",Commodities!C68,6)</f>
        <v>IMPJTFP36</v>
      </c>
      <c r="D1211" s="365" t="str">
        <f>CONCATENATE("R",RIGHT(C1211,1)," Import of Imported ",VLOOKUP(MID(C1211,4,3),Types!$B$2:$C$13,2,FALSE),", from PADD ",MID(C1211,8,1))</f>
        <v>R6 Import of Imported Jet Fuel, from PADD 3</v>
      </c>
      <c r="E1211" s="381" t="s">
        <v>384</v>
      </c>
      <c r="F1211" s="381" t="s">
        <v>505</v>
      </c>
    </row>
    <row r="1212" spans="2:6">
      <c r="B1212" s="365" t="str">
        <f t="shared" si="7"/>
        <v>*R6</v>
      </c>
      <c r="C1212" s="365" t="str">
        <f>CONCATENATE("IMP",Commodities!C349,6)</f>
        <v>IMPKERP36</v>
      </c>
      <c r="D1212" s="365" t="str">
        <f>CONCATENATE("R",RIGHT(C1212,1)," Import of Imported ",VLOOKUP(MID(C1212,4,3),Types!$B$2:$C$13,2,FALSE),", from PADD ",MID(C1212,8,1))</f>
        <v>R6 Import of Imported Kerosene and Other Refined Products, from PADD 3</v>
      </c>
      <c r="E1212" s="381" t="s">
        <v>384</v>
      </c>
      <c r="F1212" s="381" t="s">
        <v>505</v>
      </c>
    </row>
    <row r="1213" spans="2:6">
      <c r="B1213" s="365" t="str">
        <f t="shared" si="7"/>
        <v>*R6</v>
      </c>
      <c r="C1213" s="365" t="str">
        <f>CONCATENATE("IMP",Commodities!C350,6)</f>
        <v>IMPLPGP36</v>
      </c>
      <c r="D1213" s="365" t="str">
        <f>CONCATENATE("R",RIGHT(C1213,1)," Import of Imported ",VLOOKUP(MID(C1213,4,3),Types!$B$2:$C$13,2,FALSE),", from PADD ",MID(C1213,8,1))</f>
        <v>R6 Import of Imported LPG, from PADD 3</v>
      </c>
      <c r="E1213" s="381" t="s">
        <v>384</v>
      </c>
      <c r="F1213" s="381" t="s">
        <v>505</v>
      </c>
    </row>
    <row r="1214" spans="2:6">
      <c r="B1214" s="365" t="str">
        <f t="shared" si="7"/>
        <v>*R6</v>
      </c>
      <c r="C1214" s="365" t="str">
        <f>CONCATENATE("IMP",Commodities!C351,6)</f>
        <v>IMPMTHP36</v>
      </c>
      <c r="D1214" s="365" t="str">
        <f>CONCATENATE("R",RIGHT(C1214,1)," Import of Imported ",VLOOKUP(MID(C1214,4,3),Types!$B$2:$C$13,2,FALSE),", from PADD ",MID(C1214,8,1))</f>
        <v>R6 Import of Imported Methanol, from PADD 3</v>
      </c>
      <c r="E1214" s="381" t="s">
        <v>384</v>
      </c>
      <c r="F1214" s="381" t="s">
        <v>505</v>
      </c>
    </row>
    <row r="1215" spans="2:6">
      <c r="B1215" s="365" t="str">
        <f t="shared" si="7"/>
        <v>*R6</v>
      </c>
      <c r="C1215" s="365" t="str">
        <f>CONCATENATE("IMP",Commodities!C352,6)</f>
        <v>IMPPFSP36</v>
      </c>
      <c r="D1215" s="365" t="str">
        <f>CONCATENATE("R",RIGHT(C1215,1)," Import of Imported ",VLOOKUP(MID(C1215,4,3),Types!$B$2:$C$13,2,FALSE),", from PADD ",MID(C1215,8,1))</f>
        <v>R6 Import of Imported Petrochemical Feedstocks, from PADD 3</v>
      </c>
      <c r="E1215" s="381" t="s">
        <v>384</v>
      </c>
      <c r="F1215" s="381" t="s">
        <v>505</v>
      </c>
    </row>
    <row r="1216" spans="2:6">
      <c r="B1216" s="365" t="str">
        <f t="shared" si="7"/>
        <v>*R6</v>
      </c>
      <c r="C1216" s="365" t="str">
        <f>CONCATENATE("IMP",Commodities!C353,6)</f>
        <v>IMPRFHP36</v>
      </c>
      <c r="D1216" s="365" t="str">
        <f>CONCATENATE("R",RIGHT(C1216,1)," Import of Imported ",VLOOKUP(MID(C1216,4,3),Types!$B$2:$C$13,2,FALSE),", from PADD ",MID(C1216,8,1))</f>
        <v>R6 Import of Imported High Sulfur Residual Fuel Oil, from PADD 3</v>
      </c>
      <c r="E1216" s="381" t="s">
        <v>384</v>
      </c>
      <c r="F1216" s="381" t="s">
        <v>505</v>
      </c>
    </row>
    <row r="1217" spans="2:6">
      <c r="B1217" s="365" t="str">
        <f t="shared" si="7"/>
        <v>*R6</v>
      </c>
      <c r="C1217" s="365" t="str">
        <f>CONCATENATE("IMP",Commodities!C354,6)</f>
        <v>IMPRFLP36</v>
      </c>
      <c r="D1217" s="365" t="str">
        <f>CONCATENATE("R",RIGHT(C1217,1)," Import of Imported ",VLOOKUP(MID(C1217,4,3),Types!$B$2:$C$13,2,FALSE),", from PADD ",MID(C1217,8,1))</f>
        <v>R6 Import of Imported Low Sulfur Residual Fuel Oil, from PADD 3</v>
      </c>
      <c r="E1217" s="381" t="s">
        <v>384</v>
      </c>
      <c r="F1217" s="381" t="s">
        <v>505</v>
      </c>
    </row>
    <row r="1218" spans="2:6">
      <c r="B1218" s="365" t="str">
        <f t="shared" si="7"/>
        <v>*R6</v>
      </c>
      <c r="C1218" s="365" t="s">
        <v>569</v>
      </c>
      <c r="D1218" s="365" t="s">
        <v>570</v>
      </c>
      <c r="E1218" s="381" t="s">
        <v>384</v>
      </c>
      <c r="F1218" s="381" t="s">
        <v>505</v>
      </c>
    </row>
    <row r="1219" spans="2:6">
      <c r="B1219" s="365" t="str">
        <f t="shared" ref="B1219:B1231" si="8">IF(LEFT(B1062,1)="*","*R1","R1")</f>
        <v>*R1</v>
      </c>
      <c r="C1219" s="365" t="str">
        <f>CONCATENATE("IMP",Commodities!C69,1)</f>
        <v>IMPDSHP31</v>
      </c>
      <c r="D1219" s="365" t="str">
        <f>CONCATENATE("R",RIGHT(C1219,1)," Import of Imported ",VLOOKUP(MID(C1219,4,3),Types!$B$2:$C$13,2,FALSE),", from PADD ",MID(C1219,8,1))</f>
        <v>R1 Import of Imported Distillate-Heating Oil No. 2, from PADD 3</v>
      </c>
      <c r="E1219" s="381" t="s">
        <v>384</v>
      </c>
      <c r="F1219" s="381" t="s">
        <v>505</v>
      </c>
    </row>
    <row r="1220" spans="2:6">
      <c r="B1220" s="365" t="str">
        <f t="shared" si="8"/>
        <v>*R1</v>
      </c>
      <c r="C1220" s="365" t="str">
        <f>CONCATENATE("IMP",Commodities!C345,1)</f>
        <v>IMPDSLP31</v>
      </c>
      <c r="D1220" s="365" t="str">
        <f>CONCATENATE("R",RIGHT(C1220,1)," Import of Imported ",VLOOKUP(MID(C1220,4,3),Types!$B$2:$C$13,2,FALSE),", from PADD ",MID(C1220,8,1))</f>
        <v>R1 Import of Imported Distillate-Low Sulfur Highway Diesel (500 ppm), from PADD 3</v>
      </c>
      <c r="E1220" s="381" t="s">
        <v>384</v>
      </c>
      <c r="F1220" s="381" t="s">
        <v>505</v>
      </c>
    </row>
    <row r="1221" spans="2:6">
      <c r="B1221" s="365" t="str">
        <f t="shared" si="8"/>
        <v>*R1</v>
      </c>
      <c r="C1221" s="365" t="str">
        <f>CONCATENATE("IMP",Commodities!C346,1)</f>
        <v>IMPDSUP31</v>
      </c>
      <c r="D1221" s="365" t="str">
        <f>CONCATENATE("R",RIGHT(C1221,1)," Import of Imported ",VLOOKUP(MID(C1221,4,3),Types!$B$2:$C$13,2,FALSE),", from PADD ",MID(C1221,8,1))</f>
        <v>R1 Import of Imported Distillate-Ultralow Sulfur Highway Diesel (15 ppm), from PADD 3</v>
      </c>
      <c r="E1221" s="381" t="s">
        <v>384</v>
      </c>
      <c r="F1221" s="381" t="s">
        <v>505</v>
      </c>
    </row>
    <row r="1222" spans="2:6">
      <c r="B1222" s="365" t="str">
        <f t="shared" si="8"/>
        <v>*R1</v>
      </c>
      <c r="C1222" s="365" t="str">
        <f>CONCATENATE("IMP",Commodities!C347,1)</f>
        <v>IMPGSCP31</v>
      </c>
      <c r="D1222" s="365" t="str">
        <f>CONCATENATE("R",RIGHT(C1222,1)," Import of Imported ",VLOOKUP(MID(C1222,4,3),Types!$B$2:$C$13,2,FALSE),", from PADD ",MID(C1222,8,1))</f>
        <v>R1 Import of Imported Conventional Gasoline, from PADD 3</v>
      </c>
      <c r="E1222" s="381" t="s">
        <v>384</v>
      </c>
      <c r="F1222" s="381" t="s">
        <v>505</v>
      </c>
    </row>
    <row r="1223" spans="2:6">
      <c r="B1223" s="365" t="str">
        <f t="shared" si="8"/>
        <v>*R1</v>
      </c>
      <c r="C1223" s="365" t="str">
        <f>CONCATENATE("IMP",Commodities!C348,1)</f>
        <v>IMPGSRP31</v>
      </c>
      <c r="D1223" s="365" t="str">
        <f>CONCATENATE("R",RIGHT(C1223,1)," Import of Imported ",VLOOKUP(MID(C1223,4,3),Types!$B$2:$C$13,2,FALSE),", from PADD ",MID(C1223,8,1))</f>
        <v>R1 Import of Imported Reformulated Gasoline, from PADD 3</v>
      </c>
      <c r="E1223" s="381" t="s">
        <v>384</v>
      </c>
      <c r="F1223" s="381" t="s">
        <v>505</v>
      </c>
    </row>
    <row r="1224" spans="2:6">
      <c r="B1224" s="365" t="str">
        <f t="shared" si="8"/>
        <v>*R1</v>
      </c>
      <c r="C1224" s="365" t="str">
        <f>CONCATENATE("IMP",Commodities!C68,1)</f>
        <v>IMPJTFP31</v>
      </c>
      <c r="D1224" s="365" t="str">
        <f>CONCATENATE("R",RIGHT(C1224,1)," Import of Imported ",VLOOKUP(MID(C1224,4,3),Types!$B$2:$C$13,2,FALSE),", from PADD ",MID(C1224,8,1))</f>
        <v>R1 Import of Imported Jet Fuel, from PADD 3</v>
      </c>
      <c r="E1224" s="381" t="s">
        <v>384</v>
      </c>
      <c r="F1224" s="381" t="s">
        <v>505</v>
      </c>
    </row>
    <row r="1225" spans="2:6">
      <c r="B1225" s="365" t="str">
        <f t="shared" si="8"/>
        <v>*R1</v>
      </c>
      <c r="C1225" s="365" t="str">
        <f>CONCATENATE("IMP",Commodities!C349,1)</f>
        <v>IMPKERP31</v>
      </c>
      <c r="D1225" s="365" t="str">
        <f>CONCATENATE("R",RIGHT(C1225,1)," Import of Imported ",VLOOKUP(MID(C1225,4,3),Types!$B$2:$C$13,2,FALSE),", from PADD ",MID(C1225,8,1))</f>
        <v>R1 Import of Imported Kerosene and Other Refined Products, from PADD 3</v>
      </c>
      <c r="E1225" s="381" t="s">
        <v>384</v>
      </c>
      <c r="F1225" s="381" t="s">
        <v>505</v>
      </c>
    </row>
    <row r="1226" spans="2:6">
      <c r="B1226" s="365" t="str">
        <f t="shared" si="8"/>
        <v>*R1</v>
      </c>
      <c r="C1226" s="365" t="str">
        <f>CONCATENATE("IMP",Commodities!C350,1)</f>
        <v>IMPLPGP31</v>
      </c>
      <c r="D1226" s="365" t="str">
        <f>CONCATENATE("R",RIGHT(C1226,1)," Import of Imported ",VLOOKUP(MID(C1226,4,3),Types!$B$2:$C$13,2,FALSE),", from PADD ",MID(C1226,8,1))</f>
        <v>R1 Import of Imported LPG, from PADD 3</v>
      </c>
      <c r="E1226" s="381" t="s">
        <v>384</v>
      </c>
      <c r="F1226" s="381" t="s">
        <v>505</v>
      </c>
    </row>
    <row r="1227" spans="2:6">
      <c r="B1227" s="365" t="str">
        <f t="shared" si="8"/>
        <v>*R1</v>
      </c>
      <c r="C1227" s="365" t="str">
        <f>CONCATENATE("IMP",Commodities!C351,1)</f>
        <v>IMPMTHP31</v>
      </c>
      <c r="D1227" s="365" t="str">
        <f>CONCATENATE("R",RIGHT(C1227,1)," Import of Imported ",VLOOKUP(MID(C1227,4,3),Types!$B$2:$C$13,2,FALSE),", from PADD ",MID(C1227,8,1))</f>
        <v>R1 Import of Imported Methanol, from PADD 3</v>
      </c>
      <c r="E1227" s="381" t="s">
        <v>384</v>
      </c>
      <c r="F1227" s="381" t="s">
        <v>505</v>
      </c>
    </row>
    <row r="1228" spans="2:6">
      <c r="B1228" s="365" t="str">
        <f t="shared" si="8"/>
        <v>*R1</v>
      </c>
      <c r="C1228" s="365" t="str">
        <f>CONCATENATE("IMP",Commodities!C352,1)</f>
        <v>IMPPFSP31</v>
      </c>
      <c r="D1228" s="365" t="str">
        <f>CONCATENATE("R",RIGHT(C1228,1)," Import of Imported ",VLOOKUP(MID(C1228,4,3),Types!$B$2:$C$13,2,FALSE),", from PADD ",MID(C1228,8,1))</f>
        <v>R1 Import of Imported Petrochemical Feedstocks, from PADD 3</v>
      </c>
      <c r="E1228" s="381" t="s">
        <v>384</v>
      </c>
      <c r="F1228" s="381" t="s">
        <v>505</v>
      </c>
    </row>
    <row r="1229" spans="2:6">
      <c r="B1229" s="365" t="str">
        <f t="shared" si="8"/>
        <v>*R1</v>
      </c>
      <c r="C1229" s="365" t="str">
        <f>CONCATENATE("IMP",Commodities!C353,1)</f>
        <v>IMPRFHP31</v>
      </c>
      <c r="D1229" s="365" t="str">
        <f>CONCATENATE("R",RIGHT(C1229,1)," Import of Imported ",VLOOKUP(MID(C1229,4,3),Types!$B$2:$C$13,2,FALSE),", from PADD ",MID(C1229,8,1))</f>
        <v>R1 Import of Imported High Sulfur Residual Fuel Oil, from PADD 3</v>
      </c>
      <c r="E1229" s="381" t="s">
        <v>384</v>
      </c>
      <c r="F1229" s="381" t="s">
        <v>505</v>
      </c>
    </row>
    <row r="1230" spans="2:6">
      <c r="B1230" s="365" t="str">
        <f t="shared" si="8"/>
        <v>*R1</v>
      </c>
      <c r="C1230" s="365" t="str">
        <f>CONCATENATE("IMP",Commodities!C354,1)</f>
        <v>IMPRFLP31</v>
      </c>
      <c r="D1230" s="365" t="str">
        <f>CONCATENATE("R",RIGHT(C1230,1)," Import of Imported ",VLOOKUP(MID(C1230,4,3),Types!$B$2:$C$13,2,FALSE),", from PADD ",MID(C1230,8,1))</f>
        <v>R1 Import of Imported Low Sulfur Residual Fuel Oil, from PADD 3</v>
      </c>
      <c r="E1230" s="381" t="s">
        <v>384</v>
      </c>
      <c r="F1230" s="381" t="s">
        <v>505</v>
      </c>
    </row>
    <row r="1231" spans="2:6">
      <c r="B1231" s="365" t="str">
        <f t="shared" si="8"/>
        <v>*R1</v>
      </c>
      <c r="C1231" s="365" t="s">
        <v>2467</v>
      </c>
      <c r="D1231" s="365" t="s">
        <v>2468</v>
      </c>
      <c r="E1231" s="381" t="s">
        <v>384</v>
      </c>
      <c r="F1231" s="381" t="s">
        <v>505</v>
      </c>
    </row>
    <row r="1232" spans="2:6">
      <c r="B1232" s="365" t="str">
        <f t="shared" ref="B1232:B1257" si="9">CONCATENATE("*",LEFT(D1232,2))</f>
        <v>*R8</v>
      </c>
      <c r="C1232" s="365" t="str">
        <f>CONCATENATE("IMP",Commodities!C356,8)</f>
        <v>IMPDSHP48</v>
      </c>
      <c r="D1232" s="365" t="str">
        <f>CONCATENATE("R",RIGHT(C1232,1)," Import of Imported ",VLOOKUP(MID(C1232,4,3),Types!$B$2:$C$13,2,FALSE),", from PADD ",MID(C1232,8,1))</f>
        <v>R8 Import of Imported Distillate-Heating Oil No. 2, from PADD 4</v>
      </c>
      <c r="E1232" s="381" t="s">
        <v>384</v>
      </c>
      <c r="F1232" s="381" t="s">
        <v>505</v>
      </c>
    </row>
    <row r="1233" spans="2:6">
      <c r="B1233" s="365" t="str">
        <f t="shared" si="9"/>
        <v>*R8</v>
      </c>
      <c r="C1233" s="365" t="str">
        <f>CONCATENATE("IMP",Commodities!C357,8)</f>
        <v>IMPDSLP48</v>
      </c>
      <c r="D1233" s="365" t="str">
        <f>CONCATENATE("R",RIGHT(C1233,1)," Import of Imported ",VLOOKUP(MID(C1233,4,3),Types!$B$2:$C$13,2,FALSE),", from PADD ",MID(C1233,8,1))</f>
        <v>R8 Import of Imported Distillate-Low Sulfur Highway Diesel (500 ppm), from PADD 4</v>
      </c>
      <c r="E1233" s="381" t="s">
        <v>384</v>
      </c>
      <c r="F1233" s="381" t="s">
        <v>505</v>
      </c>
    </row>
    <row r="1234" spans="2:6">
      <c r="B1234" s="365" t="str">
        <f t="shared" si="9"/>
        <v>*R8</v>
      </c>
      <c r="C1234" s="365" t="str">
        <f>CONCATENATE("IMP",Commodities!C358,8)</f>
        <v>IMPDSUP48</v>
      </c>
      <c r="D1234" s="365" t="str">
        <f>CONCATENATE("R",RIGHT(C1234,1)," Import of Imported ",VLOOKUP(MID(C1234,4,3),Types!$B$2:$C$13,2,FALSE),", from PADD ",MID(C1234,8,1))</f>
        <v>R8 Import of Imported Distillate-Ultralow Sulfur Highway Diesel (15 ppm), from PADD 4</v>
      </c>
      <c r="E1234" s="381" t="s">
        <v>384</v>
      </c>
      <c r="F1234" s="381" t="s">
        <v>505</v>
      </c>
    </row>
    <row r="1235" spans="2:6">
      <c r="B1235" s="365" t="str">
        <f t="shared" si="9"/>
        <v>*R8</v>
      </c>
      <c r="C1235" s="365" t="str">
        <f>CONCATENATE("IMP",Commodities!C359,8)</f>
        <v>IMPGSCP48</v>
      </c>
      <c r="D1235" s="365" t="str">
        <f>CONCATENATE("R",RIGHT(C1235,1)," Import of Imported ",VLOOKUP(MID(C1235,4,3),Types!$B$2:$C$13,2,FALSE),", from PADD ",MID(C1235,8,1))</f>
        <v>R8 Import of Imported Conventional Gasoline, from PADD 4</v>
      </c>
      <c r="E1235" s="381" t="s">
        <v>384</v>
      </c>
      <c r="F1235" s="381" t="s">
        <v>505</v>
      </c>
    </row>
    <row r="1236" spans="2:6">
      <c r="B1236" s="365" t="str">
        <f t="shared" si="9"/>
        <v>*R8</v>
      </c>
      <c r="C1236" s="365" t="str">
        <f>CONCATENATE("IMP",Commodities!C360,8)</f>
        <v>IMPGSRP48</v>
      </c>
      <c r="D1236" s="365" t="str">
        <f>CONCATENATE("R",RIGHT(C1236,1)," Import of Imported ",VLOOKUP(MID(C1236,4,3),Types!$B$2:$C$13,2,FALSE),", from PADD ",MID(C1236,8,1))</f>
        <v>R8 Import of Imported Reformulated Gasoline, from PADD 4</v>
      </c>
      <c r="E1236" s="381" t="s">
        <v>384</v>
      </c>
      <c r="F1236" s="381" t="s">
        <v>505</v>
      </c>
    </row>
    <row r="1237" spans="2:6">
      <c r="B1237" s="365" t="str">
        <f t="shared" si="9"/>
        <v>*R8</v>
      </c>
      <c r="C1237" s="365" t="str">
        <f>CONCATENATE("IMP",Commodities!C361,8)</f>
        <v>IMPJTFP48</v>
      </c>
      <c r="D1237" s="365" t="str">
        <f>CONCATENATE("R",RIGHT(C1237,1)," Import of Imported ",VLOOKUP(MID(C1237,4,3),Types!$B$2:$C$13,2,FALSE),", from PADD ",MID(C1237,8,1))</f>
        <v>R8 Import of Imported Jet Fuel, from PADD 4</v>
      </c>
      <c r="E1237" s="381" t="s">
        <v>384</v>
      </c>
      <c r="F1237" s="381" t="s">
        <v>505</v>
      </c>
    </row>
    <row r="1238" spans="2:6">
      <c r="B1238" s="365" t="str">
        <f t="shared" si="9"/>
        <v>*R8</v>
      </c>
      <c r="C1238" s="365" t="str">
        <f>CONCATENATE("IMP",Commodities!C362,8)</f>
        <v>IMPKERP48</v>
      </c>
      <c r="D1238" s="365" t="str">
        <f>CONCATENATE("R",RIGHT(C1238,1)," Import of Imported ",VLOOKUP(MID(C1238,4,3),Types!$B$2:$C$13,2,FALSE),", from PADD ",MID(C1238,8,1))</f>
        <v>R8 Import of Imported Kerosene and Other Refined Products, from PADD 4</v>
      </c>
      <c r="E1238" s="381" t="s">
        <v>384</v>
      </c>
      <c r="F1238" s="381" t="s">
        <v>505</v>
      </c>
    </row>
    <row r="1239" spans="2:6">
      <c r="B1239" s="365" t="str">
        <f t="shared" si="9"/>
        <v>*R8</v>
      </c>
      <c r="C1239" s="365" t="str">
        <f>CONCATENATE("IMP",Commodities!C363,8)</f>
        <v>IMPLPGP48</v>
      </c>
      <c r="D1239" s="365" t="str">
        <f>CONCATENATE("R",RIGHT(C1239,1)," Import of Imported ",VLOOKUP(MID(C1239,4,3),Types!$B$2:$C$13,2,FALSE),", from PADD ",MID(C1239,8,1))</f>
        <v>R8 Import of Imported LPG, from PADD 4</v>
      </c>
      <c r="E1239" s="381" t="s">
        <v>384</v>
      </c>
      <c r="F1239" s="381" t="s">
        <v>505</v>
      </c>
    </row>
    <row r="1240" spans="2:6">
      <c r="B1240" s="365" t="str">
        <f t="shared" si="9"/>
        <v>*R8</v>
      </c>
      <c r="C1240" s="365" t="str">
        <f>CONCATENATE("IMP",Commodities!C364,8)</f>
        <v>IMPMTHP48</v>
      </c>
      <c r="D1240" s="365" t="str">
        <f>CONCATENATE("R",RIGHT(C1240,1)," Import of Imported ",VLOOKUP(MID(C1240,4,3),Types!$B$2:$C$13,2,FALSE),", from PADD ",MID(C1240,8,1))</f>
        <v>R8 Import of Imported Methanol, from PADD 4</v>
      </c>
      <c r="E1240" s="381" t="s">
        <v>384</v>
      </c>
      <c r="F1240" s="381" t="s">
        <v>505</v>
      </c>
    </row>
    <row r="1241" spans="2:6">
      <c r="B1241" s="365" t="str">
        <f t="shared" si="9"/>
        <v>*R8</v>
      </c>
      <c r="C1241" s="365" t="str">
        <f>CONCATENATE("IMP",Commodities!C365,8)</f>
        <v>IMPPFSP48</v>
      </c>
      <c r="D1241" s="365" t="str">
        <f>CONCATENATE("R",RIGHT(C1241,1)," Import of Imported ",VLOOKUP(MID(C1241,4,3),Types!$B$2:$C$13,2,FALSE),", from PADD ",MID(C1241,8,1))</f>
        <v>R8 Import of Imported Petrochemical Feedstocks, from PADD 4</v>
      </c>
      <c r="E1241" s="381" t="s">
        <v>384</v>
      </c>
      <c r="F1241" s="381" t="s">
        <v>505</v>
      </c>
    </row>
    <row r="1242" spans="2:6">
      <c r="B1242" s="365" t="str">
        <f t="shared" si="9"/>
        <v>*R8</v>
      </c>
      <c r="C1242" s="365" t="str">
        <f>CONCATENATE("IMP",Commodities!C366,8)</f>
        <v>IMPRFHP48</v>
      </c>
      <c r="D1242" s="365" t="str">
        <f>CONCATENATE("R",RIGHT(C1242,1)," Import of Imported ",VLOOKUP(MID(C1242,4,3),Types!$B$2:$C$13,2,FALSE),", from PADD ",MID(C1242,8,1))</f>
        <v>R8 Import of Imported High Sulfur Residual Fuel Oil, from PADD 4</v>
      </c>
      <c r="E1242" s="381" t="s">
        <v>384</v>
      </c>
      <c r="F1242" s="381" t="s">
        <v>505</v>
      </c>
    </row>
    <row r="1243" spans="2:6">
      <c r="B1243" s="365" t="str">
        <f t="shared" si="9"/>
        <v>*R8</v>
      </c>
      <c r="C1243" s="365" t="str">
        <f>CONCATENATE("IMP",Commodities!C367,8)</f>
        <v>IMPRFLP48</v>
      </c>
      <c r="D1243" s="365" t="str">
        <f>CONCATENATE("R",RIGHT(C1243,1)," Import of Imported ",VLOOKUP(MID(C1243,4,3),Types!$B$2:$C$13,2,FALSE),", from PADD ",MID(C1243,8,1))</f>
        <v>R8 Import of Imported Low Sulfur Residual Fuel Oil, from PADD 4</v>
      </c>
      <c r="E1243" s="381" t="s">
        <v>384</v>
      </c>
      <c r="F1243" s="381" t="s">
        <v>505</v>
      </c>
    </row>
    <row r="1244" spans="2:6">
      <c r="B1244" s="365" t="str">
        <f t="shared" si="9"/>
        <v>*R8</v>
      </c>
      <c r="C1244" s="365" t="s">
        <v>571</v>
      </c>
      <c r="D1244" s="365" t="s">
        <v>572</v>
      </c>
      <c r="E1244" s="381" t="s">
        <v>384</v>
      </c>
      <c r="F1244" s="381" t="s">
        <v>505</v>
      </c>
    </row>
    <row r="1245" spans="2:6">
      <c r="B1245" s="365" t="str">
        <f t="shared" si="9"/>
        <v>*R9</v>
      </c>
      <c r="C1245" s="365" t="str">
        <f>CONCATENATE("IMP",Commodities!C369,9)</f>
        <v>IMPDSHP59</v>
      </c>
      <c r="D1245" s="365" t="str">
        <f>CONCATENATE("R",RIGHT(C1245,1)," Import of Imported ",VLOOKUP(MID(C1245,4,3),Types!$B$2:$C$13,2,FALSE),", from PADD ",MID(C1245,8,1))</f>
        <v>R9 Import of Imported Distillate-Heating Oil No. 2, from PADD 5</v>
      </c>
      <c r="E1245" s="381" t="s">
        <v>384</v>
      </c>
      <c r="F1245" s="381" t="s">
        <v>505</v>
      </c>
    </row>
    <row r="1246" spans="2:6">
      <c r="B1246" s="365" t="str">
        <f t="shared" si="9"/>
        <v>*R9</v>
      </c>
      <c r="C1246" s="365" t="str">
        <f>CONCATENATE("IMP",Commodities!C370,9)</f>
        <v>IMPDSLP59</v>
      </c>
      <c r="D1246" s="365" t="str">
        <f>CONCATENATE("R",RIGHT(C1246,1)," Import of Imported ",VLOOKUP(MID(C1246,4,3),Types!$B$2:$C$13,2,FALSE),", from PADD ",MID(C1246,8,1))</f>
        <v>R9 Import of Imported Distillate-Low Sulfur Highway Diesel (500 ppm), from PADD 5</v>
      </c>
      <c r="E1246" s="381" t="s">
        <v>384</v>
      </c>
      <c r="F1246" s="381" t="s">
        <v>505</v>
      </c>
    </row>
    <row r="1247" spans="2:6">
      <c r="B1247" s="365" t="str">
        <f t="shared" si="9"/>
        <v>*R9</v>
      </c>
      <c r="C1247" s="365" t="str">
        <f>CONCATENATE("IMP",Commodities!C371,9)</f>
        <v>IMPDSUP59</v>
      </c>
      <c r="D1247" s="365" t="str">
        <f>CONCATENATE("R",RIGHT(C1247,1)," Import of Imported ",VLOOKUP(MID(C1247,4,3),Types!$B$2:$C$13,2,FALSE),", from PADD ",MID(C1247,8,1))</f>
        <v>R9 Import of Imported Distillate-Ultralow Sulfur Highway Diesel (15 ppm), from PADD 5</v>
      </c>
      <c r="E1247" s="381" t="s">
        <v>384</v>
      </c>
      <c r="F1247" s="381" t="s">
        <v>505</v>
      </c>
    </row>
    <row r="1248" spans="2:6">
      <c r="B1248" s="365" t="str">
        <f t="shared" si="9"/>
        <v>*R9</v>
      </c>
      <c r="C1248" s="365" t="str">
        <f>CONCATENATE("IMP",Commodities!C372,9)</f>
        <v>IMPGSCP59</v>
      </c>
      <c r="D1248" s="365" t="str">
        <f>CONCATENATE("R",RIGHT(C1248,1)," Import of Imported ",VLOOKUP(MID(C1248,4,3),Types!$B$2:$C$13,2,FALSE),", from PADD ",MID(C1248,8,1))</f>
        <v>R9 Import of Imported Conventional Gasoline, from PADD 5</v>
      </c>
      <c r="E1248" s="381" t="s">
        <v>384</v>
      </c>
      <c r="F1248" s="381" t="s">
        <v>505</v>
      </c>
    </row>
    <row r="1249" spans="2:9">
      <c r="B1249" s="365" t="str">
        <f t="shared" si="9"/>
        <v>*R9</v>
      </c>
      <c r="C1249" s="365" t="str">
        <f>CONCATENATE("IMP",Commodities!C373,9)</f>
        <v>IMPGSRP59</v>
      </c>
      <c r="D1249" s="365" t="str">
        <f>CONCATENATE("R",RIGHT(C1249,1)," Import of Imported ",VLOOKUP(MID(C1249,4,3),Types!$B$2:$C$13,2,FALSE),", from PADD ",MID(C1249,8,1))</f>
        <v>R9 Import of Imported Reformulated Gasoline, from PADD 5</v>
      </c>
      <c r="E1249" s="381" t="s">
        <v>384</v>
      </c>
      <c r="F1249" s="381" t="s">
        <v>505</v>
      </c>
    </row>
    <row r="1250" spans="2:9">
      <c r="B1250" s="365" t="str">
        <f t="shared" si="9"/>
        <v>*R9</v>
      </c>
      <c r="C1250" s="365" t="str">
        <f>CONCATENATE("IMP",Commodities!C374,9)</f>
        <v>IMPJTFP59</v>
      </c>
      <c r="D1250" s="365" t="str">
        <f>CONCATENATE("R",RIGHT(C1250,1)," Import of Imported ",VLOOKUP(MID(C1250,4,3),Types!$B$2:$C$13,2,FALSE),", from PADD ",MID(C1250,8,1))</f>
        <v>R9 Import of Imported Jet Fuel, from PADD 5</v>
      </c>
      <c r="E1250" s="381" t="s">
        <v>384</v>
      </c>
      <c r="F1250" s="381" t="s">
        <v>505</v>
      </c>
    </row>
    <row r="1251" spans="2:9">
      <c r="B1251" s="365" t="str">
        <f t="shared" si="9"/>
        <v>*R9</v>
      </c>
      <c r="C1251" s="365" t="str">
        <f>CONCATENATE("IMP",Commodities!C375,9)</f>
        <v>IMPKERP59</v>
      </c>
      <c r="D1251" s="365" t="str">
        <f>CONCATENATE("R",RIGHT(C1251,1)," Import of Imported ",VLOOKUP(MID(C1251,4,3),Types!$B$2:$C$13,2,FALSE),", from PADD ",MID(C1251,8,1))</f>
        <v>R9 Import of Imported Kerosene and Other Refined Products, from PADD 5</v>
      </c>
      <c r="E1251" s="381" t="s">
        <v>384</v>
      </c>
      <c r="F1251" s="381" t="s">
        <v>505</v>
      </c>
    </row>
    <row r="1252" spans="2:9">
      <c r="B1252" s="365" t="str">
        <f t="shared" si="9"/>
        <v>*R9</v>
      </c>
      <c r="C1252" s="365" t="str">
        <f>CONCATENATE("IMP",Commodities!C376,9)</f>
        <v>IMPLPGP59</v>
      </c>
      <c r="D1252" s="365" t="str">
        <f>CONCATENATE("R",RIGHT(C1252,1)," Import of Imported ",VLOOKUP(MID(C1252,4,3),Types!$B$2:$C$13,2,FALSE),", from PADD ",MID(C1252,8,1))</f>
        <v>R9 Import of Imported LPG, from PADD 5</v>
      </c>
      <c r="E1252" s="381" t="s">
        <v>384</v>
      </c>
      <c r="F1252" s="381" t="s">
        <v>505</v>
      </c>
    </row>
    <row r="1253" spans="2:9">
      <c r="B1253" s="365" t="str">
        <f t="shared" si="9"/>
        <v>*R9</v>
      </c>
      <c r="C1253" s="365" t="str">
        <f>CONCATENATE("IMP",Commodities!C377,9)</f>
        <v>IMPMTHP59</v>
      </c>
      <c r="D1253" s="365" t="str">
        <f>CONCATENATE("R",RIGHT(C1253,1)," Import of Imported ",VLOOKUP(MID(C1253,4,3),Types!$B$2:$C$13,2,FALSE),", from PADD ",MID(C1253,8,1))</f>
        <v>R9 Import of Imported Methanol, from PADD 5</v>
      </c>
      <c r="E1253" s="381" t="s">
        <v>384</v>
      </c>
      <c r="F1253" s="381" t="s">
        <v>505</v>
      </c>
    </row>
    <row r="1254" spans="2:9">
      <c r="B1254" s="365" t="str">
        <f t="shared" si="9"/>
        <v>*R9</v>
      </c>
      <c r="C1254" s="365" t="str">
        <f>CONCATENATE("IMP",Commodities!C378,9)</f>
        <v>IMPPFSP59</v>
      </c>
      <c r="D1254" s="365" t="str">
        <f>CONCATENATE("R",RIGHT(C1254,1)," Import of Imported ",VLOOKUP(MID(C1254,4,3),Types!$B$2:$C$13,2,FALSE),", from PADD ",MID(C1254,8,1))</f>
        <v>R9 Import of Imported Petrochemical Feedstocks, from PADD 5</v>
      </c>
      <c r="E1254" s="381" t="s">
        <v>384</v>
      </c>
      <c r="F1254" s="381" t="s">
        <v>505</v>
      </c>
    </row>
    <row r="1255" spans="2:9">
      <c r="B1255" s="365" t="str">
        <f t="shared" si="9"/>
        <v>*R9</v>
      </c>
      <c r="C1255" s="365" t="str">
        <f>CONCATENATE("IMP",Commodities!C379,9)</f>
        <v>IMPRFHP59</v>
      </c>
      <c r="D1255" s="365" t="str">
        <f>CONCATENATE("R",RIGHT(C1255,1)," Import of Imported ",VLOOKUP(MID(C1255,4,3),Types!$B$2:$C$13,2,FALSE),", from PADD ",MID(C1255,8,1))</f>
        <v>R9 Import of Imported High Sulfur Residual Fuel Oil, from PADD 5</v>
      </c>
      <c r="E1255" s="381" t="s">
        <v>384</v>
      </c>
      <c r="F1255" s="381" t="s">
        <v>505</v>
      </c>
    </row>
    <row r="1256" spans="2:9">
      <c r="B1256" s="365" t="str">
        <f t="shared" si="9"/>
        <v>*R9</v>
      </c>
      <c r="C1256" s="365" t="str">
        <f>CONCATENATE("IMP",Commodities!C380,9)</f>
        <v>IMPRFLP59</v>
      </c>
      <c r="D1256" s="365" t="str">
        <f>CONCATENATE("R",RIGHT(C1256,1)," Import of Imported ",VLOOKUP(MID(C1256,4,3),Types!$B$2:$C$13,2,FALSE),", from PADD ",MID(C1256,8,1))</f>
        <v>R9 Import of Imported Low Sulfur Residual Fuel Oil, from PADD 5</v>
      </c>
      <c r="E1256" s="381" t="s">
        <v>384</v>
      </c>
      <c r="F1256" s="381" t="s">
        <v>505</v>
      </c>
    </row>
    <row r="1257" spans="2:9">
      <c r="B1257" s="365" t="str">
        <f t="shared" si="9"/>
        <v>*R9</v>
      </c>
      <c r="C1257" s="365" t="s">
        <v>573</v>
      </c>
      <c r="D1257" s="365" t="s">
        <v>574</v>
      </c>
      <c r="E1257" s="381" t="s">
        <v>384</v>
      </c>
      <c r="F1257" s="381" t="s">
        <v>505</v>
      </c>
    </row>
    <row r="1258" spans="2:9">
      <c r="B1258" s="372" t="s">
        <v>577</v>
      </c>
      <c r="C1258" s="378"/>
      <c r="D1258" s="378"/>
      <c r="E1258" s="414"/>
      <c r="F1258" s="414"/>
      <c r="G1258" s="372"/>
      <c r="H1258" s="378"/>
      <c r="I1258" s="378"/>
    </row>
    <row r="1259" spans="2:9">
      <c r="B1259" s="365" t="str">
        <f>IF(OR(G$1258="*",LEFT(Commodities!B$48,1)="*"),"*",Commodities!B$49)</f>
        <v>R0,R1,R2,R3,R4,R5,R6</v>
      </c>
      <c r="C1259" s="365" t="str">
        <f>CONCATENATE("XR",Commodities!C85)</f>
        <v>XRTRGSLC</v>
      </c>
      <c r="D1259" s="365" t="str">
        <f>CONCATENATE("Delivery of Refinery ",Commodities!D85)</f>
        <v>Delivery of Refinery Conventional Gasoline</v>
      </c>
      <c r="E1259" s="381" t="s">
        <v>384</v>
      </c>
      <c r="F1259" s="381" t="s">
        <v>505</v>
      </c>
    </row>
    <row r="1260" spans="2:9">
      <c r="B1260" s="365" t="str">
        <f>IF(OR(G$1258="*",LEFT(Commodities!B$49,1)="*"),"*",Commodities!B$48)</f>
        <v>R0,R1,R2,R3,R4,R5,R6</v>
      </c>
      <c r="C1260" s="365" t="str">
        <f>CONCATENATE("XR",Commodities!C86)</f>
        <v>XRTRGSLR</v>
      </c>
      <c r="D1260" s="365" t="str">
        <f>CONCATENATE("Delivery of Refinery ",Commodities!D86)</f>
        <v>Delivery of Refinery Reformulated Gasoline</v>
      </c>
      <c r="E1260" s="381" t="s">
        <v>384</v>
      </c>
      <c r="F1260" s="381" t="s">
        <v>505</v>
      </c>
    </row>
    <row r="1261" spans="2:9">
      <c r="B1261" s="365" t="str">
        <f>IF(OR(G$1258="*",LEFT(Commodities!B$87,1)="*"),"*",Commodities!B$87)</f>
        <v>R1,R2,R3,R4,R5,R6</v>
      </c>
      <c r="C1261" s="365" t="str">
        <f>CONCATENATE("XR",Commodities!C87)</f>
        <v>XRRESDSL</v>
      </c>
      <c r="D1261" s="365" t="str">
        <f>CONCATENATE("Delivery of Refinery ",Commodities!D87)</f>
        <v>Delivery of Refinery Distillate-Heating Oil No. 2 to the Residential Sector</v>
      </c>
      <c r="E1261" s="381" t="s">
        <v>384</v>
      </c>
      <c r="F1261" s="381" t="s">
        <v>505</v>
      </c>
    </row>
    <row r="1262" spans="2:9">
      <c r="B1262" s="365" t="str">
        <f>IF(OR(G$1258="*",LEFT(Commodities!B$88,1)="*"),"*",Commodities!B$88)</f>
        <v>R1,R2,R3,R4,R5,R6</v>
      </c>
      <c r="C1262" s="365" t="str">
        <f>CONCATENATE("XR",Commodities!C88)</f>
        <v>XRCOMDSL</v>
      </c>
      <c r="D1262" s="365" t="str">
        <f>CONCATENATE("Delivery of Refinery ",Commodities!D88)</f>
        <v>Delivery of Refinery Distillate-Heating Oil No. 2 to the Commercial Sector</v>
      </c>
      <c r="E1262" s="381" t="s">
        <v>384</v>
      </c>
      <c r="F1262" s="381" t="s">
        <v>505</v>
      </c>
    </row>
    <row r="1263" spans="2:9">
      <c r="B1263" s="365" t="str">
        <f>IF(OR(G$1258="*",LEFT(Commodities!B$89,1)="*"),"*",Commodities!B$89)</f>
        <v>*</v>
      </c>
      <c r="C1263" s="365" t="str">
        <f>CONCATENATE("XR",Commodities!C89)</f>
        <v>XRINDDSL</v>
      </c>
      <c r="D1263" s="365" t="str">
        <f>CONCATENATE("Delivery of Refinery ",Commodities!D89)</f>
        <v>Delivery of Refinery Distillate-Heating Oil No. 2 to the Indistrial Sector</v>
      </c>
      <c r="E1263" s="381" t="s">
        <v>384</v>
      </c>
      <c r="F1263" s="381" t="s">
        <v>505</v>
      </c>
    </row>
    <row r="1264" spans="2:9">
      <c r="B1264" s="365" t="str">
        <f>IF(OR(G$1258="*",LEFT(Commodities!B$90,1)="*"),"*",Commodities!B$90)</f>
        <v>R1,R2,R3,R4,R5,R6</v>
      </c>
      <c r="C1264" s="365" t="str">
        <f>CONCATENATE("XR",Commodities!C90)</f>
        <v>XRELCDSL</v>
      </c>
      <c r="D1264" s="365" t="str">
        <f>CONCATENATE("Delivery of Refinery ",Commodities!D90)</f>
        <v>Delivery of Refinery Distillate-Heating Oil No. 2 to the Electricity Sector</v>
      </c>
      <c r="E1264" s="381" t="s">
        <v>384</v>
      </c>
      <c r="F1264" s="381" t="s">
        <v>505</v>
      </c>
    </row>
    <row r="1265" spans="2:6">
      <c r="B1265" s="365" t="str">
        <f>IF(OR(G$1258="*",LEFT(Commodities!B$51,1)="*"),"*",Commodities!B$51)</f>
        <v>R0,R1,R2,R3,R4,R5,R6</v>
      </c>
      <c r="C1265" s="365" t="str">
        <f>CONCATENATE("XR",Commodities!C91)</f>
        <v>XRTRDSLL</v>
      </c>
      <c r="D1265" s="365" t="str">
        <f>CONCATENATE("Delivery of Refinery ",Commodities!D91)</f>
        <v>Delivery of Refinery Distillate-Low Sulfur Highway Diesel (500 ppm)</v>
      </c>
      <c r="E1265" s="381" t="s">
        <v>384</v>
      </c>
      <c r="F1265" s="381" t="s">
        <v>505</v>
      </c>
    </row>
    <row r="1266" spans="2:6">
      <c r="B1266" s="365" t="str">
        <f>IF(OR(G$1258="*",LEFT(Commodities!B$52,1)="*"),"*",Commodities!B$52)</f>
        <v>R0,R1,R2,R3,R4,R5,R6</v>
      </c>
      <c r="C1266" s="365" t="str">
        <f>CONCATENATE("XR",Commodities!C92)</f>
        <v>XRTRDSLU</v>
      </c>
      <c r="D1266" s="365" t="str">
        <f>CONCATENATE("Delivery of Refinery ",Commodities!D92)</f>
        <v>Delivery of Refinery Distillate-Ultralow Sulfur Highway Diesel (15 ppm)</v>
      </c>
      <c r="E1266" s="381" t="s">
        <v>384</v>
      </c>
      <c r="F1266" s="381" t="s">
        <v>505</v>
      </c>
    </row>
    <row r="1267" spans="2:6">
      <c r="B1267" s="365" t="str">
        <f>IF(OR(G$1258="*",LEFT(Commodities!B$53,1)="*"),"*",Commodities!B$53)</f>
        <v>R1,R2,R3,R4,R5,R6</v>
      </c>
      <c r="C1267" s="365" t="str">
        <f>CONCATENATE("XR",Commodities!C93)</f>
        <v>XRTRNJTF</v>
      </c>
      <c r="D1267" s="365" t="str">
        <f>CONCATENATE("Delivery of Refinery ",Commodities!D93)</f>
        <v>Delivery of Refinery Jet Fuel</v>
      </c>
      <c r="E1267" s="381" t="s">
        <v>384</v>
      </c>
      <c r="F1267" s="381" t="s">
        <v>505</v>
      </c>
    </row>
    <row r="1268" spans="2:6">
      <c r="B1268" s="365" t="str">
        <f>IF(OR(G$1258="*",LEFT(Commodities!B$94,1)="*"),"*",Commodities!B$94)</f>
        <v>*</v>
      </c>
      <c r="C1268" s="365" t="str">
        <f>CONCATENATE("XR",Commodities!C94)</f>
        <v>XRRESKER</v>
      </c>
      <c r="D1268" s="365" t="str">
        <f>CONCATENATE("Delivery of Refinery ",Commodities!D94)</f>
        <v>Delivery of Refinery Kerosene and Other Refined Products to the Residential Sector</v>
      </c>
      <c r="E1268" s="381" t="s">
        <v>384</v>
      </c>
      <c r="F1268" s="381" t="s">
        <v>505</v>
      </c>
    </row>
    <row r="1269" spans="2:6">
      <c r="B1269" s="365" t="str">
        <f>IF(OR(G$1258="*",LEFT(Commodities!B$95,1)="*"),"*",Commodities!B$95)</f>
        <v>*</v>
      </c>
      <c r="C1269" s="365" t="str">
        <f>CONCATENATE("XR",Commodities!C95)</f>
        <v>XRCOMKER</v>
      </c>
      <c r="D1269" s="365" t="str">
        <f>CONCATENATE("Delivery of Refinery ",Commodities!D95)</f>
        <v>Delivery of Refinery Kerosene and Other Refined Products to the Commercial Sector</v>
      </c>
      <c r="E1269" s="381" t="s">
        <v>384</v>
      </c>
      <c r="F1269" s="381" t="s">
        <v>505</v>
      </c>
    </row>
    <row r="1270" spans="2:6">
      <c r="B1270" s="365" t="str">
        <f>IF(OR(G$1258="*",LEFT(Commodities!B$96,1)="*"),"*",Commodities!B$96)</f>
        <v>*</v>
      </c>
      <c r="C1270" s="365" t="str">
        <f>CONCATENATE("XR",Commodities!C96)</f>
        <v>XRINDKER</v>
      </c>
      <c r="D1270" s="365" t="str">
        <f>CONCATENATE("Delivery of Refinery ",Commodities!D96)</f>
        <v>Delivery of Refinery Kerosene and Other Refined Products to the Industrial Sector</v>
      </c>
      <c r="E1270" s="381" t="s">
        <v>384</v>
      </c>
      <c r="F1270" s="381" t="s">
        <v>505</v>
      </c>
    </row>
    <row r="1271" spans="2:6">
      <c r="B1271" s="365" t="str">
        <f>IF(OR(G$1258="*",LEFT(Commodities!B$97,1)="*"),"*",Commodities!B$97)</f>
        <v>*</v>
      </c>
      <c r="C1271" s="365" t="str">
        <f>CONCATENATE("XR",Commodities!C97)</f>
        <v>XRRESLPG</v>
      </c>
      <c r="D1271" s="365" t="str">
        <f>CONCATENATE("Delivery of Refinery ",Commodities!D97)</f>
        <v>Delivery of Refinery LPG to the Residential Sector</v>
      </c>
      <c r="E1271" s="381" t="s">
        <v>384</v>
      </c>
      <c r="F1271" s="381" t="s">
        <v>505</v>
      </c>
    </row>
    <row r="1272" spans="2:6">
      <c r="B1272" s="365" t="str">
        <f>IF(OR(G$1258="*",LEFT(Commodities!B$98,1)="*"),"*",Commodities!B$98)</f>
        <v>*</v>
      </c>
      <c r="C1272" s="365" t="str">
        <f>CONCATENATE("XR",Commodities!C98)</f>
        <v>XRCOMLPG</v>
      </c>
      <c r="D1272" s="365" t="str">
        <f>CONCATENATE("Delivery of Refinery ",Commodities!D98)</f>
        <v>Delivery of Refinery LPG to the Commercial Sector</v>
      </c>
      <c r="E1272" s="381" t="s">
        <v>384</v>
      </c>
      <c r="F1272" s="381" t="s">
        <v>505</v>
      </c>
    </row>
    <row r="1273" spans="2:6">
      <c r="B1273" s="365" t="str">
        <f>IF(OR(G$1258="*",LEFT(Commodities!B$99,1)="*"),"*",Commodities!B$99)</f>
        <v>*</v>
      </c>
      <c r="C1273" s="365" t="str">
        <f>CONCATENATE("XR",Commodities!C99)</f>
        <v>XRINDLPG</v>
      </c>
      <c r="D1273" s="365" t="str">
        <f>CONCATENATE("Delivery of Refinery ",Commodities!D99)</f>
        <v>Delivery of Refinery LPG to the Industrial Sector</v>
      </c>
      <c r="E1273" s="381" t="s">
        <v>384</v>
      </c>
      <c r="F1273" s="381" t="s">
        <v>505</v>
      </c>
    </row>
    <row r="1274" spans="2:6">
      <c r="B1274" s="365" t="str">
        <f>IF(OR(G$1258="*",LEFT(Commodities!B$100,1)="*"),"*",Commodities!B$100)</f>
        <v>*</v>
      </c>
      <c r="C1274" s="365" t="str">
        <f>CONCATENATE("XR",Commodities!C100)</f>
        <v>XRTRNLPG</v>
      </c>
      <c r="D1274" s="365" t="str">
        <f>CONCATENATE("Delivery of Refinery ",Commodities!D100)</f>
        <v>Delivery of Refinery LPG to the Transportation Sector</v>
      </c>
      <c r="E1274" s="381" t="s">
        <v>384</v>
      </c>
      <c r="F1274" s="381" t="s">
        <v>505</v>
      </c>
    </row>
    <row r="1275" spans="2:6">
      <c r="B1275" s="365" t="str">
        <f>IF(OR(G$1258="*",LEFT(Commodities!B$101,1)="*"),"*",Commodities!B$101)</f>
        <v>*</v>
      </c>
      <c r="C1275" s="365" t="str">
        <f>CONCATENATE("XR",Commodities!C101)</f>
        <v>XRTRNMTH</v>
      </c>
      <c r="D1275" s="365" t="str">
        <f>CONCATENATE("Delivery of Refinery ",Commodities!D101)</f>
        <v>Delivery of Refinery Methanol</v>
      </c>
      <c r="E1275" s="381" t="s">
        <v>384</v>
      </c>
      <c r="F1275" s="381" t="s">
        <v>505</v>
      </c>
    </row>
    <row r="1276" spans="2:6">
      <c r="B1276" s="365" t="str">
        <f>IF(OR(G$1258="*",LEFT(Commodities!B$102,1)="*"),"*",Commodities!B$102)</f>
        <v>*</v>
      </c>
      <c r="C1276" s="365" t="str">
        <f>CONCATENATE("XR",Commodities!C102)</f>
        <v>XRINDPFS</v>
      </c>
      <c r="D1276" s="365" t="str">
        <f>CONCATENATE("Delivery of Refinery ",Commodities!D102)</f>
        <v>Delivery of Refinery Petrochemical Feedstocks</v>
      </c>
      <c r="E1276" s="381" t="s">
        <v>384</v>
      </c>
      <c r="F1276" s="381" t="s">
        <v>505</v>
      </c>
    </row>
    <row r="1277" spans="2:6">
      <c r="B1277" s="365" t="str">
        <f>IF(OR(G$1258="*",LEFT(Commodities!B$103,1)="*"),"*",Commodities!B$103)</f>
        <v>*</v>
      </c>
      <c r="C1277" s="365" t="str">
        <f>CONCATENATE("XR",Commodities!C103)</f>
        <v>XRRESRFL</v>
      </c>
      <c r="D1277" s="365" t="str">
        <f>CONCATENATE("Delivery of Refinery ",Commodities!D103)</f>
        <v>Delivery of Refinery Low Sulfur Residual Fuel Oil to Residential Sector</v>
      </c>
      <c r="E1277" s="381" t="s">
        <v>384</v>
      </c>
      <c r="F1277" s="381" t="s">
        <v>505</v>
      </c>
    </row>
    <row r="1278" spans="2:6">
      <c r="B1278" s="365" t="str">
        <f>IF(OR(G$1258="*",LEFT(Commodities!B$104,1)="*"),"*",Commodities!B$104)</f>
        <v>*</v>
      </c>
      <c r="C1278" s="365" t="str">
        <f>CONCATENATE("XR",Commodities!C104)</f>
        <v>XRCOMRFL</v>
      </c>
      <c r="D1278" s="365" t="str">
        <f>CONCATENATE("Delivery of Refinery ",Commodities!D104)</f>
        <v>Delivery of Refinery Low Sulfur Residual Fuel Oil to Commercial Sector</v>
      </c>
      <c r="E1278" s="381" t="s">
        <v>384</v>
      </c>
      <c r="F1278" s="381" t="s">
        <v>505</v>
      </c>
    </row>
    <row r="1279" spans="2:6">
      <c r="B1279" s="365" t="str">
        <f>IF(OR(G$1258="*",LEFT(Commodities!B$105,1)="*"),"*",Commodities!B$105)</f>
        <v>R1,R2,R3,R4,R5,R6</v>
      </c>
      <c r="C1279" s="365" t="str">
        <f>CONCATENATE("XR",Commodities!C105)</f>
        <v>XRINDRFL</v>
      </c>
      <c r="D1279" s="365" t="str">
        <f>CONCATENATE("Delivery of Refinery ",Commodities!D105)</f>
        <v>Delivery of Refinery Low Sulfur Residual Fuel Oil to Industrial Sector</v>
      </c>
      <c r="E1279" s="381" t="s">
        <v>384</v>
      </c>
      <c r="F1279" s="381" t="s">
        <v>505</v>
      </c>
    </row>
    <row r="1280" spans="2:6">
      <c r="B1280" s="365" t="str">
        <f>IF(OR(G$1258="*",LEFT(Commodities!B$106,1)="*"),"*",Commodities!B$106)</f>
        <v>*</v>
      </c>
      <c r="C1280" s="365" t="str">
        <f>CONCATENATE("XR",Commodities!C106)</f>
        <v>XRELCRFL</v>
      </c>
      <c r="D1280" s="365" t="str">
        <f>CONCATENATE("Delivery of Refinery ",Commodities!D106)</f>
        <v>Delivery of Refinery Low Sulfur Residual Fuel Oil to Electricity Sector</v>
      </c>
      <c r="E1280" s="381" t="s">
        <v>384</v>
      </c>
      <c r="F1280" s="381" t="s">
        <v>505</v>
      </c>
    </row>
    <row r="1281" spans="2:7">
      <c r="B1281" s="365" t="str">
        <f>IF(OR(G$1258="*",LEFT(Commodities!B$107,1)="*"),"*",Commodities!B$107)</f>
        <v>*</v>
      </c>
      <c r="C1281" s="365" t="str">
        <f>CONCATENATE("XR",Commodities!C107)</f>
        <v>XRTRNRFH</v>
      </c>
      <c r="D1281" s="365" t="str">
        <f>CONCATENATE("Delivery of Refinery ",Commodities!D107)</f>
        <v>Delivery of Refinery High Sulfur Residual Fuel Oil to Transportation Sector</v>
      </c>
      <c r="E1281" s="381" t="s">
        <v>384</v>
      </c>
      <c r="F1281" s="381" t="s">
        <v>505</v>
      </c>
    </row>
    <row r="1282" spans="2:7">
      <c r="B1282" s="365" t="str">
        <f>IF(OR(G$1258="*",LEFT(Commodities!B$108,1)="*"),"*",Commodities!B$108)</f>
        <v>*</v>
      </c>
      <c r="C1282" s="365" t="str">
        <f>CONCATENATE("XR",Commodities!C108)</f>
        <v>XRELCRFH</v>
      </c>
      <c r="D1282" s="365" t="str">
        <f>CONCATENATE("Delivery of Refinery ",Commodities!D108)</f>
        <v>Delivery of Refinery High Sulfur Residual Fuel Oil to Electricity Sector</v>
      </c>
      <c r="E1282" s="381" t="s">
        <v>384</v>
      </c>
      <c r="F1282" s="381" t="s">
        <v>505</v>
      </c>
    </row>
    <row r="1283" spans="2:7">
      <c r="B1283" s="365" t="str">
        <f>IF(OR(G$1258="*",LEFT(Commodities!B$109,1)="*"),"*",Commodities!B$109)</f>
        <v>*</v>
      </c>
      <c r="C1283" s="365" t="str">
        <f>CONCATENATE("XR",Commodities!C109)</f>
        <v>XRINDASP</v>
      </c>
      <c r="D1283" s="365" t="str">
        <f>CONCATENATE("Delivery of Refinery ",Commodities!D109)</f>
        <v>Delivery of Refinery Asphalt - End Use</v>
      </c>
      <c r="E1283" s="381" t="s">
        <v>384</v>
      </c>
      <c r="F1283" s="381" t="s">
        <v>505</v>
      </c>
    </row>
    <row r="1284" spans="2:7">
      <c r="B1284" s="364" t="s">
        <v>578</v>
      </c>
    </row>
    <row r="1285" spans="2:7">
      <c r="B1285" s="365" t="str">
        <f>IF(LEFT(Commodities!B$71,1)="*","*R1","R1")</f>
        <v>R1</v>
      </c>
      <c r="C1285" s="365" t="str">
        <f>CONCATENATE("EXP",Commodities!C48,RIGHT(OILTrade!$Q$56,2))</f>
        <v>EXPGSC13</v>
      </c>
      <c r="D1285" s="365" t="str">
        <f>CONCATENATE("Export Pipeline Trade of ",Commodities!C48, " from ",$B1285," to R",RIGHT(C1285))</f>
        <v>Export Pipeline Trade of GSC from R1 to R3</v>
      </c>
      <c r="E1285" s="381" t="s">
        <v>384</v>
      </c>
      <c r="F1285" s="381" t="s">
        <v>505</v>
      </c>
      <c r="G1285" s="364" t="s">
        <v>2535</v>
      </c>
    </row>
    <row r="1286" spans="2:7">
      <c r="B1286" s="365" t="str">
        <f>IF(LEFT(Commodities!B$72,1)="*","*R1","R1")</f>
        <v>R1</v>
      </c>
      <c r="C1286" s="365" t="str">
        <f>CONCATENATE("EXP",Commodities!C49,RIGHT(OILTrade!$Q$56,2))</f>
        <v>EXPGSR13</v>
      </c>
      <c r="D1286" s="365" t="str">
        <f>CONCATENATE("Export Pipeline Trade of ",Commodities!C49, " from ",$B1286," to R",RIGHT(C1286))</f>
        <v>Export Pipeline Trade of GSR from R1 to R3</v>
      </c>
      <c r="E1286" s="381" t="s">
        <v>384</v>
      </c>
      <c r="F1286" s="381" t="s">
        <v>505</v>
      </c>
    </row>
    <row r="1287" spans="2:7">
      <c r="B1287" s="365" t="str">
        <f>IF(LEFT(Commodities!B$73,1)="*","*R1","R1")</f>
        <v>R1</v>
      </c>
      <c r="C1287" s="365" t="str">
        <f>CONCATENATE("EXP",Commodities!C50,RIGHT(OILTrade!$Q$56,2))</f>
        <v>EXPDSH13</v>
      </c>
      <c r="D1287" s="365" t="str">
        <f>CONCATENATE("Export Pipeline Trade of ",Commodities!C50, " from ",$B1287," to R",RIGHT(C1287))</f>
        <v>Export Pipeline Trade of DSH from R1 to R3</v>
      </c>
      <c r="E1287" s="381" t="s">
        <v>384</v>
      </c>
      <c r="F1287" s="381" t="s">
        <v>505</v>
      </c>
    </row>
    <row r="1288" spans="2:7">
      <c r="B1288" s="365" t="str">
        <f>IF(LEFT(Commodities!B$74,1)="*","*R1","R1")</f>
        <v>R1</v>
      </c>
      <c r="C1288" s="365" t="str">
        <f>CONCATENATE("EXP",Commodities!C51,RIGHT(OILTrade!$Q$56,2))</f>
        <v>EXPDSL13</v>
      </c>
      <c r="D1288" s="365" t="str">
        <f>CONCATENATE("Export Pipeline Trade of ",Commodities!C51, " from ",$B1288," to R",RIGHT(C1288))</f>
        <v>Export Pipeline Trade of DSL from R1 to R3</v>
      </c>
      <c r="E1288" s="381" t="s">
        <v>384</v>
      </c>
      <c r="F1288" s="381" t="s">
        <v>505</v>
      </c>
    </row>
    <row r="1289" spans="2:7">
      <c r="B1289" s="365" t="str">
        <f>IF(LEFT(Commodities!B$75,1)="*","*R1","R1")</f>
        <v>R1</v>
      </c>
      <c r="C1289" s="365" t="str">
        <f>CONCATENATE("EXP",Commodities!C52,RIGHT(OILTrade!$Q$56,2))</f>
        <v>EXPDSU13</v>
      </c>
      <c r="D1289" s="365" t="str">
        <f>CONCATENATE("Export Pipeline Trade of ",Commodities!C52, " from ",$B1289," to R",RIGHT(C1289))</f>
        <v>Export Pipeline Trade of DSU from R1 to R3</v>
      </c>
      <c r="E1289" s="381" t="s">
        <v>384</v>
      </c>
      <c r="F1289" s="381" t="s">
        <v>505</v>
      </c>
    </row>
    <row r="1290" spans="2:7">
      <c r="B1290" s="365" t="str">
        <f>IF(LEFT(Commodities!B$76,1)="*","*R1","R1")</f>
        <v>R1</v>
      </c>
      <c r="C1290" s="365" t="str">
        <f>CONCATENATE("EXP",Commodities!C53,RIGHT(OILTrade!$Q$56,2))</f>
        <v>EXPJTF13</v>
      </c>
      <c r="D1290" s="365" t="str">
        <f>CONCATENATE("Export Pipeline Trade of ",Commodities!C53, " from ",$B1290," to R",RIGHT(C1290))</f>
        <v>Export Pipeline Trade of JTF from R1 to R3</v>
      </c>
      <c r="E1290" s="381" t="s">
        <v>384</v>
      </c>
      <c r="F1290" s="381" t="s">
        <v>505</v>
      </c>
    </row>
    <row r="1291" spans="2:7">
      <c r="B1291" s="365" t="str">
        <f>IF(LEFT(Commodities!B$77,1)="*","*R1","R1")</f>
        <v>*R1</v>
      </c>
      <c r="C1291" s="365" t="str">
        <f>CONCATENATE("EXP",Commodities!C54,RIGHT(OILTrade!$Q$56,2))</f>
        <v>EXPKER13</v>
      </c>
      <c r="D1291" s="365" t="str">
        <f>CONCATENATE("Export Pipeline Trade of ",Commodities!C54, " from ",$B1291," to R",RIGHT(C1291))</f>
        <v>Export Pipeline Trade of KER from *R1 to R3</v>
      </c>
      <c r="E1291" s="381" t="s">
        <v>384</v>
      </c>
      <c r="F1291" s="381" t="s">
        <v>505</v>
      </c>
    </row>
    <row r="1292" spans="2:7">
      <c r="B1292" s="365" t="str">
        <f>IF(LEFT(Commodities!B$78,1)="*","*R1","R1")</f>
        <v>*R1</v>
      </c>
      <c r="C1292" s="365" t="str">
        <f>CONCATENATE("EXP",Commodities!C55,RIGHT(OILTrade!$Q$56,2))</f>
        <v>EXPLPG13</v>
      </c>
      <c r="D1292" s="365" t="str">
        <f>CONCATENATE("Export Pipeline Trade of ",Commodities!C55, " from ",$B1292," to R",RIGHT(C1292))</f>
        <v>Export Pipeline Trade of LPG from *R1 to R3</v>
      </c>
      <c r="E1292" s="381" t="s">
        <v>384</v>
      </c>
      <c r="F1292" s="381" t="s">
        <v>505</v>
      </c>
    </row>
    <row r="1293" spans="2:7">
      <c r="B1293" s="365" t="str">
        <f>IF(LEFT(Commodities!B$79,1)="*","*R1","R1")</f>
        <v>*R1</v>
      </c>
      <c r="C1293" s="365" t="str">
        <f>CONCATENATE("EXP",Commodities!C56,RIGHT(OILTrade!$Q$56,2))</f>
        <v>EXPMTH13</v>
      </c>
      <c r="D1293" s="365" t="str">
        <f>CONCATENATE("Export Pipeline Trade of ",Commodities!C56, " from ",$B1293," to R",RIGHT(C1293))</f>
        <v>Export Pipeline Trade of MTH from *R1 to R3</v>
      </c>
      <c r="E1293" s="381" t="s">
        <v>384</v>
      </c>
      <c r="F1293" s="381" t="s">
        <v>505</v>
      </c>
    </row>
    <row r="1294" spans="2:7">
      <c r="B1294" s="365" t="str">
        <f>IF(LEFT(Commodities!B$80,1)="*","*R1","R1")</f>
        <v>*R1</v>
      </c>
      <c r="C1294" s="365" t="str">
        <f>CONCATENATE("EXP",Commodities!C57,RIGHT(OILTrade!$Q$56,2))</f>
        <v>EXPPFS13</v>
      </c>
      <c r="D1294" s="365" t="str">
        <f>CONCATENATE("Export Pipeline Trade of ",Commodities!C57, " from ",$B1294," to R",RIGHT(C1294))</f>
        <v>Export Pipeline Trade of PFS from *R1 to R3</v>
      </c>
      <c r="E1294" s="381" t="s">
        <v>384</v>
      </c>
      <c r="F1294" s="381" t="s">
        <v>505</v>
      </c>
    </row>
    <row r="1295" spans="2:7">
      <c r="B1295" s="365" t="str">
        <f>IF(LEFT(Commodities!B$81,1)="*","*R1","R1")</f>
        <v>*R1</v>
      </c>
      <c r="C1295" s="365" t="str">
        <f>CONCATENATE("EXP",Commodities!C58,RIGHT(OILTrade!$Q$56,2))</f>
        <v>EXPRFH13</v>
      </c>
      <c r="D1295" s="365" t="str">
        <f>CONCATENATE("Export Pipeline Trade of ",Commodities!C58, " from ",$B1295," to R",RIGHT(C1295))</f>
        <v>Export Pipeline Trade of RFH from *R1 to R3</v>
      </c>
      <c r="E1295" s="381" t="s">
        <v>384</v>
      </c>
      <c r="F1295" s="381" t="s">
        <v>505</v>
      </c>
    </row>
    <row r="1296" spans="2:7">
      <c r="B1296" s="365" t="str">
        <f>IF(LEFT(Commodities!B$82,1)="*","*R1","R1")</f>
        <v>R1</v>
      </c>
      <c r="C1296" s="365" t="str">
        <f>CONCATENATE("EXP",Commodities!C59,RIGHT(OILTrade!$Q$56,2))</f>
        <v>EXPRFL13</v>
      </c>
      <c r="D1296" s="365" t="str">
        <f>CONCATENATE("Export Pipeline Trade of ",Commodities!C59, " from ",$B1296," to R",RIGHT(C1296))</f>
        <v>Export Pipeline Trade of RFL from R1 to R3</v>
      </c>
      <c r="E1296" s="381" t="s">
        <v>384</v>
      </c>
      <c r="F1296" s="381" t="s">
        <v>505</v>
      </c>
    </row>
    <row r="1297" spans="2:6">
      <c r="B1297" s="365" t="str">
        <f>IF(LEFT(Commodities!B$83,1)="*","*R1","R1")</f>
        <v>*R1</v>
      </c>
      <c r="C1297" s="365" t="str">
        <f>CONCATENATE("EXP",Commodities!C60,RIGHT(OILTrade!$Q$56,2))</f>
        <v>EXPASP13</v>
      </c>
      <c r="D1297" s="365" t="str">
        <f>CONCATENATE("Export Pipeline Trade of ",Commodities!C60, " from ",$B1297," to R",RIGHT(C1297))</f>
        <v>Export Pipeline Trade of ASP from *R1 to R3</v>
      </c>
      <c r="E1297" s="381" t="s">
        <v>384</v>
      </c>
      <c r="F1297" s="381" t="s">
        <v>505</v>
      </c>
    </row>
    <row r="1298" spans="2:6">
      <c r="B1298" s="365" t="str">
        <f>IF(LEFT(Commodities!B117,1)="*","*R3","R3")</f>
        <v>*R3</v>
      </c>
      <c r="C1298" s="365" t="str">
        <f>CONCATENATE("EXP",Commodities!C48,RIGHT(OILTrade!$T$58,2))</f>
        <v>EXPGSC36</v>
      </c>
      <c r="D1298" s="365" t="str">
        <f>CONCATENATE("Export Pipeline Trade of ",Commodities!C48, " from ",$B$1298," to R",RIGHT(C1298))</f>
        <v>Export Pipeline Trade of GSC from *R3 to R6</v>
      </c>
      <c r="E1298" s="381" t="s">
        <v>384</v>
      </c>
      <c r="F1298" s="381" t="s">
        <v>505</v>
      </c>
    </row>
    <row r="1299" spans="2:6">
      <c r="B1299" s="365" t="str">
        <f>IF(LEFT(Commodities!B118,1)="*","*R3","R3")</f>
        <v>*R3</v>
      </c>
      <c r="C1299" s="365" t="str">
        <f>CONCATENATE("EXP",Commodities!C49,RIGHT(OILTrade!$T$58,2))</f>
        <v>EXPGSR36</v>
      </c>
      <c r="D1299" s="365" t="str">
        <f>CONCATENATE("Export Pipeline Trade of ",Commodities!C49, " from ",$B$1299," to R",RIGHT(C1299))</f>
        <v>Export Pipeline Trade of GSR from *R3 to R6</v>
      </c>
      <c r="E1299" s="381" t="s">
        <v>384</v>
      </c>
      <c r="F1299" s="381" t="s">
        <v>505</v>
      </c>
    </row>
    <row r="1300" spans="2:6">
      <c r="B1300" s="365" t="str">
        <f>IF(LEFT(Commodities!B119,1)="*","*R3","R3")</f>
        <v>*R3</v>
      </c>
      <c r="C1300" s="365" t="str">
        <f>CONCATENATE("EXP",Commodities!C50,RIGHT(OILTrade!$T$58,2))</f>
        <v>EXPDSH36</v>
      </c>
      <c r="D1300" s="365" t="str">
        <f>CONCATENATE("Export Pipeline Trade of ",Commodities!C50, " from ",$B$1300," to R",RIGHT(C1300))</f>
        <v>Export Pipeline Trade of DSH from *R3 to R6</v>
      </c>
      <c r="E1300" s="381" t="s">
        <v>384</v>
      </c>
      <c r="F1300" s="381" t="s">
        <v>505</v>
      </c>
    </row>
    <row r="1301" spans="2:6">
      <c r="B1301" s="365" t="str">
        <f>IF(LEFT(Commodities!B120,1)="*","*R3","R3")</f>
        <v>*R3</v>
      </c>
      <c r="C1301" s="365" t="str">
        <f>CONCATENATE("EXP",Commodities!C51,RIGHT(OILTrade!$T$58,2))</f>
        <v>EXPDSL36</v>
      </c>
      <c r="D1301" s="365" t="str">
        <f>CONCATENATE("Export Pipeline Trade of ",Commodities!C51, " from ",$B$1298," to R",RIGHT(C1301))</f>
        <v>Export Pipeline Trade of DSL from *R3 to R6</v>
      </c>
      <c r="E1301" s="381" t="s">
        <v>384</v>
      </c>
      <c r="F1301" s="381" t="s">
        <v>505</v>
      </c>
    </row>
    <row r="1302" spans="2:6">
      <c r="B1302" s="365" t="str">
        <f>IF(LEFT(Commodities!B121,1)="*","*R3","R3")</f>
        <v>*R3</v>
      </c>
      <c r="C1302" s="365" t="str">
        <f>CONCATENATE("EXP",Commodities!C52,RIGHT(OILTrade!$T$58,2))</f>
        <v>EXPDSU36</v>
      </c>
      <c r="D1302" s="365" t="str">
        <f>CONCATENATE("Export Pipeline Trade of ",Commodities!C52, " from ",$B$1298," to R",RIGHT(C1302))</f>
        <v>Export Pipeline Trade of DSU from *R3 to R6</v>
      </c>
      <c r="E1302" s="381" t="s">
        <v>384</v>
      </c>
      <c r="F1302" s="381" t="s">
        <v>505</v>
      </c>
    </row>
    <row r="1303" spans="2:6">
      <c r="B1303" s="365" t="str">
        <f>IF(LEFT(Commodities!B122,1)="*","*R3","R3")</f>
        <v>*R3</v>
      </c>
      <c r="C1303" s="365" t="str">
        <f>CONCATENATE("EXP",Commodities!C53,RIGHT(OILTrade!$T$58,2))</f>
        <v>EXPJTF36</v>
      </c>
      <c r="D1303" s="365" t="str">
        <f>CONCATENATE("Export Pipeline Trade of ",Commodities!C53, " from ",$B$1298," to R",RIGHT(C1303))</f>
        <v>Export Pipeline Trade of JTF from *R3 to R6</v>
      </c>
      <c r="E1303" s="381" t="s">
        <v>384</v>
      </c>
      <c r="F1303" s="381" t="s">
        <v>505</v>
      </c>
    </row>
    <row r="1304" spans="2:6">
      <c r="B1304" s="365" t="str">
        <f>IF(LEFT(Commodities!B123,1)="*","*R3","R3")</f>
        <v>*R3</v>
      </c>
      <c r="C1304" s="365" t="str">
        <f>CONCATENATE("EXP",Commodities!C54,RIGHT(OILTrade!$T$58,2))</f>
        <v>EXPKER36</v>
      </c>
      <c r="D1304" s="365" t="str">
        <f>CONCATENATE("Export Pipeline Trade of ",Commodities!C54, " from ",$B$1298," to R",RIGHT(C1304))</f>
        <v>Export Pipeline Trade of KER from *R3 to R6</v>
      </c>
      <c r="E1304" s="381" t="s">
        <v>384</v>
      </c>
      <c r="F1304" s="381" t="s">
        <v>505</v>
      </c>
    </row>
    <row r="1305" spans="2:6">
      <c r="B1305" s="365" t="str">
        <f>IF(LEFT(Commodities!B124,1)="*","*R3","R3")</f>
        <v>*R3</v>
      </c>
      <c r="C1305" s="365" t="str">
        <f>CONCATENATE("EXP",Commodities!C55,RIGHT(OILTrade!$T$58,2))</f>
        <v>EXPLPG36</v>
      </c>
      <c r="D1305" s="365" t="str">
        <f>CONCATENATE("Export Pipeline Trade of ",Commodities!C55, " from ",$B$1298," to R",RIGHT(C1305))</f>
        <v>Export Pipeline Trade of LPG from *R3 to R6</v>
      </c>
      <c r="E1305" s="381" t="s">
        <v>384</v>
      </c>
      <c r="F1305" s="381" t="s">
        <v>505</v>
      </c>
    </row>
    <row r="1306" spans="2:6">
      <c r="B1306" s="365" t="str">
        <f>IF(LEFT(Commodities!B125,1)="*","*R3","R3")</f>
        <v>*R3</v>
      </c>
      <c r="C1306" s="365" t="str">
        <f>CONCATENATE("EXP",Commodities!C56,RIGHT(OILTrade!$T$58,2))</f>
        <v>EXPMTH36</v>
      </c>
      <c r="D1306" s="365" t="str">
        <f>CONCATENATE("Export Pipeline Trade of ",Commodities!C56, " from ",$B$1298," to R",RIGHT(C1306))</f>
        <v>Export Pipeline Trade of MTH from *R3 to R6</v>
      </c>
      <c r="E1306" s="381" t="s">
        <v>384</v>
      </c>
      <c r="F1306" s="381" t="s">
        <v>505</v>
      </c>
    </row>
    <row r="1307" spans="2:6">
      <c r="B1307" s="365" t="str">
        <f>IF(LEFT(Commodities!B126,1)="*","*R3","R3")</f>
        <v>*R3</v>
      </c>
      <c r="C1307" s="365" t="str">
        <f>CONCATENATE("EXP",Commodities!C57,RIGHT(OILTrade!$T$58,2))</f>
        <v>EXPPFS36</v>
      </c>
      <c r="D1307" s="365" t="str">
        <f>CONCATENATE("Export Pipeline Trade of ",Commodities!C57, " from ",$B$1298," to R",RIGHT(C1307))</f>
        <v>Export Pipeline Trade of PFS from *R3 to R6</v>
      </c>
      <c r="E1307" s="381" t="s">
        <v>384</v>
      </c>
      <c r="F1307" s="381" t="s">
        <v>505</v>
      </c>
    </row>
    <row r="1308" spans="2:6">
      <c r="B1308" s="365" t="str">
        <f>IF(LEFT(Commodities!B127,1)="*","*R3","R3")</f>
        <v>*R3</v>
      </c>
      <c r="C1308" s="365" t="str">
        <f>CONCATENATE("EXP",Commodities!C58,RIGHT(OILTrade!$T$58,2))</f>
        <v>EXPRFH36</v>
      </c>
      <c r="D1308" s="365" t="str">
        <f>CONCATENATE("Export Pipeline Trade of ",Commodities!C58, " from ",$B$1298," to R",RIGHT(C1308))</f>
        <v>Export Pipeline Trade of RFH from *R3 to R6</v>
      </c>
      <c r="E1308" s="381" t="s">
        <v>384</v>
      </c>
      <c r="F1308" s="381" t="s">
        <v>505</v>
      </c>
    </row>
    <row r="1309" spans="2:6">
      <c r="B1309" s="365" t="str">
        <f>IF(LEFT(Commodities!B128,1)="*","*R3","R3")</f>
        <v>*R3</v>
      </c>
      <c r="C1309" s="365" t="str">
        <f>CONCATENATE("EXP",Commodities!C59,RIGHT(OILTrade!$T$58,2))</f>
        <v>EXPRFL36</v>
      </c>
      <c r="D1309" s="365" t="str">
        <f>CONCATENATE("Export Pipeline Trade of ",Commodities!C59, " from ",$B$1309," to R",RIGHT(C1309))</f>
        <v>Export Pipeline Trade of RFL from *R3 to R6</v>
      </c>
      <c r="E1309" s="381" t="s">
        <v>384</v>
      </c>
      <c r="F1309" s="381" t="s">
        <v>505</v>
      </c>
    </row>
    <row r="1310" spans="2:6">
      <c r="B1310" s="365" t="str">
        <f>IF(LEFT(Commodities!B129,1)="*","*R3","R3")</f>
        <v>*R3</v>
      </c>
      <c r="C1310" s="365" t="str">
        <f>CONCATENATE("EXP",Commodities!C60,RIGHT(OILTrade!$T$58,2))</f>
        <v>EXPASP36</v>
      </c>
      <c r="D1310" s="365" t="str">
        <f>CONCATENATE("Export Pipeline Trade of ",Commodities!C60, " from ",$B$1298," to R",RIGHT(C1310))</f>
        <v>Export Pipeline Trade of ASP from *R3 to R6</v>
      </c>
      <c r="E1310" s="381" t="s">
        <v>384</v>
      </c>
      <c r="F1310" s="381" t="s">
        <v>505</v>
      </c>
    </row>
    <row r="1311" spans="2:6">
      <c r="B1311" s="365" t="s">
        <v>1086</v>
      </c>
      <c r="C1311" s="365" t="str">
        <f>CONCATENATE("EXP",Commodities!C48,RIGHT(OILTrade!$U$58,2))</f>
        <v>EXPGSC</v>
      </c>
      <c r="D1311" s="365" t="str">
        <f>CONCATENATE("Export Pipeline Trade of ",Commodities!C48, " from ",$B$1311," to R",RIGHT(C1311))</f>
        <v>Export Pipeline Trade of GSC from *R3 to RC</v>
      </c>
      <c r="E1311" s="381" t="s">
        <v>384</v>
      </c>
      <c r="F1311" s="381" t="s">
        <v>505</v>
      </c>
    </row>
    <row r="1312" spans="2:6">
      <c r="B1312" s="365" t="s">
        <v>1086</v>
      </c>
      <c r="C1312" s="365" t="str">
        <f>CONCATENATE("EXP",Commodities!C49,RIGHT(OILTrade!$U$58,2))</f>
        <v>EXPGSR</v>
      </c>
      <c r="D1312" s="365" t="str">
        <f>CONCATENATE("Export Pipeline Trade of ",Commodities!C49, " from ",$B$1311," to R",RIGHT(C1312))</f>
        <v>Export Pipeline Trade of GSR from *R3 to RR</v>
      </c>
      <c r="E1312" s="381" t="s">
        <v>384</v>
      </c>
      <c r="F1312" s="381" t="s">
        <v>505</v>
      </c>
    </row>
    <row r="1313" spans="2:6">
      <c r="B1313" s="365" t="s">
        <v>1086</v>
      </c>
      <c r="C1313" s="365" t="str">
        <f>CONCATENATE("EXP",Commodities!C50,RIGHT(OILTrade!$U$58,2))</f>
        <v>EXPDSH</v>
      </c>
      <c r="D1313" s="365" t="str">
        <f>CONCATENATE("Export Pipeline Trade of ",Commodities!C50, " from ",$B$1311," to R",RIGHT(C1313))</f>
        <v>Export Pipeline Trade of DSH from *R3 to RH</v>
      </c>
      <c r="E1313" s="381" t="s">
        <v>384</v>
      </c>
      <c r="F1313" s="381" t="s">
        <v>505</v>
      </c>
    </row>
    <row r="1314" spans="2:6">
      <c r="B1314" s="365" t="s">
        <v>1086</v>
      </c>
      <c r="C1314" s="365" t="str">
        <f>CONCATENATE("EXP",Commodities!C51,RIGHT(OILTrade!$U$58,2))</f>
        <v>EXPDSL</v>
      </c>
      <c r="D1314" s="365" t="str">
        <f>CONCATENATE("Export Pipeline Trade of ",Commodities!C51, " from ",$B$1311," to R",RIGHT(C1314))</f>
        <v>Export Pipeline Trade of DSL from *R3 to RL</v>
      </c>
      <c r="E1314" s="381" t="s">
        <v>384</v>
      </c>
      <c r="F1314" s="381" t="s">
        <v>505</v>
      </c>
    </row>
    <row r="1315" spans="2:6">
      <c r="B1315" s="365" t="s">
        <v>1086</v>
      </c>
      <c r="C1315" s="365" t="str">
        <f>CONCATENATE("EXP",Commodities!C52,RIGHT(OILTrade!$U$58,2))</f>
        <v>EXPDSU</v>
      </c>
      <c r="D1315" s="365" t="str">
        <f>CONCATENATE("Export Pipeline Trade of ",Commodities!C52, " from ",$B$1311," to R",RIGHT(C1315))</f>
        <v>Export Pipeline Trade of DSU from *R3 to RU</v>
      </c>
      <c r="E1315" s="381" t="s">
        <v>384</v>
      </c>
      <c r="F1315" s="381" t="s">
        <v>505</v>
      </c>
    </row>
    <row r="1316" spans="2:6">
      <c r="B1316" s="365" t="s">
        <v>1086</v>
      </c>
      <c r="C1316" s="365" t="str">
        <f>CONCATENATE("EXP",Commodities!C53,RIGHT(OILTrade!$U$58,2))</f>
        <v>EXPJTF</v>
      </c>
      <c r="D1316" s="365" t="str">
        <f>CONCATENATE("Export Pipeline Trade of ",Commodities!C53, " from ",$B$1311," to R",RIGHT(C1316))</f>
        <v>Export Pipeline Trade of JTF from *R3 to RF</v>
      </c>
      <c r="E1316" s="381" t="s">
        <v>384</v>
      </c>
      <c r="F1316" s="381" t="s">
        <v>505</v>
      </c>
    </row>
    <row r="1317" spans="2:6">
      <c r="B1317" s="365" t="s">
        <v>1086</v>
      </c>
      <c r="C1317" s="365" t="str">
        <f>CONCATENATE("EXP",Commodities!C54,RIGHT(OILTrade!$U$58,2))</f>
        <v>EXPKER</v>
      </c>
      <c r="D1317" s="365" t="str">
        <f>CONCATENATE("Export Pipeline Trade of ",Commodities!C54, " from ",$B$1311," to R",RIGHT(C1317))</f>
        <v>Export Pipeline Trade of KER from *R3 to RR</v>
      </c>
      <c r="E1317" s="381" t="s">
        <v>384</v>
      </c>
      <c r="F1317" s="381" t="s">
        <v>505</v>
      </c>
    </row>
    <row r="1318" spans="2:6">
      <c r="B1318" s="365" t="s">
        <v>1086</v>
      </c>
      <c r="C1318" s="365" t="str">
        <f>CONCATENATE("EXP",Commodities!C55,RIGHT(OILTrade!$U$58,2))</f>
        <v>EXPLPG</v>
      </c>
      <c r="D1318" s="365" t="str">
        <f>CONCATENATE("Export Pipeline Trade of ",Commodities!C55, " from ",$B$1311," to R",RIGHT(C1318))</f>
        <v>Export Pipeline Trade of LPG from *R3 to RG</v>
      </c>
      <c r="E1318" s="381" t="s">
        <v>384</v>
      </c>
      <c r="F1318" s="381" t="s">
        <v>505</v>
      </c>
    </row>
    <row r="1319" spans="2:6">
      <c r="B1319" s="365" t="s">
        <v>1086</v>
      </c>
      <c r="C1319" s="365" t="str">
        <f>CONCATENATE("EXP",Commodities!C56,RIGHT(OILTrade!$U$58,2))</f>
        <v>EXPMTH</v>
      </c>
      <c r="D1319" s="365" t="str">
        <f>CONCATENATE("Export Pipeline Trade of ",Commodities!C56, " from ",$B$1311," to R",RIGHT(C1319))</f>
        <v>Export Pipeline Trade of MTH from *R3 to RH</v>
      </c>
      <c r="E1319" s="381" t="s">
        <v>384</v>
      </c>
      <c r="F1319" s="381" t="s">
        <v>505</v>
      </c>
    </row>
    <row r="1320" spans="2:6">
      <c r="B1320" s="365" t="s">
        <v>1086</v>
      </c>
      <c r="C1320" s="365" t="str">
        <f>CONCATENATE("EXP",Commodities!C57,RIGHT(OILTrade!$U$58,2))</f>
        <v>EXPPFS</v>
      </c>
      <c r="D1320" s="365" t="str">
        <f>CONCATENATE("Export Pipeline Trade of ",Commodities!C57, " from ",$B$1311," to R",RIGHT(C1320))</f>
        <v>Export Pipeline Trade of PFS from *R3 to RS</v>
      </c>
      <c r="E1320" s="381" t="s">
        <v>384</v>
      </c>
      <c r="F1320" s="381" t="s">
        <v>505</v>
      </c>
    </row>
    <row r="1321" spans="2:6">
      <c r="B1321" s="365" t="s">
        <v>1086</v>
      </c>
      <c r="C1321" s="365" t="str">
        <f>CONCATENATE("EXP",Commodities!C58,RIGHT(OILTrade!$U$58,2))</f>
        <v>EXPRFH</v>
      </c>
      <c r="D1321" s="365" t="str">
        <f>CONCATENATE("Export Pipeline Trade of ",Commodities!C58, " from ",$B$1311," to R",RIGHT(C1321))</f>
        <v>Export Pipeline Trade of RFH from *R3 to RH</v>
      </c>
      <c r="E1321" s="381" t="s">
        <v>384</v>
      </c>
      <c r="F1321" s="381" t="s">
        <v>505</v>
      </c>
    </row>
    <row r="1322" spans="2:6">
      <c r="B1322" s="365" t="s">
        <v>1086</v>
      </c>
      <c r="C1322" s="365" t="str">
        <f>CONCATENATE("EXP",Commodities!C59,RIGHT(OILTrade!$U$58,2))</f>
        <v>EXPRFL</v>
      </c>
      <c r="D1322" s="365" t="str">
        <f>CONCATENATE("Export Pipeline Trade of ",Commodities!C59, " from ",$B$1311," to R",RIGHT(C1322))</f>
        <v>Export Pipeline Trade of RFL from *R3 to RL</v>
      </c>
      <c r="E1322" s="381" t="s">
        <v>384</v>
      </c>
      <c r="F1322" s="381" t="s">
        <v>505</v>
      </c>
    </row>
    <row r="1323" spans="2:6">
      <c r="B1323" s="365" t="s">
        <v>1086</v>
      </c>
      <c r="C1323" s="365" t="str">
        <f>CONCATENATE("EXP",Commodities!C60,RIGHT(OILTrade!$U$58,2))</f>
        <v>EXPASP</v>
      </c>
      <c r="D1323" s="365" t="str">
        <f>CONCATENATE("Export Pipeline Trade of ",Commodities!C60, " from ",$B$1311," to R",RIGHT(C1323))</f>
        <v>Export Pipeline Trade of ASP from *R3 to RP</v>
      </c>
      <c r="E1323" s="381" t="s">
        <v>384</v>
      </c>
      <c r="F1323" s="381" t="s">
        <v>505</v>
      </c>
    </row>
    <row r="1324" spans="2:6">
      <c r="B1324" s="365" t="s">
        <v>1086</v>
      </c>
      <c r="C1324" s="365" t="str">
        <f>CONCATENATE("EXP",Commodities!C48,RIGHT(OILTrade!$V$58,2))</f>
        <v>EXPGSC</v>
      </c>
      <c r="D1324" s="365" t="str">
        <f>CONCATENATE("Export Pipeline Trade of ",Commodities!C48, " from ",$B$1324," to R",RIGHT(C1324))</f>
        <v>Export Pipeline Trade of GSC from *R3 to RC</v>
      </c>
      <c r="E1324" s="381" t="s">
        <v>384</v>
      </c>
      <c r="F1324" s="381" t="s">
        <v>505</v>
      </c>
    </row>
    <row r="1325" spans="2:6">
      <c r="B1325" s="365" t="s">
        <v>1086</v>
      </c>
      <c r="C1325" s="365" t="str">
        <f>CONCATENATE("EXP",Commodities!C49,RIGHT(OILTrade!$V$58,2))</f>
        <v>EXPGSR</v>
      </c>
      <c r="D1325" s="365" t="str">
        <f>CONCATENATE("Export Pipeline Trade of ",Commodities!C49, " from ",$B$1324," to R",RIGHT(C1325))</f>
        <v>Export Pipeline Trade of GSR from *R3 to RR</v>
      </c>
      <c r="E1325" s="381" t="s">
        <v>384</v>
      </c>
      <c r="F1325" s="381" t="s">
        <v>505</v>
      </c>
    </row>
    <row r="1326" spans="2:6">
      <c r="B1326" s="365" t="s">
        <v>1086</v>
      </c>
      <c r="C1326" s="365" t="str">
        <f>CONCATENATE("EXP",Commodities!C50,RIGHT(OILTrade!$V$58,2))</f>
        <v>EXPDSH</v>
      </c>
      <c r="D1326" s="365" t="str">
        <f>CONCATENATE("Export Pipeline Trade of ",Commodities!C50, " from ",$B$1324," to R",RIGHT(C1326))</f>
        <v>Export Pipeline Trade of DSH from *R3 to RH</v>
      </c>
      <c r="E1326" s="381" t="s">
        <v>384</v>
      </c>
      <c r="F1326" s="381" t="s">
        <v>505</v>
      </c>
    </row>
    <row r="1327" spans="2:6">
      <c r="B1327" s="365" t="s">
        <v>1086</v>
      </c>
      <c r="C1327" s="365" t="str">
        <f>CONCATENATE("EXP",Commodities!C51,RIGHT(OILTrade!$V$58,2))</f>
        <v>EXPDSL</v>
      </c>
      <c r="D1327" s="365" t="str">
        <f>CONCATENATE("Export Pipeline Trade of ",Commodities!C51, " from ",$B$1324," to R",RIGHT(C1327))</f>
        <v>Export Pipeline Trade of DSL from *R3 to RL</v>
      </c>
      <c r="E1327" s="381" t="s">
        <v>384</v>
      </c>
      <c r="F1327" s="381" t="s">
        <v>505</v>
      </c>
    </row>
    <row r="1328" spans="2:6">
      <c r="B1328" s="365" t="s">
        <v>1086</v>
      </c>
      <c r="C1328" s="365" t="str">
        <f>CONCATENATE("EXP",Commodities!C52,RIGHT(OILTrade!$V$58,2))</f>
        <v>EXPDSU</v>
      </c>
      <c r="D1328" s="365" t="str">
        <f>CONCATENATE("Export Pipeline Trade of ",Commodities!C52, " from ",$B$1324," to R",RIGHT(C1328))</f>
        <v>Export Pipeline Trade of DSU from *R3 to RU</v>
      </c>
      <c r="E1328" s="381" t="s">
        <v>384</v>
      </c>
      <c r="F1328" s="381" t="s">
        <v>505</v>
      </c>
    </row>
    <row r="1329" spans="2:6">
      <c r="B1329" s="365" t="s">
        <v>1086</v>
      </c>
      <c r="C1329" s="365" t="str">
        <f>CONCATENATE("EXP",Commodities!C53,RIGHT(OILTrade!$V$58,2))</f>
        <v>EXPJTF</v>
      </c>
      <c r="D1329" s="365" t="str">
        <f>CONCATENATE("Export Pipeline Trade of ",Commodities!C53, " from ",$B$1324," to R",RIGHT(C1329))</f>
        <v>Export Pipeline Trade of JTF from *R3 to RF</v>
      </c>
      <c r="E1329" s="381" t="s">
        <v>384</v>
      </c>
      <c r="F1329" s="381" t="s">
        <v>505</v>
      </c>
    </row>
    <row r="1330" spans="2:6">
      <c r="B1330" s="365" t="s">
        <v>1086</v>
      </c>
      <c r="C1330" s="365" t="str">
        <f>CONCATENATE("EXP",Commodities!C54,RIGHT(OILTrade!$V$58,2))</f>
        <v>EXPKER</v>
      </c>
      <c r="D1330" s="365" t="str">
        <f>CONCATENATE("Export Pipeline Trade of ",Commodities!C54, " from ",$B$1324," to R",RIGHT(C1330))</f>
        <v>Export Pipeline Trade of KER from *R3 to RR</v>
      </c>
      <c r="E1330" s="381" t="s">
        <v>384</v>
      </c>
      <c r="F1330" s="381" t="s">
        <v>505</v>
      </c>
    </row>
    <row r="1331" spans="2:6">
      <c r="B1331" s="365" t="s">
        <v>1086</v>
      </c>
      <c r="C1331" s="365" t="str">
        <f>CONCATENATE("EXP",Commodities!C55,RIGHT(OILTrade!$V$58,2))</f>
        <v>EXPLPG</v>
      </c>
      <c r="D1331" s="365" t="str">
        <f>CONCATENATE("Export Pipeline Trade of ",Commodities!C55, " from ",$B$1324," to R",RIGHT(C1331))</f>
        <v>Export Pipeline Trade of LPG from *R3 to RG</v>
      </c>
      <c r="E1331" s="381" t="s">
        <v>384</v>
      </c>
      <c r="F1331" s="381" t="s">
        <v>505</v>
      </c>
    </row>
    <row r="1332" spans="2:6">
      <c r="B1332" s="365" t="s">
        <v>1086</v>
      </c>
      <c r="C1332" s="365" t="str">
        <f>CONCATENATE("EXP",Commodities!C56,RIGHT(OILTrade!$V$58,2))</f>
        <v>EXPMTH</v>
      </c>
      <c r="D1332" s="365" t="str">
        <f>CONCATENATE("Export Pipeline Trade of ",Commodities!C56, " from ",$B$1324," to R",RIGHT(C1332))</f>
        <v>Export Pipeline Trade of MTH from *R3 to RH</v>
      </c>
      <c r="E1332" s="381" t="s">
        <v>384</v>
      </c>
      <c r="F1332" s="381" t="s">
        <v>505</v>
      </c>
    </row>
    <row r="1333" spans="2:6">
      <c r="B1333" s="365" t="s">
        <v>1086</v>
      </c>
      <c r="C1333" s="365" t="str">
        <f>CONCATENATE("EXP",Commodities!C57,RIGHT(OILTrade!$V$58,2))</f>
        <v>EXPPFS</v>
      </c>
      <c r="D1333" s="365" t="str">
        <f>CONCATENATE("Export Pipeline Trade of ",Commodities!C57, " from ",$B$1324," to R",RIGHT(C1333))</f>
        <v>Export Pipeline Trade of PFS from *R3 to RS</v>
      </c>
      <c r="E1333" s="381" t="s">
        <v>384</v>
      </c>
      <c r="F1333" s="381" t="s">
        <v>505</v>
      </c>
    </row>
    <row r="1334" spans="2:6">
      <c r="B1334" s="365" t="s">
        <v>1086</v>
      </c>
      <c r="C1334" s="365" t="str">
        <f>CONCATENATE("EXP",Commodities!C58,RIGHT(OILTrade!$V$58,2))</f>
        <v>EXPRFH</v>
      </c>
      <c r="D1334" s="365" t="str">
        <f>CONCATENATE("Export Pipeline Trade of ",Commodities!C58, " from ",$B$1324," to R",RIGHT(C1334))</f>
        <v>Export Pipeline Trade of RFH from *R3 to RH</v>
      </c>
      <c r="E1334" s="381" t="s">
        <v>384</v>
      </c>
      <c r="F1334" s="381" t="s">
        <v>505</v>
      </c>
    </row>
    <row r="1335" spans="2:6">
      <c r="B1335" s="365" t="s">
        <v>1086</v>
      </c>
      <c r="C1335" s="365" t="str">
        <f>CONCATENATE("EXP",Commodities!C59,RIGHT(OILTrade!$V$58,2))</f>
        <v>EXPRFL</v>
      </c>
      <c r="D1335" s="365" t="str">
        <f>CONCATENATE("Export Pipeline Trade of ",Commodities!C59, " from ",$B$1324," to R",RIGHT(C1335))</f>
        <v>Export Pipeline Trade of RFL from *R3 to RL</v>
      </c>
      <c r="E1335" s="381" t="s">
        <v>384</v>
      </c>
      <c r="F1335" s="381" t="s">
        <v>505</v>
      </c>
    </row>
    <row r="1336" spans="2:6">
      <c r="B1336" s="365" t="s">
        <v>1086</v>
      </c>
      <c r="C1336" s="365" t="str">
        <f>CONCATENATE("EXP",Commodities!C60,RIGHT(OILTrade!$V$58,2))</f>
        <v>EXPASP</v>
      </c>
      <c r="D1336" s="365" t="str">
        <f>CONCATENATE("Export Pipeline Trade of ",Commodities!C60, " from ",$B$1324," to R",RIGHT(C1336))</f>
        <v>Export Pipeline Trade of ASP from *R3 to RP</v>
      </c>
      <c r="E1336" s="381" t="s">
        <v>384</v>
      </c>
      <c r="F1336" s="381" t="s">
        <v>505</v>
      </c>
    </row>
    <row r="1337" spans="2:6">
      <c r="B1337" s="365" t="str">
        <f>IF(LEFT(Commodities!B130,1)="*","*R4","R4")</f>
        <v>*R4</v>
      </c>
      <c r="C1337" s="365" t="str">
        <f>CONCATENATE("EXP",Commodities!C48,RIGHT(OILTrade!$P$59,2))</f>
        <v>EXPGSC42</v>
      </c>
      <c r="D1337" s="365" t="str">
        <f>CONCATENATE("Export Pipeline Trade of ",Commodities!C48, " from ",$B$1337," to R",RIGHT(C1337))</f>
        <v>Export Pipeline Trade of GSC from *R4 to R2</v>
      </c>
      <c r="E1337" s="381" t="s">
        <v>384</v>
      </c>
      <c r="F1337" s="381" t="s">
        <v>505</v>
      </c>
    </row>
    <row r="1338" spans="2:6">
      <c r="B1338" s="365" t="str">
        <f>IF(LEFT(Commodities!B131,1)="*","*R4","R4")</f>
        <v>*R4</v>
      </c>
      <c r="C1338" s="365" t="str">
        <f>CONCATENATE("EXP",Commodities!C49,RIGHT(OILTrade!$P$59,2))</f>
        <v>EXPGSR42</v>
      </c>
      <c r="D1338" s="365" t="str">
        <f>CONCATENATE("Export Pipeline Trade of ",Commodities!C49, " from ",$B$1338," to R",RIGHT(C1338))</f>
        <v>Export Pipeline Trade of GSR from *R4 to R2</v>
      </c>
      <c r="E1338" s="381" t="s">
        <v>384</v>
      </c>
      <c r="F1338" s="381" t="s">
        <v>505</v>
      </c>
    </row>
    <row r="1339" spans="2:6">
      <c r="B1339" s="365" t="str">
        <f>IF(LEFT(Commodities!B132,1)="*","*R4","R4")</f>
        <v>*R4</v>
      </c>
      <c r="C1339" s="365" t="str">
        <f>CONCATENATE("EXP",Commodities!C50,RIGHT(OILTrade!$P$59,2))</f>
        <v>EXPDSH42</v>
      </c>
      <c r="D1339" s="365" t="str">
        <f>CONCATENATE("Export Pipeline Trade of ",Commodities!C50, " from ",$B$1339," to R",RIGHT(C1339))</f>
        <v>Export Pipeline Trade of DSH from *R4 to R2</v>
      </c>
      <c r="E1339" s="381" t="s">
        <v>384</v>
      </c>
      <c r="F1339" s="381" t="s">
        <v>505</v>
      </c>
    </row>
    <row r="1340" spans="2:6">
      <c r="B1340" s="365" t="str">
        <f>IF(LEFT(Commodities!B133,1)="*","*R4","R4")</f>
        <v>*R4</v>
      </c>
      <c r="C1340" s="365" t="str">
        <f>CONCATENATE("EXP",Commodities!C51,RIGHT(OILTrade!$P$59,2))</f>
        <v>EXPDSL42</v>
      </c>
      <c r="D1340" s="365" t="str">
        <f>CONCATENATE("Export Pipeline Trade of ",Commodities!C51, " from ",$B$1340," to R",RIGHT(C1340))</f>
        <v>Export Pipeline Trade of DSL from *R4 to R2</v>
      </c>
      <c r="E1340" s="381" t="s">
        <v>384</v>
      </c>
      <c r="F1340" s="381" t="s">
        <v>505</v>
      </c>
    </row>
    <row r="1341" spans="2:6">
      <c r="B1341" s="365" t="str">
        <f>IF(LEFT(Commodities!B134,1)="*","*R4","R4")</f>
        <v>*R4</v>
      </c>
      <c r="C1341" s="365" t="str">
        <f>CONCATENATE("EXP",Commodities!C52,RIGHT(OILTrade!$P$59,2))</f>
        <v>EXPDSU42</v>
      </c>
      <c r="D1341" s="365" t="str">
        <f>CONCATENATE("Export Pipeline Trade of ",Commodities!C52, " from ",$B$1341," to R",RIGHT(C1341))</f>
        <v>Export Pipeline Trade of DSU from *R4 to R2</v>
      </c>
      <c r="E1341" s="381" t="s">
        <v>384</v>
      </c>
      <c r="F1341" s="381" t="s">
        <v>505</v>
      </c>
    </row>
    <row r="1342" spans="2:6">
      <c r="B1342" s="365" t="str">
        <f>IF(LEFT(Commodities!B135,1)="*","*R4","R4")</f>
        <v>*R4</v>
      </c>
      <c r="C1342" s="365" t="str">
        <f>CONCATENATE("EXP",Commodities!C53,RIGHT(OILTrade!$P$59,2))</f>
        <v>EXPJTF42</v>
      </c>
      <c r="D1342" s="365" t="str">
        <f>CONCATENATE("Export Pipeline Trade of ",Commodities!C53, " from ",$B$1342," to R",RIGHT(C1342))</f>
        <v>Export Pipeline Trade of JTF from *R4 to R2</v>
      </c>
      <c r="E1342" s="381" t="s">
        <v>384</v>
      </c>
      <c r="F1342" s="381" t="s">
        <v>505</v>
      </c>
    </row>
    <row r="1343" spans="2:6">
      <c r="B1343" s="365" t="str">
        <f>IF(LEFT(Commodities!B136,1)="*","*R4","R4")</f>
        <v>*R4</v>
      </c>
      <c r="C1343" s="365" t="str">
        <f>CONCATENATE("EXP",Commodities!C54,RIGHT(OILTrade!$P$59,2))</f>
        <v>EXPKER42</v>
      </c>
      <c r="D1343" s="365" t="str">
        <f>CONCATENATE("Export Pipeline Trade of ",Commodities!C54, " from ",$B$1343," to R",RIGHT(C1343))</f>
        <v>Export Pipeline Trade of KER from *R4 to R2</v>
      </c>
      <c r="E1343" s="381" t="s">
        <v>384</v>
      </c>
      <c r="F1343" s="381" t="s">
        <v>505</v>
      </c>
    </row>
    <row r="1344" spans="2:6">
      <c r="B1344" s="365" t="str">
        <f>IF(LEFT(Commodities!B137,1)="*","*R4","R4")</f>
        <v>*R4</v>
      </c>
      <c r="C1344" s="365" t="str">
        <f>CONCATENATE("EXP",Commodities!C55,RIGHT(OILTrade!$P$59,2))</f>
        <v>EXPLPG42</v>
      </c>
      <c r="D1344" s="365" t="str">
        <f>CONCATENATE("Export Pipeline Trade of ",Commodities!C55, " from ",$B$1344," to R",RIGHT(C1344))</f>
        <v>Export Pipeline Trade of LPG from *R4 to R2</v>
      </c>
      <c r="E1344" s="381" t="s">
        <v>384</v>
      </c>
      <c r="F1344" s="381" t="s">
        <v>505</v>
      </c>
    </row>
    <row r="1345" spans="2:6">
      <c r="B1345" s="365" t="str">
        <f>IF(LEFT(Commodities!B138,1)="*","*R4","R4")</f>
        <v>*R4</v>
      </c>
      <c r="C1345" s="365" t="str">
        <f>CONCATENATE("EXP",Commodities!C56,RIGHT(OILTrade!$P$59,2))</f>
        <v>EXPMTH42</v>
      </c>
      <c r="D1345" s="365" t="str">
        <f>CONCATENATE("Export Pipeline Trade of ",Commodities!C56, " from ",$B$1345," to R",RIGHT(C1345))</f>
        <v>Export Pipeline Trade of MTH from *R4 to R2</v>
      </c>
      <c r="E1345" s="381" t="s">
        <v>384</v>
      </c>
      <c r="F1345" s="381" t="s">
        <v>505</v>
      </c>
    </row>
    <row r="1346" spans="2:6">
      <c r="B1346" s="365" t="str">
        <f>IF(LEFT(Commodities!B139,1)="*","*R4","R4")</f>
        <v>*R4</v>
      </c>
      <c r="C1346" s="365" t="str">
        <f>CONCATENATE("EXP",Commodities!C57,RIGHT(OILTrade!$P$59,2))</f>
        <v>EXPPFS42</v>
      </c>
      <c r="D1346" s="365" t="str">
        <f>CONCATENATE("Export Pipeline Trade of ",Commodities!C57, " from ",$B$1346," to R",RIGHT(C1346))</f>
        <v>Export Pipeline Trade of PFS from *R4 to R2</v>
      </c>
      <c r="E1346" s="381" t="s">
        <v>384</v>
      </c>
      <c r="F1346" s="381" t="s">
        <v>505</v>
      </c>
    </row>
    <row r="1347" spans="2:6">
      <c r="B1347" s="365" t="str">
        <f>IF(LEFT(Commodities!B140,1)="*","*R4","R4")</f>
        <v>*R4</v>
      </c>
      <c r="C1347" s="365" t="str">
        <f>CONCATENATE("EXP",Commodities!C58,RIGHT(OILTrade!$P$59,2))</f>
        <v>EXPRFH42</v>
      </c>
      <c r="D1347" s="365" t="str">
        <f>CONCATENATE("Export Pipeline Trade of ",Commodities!C58, " from ",$B$1347," to R",RIGHT(C1347))</f>
        <v>Export Pipeline Trade of RFH from *R4 to R2</v>
      </c>
      <c r="E1347" s="381" t="s">
        <v>384</v>
      </c>
      <c r="F1347" s="381" t="s">
        <v>505</v>
      </c>
    </row>
    <row r="1348" spans="2:6">
      <c r="B1348" s="365" t="str">
        <f>IF(LEFT(Commodities!B141,1)="*","*R4","R4")</f>
        <v>*R4</v>
      </c>
      <c r="C1348" s="365" t="str">
        <f>CONCATENATE("EXP",Commodities!C59,RIGHT(OILTrade!$P$59,2))</f>
        <v>EXPRFL42</v>
      </c>
      <c r="D1348" s="365" t="str">
        <f>CONCATENATE("Export Pipeline Trade of ",Commodities!C59, " from ",$B$1348," to R",RIGHT(C1348))</f>
        <v>Export Pipeline Trade of RFL from *R4 to R2</v>
      </c>
      <c r="E1348" s="381" t="s">
        <v>384</v>
      </c>
      <c r="F1348" s="381" t="s">
        <v>505</v>
      </c>
    </row>
    <row r="1349" spans="2:6">
      <c r="B1349" s="365" t="str">
        <f>IF(LEFT(Commodities!B142,1)="*","*R4","R4")</f>
        <v>*R4</v>
      </c>
      <c r="C1349" s="365" t="str">
        <f>CONCATENATE("EXP",Commodities!C60,RIGHT(OILTrade!$P$59,2))</f>
        <v>EXPASP42</v>
      </c>
      <c r="D1349" s="365" t="str">
        <f>CONCATENATE("Export Pipeline Trade of ",Commodities!C60, " from ",$B$1349," to R",RIGHT(C1349))</f>
        <v>Export Pipeline Trade of ASP from *R4 to R2</v>
      </c>
      <c r="E1349" s="381" t="s">
        <v>384</v>
      </c>
      <c r="F1349" s="381" t="s">
        <v>505</v>
      </c>
    </row>
    <row r="1350" spans="2:6">
      <c r="B1350" s="365" t="str">
        <f>B1337</f>
        <v>*R4</v>
      </c>
      <c r="C1350" s="365" t="str">
        <f>CONCATENATE("EXP",Commodities!C48,RIGHT(OILTrade!$T$59,2))</f>
        <v>EXPGSC46</v>
      </c>
      <c r="D1350" s="365" t="str">
        <f>CONCATENATE("Export Pipeline Trade of ",Commodities!C48, " from ",$B$1350," to R",RIGHT(C1350))</f>
        <v>Export Pipeline Trade of GSC from *R4 to R6</v>
      </c>
      <c r="E1350" s="381" t="s">
        <v>384</v>
      </c>
      <c r="F1350" s="381" t="s">
        <v>505</v>
      </c>
    </row>
    <row r="1351" spans="2:6">
      <c r="B1351" s="365" t="str">
        <f t="shared" ref="B1351:B1362" si="10">B1338</f>
        <v>*R4</v>
      </c>
      <c r="C1351" s="365" t="str">
        <f>CONCATENATE("EXP",Commodities!C49,RIGHT(OILTrade!$T$59,2))</f>
        <v>EXPGSR46</v>
      </c>
      <c r="D1351" s="365" t="str">
        <f>CONCATENATE("Export Pipeline Trade of ",Commodities!C49, " from ",$B$1351," to R",RIGHT(C1351))</f>
        <v>Export Pipeline Trade of GSR from *R4 to R6</v>
      </c>
      <c r="E1351" s="381" t="s">
        <v>384</v>
      </c>
      <c r="F1351" s="381" t="s">
        <v>505</v>
      </c>
    </row>
    <row r="1352" spans="2:6">
      <c r="B1352" s="365" t="str">
        <f t="shared" si="10"/>
        <v>*R4</v>
      </c>
      <c r="C1352" s="365" t="str">
        <f>CONCATENATE("EXP",Commodities!C50,RIGHT(OILTrade!$T$59,2))</f>
        <v>EXPDSH46</v>
      </c>
      <c r="D1352" s="365" t="str">
        <f>CONCATENATE("Export Pipeline Trade of ",Commodities!C50, " from ",$B$1352," to R",RIGHT(C1352))</f>
        <v>Export Pipeline Trade of DSH from *R4 to R6</v>
      </c>
      <c r="E1352" s="381" t="s">
        <v>384</v>
      </c>
      <c r="F1352" s="381" t="s">
        <v>505</v>
      </c>
    </row>
    <row r="1353" spans="2:6">
      <c r="B1353" s="365" t="str">
        <f t="shared" si="10"/>
        <v>*R4</v>
      </c>
      <c r="C1353" s="365" t="str">
        <f>CONCATENATE("EXP",Commodities!C51,RIGHT(OILTrade!$T$59,2))</f>
        <v>EXPDSL46</v>
      </c>
      <c r="D1353" s="365" t="str">
        <f>CONCATENATE("Export Pipeline Trade of ",Commodities!C51, " from ",$B$1353," to R",RIGHT(C1353))</f>
        <v>Export Pipeline Trade of DSL from *R4 to R6</v>
      </c>
      <c r="E1353" s="381" t="s">
        <v>384</v>
      </c>
      <c r="F1353" s="381" t="s">
        <v>505</v>
      </c>
    </row>
    <row r="1354" spans="2:6">
      <c r="B1354" s="365" t="str">
        <f t="shared" si="10"/>
        <v>*R4</v>
      </c>
      <c r="C1354" s="365" t="str">
        <f>CONCATENATE("EXP",Commodities!C52,RIGHT(OILTrade!$T$59,2))</f>
        <v>EXPDSU46</v>
      </c>
      <c r="D1354" s="365" t="str">
        <f>CONCATENATE("Export Pipeline Trade of ",Commodities!C52, " from ",$B$1354," to R",RIGHT(C1354))</f>
        <v>Export Pipeline Trade of DSU from *R4 to R6</v>
      </c>
      <c r="E1354" s="381" t="s">
        <v>384</v>
      </c>
      <c r="F1354" s="381" t="s">
        <v>505</v>
      </c>
    </row>
    <row r="1355" spans="2:6">
      <c r="B1355" s="365" t="str">
        <f t="shared" si="10"/>
        <v>*R4</v>
      </c>
      <c r="C1355" s="365" t="str">
        <f>CONCATENATE("EXP",Commodities!C53,RIGHT(OILTrade!$T$59,2))</f>
        <v>EXPJTF46</v>
      </c>
      <c r="D1355" s="365" t="str">
        <f>CONCATENATE("Export Pipeline Trade of ",Commodities!C53, " from ",$B$1355," to R",RIGHT(C1355))</f>
        <v>Export Pipeline Trade of JTF from *R4 to R6</v>
      </c>
      <c r="E1355" s="381" t="s">
        <v>384</v>
      </c>
      <c r="F1355" s="381" t="s">
        <v>505</v>
      </c>
    </row>
    <row r="1356" spans="2:6">
      <c r="B1356" s="365" t="str">
        <f t="shared" si="10"/>
        <v>*R4</v>
      </c>
      <c r="C1356" s="365" t="str">
        <f>CONCATENATE("EXP",Commodities!C54,RIGHT(OILTrade!$T$59,2))</f>
        <v>EXPKER46</v>
      </c>
      <c r="D1356" s="365" t="str">
        <f>CONCATENATE("Export Pipeline Trade of ",Commodities!C54, " from ",$B$1356," to R",RIGHT(C1356))</f>
        <v>Export Pipeline Trade of KER from *R4 to R6</v>
      </c>
      <c r="E1356" s="381" t="s">
        <v>384</v>
      </c>
      <c r="F1356" s="381" t="s">
        <v>505</v>
      </c>
    </row>
    <row r="1357" spans="2:6">
      <c r="B1357" s="365" t="str">
        <f t="shared" si="10"/>
        <v>*R4</v>
      </c>
      <c r="C1357" s="365" t="str">
        <f>CONCATENATE("EXP",Commodities!C55,RIGHT(OILTrade!$T$59,2))</f>
        <v>EXPLPG46</v>
      </c>
      <c r="D1357" s="365" t="str">
        <f>CONCATENATE("Export Pipeline Trade of ",Commodities!C55, " from ",$B$1357," to R",RIGHT(C1357))</f>
        <v>Export Pipeline Trade of LPG from *R4 to R6</v>
      </c>
      <c r="E1357" s="381" t="s">
        <v>384</v>
      </c>
      <c r="F1357" s="381" t="s">
        <v>505</v>
      </c>
    </row>
    <row r="1358" spans="2:6">
      <c r="B1358" s="365" t="str">
        <f t="shared" si="10"/>
        <v>*R4</v>
      </c>
      <c r="C1358" s="365" t="str">
        <f>CONCATENATE("EXP",Commodities!C56,RIGHT(OILTrade!$T$59,2))</f>
        <v>EXPMTH46</v>
      </c>
      <c r="D1358" s="365" t="str">
        <f>CONCATENATE("Export Pipeline Trade of ",Commodities!C56, " from ",$B$1358," to R",RIGHT(C1358))</f>
        <v>Export Pipeline Trade of MTH from *R4 to R6</v>
      </c>
      <c r="E1358" s="381" t="s">
        <v>384</v>
      </c>
      <c r="F1358" s="381" t="s">
        <v>505</v>
      </c>
    </row>
    <row r="1359" spans="2:6">
      <c r="B1359" s="365" t="str">
        <f t="shared" si="10"/>
        <v>*R4</v>
      </c>
      <c r="C1359" s="365" t="str">
        <f>CONCATENATE("EXP",Commodities!C57,RIGHT(OILTrade!$T$59,2))</f>
        <v>EXPPFS46</v>
      </c>
      <c r="D1359" s="365" t="str">
        <f>CONCATENATE("Export Pipeline Trade of ",Commodities!C57, " from ",$B$1359," to R",RIGHT(C1359))</f>
        <v>Export Pipeline Trade of PFS from *R4 to R6</v>
      </c>
      <c r="E1359" s="381" t="s">
        <v>384</v>
      </c>
      <c r="F1359" s="381" t="s">
        <v>505</v>
      </c>
    </row>
    <row r="1360" spans="2:6">
      <c r="B1360" s="365" t="str">
        <f t="shared" si="10"/>
        <v>*R4</v>
      </c>
      <c r="C1360" s="365" t="str">
        <f>CONCATENATE("EXP",Commodities!C58,RIGHT(OILTrade!$T$59,2))</f>
        <v>EXPRFH46</v>
      </c>
      <c r="D1360" s="365" t="str">
        <f>CONCATENATE("Export Pipeline Trade of ",Commodities!C58, " from ",$B$1360," to R",RIGHT(C1360))</f>
        <v>Export Pipeline Trade of RFH from *R4 to R6</v>
      </c>
      <c r="E1360" s="381" t="s">
        <v>384</v>
      </c>
      <c r="F1360" s="381" t="s">
        <v>505</v>
      </c>
    </row>
    <row r="1361" spans="2:6">
      <c r="B1361" s="365" t="str">
        <f t="shared" si="10"/>
        <v>*R4</v>
      </c>
      <c r="C1361" s="365" t="str">
        <f>CONCATENATE("EXP",Commodities!C59,RIGHT(OILTrade!$T$59,2))</f>
        <v>EXPRFL46</v>
      </c>
      <c r="D1361" s="365" t="str">
        <f>CONCATENATE("Export Pipeline Trade of ",Commodities!C59, " from ",$B$1361," to R",RIGHT(C1361))</f>
        <v>Export Pipeline Trade of RFL from *R4 to R6</v>
      </c>
      <c r="E1361" s="381" t="s">
        <v>384</v>
      </c>
      <c r="F1361" s="381" t="s">
        <v>505</v>
      </c>
    </row>
    <row r="1362" spans="2:6">
      <c r="B1362" s="365" t="str">
        <f t="shared" si="10"/>
        <v>*R4</v>
      </c>
      <c r="C1362" s="365" t="str">
        <f>CONCATENATE("EXP",Commodities!C60,RIGHT(OILTrade!$T$59,2))</f>
        <v>EXPASP46</v>
      </c>
      <c r="D1362" s="365" t="str">
        <f>CONCATENATE("Export Pipeline Trade of ",Commodities!C60, " from ",$B$1362," to R",RIGHT(C1362))</f>
        <v>Export Pipeline Trade of ASP from *R4 to R6</v>
      </c>
      <c r="E1362" s="381" t="s">
        <v>384</v>
      </c>
      <c r="F1362" s="381" t="s">
        <v>505</v>
      </c>
    </row>
    <row r="1363" spans="2:6">
      <c r="B1363" s="365" t="str">
        <f>IF(LEFT(Commodities!B$71,1)="*","*R1","R1")</f>
        <v>R1</v>
      </c>
      <c r="C1363" s="365" t="str">
        <f>CONCATENATE("EXP",Commodities!C48,RIGHT(OILTrade!$R$56,2))</f>
        <v>EXPGSC14</v>
      </c>
      <c r="D1363" s="365" t="str">
        <f>CONCATENATE("Export Pipeline Trade of ",Commodities!C48, " from ",$B$1363," to R",RIGHT(C1363))</f>
        <v>Export Pipeline Trade of GSC from R1 to R4</v>
      </c>
      <c r="E1363" s="381" t="s">
        <v>384</v>
      </c>
      <c r="F1363" s="381" t="s">
        <v>505</v>
      </c>
    </row>
    <row r="1364" spans="2:6">
      <c r="B1364" s="365" t="str">
        <f>IF(LEFT(Commodities!B$72,1)="*","*R1","R1")</f>
        <v>R1</v>
      </c>
      <c r="C1364" s="365" t="str">
        <f>CONCATENATE("EXP",Commodities!C49,RIGHT(OILTrade!$R$56,2))</f>
        <v>EXPGSR14</v>
      </c>
      <c r="D1364" s="365" t="str">
        <f>CONCATENATE("Export Pipeline Trade of ",Commodities!C49, " from ",$B$1364," to R",RIGHT(C1364))</f>
        <v>Export Pipeline Trade of GSR from R1 to R4</v>
      </c>
      <c r="E1364" s="381" t="s">
        <v>384</v>
      </c>
      <c r="F1364" s="381" t="s">
        <v>505</v>
      </c>
    </row>
    <row r="1365" spans="2:6">
      <c r="B1365" s="365" t="str">
        <f>IF(LEFT(Commodities!B$73,1)="*","*R1","R1")</f>
        <v>R1</v>
      </c>
      <c r="C1365" s="365" t="str">
        <f>CONCATENATE("EXP",Commodities!C50,RIGHT(OILTrade!$R$56,2))</f>
        <v>EXPDSH14</v>
      </c>
      <c r="D1365" s="365" t="str">
        <f>CONCATENATE("Export Pipeline Trade of ",Commodities!C50, " from ",$B$1365," to R",RIGHT(C1365))</f>
        <v>Export Pipeline Trade of DSH from R1 to R4</v>
      </c>
      <c r="E1365" s="381" t="s">
        <v>384</v>
      </c>
      <c r="F1365" s="381" t="s">
        <v>505</v>
      </c>
    </row>
    <row r="1366" spans="2:6">
      <c r="B1366" s="365" t="str">
        <f>IF(LEFT(Commodities!B$74,1)="*","*R1","R1")</f>
        <v>R1</v>
      </c>
      <c r="C1366" s="365" t="str">
        <f>CONCATENATE("EXP",Commodities!C51,RIGHT(OILTrade!$R$56,2))</f>
        <v>EXPDSL14</v>
      </c>
      <c r="D1366" s="365" t="str">
        <f>CONCATENATE("Export Pipeline Trade of ",Commodities!C51, " from ",$B$1366," to R",RIGHT(C1366))</f>
        <v>Export Pipeline Trade of DSL from R1 to R4</v>
      </c>
      <c r="E1366" s="381" t="s">
        <v>384</v>
      </c>
      <c r="F1366" s="381" t="s">
        <v>505</v>
      </c>
    </row>
    <row r="1367" spans="2:6">
      <c r="B1367" s="365" t="str">
        <f>IF(LEFT(Commodities!B$75,1)="*","*R1","R1")</f>
        <v>R1</v>
      </c>
      <c r="C1367" s="365" t="str">
        <f>CONCATENATE("EXP",Commodities!C52,RIGHT(OILTrade!$R$56,2))</f>
        <v>EXPDSU14</v>
      </c>
      <c r="D1367" s="365" t="str">
        <f>CONCATENATE("Export Pipeline Trade of ",Commodities!C52, " from ",$B$1367," to R",RIGHT(C1367))</f>
        <v>Export Pipeline Trade of DSU from R1 to R4</v>
      </c>
      <c r="E1367" s="381" t="s">
        <v>384</v>
      </c>
      <c r="F1367" s="381" t="s">
        <v>505</v>
      </c>
    </row>
    <row r="1368" spans="2:6">
      <c r="B1368" s="365" t="str">
        <f>IF(LEFT(Commodities!B$76,1)="*","*R1","R1")</f>
        <v>R1</v>
      </c>
      <c r="C1368" s="365" t="str">
        <f>CONCATENATE("EXP",Commodities!C53,RIGHT(OILTrade!$R$56,2))</f>
        <v>EXPJTF14</v>
      </c>
      <c r="D1368" s="365" t="str">
        <f>CONCATENATE("Export Pipeline Trade of ",Commodities!C53, " from ",$B$1368," to R",RIGHT(C1368))</f>
        <v>Export Pipeline Trade of JTF from R1 to R4</v>
      </c>
      <c r="E1368" s="381" t="s">
        <v>384</v>
      </c>
      <c r="F1368" s="381" t="s">
        <v>505</v>
      </c>
    </row>
    <row r="1369" spans="2:6">
      <c r="B1369" s="365" t="str">
        <f>IF(LEFT(Commodities!B$77,1)="*","*R1","R1")</f>
        <v>*R1</v>
      </c>
      <c r="C1369" s="365" t="str">
        <f>CONCATENATE("EXP",Commodities!C54,RIGHT(OILTrade!$R$56,2))</f>
        <v>EXPKER14</v>
      </c>
      <c r="D1369" s="365" t="str">
        <f>CONCATENATE("Export Pipeline Trade of ",Commodities!C54, " from ",$B$1369," to R",RIGHT(C1369))</f>
        <v>Export Pipeline Trade of KER from *R1 to R4</v>
      </c>
      <c r="E1369" s="381" t="s">
        <v>384</v>
      </c>
      <c r="F1369" s="381" t="s">
        <v>505</v>
      </c>
    </row>
    <row r="1370" spans="2:6">
      <c r="B1370" s="365" t="str">
        <f>IF(LEFT(Commodities!B$78,1)="*","*R1","R1")</f>
        <v>*R1</v>
      </c>
      <c r="C1370" s="365" t="str">
        <f>CONCATENATE("EXP",Commodities!C55,RIGHT(OILTrade!$R$56,2))</f>
        <v>EXPLPG14</v>
      </c>
      <c r="D1370" s="365" t="str">
        <f>CONCATENATE("Export Pipeline Trade of ",Commodities!C55, " from ",$B$1370," to R",RIGHT(C1370))</f>
        <v>Export Pipeline Trade of LPG from *R1 to R4</v>
      </c>
      <c r="E1370" s="381" t="s">
        <v>384</v>
      </c>
      <c r="F1370" s="381" t="s">
        <v>505</v>
      </c>
    </row>
    <row r="1371" spans="2:6">
      <c r="B1371" s="365" t="str">
        <f>IF(LEFT(Commodities!B$79,1)="*","*R1","R1")</f>
        <v>*R1</v>
      </c>
      <c r="C1371" s="365" t="str">
        <f>CONCATENATE("EXP",Commodities!C56,RIGHT(OILTrade!$R$56,2))</f>
        <v>EXPMTH14</v>
      </c>
      <c r="D1371" s="365" t="str">
        <f>CONCATENATE("Export Pipeline Trade of ",Commodities!C56, " from ",$B$1371," to R",RIGHT(C1371))</f>
        <v>Export Pipeline Trade of MTH from *R1 to R4</v>
      </c>
      <c r="E1371" s="381" t="s">
        <v>384</v>
      </c>
      <c r="F1371" s="381" t="s">
        <v>505</v>
      </c>
    </row>
    <row r="1372" spans="2:6">
      <c r="B1372" s="365" t="str">
        <f>IF(LEFT(Commodities!B$80,1)="*","*R1","R1")</f>
        <v>*R1</v>
      </c>
      <c r="C1372" s="365" t="str">
        <f>CONCATENATE("EXP",Commodities!C57,RIGHT(OILTrade!$R$56,2))</f>
        <v>EXPPFS14</v>
      </c>
      <c r="D1372" s="365" t="str">
        <f>CONCATENATE("Export Pipeline Trade of ",Commodities!C57, " from ",$B$1372," to R",RIGHT(C1372))</f>
        <v>Export Pipeline Trade of PFS from *R1 to R4</v>
      </c>
      <c r="E1372" s="381" t="s">
        <v>384</v>
      </c>
      <c r="F1372" s="381" t="s">
        <v>505</v>
      </c>
    </row>
    <row r="1373" spans="2:6">
      <c r="B1373" s="365" t="str">
        <f>IF(LEFT(Commodities!B$81,1)="*","*R1","R1")</f>
        <v>*R1</v>
      </c>
      <c r="C1373" s="365" t="str">
        <f>CONCATENATE("EXP",Commodities!C58,RIGHT(OILTrade!$R$56,2))</f>
        <v>EXPRFH14</v>
      </c>
      <c r="D1373" s="365" t="str">
        <f>CONCATENATE("Export Pipeline Trade of ",Commodities!C58, " from ",$B$1373," to R",RIGHT(C1373))</f>
        <v>Export Pipeline Trade of RFH from *R1 to R4</v>
      </c>
      <c r="E1373" s="381" t="s">
        <v>384</v>
      </c>
      <c r="F1373" s="381" t="s">
        <v>505</v>
      </c>
    </row>
    <row r="1374" spans="2:6">
      <c r="B1374" s="365" t="str">
        <f>IF(LEFT(Commodities!B$82,1)="*","*R1","R1")</f>
        <v>R1</v>
      </c>
      <c r="C1374" s="365" t="str">
        <f>CONCATENATE("EXP",Commodities!C59,RIGHT(OILTrade!$R$56,2))</f>
        <v>EXPRFL14</v>
      </c>
      <c r="D1374" s="365" t="str">
        <f>CONCATENATE("Export Pipeline Trade of ",Commodities!C59, " from ",$B$1374," to R",RIGHT(C1374))</f>
        <v>Export Pipeline Trade of RFL from R1 to R4</v>
      </c>
      <c r="E1374" s="381" t="s">
        <v>384</v>
      </c>
      <c r="F1374" s="381" t="s">
        <v>505</v>
      </c>
    </row>
    <row r="1375" spans="2:6">
      <c r="B1375" s="365" t="str">
        <f>IF(LEFT(Commodities!B$83,1)="*","*R1","R1")</f>
        <v>*R1</v>
      </c>
      <c r="C1375" s="365" t="str">
        <f>CONCATENATE("EXP",Commodities!C60,RIGHT(OILTrade!$R$56,2))</f>
        <v>EXPASP14</v>
      </c>
      <c r="D1375" s="365" t="str">
        <f>CONCATENATE("Export Pipeline Trade of ",Commodities!C60, " from ",$B$1375," to R",RIGHT(C1375))</f>
        <v>Export Pipeline Trade of ASP from *R1 to R4</v>
      </c>
      <c r="E1375" s="381" t="s">
        <v>384</v>
      </c>
      <c r="F1375" s="381" t="s">
        <v>505</v>
      </c>
    </row>
    <row r="1376" spans="2:6">
      <c r="B1376" s="365" t="str">
        <f>IF(LEFT(Commodities!B$71,1)="*","*R1","R1")</f>
        <v>R1</v>
      </c>
      <c r="C1376" s="365" t="str">
        <f>CONCATENATE("EXP",Commodities!C48,RIGHT(OILTrade!$T$56,2))</f>
        <v>EXPGSC16</v>
      </c>
      <c r="D1376" s="365" t="str">
        <f>CONCATENATE("Export Pipeline Trade of ",Commodities!C48, " from ",$B1376," to R",RIGHT(C1376))</f>
        <v>Export Pipeline Trade of GSC from R1 to R6</v>
      </c>
      <c r="E1376" s="381" t="s">
        <v>384</v>
      </c>
      <c r="F1376" s="381" t="s">
        <v>505</v>
      </c>
    </row>
    <row r="1377" spans="2:6">
      <c r="B1377" s="365" t="str">
        <f>IF(LEFT(Commodities!B$72,1)="*","*R1","R1")</f>
        <v>R1</v>
      </c>
      <c r="C1377" s="365" t="str">
        <f>CONCATENATE("EXP",Commodities!C49,RIGHT(OILTrade!$T$56,2))</f>
        <v>EXPGSR16</v>
      </c>
      <c r="D1377" s="365" t="str">
        <f>CONCATENATE("Export Pipeline Trade of ",Commodities!C49, " from ",$B1377," to R",RIGHT(C1377))</f>
        <v>Export Pipeline Trade of GSR from R1 to R6</v>
      </c>
      <c r="E1377" s="381" t="s">
        <v>384</v>
      </c>
      <c r="F1377" s="381" t="s">
        <v>505</v>
      </c>
    </row>
    <row r="1378" spans="2:6">
      <c r="B1378" s="365" t="str">
        <f>IF(LEFT(Commodities!B$73,1)="*","*R1","R1")</f>
        <v>R1</v>
      </c>
      <c r="C1378" s="365" t="str">
        <f>CONCATENATE("EXP",Commodities!C50,RIGHT(OILTrade!$T$56,2))</f>
        <v>EXPDSH16</v>
      </c>
      <c r="D1378" s="365" t="str">
        <f>CONCATENATE("Export Pipeline Trade of ",Commodities!C50, " from ",$B1378," to R",RIGHT(C1378))</f>
        <v>Export Pipeline Trade of DSH from R1 to R6</v>
      </c>
      <c r="E1378" s="381" t="s">
        <v>384</v>
      </c>
      <c r="F1378" s="381" t="s">
        <v>505</v>
      </c>
    </row>
    <row r="1379" spans="2:6">
      <c r="B1379" s="365" t="str">
        <f>IF(LEFT(Commodities!B$74,1)="*","*R1","R1")</f>
        <v>R1</v>
      </c>
      <c r="C1379" s="365" t="str">
        <f>CONCATENATE("EXP",Commodities!C51,RIGHT(OILTrade!$T$56,2))</f>
        <v>EXPDSL16</v>
      </c>
      <c r="D1379" s="365" t="str">
        <f>CONCATENATE("Export Pipeline Trade of ",Commodities!C51, " from ",$B1379," to R",RIGHT(C1379))</f>
        <v>Export Pipeline Trade of DSL from R1 to R6</v>
      </c>
      <c r="E1379" s="381" t="s">
        <v>384</v>
      </c>
      <c r="F1379" s="381" t="s">
        <v>505</v>
      </c>
    </row>
    <row r="1380" spans="2:6">
      <c r="B1380" s="365" t="str">
        <f>IF(LEFT(Commodities!B$75,1)="*","*R1","R1")</f>
        <v>R1</v>
      </c>
      <c r="C1380" s="365" t="str">
        <f>CONCATENATE("EXP",Commodities!C52,RIGHT(OILTrade!$T$56,2))</f>
        <v>EXPDSU16</v>
      </c>
      <c r="D1380" s="365" t="str">
        <f>CONCATENATE("Export Pipeline Trade of ",Commodities!C52, " from ",$B1380," to R",RIGHT(C1380))</f>
        <v>Export Pipeline Trade of DSU from R1 to R6</v>
      </c>
      <c r="E1380" s="381" t="s">
        <v>384</v>
      </c>
      <c r="F1380" s="381" t="s">
        <v>505</v>
      </c>
    </row>
    <row r="1381" spans="2:6">
      <c r="B1381" s="365" t="str">
        <f>IF(LEFT(Commodities!B$76,1)="*","*R1","R1")</f>
        <v>R1</v>
      </c>
      <c r="C1381" s="365" t="str">
        <f>CONCATENATE("EXP",Commodities!C53,RIGHT(OILTrade!$T$56,2))</f>
        <v>EXPJTF16</v>
      </c>
      <c r="D1381" s="365" t="str">
        <f>CONCATENATE("Export Pipeline Trade of ",Commodities!C53, " from ",$B1381," to R",RIGHT(C1381))</f>
        <v>Export Pipeline Trade of JTF from R1 to R6</v>
      </c>
      <c r="E1381" s="381" t="s">
        <v>384</v>
      </c>
      <c r="F1381" s="381" t="s">
        <v>505</v>
      </c>
    </row>
    <row r="1382" spans="2:6">
      <c r="B1382" s="365" t="str">
        <f>IF(LEFT(Commodities!B$77,1)="*","*R1","R1")</f>
        <v>*R1</v>
      </c>
      <c r="C1382" s="365" t="str">
        <f>CONCATENATE("EXP",Commodities!C54,RIGHT(OILTrade!$T$56,2))</f>
        <v>EXPKER16</v>
      </c>
      <c r="D1382" s="365" t="str">
        <f>CONCATENATE("Export Pipeline Trade of ",Commodities!C54, " from ",$B1382," to R",RIGHT(C1382))</f>
        <v>Export Pipeline Trade of KER from *R1 to R6</v>
      </c>
      <c r="E1382" s="381" t="s">
        <v>384</v>
      </c>
      <c r="F1382" s="381" t="s">
        <v>505</v>
      </c>
    </row>
    <row r="1383" spans="2:6">
      <c r="B1383" s="365" t="str">
        <f>IF(LEFT(Commodities!B$78,1)="*","*R1","R1")</f>
        <v>*R1</v>
      </c>
      <c r="C1383" s="365" t="str">
        <f>CONCATENATE("EXP",Commodities!C55,RIGHT(OILTrade!$T$56,2))</f>
        <v>EXPLPG16</v>
      </c>
      <c r="D1383" s="365" t="str">
        <f>CONCATENATE("Export Pipeline Trade of ",Commodities!C55, " from ",$B1383," to R",RIGHT(C1383))</f>
        <v>Export Pipeline Trade of LPG from *R1 to R6</v>
      </c>
      <c r="E1383" s="381" t="s">
        <v>384</v>
      </c>
      <c r="F1383" s="381" t="s">
        <v>505</v>
      </c>
    </row>
    <row r="1384" spans="2:6">
      <c r="B1384" s="365" t="str">
        <f>IF(LEFT(Commodities!B$79,1)="*","*R1","R1")</f>
        <v>*R1</v>
      </c>
      <c r="C1384" s="365" t="str">
        <f>CONCATENATE("EXP",Commodities!C56,RIGHT(OILTrade!$T$56,2))</f>
        <v>EXPMTH16</v>
      </c>
      <c r="D1384" s="365" t="str">
        <f>CONCATENATE("Export Pipeline Trade of ",Commodities!C56, " from ",$B1384," to R",RIGHT(C1384))</f>
        <v>Export Pipeline Trade of MTH from *R1 to R6</v>
      </c>
      <c r="E1384" s="381" t="s">
        <v>384</v>
      </c>
      <c r="F1384" s="381" t="s">
        <v>505</v>
      </c>
    </row>
    <row r="1385" spans="2:6">
      <c r="B1385" s="365" t="str">
        <f>IF(LEFT(Commodities!B$80,1)="*","*R1","R1")</f>
        <v>*R1</v>
      </c>
      <c r="C1385" s="365" t="str">
        <f>CONCATENATE("EXP",Commodities!C57,RIGHT(OILTrade!$T$56,2))</f>
        <v>EXPPFS16</v>
      </c>
      <c r="D1385" s="365" t="str">
        <f>CONCATENATE("Export Pipeline Trade of ",Commodities!C57, " from ",$B1385," to R",RIGHT(C1385))</f>
        <v>Export Pipeline Trade of PFS from *R1 to R6</v>
      </c>
      <c r="E1385" s="381" t="s">
        <v>384</v>
      </c>
      <c r="F1385" s="381" t="s">
        <v>505</v>
      </c>
    </row>
    <row r="1386" spans="2:6">
      <c r="B1386" s="365" t="str">
        <f>IF(LEFT(Commodities!B$81,1)="*","*R1","R1")</f>
        <v>*R1</v>
      </c>
      <c r="C1386" s="365" t="str">
        <f>CONCATENATE("EXP",Commodities!C58,RIGHT(OILTrade!$T$56,2))</f>
        <v>EXPRFH16</v>
      </c>
      <c r="D1386" s="365" t="str">
        <f>CONCATENATE("Export Pipeline Trade of ",Commodities!C58, " from ",$B1386," to R",RIGHT(C1386))</f>
        <v>Export Pipeline Trade of RFH from *R1 to R6</v>
      </c>
      <c r="E1386" s="381" t="s">
        <v>384</v>
      </c>
      <c r="F1386" s="381" t="s">
        <v>505</v>
      </c>
    </row>
    <row r="1387" spans="2:6">
      <c r="B1387" s="365" t="str">
        <f>IF(LEFT(Commodities!B$82,1)="*","*R1","R1")</f>
        <v>R1</v>
      </c>
      <c r="C1387" s="365" t="str">
        <f>CONCATENATE("EXP",Commodities!C59,RIGHT(OILTrade!$T$56,2))</f>
        <v>EXPRFL16</v>
      </c>
      <c r="D1387" s="365" t="str">
        <f>CONCATENATE("Export Pipeline Trade of ",Commodities!C59, " from ",$B1387," to R",RIGHT(C1387))</f>
        <v>Export Pipeline Trade of RFL from R1 to R6</v>
      </c>
      <c r="E1387" s="381" t="s">
        <v>384</v>
      </c>
      <c r="F1387" s="381" t="s">
        <v>505</v>
      </c>
    </row>
    <row r="1388" spans="2:6">
      <c r="B1388" s="365" t="str">
        <f>IF(LEFT(Commodities!B$83,1)="*","*R1","R1")</f>
        <v>*R1</v>
      </c>
      <c r="C1388" s="365" t="str">
        <f>CONCATENATE("EXP",Commodities!C60,RIGHT(OILTrade!$T$56,2))</f>
        <v>EXPASP16</v>
      </c>
      <c r="D1388" s="365" t="str">
        <f>CONCATENATE("Export Pipeline Trade of ",Commodities!C60, " from ",$B1388," to R",RIGHT(C1388))</f>
        <v>Export Pipeline Trade of ASP from *R1 to R6</v>
      </c>
      <c r="E1388" s="381" t="s">
        <v>384</v>
      </c>
      <c r="F1388" s="381" t="s">
        <v>505</v>
      </c>
    </row>
    <row r="1389" spans="2:6">
      <c r="B1389" s="365" t="str">
        <f>IF(LEFT(Commodities!B$143,1)="*","*R5","R5")</f>
        <v>*R5</v>
      </c>
      <c r="C1389" s="365" t="str">
        <f>CONCATENATE("EXP",Commodities!C48,RIGHT(OILTrade!$P$60,2))</f>
        <v>EXPGSC52</v>
      </c>
      <c r="D1389" s="365" t="str">
        <f>CONCATENATE("Export Pipeline Trade of ",Commodities!C48, " from ",$B$1389," to R",RIGHT(C1389))</f>
        <v>Export Pipeline Trade of GSC from *R5 to R2</v>
      </c>
      <c r="E1389" s="381" t="s">
        <v>384</v>
      </c>
      <c r="F1389" s="381" t="s">
        <v>505</v>
      </c>
    </row>
    <row r="1390" spans="2:6">
      <c r="B1390" s="365" t="str">
        <f>IF(LEFT(Commodities!B$144,1)="*","*R5","R5")</f>
        <v>*R5</v>
      </c>
      <c r="C1390" s="365" t="str">
        <f>CONCATENATE("EXP",Commodities!C49,RIGHT(OILTrade!$P$60,2))</f>
        <v>EXPGSR52</v>
      </c>
      <c r="D1390" s="365" t="str">
        <f>CONCATENATE("Export Pipeline Trade of ",Commodities!C49, " from ",$B$1390," to R",RIGHT(C1390))</f>
        <v>Export Pipeline Trade of GSR from *R5 to R2</v>
      </c>
      <c r="E1390" s="381" t="s">
        <v>384</v>
      </c>
      <c r="F1390" s="381" t="s">
        <v>505</v>
      </c>
    </row>
    <row r="1391" spans="2:6">
      <c r="B1391" s="365" t="str">
        <f>IF(LEFT(Commodities!B$145,1)="*","*R5","R5")</f>
        <v>*R5</v>
      </c>
      <c r="C1391" s="365" t="str">
        <f>CONCATENATE("EXP",Commodities!C50,RIGHT(OILTrade!$P$60,2))</f>
        <v>EXPDSH52</v>
      </c>
      <c r="D1391" s="365" t="str">
        <f>CONCATENATE("Export Pipeline Trade of ",Commodities!C50, " from ",$B$1391," to R",RIGHT(C1391))</f>
        <v>Export Pipeline Trade of DSH from *R5 to R2</v>
      </c>
      <c r="E1391" s="381" t="s">
        <v>384</v>
      </c>
      <c r="F1391" s="381" t="s">
        <v>505</v>
      </c>
    </row>
    <row r="1392" spans="2:6">
      <c r="B1392" s="365" t="str">
        <f>IF(LEFT(Commodities!B$146,1)="*","*R5","R5")</f>
        <v>*R5</v>
      </c>
      <c r="C1392" s="365" t="str">
        <f>CONCATENATE("EXP",Commodities!C51,RIGHT(OILTrade!$P$60,2))</f>
        <v>EXPDSL52</v>
      </c>
      <c r="D1392" s="365" t="str">
        <f>CONCATENATE("Export Pipeline Trade of ",Commodities!C51, " from ",$B$1392," to R",RIGHT(C1392))</f>
        <v>Export Pipeline Trade of DSL from *R5 to R2</v>
      </c>
      <c r="E1392" s="381" t="s">
        <v>384</v>
      </c>
      <c r="F1392" s="381" t="s">
        <v>505</v>
      </c>
    </row>
    <row r="1393" spans="2:6">
      <c r="B1393" s="365" t="str">
        <f>IF(LEFT(Commodities!B$147,1)="*","*R5","R5")</f>
        <v>*R5</v>
      </c>
      <c r="C1393" s="365" t="str">
        <f>CONCATENATE("EXP",Commodities!C52,RIGHT(OILTrade!$P$60,2))</f>
        <v>EXPDSU52</v>
      </c>
      <c r="D1393" s="365" t="str">
        <f>CONCATENATE("Export Pipeline Trade of ",Commodities!C52, " from ",$B$1393," to R",RIGHT(C1393))</f>
        <v>Export Pipeline Trade of DSU from *R5 to R2</v>
      </c>
      <c r="E1393" s="381" t="s">
        <v>384</v>
      </c>
      <c r="F1393" s="381" t="s">
        <v>505</v>
      </c>
    </row>
    <row r="1394" spans="2:6">
      <c r="B1394" s="365" t="str">
        <f>IF(LEFT(Commodities!B$148,1)="*","*R5","R5")</f>
        <v>*R5</v>
      </c>
      <c r="C1394" s="365" t="str">
        <f>CONCATENATE("EXP",Commodities!C53,RIGHT(OILTrade!$P$60,2))</f>
        <v>EXPJTF52</v>
      </c>
      <c r="D1394" s="365" t="str">
        <f>CONCATENATE("Export Pipeline Trade of ",Commodities!C53, " from ",$B$1394," to R",RIGHT(C1394))</f>
        <v>Export Pipeline Trade of JTF from *R5 to R2</v>
      </c>
      <c r="E1394" s="381" t="s">
        <v>384</v>
      </c>
      <c r="F1394" s="381" t="s">
        <v>505</v>
      </c>
    </row>
    <row r="1395" spans="2:6">
      <c r="B1395" s="365" t="str">
        <f>IF(LEFT(Commodities!B$149,1)="*","*R5","R5")</f>
        <v>*R5</v>
      </c>
      <c r="C1395" s="365" t="str">
        <f>CONCATENATE("EXP",Commodities!C54,RIGHT(OILTrade!$P$60,2))</f>
        <v>EXPKER52</v>
      </c>
      <c r="D1395" s="365" t="str">
        <f>CONCATENATE("Export Pipeline Trade of ",Commodities!C54, " from ",$B$1395," to R",RIGHT(C1395))</f>
        <v>Export Pipeline Trade of KER from *R5 to R2</v>
      </c>
      <c r="E1395" s="381" t="s">
        <v>384</v>
      </c>
      <c r="F1395" s="381" t="s">
        <v>505</v>
      </c>
    </row>
    <row r="1396" spans="2:6">
      <c r="B1396" s="365" t="str">
        <f>IF(LEFT(Commodities!B$150,1)="*","*R5","R5")</f>
        <v>*R5</v>
      </c>
      <c r="C1396" s="365" t="str">
        <f>CONCATENATE("EXP",Commodities!C55,RIGHT(OILTrade!$P$60,2))</f>
        <v>EXPLPG52</v>
      </c>
      <c r="D1396" s="365" t="str">
        <f>CONCATENATE("Export Pipeline Trade of ",Commodities!C55, " from ",$B$1396," to R",RIGHT(C1396))</f>
        <v>Export Pipeline Trade of LPG from *R5 to R2</v>
      </c>
      <c r="E1396" s="381" t="s">
        <v>384</v>
      </c>
      <c r="F1396" s="381" t="s">
        <v>505</v>
      </c>
    </row>
    <row r="1397" spans="2:6">
      <c r="B1397" s="365" t="str">
        <f>IF(LEFT(Commodities!B$151,1)="*","*R5","R5")</f>
        <v>*R5</v>
      </c>
      <c r="C1397" s="365" t="str">
        <f>CONCATENATE("EXP",Commodities!C56,RIGHT(OILTrade!$P$60,2))</f>
        <v>EXPMTH52</v>
      </c>
      <c r="D1397" s="365" t="str">
        <f>CONCATENATE("Export Pipeline Trade of ",Commodities!C56, " from ",$B$1397," to R",RIGHT(C1397))</f>
        <v>Export Pipeline Trade of MTH from *R5 to R2</v>
      </c>
      <c r="E1397" s="381" t="s">
        <v>384</v>
      </c>
      <c r="F1397" s="381" t="s">
        <v>505</v>
      </c>
    </row>
    <row r="1398" spans="2:6">
      <c r="B1398" s="365" t="str">
        <f>IF(LEFT(Commodities!B$152,1)="*","*R5","R5")</f>
        <v>*R5</v>
      </c>
      <c r="C1398" s="365" t="str">
        <f>CONCATENATE("EXP",Commodities!C57,RIGHT(OILTrade!$P$60,2))</f>
        <v>EXPPFS52</v>
      </c>
      <c r="D1398" s="365" t="str">
        <f>CONCATENATE("Export Pipeline Trade of ",Commodities!C57, " from ",$B$1398," to R",RIGHT(C1398))</f>
        <v>Export Pipeline Trade of PFS from *R5 to R2</v>
      </c>
      <c r="E1398" s="381" t="s">
        <v>384</v>
      </c>
      <c r="F1398" s="381" t="s">
        <v>505</v>
      </c>
    </row>
    <row r="1399" spans="2:6">
      <c r="B1399" s="365" t="str">
        <f>IF(LEFT(Commodities!B$153,1)="*","*R5","R5")</f>
        <v>*R5</v>
      </c>
      <c r="C1399" s="365" t="str">
        <f>CONCATENATE("EXP",Commodities!C58,RIGHT(OILTrade!$P$60,2))</f>
        <v>EXPRFH52</v>
      </c>
      <c r="D1399" s="365" t="str">
        <f>CONCATENATE("Export Pipeline Trade of ",Commodities!C58, " from ",$B$1399," to R",RIGHT(C1399))</f>
        <v>Export Pipeline Trade of RFH from *R5 to R2</v>
      </c>
      <c r="E1399" s="381" t="s">
        <v>384</v>
      </c>
      <c r="F1399" s="381" t="s">
        <v>505</v>
      </c>
    </row>
    <row r="1400" spans="2:6">
      <c r="B1400" s="365" t="str">
        <f>IF(LEFT(Commodities!B$154,1)="*","*R5","R5")</f>
        <v>*R5</v>
      </c>
      <c r="C1400" s="365" t="str">
        <f>CONCATENATE("EXP",Commodities!C59,RIGHT(OILTrade!$P$60,2))</f>
        <v>EXPRFL52</v>
      </c>
      <c r="D1400" s="365" t="str">
        <f>CONCATENATE("Export Pipeline Trade of ",Commodities!C59, " from ",$B$1400," to R",RIGHT(C1400))</f>
        <v>Export Pipeline Trade of RFL from *R5 to R2</v>
      </c>
      <c r="E1400" s="381" t="s">
        <v>384</v>
      </c>
      <c r="F1400" s="381" t="s">
        <v>505</v>
      </c>
    </row>
    <row r="1401" spans="2:6">
      <c r="B1401" s="365" t="str">
        <f>IF(LEFT(Commodities!B$155,1)="*","*R5","R5")</f>
        <v>*R5</v>
      </c>
      <c r="C1401" s="365" t="str">
        <f>CONCATENATE("EXP",Commodities!C60,RIGHT(OILTrade!$P$60,2))</f>
        <v>EXPASP52</v>
      </c>
      <c r="D1401" s="365" t="str">
        <f>CONCATENATE("Export Pipeline Trade of ",Commodities!C60, " from ",$B$1401," to R",RIGHT(C1401))</f>
        <v>Export Pipeline Trade of ASP from *R5 to R2</v>
      </c>
      <c r="E1401" s="381" t="s">
        <v>384</v>
      </c>
      <c r="F1401" s="381" t="s">
        <v>505</v>
      </c>
    </row>
    <row r="1402" spans="2:6">
      <c r="B1402" s="365" t="str">
        <f>IF(LEFT(Commodities!B$71,1)="*","*R1","R1")</f>
        <v>R1</v>
      </c>
      <c r="C1402" s="365" t="str">
        <f>CONCATENATE("EXP",Commodities!C48,RIGHT(OILTrade!$P$56,2))</f>
        <v>EXPGSC12</v>
      </c>
      <c r="D1402" s="365" t="str">
        <f>CONCATENATE("Export Pipeline Trade of ",Commodities!C48, " from ",$B$1402," to R",RIGHT(C1402))</f>
        <v>Export Pipeline Trade of GSC from R1 to R2</v>
      </c>
      <c r="E1402" s="381" t="s">
        <v>384</v>
      </c>
      <c r="F1402" s="381" t="s">
        <v>505</v>
      </c>
    </row>
    <row r="1403" spans="2:6">
      <c r="B1403" s="365" t="str">
        <f>IF(LEFT(Commodities!B$72,1)="*","*R1","R1")</f>
        <v>R1</v>
      </c>
      <c r="C1403" s="365" t="str">
        <f>CONCATENATE("EXP",Commodities!C49,RIGHT(OILTrade!$P$56,2))</f>
        <v>EXPGSR12</v>
      </c>
      <c r="D1403" s="365" t="str">
        <f>CONCATENATE("Export Pipeline Trade of ",Commodities!C49, " from ",$B$1403," to R",RIGHT(C1403))</f>
        <v>Export Pipeline Trade of GSR from R1 to R2</v>
      </c>
      <c r="E1403" s="381" t="s">
        <v>384</v>
      </c>
      <c r="F1403" s="381" t="s">
        <v>505</v>
      </c>
    </row>
    <row r="1404" spans="2:6">
      <c r="B1404" s="365" t="str">
        <f>IF(LEFT(Commodities!B$73,1)="*","*R1","R1")</f>
        <v>R1</v>
      </c>
      <c r="C1404" s="365" t="str">
        <f>CONCATENATE("EXP",Commodities!C50,RIGHT(OILTrade!$P$56,2))</f>
        <v>EXPDSH12</v>
      </c>
      <c r="D1404" s="365" t="str">
        <f>CONCATENATE("Export Pipeline Trade of ",Commodities!C50, " from ",$B$1404," to R",RIGHT(C1404))</f>
        <v>Export Pipeline Trade of DSH from R1 to R2</v>
      </c>
      <c r="E1404" s="381" t="s">
        <v>384</v>
      </c>
      <c r="F1404" s="381" t="s">
        <v>505</v>
      </c>
    </row>
    <row r="1405" spans="2:6">
      <c r="B1405" s="365" t="str">
        <f>IF(LEFT(Commodities!B$74,1)="*","*R1","R1")</f>
        <v>R1</v>
      </c>
      <c r="C1405" s="365" t="str">
        <f>CONCATENATE("EXP",Commodities!C51,RIGHT(OILTrade!$P$56,2))</f>
        <v>EXPDSL12</v>
      </c>
      <c r="D1405" s="365" t="str">
        <f>CONCATENATE("Export Pipeline Trade of ",Commodities!C51, " from ",$B$1405," to R",RIGHT(C1405))</f>
        <v>Export Pipeline Trade of DSL from R1 to R2</v>
      </c>
      <c r="E1405" s="381" t="s">
        <v>384</v>
      </c>
      <c r="F1405" s="381" t="s">
        <v>505</v>
      </c>
    </row>
    <row r="1406" spans="2:6">
      <c r="B1406" s="365" t="str">
        <f>IF(LEFT(Commodities!B$75,1)="*","*R1","R1")</f>
        <v>R1</v>
      </c>
      <c r="C1406" s="365" t="str">
        <f>CONCATENATE("EXP",Commodities!C52,RIGHT(OILTrade!$P$56,2))</f>
        <v>EXPDSU12</v>
      </c>
      <c r="D1406" s="365" t="str">
        <f>CONCATENATE("Export Pipeline Trade of ",Commodities!C52, " from ",$B$1406," to R",RIGHT(C1406))</f>
        <v>Export Pipeline Trade of DSU from R1 to R2</v>
      </c>
      <c r="E1406" s="381" t="s">
        <v>384</v>
      </c>
      <c r="F1406" s="381" t="s">
        <v>505</v>
      </c>
    </row>
    <row r="1407" spans="2:6">
      <c r="B1407" s="365" t="str">
        <f>IF(LEFT(Commodities!B$76,1)="*","*R1","R1")</f>
        <v>R1</v>
      </c>
      <c r="C1407" s="365" t="str">
        <f>CONCATENATE("EXP",Commodities!C53,RIGHT(OILTrade!$P$56,2))</f>
        <v>EXPJTF12</v>
      </c>
      <c r="D1407" s="365" t="str">
        <f>CONCATENATE("Export Pipeline Trade of ",Commodities!C53, " from ",$B$1407," to R",RIGHT(C1407))</f>
        <v>Export Pipeline Trade of JTF from R1 to R2</v>
      </c>
      <c r="E1407" s="381" t="s">
        <v>384</v>
      </c>
      <c r="F1407" s="381" t="s">
        <v>505</v>
      </c>
    </row>
    <row r="1408" spans="2:6">
      <c r="B1408" s="365" t="str">
        <f>IF(LEFT(Commodities!B$77,1)="*","*R1","R1")</f>
        <v>*R1</v>
      </c>
      <c r="C1408" s="365" t="str">
        <f>CONCATENATE("EXP",Commodities!C54,RIGHT(OILTrade!$P$56,2))</f>
        <v>EXPKER12</v>
      </c>
      <c r="D1408" s="365" t="str">
        <f>CONCATENATE("Export Pipeline Trade of ",Commodities!C54, " from ",$B$1408," to R",RIGHT(C1408))</f>
        <v>Export Pipeline Trade of KER from *R1 to R2</v>
      </c>
      <c r="E1408" s="381" t="s">
        <v>384</v>
      </c>
      <c r="F1408" s="381" t="s">
        <v>505</v>
      </c>
    </row>
    <row r="1409" spans="2:6">
      <c r="B1409" s="365" t="str">
        <f>IF(LEFT(Commodities!B$78,1)="*","*R1","R1")</f>
        <v>*R1</v>
      </c>
      <c r="C1409" s="365" t="str">
        <f>CONCATENATE("EXP",Commodities!C55,RIGHT(OILTrade!$P$56,2))</f>
        <v>EXPLPG12</v>
      </c>
      <c r="D1409" s="365" t="str">
        <f>CONCATENATE("Export Pipeline Trade of ",Commodities!C55, " from ",$B$1409," to R",RIGHT(C1409))</f>
        <v>Export Pipeline Trade of LPG from *R1 to R2</v>
      </c>
      <c r="E1409" s="381" t="s">
        <v>384</v>
      </c>
      <c r="F1409" s="381" t="s">
        <v>505</v>
      </c>
    </row>
    <row r="1410" spans="2:6">
      <c r="B1410" s="365" t="str">
        <f>IF(LEFT(Commodities!B$79,1)="*","*R1","R1")</f>
        <v>*R1</v>
      </c>
      <c r="C1410" s="365" t="str">
        <f>CONCATENATE("EXP",Commodities!C56,RIGHT(OILTrade!$P$56,2))</f>
        <v>EXPMTH12</v>
      </c>
      <c r="D1410" s="365" t="str">
        <f>CONCATENATE("Export Pipeline Trade of ",Commodities!C56, " from ",$B$1410," to R",RIGHT(C1410))</f>
        <v>Export Pipeline Trade of MTH from *R1 to R2</v>
      </c>
      <c r="E1410" s="381" t="s">
        <v>384</v>
      </c>
      <c r="F1410" s="381" t="s">
        <v>505</v>
      </c>
    </row>
    <row r="1411" spans="2:6">
      <c r="B1411" s="365" t="str">
        <f>IF(LEFT(Commodities!B$80,1)="*","*R1","R1")</f>
        <v>*R1</v>
      </c>
      <c r="C1411" s="365" t="str">
        <f>CONCATENATE("EXP",Commodities!C57,RIGHT(OILTrade!$P$56,2))</f>
        <v>EXPPFS12</v>
      </c>
      <c r="D1411" s="365" t="str">
        <f>CONCATENATE("Export Pipeline Trade of ",Commodities!C57, " from ",$B$1411," to R",RIGHT(C1411))</f>
        <v>Export Pipeline Trade of PFS from *R1 to R2</v>
      </c>
      <c r="E1411" s="381" t="s">
        <v>384</v>
      </c>
      <c r="F1411" s="381" t="s">
        <v>505</v>
      </c>
    </row>
    <row r="1412" spans="2:6">
      <c r="B1412" s="365" t="str">
        <f>IF(LEFT(Commodities!B$81,1)="*","*R1","R1")</f>
        <v>*R1</v>
      </c>
      <c r="C1412" s="365" t="str">
        <f>CONCATENATE("EXP",Commodities!C58,RIGHT(OILTrade!$P$56,2))</f>
        <v>EXPRFH12</v>
      </c>
      <c r="D1412" s="365" t="str">
        <f>CONCATENATE("Export Pipeline Trade of ",Commodities!C58, " from ",$B$1412," to R",RIGHT(C1412))</f>
        <v>Export Pipeline Trade of RFH from *R1 to R2</v>
      </c>
      <c r="E1412" s="381" t="s">
        <v>384</v>
      </c>
      <c r="F1412" s="381" t="s">
        <v>505</v>
      </c>
    </row>
    <row r="1413" spans="2:6">
      <c r="B1413" s="365" t="str">
        <f>IF(LEFT(Commodities!B$82,1)="*","*R1","R1")</f>
        <v>R1</v>
      </c>
      <c r="C1413" s="365" t="str">
        <f>CONCATENATE("EXP",Commodities!C59,RIGHT(OILTrade!$P$56,2))</f>
        <v>EXPRFL12</v>
      </c>
      <c r="D1413" s="365" t="str">
        <f>CONCATENATE("Export Pipeline Trade of ",Commodities!C59, " from ",$B$1413," to R",RIGHT(C1413))</f>
        <v>Export Pipeline Trade of RFL from R1 to R2</v>
      </c>
      <c r="E1413" s="381" t="s">
        <v>384</v>
      </c>
      <c r="F1413" s="381" t="s">
        <v>505</v>
      </c>
    </row>
    <row r="1414" spans="2:6">
      <c r="B1414" s="365" t="str">
        <f>IF(LEFT(Commodities!B$83,1)="*","*R1","R1")</f>
        <v>*R1</v>
      </c>
      <c r="C1414" s="365" t="str">
        <f>CONCATENATE("EXP",Commodities!C60,RIGHT(OILTrade!$P$56,2))</f>
        <v>EXPASP12</v>
      </c>
      <c r="D1414" s="365" t="str">
        <f>CONCATENATE("Export Pipeline Trade of ",Commodities!C60, " from ",$B$1414," to R",RIGHT(C1414))</f>
        <v>Export Pipeline Trade of ASP from *R1 to R2</v>
      </c>
      <c r="E1414" s="381" t="s">
        <v>384</v>
      </c>
      <c r="F1414" s="381" t="s">
        <v>505</v>
      </c>
    </row>
    <row r="1415" spans="2:6">
      <c r="B1415" s="365" t="str">
        <f>IF(LEFT(Commodities!B$156,1)="*","*R6","R6")</f>
        <v>*R6</v>
      </c>
      <c r="C1415" s="365" t="str">
        <f>CONCATENATE("EXP",Commodities!C48,RIGHT(OILTrade!$Q$61,2))</f>
        <v>EXPGSC63</v>
      </c>
      <c r="D1415" s="365" t="str">
        <f>CONCATENATE("Export Pipeline Trade of ",Commodities!C48, " from ",$B1415," to R",RIGHT(C1415))</f>
        <v>Export Pipeline Trade of GSC from *R6 to R3</v>
      </c>
      <c r="E1415" s="381" t="s">
        <v>384</v>
      </c>
      <c r="F1415" s="381" t="s">
        <v>505</v>
      </c>
    </row>
    <row r="1416" spans="2:6">
      <c r="B1416" s="365" t="str">
        <f>IF(LEFT(Commodities!B$157,1)="*","*R6","R6")</f>
        <v>*R6</v>
      </c>
      <c r="C1416" s="365" t="str">
        <f>CONCATENATE("EXP",Commodities!C49,RIGHT(OILTrade!$Q$61,2))</f>
        <v>EXPGSR63</v>
      </c>
      <c r="D1416" s="365" t="str">
        <f>CONCATENATE("Export Pipeline Trade of ",Commodities!C49, " from ",$B$1416," to R",RIGHT(C1416))</f>
        <v>Export Pipeline Trade of GSR from *R6 to R3</v>
      </c>
      <c r="E1416" s="381" t="s">
        <v>384</v>
      </c>
      <c r="F1416" s="381" t="s">
        <v>505</v>
      </c>
    </row>
    <row r="1417" spans="2:6">
      <c r="B1417" s="365" t="str">
        <f>IF(LEFT(Commodities!B$158,1)="*","*R6","R6")</f>
        <v>*R6</v>
      </c>
      <c r="C1417" s="365" t="str">
        <f>CONCATENATE("EXP",Commodities!C50,RIGHT(OILTrade!$Q$61,2))</f>
        <v>EXPDSH63</v>
      </c>
      <c r="D1417" s="365" t="str">
        <f>CONCATENATE("Export Pipeline Trade of ",Commodities!C50, " from ",$B$1417," to R",RIGHT(C1417))</f>
        <v>Export Pipeline Trade of DSH from *R6 to R3</v>
      </c>
      <c r="E1417" s="381" t="s">
        <v>384</v>
      </c>
      <c r="F1417" s="381" t="s">
        <v>505</v>
      </c>
    </row>
    <row r="1418" spans="2:6">
      <c r="B1418" s="365" t="str">
        <f>IF(LEFT(Commodities!B$159,1)="*","*R6","R6")</f>
        <v>*R6</v>
      </c>
      <c r="C1418" s="365" t="str">
        <f>CONCATENATE("EXP",Commodities!C51,RIGHT(OILTrade!$Q$61,2))</f>
        <v>EXPDSL63</v>
      </c>
      <c r="D1418" s="365" t="str">
        <f>CONCATENATE("Export Pipeline Trade of ",Commodities!C51, " from ",$B$1418," to R",RIGHT(C1418))</f>
        <v>Export Pipeline Trade of DSL from *R6 to R3</v>
      </c>
      <c r="E1418" s="381" t="s">
        <v>384</v>
      </c>
      <c r="F1418" s="381" t="s">
        <v>505</v>
      </c>
    </row>
    <row r="1419" spans="2:6">
      <c r="B1419" s="365" t="str">
        <f>IF(LEFT(Commodities!B$160,1)="*","*R6","R6")</f>
        <v>*R6</v>
      </c>
      <c r="C1419" s="365" t="str">
        <f>CONCATENATE("EXP",Commodities!C52,RIGHT(OILTrade!$Q$61,2))</f>
        <v>EXPDSU63</v>
      </c>
      <c r="D1419" s="365" t="str">
        <f>CONCATENATE("Export Pipeline Trade of ",Commodities!C52, " from ",$B$1419," to R",RIGHT(C1419))</f>
        <v>Export Pipeline Trade of DSU from *R6 to R3</v>
      </c>
      <c r="E1419" s="381" t="s">
        <v>384</v>
      </c>
      <c r="F1419" s="381" t="s">
        <v>505</v>
      </c>
    </row>
    <row r="1420" spans="2:6">
      <c r="B1420" s="365" t="str">
        <f>IF(LEFT(Commodities!B$161,1)="*","*R6","R6")</f>
        <v>*R6</v>
      </c>
      <c r="C1420" s="365" t="str">
        <f>CONCATENATE("EXP",Commodities!C53,RIGHT(OILTrade!$Q$61,2))</f>
        <v>EXPJTF63</v>
      </c>
      <c r="D1420" s="365" t="str">
        <f>CONCATENATE("Export Pipeline Trade of ",Commodities!C53, " from ",$B$1420," to R",RIGHT(C1420))</f>
        <v>Export Pipeline Trade of JTF from *R6 to R3</v>
      </c>
      <c r="E1420" s="381" t="s">
        <v>384</v>
      </c>
      <c r="F1420" s="381" t="s">
        <v>505</v>
      </c>
    </row>
    <row r="1421" spans="2:6">
      <c r="B1421" s="365" t="str">
        <f>IF(LEFT(Commodities!B$162,1)="*","*R6","R6")</f>
        <v>*R6</v>
      </c>
      <c r="C1421" s="365" t="str">
        <f>CONCATENATE("EXP",Commodities!C54,RIGHT(OILTrade!$Q$61,2))</f>
        <v>EXPKER63</v>
      </c>
      <c r="D1421" s="365" t="str">
        <f>CONCATENATE("Export Pipeline Trade of ",Commodities!C54, " from ",$B$1421," to R",RIGHT(C1421))</f>
        <v>Export Pipeline Trade of KER from *R6 to R3</v>
      </c>
      <c r="E1421" s="381" t="s">
        <v>384</v>
      </c>
      <c r="F1421" s="381" t="s">
        <v>505</v>
      </c>
    </row>
    <row r="1422" spans="2:6">
      <c r="B1422" s="365" t="str">
        <f>IF(LEFT(Commodities!B$163,1)="*","*R6","R6")</f>
        <v>*R6</v>
      </c>
      <c r="C1422" s="365" t="str">
        <f>CONCATENATE("EXP",Commodities!C55,RIGHT(OILTrade!$Q$61,2))</f>
        <v>EXPLPG63</v>
      </c>
      <c r="D1422" s="365" t="str">
        <f>CONCATENATE("Export Pipeline Trade of ",Commodities!C55, " from ",$B$1422," to R",RIGHT(C1422))</f>
        <v>Export Pipeline Trade of LPG from *R6 to R3</v>
      </c>
      <c r="E1422" s="381" t="s">
        <v>384</v>
      </c>
      <c r="F1422" s="381" t="s">
        <v>505</v>
      </c>
    </row>
    <row r="1423" spans="2:6">
      <c r="B1423" s="365" t="str">
        <f>IF(LEFT(Commodities!B$164,1)="*","*R6","R6")</f>
        <v>*R6</v>
      </c>
      <c r="C1423" s="365" t="str">
        <f>CONCATENATE("EXP",Commodities!C56,RIGHT(OILTrade!$Q$61,2))</f>
        <v>EXPMTH63</v>
      </c>
      <c r="D1423" s="365" t="str">
        <f>CONCATENATE("Export Pipeline Trade of ",Commodities!C56, " from ",$B$1423," to R",RIGHT(C1423))</f>
        <v>Export Pipeline Trade of MTH from *R6 to R3</v>
      </c>
      <c r="E1423" s="381" t="s">
        <v>384</v>
      </c>
      <c r="F1423" s="381" t="s">
        <v>505</v>
      </c>
    </row>
    <row r="1424" spans="2:6">
      <c r="B1424" s="365" t="str">
        <f>IF(LEFT(Commodities!B$165,1)="*","*R6","R6")</f>
        <v>*R6</v>
      </c>
      <c r="C1424" s="365" t="str">
        <f>CONCATENATE("EXP",Commodities!C57,RIGHT(OILTrade!$Q$61,2))</f>
        <v>EXPPFS63</v>
      </c>
      <c r="D1424" s="365" t="str">
        <f>CONCATENATE("Export Pipeline Trade of ",Commodities!C57, " from ",$B$1424," to R",RIGHT(C1424))</f>
        <v>Export Pipeline Trade of PFS from *R6 to R3</v>
      </c>
      <c r="E1424" s="381" t="s">
        <v>384</v>
      </c>
      <c r="F1424" s="381" t="s">
        <v>505</v>
      </c>
    </row>
    <row r="1425" spans="2:6">
      <c r="B1425" s="365" t="str">
        <f>IF(LEFT(Commodities!B$166,1)="*","*R6","R6")</f>
        <v>*R6</v>
      </c>
      <c r="C1425" s="365" t="str">
        <f>CONCATENATE("EXP",Commodities!C58,RIGHT(OILTrade!$Q$61,2))</f>
        <v>EXPRFH63</v>
      </c>
      <c r="D1425" s="365" t="str">
        <f>CONCATENATE("Export Pipeline Trade of ",Commodities!C58, " from ",$B$1425," to R",RIGHT(C1425))</f>
        <v>Export Pipeline Trade of RFH from *R6 to R3</v>
      </c>
      <c r="E1425" s="381" t="s">
        <v>384</v>
      </c>
      <c r="F1425" s="381" t="s">
        <v>505</v>
      </c>
    </row>
    <row r="1426" spans="2:6">
      <c r="B1426" s="365" t="str">
        <f>IF(LEFT(Commodities!B$167,1)="*","*R6","R6")</f>
        <v>*R6</v>
      </c>
      <c r="C1426" s="365" t="str">
        <f>CONCATENATE("EXP",Commodities!C59,RIGHT(OILTrade!$Q$61,2))</f>
        <v>EXPRFL63</v>
      </c>
      <c r="D1426" s="365" t="str">
        <f>CONCATENATE("Export Pipeline Trade of ",Commodities!C59, " from ",$B$1426," to R",RIGHT(C1426))</f>
        <v>Export Pipeline Trade of RFL from *R6 to R3</v>
      </c>
      <c r="E1426" s="381" t="s">
        <v>384</v>
      </c>
      <c r="F1426" s="381" t="s">
        <v>505</v>
      </c>
    </row>
    <row r="1427" spans="2:6">
      <c r="B1427" s="365" t="str">
        <f>IF(LEFT(Commodities!B$168,1)="*","*R6","R6")</f>
        <v>*R6</v>
      </c>
      <c r="C1427" s="365" t="str">
        <f>CONCATENATE("EXP",Commodities!C60,RIGHT(OILTrade!$Q$61,2))</f>
        <v>EXPASP63</v>
      </c>
      <c r="D1427" s="365" t="str">
        <f>CONCATENATE("Export Pipeline Trade of ",Commodities!C60, " from ",$B$1427," to R",RIGHT(C1427))</f>
        <v>Export Pipeline Trade of ASP from *R6 to R3</v>
      </c>
      <c r="E1427" s="381" t="s">
        <v>384</v>
      </c>
      <c r="F1427" s="381" t="s">
        <v>505</v>
      </c>
    </row>
    <row r="1428" spans="2:6">
      <c r="B1428" s="365" t="str">
        <f>IF(LEFT(Commodities!B$156,1)="*","*R6","R6")</f>
        <v>*R6</v>
      </c>
      <c r="C1428" s="365" t="str">
        <f>CONCATENATE("EXP",Commodities!C48,RIGHT(OILTrade!$R$61,2))</f>
        <v>EXPGSC64</v>
      </c>
      <c r="D1428" s="365" t="str">
        <f>CONCATENATE("Export Pipeline Trade of ",Commodities!C48, " from ",$B$1428," to R",RIGHT(C1428))</f>
        <v>Export Pipeline Trade of GSC from *R6 to R4</v>
      </c>
      <c r="E1428" s="381" t="s">
        <v>384</v>
      </c>
      <c r="F1428" s="381" t="s">
        <v>505</v>
      </c>
    </row>
    <row r="1429" spans="2:6">
      <c r="B1429" s="365" t="str">
        <f>IF(LEFT(Commodities!B$157,1)="*","*R6","R6")</f>
        <v>*R6</v>
      </c>
      <c r="C1429" s="365" t="str">
        <f>CONCATENATE("EXP",Commodities!C49,RIGHT(OILTrade!$R$61,2))</f>
        <v>EXPGSR64</v>
      </c>
      <c r="D1429" s="365" t="str">
        <f>CONCATENATE("Export Pipeline Trade of ",Commodities!C49, " from ",$B$1429," to R",RIGHT(C1429))</f>
        <v>Export Pipeline Trade of GSR from *R6 to R4</v>
      </c>
      <c r="E1429" s="381" t="s">
        <v>384</v>
      </c>
      <c r="F1429" s="381" t="s">
        <v>505</v>
      </c>
    </row>
    <row r="1430" spans="2:6">
      <c r="B1430" s="365" t="str">
        <f>IF(LEFT(Commodities!B$158,1)="*","*R6","R6")</f>
        <v>*R6</v>
      </c>
      <c r="C1430" s="365" t="str">
        <f>CONCATENATE("EXP",Commodities!C50,RIGHT(OILTrade!$R$61,2))</f>
        <v>EXPDSH64</v>
      </c>
      <c r="D1430" s="365" t="str">
        <f>CONCATENATE("Export Pipeline Trade of ",Commodities!C50, " from ",$B$1430," to R",RIGHT(C1430))</f>
        <v>Export Pipeline Trade of DSH from *R6 to R4</v>
      </c>
      <c r="E1430" s="381" t="s">
        <v>384</v>
      </c>
      <c r="F1430" s="381" t="s">
        <v>505</v>
      </c>
    </row>
    <row r="1431" spans="2:6">
      <c r="B1431" s="365" t="str">
        <f>IF(LEFT(Commodities!B$159,1)="*","*R6","R6")</f>
        <v>*R6</v>
      </c>
      <c r="C1431" s="365" t="str">
        <f>CONCATENATE("EXP",Commodities!C51,RIGHT(OILTrade!$R$61,2))</f>
        <v>EXPDSL64</v>
      </c>
      <c r="D1431" s="365" t="str">
        <f>CONCATENATE("Export Pipeline Trade of ",Commodities!C51, " from ",$B$1431," to R",RIGHT(C1431))</f>
        <v>Export Pipeline Trade of DSL from *R6 to R4</v>
      </c>
      <c r="E1431" s="381" t="s">
        <v>384</v>
      </c>
      <c r="F1431" s="381" t="s">
        <v>505</v>
      </c>
    </row>
    <row r="1432" spans="2:6">
      <c r="B1432" s="365" t="str">
        <f>IF(LEFT(Commodities!B$160,1)="*","*R6","R6")</f>
        <v>*R6</v>
      </c>
      <c r="C1432" s="365" t="str">
        <f>CONCATENATE("EXP",Commodities!C52,RIGHT(OILTrade!$R$61,2))</f>
        <v>EXPDSU64</v>
      </c>
      <c r="D1432" s="365" t="str">
        <f>CONCATENATE("Export Pipeline Trade of ",Commodities!C52, " from ",$B$1432," to R",RIGHT(C1432))</f>
        <v>Export Pipeline Trade of DSU from *R6 to R4</v>
      </c>
      <c r="E1432" s="381" t="s">
        <v>384</v>
      </c>
      <c r="F1432" s="381" t="s">
        <v>505</v>
      </c>
    </row>
    <row r="1433" spans="2:6">
      <c r="B1433" s="365" t="str">
        <f>IF(LEFT(Commodities!B$161,1)="*","*R6","R6")</f>
        <v>*R6</v>
      </c>
      <c r="C1433" s="365" t="str">
        <f>CONCATENATE("EXP",Commodities!C53,RIGHT(OILTrade!$R$61,2))</f>
        <v>EXPJTF64</v>
      </c>
      <c r="D1433" s="365" t="str">
        <f>CONCATENATE("Export Pipeline Trade of ",Commodities!C53, " from ",$B$1433," to R",RIGHT(C1433))</f>
        <v>Export Pipeline Trade of JTF from *R6 to R4</v>
      </c>
      <c r="E1433" s="381" t="s">
        <v>384</v>
      </c>
      <c r="F1433" s="381" t="s">
        <v>505</v>
      </c>
    </row>
    <row r="1434" spans="2:6">
      <c r="B1434" s="365" t="str">
        <f>IF(LEFT(Commodities!B$162,1)="*","*R6","R6")</f>
        <v>*R6</v>
      </c>
      <c r="C1434" s="365" t="str">
        <f>CONCATENATE("EXP",Commodities!C54,RIGHT(OILTrade!$R$61,2))</f>
        <v>EXPKER64</v>
      </c>
      <c r="D1434" s="365" t="str">
        <f>CONCATENATE("Export Pipeline Trade of ",Commodities!C54, " from ",$B$1434," to R",RIGHT(C1434))</f>
        <v>Export Pipeline Trade of KER from *R6 to R4</v>
      </c>
      <c r="E1434" s="381" t="s">
        <v>384</v>
      </c>
      <c r="F1434" s="381" t="s">
        <v>505</v>
      </c>
    </row>
    <row r="1435" spans="2:6">
      <c r="B1435" s="365" t="str">
        <f>IF(LEFT(Commodities!B$163,1)="*","*R6","R6")</f>
        <v>*R6</v>
      </c>
      <c r="C1435" s="365" t="str">
        <f>CONCATENATE("EXP",Commodities!C55,RIGHT(OILTrade!$R$61,2))</f>
        <v>EXPLPG64</v>
      </c>
      <c r="D1435" s="365" t="str">
        <f>CONCATENATE("Export Pipeline Trade of ",Commodities!C55, " from ",$B$1435," to R",RIGHT(C1435))</f>
        <v>Export Pipeline Trade of LPG from *R6 to R4</v>
      </c>
      <c r="E1435" s="381" t="s">
        <v>384</v>
      </c>
      <c r="F1435" s="381" t="s">
        <v>505</v>
      </c>
    </row>
    <row r="1436" spans="2:6">
      <c r="B1436" s="365" t="str">
        <f>IF(LEFT(Commodities!B$164,1)="*","*R6","R6")</f>
        <v>*R6</v>
      </c>
      <c r="C1436" s="365" t="str">
        <f>CONCATENATE("EXP",Commodities!C56,RIGHT(OILTrade!$R$61,2))</f>
        <v>EXPMTH64</v>
      </c>
      <c r="D1436" s="365" t="str">
        <f>CONCATENATE("Export Pipeline Trade of ",Commodities!C56, " from ",$B$1436," to R",RIGHT(C1436))</f>
        <v>Export Pipeline Trade of MTH from *R6 to R4</v>
      </c>
      <c r="E1436" s="381" t="s">
        <v>384</v>
      </c>
      <c r="F1436" s="381" t="s">
        <v>505</v>
      </c>
    </row>
    <row r="1437" spans="2:6">
      <c r="B1437" s="365" t="str">
        <f>IF(LEFT(Commodities!B$165,1)="*","*R6","R6")</f>
        <v>*R6</v>
      </c>
      <c r="C1437" s="365" t="str">
        <f>CONCATENATE("EXP",Commodities!C57,RIGHT(OILTrade!$R$61,2))</f>
        <v>EXPPFS64</v>
      </c>
      <c r="D1437" s="365" t="str">
        <f>CONCATENATE("Export Pipeline Trade of ",Commodities!C57, " from ",$B$1437," to R",RIGHT(C1437))</f>
        <v>Export Pipeline Trade of PFS from *R6 to R4</v>
      </c>
      <c r="E1437" s="381" t="s">
        <v>384</v>
      </c>
      <c r="F1437" s="381" t="s">
        <v>505</v>
      </c>
    </row>
    <row r="1438" spans="2:6">
      <c r="B1438" s="365" t="str">
        <f>IF(LEFT(Commodities!B$166,1)="*","*R6","R6")</f>
        <v>*R6</v>
      </c>
      <c r="C1438" s="365" t="str">
        <f>CONCATENATE("EXP",Commodities!C58,RIGHT(OILTrade!$R$61,2))</f>
        <v>EXPRFH64</v>
      </c>
      <c r="D1438" s="365" t="str">
        <f>CONCATENATE("Export Pipeline Trade of ",Commodities!C58, " from ",$B$1438," to R",RIGHT(C1438))</f>
        <v>Export Pipeline Trade of RFH from *R6 to R4</v>
      </c>
      <c r="E1438" s="381" t="s">
        <v>384</v>
      </c>
      <c r="F1438" s="381" t="s">
        <v>505</v>
      </c>
    </row>
    <row r="1439" spans="2:6">
      <c r="B1439" s="365" t="str">
        <f>IF(LEFT(Commodities!B$167,1)="*","*R6","R6")</f>
        <v>*R6</v>
      </c>
      <c r="C1439" s="365" t="str">
        <f>CONCATENATE("EXP",Commodities!C59,RIGHT(OILTrade!$R$61,2))</f>
        <v>EXPRFL64</v>
      </c>
      <c r="D1439" s="365" t="str">
        <f>CONCATENATE("Export Pipeline Trade of ",Commodities!C59, " from ",$B$1439," to R",RIGHT(C1439))</f>
        <v>Export Pipeline Trade of RFL from *R6 to R4</v>
      </c>
      <c r="E1439" s="381" t="s">
        <v>384</v>
      </c>
      <c r="F1439" s="381" t="s">
        <v>505</v>
      </c>
    </row>
    <row r="1440" spans="2:6">
      <c r="B1440" s="365" t="str">
        <f>IF(LEFT(Commodities!B$168,1)="*","*R6","R6")</f>
        <v>*R6</v>
      </c>
      <c r="C1440" s="365" t="str">
        <f>CONCATENATE("EXP",Commodities!C60,RIGHT(OILTrade!$R$61,2))</f>
        <v>EXPASP64</v>
      </c>
      <c r="D1440" s="365" t="str">
        <f>CONCATENATE("Export Pipeline Trade of ",Commodities!C60, " from ",$B$1440," to R",RIGHT(C1440))</f>
        <v>Export Pipeline Trade of ASP from *R6 to R4</v>
      </c>
      <c r="E1440" s="381" t="s">
        <v>384</v>
      </c>
      <c r="F1440" s="381" t="s">
        <v>505</v>
      </c>
    </row>
    <row r="1441" spans="2:6">
      <c r="B1441" s="365" t="str">
        <f>IF(LEFT(Commodities!B$71,1)="*","*R1","R1")</f>
        <v>R1</v>
      </c>
      <c r="C1441" s="365" t="str">
        <f>CONCATENATE("EXP",Commodities!C48,RIGHT(OILTrade!$S$56,2))</f>
        <v>EXPGSC15</v>
      </c>
      <c r="D1441" s="365" t="str">
        <f>CONCATENATE("Export Pipeline Trade of ",Commodities!C48, " from ",$B$1441," to R",RIGHT(C1441))</f>
        <v>Export Pipeline Trade of GSC from R1 to R5</v>
      </c>
      <c r="E1441" s="381" t="s">
        <v>384</v>
      </c>
      <c r="F1441" s="381" t="s">
        <v>505</v>
      </c>
    </row>
    <row r="1442" spans="2:6">
      <c r="B1442" s="365" t="str">
        <f>IF(LEFT(Commodities!B$72,1)="*","*R1","R1")</f>
        <v>R1</v>
      </c>
      <c r="C1442" s="365" t="str">
        <f>CONCATENATE("EXP",Commodities!C49,RIGHT(OILTrade!$S$56,2))</f>
        <v>EXPGSR15</v>
      </c>
      <c r="D1442" s="365" t="str">
        <f>CONCATENATE("Export Pipeline Trade of ",Commodities!C49, " from ",$B$1442," to R",RIGHT(C1442))</f>
        <v>Export Pipeline Trade of GSR from R1 to R5</v>
      </c>
      <c r="E1442" s="381" t="s">
        <v>384</v>
      </c>
      <c r="F1442" s="381" t="s">
        <v>505</v>
      </c>
    </row>
    <row r="1443" spans="2:6">
      <c r="B1443" s="365" t="str">
        <f>IF(LEFT(Commodities!B$73,1)="*","*R1","R1")</f>
        <v>R1</v>
      </c>
      <c r="C1443" s="365" t="str">
        <f>CONCATENATE("EXP",Commodities!C50,RIGHT(OILTrade!$S$56,2))</f>
        <v>EXPDSH15</v>
      </c>
      <c r="D1443" s="365" t="str">
        <f>CONCATENATE("Export Pipeline Trade of ",Commodities!C50, " from ",$B$1443," to R",RIGHT(C1443))</f>
        <v>Export Pipeline Trade of DSH from R1 to R5</v>
      </c>
      <c r="E1443" s="381" t="s">
        <v>384</v>
      </c>
      <c r="F1443" s="381" t="s">
        <v>505</v>
      </c>
    </row>
    <row r="1444" spans="2:6">
      <c r="B1444" s="365" t="str">
        <f>IF(LEFT(Commodities!B$74,1)="*","*R1","R1")</f>
        <v>R1</v>
      </c>
      <c r="C1444" s="365" t="str">
        <f>CONCATENATE("EXP",Commodities!C51,RIGHT(OILTrade!$S$56,2))</f>
        <v>EXPDSL15</v>
      </c>
      <c r="D1444" s="365" t="str">
        <f>CONCATENATE("Export Pipeline Trade of ",Commodities!C51, " from ",$B$1444," to R",RIGHT(C1444))</f>
        <v>Export Pipeline Trade of DSL from R1 to R5</v>
      </c>
      <c r="E1444" s="381" t="s">
        <v>384</v>
      </c>
      <c r="F1444" s="381" t="s">
        <v>505</v>
      </c>
    </row>
    <row r="1445" spans="2:6">
      <c r="B1445" s="365" t="str">
        <f>IF(LEFT(Commodities!B$75,1)="*","*R1","R1")</f>
        <v>R1</v>
      </c>
      <c r="C1445" s="365" t="str">
        <f>CONCATENATE("EXP",Commodities!C52,RIGHT(OILTrade!$S$56,2))</f>
        <v>EXPDSU15</v>
      </c>
      <c r="D1445" s="365" t="str">
        <f>CONCATENATE("Export Pipeline Trade of ",Commodities!C52, " from ",$B$1445," to R",RIGHT(C1445))</f>
        <v>Export Pipeline Trade of DSU from R1 to R5</v>
      </c>
      <c r="E1445" s="381" t="s">
        <v>384</v>
      </c>
      <c r="F1445" s="381" t="s">
        <v>505</v>
      </c>
    </row>
    <row r="1446" spans="2:6">
      <c r="B1446" s="365" t="str">
        <f>IF(LEFT(Commodities!B$76,1)="*","*R1","R1")</f>
        <v>R1</v>
      </c>
      <c r="C1446" s="365" t="str">
        <f>CONCATENATE("EXP",Commodities!C53,RIGHT(OILTrade!$S$56,2))</f>
        <v>EXPJTF15</v>
      </c>
      <c r="D1446" s="365" t="str">
        <f>CONCATENATE("Export Pipeline Trade of ",Commodities!C53, " from ",$B$1446," to R",RIGHT(C1446))</f>
        <v>Export Pipeline Trade of JTF from R1 to R5</v>
      </c>
      <c r="E1446" s="381" t="s">
        <v>384</v>
      </c>
      <c r="F1446" s="381" t="s">
        <v>505</v>
      </c>
    </row>
    <row r="1447" spans="2:6">
      <c r="B1447" s="365" t="str">
        <f>IF(LEFT(Commodities!B$77,1)="*","*R1","R1")</f>
        <v>*R1</v>
      </c>
      <c r="C1447" s="365" t="str">
        <f>CONCATENATE("EXP",Commodities!C54,RIGHT(OILTrade!$S$56,2))</f>
        <v>EXPKER15</v>
      </c>
      <c r="D1447" s="365" t="str">
        <f>CONCATENATE("Export Pipeline Trade of ",Commodities!C54, " from ",$B$1447," to R",RIGHT(C1447))</f>
        <v>Export Pipeline Trade of KER from *R1 to R5</v>
      </c>
      <c r="E1447" s="381" t="s">
        <v>384</v>
      </c>
      <c r="F1447" s="381" t="s">
        <v>505</v>
      </c>
    </row>
    <row r="1448" spans="2:6">
      <c r="B1448" s="365" t="str">
        <f>IF(LEFT(Commodities!B$78,1)="*","*R1","R1")</f>
        <v>*R1</v>
      </c>
      <c r="C1448" s="365" t="str">
        <f>CONCATENATE("EXP",Commodities!C55,RIGHT(OILTrade!$S$56,2))</f>
        <v>EXPLPG15</v>
      </c>
      <c r="D1448" s="365" t="str">
        <f>CONCATENATE("Export Pipeline Trade of ",Commodities!C55, " from ",$B$1448," to R",RIGHT(C1448))</f>
        <v>Export Pipeline Trade of LPG from *R1 to R5</v>
      </c>
      <c r="E1448" s="381" t="s">
        <v>384</v>
      </c>
      <c r="F1448" s="381" t="s">
        <v>505</v>
      </c>
    </row>
    <row r="1449" spans="2:6">
      <c r="B1449" s="365" t="str">
        <f>IF(LEFT(Commodities!B$79,1)="*","*R1","R1")</f>
        <v>*R1</v>
      </c>
      <c r="C1449" s="365" t="str">
        <f>CONCATENATE("EXP",Commodities!C56,RIGHT(OILTrade!$S$56,2))</f>
        <v>EXPMTH15</v>
      </c>
      <c r="D1449" s="365" t="str">
        <f>CONCATENATE("Export Pipeline Trade of ",Commodities!C56, " from ",$B$1449," to R",RIGHT(C1449))</f>
        <v>Export Pipeline Trade of MTH from *R1 to R5</v>
      </c>
      <c r="E1449" s="381" t="s">
        <v>384</v>
      </c>
      <c r="F1449" s="381" t="s">
        <v>505</v>
      </c>
    </row>
    <row r="1450" spans="2:6">
      <c r="B1450" s="365" t="str">
        <f>IF(LEFT(Commodities!B$80,1)="*","*R1","R1")</f>
        <v>*R1</v>
      </c>
      <c r="C1450" s="365" t="str">
        <f>CONCATENATE("EXP",Commodities!C57,RIGHT(OILTrade!$S$56,2))</f>
        <v>EXPPFS15</v>
      </c>
      <c r="D1450" s="365" t="str">
        <f>CONCATENATE("Export Pipeline Trade of ",Commodities!C57, " from ",$B$1450," to R",RIGHT(C1450))</f>
        <v>Export Pipeline Trade of PFS from *R1 to R5</v>
      </c>
      <c r="E1450" s="381" t="s">
        <v>384</v>
      </c>
      <c r="F1450" s="381" t="s">
        <v>505</v>
      </c>
    </row>
    <row r="1451" spans="2:6">
      <c r="B1451" s="365" t="str">
        <f>IF(LEFT(Commodities!B$81,1)="*","*R1","R1")</f>
        <v>*R1</v>
      </c>
      <c r="C1451" s="365" t="str">
        <f>CONCATENATE("EXP",Commodities!C58,RIGHT(OILTrade!$S$56,2))</f>
        <v>EXPRFH15</v>
      </c>
      <c r="D1451" s="365" t="str">
        <f>CONCATENATE("Export Pipeline Trade of ",Commodities!C58, " from ",$B$1451," to R",RIGHT(C1451))</f>
        <v>Export Pipeline Trade of RFH from *R1 to R5</v>
      </c>
      <c r="E1451" s="381" t="s">
        <v>384</v>
      </c>
      <c r="F1451" s="381" t="s">
        <v>505</v>
      </c>
    </row>
    <row r="1452" spans="2:6">
      <c r="B1452" s="365" t="str">
        <f>IF(LEFT(Commodities!B$82,1)="*","*R1","R1")</f>
        <v>R1</v>
      </c>
      <c r="C1452" s="365" t="str">
        <f>CONCATENATE("EXP",Commodities!C59,RIGHT(OILTrade!$S$56,2))</f>
        <v>EXPRFL15</v>
      </c>
      <c r="D1452" s="365" t="str">
        <f>CONCATENATE("Export Pipeline Trade of ",Commodities!C59, " from ",$B$1452," to R",RIGHT(C1452))</f>
        <v>Export Pipeline Trade of RFL from R1 to R5</v>
      </c>
      <c r="E1452" s="381" t="s">
        <v>384</v>
      </c>
      <c r="F1452" s="381" t="s">
        <v>505</v>
      </c>
    </row>
    <row r="1453" spans="2:6">
      <c r="B1453" s="365" t="str">
        <f>IF(LEFT(Commodities!B$83,1)="*","*R1","R1")</f>
        <v>*R1</v>
      </c>
      <c r="C1453" s="365" t="str">
        <f>CONCATENATE("EXP",Commodities!C60,RIGHT(OILTrade!$S$56,2))</f>
        <v>EXPASP15</v>
      </c>
      <c r="D1453" s="365" t="str">
        <f>CONCATENATE("Export Pipeline Trade of ",Commodities!C60, " from ",$B$1453," to R",RIGHT(C1453))</f>
        <v>Export Pipeline Trade of ASP from *R1 to R5</v>
      </c>
      <c r="E1453" s="381" t="s">
        <v>384</v>
      </c>
      <c r="F1453" s="381" t="s">
        <v>505</v>
      </c>
    </row>
    <row r="1454" spans="2:6">
      <c r="B1454" s="365" t="s">
        <v>1089</v>
      </c>
      <c r="C1454" s="365" t="str">
        <f>CONCATENATE("EXP",Commodities!C48,RIGHT(OILTrade!$V$61,2))</f>
        <v>EXPGSC</v>
      </c>
      <c r="D1454" s="365" t="str">
        <f>CONCATENATE("Export Pipeline Trade of ",Commodities!C48, " from ",$B$1454," to R",RIGHT(C1454))</f>
        <v>Export Pipeline Trade of GSC from *R6 to RC</v>
      </c>
      <c r="E1454" s="381" t="s">
        <v>384</v>
      </c>
      <c r="F1454" s="381" t="s">
        <v>505</v>
      </c>
    </row>
    <row r="1455" spans="2:6">
      <c r="B1455" s="365" t="s">
        <v>1089</v>
      </c>
      <c r="C1455" s="365" t="str">
        <f>CONCATENATE("EXP",Commodities!C49,RIGHT(OILTrade!$V$61,2))</f>
        <v>EXPGSR</v>
      </c>
      <c r="D1455" s="365" t="str">
        <f>CONCATENATE("Export Pipeline Trade of ",Commodities!C49, " from ",$B$1415," to R",RIGHT(C1455))</f>
        <v>Export Pipeline Trade of GSR from *R6 to RR</v>
      </c>
      <c r="E1455" s="381" t="s">
        <v>384</v>
      </c>
      <c r="F1455" s="381" t="s">
        <v>505</v>
      </c>
    </row>
    <row r="1456" spans="2:6">
      <c r="B1456" s="365" t="s">
        <v>1089</v>
      </c>
      <c r="C1456" s="365" t="str">
        <f>CONCATENATE("EXP",Commodities!C50,RIGHT(OILTrade!$V$61,2))</f>
        <v>EXPDSH</v>
      </c>
      <c r="D1456" s="365" t="str">
        <f>CONCATENATE("Export Pipeline Trade of ",Commodities!C50, " from ",$B$1415," to R",RIGHT(C1456))</f>
        <v>Export Pipeline Trade of DSH from *R6 to RH</v>
      </c>
      <c r="E1456" s="381" t="s">
        <v>384</v>
      </c>
      <c r="F1456" s="381" t="s">
        <v>505</v>
      </c>
    </row>
    <row r="1457" spans="2:6">
      <c r="B1457" s="365" t="s">
        <v>1089</v>
      </c>
      <c r="C1457" s="365" t="str">
        <f>CONCATENATE("EXP",Commodities!C51,RIGHT(OILTrade!$V$61,2))</f>
        <v>EXPDSL</v>
      </c>
      <c r="D1457" s="365" t="str">
        <f>CONCATENATE("Export Pipeline Trade of ",Commodities!C51, " from ",$B$1415," to R",RIGHT(C1457))</f>
        <v>Export Pipeline Trade of DSL from *R6 to RL</v>
      </c>
      <c r="E1457" s="381" t="s">
        <v>384</v>
      </c>
      <c r="F1457" s="381" t="s">
        <v>505</v>
      </c>
    </row>
    <row r="1458" spans="2:6">
      <c r="B1458" s="365" t="s">
        <v>1089</v>
      </c>
      <c r="C1458" s="365" t="str">
        <f>CONCATENATE("EXP",Commodities!C52,RIGHT(OILTrade!$V$61,2))</f>
        <v>EXPDSU</v>
      </c>
      <c r="D1458" s="365" t="str">
        <f>CONCATENATE("Export Pipeline Trade of ",Commodities!C52, " from ",$B$1415," to R",RIGHT(C1458))</f>
        <v>Export Pipeline Trade of DSU from *R6 to RU</v>
      </c>
      <c r="E1458" s="381" t="s">
        <v>384</v>
      </c>
      <c r="F1458" s="381" t="s">
        <v>505</v>
      </c>
    </row>
    <row r="1459" spans="2:6">
      <c r="B1459" s="365" t="s">
        <v>1089</v>
      </c>
      <c r="C1459" s="365" t="str">
        <f>CONCATENATE("EXP",Commodities!C53,RIGHT(OILTrade!$V$61,2))</f>
        <v>EXPJTF</v>
      </c>
      <c r="D1459" s="365" t="str">
        <f>CONCATENATE("Export Pipeline Trade of ",Commodities!C53, " from ",$B$1415," to R",RIGHT(C1459))</f>
        <v>Export Pipeline Trade of JTF from *R6 to RF</v>
      </c>
      <c r="E1459" s="381" t="s">
        <v>384</v>
      </c>
      <c r="F1459" s="381" t="s">
        <v>505</v>
      </c>
    </row>
    <row r="1460" spans="2:6">
      <c r="B1460" s="365" t="s">
        <v>1089</v>
      </c>
      <c r="C1460" s="365" t="str">
        <f>CONCATENATE("EXP",Commodities!C54,RIGHT(OILTrade!$V$61,2))</f>
        <v>EXPKER</v>
      </c>
      <c r="D1460" s="365" t="str">
        <f>CONCATENATE("Export Pipeline Trade of ",Commodities!C54, " from ",$B$1415," to R",RIGHT(C1460))</f>
        <v>Export Pipeline Trade of KER from *R6 to RR</v>
      </c>
      <c r="E1460" s="381" t="s">
        <v>384</v>
      </c>
      <c r="F1460" s="381" t="s">
        <v>505</v>
      </c>
    </row>
    <row r="1461" spans="2:6">
      <c r="B1461" s="365" t="s">
        <v>1089</v>
      </c>
      <c r="C1461" s="365" t="str">
        <f>CONCATENATE("EXP",Commodities!C55,RIGHT(OILTrade!$V$61,2))</f>
        <v>EXPLPG</v>
      </c>
      <c r="D1461" s="365" t="str">
        <f>CONCATENATE("Export Pipeline Trade of ",Commodities!C55, " from ",$B$1415," to R",RIGHT(C1461))</f>
        <v>Export Pipeline Trade of LPG from *R6 to RG</v>
      </c>
      <c r="E1461" s="381" t="s">
        <v>384</v>
      </c>
      <c r="F1461" s="381" t="s">
        <v>505</v>
      </c>
    </row>
    <row r="1462" spans="2:6">
      <c r="B1462" s="365" t="s">
        <v>1089</v>
      </c>
      <c r="C1462" s="365" t="str">
        <f>CONCATENATE("EXP",Commodities!C56,RIGHT(OILTrade!$V$61,2))</f>
        <v>EXPMTH</v>
      </c>
      <c r="D1462" s="365" t="str">
        <f>CONCATENATE("Export Pipeline Trade of ",Commodities!C56, " from ",$B$1415," to R",RIGHT(C1462))</f>
        <v>Export Pipeline Trade of MTH from *R6 to RH</v>
      </c>
      <c r="E1462" s="381" t="s">
        <v>384</v>
      </c>
      <c r="F1462" s="381" t="s">
        <v>505</v>
      </c>
    </row>
    <row r="1463" spans="2:6">
      <c r="B1463" s="365" t="s">
        <v>1089</v>
      </c>
      <c r="C1463" s="365" t="str">
        <f>CONCATENATE("EXP",Commodities!C57,RIGHT(OILTrade!$V$61,2))</f>
        <v>EXPPFS</v>
      </c>
      <c r="D1463" s="365" t="str">
        <f>CONCATENATE("Export Pipeline Trade of ",Commodities!C57, " from ",$B$1415," to R",RIGHT(C1463))</f>
        <v>Export Pipeline Trade of PFS from *R6 to RS</v>
      </c>
      <c r="E1463" s="381" t="s">
        <v>384</v>
      </c>
      <c r="F1463" s="381" t="s">
        <v>505</v>
      </c>
    </row>
    <row r="1464" spans="2:6">
      <c r="B1464" s="365" t="s">
        <v>1089</v>
      </c>
      <c r="C1464" s="365" t="str">
        <f>CONCATENATE("EXP",Commodities!C58,RIGHT(OILTrade!$V$61,2))</f>
        <v>EXPRFH</v>
      </c>
      <c r="D1464" s="365" t="str">
        <f>CONCATENATE("Export Pipeline Trade of ",Commodities!C58, " from ",$B$1415," to R",RIGHT(C1464))</f>
        <v>Export Pipeline Trade of RFH from *R6 to RH</v>
      </c>
      <c r="E1464" s="381" t="s">
        <v>384</v>
      </c>
      <c r="F1464" s="381" t="s">
        <v>505</v>
      </c>
    </row>
    <row r="1465" spans="2:6">
      <c r="B1465" s="365" t="s">
        <v>1089</v>
      </c>
      <c r="C1465" s="365" t="str">
        <f>CONCATENATE("EXP",Commodities!C59,RIGHT(OILTrade!$V$61,2))</f>
        <v>EXPRFL</v>
      </c>
      <c r="D1465" s="365" t="str">
        <f>CONCATENATE("Export Pipeline Trade of ",Commodities!C59, " from ",$B$1415," to R",RIGHT(C1465))</f>
        <v>Export Pipeline Trade of RFL from *R6 to RL</v>
      </c>
      <c r="E1465" s="381" t="s">
        <v>384</v>
      </c>
      <c r="F1465" s="381" t="s">
        <v>505</v>
      </c>
    </row>
    <row r="1466" spans="2:6">
      <c r="B1466" s="365" t="s">
        <v>1089</v>
      </c>
      <c r="C1466" s="365" t="str">
        <f>CONCATENATE("EXP",Commodities!C60,RIGHT(OILTrade!$V$61,2))</f>
        <v>EXPASP</v>
      </c>
      <c r="D1466" s="365" t="str">
        <f>CONCATENATE("Export Pipeline Trade of ",Commodities!C60, " from ",$B$1415," to R",RIGHT(C1466))</f>
        <v>Export Pipeline Trade of ASP from *R6 to RP</v>
      </c>
      <c r="E1466" s="381" t="s">
        <v>384</v>
      </c>
      <c r="F1466" s="381" t="s">
        <v>505</v>
      </c>
    </row>
    <row r="1467" spans="2:6">
      <c r="B1467" s="365" t="s">
        <v>1059</v>
      </c>
      <c r="C1467" s="365" t="str">
        <f>CONCATENATE("EXP",Commodities!C48,RIGHT(OILTrade!$Q$62,2))</f>
        <v>EXPGSC</v>
      </c>
      <c r="D1467" s="365" t="str">
        <f>CONCATENATE("Export Pipeline Trade of ",Commodities!C48, " from ",$B$1467," to R",RIGHT(C1467))</f>
        <v>Export Pipeline Trade of GSC from *R7 to RC</v>
      </c>
      <c r="E1467" s="381" t="s">
        <v>384</v>
      </c>
      <c r="F1467" s="381" t="s">
        <v>505</v>
      </c>
    </row>
    <row r="1468" spans="2:6">
      <c r="B1468" s="365" t="s">
        <v>1059</v>
      </c>
      <c r="C1468" s="365" t="str">
        <f>CONCATENATE("EXP",Commodities!C49,RIGHT(OILTrade!$Q$62,2))</f>
        <v>EXPGSR</v>
      </c>
      <c r="D1468" s="365" t="str">
        <f>CONCATENATE("Export Pipeline Trade of ",Commodities!C49, " from ",$B$1467," to R",RIGHT(C1468))</f>
        <v>Export Pipeline Trade of GSR from *R7 to RR</v>
      </c>
      <c r="E1468" s="381" t="s">
        <v>384</v>
      </c>
      <c r="F1468" s="381" t="s">
        <v>505</v>
      </c>
    </row>
    <row r="1469" spans="2:6">
      <c r="B1469" s="365" t="s">
        <v>1059</v>
      </c>
      <c r="C1469" s="365" t="str">
        <f>CONCATENATE("EXP",Commodities!C50,RIGHT(OILTrade!$Q$62,2))</f>
        <v>EXPDSH</v>
      </c>
      <c r="D1469" s="365" t="str">
        <f>CONCATENATE("Export Pipeline Trade of ",Commodities!C50, " from ",$B$1467," to R",RIGHT(C1469))</f>
        <v>Export Pipeline Trade of DSH from *R7 to RH</v>
      </c>
      <c r="E1469" s="381" t="s">
        <v>384</v>
      </c>
      <c r="F1469" s="381" t="s">
        <v>505</v>
      </c>
    </row>
    <row r="1470" spans="2:6">
      <c r="B1470" s="365" t="s">
        <v>1059</v>
      </c>
      <c r="C1470" s="365" t="str">
        <f>CONCATENATE("EXP",Commodities!C51,RIGHT(OILTrade!$Q$62,2))</f>
        <v>EXPDSL</v>
      </c>
      <c r="D1470" s="365" t="str">
        <f>CONCATENATE("Export Pipeline Trade of ",Commodities!C51, " from ",$B$1467," to R",RIGHT(C1470))</f>
        <v>Export Pipeline Trade of DSL from *R7 to RL</v>
      </c>
      <c r="E1470" s="381" t="s">
        <v>384</v>
      </c>
      <c r="F1470" s="381" t="s">
        <v>505</v>
      </c>
    </row>
    <row r="1471" spans="2:6">
      <c r="B1471" s="365" t="s">
        <v>1059</v>
      </c>
      <c r="C1471" s="365" t="str">
        <f>CONCATENATE("EXP",Commodities!C52,RIGHT(OILTrade!$Q$62,2))</f>
        <v>EXPDSU</v>
      </c>
      <c r="D1471" s="365" t="str">
        <f>CONCATENATE("Export Pipeline Trade of ",Commodities!C52, " from ",$B$1467," to R",RIGHT(C1471))</f>
        <v>Export Pipeline Trade of DSU from *R7 to RU</v>
      </c>
      <c r="E1471" s="381" t="s">
        <v>384</v>
      </c>
      <c r="F1471" s="381" t="s">
        <v>505</v>
      </c>
    </row>
    <row r="1472" spans="2:6">
      <c r="B1472" s="365" t="s">
        <v>1059</v>
      </c>
      <c r="C1472" s="365" t="str">
        <f>CONCATENATE("EXP",Commodities!C53,RIGHT(OILTrade!$Q$62,2))</f>
        <v>EXPJTF</v>
      </c>
      <c r="D1472" s="365" t="str">
        <f>CONCATENATE("Export Pipeline Trade of ",Commodities!C53, " from ",$B$1467," to R",RIGHT(C1472))</f>
        <v>Export Pipeline Trade of JTF from *R7 to RF</v>
      </c>
      <c r="E1472" s="381" t="s">
        <v>384</v>
      </c>
      <c r="F1472" s="381" t="s">
        <v>505</v>
      </c>
    </row>
    <row r="1473" spans="2:6">
      <c r="B1473" s="365" t="s">
        <v>1059</v>
      </c>
      <c r="C1473" s="365" t="str">
        <f>CONCATENATE("EXP",Commodities!C54,RIGHT(OILTrade!$Q$62,2))</f>
        <v>EXPKER</v>
      </c>
      <c r="D1473" s="365" t="str">
        <f>CONCATENATE("Export Pipeline Trade of ",Commodities!C54, " from ",$B$1467," to R",RIGHT(C1473))</f>
        <v>Export Pipeline Trade of KER from *R7 to RR</v>
      </c>
      <c r="E1473" s="381" t="s">
        <v>384</v>
      </c>
      <c r="F1473" s="381" t="s">
        <v>505</v>
      </c>
    </row>
    <row r="1474" spans="2:6">
      <c r="B1474" s="365" t="s">
        <v>1059</v>
      </c>
      <c r="C1474" s="365" t="str">
        <f>CONCATENATE("EXP",Commodities!C55,RIGHT(OILTrade!$Q$62,2))</f>
        <v>EXPLPG</v>
      </c>
      <c r="D1474" s="365" t="str">
        <f>CONCATENATE("Export Pipeline Trade of ",Commodities!C55, " from ",$B$1467," to R",RIGHT(C1474))</f>
        <v>Export Pipeline Trade of LPG from *R7 to RG</v>
      </c>
      <c r="E1474" s="381" t="s">
        <v>384</v>
      </c>
      <c r="F1474" s="381" t="s">
        <v>505</v>
      </c>
    </row>
    <row r="1475" spans="2:6">
      <c r="B1475" s="365" t="s">
        <v>1059</v>
      </c>
      <c r="C1475" s="365" t="str">
        <f>CONCATENATE("EXP",Commodities!C56,RIGHT(OILTrade!$Q$62,2))</f>
        <v>EXPMTH</v>
      </c>
      <c r="D1475" s="365" t="str">
        <f>CONCATENATE("Export Pipeline Trade of ",Commodities!C56, " from ",$B$1467," to R",RIGHT(C1475))</f>
        <v>Export Pipeline Trade of MTH from *R7 to RH</v>
      </c>
      <c r="E1475" s="381" t="s">
        <v>384</v>
      </c>
      <c r="F1475" s="381" t="s">
        <v>505</v>
      </c>
    </row>
    <row r="1476" spans="2:6">
      <c r="B1476" s="365" t="s">
        <v>1059</v>
      </c>
      <c r="C1476" s="365" t="str">
        <f>CONCATENATE("EXP",Commodities!C57,RIGHT(OILTrade!$Q$62,2))</f>
        <v>EXPPFS</v>
      </c>
      <c r="D1476" s="365" t="str">
        <f>CONCATENATE("Export Pipeline Trade of ",Commodities!C57, " from ",$B$1467," to R",RIGHT(C1476))</f>
        <v>Export Pipeline Trade of PFS from *R7 to RS</v>
      </c>
      <c r="E1476" s="381" t="s">
        <v>384</v>
      </c>
      <c r="F1476" s="381" t="s">
        <v>505</v>
      </c>
    </row>
    <row r="1477" spans="2:6">
      <c r="B1477" s="365" t="s">
        <v>1059</v>
      </c>
      <c r="C1477" s="365" t="str">
        <f>CONCATENATE("EXP",Commodities!C58,RIGHT(OILTrade!$Q$62,2))</f>
        <v>EXPRFH</v>
      </c>
      <c r="D1477" s="365" t="str">
        <f>CONCATENATE("Export Pipeline Trade of ",Commodities!C58, " from ",$B$1467," to R",RIGHT(C1477))</f>
        <v>Export Pipeline Trade of RFH from *R7 to RH</v>
      </c>
      <c r="E1477" s="381" t="s">
        <v>384</v>
      </c>
      <c r="F1477" s="381" t="s">
        <v>505</v>
      </c>
    </row>
    <row r="1478" spans="2:6">
      <c r="B1478" s="365" t="s">
        <v>1059</v>
      </c>
      <c r="C1478" s="365" t="str">
        <f>CONCATENATE("EXP",Commodities!C59,RIGHT(OILTrade!$Q$62,2))</f>
        <v>EXPRFL</v>
      </c>
      <c r="D1478" s="365" t="str">
        <f>CONCATENATE("Export Pipeline Trade of ",Commodities!C59, " from ",$B$1467," to R",RIGHT(C1478))</f>
        <v>Export Pipeline Trade of RFL from *R7 to RL</v>
      </c>
      <c r="E1478" s="381" t="s">
        <v>384</v>
      </c>
      <c r="F1478" s="381" t="s">
        <v>505</v>
      </c>
    </row>
    <row r="1479" spans="2:6">
      <c r="B1479" s="365" t="s">
        <v>1059</v>
      </c>
      <c r="C1479" s="365" t="str">
        <f>CONCATENATE("EXP",Commodities!C60,RIGHT(OILTrade!$Q$62,2))</f>
        <v>EXPASP</v>
      </c>
      <c r="D1479" s="365" t="str">
        <f>CONCATENATE("Export Pipeline Trade of ",Commodities!C60, " from ",$B$1467," to R",RIGHT(C1479))</f>
        <v>Export Pipeline Trade of ASP from *R7 to RP</v>
      </c>
      <c r="E1479" s="381" t="s">
        <v>384</v>
      </c>
      <c r="F1479" s="381" t="s">
        <v>505</v>
      </c>
    </row>
    <row r="1480" spans="2:6">
      <c r="B1480" s="365" t="s">
        <v>1059</v>
      </c>
      <c r="C1480" s="365" t="str">
        <f>CONCATENATE("EXP",Commodities!C48,RIGHT(OILTrade!$R$62,2))</f>
        <v>EXPGSC</v>
      </c>
      <c r="D1480" s="365" t="str">
        <f>CONCATENATE("Export Pipeline Trade of ",Commodities!C48, " from ",$B$1480," to R",RIGHT(C1480))</f>
        <v>Export Pipeline Trade of GSC from *R7 to RC</v>
      </c>
      <c r="E1480" s="381" t="s">
        <v>384</v>
      </c>
      <c r="F1480" s="381" t="s">
        <v>505</v>
      </c>
    </row>
    <row r="1481" spans="2:6">
      <c r="B1481" s="365" t="s">
        <v>1059</v>
      </c>
      <c r="C1481" s="365" t="str">
        <f>CONCATENATE("EXP",Commodities!C49,RIGHT(OILTrade!$R$62,2))</f>
        <v>EXPGSR</v>
      </c>
      <c r="D1481" s="365" t="str">
        <f>CONCATENATE("Export Pipeline Trade of ",Commodities!C49, " from ",$B$1480," to R",RIGHT(C1481))</f>
        <v>Export Pipeline Trade of GSR from *R7 to RR</v>
      </c>
      <c r="E1481" s="381" t="s">
        <v>384</v>
      </c>
      <c r="F1481" s="381" t="s">
        <v>505</v>
      </c>
    </row>
    <row r="1482" spans="2:6">
      <c r="B1482" s="365" t="s">
        <v>1059</v>
      </c>
      <c r="C1482" s="365" t="str">
        <f>CONCATENATE("EXP",Commodities!C50,RIGHT(OILTrade!$R$62,2))</f>
        <v>EXPDSH</v>
      </c>
      <c r="D1482" s="365" t="str">
        <f>CONCATENATE("Export Pipeline Trade of ",Commodities!C50, " from ",$B$1480," to R",RIGHT(C1482))</f>
        <v>Export Pipeline Trade of DSH from *R7 to RH</v>
      </c>
      <c r="E1482" s="381" t="s">
        <v>384</v>
      </c>
      <c r="F1482" s="381" t="s">
        <v>505</v>
      </c>
    </row>
    <row r="1483" spans="2:6">
      <c r="B1483" s="365" t="s">
        <v>1059</v>
      </c>
      <c r="C1483" s="365" t="str">
        <f>CONCATENATE("EXP",Commodities!C51,RIGHT(OILTrade!$R$62,2))</f>
        <v>EXPDSL</v>
      </c>
      <c r="D1483" s="365" t="str">
        <f>CONCATENATE("Export Pipeline Trade of ",Commodities!C51, " from ",$B$1480," to R",RIGHT(C1483))</f>
        <v>Export Pipeline Trade of DSL from *R7 to RL</v>
      </c>
      <c r="E1483" s="381" t="s">
        <v>384</v>
      </c>
      <c r="F1483" s="381" t="s">
        <v>505</v>
      </c>
    </row>
    <row r="1484" spans="2:6">
      <c r="B1484" s="365" t="s">
        <v>1059</v>
      </c>
      <c r="C1484" s="365" t="str">
        <f>CONCATENATE("EXP",Commodities!C52,RIGHT(OILTrade!$R$62,2))</f>
        <v>EXPDSU</v>
      </c>
      <c r="D1484" s="365" t="str">
        <f>CONCATENATE("Export Pipeline Trade of ",Commodities!C52, " from ",$B$1480," to R",RIGHT(C1484))</f>
        <v>Export Pipeline Trade of DSU from *R7 to RU</v>
      </c>
      <c r="E1484" s="381" t="s">
        <v>384</v>
      </c>
      <c r="F1484" s="381" t="s">
        <v>505</v>
      </c>
    </row>
    <row r="1485" spans="2:6">
      <c r="B1485" s="365" t="s">
        <v>1059</v>
      </c>
      <c r="C1485" s="365" t="str">
        <f>CONCATENATE("EXP",Commodities!C53,RIGHT(OILTrade!$R$62,2))</f>
        <v>EXPJTF</v>
      </c>
      <c r="D1485" s="365" t="str">
        <f>CONCATENATE("Export Pipeline Trade of ",Commodities!C53, " from ",$B$1480," to R",RIGHT(C1485))</f>
        <v>Export Pipeline Trade of JTF from *R7 to RF</v>
      </c>
      <c r="E1485" s="381" t="s">
        <v>384</v>
      </c>
      <c r="F1485" s="381" t="s">
        <v>505</v>
      </c>
    </row>
    <row r="1486" spans="2:6">
      <c r="B1486" s="365" t="s">
        <v>1059</v>
      </c>
      <c r="C1486" s="365" t="str">
        <f>CONCATENATE("EXP",Commodities!C54,RIGHT(OILTrade!$R$62,2))</f>
        <v>EXPKER</v>
      </c>
      <c r="D1486" s="365" t="str">
        <f>CONCATENATE("Export Pipeline Trade of ",Commodities!C54, " from ",$B$1480," to R",RIGHT(C1486))</f>
        <v>Export Pipeline Trade of KER from *R7 to RR</v>
      </c>
      <c r="E1486" s="381" t="s">
        <v>384</v>
      </c>
      <c r="F1486" s="381" t="s">
        <v>505</v>
      </c>
    </row>
    <row r="1487" spans="2:6">
      <c r="B1487" s="365" t="s">
        <v>1059</v>
      </c>
      <c r="C1487" s="365" t="str">
        <f>CONCATENATE("EXP",Commodities!C55,RIGHT(OILTrade!$R$62,2))</f>
        <v>EXPLPG</v>
      </c>
      <c r="D1487" s="365" t="str">
        <f>CONCATENATE("Export Pipeline Trade of ",Commodities!C55, " from ",$B$1480," to R",RIGHT(C1487))</f>
        <v>Export Pipeline Trade of LPG from *R7 to RG</v>
      </c>
      <c r="E1487" s="381" t="s">
        <v>384</v>
      </c>
      <c r="F1487" s="381" t="s">
        <v>505</v>
      </c>
    </row>
    <row r="1488" spans="2:6">
      <c r="B1488" s="365" t="s">
        <v>1059</v>
      </c>
      <c r="C1488" s="365" t="str">
        <f>CONCATENATE("EXP",Commodities!C56,RIGHT(OILTrade!$R$62,2))</f>
        <v>EXPMTH</v>
      </c>
      <c r="D1488" s="365" t="str">
        <f>CONCATENATE("Export Pipeline Trade of ",Commodities!C56, " from ",$B$1480," to R",RIGHT(C1488))</f>
        <v>Export Pipeline Trade of MTH from *R7 to RH</v>
      </c>
      <c r="E1488" s="381" t="s">
        <v>384</v>
      </c>
      <c r="F1488" s="381" t="s">
        <v>505</v>
      </c>
    </row>
    <row r="1489" spans="2:6">
      <c r="B1489" s="365" t="s">
        <v>1059</v>
      </c>
      <c r="C1489" s="365" t="str">
        <f>CONCATENATE("EXP",Commodities!C57,RIGHT(OILTrade!$R$62,2))</f>
        <v>EXPPFS</v>
      </c>
      <c r="D1489" s="365" t="str">
        <f>CONCATENATE("Export Pipeline Trade of ",Commodities!C57, " from ",$B$1480," to R",RIGHT(C1489))</f>
        <v>Export Pipeline Trade of PFS from *R7 to RS</v>
      </c>
      <c r="E1489" s="381" t="s">
        <v>384</v>
      </c>
      <c r="F1489" s="381" t="s">
        <v>505</v>
      </c>
    </row>
    <row r="1490" spans="2:6">
      <c r="B1490" s="365" t="s">
        <v>1059</v>
      </c>
      <c r="C1490" s="365" t="str">
        <f>CONCATENATE("EXP",Commodities!C58,RIGHT(OILTrade!$R$62,2))</f>
        <v>EXPRFH</v>
      </c>
      <c r="D1490" s="365" t="str">
        <f>CONCATENATE("Export Pipeline Trade of ",Commodities!C58, " from ",$B$1480," to R",RIGHT(C1490))</f>
        <v>Export Pipeline Trade of RFH from *R7 to RH</v>
      </c>
      <c r="E1490" s="381" t="s">
        <v>384</v>
      </c>
      <c r="F1490" s="381" t="s">
        <v>505</v>
      </c>
    </row>
    <row r="1491" spans="2:6">
      <c r="B1491" s="365" t="s">
        <v>1059</v>
      </c>
      <c r="C1491" s="365" t="str">
        <f>CONCATENATE("EXP",Commodities!C59,RIGHT(OILTrade!$R$62,2))</f>
        <v>EXPRFL</v>
      </c>
      <c r="D1491" s="365" t="str">
        <f>CONCATENATE("Export Pipeline Trade of ",Commodities!C59, " from ",$B$1480," to R",RIGHT(C1491))</f>
        <v>Export Pipeline Trade of RFL from *R7 to RL</v>
      </c>
      <c r="E1491" s="381" t="s">
        <v>384</v>
      </c>
      <c r="F1491" s="381" t="s">
        <v>505</v>
      </c>
    </row>
    <row r="1492" spans="2:6">
      <c r="B1492" s="365" t="s">
        <v>1059</v>
      </c>
      <c r="C1492" s="365" t="str">
        <f>CONCATENATE("EXP",Commodities!C60,RIGHT(OILTrade!$R$62,2))</f>
        <v>EXPASP</v>
      </c>
      <c r="D1492" s="365" t="str">
        <f>CONCATENATE("Export Pipeline Trade of ",Commodities!C60, " from ",$B$1480," to R",RIGHT(C1492))</f>
        <v>Export Pipeline Trade of ASP from *R7 to RP</v>
      </c>
      <c r="E1492" s="381" t="s">
        <v>384</v>
      </c>
      <c r="F1492" s="381" t="s">
        <v>505</v>
      </c>
    </row>
    <row r="1493" spans="2:6">
      <c r="B1493" s="365" t="s">
        <v>1059</v>
      </c>
      <c r="C1493" s="365" t="str">
        <f>CONCATENATE("EXP",Commodities!C48,RIGHT(OILTrade!$T$62,2))</f>
        <v>EXPGSC</v>
      </c>
      <c r="D1493" s="365" t="str">
        <f>CONCATENATE("Export Pipeline Trade of ",Commodities!C48, " from ",$B$1493," to R",RIGHT(C1493))</f>
        <v>Export Pipeline Trade of GSC from *R7 to RC</v>
      </c>
      <c r="E1493" s="381" t="s">
        <v>384</v>
      </c>
      <c r="F1493" s="381" t="s">
        <v>505</v>
      </c>
    </row>
    <row r="1494" spans="2:6">
      <c r="B1494" s="365" t="s">
        <v>1059</v>
      </c>
      <c r="C1494" s="365" t="str">
        <f>CONCATENATE("EXP",Commodities!C49,RIGHT(OILTrade!$T$62,2))</f>
        <v>EXPGSR</v>
      </c>
      <c r="D1494" s="365" t="str">
        <f>CONCATENATE("Export Pipeline Trade of ",Commodities!C49, " from ",$B$1493," to R",RIGHT(C1494))</f>
        <v>Export Pipeline Trade of GSR from *R7 to RR</v>
      </c>
      <c r="E1494" s="381" t="s">
        <v>384</v>
      </c>
      <c r="F1494" s="381" t="s">
        <v>505</v>
      </c>
    </row>
    <row r="1495" spans="2:6">
      <c r="B1495" s="365" t="s">
        <v>1059</v>
      </c>
      <c r="C1495" s="365" t="str">
        <f>CONCATENATE("EXP",Commodities!C50,RIGHT(OILTrade!$T$62,2))</f>
        <v>EXPDSH</v>
      </c>
      <c r="D1495" s="365" t="str">
        <f>CONCATENATE("Export Pipeline Trade of ",Commodities!C50, " from ",$B$1493," to R",RIGHT(C1495))</f>
        <v>Export Pipeline Trade of DSH from *R7 to RH</v>
      </c>
      <c r="E1495" s="381" t="s">
        <v>384</v>
      </c>
      <c r="F1495" s="381" t="s">
        <v>505</v>
      </c>
    </row>
    <row r="1496" spans="2:6">
      <c r="B1496" s="365" t="s">
        <v>1059</v>
      </c>
      <c r="C1496" s="365" t="str">
        <f>CONCATENATE("EXP",Commodities!C51,RIGHT(OILTrade!$T$62,2))</f>
        <v>EXPDSL</v>
      </c>
      <c r="D1496" s="365" t="str">
        <f>CONCATENATE("Export Pipeline Trade of ",Commodities!C51, " from ",$B$1493," to R",RIGHT(C1496))</f>
        <v>Export Pipeline Trade of DSL from *R7 to RL</v>
      </c>
      <c r="E1496" s="381" t="s">
        <v>384</v>
      </c>
      <c r="F1496" s="381" t="s">
        <v>505</v>
      </c>
    </row>
    <row r="1497" spans="2:6">
      <c r="B1497" s="365" t="s">
        <v>1059</v>
      </c>
      <c r="C1497" s="365" t="str">
        <f>CONCATENATE("EXP",Commodities!C52,RIGHT(OILTrade!$T$62,2))</f>
        <v>EXPDSU</v>
      </c>
      <c r="D1497" s="365" t="str">
        <f>CONCATENATE("Export Pipeline Trade of ",Commodities!C52, " from ",$B$1493," to R",RIGHT(C1497))</f>
        <v>Export Pipeline Trade of DSU from *R7 to RU</v>
      </c>
      <c r="E1497" s="381" t="s">
        <v>384</v>
      </c>
      <c r="F1497" s="381" t="s">
        <v>505</v>
      </c>
    </row>
    <row r="1498" spans="2:6">
      <c r="B1498" s="365" t="s">
        <v>1059</v>
      </c>
      <c r="C1498" s="365" t="str">
        <f>CONCATENATE("EXP",Commodities!C53,RIGHT(OILTrade!$T$62,2))</f>
        <v>EXPJTF</v>
      </c>
      <c r="D1498" s="365" t="str">
        <f>CONCATENATE("Export Pipeline Trade of ",Commodities!C53, " from ",$B$1493," to R",RIGHT(C1498))</f>
        <v>Export Pipeline Trade of JTF from *R7 to RF</v>
      </c>
      <c r="E1498" s="381" t="s">
        <v>384</v>
      </c>
      <c r="F1498" s="381" t="s">
        <v>505</v>
      </c>
    </row>
    <row r="1499" spans="2:6">
      <c r="B1499" s="365" t="s">
        <v>1059</v>
      </c>
      <c r="C1499" s="365" t="str">
        <f>CONCATENATE("EXP",Commodities!C54,RIGHT(OILTrade!$T$62,2))</f>
        <v>EXPKER</v>
      </c>
      <c r="D1499" s="365" t="str">
        <f>CONCATENATE("Export Pipeline Trade of ",Commodities!C54, " from ",$B$1493," to R",RIGHT(C1499))</f>
        <v>Export Pipeline Trade of KER from *R7 to RR</v>
      </c>
      <c r="E1499" s="381" t="s">
        <v>384</v>
      </c>
      <c r="F1499" s="381" t="s">
        <v>505</v>
      </c>
    </row>
    <row r="1500" spans="2:6">
      <c r="B1500" s="365" t="s">
        <v>1059</v>
      </c>
      <c r="C1500" s="365" t="str">
        <f>CONCATENATE("EXP",Commodities!C55,RIGHT(OILTrade!$T$62,2))</f>
        <v>EXPLPG</v>
      </c>
      <c r="D1500" s="365" t="str">
        <f>CONCATENATE("Export Pipeline Trade of ",Commodities!C55, " from ",$B$1493," to R",RIGHT(C1500))</f>
        <v>Export Pipeline Trade of LPG from *R7 to RG</v>
      </c>
      <c r="E1500" s="381" t="s">
        <v>384</v>
      </c>
      <c r="F1500" s="381" t="s">
        <v>505</v>
      </c>
    </row>
    <row r="1501" spans="2:6">
      <c r="B1501" s="365" t="s">
        <v>1059</v>
      </c>
      <c r="C1501" s="365" t="str">
        <f>CONCATENATE("EXP",Commodities!C56,RIGHT(OILTrade!$T$62,2))</f>
        <v>EXPMTH</v>
      </c>
      <c r="D1501" s="365" t="str">
        <f>CONCATENATE("Export Pipeline Trade of ",Commodities!C56, " from ",$B$1493," to R",RIGHT(C1501))</f>
        <v>Export Pipeline Trade of MTH from *R7 to RH</v>
      </c>
      <c r="E1501" s="381" t="s">
        <v>384</v>
      </c>
      <c r="F1501" s="381" t="s">
        <v>505</v>
      </c>
    </row>
    <row r="1502" spans="2:6">
      <c r="B1502" s="365" t="s">
        <v>1059</v>
      </c>
      <c r="C1502" s="365" t="str">
        <f>CONCATENATE("EXP",Commodities!C57,RIGHT(OILTrade!$T$62,2))</f>
        <v>EXPPFS</v>
      </c>
      <c r="D1502" s="365" t="str">
        <f>CONCATENATE("Export Pipeline Trade of ",Commodities!C57, " from ",$B$1493," to R",RIGHT(C1502))</f>
        <v>Export Pipeline Trade of PFS from *R7 to RS</v>
      </c>
      <c r="E1502" s="381" t="s">
        <v>384</v>
      </c>
      <c r="F1502" s="381" t="s">
        <v>505</v>
      </c>
    </row>
    <row r="1503" spans="2:6">
      <c r="B1503" s="365" t="s">
        <v>1059</v>
      </c>
      <c r="C1503" s="365" t="str">
        <f>CONCATENATE("EXP",Commodities!C58,RIGHT(OILTrade!$T$62,2))</f>
        <v>EXPRFH</v>
      </c>
      <c r="D1503" s="365" t="str">
        <f>CONCATENATE("Export Pipeline Trade of ",Commodities!C58, " from ",$B$1493," to R",RIGHT(C1503))</f>
        <v>Export Pipeline Trade of RFH from *R7 to RH</v>
      </c>
      <c r="E1503" s="381" t="s">
        <v>384</v>
      </c>
      <c r="F1503" s="381" t="s">
        <v>505</v>
      </c>
    </row>
    <row r="1504" spans="2:6">
      <c r="B1504" s="365" t="s">
        <v>1059</v>
      </c>
      <c r="C1504" s="365" t="str">
        <f>CONCATENATE("EXP",Commodities!C59,RIGHT(OILTrade!$T$62,2))</f>
        <v>EXPRFL</v>
      </c>
      <c r="D1504" s="365" t="str">
        <f>CONCATENATE("Export Pipeline Trade of ",Commodities!C59, " from ",$B$1493," to R",RIGHT(C1504))</f>
        <v>Export Pipeline Trade of RFL from *R7 to RL</v>
      </c>
      <c r="E1504" s="381" t="s">
        <v>384</v>
      </c>
      <c r="F1504" s="381" t="s">
        <v>505</v>
      </c>
    </row>
    <row r="1505" spans="2:6">
      <c r="B1505" s="365" t="s">
        <v>1059</v>
      </c>
      <c r="C1505" s="365" t="str">
        <f>CONCATENATE("EXP",Commodities!C60,RIGHT(OILTrade!$T$62,2))</f>
        <v>EXPASP</v>
      </c>
      <c r="D1505" s="365" t="str">
        <f>CONCATENATE("Export Pipeline Trade of ",Commodities!C60, " from ",$B$1493," to R",RIGHT(C1505))</f>
        <v>Export Pipeline Trade of ASP from *R7 to RP</v>
      </c>
      <c r="E1505" s="381" t="s">
        <v>384</v>
      </c>
      <c r="F1505" s="381" t="s">
        <v>505</v>
      </c>
    </row>
    <row r="1506" spans="2:6">
      <c r="B1506" s="365" t="s">
        <v>1059</v>
      </c>
      <c r="C1506" s="365" t="str">
        <f>CONCATENATE("EXP",Commodities!C48,RIGHT(OILTrade!$V$62,2))</f>
        <v>EXPGSC</v>
      </c>
      <c r="D1506" s="365" t="str">
        <f>CONCATENATE("Export Pipeline Trade of ",Commodities!C48, " from ",$B$1506," to R",RIGHT(C1506))</f>
        <v>Export Pipeline Trade of GSC from *R7 to RC</v>
      </c>
      <c r="E1506" s="381" t="s">
        <v>384</v>
      </c>
      <c r="F1506" s="381" t="s">
        <v>505</v>
      </c>
    </row>
    <row r="1507" spans="2:6">
      <c r="B1507" s="365" t="s">
        <v>1059</v>
      </c>
      <c r="C1507" s="365" t="str">
        <f>CONCATENATE("EXP",Commodities!C49,RIGHT(OILTrade!$V$62,2))</f>
        <v>EXPGSR</v>
      </c>
      <c r="D1507" s="365" t="str">
        <f>CONCATENATE("Export Pipeline Trade of ",Commodities!C49, " from ",$B$1506," to R",RIGHT(C1507))</f>
        <v>Export Pipeline Trade of GSR from *R7 to RR</v>
      </c>
      <c r="E1507" s="381" t="s">
        <v>384</v>
      </c>
      <c r="F1507" s="381" t="s">
        <v>505</v>
      </c>
    </row>
    <row r="1508" spans="2:6">
      <c r="B1508" s="365" t="s">
        <v>1059</v>
      </c>
      <c r="C1508" s="365" t="str">
        <f>CONCATENATE("EXP",Commodities!C50,RIGHT(OILTrade!$V$62,2))</f>
        <v>EXPDSH</v>
      </c>
      <c r="D1508" s="365" t="str">
        <f>CONCATENATE("Export Pipeline Trade of ",Commodities!C50, " from ",$B$1506," to R",RIGHT(C1508))</f>
        <v>Export Pipeline Trade of DSH from *R7 to RH</v>
      </c>
      <c r="E1508" s="381" t="s">
        <v>384</v>
      </c>
      <c r="F1508" s="381" t="s">
        <v>505</v>
      </c>
    </row>
    <row r="1509" spans="2:6">
      <c r="B1509" s="365" t="s">
        <v>1059</v>
      </c>
      <c r="C1509" s="365" t="str">
        <f>CONCATENATE("EXP",Commodities!C51,RIGHT(OILTrade!$V$62,2))</f>
        <v>EXPDSL</v>
      </c>
      <c r="D1509" s="365" t="str">
        <f>CONCATENATE("Export Pipeline Trade of ",Commodities!C51, " from ",$B$1506," to R",RIGHT(C1509))</f>
        <v>Export Pipeline Trade of DSL from *R7 to RL</v>
      </c>
      <c r="E1509" s="381" t="s">
        <v>384</v>
      </c>
      <c r="F1509" s="381" t="s">
        <v>505</v>
      </c>
    </row>
    <row r="1510" spans="2:6">
      <c r="B1510" s="365" t="s">
        <v>1059</v>
      </c>
      <c r="C1510" s="365" t="str">
        <f>CONCATENATE("EXP",Commodities!C52,RIGHT(OILTrade!$V$62,2))</f>
        <v>EXPDSU</v>
      </c>
      <c r="D1510" s="365" t="str">
        <f>CONCATENATE("Export Pipeline Trade of ",Commodities!C52, " from ",$B$1506," to R",RIGHT(C1510))</f>
        <v>Export Pipeline Trade of DSU from *R7 to RU</v>
      </c>
      <c r="E1510" s="381" t="s">
        <v>384</v>
      </c>
      <c r="F1510" s="381" t="s">
        <v>505</v>
      </c>
    </row>
    <row r="1511" spans="2:6">
      <c r="B1511" s="365" t="s">
        <v>1059</v>
      </c>
      <c r="C1511" s="365" t="str">
        <f>CONCATENATE("EXP",Commodities!C53,RIGHT(OILTrade!$V$62,2))</f>
        <v>EXPJTF</v>
      </c>
      <c r="D1511" s="365" t="str">
        <f>CONCATENATE("Export Pipeline Trade of ",Commodities!C53, " from ",$B$1506," to R",RIGHT(C1511))</f>
        <v>Export Pipeline Trade of JTF from *R7 to RF</v>
      </c>
      <c r="E1511" s="381" t="s">
        <v>384</v>
      </c>
      <c r="F1511" s="381" t="s">
        <v>505</v>
      </c>
    </row>
    <row r="1512" spans="2:6">
      <c r="B1512" s="365" t="s">
        <v>1059</v>
      </c>
      <c r="C1512" s="365" t="str">
        <f>CONCATENATE("EXP",Commodities!C54,RIGHT(OILTrade!$V$62,2))</f>
        <v>EXPKER</v>
      </c>
      <c r="D1512" s="365" t="str">
        <f>CONCATENATE("Export Pipeline Trade of ",Commodities!C54, " from ",$B$1506," to R",RIGHT(C1512))</f>
        <v>Export Pipeline Trade of KER from *R7 to RR</v>
      </c>
      <c r="E1512" s="381" t="s">
        <v>384</v>
      </c>
      <c r="F1512" s="381" t="s">
        <v>505</v>
      </c>
    </row>
    <row r="1513" spans="2:6">
      <c r="B1513" s="365" t="s">
        <v>1059</v>
      </c>
      <c r="C1513" s="365" t="str">
        <f>CONCATENATE("EXP",Commodities!C55,RIGHT(OILTrade!$V$62,2))</f>
        <v>EXPLPG</v>
      </c>
      <c r="D1513" s="365" t="str">
        <f>CONCATENATE("Export Pipeline Trade of ",Commodities!C55, " from ",$B$1506," to R",RIGHT(C1513))</f>
        <v>Export Pipeline Trade of LPG from *R7 to RG</v>
      </c>
      <c r="E1513" s="381" t="s">
        <v>384</v>
      </c>
      <c r="F1513" s="381" t="s">
        <v>505</v>
      </c>
    </row>
    <row r="1514" spans="2:6">
      <c r="B1514" s="365" t="s">
        <v>1059</v>
      </c>
      <c r="C1514" s="365" t="str">
        <f>CONCATENATE("EXP",Commodities!C56,RIGHT(OILTrade!$V$62,2))</f>
        <v>EXPMTH</v>
      </c>
      <c r="D1514" s="365" t="str">
        <f>CONCATENATE("Export Pipeline Trade of ",Commodities!C56, " from ",$B$1506," to R",RIGHT(C1514))</f>
        <v>Export Pipeline Trade of MTH from *R7 to RH</v>
      </c>
      <c r="E1514" s="381" t="s">
        <v>384</v>
      </c>
      <c r="F1514" s="381" t="s">
        <v>505</v>
      </c>
    </row>
    <row r="1515" spans="2:6">
      <c r="B1515" s="365" t="s">
        <v>1059</v>
      </c>
      <c r="C1515" s="365" t="str">
        <f>CONCATENATE("EXP",Commodities!C57,RIGHT(OILTrade!$V$62,2))</f>
        <v>EXPPFS</v>
      </c>
      <c r="D1515" s="365" t="str">
        <f>CONCATENATE("Export Pipeline Trade of ",Commodities!C57, " from ",$B$1506," to R",RIGHT(C1515))</f>
        <v>Export Pipeline Trade of PFS from *R7 to RS</v>
      </c>
      <c r="E1515" s="381" t="s">
        <v>384</v>
      </c>
      <c r="F1515" s="381" t="s">
        <v>505</v>
      </c>
    </row>
    <row r="1516" spans="2:6">
      <c r="B1516" s="365" t="s">
        <v>1059</v>
      </c>
      <c r="C1516" s="365" t="str">
        <f>CONCATENATE("EXP",Commodities!C58,RIGHT(OILTrade!$V$62,2))</f>
        <v>EXPRFH</v>
      </c>
      <c r="D1516" s="365" t="str">
        <f>CONCATENATE("Export Pipeline Trade of ",Commodities!C58, " from ",$B$1506," to R",RIGHT(C1516))</f>
        <v>Export Pipeline Trade of RFH from *R7 to RH</v>
      </c>
      <c r="E1516" s="381" t="s">
        <v>384</v>
      </c>
      <c r="F1516" s="381" t="s">
        <v>505</v>
      </c>
    </row>
    <row r="1517" spans="2:6">
      <c r="B1517" s="365" t="s">
        <v>1059</v>
      </c>
      <c r="C1517" s="365" t="str">
        <f>CONCATENATE("EXP",Commodities!C59,RIGHT(OILTrade!$V$62,2))</f>
        <v>EXPRFL</v>
      </c>
      <c r="D1517" s="365" t="str">
        <f>CONCATENATE("Export Pipeline Trade of ",Commodities!C59, " from ",$B$1506," to R",RIGHT(C1517))</f>
        <v>Export Pipeline Trade of RFL from *R7 to RL</v>
      </c>
      <c r="E1517" s="381" t="s">
        <v>384</v>
      </c>
      <c r="F1517" s="381" t="s">
        <v>505</v>
      </c>
    </row>
    <row r="1518" spans="2:6">
      <c r="B1518" s="365" t="s">
        <v>1059</v>
      </c>
      <c r="C1518" s="365" t="str">
        <f>CONCATENATE("EXP",Commodities!C60,RIGHT(OILTrade!$V$62,2))</f>
        <v>EXPASP</v>
      </c>
      <c r="D1518" s="365" t="str">
        <f>CONCATENATE("Export Pipeline Trade of ",Commodities!C60, " from ",$B$1506," to R",RIGHT(C1518))</f>
        <v>Export Pipeline Trade of ASP from *R7 to RP</v>
      </c>
      <c r="E1518" s="381" t="s">
        <v>384</v>
      </c>
      <c r="F1518" s="381" t="s">
        <v>505</v>
      </c>
    </row>
    <row r="1519" spans="2:6">
      <c r="B1519" s="365" t="s">
        <v>1025</v>
      </c>
      <c r="C1519" s="365" t="str">
        <f>CONCATENATE("EXP",Commodities!C48,RIGHT(OILTrade!$R$63,2))</f>
        <v>EXPGSC</v>
      </c>
      <c r="D1519" s="365" t="str">
        <f>CONCATENATE("Export Pipeline Trade of ",Commodities!C48, " from ",$B$1519," to R",RIGHT(C1519))</f>
        <v>Export Pipeline Trade of GSC from *R8 to RC</v>
      </c>
      <c r="E1519" s="381" t="s">
        <v>384</v>
      </c>
      <c r="F1519" s="381" t="s">
        <v>505</v>
      </c>
    </row>
    <row r="1520" spans="2:6">
      <c r="B1520" s="365" t="s">
        <v>1025</v>
      </c>
      <c r="C1520" s="365" t="str">
        <f>CONCATENATE("EXP",Commodities!C49,RIGHT(OILTrade!$R$63,2))</f>
        <v>EXPGSR</v>
      </c>
      <c r="D1520" s="365" t="str">
        <f>CONCATENATE("Export Pipeline Trade of ",Commodities!C49, " from ",$B$1519," to R",RIGHT(C1520))</f>
        <v>Export Pipeline Trade of GSR from *R8 to RR</v>
      </c>
      <c r="E1520" s="381" t="s">
        <v>384</v>
      </c>
      <c r="F1520" s="381" t="s">
        <v>505</v>
      </c>
    </row>
    <row r="1521" spans="2:6">
      <c r="B1521" s="365" t="s">
        <v>1025</v>
      </c>
      <c r="C1521" s="365" t="str">
        <f>CONCATENATE("EXP",Commodities!C50,RIGHT(OILTrade!$R$63,2))</f>
        <v>EXPDSH</v>
      </c>
      <c r="D1521" s="365" t="str">
        <f>CONCATENATE("Export Pipeline Trade of ",Commodities!C50, " from ",$B$1519," to R",RIGHT(C1521))</f>
        <v>Export Pipeline Trade of DSH from *R8 to RH</v>
      </c>
      <c r="E1521" s="381" t="s">
        <v>384</v>
      </c>
      <c r="F1521" s="381" t="s">
        <v>505</v>
      </c>
    </row>
    <row r="1522" spans="2:6">
      <c r="B1522" s="365" t="s">
        <v>1025</v>
      </c>
      <c r="C1522" s="365" t="str">
        <f>CONCATENATE("EXP",Commodities!C51,RIGHT(OILTrade!$R$63,2))</f>
        <v>EXPDSL</v>
      </c>
      <c r="D1522" s="365" t="str">
        <f>CONCATENATE("Export Pipeline Trade of ",Commodities!C51, " from ",$B$1519," to R",RIGHT(C1522))</f>
        <v>Export Pipeline Trade of DSL from *R8 to RL</v>
      </c>
      <c r="E1522" s="381" t="s">
        <v>384</v>
      </c>
      <c r="F1522" s="381" t="s">
        <v>505</v>
      </c>
    </row>
    <row r="1523" spans="2:6">
      <c r="B1523" s="365" t="s">
        <v>1025</v>
      </c>
      <c r="C1523" s="365" t="str">
        <f>CONCATENATE("EXP",Commodities!C52,RIGHT(OILTrade!$R$63,2))</f>
        <v>EXPDSU</v>
      </c>
      <c r="D1523" s="365" t="str">
        <f>CONCATENATE("Export Pipeline Trade of ",Commodities!C52, " from ",$B$1519," to R",RIGHT(C1523))</f>
        <v>Export Pipeline Trade of DSU from *R8 to RU</v>
      </c>
      <c r="E1523" s="381" t="s">
        <v>384</v>
      </c>
      <c r="F1523" s="381" t="s">
        <v>505</v>
      </c>
    </row>
    <row r="1524" spans="2:6">
      <c r="B1524" s="365" t="s">
        <v>1025</v>
      </c>
      <c r="C1524" s="365" t="str">
        <f>CONCATENATE("EXP",Commodities!C53,RIGHT(OILTrade!$R$63,2))</f>
        <v>EXPJTF</v>
      </c>
      <c r="D1524" s="365" t="str">
        <f>CONCATENATE("Export Pipeline Trade of ",Commodities!C53, " from ",$B$1519," to R",RIGHT(C1524))</f>
        <v>Export Pipeline Trade of JTF from *R8 to RF</v>
      </c>
      <c r="E1524" s="381" t="s">
        <v>384</v>
      </c>
      <c r="F1524" s="381" t="s">
        <v>505</v>
      </c>
    </row>
    <row r="1525" spans="2:6">
      <c r="B1525" s="365" t="s">
        <v>1025</v>
      </c>
      <c r="C1525" s="365" t="str">
        <f>CONCATENATE("EXP",Commodities!C54,RIGHT(OILTrade!$R$63,2))</f>
        <v>EXPKER</v>
      </c>
      <c r="D1525" s="365" t="str">
        <f>CONCATENATE("Export Pipeline Trade of ",Commodities!C54, " from ",$B$1519," to R",RIGHT(C1525))</f>
        <v>Export Pipeline Trade of KER from *R8 to RR</v>
      </c>
      <c r="E1525" s="381" t="s">
        <v>384</v>
      </c>
      <c r="F1525" s="381" t="s">
        <v>505</v>
      </c>
    </row>
    <row r="1526" spans="2:6">
      <c r="B1526" s="365" t="s">
        <v>1025</v>
      </c>
      <c r="C1526" s="365" t="str">
        <f>CONCATENATE("EXP",Commodities!C55,RIGHT(OILTrade!$R$63,2))</f>
        <v>EXPLPG</v>
      </c>
      <c r="D1526" s="365" t="str">
        <f>CONCATENATE("Export Pipeline Trade of ",Commodities!C55, " from ",$B$1519," to R",RIGHT(C1526))</f>
        <v>Export Pipeline Trade of LPG from *R8 to RG</v>
      </c>
      <c r="E1526" s="381" t="s">
        <v>384</v>
      </c>
      <c r="F1526" s="381" t="s">
        <v>505</v>
      </c>
    </row>
    <row r="1527" spans="2:6">
      <c r="B1527" s="365" t="s">
        <v>1025</v>
      </c>
      <c r="C1527" s="365" t="str">
        <f>CONCATENATE("EXP",Commodities!C56,RIGHT(OILTrade!$R$63,2))</f>
        <v>EXPMTH</v>
      </c>
      <c r="D1527" s="365" t="str">
        <f>CONCATENATE("Export Pipeline Trade of ",Commodities!C56, " from ",$B$1519," to R",RIGHT(C1527))</f>
        <v>Export Pipeline Trade of MTH from *R8 to RH</v>
      </c>
      <c r="E1527" s="381" t="s">
        <v>384</v>
      </c>
      <c r="F1527" s="381" t="s">
        <v>505</v>
      </c>
    </row>
    <row r="1528" spans="2:6">
      <c r="B1528" s="365" t="s">
        <v>1025</v>
      </c>
      <c r="C1528" s="365" t="str">
        <f>CONCATENATE("EXP",Commodities!C57,RIGHT(OILTrade!$R$63,2))</f>
        <v>EXPPFS</v>
      </c>
      <c r="D1528" s="365" t="str">
        <f>CONCATENATE("Export Pipeline Trade of ",Commodities!C57, " from ",$B$1519," to R",RIGHT(C1528))</f>
        <v>Export Pipeline Trade of PFS from *R8 to RS</v>
      </c>
      <c r="E1528" s="381" t="s">
        <v>384</v>
      </c>
      <c r="F1528" s="381" t="s">
        <v>505</v>
      </c>
    </row>
    <row r="1529" spans="2:6">
      <c r="B1529" s="365" t="s">
        <v>1025</v>
      </c>
      <c r="C1529" s="365" t="str">
        <f>CONCATENATE("EXP",Commodities!C58,RIGHT(OILTrade!$R$63,2))</f>
        <v>EXPRFH</v>
      </c>
      <c r="D1529" s="365" t="str">
        <f>CONCATENATE("Export Pipeline Trade of ",Commodities!C58, " from ",$B$1519," to R",RIGHT(C1529))</f>
        <v>Export Pipeline Trade of RFH from *R8 to RH</v>
      </c>
      <c r="E1529" s="381" t="s">
        <v>384</v>
      </c>
      <c r="F1529" s="381" t="s">
        <v>505</v>
      </c>
    </row>
    <row r="1530" spans="2:6">
      <c r="B1530" s="365" t="s">
        <v>1025</v>
      </c>
      <c r="C1530" s="365" t="str">
        <f>CONCATENATE("EXP",Commodities!C59,RIGHT(OILTrade!$R$63,2))</f>
        <v>EXPRFL</v>
      </c>
      <c r="D1530" s="365" t="str">
        <f>CONCATENATE("Export Pipeline Trade of ",Commodities!C59, " from ",$B$1519," to R",RIGHT(C1530))</f>
        <v>Export Pipeline Trade of RFL from *R8 to RL</v>
      </c>
      <c r="E1530" s="381" t="s">
        <v>384</v>
      </c>
      <c r="F1530" s="381" t="s">
        <v>505</v>
      </c>
    </row>
    <row r="1531" spans="2:6">
      <c r="B1531" s="365" t="s">
        <v>1025</v>
      </c>
      <c r="C1531" s="365" t="str">
        <f>CONCATENATE("EXP",Commodities!C60,RIGHT(OILTrade!$R$63,2))</f>
        <v>EXPASP</v>
      </c>
      <c r="D1531" s="365" t="str">
        <f>CONCATENATE("Export Pipeline Trade of ",Commodities!C60, " from ",$B$1519," to R",RIGHT(C1531))</f>
        <v>Export Pipeline Trade of ASP from *R8 to RP</v>
      </c>
      <c r="E1531" s="381" t="s">
        <v>384</v>
      </c>
      <c r="F1531" s="381" t="s">
        <v>505</v>
      </c>
    </row>
    <row r="1532" spans="2:6">
      <c r="B1532" s="365" t="s">
        <v>1025</v>
      </c>
      <c r="C1532" s="365" t="str">
        <f>CONCATENATE("EXP",Commodities!C48,RIGHT(OILTrade!$W$63,2))</f>
        <v>EXPGSC</v>
      </c>
      <c r="D1532" s="365" t="str">
        <f>CONCATENATE("Export Pipeline Trade of ",Commodities!C48, " from ",$B$1532," to R",RIGHT(C1532))</f>
        <v>Export Pipeline Trade of GSC from *R8 to RC</v>
      </c>
      <c r="E1532" s="381" t="s">
        <v>384</v>
      </c>
      <c r="F1532" s="381" t="s">
        <v>505</v>
      </c>
    </row>
    <row r="1533" spans="2:6">
      <c r="B1533" s="365" t="s">
        <v>1025</v>
      </c>
      <c r="C1533" s="365" t="str">
        <f>CONCATENATE("EXP",Commodities!C49,RIGHT(OILTrade!$W$63,2))</f>
        <v>EXPGSR</v>
      </c>
      <c r="D1533" s="365" t="str">
        <f>CONCATENATE("Export Pipeline Trade of ",Commodities!C49, " from ",$B$1532," to R",RIGHT(C1533))</f>
        <v>Export Pipeline Trade of GSR from *R8 to RR</v>
      </c>
      <c r="E1533" s="381" t="s">
        <v>384</v>
      </c>
      <c r="F1533" s="381" t="s">
        <v>505</v>
      </c>
    </row>
    <row r="1534" spans="2:6">
      <c r="B1534" s="365" t="s">
        <v>1025</v>
      </c>
      <c r="C1534" s="365" t="str">
        <f>CONCATENATE("EXP",Commodities!C50,RIGHT(OILTrade!$W$63,2))</f>
        <v>EXPDSH</v>
      </c>
      <c r="D1534" s="365" t="str">
        <f>CONCATENATE("Export Pipeline Trade of ",Commodities!C50, " from ",$B$1532," to R",RIGHT(C1534))</f>
        <v>Export Pipeline Trade of DSH from *R8 to RH</v>
      </c>
      <c r="E1534" s="381" t="s">
        <v>384</v>
      </c>
      <c r="F1534" s="381" t="s">
        <v>505</v>
      </c>
    </row>
    <row r="1535" spans="2:6">
      <c r="B1535" s="365" t="s">
        <v>1025</v>
      </c>
      <c r="C1535" s="365" t="str">
        <f>CONCATENATE("EXP",Commodities!C51,RIGHT(OILTrade!$W$63,2))</f>
        <v>EXPDSL</v>
      </c>
      <c r="D1535" s="365" t="str">
        <f>CONCATENATE("Export Pipeline Trade of ",Commodities!C51, " from ",$B$1532," to R",RIGHT(C1535))</f>
        <v>Export Pipeline Trade of DSL from *R8 to RL</v>
      </c>
      <c r="E1535" s="381" t="s">
        <v>384</v>
      </c>
      <c r="F1535" s="381" t="s">
        <v>505</v>
      </c>
    </row>
    <row r="1536" spans="2:6">
      <c r="B1536" s="365" t="s">
        <v>1025</v>
      </c>
      <c r="C1536" s="365" t="str">
        <f>CONCATENATE("EXP",Commodities!C52,RIGHT(OILTrade!$W$63,2))</f>
        <v>EXPDSU</v>
      </c>
      <c r="D1536" s="365" t="str">
        <f>CONCATENATE("Export Pipeline Trade of ",Commodities!C52, " from ",$B$1532," to R",RIGHT(C1536))</f>
        <v>Export Pipeline Trade of DSU from *R8 to RU</v>
      </c>
      <c r="E1536" s="381" t="s">
        <v>384</v>
      </c>
      <c r="F1536" s="381" t="s">
        <v>505</v>
      </c>
    </row>
    <row r="1537" spans="2:6">
      <c r="B1537" s="365" t="s">
        <v>1025</v>
      </c>
      <c r="C1537" s="365" t="str">
        <f>CONCATENATE("EXP",Commodities!C53,RIGHT(OILTrade!$W$63,2))</f>
        <v>EXPJTF</v>
      </c>
      <c r="D1537" s="365" t="str">
        <f>CONCATENATE("Export Pipeline Trade of ",Commodities!C53, " from ",$B$1532," to R",RIGHT(C1537))</f>
        <v>Export Pipeline Trade of JTF from *R8 to RF</v>
      </c>
      <c r="E1537" s="381" t="s">
        <v>384</v>
      </c>
      <c r="F1537" s="381" t="s">
        <v>505</v>
      </c>
    </row>
    <row r="1538" spans="2:6">
      <c r="B1538" s="365" t="s">
        <v>1025</v>
      </c>
      <c r="C1538" s="365" t="str">
        <f>CONCATENATE("EXP",Commodities!C54,RIGHT(OILTrade!$W$63,2))</f>
        <v>EXPKER</v>
      </c>
      <c r="D1538" s="365" t="str">
        <f>CONCATENATE("Export Pipeline Trade of ",Commodities!C54, " from ",$B$1532," to R",RIGHT(C1538))</f>
        <v>Export Pipeline Trade of KER from *R8 to RR</v>
      </c>
      <c r="E1538" s="381" t="s">
        <v>384</v>
      </c>
      <c r="F1538" s="381" t="s">
        <v>505</v>
      </c>
    </row>
    <row r="1539" spans="2:6">
      <c r="B1539" s="365" t="s">
        <v>1025</v>
      </c>
      <c r="C1539" s="365" t="str">
        <f>CONCATENATE("EXP",Commodities!C55,RIGHT(OILTrade!$W$63,2))</f>
        <v>EXPLPG</v>
      </c>
      <c r="D1539" s="365" t="str">
        <f>CONCATENATE("Export Pipeline Trade of ",Commodities!C55, " from ",$B$1532," to R",RIGHT(C1539))</f>
        <v>Export Pipeline Trade of LPG from *R8 to RG</v>
      </c>
      <c r="E1539" s="381" t="s">
        <v>384</v>
      </c>
      <c r="F1539" s="381" t="s">
        <v>505</v>
      </c>
    </row>
    <row r="1540" spans="2:6">
      <c r="B1540" s="365" t="s">
        <v>1025</v>
      </c>
      <c r="C1540" s="365" t="str">
        <f>CONCATENATE("EXP",Commodities!C56,RIGHT(OILTrade!$W$63,2))</f>
        <v>EXPMTH</v>
      </c>
      <c r="D1540" s="365" t="str">
        <f>CONCATENATE("Export Pipeline Trade of ",Commodities!C56, " from ",$B$1532," to R",RIGHT(C1540))</f>
        <v>Export Pipeline Trade of MTH from *R8 to RH</v>
      </c>
      <c r="E1540" s="381" t="s">
        <v>384</v>
      </c>
      <c r="F1540" s="381" t="s">
        <v>505</v>
      </c>
    </row>
    <row r="1541" spans="2:6">
      <c r="B1541" s="365" t="s">
        <v>1025</v>
      </c>
      <c r="C1541" s="365" t="str">
        <f>CONCATENATE("EXP",Commodities!C57,RIGHT(OILTrade!$W$63,2))</f>
        <v>EXPPFS</v>
      </c>
      <c r="D1541" s="365" t="str">
        <f>CONCATENATE("Export Pipeline Trade of ",Commodities!C57, " from ",$B$1532," to R",RIGHT(C1541))</f>
        <v>Export Pipeline Trade of PFS from *R8 to RS</v>
      </c>
      <c r="E1541" s="381" t="s">
        <v>384</v>
      </c>
      <c r="F1541" s="381" t="s">
        <v>505</v>
      </c>
    </row>
    <row r="1542" spans="2:6">
      <c r="B1542" s="365" t="s">
        <v>1025</v>
      </c>
      <c r="C1542" s="365" t="str">
        <f>CONCATENATE("EXP",Commodities!C58,RIGHT(OILTrade!$W$63,2))</f>
        <v>EXPRFH</v>
      </c>
      <c r="D1542" s="365" t="str">
        <f>CONCATENATE("Export Pipeline Trade of ",Commodities!C58, " from ",$B$1532," to R",RIGHT(C1542))</f>
        <v>Export Pipeline Trade of RFH from *R8 to RH</v>
      </c>
      <c r="E1542" s="381" t="s">
        <v>384</v>
      </c>
      <c r="F1542" s="381" t="s">
        <v>505</v>
      </c>
    </row>
    <row r="1543" spans="2:6">
      <c r="B1543" s="365" t="s">
        <v>1025</v>
      </c>
      <c r="C1543" s="365" t="str">
        <f>CONCATENATE("EXP",Commodities!C59,RIGHT(OILTrade!$W$63,2))</f>
        <v>EXPRFL</v>
      </c>
      <c r="D1543" s="365" t="str">
        <f>CONCATENATE("Export Pipeline Trade of ",Commodities!C59, " from ",$B$1532," to R",RIGHT(C1543))</f>
        <v>Export Pipeline Trade of RFL from *R8 to RL</v>
      </c>
      <c r="E1543" s="381" t="s">
        <v>384</v>
      </c>
      <c r="F1543" s="381" t="s">
        <v>505</v>
      </c>
    </row>
    <row r="1544" spans="2:6">
      <c r="B1544" s="365" t="s">
        <v>1025</v>
      </c>
      <c r="C1544" s="365" t="str">
        <f>CONCATENATE("EXP",Commodities!C60,RIGHT(OILTrade!$W$63,2))</f>
        <v>EXPASP</v>
      </c>
      <c r="D1544" s="365" t="str">
        <f>CONCATENATE("Export Pipeline Trade of ",Commodities!C60, " from ",$B$1532," to R",RIGHT(C1544))</f>
        <v>Export Pipeline Trade of ASP from *R8 to RP</v>
      </c>
      <c r="E1544" s="381" t="s">
        <v>384</v>
      </c>
      <c r="F1544" s="381" t="s">
        <v>505</v>
      </c>
    </row>
    <row r="1545" spans="2:6">
      <c r="B1545" s="365" t="s">
        <v>1090</v>
      </c>
    </row>
    <row r="1546" spans="2:6">
      <c r="B1546" s="365" t="s">
        <v>1085</v>
      </c>
      <c r="C1546" s="365" t="str">
        <f>CONCATENATE("EXP",Commodities!C48,"B",RIGHT(OILTrade!$Q$71,2))</f>
        <v>EXPGSCB</v>
      </c>
      <c r="D1546" s="365" t="str">
        <f>CONCATENATE("Export Barge/Vessel Trade of ",Commodities!C48, " from ",$B$1546," to R",RIGHT(C1546))</f>
        <v>Export Barge/Vessel Trade of GSC from *R2 to RB</v>
      </c>
      <c r="E1546" s="381" t="s">
        <v>384</v>
      </c>
      <c r="F1546" s="381" t="s">
        <v>505</v>
      </c>
    </row>
    <row r="1547" spans="2:6">
      <c r="B1547" s="365" t="s">
        <v>1085</v>
      </c>
      <c r="C1547" s="365" t="str">
        <f>CONCATENATE("EXP",Commodities!C49,"B",RIGHT(OILTrade!$Q$71,2))</f>
        <v>EXPGSRB</v>
      </c>
      <c r="D1547" s="365" t="str">
        <f>CONCATENATE("Export Barge/Vessel Trade of ",Commodities!C49, " from ",$B$1546," to R",RIGHT(C1547))</f>
        <v>Export Barge/Vessel Trade of GSR from *R2 to RB</v>
      </c>
      <c r="E1547" s="381" t="s">
        <v>384</v>
      </c>
      <c r="F1547" s="381" t="s">
        <v>505</v>
      </c>
    </row>
    <row r="1548" spans="2:6">
      <c r="B1548" s="365" t="s">
        <v>1085</v>
      </c>
      <c r="C1548" s="365" t="str">
        <f>CONCATENATE("EXP",Commodities!C50,"B",RIGHT(OILTrade!$Q$71,2))</f>
        <v>EXPDSHB</v>
      </c>
      <c r="D1548" s="365" t="str">
        <f>CONCATENATE("Export Barge/Vessel Trade of ",Commodities!C50, " from ",$B$1546," to R",RIGHT(C1548))</f>
        <v>Export Barge/Vessel Trade of DSH from *R2 to RB</v>
      </c>
      <c r="E1548" s="381" t="s">
        <v>384</v>
      </c>
      <c r="F1548" s="381" t="s">
        <v>505</v>
      </c>
    </row>
    <row r="1549" spans="2:6">
      <c r="B1549" s="365" t="s">
        <v>1085</v>
      </c>
      <c r="C1549" s="365" t="str">
        <f>CONCATENATE("EXP",Commodities!C51,"B",RIGHT(OILTrade!$Q$71,2))</f>
        <v>EXPDSLB</v>
      </c>
      <c r="D1549" s="365" t="str">
        <f>CONCATENATE("Export Barge/Vessel Trade of ",Commodities!C51, " from ",$B$1546," to R",RIGHT(C1549))</f>
        <v>Export Barge/Vessel Trade of DSL from *R2 to RB</v>
      </c>
      <c r="E1549" s="381" t="s">
        <v>384</v>
      </c>
      <c r="F1549" s="381" t="s">
        <v>505</v>
      </c>
    </row>
    <row r="1550" spans="2:6">
      <c r="B1550" s="365" t="s">
        <v>1085</v>
      </c>
      <c r="C1550" s="365" t="str">
        <f>CONCATENATE("EXP",Commodities!C52,"B",RIGHT(OILTrade!$Q$71,2))</f>
        <v>EXPDSUB</v>
      </c>
      <c r="D1550" s="365" t="str">
        <f>CONCATENATE("Export Barge/Vessel Trade of ",Commodities!C52, " from ",$B$1546," to R",RIGHT(C1550))</f>
        <v>Export Barge/Vessel Trade of DSU from *R2 to RB</v>
      </c>
      <c r="E1550" s="381" t="s">
        <v>384</v>
      </c>
      <c r="F1550" s="381" t="s">
        <v>505</v>
      </c>
    </row>
    <row r="1551" spans="2:6">
      <c r="B1551" s="365" t="s">
        <v>1085</v>
      </c>
      <c r="C1551" s="365" t="str">
        <f>CONCATENATE("EXP",Commodities!C53,"B",RIGHT(OILTrade!$Q$71,2))</f>
        <v>EXPJTFB</v>
      </c>
      <c r="D1551" s="365" t="str">
        <f>CONCATENATE("Export Barge/Vessel Trade of ",Commodities!C53, " from ",$B$1546," to R",RIGHT(C1551))</f>
        <v>Export Barge/Vessel Trade of JTF from *R2 to RB</v>
      </c>
      <c r="E1551" s="381" t="s">
        <v>384</v>
      </c>
      <c r="F1551" s="381" t="s">
        <v>505</v>
      </c>
    </row>
    <row r="1552" spans="2:6">
      <c r="B1552" s="365" t="s">
        <v>1085</v>
      </c>
      <c r="C1552" s="365" t="str">
        <f>CONCATENATE("EXP",Commodities!C54,"B",RIGHT(OILTrade!$Q$71,2))</f>
        <v>EXPKERB</v>
      </c>
      <c r="D1552" s="365" t="str">
        <f>CONCATENATE("Export Barge/Vessel Trade of ",Commodities!C54, " from ",$B$1546," to R",RIGHT(C1552))</f>
        <v>Export Barge/Vessel Trade of KER from *R2 to RB</v>
      </c>
      <c r="E1552" s="381" t="s">
        <v>384</v>
      </c>
      <c r="F1552" s="381" t="s">
        <v>505</v>
      </c>
    </row>
    <row r="1553" spans="2:6">
      <c r="B1553" s="365" t="s">
        <v>1085</v>
      </c>
      <c r="C1553" s="365" t="str">
        <f>CONCATENATE("EXP",Commodities!C55,"B",RIGHT(OILTrade!$Q$71,2))</f>
        <v>EXPLPGB</v>
      </c>
      <c r="D1553" s="365" t="str">
        <f>CONCATENATE("Export Barge/Vessel Trade of ",Commodities!C55, " from ",$B$1546," to R",RIGHT(C1553))</f>
        <v>Export Barge/Vessel Trade of LPG from *R2 to RB</v>
      </c>
      <c r="E1553" s="381" t="s">
        <v>384</v>
      </c>
      <c r="F1553" s="381" t="s">
        <v>505</v>
      </c>
    </row>
    <row r="1554" spans="2:6">
      <c r="B1554" s="365" t="s">
        <v>1085</v>
      </c>
      <c r="C1554" s="365" t="str">
        <f>CONCATENATE("EXP",Commodities!C56,"B",RIGHT(OILTrade!$Q$71,2))</f>
        <v>EXPMTHB</v>
      </c>
      <c r="D1554" s="365" t="str">
        <f>CONCATENATE("Export Barge/Vessel Trade of ",Commodities!C56, " from ",$B$1546," to R",RIGHT(C1554))</f>
        <v>Export Barge/Vessel Trade of MTH from *R2 to RB</v>
      </c>
      <c r="E1554" s="381" t="s">
        <v>384</v>
      </c>
      <c r="F1554" s="381" t="s">
        <v>505</v>
      </c>
    </row>
    <row r="1555" spans="2:6">
      <c r="B1555" s="365" t="s">
        <v>1085</v>
      </c>
      <c r="C1555" s="365" t="str">
        <f>CONCATENATE("EXP",Commodities!C57,"B",RIGHT(OILTrade!$Q$71,2))</f>
        <v>EXPPFSB</v>
      </c>
      <c r="D1555" s="365" t="str">
        <f>CONCATENATE("Export Barge/Vessel Trade of ",Commodities!C57, " from ",$B$1546," to R",RIGHT(C1555))</f>
        <v>Export Barge/Vessel Trade of PFS from *R2 to RB</v>
      </c>
      <c r="E1555" s="381" t="s">
        <v>384</v>
      </c>
      <c r="F1555" s="381" t="s">
        <v>505</v>
      </c>
    </row>
    <row r="1556" spans="2:6">
      <c r="B1556" s="365" t="s">
        <v>1085</v>
      </c>
      <c r="C1556" s="365" t="str">
        <f>CONCATENATE("EXP",Commodities!C58,"B",RIGHT(OILTrade!$Q$71,2))</f>
        <v>EXPRFHB</v>
      </c>
      <c r="D1556" s="365" t="str">
        <f>CONCATENATE("Export Barge/Vessel Trade of ",Commodities!C58, " from ",$B$1546," to R",RIGHT(C1556))</f>
        <v>Export Barge/Vessel Trade of RFH from *R2 to RB</v>
      </c>
      <c r="E1556" s="381" t="s">
        <v>384</v>
      </c>
      <c r="F1556" s="381" t="s">
        <v>505</v>
      </c>
    </row>
    <row r="1557" spans="2:6">
      <c r="B1557" s="365" t="s">
        <v>1085</v>
      </c>
      <c r="C1557" s="365" t="str">
        <f>CONCATENATE("EXP",Commodities!C59,"B",RIGHT(OILTrade!$Q$71,2))</f>
        <v>EXPRFLB</v>
      </c>
      <c r="D1557" s="365" t="str">
        <f>CONCATENATE("Export Barge/Vessel Trade of ",Commodities!C59, " from ",$B$1546," to R",RIGHT(C1557))</f>
        <v>Export Barge/Vessel Trade of RFL from *R2 to RB</v>
      </c>
      <c r="E1557" s="381" t="s">
        <v>384</v>
      </c>
      <c r="F1557" s="381" t="s">
        <v>505</v>
      </c>
    </row>
    <row r="1558" spans="2:6">
      <c r="B1558" s="365" t="s">
        <v>1085</v>
      </c>
      <c r="C1558" s="365" t="str">
        <f>CONCATENATE("EXP",Commodities!C60,"B",RIGHT(OILTrade!$Q$71,2))</f>
        <v>EXPASPB</v>
      </c>
      <c r="D1558" s="365" t="str">
        <f>CONCATENATE("Export Barge/Vessel Trade of ",Commodities!C60, " from ",$B$1546," to R",RIGHT(C1558))</f>
        <v>Export Barge/Vessel Trade of ASP from *R2 to RB</v>
      </c>
      <c r="E1558" s="381" t="s">
        <v>384</v>
      </c>
      <c r="F1558" s="381" t="s">
        <v>505</v>
      </c>
    </row>
    <row r="1559" spans="2:6">
      <c r="B1559" s="365" t="s">
        <v>1085</v>
      </c>
      <c r="C1559" s="365" t="str">
        <f>CONCATENATE("EXP",Commodities!C48,"B",RIGHT(OILTrade!$T$71,2))</f>
        <v>EXPGSCB26</v>
      </c>
      <c r="D1559" s="365" t="str">
        <f>CONCATENATE("Export Barge/Vessel Trade of ",Commodities!C48, " from ",$B$1559," to R",RIGHT(C1559))</f>
        <v>Export Barge/Vessel Trade of GSC from *R2 to R6</v>
      </c>
      <c r="E1559" s="381" t="s">
        <v>384</v>
      </c>
      <c r="F1559" s="381" t="s">
        <v>505</v>
      </c>
    </row>
    <row r="1560" spans="2:6">
      <c r="B1560" s="365" t="s">
        <v>1085</v>
      </c>
      <c r="C1560" s="365" t="str">
        <f>CONCATENATE("EXP",Commodities!C49,"B",RIGHT(OILTrade!$T$71,2))</f>
        <v>EXPGSRB26</v>
      </c>
      <c r="D1560" s="365" t="str">
        <f>CONCATENATE("Export Barge/Vessel Trade of ",Commodities!C49, " from ",$B$1559," to R",RIGHT(C1560))</f>
        <v>Export Barge/Vessel Trade of GSR from *R2 to R6</v>
      </c>
      <c r="E1560" s="381" t="s">
        <v>384</v>
      </c>
      <c r="F1560" s="381" t="s">
        <v>505</v>
      </c>
    </row>
    <row r="1561" spans="2:6">
      <c r="B1561" s="365" t="s">
        <v>1085</v>
      </c>
      <c r="C1561" s="365" t="str">
        <f>CONCATENATE("EXP",Commodities!C50,"B",RIGHT(OILTrade!$T$71,2))</f>
        <v>EXPDSHB26</v>
      </c>
      <c r="D1561" s="365" t="str">
        <f>CONCATENATE("Export Barge/Vessel Trade of ",Commodities!C50, " from ",$B$1559," to R",RIGHT(C1561))</f>
        <v>Export Barge/Vessel Trade of DSH from *R2 to R6</v>
      </c>
      <c r="E1561" s="381" t="s">
        <v>384</v>
      </c>
      <c r="F1561" s="381" t="s">
        <v>505</v>
      </c>
    </row>
    <row r="1562" spans="2:6">
      <c r="B1562" s="365" t="s">
        <v>1085</v>
      </c>
      <c r="C1562" s="365" t="str">
        <f>CONCATENATE("EXP",Commodities!C51,"B",RIGHT(OILTrade!$T$71,2))</f>
        <v>EXPDSLB26</v>
      </c>
      <c r="D1562" s="365" t="str">
        <f>CONCATENATE("Export Barge/Vessel Trade of ",Commodities!C51, " from ",$B$1559," to R",RIGHT(C1562))</f>
        <v>Export Barge/Vessel Trade of DSL from *R2 to R6</v>
      </c>
      <c r="E1562" s="381" t="s">
        <v>384</v>
      </c>
      <c r="F1562" s="381" t="s">
        <v>505</v>
      </c>
    </row>
    <row r="1563" spans="2:6">
      <c r="B1563" s="365" t="s">
        <v>1085</v>
      </c>
      <c r="C1563" s="365" t="str">
        <f>CONCATENATE("EXP",Commodities!C52,"B",RIGHT(OILTrade!$T$71,2))</f>
        <v>EXPDSUB26</v>
      </c>
      <c r="D1563" s="365" t="str">
        <f>CONCATENATE("Export Barge/Vessel Trade of ",Commodities!C52, " from ",$B$1559," to R",RIGHT(C1563))</f>
        <v>Export Barge/Vessel Trade of DSU from *R2 to R6</v>
      </c>
      <c r="E1563" s="381" t="s">
        <v>384</v>
      </c>
      <c r="F1563" s="381" t="s">
        <v>505</v>
      </c>
    </row>
    <row r="1564" spans="2:6">
      <c r="B1564" s="365" t="s">
        <v>1085</v>
      </c>
      <c r="C1564" s="365" t="str">
        <f>CONCATENATE("EXP",Commodities!C53,"B",RIGHT(OILTrade!$T$71,2))</f>
        <v>EXPJTFB26</v>
      </c>
      <c r="D1564" s="365" t="str">
        <f>CONCATENATE("Export Barge/Vessel Trade of ",Commodities!C53, " from ",$B$1559," to R",RIGHT(C1564))</f>
        <v>Export Barge/Vessel Trade of JTF from *R2 to R6</v>
      </c>
      <c r="E1564" s="381" t="s">
        <v>384</v>
      </c>
      <c r="F1564" s="381" t="s">
        <v>505</v>
      </c>
    </row>
    <row r="1565" spans="2:6">
      <c r="B1565" s="365" t="s">
        <v>1085</v>
      </c>
      <c r="C1565" s="365" t="str">
        <f>CONCATENATE("EXP",Commodities!C54,"B",RIGHT(OILTrade!$T$71,2))</f>
        <v>EXPKERB26</v>
      </c>
      <c r="D1565" s="365" t="str">
        <f>CONCATENATE("Export Barge/Vessel Trade of ",Commodities!C54, " from ",$B$1559," to R",RIGHT(C1565))</f>
        <v>Export Barge/Vessel Trade of KER from *R2 to R6</v>
      </c>
      <c r="E1565" s="381" t="s">
        <v>384</v>
      </c>
      <c r="F1565" s="381" t="s">
        <v>505</v>
      </c>
    </row>
    <row r="1566" spans="2:6">
      <c r="B1566" s="365" t="s">
        <v>1085</v>
      </c>
      <c r="C1566" s="365" t="str">
        <f>CONCATENATE("EXP",Commodities!C55,"B",RIGHT(OILTrade!$T$71,2))</f>
        <v>EXPLPGB26</v>
      </c>
      <c r="D1566" s="365" t="str">
        <f>CONCATENATE("Export Barge/Vessel Trade of ",Commodities!C55, " from ",$B$1559," to R",RIGHT(C1566))</f>
        <v>Export Barge/Vessel Trade of LPG from *R2 to R6</v>
      </c>
      <c r="E1566" s="381" t="s">
        <v>384</v>
      </c>
      <c r="F1566" s="381" t="s">
        <v>505</v>
      </c>
    </row>
    <row r="1567" spans="2:6">
      <c r="B1567" s="365" t="s">
        <v>1085</v>
      </c>
      <c r="C1567" s="365" t="str">
        <f>CONCATENATE("EXP",Commodities!C56,"B",RIGHT(OILTrade!$T$71,2))</f>
        <v>EXPMTHB26</v>
      </c>
      <c r="D1567" s="365" t="str">
        <f>CONCATENATE("Export Barge/Vessel Trade of ",Commodities!C56, " from ",$B$1559," to R",RIGHT(C1567))</f>
        <v>Export Barge/Vessel Trade of MTH from *R2 to R6</v>
      </c>
      <c r="E1567" s="381" t="s">
        <v>384</v>
      </c>
      <c r="F1567" s="381" t="s">
        <v>505</v>
      </c>
    </row>
    <row r="1568" spans="2:6">
      <c r="B1568" s="365" t="s">
        <v>1085</v>
      </c>
      <c r="C1568" s="365" t="str">
        <f>CONCATENATE("EXP",Commodities!C57,"B",RIGHT(OILTrade!$T$71,2))</f>
        <v>EXPPFSB26</v>
      </c>
      <c r="D1568" s="365" t="str">
        <f>CONCATENATE("Export Barge/Vessel Trade of ",Commodities!C57, " from ",$B$1559," to R",RIGHT(C1568))</f>
        <v>Export Barge/Vessel Trade of PFS from *R2 to R6</v>
      </c>
      <c r="E1568" s="381" t="s">
        <v>384</v>
      </c>
      <c r="F1568" s="381" t="s">
        <v>505</v>
      </c>
    </row>
    <row r="1569" spans="2:6">
      <c r="B1569" s="365" t="s">
        <v>1085</v>
      </c>
      <c r="C1569" s="365" t="str">
        <f>CONCATENATE("EXP",Commodities!C58,"B",RIGHT(OILTrade!$T$71,2))</f>
        <v>EXPRFHB26</v>
      </c>
      <c r="D1569" s="365" t="str">
        <f>CONCATENATE("Export Barge/Vessel Trade of ",Commodities!C58, " from ",$B$1559," to R",RIGHT(C1569))</f>
        <v>Export Barge/Vessel Trade of RFH from *R2 to R6</v>
      </c>
      <c r="E1569" s="381" t="s">
        <v>384</v>
      </c>
      <c r="F1569" s="381" t="s">
        <v>505</v>
      </c>
    </row>
    <row r="1570" spans="2:6">
      <c r="B1570" s="365" t="s">
        <v>1085</v>
      </c>
      <c r="C1570" s="365" t="str">
        <f>CONCATENATE("EXP",Commodities!C59,"B",RIGHT(OILTrade!$T$71,2))</f>
        <v>EXPRFLB26</v>
      </c>
      <c r="D1570" s="365" t="str">
        <f>CONCATENATE("Export Barge/Vessel Trade of ",Commodities!C59, " from ",$B$1559," to R",RIGHT(C1570))</f>
        <v>Export Barge/Vessel Trade of RFL from *R2 to R6</v>
      </c>
      <c r="E1570" s="381" t="s">
        <v>384</v>
      </c>
      <c r="F1570" s="381" t="s">
        <v>505</v>
      </c>
    </row>
    <row r="1571" spans="2:6">
      <c r="B1571" s="365" t="s">
        <v>1085</v>
      </c>
      <c r="C1571" s="365" t="str">
        <f>CONCATENATE("EXP",Commodities!C60,"B",RIGHT(OILTrade!$T$71,2))</f>
        <v>EXPASPB26</v>
      </c>
      <c r="D1571" s="365" t="str">
        <f>CONCATENATE("Export Barge/Vessel Trade of ",Commodities!C60, " from ",$B$1559," to R",RIGHT(C1571))</f>
        <v>Export Barge/Vessel Trade of ASP from *R2 to R6</v>
      </c>
      <c r="E1571" s="381" t="s">
        <v>384</v>
      </c>
      <c r="F1571" s="381" t="s">
        <v>505</v>
      </c>
    </row>
    <row r="1572" spans="2:6">
      <c r="B1572" s="365" t="s">
        <v>1085</v>
      </c>
      <c r="C1572" s="365" t="str">
        <f>CONCATENATE("EXP",Commodities!C48,"B",RIGHT(OILTrade!$U$71,2))</f>
        <v>EXPGSCB</v>
      </c>
      <c r="D1572" s="365" t="str">
        <f>CONCATENATE("Export Barge/Vessel Trade of ",Commodities!C48, " from ",$B$1572," to R",RIGHT(C1572))</f>
        <v>Export Barge/Vessel Trade of GSC from *R2 to RB</v>
      </c>
      <c r="E1572" s="381" t="s">
        <v>384</v>
      </c>
      <c r="F1572" s="381" t="s">
        <v>505</v>
      </c>
    </row>
    <row r="1573" spans="2:6">
      <c r="B1573" s="365" t="s">
        <v>1085</v>
      </c>
      <c r="C1573" s="365" t="str">
        <f>CONCATENATE("EXP",Commodities!C49,"B",RIGHT(OILTrade!$U$71,2))</f>
        <v>EXPGSRB</v>
      </c>
      <c r="D1573" s="365" t="str">
        <f>CONCATENATE("Export Barge/Vessel Trade of ",Commodities!C49, " from ",$B$1572," to R",RIGHT(C1573))</f>
        <v>Export Barge/Vessel Trade of GSR from *R2 to RB</v>
      </c>
      <c r="E1573" s="381" t="s">
        <v>384</v>
      </c>
      <c r="F1573" s="381" t="s">
        <v>505</v>
      </c>
    </row>
    <row r="1574" spans="2:6">
      <c r="B1574" s="365" t="s">
        <v>1085</v>
      </c>
      <c r="C1574" s="365" t="str">
        <f>CONCATENATE("EXP",Commodities!C50,"B",RIGHT(OILTrade!$U$71,2))</f>
        <v>EXPDSHB</v>
      </c>
      <c r="D1574" s="365" t="str">
        <f>CONCATENATE("Export Barge/Vessel Trade of ",Commodities!C50, " from ",$B$1572," to R",RIGHT(C1574))</f>
        <v>Export Barge/Vessel Trade of DSH from *R2 to RB</v>
      </c>
      <c r="E1574" s="381" t="s">
        <v>384</v>
      </c>
      <c r="F1574" s="381" t="s">
        <v>505</v>
      </c>
    </row>
    <row r="1575" spans="2:6">
      <c r="B1575" s="365" t="s">
        <v>1085</v>
      </c>
      <c r="C1575" s="365" t="str">
        <f>CONCATENATE("EXP",Commodities!C51,"B",RIGHT(OILTrade!$U$71,2))</f>
        <v>EXPDSLB</v>
      </c>
      <c r="D1575" s="365" t="str">
        <f>CONCATENATE("Export Barge/Vessel Trade of ",Commodities!C51, " from ",$B$1572," to R",RIGHT(C1575))</f>
        <v>Export Barge/Vessel Trade of DSL from *R2 to RB</v>
      </c>
      <c r="E1575" s="381" t="s">
        <v>384</v>
      </c>
      <c r="F1575" s="381" t="s">
        <v>505</v>
      </c>
    </row>
    <row r="1576" spans="2:6">
      <c r="B1576" s="365" t="s">
        <v>1085</v>
      </c>
      <c r="C1576" s="365" t="str">
        <f>CONCATENATE("EXP",Commodities!C52,"B",RIGHT(OILTrade!$U$71,2))</f>
        <v>EXPDSUB</v>
      </c>
      <c r="D1576" s="365" t="str">
        <f>CONCATENATE("Export Barge/Vessel Trade of ",Commodities!C52, " from ",$B$1572," to R",RIGHT(C1576))</f>
        <v>Export Barge/Vessel Trade of DSU from *R2 to RB</v>
      </c>
      <c r="E1576" s="381" t="s">
        <v>384</v>
      </c>
      <c r="F1576" s="381" t="s">
        <v>505</v>
      </c>
    </row>
    <row r="1577" spans="2:6">
      <c r="B1577" s="365" t="s">
        <v>1085</v>
      </c>
      <c r="C1577" s="365" t="str">
        <f>CONCATENATE("EXP",Commodities!C53,"B",RIGHT(OILTrade!$U$71,2))</f>
        <v>EXPJTFB</v>
      </c>
      <c r="D1577" s="365" t="str">
        <f>CONCATENATE("Export Barge/Vessel Trade of ",Commodities!C53, " from ",$B$1572," to R",RIGHT(C1577))</f>
        <v>Export Barge/Vessel Trade of JTF from *R2 to RB</v>
      </c>
      <c r="E1577" s="381" t="s">
        <v>384</v>
      </c>
      <c r="F1577" s="381" t="s">
        <v>505</v>
      </c>
    </row>
    <row r="1578" spans="2:6">
      <c r="B1578" s="365" t="s">
        <v>1085</v>
      </c>
      <c r="C1578" s="365" t="str">
        <f>CONCATENATE("EXP",Commodities!C54,"B",RIGHT(OILTrade!$U$71,2))</f>
        <v>EXPKERB</v>
      </c>
      <c r="D1578" s="365" t="str">
        <f>CONCATENATE("Export Barge/Vessel Trade of ",Commodities!C54, " from ",$B$1572," to R",RIGHT(C1578))</f>
        <v>Export Barge/Vessel Trade of KER from *R2 to RB</v>
      </c>
      <c r="E1578" s="381" t="s">
        <v>384</v>
      </c>
      <c r="F1578" s="381" t="s">
        <v>505</v>
      </c>
    </row>
    <row r="1579" spans="2:6">
      <c r="B1579" s="365" t="s">
        <v>1085</v>
      </c>
      <c r="C1579" s="365" t="str">
        <f>CONCATENATE("EXP",Commodities!C55,"B",RIGHT(OILTrade!$U$71,2))</f>
        <v>EXPLPGB</v>
      </c>
      <c r="D1579" s="365" t="str">
        <f>CONCATENATE("Export Barge/Vessel Trade of ",Commodities!C55, " from ",$B$1572," to R",RIGHT(C1579))</f>
        <v>Export Barge/Vessel Trade of LPG from *R2 to RB</v>
      </c>
      <c r="E1579" s="381" t="s">
        <v>384</v>
      </c>
      <c r="F1579" s="381" t="s">
        <v>505</v>
      </c>
    </row>
    <row r="1580" spans="2:6">
      <c r="B1580" s="365" t="s">
        <v>1085</v>
      </c>
      <c r="C1580" s="365" t="str">
        <f>CONCATENATE("EXP",Commodities!C56,"B",RIGHT(OILTrade!$U$71,2))</f>
        <v>EXPMTHB</v>
      </c>
      <c r="D1580" s="365" t="str">
        <f>CONCATENATE("Export Barge/Vessel Trade of ",Commodities!C56, " from ",$B$1572," to R",RIGHT(C1580))</f>
        <v>Export Barge/Vessel Trade of MTH from *R2 to RB</v>
      </c>
      <c r="E1580" s="381" t="s">
        <v>384</v>
      </c>
      <c r="F1580" s="381" t="s">
        <v>505</v>
      </c>
    </row>
    <row r="1581" spans="2:6">
      <c r="B1581" s="365" t="s">
        <v>1085</v>
      </c>
      <c r="C1581" s="365" t="str">
        <f>CONCATENATE("EXP",Commodities!C57,"B",RIGHT(OILTrade!$U$71,2))</f>
        <v>EXPPFSB</v>
      </c>
      <c r="D1581" s="365" t="str">
        <f>CONCATENATE("Export Barge/Vessel Trade of ",Commodities!C57, " from ",$B$1572," to R",RIGHT(C1581))</f>
        <v>Export Barge/Vessel Trade of PFS from *R2 to RB</v>
      </c>
      <c r="E1581" s="381" t="s">
        <v>384</v>
      </c>
      <c r="F1581" s="381" t="s">
        <v>505</v>
      </c>
    </row>
    <row r="1582" spans="2:6">
      <c r="B1582" s="365" t="s">
        <v>1085</v>
      </c>
      <c r="C1582" s="365" t="str">
        <f>CONCATENATE("EXP",Commodities!C58,"B",RIGHT(OILTrade!$U$71,2))</f>
        <v>EXPRFHB</v>
      </c>
      <c r="D1582" s="365" t="str">
        <f>CONCATENATE("Export Barge/Vessel Trade of ",Commodities!C58, " from ",$B$1572," to R",RIGHT(C1582))</f>
        <v>Export Barge/Vessel Trade of RFH from *R2 to RB</v>
      </c>
      <c r="E1582" s="381" t="s">
        <v>384</v>
      </c>
      <c r="F1582" s="381" t="s">
        <v>505</v>
      </c>
    </row>
    <row r="1583" spans="2:6">
      <c r="B1583" s="365" t="s">
        <v>1085</v>
      </c>
      <c r="C1583" s="365" t="str">
        <f>CONCATENATE("EXP",Commodities!C59,"B",RIGHT(OILTrade!$U$71,2))</f>
        <v>EXPRFLB</v>
      </c>
      <c r="D1583" s="365" t="str">
        <f>CONCATENATE("Export Barge/Vessel Trade of ",Commodities!C59, " from ",$B$1572," to R",RIGHT(C1583))</f>
        <v>Export Barge/Vessel Trade of RFL from *R2 to RB</v>
      </c>
      <c r="E1583" s="381" t="s">
        <v>384</v>
      </c>
      <c r="F1583" s="381" t="s">
        <v>505</v>
      </c>
    </row>
    <row r="1584" spans="2:6">
      <c r="B1584" s="365" t="s">
        <v>1085</v>
      </c>
      <c r="C1584" s="365" t="str">
        <f>CONCATENATE("EXP",Commodities!C60,"B",RIGHT(OILTrade!$U$71,2))</f>
        <v>EXPASPB</v>
      </c>
      <c r="D1584" s="365" t="str">
        <f>CONCATENATE("Export Barge/Vessel Trade of ",Commodities!C60, " from ",$B$1572," to R",RIGHT(C1584))</f>
        <v>Export Barge/Vessel Trade of ASP from *R2 to RB</v>
      </c>
      <c r="E1584" s="381" t="s">
        <v>384</v>
      </c>
      <c r="F1584" s="381" t="s">
        <v>505</v>
      </c>
    </row>
    <row r="1585" spans="2:6">
      <c r="B1585" s="365" t="s">
        <v>1086</v>
      </c>
      <c r="C1585" s="365" t="str">
        <f>CONCATENATE("EXP",Commodities!C48,"B",RIGHT(OILTrade!$P$72,2))</f>
        <v>EXPGSCB</v>
      </c>
      <c r="D1585" s="365" t="str">
        <f>CONCATENATE("Export Barge/Vessel Trade of ",Commodities!C48, " from ",$B$1585," to R",RIGHT(C1585))</f>
        <v>Export Barge/Vessel Trade of GSC from *R3 to RB</v>
      </c>
      <c r="E1585" s="381" t="s">
        <v>384</v>
      </c>
      <c r="F1585" s="381" t="s">
        <v>505</v>
      </c>
    </row>
    <row r="1586" spans="2:6">
      <c r="B1586" s="365" t="s">
        <v>1086</v>
      </c>
      <c r="C1586" s="365" t="str">
        <f>CONCATENATE("EXP",Commodities!C49,"B",RIGHT(OILTrade!$P$72,2))</f>
        <v>EXPGSRB</v>
      </c>
      <c r="D1586" s="365" t="str">
        <f>CONCATENATE("Export Barge/Vessel Trade of ",Commodities!C49, " from ",$B$1585," to R",RIGHT(C1586))</f>
        <v>Export Barge/Vessel Trade of GSR from *R3 to RB</v>
      </c>
      <c r="E1586" s="381" t="s">
        <v>384</v>
      </c>
      <c r="F1586" s="381" t="s">
        <v>505</v>
      </c>
    </row>
    <row r="1587" spans="2:6">
      <c r="B1587" s="365" t="s">
        <v>1086</v>
      </c>
      <c r="C1587" s="365" t="str">
        <f>CONCATENATE("EXP",Commodities!C50,"B",RIGHT(OILTrade!$P$72,2))</f>
        <v>EXPDSHB</v>
      </c>
      <c r="D1587" s="365" t="str">
        <f>CONCATENATE("Export Barge/Vessel Trade of ",Commodities!C50, " from ",$B$1585," to R",RIGHT(C1587))</f>
        <v>Export Barge/Vessel Trade of DSH from *R3 to RB</v>
      </c>
      <c r="E1587" s="381" t="s">
        <v>384</v>
      </c>
      <c r="F1587" s="381" t="s">
        <v>505</v>
      </c>
    </row>
    <row r="1588" spans="2:6">
      <c r="B1588" s="365" t="s">
        <v>1086</v>
      </c>
      <c r="C1588" s="365" t="str">
        <f>CONCATENATE("EXP",Commodities!C51,"B",RIGHT(OILTrade!$P$72,2))</f>
        <v>EXPDSLB</v>
      </c>
      <c r="D1588" s="365" t="str">
        <f>CONCATENATE("Export Barge/Vessel Trade of ",Commodities!C51, " from ",$B$1585," to R",RIGHT(C1588))</f>
        <v>Export Barge/Vessel Trade of DSL from *R3 to RB</v>
      </c>
      <c r="E1588" s="381" t="s">
        <v>384</v>
      </c>
      <c r="F1588" s="381" t="s">
        <v>505</v>
      </c>
    </row>
    <row r="1589" spans="2:6">
      <c r="B1589" s="365" t="s">
        <v>1086</v>
      </c>
      <c r="C1589" s="365" t="str">
        <f>CONCATENATE("EXP",Commodities!C52,"B",RIGHT(OILTrade!$P$72,2))</f>
        <v>EXPDSUB</v>
      </c>
      <c r="D1589" s="365" t="str">
        <f>CONCATENATE("Export Barge/Vessel Trade of ",Commodities!C52, " from ",$B$1585," to R",RIGHT(C1589))</f>
        <v>Export Barge/Vessel Trade of DSU from *R3 to RB</v>
      </c>
      <c r="E1589" s="381" t="s">
        <v>384</v>
      </c>
      <c r="F1589" s="381" t="s">
        <v>505</v>
      </c>
    </row>
    <row r="1590" spans="2:6">
      <c r="B1590" s="365" t="s">
        <v>1086</v>
      </c>
      <c r="C1590" s="365" t="str">
        <f>CONCATENATE("EXP",Commodities!C53,"B",RIGHT(OILTrade!$P$72,2))</f>
        <v>EXPJTFB</v>
      </c>
      <c r="D1590" s="365" t="str">
        <f>CONCATENATE("Export Barge/Vessel Trade of ",Commodities!C53, " from ",$B$1585," to R",RIGHT(C1590))</f>
        <v>Export Barge/Vessel Trade of JTF from *R3 to RB</v>
      </c>
      <c r="E1590" s="381" t="s">
        <v>384</v>
      </c>
      <c r="F1590" s="381" t="s">
        <v>505</v>
      </c>
    </row>
    <row r="1591" spans="2:6">
      <c r="B1591" s="365" t="s">
        <v>1086</v>
      </c>
      <c r="C1591" s="365" t="str">
        <f>CONCATENATE("EXP",Commodities!C54,"B",RIGHT(OILTrade!$P$72,2))</f>
        <v>EXPKERB</v>
      </c>
      <c r="D1591" s="365" t="str">
        <f>CONCATENATE("Export Barge/Vessel Trade of ",Commodities!C54, " from ",$B$1585," to R",RIGHT(C1591))</f>
        <v>Export Barge/Vessel Trade of KER from *R3 to RB</v>
      </c>
      <c r="E1591" s="381" t="s">
        <v>384</v>
      </c>
      <c r="F1591" s="381" t="s">
        <v>505</v>
      </c>
    </row>
    <row r="1592" spans="2:6">
      <c r="B1592" s="365" t="s">
        <v>1086</v>
      </c>
      <c r="C1592" s="365" t="str">
        <f>CONCATENATE("EXP",Commodities!C55,"B",RIGHT(OILTrade!$P$72,2))</f>
        <v>EXPLPGB</v>
      </c>
      <c r="D1592" s="365" t="str">
        <f>CONCATENATE("Export Barge/Vessel Trade of ",Commodities!C55, " from ",$B$1585," to R",RIGHT(C1592))</f>
        <v>Export Barge/Vessel Trade of LPG from *R3 to RB</v>
      </c>
      <c r="E1592" s="381" t="s">
        <v>384</v>
      </c>
      <c r="F1592" s="381" t="s">
        <v>505</v>
      </c>
    </row>
    <row r="1593" spans="2:6">
      <c r="B1593" s="365" t="s">
        <v>1086</v>
      </c>
      <c r="C1593" s="365" t="str">
        <f>CONCATENATE("EXP",Commodities!C56,"B",RIGHT(OILTrade!$P$72,2))</f>
        <v>EXPMTHB</v>
      </c>
      <c r="D1593" s="365" t="str">
        <f>CONCATENATE("Export Barge/Vessel Trade of ",Commodities!C56, " from ",$B$1585," to R",RIGHT(C1593))</f>
        <v>Export Barge/Vessel Trade of MTH from *R3 to RB</v>
      </c>
      <c r="E1593" s="381" t="s">
        <v>384</v>
      </c>
      <c r="F1593" s="381" t="s">
        <v>505</v>
      </c>
    </row>
    <row r="1594" spans="2:6">
      <c r="B1594" s="365" t="s">
        <v>1086</v>
      </c>
      <c r="C1594" s="365" t="str">
        <f>CONCATENATE("EXP",Commodities!C57,"B",RIGHT(OILTrade!$P$72,2))</f>
        <v>EXPPFSB</v>
      </c>
      <c r="D1594" s="365" t="str">
        <f>CONCATENATE("Export Barge/Vessel Trade of ",Commodities!C57, " from ",$B$1585," to R",RIGHT(C1594))</f>
        <v>Export Barge/Vessel Trade of PFS from *R3 to RB</v>
      </c>
      <c r="E1594" s="381" t="s">
        <v>384</v>
      </c>
      <c r="F1594" s="381" t="s">
        <v>505</v>
      </c>
    </row>
    <row r="1595" spans="2:6">
      <c r="B1595" s="365" t="s">
        <v>1086</v>
      </c>
      <c r="C1595" s="365" t="str">
        <f>CONCATENATE("EXP",Commodities!C58,"B",RIGHT(OILTrade!$P$72,2))</f>
        <v>EXPRFHB</v>
      </c>
      <c r="D1595" s="365" t="str">
        <f>CONCATENATE("Export Barge/Vessel Trade of ",Commodities!C58, " from ",$B$1585," to R",RIGHT(C1595))</f>
        <v>Export Barge/Vessel Trade of RFH from *R3 to RB</v>
      </c>
      <c r="E1595" s="381" t="s">
        <v>384</v>
      </c>
      <c r="F1595" s="381" t="s">
        <v>505</v>
      </c>
    </row>
    <row r="1596" spans="2:6">
      <c r="B1596" s="365" t="s">
        <v>1086</v>
      </c>
      <c r="C1596" s="365" t="str">
        <f>CONCATENATE("EXP",Commodities!C59,"B",RIGHT(OILTrade!$P$72,2))</f>
        <v>EXPRFLB</v>
      </c>
      <c r="D1596" s="365" t="str">
        <f>CONCATENATE("Export Barge/Vessel Trade of ",Commodities!C59, " from ",$B$1585," to R",RIGHT(C1596))</f>
        <v>Export Barge/Vessel Trade of RFL from *R3 to RB</v>
      </c>
      <c r="E1596" s="381" t="s">
        <v>384</v>
      </c>
      <c r="F1596" s="381" t="s">
        <v>505</v>
      </c>
    </row>
    <row r="1597" spans="2:6">
      <c r="B1597" s="365" t="s">
        <v>1086</v>
      </c>
      <c r="C1597" s="365" t="str">
        <f>CONCATENATE("EXP",Commodities!C60,"B",RIGHT(OILTrade!$P$72,2))</f>
        <v>EXPASPB</v>
      </c>
      <c r="D1597" s="365" t="str">
        <f>CONCATENATE("Export Barge/Vessel Trade of ",Commodities!C60, " from ",$B$1585," to R",RIGHT(C1597))</f>
        <v>Export Barge/Vessel Trade of ASP from *R3 to RB</v>
      </c>
      <c r="E1597" s="381" t="s">
        <v>384</v>
      </c>
      <c r="F1597" s="381" t="s">
        <v>505</v>
      </c>
    </row>
    <row r="1598" spans="2:6">
      <c r="B1598" s="365" t="s">
        <v>1086</v>
      </c>
      <c r="C1598" s="365" t="str">
        <f>CONCATENATE("EXP",Commodities!C48,"B",RIGHT(OILTrade!$S$72,2))</f>
        <v>EXPGSCB35</v>
      </c>
      <c r="D1598" s="365" t="str">
        <f>CONCATENATE("Export Barge/Vessel Trade of ",Commodities!C48, " from ",$B$1598," to R",RIGHT(C1598))</f>
        <v>Export Barge/Vessel Trade of GSC from *R3 to R5</v>
      </c>
      <c r="E1598" s="381" t="s">
        <v>384</v>
      </c>
      <c r="F1598" s="381" t="s">
        <v>505</v>
      </c>
    </row>
    <row r="1599" spans="2:6">
      <c r="B1599" s="365" t="s">
        <v>1086</v>
      </c>
      <c r="C1599" s="365" t="str">
        <f>CONCATENATE("EXP",Commodities!C49,"B",RIGHT(OILTrade!$S$72,2))</f>
        <v>EXPGSRB35</v>
      </c>
      <c r="D1599" s="365" t="str">
        <f>CONCATENATE("Export Barge/Vessel Trade of ",Commodities!C49, " from ",$B$1598," to R",RIGHT(C1599))</f>
        <v>Export Barge/Vessel Trade of GSR from *R3 to R5</v>
      </c>
      <c r="E1599" s="381" t="s">
        <v>384</v>
      </c>
      <c r="F1599" s="381" t="s">
        <v>505</v>
      </c>
    </row>
    <row r="1600" spans="2:6">
      <c r="B1600" s="365" t="s">
        <v>1086</v>
      </c>
      <c r="C1600" s="365" t="str">
        <f>CONCATENATE("EXP",Commodities!C50,"B",RIGHT(OILTrade!$S$72,2))</f>
        <v>EXPDSHB35</v>
      </c>
      <c r="D1600" s="365" t="str">
        <f>CONCATENATE("Export Barge/Vessel Trade of ",Commodities!C50, " from ",$B$1598," to R",RIGHT(C1600))</f>
        <v>Export Barge/Vessel Trade of DSH from *R3 to R5</v>
      </c>
      <c r="E1600" s="381" t="s">
        <v>384</v>
      </c>
      <c r="F1600" s="381" t="s">
        <v>505</v>
      </c>
    </row>
    <row r="1601" spans="2:6">
      <c r="B1601" s="365" t="s">
        <v>1086</v>
      </c>
      <c r="C1601" s="365" t="str">
        <f>CONCATENATE("EXP",Commodities!C51,"B",RIGHT(OILTrade!$S$72,2))</f>
        <v>EXPDSLB35</v>
      </c>
      <c r="D1601" s="365" t="str">
        <f>CONCATENATE("Export Barge/Vessel Trade of ",Commodities!C51, " from ",$B$1598," to R",RIGHT(C1601))</f>
        <v>Export Barge/Vessel Trade of DSL from *R3 to R5</v>
      </c>
      <c r="E1601" s="381" t="s">
        <v>384</v>
      </c>
      <c r="F1601" s="381" t="s">
        <v>505</v>
      </c>
    </row>
    <row r="1602" spans="2:6">
      <c r="B1602" s="365" t="s">
        <v>1086</v>
      </c>
      <c r="C1602" s="365" t="str">
        <f>CONCATENATE("EXP",Commodities!C52,"B",RIGHT(OILTrade!$S$72,2))</f>
        <v>EXPDSUB35</v>
      </c>
      <c r="D1602" s="365" t="str">
        <f>CONCATENATE("Export Barge/Vessel Trade of ",Commodities!C52, " from ",$B$1598," to R",RIGHT(C1602))</f>
        <v>Export Barge/Vessel Trade of DSU from *R3 to R5</v>
      </c>
      <c r="E1602" s="381" t="s">
        <v>384</v>
      </c>
      <c r="F1602" s="381" t="s">
        <v>505</v>
      </c>
    </row>
    <row r="1603" spans="2:6">
      <c r="B1603" s="365" t="s">
        <v>1086</v>
      </c>
      <c r="C1603" s="365" t="str">
        <f>CONCATENATE("EXP",Commodities!C53,"B",RIGHT(OILTrade!$S$72,2))</f>
        <v>EXPJTFB35</v>
      </c>
      <c r="D1603" s="365" t="str">
        <f>CONCATENATE("Export Barge/Vessel Trade of ",Commodities!C53, " from ",$B$1598," to R",RIGHT(C1603))</f>
        <v>Export Barge/Vessel Trade of JTF from *R3 to R5</v>
      </c>
      <c r="E1603" s="381" t="s">
        <v>384</v>
      </c>
      <c r="F1603" s="381" t="s">
        <v>505</v>
      </c>
    </row>
    <row r="1604" spans="2:6">
      <c r="B1604" s="365" t="s">
        <v>1086</v>
      </c>
      <c r="C1604" s="365" t="str">
        <f>CONCATENATE("EXP",Commodities!C54,"B",RIGHT(OILTrade!$S$72,2))</f>
        <v>EXPKERB35</v>
      </c>
      <c r="D1604" s="365" t="str">
        <f>CONCATENATE("Export Barge/Vessel Trade of ",Commodities!C54, " from ",$B$1598," to R",RIGHT(C1604))</f>
        <v>Export Barge/Vessel Trade of KER from *R3 to R5</v>
      </c>
      <c r="E1604" s="381" t="s">
        <v>384</v>
      </c>
      <c r="F1604" s="381" t="s">
        <v>505</v>
      </c>
    </row>
    <row r="1605" spans="2:6">
      <c r="B1605" s="365" t="s">
        <v>1086</v>
      </c>
      <c r="C1605" s="365" t="str">
        <f>CONCATENATE("EXP",Commodities!C55,"B",RIGHT(OILTrade!$S$72,2))</f>
        <v>EXPLPGB35</v>
      </c>
      <c r="D1605" s="365" t="str">
        <f>CONCATENATE("Export Barge/Vessel Trade of ",Commodities!C55, " from ",$B$1598," to R",RIGHT(C1605))</f>
        <v>Export Barge/Vessel Trade of LPG from *R3 to R5</v>
      </c>
      <c r="E1605" s="381" t="s">
        <v>384</v>
      </c>
      <c r="F1605" s="381" t="s">
        <v>505</v>
      </c>
    </row>
    <row r="1606" spans="2:6">
      <c r="B1606" s="365" t="s">
        <v>1086</v>
      </c>
      <c r="C1606" s="365" t="str">
        <f>CONCATENATE("EXP",Commodities!C56,"B",RIGHT(OILTrade!$S$72,2))</f>
        <v>EXPMTHB35</v>
      </c>
      <c r="D1606" s="365" t="str">
        <f>CONCATENATE("Export Barge/Vessel Trade of ",Commodities!C56, " from ",$B$1598," to R",RIGHT(C1606))</f>
        <v>Export Barge/Vessel Trade of MTH from *R3 to R5</v>
      </c>
      <c r="E1606" s="381" t="s">
        <v>384</v>
      </c>
      <c r="F1606" s="381" t="s">
        <v>505</v>
      </c>
    </row>
    <row r="1607" spans="2:6">
      <c r="B1607" s="365" t="s">
        <v>1086</v>
      </c>
      <c r="C1607" s="365" t="str">
        <f>CONCATENATE("EXP",Commodities!C57,"B",RIGHT(OILTrade!$S$72,2))</f>
        <v>EXPPFSB35</v>
      </c>
      <c r="D1607" s="365" t="str">
        <f>CONCATENATE("Export Barge/Vessel Trade of ",Commodities!C57, " from ",$B$1598," to R",RIGHT(C1607))</f>
        <v>Export Barge/Vessel Trade of PFS from *R3 to R5</v>
      </c>
      <c r="E1607" s="381" t="s">
        <v>384</v>
      </c>
      <c r="F1607" s="381" t="s">
        <v>505</v>
      </c>
    </row>
    <row r="1608" spans="2:6">
      <c r="B1608" s="365" t="s">
        <v>1086</v>
      </c>
      <c r="C1608" s="365" t="str">
        <f>CONCATENATE("EXP",Commodities!C58,"B",RIGHT(OILTrade!$S$72,2))</f>
        <v>EXPRFHB35</v>
      </c>
      <c r="D1608" s="365" t="str">
        <f>CONCATENATE("Export Barge/Vessel Trade of ",Commodities!C58, " from ",$B$1598," to R",RIGHT(C1608))</f>
        <v>Export Barge/Vessel Trade of RFH from *R3 to R5</v>
      </c>
      <c r="E1608" s="381" t="s">
        <v>384</v>
      </c>
      <c r="F1608" s="381" t="s">
        <v>505</v>
      </c>
    </row>
    <row r="1609" spans="2:6">
      <c r="B1609" s="365" t="s">
        <v>1086</v>
      </c>
      <c r="C1609" s="365" t="str">
        <f>CONCATENATE("EXP",Commodities!C59,"B",RIGHT(OILTrade!$S$72,2))</f>
        <v>EXPRFLB35</v>
      </c>
      <c r="D1609" s="365" t="str">
        <f>CONCATENATE("Export Barge/Vessel Trade of ",Commodities!C59, " from ",$B$1598," to R",RIGHT(C1609))</f>
        <v>Export Barge/Vessel Trade of RFL from *R3 to R5</v>
      </c>
      <c r="E1609" s="381" t="s">
        <v>384</v>
      </c>
      <c r="F1609" s="381" t="s">
        <v>505</v>
      </c>
    </row>
    <row r="1610" spans="2:6">
      <c r="B1610" s="365" t="s">
        <v>1086</v>
      </c>
      <c r="C1610" s="365" t="str">
        <f>CONCATENATE("EXP",Commodities!C60,"B",RIGHT(OILTrade!$S$72,2))</f>
        <v>EXPASPB35</v>
      </c>
      <c r="D1610" s="365" t="str">
        <f>CONCATENATE("Export Barge/Vessel Trade of ",Commodities!C60, " from ",$B$1598," to R",RIGHT(C1610))</f>
        <v>Export Barge/Vessel Trade of ASP from *R3 to R5</v>
      </c>
      <c r="E1610" s="381" t="s">
        <v>384</v>
      </c>
      <c r="F1610" s="381" t="s">
        <v>505</v>
      </c>
    </row>
    <row r="1611" spans="2:6">
      <c r="B1611" s="365" t="s">
        <v>1086</v>
      </c>
      <c r="C1611" s="365" t="str">
        <f>CONCATENATE("EXP",Commodities!C48,"B",RIGHT(OILTrade!$T$72,2))</f>
        <v>EXPGSCB36</v>
      </c>
      <c r="D1611" s="365" t="str">
        <f>CONCATENATE("Export Barge/Vessel Trade of ",Commodities!C48, " from ",$B$1611," to R",RIGHT(C1611))</f>
        <v>Export Barge/Vessel Trade of GSC from *R3 to R6</v>
      </c>
      <c r="E1611" s="381" t="s">
        <v>384</v>
      </c>
      <c r="F1611" s="381" t="s">
        <v>505</v>
      </c>
    </row>
    <row r="1612" spans="2:6">
      <c r="B1612" s="365" t="s">
        <v>1086</v>
      </c>
      <c r="C1612" s="365" t="str">
        <f>CONCATENATE("EXP",Commodities!C49,"B",RIGHT(OILTrade!$T$72,2))</f>
        <v>EXPGSRB36</v>
      </c>
      <c r="D1612" s="365" t="str">
        <f>CONCATENATE("Export Barge/Vessel Trade of ",Commodities!C49, " from ",$B$1611," to R",RIGHT(C1612))</f>
        <v>Export Barge/Vessel Trade of GSR from *R3 to R6</v>
      </c>
      <c r="E1612" s="381" t="s">
        <v>384</v>
      </c>
      <c r="F1612" s="381" t="s">
        <v>505</v>
      </c>
    </row>
    <row r="1613" spans="2:6">
      <c r="B1613" s="365" t="s">
        <v>1086</v>
      </c>
      <c r="C1613" s="365" t="str">
        <f>CONCATENATE("EXP",Commodities!C50,"B",RIGHT(OILTrade!$T$72,2))</f>
        <v>EXPDSHB36</v>
      </c>
      <c r="D1613" s="365" t="str">
        <f>CONCATENATE("Export Barge/Vessel Trade of ",Commodities!C50, " from ",$B$1611," to R",RIGHT(C1613))</f>
        <v>Export Barge/Vessel Trade of DSH from *R3 to R6</v>
      </c>
      <c r="E1613" s="381" t="s">
        <v>384</v>
      </c>
      <c r="F1613" s="381" t="s">
        <v>505</v>
      </c>
    </row>
    <row r="1614" spans="2:6">
      <c r="B1614" s="365" t="s">
        <v>1086</v>
      </c>
      <c r="C1614" s="365" t="str">
        <f>CONCATENATE("EXP",Commodities!C51,"B",RIGHT(OILTrade!$T$72,2))</f>
        <v>EXPDSLB36</v>
      </c>
      <c r="D1614" s="365" t="str">
        <f>CONCATENATE("Export Barge/Vessel Trade of ",Commodities!C51, " from ",$B$1611," to R",RIGHT(C1614))</f>
        <v>Export Barge/Vessel Trade of DSL from *R3 to R6</v>
      </c>
      <c r="E1614" s="381" t="s">
        <v>384</v>
      </c>
      <c r="F1614" s="381" t="s">
        <v>505</v>
      </c>
    </row>
    <row r="1615" spans="2:6">
      <c r="B1615" s="365" t="s">
        <v>1086</v>
      </c>
      <c r="C1615" s="365" t="str">
        <f>CONCATENATE("EXP",Commodities!C52,"B",RIGHT(OILTrade!$T$72,2))</f>
        <v>EXPDSUB36</v>
      </c>
      <c r="D1615" s="365" t="str">
        <f>CONCATENATE("Export Barge/Vessel Trade of ",Commodities!C52, " from ",$B$1611," to R",RIGHT(C1615))</f>
        <v>Export Barge/Vessel Trade of DSU from *R3 to R6</v>
      </c>
      <c r="E1615" s="381" t="s">
        <v>384</v>
      </c>
      <c r="F1615" s="381" t="s">
        <v>505</v>
      </c>
    </row>
    <row r="1616" spans="2:6">
      <c r="B1616" s="365" t="s">
        <v>1086</v>
      </c>
      <c r="C1616" s="365" t="str">
        <f>CONCATENATE("EXP",Commodities!C53,"B",RIGHT(OILTrade!$T$72,2))</f>
        <v>EXPJTFB36</v>
      </c>
      <c r="D1616" s="365" t="str">
        <f>CONCATENATE("Export Barge/Vessel Trade of ",Commodities!C53, " from ",$B$1611," to R",RIGHT(C1616))</f>
        <v>Export Barge/Vessel Trade of JTF from *R3 to R6</v>
      </c>
      <c r="E1616" s="381" t="s">
        <v>384</v>
      </c>
      <c r="F1616" s="381" t="s">
        <v>505</v>
      </c>
    </row>
    <row r="1617" spans="2:6">
      <c r="B1617" s="365" t="s">
        <v>1086</v>
      </c>
      <c r="C1617" s="365" t="str">
        <f>CONCATENATE("EXP",Commodities!C54,"B",RIGHT(OILTrade!$T$72,2))</f>
        <v>EXPKERB36</v>
      </c>
      <c r="D1617" s="365" t="str">
        <f>CONCATENATE("Export Barge/Vessel Trade of ",Commodities!C54, " from ",$B$1611," to R",RIGHT(C1617))</f>
        <v>Export Barge/Vessel Trade of KER from *R3 to R6</v>
      </c>
      <c r="E1617" s="381" t="s">
        <v>384</v>
      </c>
      <c r="F1617" s="381" t="s">
        <v>505</v>
      </c>
    </row>
    <row r="1618" spans="2:6">
      <c r="B1618" s="365" t="s">
        <v>1086</v>
      </c>
      <c r="C1618" s="365" t="str">
        <f>CONCATENATE("EXP",Commodities!C55,"B",RIGHT(OILTrade!$T$72,2))</f>
        <v>EXPLPGB36</v>
      </c>
      <c r="D1618" s="365" t="str">
        <f>CONCATENATE("Export Barge/Vessel Trade of ",Commodities!C55, " from ",$B$1611," to R",RIGHT(C1618))</f>
        <v>Export Barge/Vessel Trade of LPG from *R3 to R6</v>
      </c>
      <c r="E1618" s="381" t="s">
        <v>384</v>
      </c>
      <c r="F1618" s="381" t="s">
        <v>505</v>
      </c>
    </row>
    <row r="1619" spans="2:6">
      <c r="B1619" s="365" t="s">
        <v>1086</v>
      </c>
      <c r="C1619" s="365" t="str">
        <f>CONCATENATE("EXP",Commodities!C56,"B",RIGHT(OILTrade!$T$72,2))</f>
        <v>EXPMTHB36</v>
      </c>
      <c r="D1619" s="365" t="str">
        <f>CONCATENATE("Export Barge/Vessel Trade of ",Commodities!C56, " from ",$B$1611," to R",RIGHT(C1619))</f>
        <v>Export Barge/Vessel Trade of MTH from *R3 to R6</v>
      </c>
      <c r="E1619" s="381" t="s">
        <v>384</v>
      </c>
      <c r="F1619" s="381" t="s">
        <v>505</v>
      </c>
    </row>
    <row r="1620" spans="2:6">
      <c r="B1620" s="365" t="s">
        <v>1086</v>
      </c>
      <c r="C1620" s="365" t="str">
        <f>CONCATENATE("EXP",Commodities!C57,"B",RIGHT(OILTrade!$T$72,2))</f>
        <v>EXPPFSB36</v>
      </c>
      <c r="D1620" s="365" t="str">
        <f>CONCATENATE("Export Barge/Vessel Trade of ",Commodities!C57, " from ",$B$1611," to R",RIGHT(C1620))</f>
        <v>Export Barge/Vessel Trade of PFS from *R3 to R6</v>
      </c>
      <c r="E1620" s="381" t="s">
        <v>384</v>
      </c>
      <c r="F1620" s="381" t="s">
        <v>505</v>
      </c>
    </row>
    <row r="1621" spans="2:6">
      <c r="B1621" s="365" t="s">
        <v>1086</v>
      </c>
      <c r="C1621" s="365" t="str">
        <f>CONCATENATE("EXP",Commodities!C58,"B",RIGHT(OILTrade!$T$72,2))</f>
        <v>EXPRFHB36</v>
      </c>
      <c r="D1621" s="365" t="str">
        <f>CONCATENATE("Export Barge/Vessel Trade of ",Commodities!C58, " from ",$B$1611," to R",RIGHT(C1621))</f>
        <v>Export Barge/Vessel Trade of RFH from *R3 to R6</v>
      </c>
      <c r="E1621" s="381" t="s">
        <v>384</v>
      </c>
      <c r="F1621" s="381" t="s">
        <v>505</v>
      </c>
    </row>
    <row r="1622" spans="2:6">
      <c r="B1622" s="365" t="s">
        <v>1086</v>
      </c>
      <c r="C1622" s="365" t="str">
        <f>CONCATENATE("EXP",Commodities!C59,"B",RIGHT(OILTrade!$T$72,2))</f>
        <v>EXPRFLB36</v>
      </c>
      <c r="D1622" s="365" t="str">
        <f>CONCATENATE("Export Barge/Vessel Trade of ",Commodities!C59, " from ",$B$1611," to R",RIGHT(C1622))</f>
        <v>Export Barge/Vessel Trade of RFL from *R3 to R6</v>
      </c>
      <c r="E1622" s="381" t="s">
        <v>384</v>
      </c>
      <c r="F1622" s="381" t="s">
        <v>505</v>
      </c>
    </row>
    <row r="1623" spans="2:6">
      <c r="B1623" s="365" t="s">
        <v>1086</v>
      </c>
      <c r="C1623" s="365" t="str">
        <f>CONCATENATE("EXP",Commodities!C60,"B",RIGHT(OILTrade!$T$72,2))</f>
        <v>EXPASPB36</v>
      </c>
      <c r="D1623" s="365" t="str">
        <f>CONCATENATE("Export Barge/Vessel Trade of ",Commodities!C60, " from ",$B$1611," to R",RIGHT(C1623))</f>
        <v>Export Barge/Vessel Trade of ASP from *R3 to R6</v>
      </c>
      <c r="E1623" s="381" t="s">
        <v>384</v>
      </c>
      <c r="F1623" s="381" t="s">
        <v>505</v>
      </c>
    </row>
    <row r="1624" spans="2:6">
      <c r="B1624" s="365" t="s">
        <v>1086</v>
      </c>
      <c r="C1624" s="365" t="str">
        <f>CONCATENATE("EXP",Commodities!C48,"B",RIGHT(OILTrade!$U$72,2))</f>
        <v>EXPGSCB</v>
      </c>
      <c r="D1624" s="365" t="str">
        <f>CONCATENATE("Export Barge/Vessel Trade of ",Commodities!C48, " from ",$B$1624," to R",RIGHT(C1624))</f>
        <v>Export Barge/Vessel Trade of GSC from *R3 to RB</v>
      </c>
      <c r="E1624" s="381" t="s">
        <v>384</v>
      </c>
      <c r="F1624" s="381" t="s">
        <v>505</v>
      </c>
    </row>
    <row r="1625" spans="2:6">
      <c r="B1625" s="365" t="s">
        <v>1086</v>
      </c>
      <c r="C1625" s="365" t="str">
        <f>CONCATENATE("EXP",Commodities!C49,"B",RIGHT(OILTrade!$U$72,2))</f>
        <v>EXPGSRB</v>
      </c>
      <c r="D1625" s="365" t="str">
        <f>CONCATENATE("Export Barge/Vessel Trade of ",Commodities!C49, " from ",$B$1624," to R",RIGHT(C1625))</f>
        <v>Export Barge/Vessel Trade of GSR from *R3 to RB</v>
      </c>
      <c r="E1625" s="381" t="s">
        <v>384</v>
      </c>
      <c r="F1625" s="381" t="s">
        <v>505</v>
      </c>
    </row>
    <row r="1626" spans="2:6">
      <c r="B1626" s="365" t="s">
        <v>1086</v>
      </c>
      <c r="C1626" s="365" t="str">
        <f>CONCATENATE("EXP",Commodities!C50,"B",RIGHT(OILTrade!$U$72,2))</f>
        <v>EXPDSHB</v>
      </c>
      <c r="D1626" s="365" t="str">
        <f>CONCATENATE("Export Barge/Vessel Trade of ",Commodities!C50, " from ",$B$1624," to R",RIGHT(C1626))</f>
        <v>Export Barge/Vessel Trade of DSH from *R3 to RB</v>
      </c>
      <c r="E1626" s="381" t="s">
        <v>384</v>
      </c>
      <c r="F1626" s="381" t="s">
        <v>505</v>
      </c>
    </row>
    <row r="1627" spans="2:6">
      <c r="B1627" s="365" t="s">
        <v>1086</v>
      </c>
      <c r="C1627" s="365" t="str">
        <f>CONCATENATE("EXP",Commodities!C51,"B",RIGHT(OILTrade!$U$72,2))</f>
        <v>EXPDSLB</v>
      </c>
      <c r="D1627" s="365" t="str">
        <f>CONCATENATE("Export Barge/Vessel Trade of ",Commodities!C51, " from ",$B$1624," to R",RIGHT(C1627))</f>
        <v>Export Barge/Vessel Trade of DSL from *R3 to RB</v>
      </c>
      <c r="E1627" s="381" t="s">
        <v>384</v>
      </c>
      <c r="F1627" s="381" t="s">
        <v>505</v>
      </c>
    </row>
    <row r="1628" spans="2:6">
      <c r="B1628" s="365" t="s">
        <v>1086</v>
      </c>
      <c r="C1628" s="365" t="str">
        <f>CONCATENATE("EXP",Commodities!C52,"B",RIGHT(OILTrade!$U$72,2))</f>
        <v>EXPDSUB</v>
      </c>
      <c r="D1628" s="365" t="str">
        <f>CONCATENATE("Export Barge/Vessel Trade of ",Commodities!C52, " from ",$B$1624," to R",RIGHT(C1628))</f>
        <v>Export Barge/Vessel Trade of DSU from *R3 to RB</v>
      </c>
      <c r="E1628" s="381" t="s">
        <v>384</v>
      </c>
      <c r="F1628" s="381" t="s">
        <v>505</v>
      </c>
    </row>
    <row r="1629" spans="2:6">
      <c r="B1629" s="365" t="s">
        <v>1086</v>
      </c>
      <c r="C1629" s="365" t="str">
        <f>CONCATENATE("EXP",Commodities!C53,"B",RIGHT(OILTrade!$U$72,2))</f>
        <v>EXPJTFB</v>
      </c>
      <c r="D1629" s="365" t="str">
        <f>CONCATENATE("Export Barge/Vessel Trade of ",Commodities!C53, " from ",$B$1624," to R",RIGHT(C1629))</f>
        <v>Export Barge/Vessel Trade of JTF from *R3 to RB</v>
      </c>
      <c r="E1629" s="381" t="s">
        <v>384</v>
      </c>
      <c r="F1629" s="381" t="s">
        <v>505</v>
      </c>
    </row>
    <row r="1630" spans="2:6">
      <c r="B1630" s="365" t="s">
        <v>1086</v>
      </c>
      <c r="C1630" s="365" t="str">
        <f>CONCATENATE("EXP",Commodities!C54,"B",RIGHT(OILTrade!$U$72,2))</f>
        <v>EXPKERB</v>
      </c>
      <c r="D1630" s="365" t="str">
        <f>CONCATENATE("Export Barge/Vessel Trade of ",Commodities!C54, " from ",$B$1624," to R",RIGHT(C1630))</f>
        <v>Export Barge/Vessel Trade of KER from *R3 to RB</v>
      </c>
      <c r="E1630" s="381" t="s">
        <v>384</v>
      </c>
      <c r="F1630" s="381" t="s">
        <v>505</v>
      </c>
    </row>
    <row r="1631" spans="2:6">
      <c r="B1631" s="365" t="s">
        <v>1086</v>
      </c>
      <c r="C1631" s="365" t="str">
        <f>CONCATENATE("EXP",Commodities!C55,"B",RIGHT(OILTrade!$U$72,2))</f>
        <v>EXPLPGB</v>
      </c>
      <c r="D1631" s="365" t="str">
        <f>CONCATENATE("Export Barge/Vessel Trade of ",Commodities!C55, " from ",$B$1624," to R",RIGHT(C1631))</f>
        <v>Export Barge/Vessel Trade of LPG from *R3 to RB</v>
      </c>
      <c r="E1631" s="381" t="s">
        <v>384</v>
      </c>
      <c r="F1631" s="381" t="s">
        <v>505</v>
      </c>
    </row>
    <row r="1632" spans="2:6">
      <c r="B1632" s="365" t="s">
        <v>1086</v>
      </c>
      <c r="C1632" s="365" t="str">
        <f>CONCATENATE("EXP",Commodities!C56,"B",RIGHT(OILTrade!$U$72,2))</f>
        <v>EXPMTHB</v>
      </c>
      <c r="D1632" s="365" t="str">
        <f>CONCATENATE("Export Barge/Vessel Trade of ",Commodities!C56, " from ",$B$1624," to R",RIGHT(C1632))</f>
        <v>Export Barge/Vessel Trade of MTH from *R3 to RB</v>
      </c>
      <c r="E1632" s="381" t="s">
        <v>384</v>
      </c>
      <c r="F1632" s="381" t="s">
        <v>505</v>
      </c>
    </row>
    <row r="1633" spans="2:6">
      <c r="B1633" s="365" t="s">
        <v>1086</v>
      </c>
      <c r="C1633" s="365" t="str">
        <f>CONCATENATE("EXP",Commodities!C57,"B",RIGHT(OILTrade!$U$72,2))</f>
        <v>EXPPFSB</v>
      </c>
      <c r="D1633" s="365" t="str">
        <f>CONCATENATE("Export Barge/Vessel Trade of ",Commodities!C57, " from ",$B$1624," to R",RIGHT(C1633))</f>
        <v>Export Barge/Vessel Trade of PFS from *R3 to RB</v>
      </c>
      <c r="E1633" s="381" t="s">
        <v>384</v>
      </c>
      <c r="F1633" s="381" t="s">
        <v>505</v>
      </c>
    </row>
    <row r="1634" spans="2:6">
      <c r="B1634" s="365" t="s">
        <v>1086</v>
      </c>
      <c r="C1634" s="365" t="str">
        <f>CONCATENATE("EXP",Commodities!C58,"B",RIGHT(OILTrade!$U$72,2))</f>
        <v>EXPRFHB</v>
      </c>
      <c r="D1634" s="365" t="str">
        <f>CONCATENATE("Export Barge/Vessel Trade of ",Commodities!C58, " from ",$B$1624," to R",RIGHT(C1634))</f>
        <v>Export Barge/Vessel Trade of RFH from *R3 to RB</v>
      </c>
      <c r="E1634" s="381" t="s">
        <v>384</v>
      </c>
      <c r="F1634" s="381" t="s">
        <v>505</v>
      </c>
    </row>
    <row r="1635" spans="2:6">
      <c r="B1635" s="365" t="s">
        <v>1086</v>
      </c>
      <c r="C1635" s="365" t="str">
        <f>CONCATENATE("EXP",Commodities!C59,"B",RIGHT(OILTrade!$U$72,2))</f>
        <v>EXPRFLB</v>
      </c>
      <c r="D1635" s="365" t="str">
        <f>CONCATENATE("Export Barge/Vessel Trade of ",Commodities!C59, " from ",$B$1624," to R",RIGHT(C1635))</f>
        <v>Export Barge/Vessel Trade of RFL from *R3 to RB</v>
      </c>
      <c r="E1635" s="381" t="s">
        <v>384</v>
      </c>
      <c r="F1635" s="381" t="s">
        <v>505</v>
      </c>
    </row>
    <row r="1636" spans="2:6">
      <c r="B1636" s="365" t="s">
        <v>1086</v>
      </c>
      <c r="C1636" s="365" t="str">
        <f>CONCATENATE("EXP",Commodities!C60,"B",RIGHT(OILTrade!$U$72,2))</f>
        <v>EXPASPB</v>
      </c>
      <c r="D1636" s="365" t="str">
        <f>CONCATENATE("Export Barge/Vessel Trade of ",Commodities!C60, " from ",$B$1624," to R",RIGHT(C1636))</f>
        <v>Export Barge/Vessel Trade of ASP from *R3 to RB</v>
      </c>
      <c r="E1636" s="381" t="s">
        <v>384</v>
      </c>
      <c r="F1636" s="381" t="s">
        <v>505</v>
      </c>
    </row>
    <row r="1637" spans="2:6">
      <c r="B1637" s="365" t="s">
        <v>1087</v>
      </c>
      <c r="C1637" s="365" t="str">
        <f>CONCATENATE("EXP",Commodities!C48,"B",RIGHT(OILTrade!$P$73,2))</f>
        <v>EXPGSCB42</v>
      </c>
      <c r="D1637" s="365" t="str">
        <f>CONCATENATE("Export Barge/Vessel Trade of ",Commodities!C48, " from ",$B$1637," to R",RIGHT(C1637))</f>
        <v>Export Barge/Vessel Trade of GSC from *R4 to R2</v>
      </c>
      <c r="E1637" s="381" t="s">
        <v>384</v>
      </c>
      <c r="F1637" s="381" t="s">
        <v>505</v>
      </c>
    </row>
    <row r="1638" spans="2:6">
      <c r="B1638" s="365" t="s">
        <v>1087</v>
      </c>
      <c r="C1638" s="365" t="str">
        <f>CONCATENATE("EXP",Commodities!C49,"B",RIGHT(OILTrade!$P$73,2))</f>
        <v>EXPGSRB42</v>
      </c>
      <c r="D1638" s="365" t="str">
        <f>CONCATENATE("Export Barge/Vessel Trade of ",Commodities!C49, " from ",$B$1637," to R",RIGHT(C1638))</f>
        <v>Export Barge/Vessel Trade of GSR from *R4 to R2</v>
      </c>
      <c r="E1638" s="381" t="s">
        <v>384</v>
      </c>
      <c r="F1638" s="381" t="s">
        <v>505</v>
      </c>
    </row>
    <row r="1639" spans="2:6">
      <c r="B1639" s="365" t="s">
        <v>1087</v>
      </c>
      <c r="C1639" s="365" t="str">
        <f>CONCATENATE("EXP",Commodities!C50,"B",RIGHT(OILTrade!$P$73,2))</f>
        <v>EXPDSHB42</v>
      </c>
      <c r="D1639" s="365" t="str">
        <f>CONCATENATE("Export Barge/Vessel Trade of ",Commodities!C50, " from ",$B$1637," to R",RIGHT(C1639))</f>
        <v>Export Barge/Vessel Trade of DSH from *R4 to R2</v>
      </c>
      <c r="E1639" s="381" t="s">
        <v>384</v>
      </c>
      <c r="F1639" s="381" t="s">
        <v>505</v>
      </c>
    </row>
    <row r="1640" spans="2:6">
      <c r="B1640" s="365" t="s">
        <v>1087</v>
      </c>
      <c r="C1640" s="365" t="str">
        <f>CONCATENATE("EXP",Commodities!C51,"B",RIGHT(OILTrade!$P$73,2))</f>
        <v>EXPDSLB42</v>
      </c>
      <c r="D1640" s="365" t="str">
        <f>CONCATENATE("Export Barge/Vessel Trade of ",Commodities!C51, " from ",$B$1637," to R",RIGHT(C1640))</f>
        <v>Export Barge/Vessel Trade of DSL from *R4 to R2</v>
      </c>
      <c r="E1640" s="381" t="s">
        <v>384</v>
      </c>
      <c r="F1640" s="381" t="s">
        <v>505</v>
      </c>
    </row>
    <row r="1641" spans="2:6">
      <c r="B1641" s="365" t="s">
        <v>1087</v>
      </c>
      <c r="C1641" s="365" t="str">
        <f>CONCATENATE("EXP",Commodities!C52,"B",RIGHT(OILTrade!$P$73,2))</f>
        <v>EXPDSUB42</v>
      </c>
      <c r="D1641" s="365" t="str">
        <f>CONCATENATE("Export Barge/Vessel Trade of ",Commodities!C52, " from ",$B$1637," to R",RIGHT(C1641))</f>
        <v>Export Barge/Vessel Trade of DSU from *R4 to R2</v>
      </c>
      <c r="E1641" s="381" t="s">
        <v>384</v>
      </c>
      <c r="F1641" s="381" t="s">
        <v>505</v>
      </c>
    </row>
    <row r="1642" spans="2:6">
      <c r="B1642" s="365" t="s">
        <v>1087</v>
      </c>
      <c r="C1642" s="365" t="str">
        <f>CONCATENATE("EXP",Commodities!C53,"B",RIGHT(OILTrade!$P$73,2))</f>
        <v>EXPJTFB42</v>
      </c>
      <c r="D1642" s="365" t="str">
        <f>CONCATENATE("Export Barge/Vessel Trade of ",Commodities!C53, " from ",$B$1637," to R",RIGHT(C1642))</f>
        <v>Export Barge/Vessel Trade of JTF from *R4 to R2</v>
      </c>
      <c r="E1642" s="381" t="s">
        <v>384</v>
      </c>
      <c r="F1642" s="381" t="s">
        <v>505</v>
      </c>
    </row>
    <row r="1643" spans="2:6">
      <c r="B1643" s="365" t="s">
        <v>1087</v>
      </c>
      <c r="C1643" s="365" t="str">
        <f>CONCATENATE("EXP",Commodities!C54,"B",RIGHT(OILTrade!$P$73,2))</f>
        <v>EXPKERB42</v>
      </c>
      <c r="D1643" s="365" t="str">
        <f>CONCATENATE("Export Barge/Vessel Trade of ",Commodities!C54, " from ",$B$1637," to R",RIGHT(C1643))</f>
        <v>Export Barge/Vessel Trade of KER from *R4 to R2</v>
      </c>
      <c r="E1643" s="381" t="s">
        <v>384</v>
      </c>
      <c r="F1643" s="381" t="s">
        <v>505</v>
      </c>
    </row>
    <row r="1644" spans="2:6">
      <c r="B1644" s="365" t="s">
        <v>1087</v>
      </c>
      <c r="C1644" s="365" t="str">
        <f>CONCATENATE("EXP",Commodities!C55,"B",RIGHT(OILTrade!$P$73,2))</f>
        <v>EXPLPGB42</v>
      </c>
      <c r="D1644" s="365" t="str">
        <f>CONCATENATE("Export Barge/Vessel Trade of ",Commodities!C55, " from ",$B$1637," to R",RIGHT(C1644))</f>
        <v>Export Barge/Vessel Trade of LPG from *R4 to R2</v>
      </c>
      <c r="E1644" s="381" t="s">
        <v>384</v>
      </c>
      <c r="F1644" s="381" t="s">
        <v>505</v>
      </c>
    </row>
    <row r="1645" spans="2:6">
      <c r="B1645" s="365" t="s">
        <v>1087</v>
      </c>
      <c r="C1645" s="365" t="str">
        <f>CONCATENATE("EXP",Commodities!C56,"B",RIGHT(OILTrade!$P$73,2))</f>
        <v>EXPMTHB42</v>
      </c>
      <c r="D1645" s="365" t="str">
        <f>CONCATENATE("Export Barge/Vessel Trade of ",Commodities!C56, " from ",$B$1637," to R",RIGHT(C1645))</f>
        <v>Export Barge/Vessel Trade of MTH from *R4 to R2</v>
      </c>
      <c r="E1645" s="381" t="s">
        <v>384</v>
      </c>
      <c r="F1645" s="381" t="s">
        <v>505</v>
      </c>
    </row>
    <row r="1646" spans="2:6">
      <c r="B1646" s="365" t="s">
        <v>1087</v>
      </c>
      <c r="C1646" s="365" t="str">
        <f>CONCATENATE("EXP",Commodities!C57,"B",RIGHT(OILTrade!$P$73,2))</f>
        <v>EXPPFSB42</v>
      </c>
      <c r="D1646" s="365" t="str">
        <f>CONCATENATE("Export Barge/Vessel Trade of ",Commodities!C57, " from ",$B$1637," to R",RIGHT(C1646))</f>
        <v>Export Barge/Vessel Trade of PFS from *R4 to R2</v>
      </c>
      <c r="E1646" s="381" t="s">
        <v>384</v>
      </c>
      <c r="F1646" s="381" t="s">
        <v>505</v>
      </c>
    </row>
    <row r="1647" spans="2:6">
      <c r="B1647" s="365" t="s">
        <v>1087</v>
      </c>
      <c r="C1647" s="365" t="str">
        <f>CONCATENATE("EXP",Commodities!C58,"B",RIGHT(OILTrade!$P$73,2))</f>
        <v>EXPRFHB42</v>
      </c>
      <c r="D1647" s="365" t="str">
        <f>CONCATENATE("Export Barge/Vessel Trade of ",Commodities!C58, " from ",$B$1637," to R",RIGHT(C1647))</f>
        <v>Export Barge/Vessel Trade of RFH from *R4 to R2</v>
      </c>
      <c r="E1647" s="381" t="s">
        <v>384</v>
      </c>
      <c r="F1647" s="381" t="s">
        <v>505</v>
      </c>
    </row>
    <row r="1648" spans="2:6">
      <c r="B1648" s="365" t="s">
        <v>1087</v>
      </c>
      <c r="C1648" s="365" t="str">
        <f>CONCATENATE("EXP",Commodities!C59,"B",RIGHT(OILTrade!$P$73,2))</f>
        <v>EXPRFLB42</v>
      </c>
      <c r="D1648" s="365" t="str">
        <f>CONCATENATE("Export Barge/Vessel Trade of ",Commodities!C59, " from ",$B$1637," to R",RIGHT(C1648))</f>
        <v>Export Barge/Vessel Trade of RFL from *R4 to R2</v>
      </c>
      <c r="E1648" s="381" t="s">
        <v>384</v>
      </c>
      <c r="F1648" s="381" t="s">
        <v>505</v>
      </c>
    </row>
    <row r="1649" spans="2:6">
      <c r="B1649" s="365" t="s">
        <v>1087</v>
      </c>
      <c r="C1649" s="365" t="str">
        <f>CONCATENATE("EXP",Commodities!C60,"B",RIGHT(OILTrade!$P$73,2))</f>
        <v>EXPASPB42</v>
      </c>
      <c r="D1649" s="365" t="str">
        <f>CONCATENATE("Export Barge/Vessel Trade of ",Commodities!C60, " from ",$B$1637," to R",RIGHT(C1649))</f>
        <v>Export Barge/Vessel Trade of ASP from *R4 to R2</v>
      </c>
      <c r="E1649" s="381" t="s">
        <v>384</v>
      </c>
      <c r="F1649" s="381" t="s">
        <v>505</v>
      </c>
    </row>
    <row r="1650" spans="2:6">
      <c r="B1650" s="365" t="s">
        <v>1087</v>
      </c>
      <c r="C1650" s="365" t="str">
        <f>CONCATENATE("EXP",Commodities!C48,"B",RIGHT(OILTrade!$S$73,2))</f>
        <v>EXPGSCB45</v>
      </c>
      <c r="D1650" s="365" t="str">
        <f>CONCATENATE("Export Barge/Vessel Trade of ",Commodities!C48, " from ",$B$1650," to R",RIGHT(C1650))</f>
        <v>Export Barge/Vessel Trade of GSC from *R4 to R5</v>
      </c>
      <c r="E1650" s="381" t="s">
        <v>384</v>
      </c>
      <c r="F1650" s="381" t="s">
        <v>505</v>
      </c>
    </row>
    <row r="1651" spans="2:6">
      <c r="B1651" s="365" t="s">
        <v>1087</v>
      </c>
      <c r="C1651" s="365" t="str">
        <f>CONCATENATE("EXP",Commodities!C49,"B",RIGHT(OILTrade!$S$73,2))</f>
        <v>EXPGSRB45</v>
      </c>
      <c r="D1651" s="365" t="str">
        <f>CONCATENATE("Export Barge/Vessel Trade of ",Commodities!C49, " from ",$B$1650," to R",RIGHT(C1651))</f>
        <v>Export Barge/Vessel Trade of GSR from *R4 to R5</v>
      </c>
      <c r="E1651" s="381" t="s">
        <v>384</v>
      </c>
      <c r="F1651" s="381" t="s">
        <v>505</v>
      </c>
    </row>
    <row r="1652" spans="2:6">
      <c r="B1652" s="365" t="s">
        <v>1087</v>
      </c>
      <c r="C1652" s="365" t="str">
        <f>CONCATENATE("EXP",Commodities!C50,"B",RIGHT(OILTrade!$S$73,2))</f>
        <v>EXPDSHB45</v>
      </c>
      <c r="D1652" s="365" t="str">
        <f>CONCATENATE("Export Barge/Vessel Trade of ",Commodities!C50, " from ",$B$1650," to R",RIGHT(C1652))</f>
        <v>Export Barge/Vessel Trade of DSH from *R4 to R5</v>
      </c>
      <c r="E1652" s="381" t="s">
        <v>384</v>
      </c>
      <c r="F1652" s="381" t="s">
        <v>505</v>
      </c>
    </row>
    <row r="1653" spans="2:6">
      <c r="B1653" s="365" t="s">
        <v>1087</v>
      </c>
      <c r="C1653" s="365" t="str">
        <f>CONCATENATE("EXP",Commodities!C51,"B",RIGHT(OILTrade!$S$73,2))</f>
        <v>EXPDSLB45</v>
      </c>
      <c r="D1653" s="365" t="str">
        <f>CONCATENATE("Export Barge/Vessel Trade of ",Commodities!C51, " from ",$B$1650," to R",RIGHT(C1653))</f>
        <v>Export Barge/Vessel Trade of DSL from *R4 to R5</v>
      </c>
      <c r="E1653" s="381" t="s">
        <v>384</v>
      </c>
      <c r="F1653" s="381" t="s">
        <v>505</v>
      </c>
    </row>
    <row r="1654" spans="2:6">
      <c r="B1654" s="365" t="s">
        <v>1087</v>
      </c>
      <c r="C1654" s="365" t="str">
        <f>CONCATENATE("EXP",Commodities!C52,"B",RIGHT(OILTrade!$S$73,2))</f>
        <v>EXPDSUB45</v>
      </c>
      <c r="D1654" s="365" t="str">
        <f>CONCATENATE("Export Barge/Vessel Trade of ",Commodities!C52, " from ",$B$1650," to R",RIGHT(C1654))</f>
        <v>Export Barge/Vessel Trade of DSU from *R4 to R5</v>
      </c>
      <c r="E1654" s="381" t="s">
        <v>384</v>
      </c>
      <c r="F1654" s="381" t="s">
        <v>505</v>
      </c>
    </row>
    <row r="1655" spans="2:6">
      <c r="B1655" s="365" t="s">
        <v>1087</v>
      </c>
      <c r="C1655" s="365" t="str">
        <f>CONCATENATE("EXP",Commodities!C53,"B",RIGHT(OILTrade!$S$73,2))</f>
        <v>EXPJTFB45</v>
      </c>
      <c r="D1655" s="365" t="str">
        <f>CONCATENATE("Export Barge/Vessel Trade of ",Commodities!C53, " from ",$B$1650," to R",RIGHT(C1655))</f>
        <v>Export Barge/Vessel Trade of JTF from *R4 to R5</v>
      </c>
      <c r="E1655" s="381" t="s">
        <v>384</v>
      </c>
      <c r="F1655" s="381" t="s">
        <v>505</v>
      </c>
    </row>
    <row r="1656" spans="2:6">
      <c r="B1656" s="365" t="s">
        <v>1087</v>
      </c>
      <c r="C1656" s="365" t="str">
        <f>CONCATENATE("EXP",Commodities!C54,"B",RIGHT(OILTrade!$S$73,2))</f>
        <v>EXPKERB45</v>
      </c>
      <c r="D1656" s="365" t="str">
        <f>CONCATENATE("Export Barge/Vessel Trade of ",Commodities!C54, " from ",$B$1650," to R",RIGHT(C1656))</f>
        <v>Export Barge/Vessel Trade of KER from *R4 to R5</v>
      </c>
      <c r="E1656" s="381" t="s">
        <v>384</v>
      </c>
      <c r="F1656" s="381" t="s">
        <v>505</v>
      </c>
    </row>
    <row r="1657" spans="2:6">
      <c r="B1657" s="365" t="s">
        <v>1087</v>
      </c>
      <c r="C1657" s="365" t="str">
        <f>CONCATENATE("EXP",Commodities!C55,"B",RIGHT(OILTrade!$S$73,2))</f>
        <v>EXPLPGB45</v>
      </c>
      <c r="D1657" s="365" t="str">
        <f>CONCATENATE("Export Barge/Vessel Trade of ",Commodities!C55, " from ",$B$1650," to R",RIGHT(C1657))</f>
        <v>Export Barge/Vessel Trade of LPG from *R4 to R5</v>
      </c>
      <c r="E1657" s="381" t="s">
        <v>384</v>
      </c>
      <c r="F1657" s="381" t="s">
        <v>505</v>
      </c>
    </row>
    <row r="1658" spans="2:6">
      <c r="B1658" s="365" t="s">
        <v>1087</v>
      </c>
      <c r="C1658" s="365" t="str">
        <f>CONCATENATE("EXP",Commodities!C56,"B",RIGHT(OILTrade!$S$73,2))</f>
        <v>EXPMTHB45</v>
      </c>
      <c r="D1658" s="365" t="str">
        <f>CONCATENATE("Export Barge/Vessel Trade of ",Commodities!C56, " from ",$B$1650," to R",RIGHT(C1658))</f>
        <v>Export Barge/Vessel Trade of MTH from *R4 to R5</v>
      </c>
      <c r="E1658" s="381" t="s">
        <v>384</v>
      </c>
      <c r="F1658" s="381" t="s">
        <v>505</v>
      </c>
    </row>
    <row r="1659" spans="2:6">
      <c r="B1659" s="365" t="s">
        <v>1087</v>
      </c>
      <c r="C1659" s="365" t="str">
        <f>CONCATENATE("EXP",Commodities!C57,"B",RIGHT(OILTrade!$S$73,2))</f>
        <v>EXPPFSB45</v>
      </c>
      <c r="D1659" s="365" t="str">
        <f>CONCATENATE("Export Barge/Vessel Trade of ",Commodities!C57, " from ",$B$1650," to R",RIGHT(C1659))</f>
        <v>Export Barge/Vessel Trade of PFS from *R4 to R5</v>
      </c>
      <c r="E1659" s="381" t="s">
        <v>384</v>
      </c>
      <c r="F1659" s="381" t="s">
        <v>505</v>
      </c>
    </row>
    <row r="1660" spans="2:6">
      <c r="B1660" s="365" t="s">
        <v>1087</v>
      </c>
      <c r="C1660" s="365" t="str">
        <f>CONCATENATE("EXP",Commodities!C58,"B",RIGHT(OILTrade!$S$73,2))</f>
        <v>EXPRFHB45</v>
      </c>
      <c r="D1660" s="365" t="str">
        <f>CONCATENATE("Export Barge/Vessel Trade of ",Commodities!C58, " from ",$B$1650," to R",RIGHT(C1660))</f>
        <v>Export Barge/Vessel Trade of RFH from *R4 to R5</v>
      </c>
      <c r="E1660" s="381" t="s">
        <v>384</v>
      </c>
      <c r="F1660" s="381" t="s">
        <v>505</v>
      </c>
    </row>
    <row r="1661" spans="2:6">
      <c r="B1661" s="365" t="s">
        <v>1087</v>
      </c>
      <c r="C1661" s="365" t="str">
        <f>CONCATENATE("EXP",Commodities!C59,"B",RIGHT(OILTrade!$S$73,2))</f>
        <v>EXPRFLB45</v>
      </c>
      <c r="D1661" s="365" t="str">
        <f>CONCATENATE("Export Barge/Vessel Trade of ",Commodities!C59, " from ",$B$1650," to R",RIGHT(C1661))</f>
        <v>Export Barge/Vessel Trade of RFL from *R4 to R5</v>
      </c>
      <c r="E1661" s="381" t="s">
        <v>384</v>
      </c>
      <c r="F1661" s="381" t="s">
        <v>505</v>
      </c>
    </row>
    <row r="1662" spans="2:6">
      <c r="B1662" s="365" t="s">
        <v>1087</v>
      </c>
      <c r="C1662" s="365" t="str">
        <f>CONCATENATE("EXP",Commodities!C60,"B",RIGHT(OILTrade!$S$73,2))</f>
        <v>EXPASPB45</v>
      </c>
      <c r="D1662" s="365" t="str">
        <f>CONCATENATE("Export Barge/Vessel Trade of ",Commodities!C60, " from ",$B$1650," to R",RIGHT(C1662))</f>
        <v>Export Barge/Vessel Trade of ASP from *R4 to R5</v>
      </c>
      <c r="E1662" s="381" t="s">
        <v>384</v>
      </c>
      <c r="F1662" s="381" t="s">
        <v>505</v>
      </c>
    </row>
    <row r="1663" spans="2:6">
      <c r="B1663" s="365" t="s">
        <v>1087</v>
      </c>
      <c r="C1663" s="365" t="str">
        <f>CONCATENATE("EXP",Commodities!C48,"B",RIGHT(OILTrade!$T$73,2))</f>
        <v>EXPGSCB46</v>
      </c>
      <c r="D1663" s="365" t="str">
        <f>CONCATENATE("Export Barge/Vessel Trade of ",Commodities!C48, " from ",$B$1663," to R",RIGHT(C1663))</f>
        <v>Export Barge/Vessel Trade of GSC from *R4 to R6</v>
      </c>
      <c r="E1663" s="381" t="s">
        <v>384</v>
      </c>
      <c r="F1663" s="381" t="s">
        <v>505</v>
      </c>
    </row>
    <row r="1664" spans="2:6">
      <c r="B1664" s="365" t="s">
        <v>1087</v>
      </c>
      <c r="C1664" s="365" t="str">
        <f>CONCATENATE("EXP",Commodities!C49,"B",RIGHT(OILTrade!$T$73,2))</f>
        <v>EXPGSRB46</v>
      </c>
      <c r="D1664" s="365" t="str">
        <f>CONCATENATE("Export Barge/Vessel Trade of ",Commodities!C49, " from ",$B$1663," to R",RIGHT(C1664))</f>
        <v>Export Barge/Vessel Trade of GSR from *R4 to R6</v>
      </c>
      <c r="E1664" s="381" t="s">
        <v>384</v>
      </c>
      <c r="F1664" s="381" t="s">
        <v>505</v>
      </c>
    </row>
    <row r="1665" spans="2:6">
      <c r="B1665" s="365" t="s">
        <v>1087</v>
      </c>
      <c r="C1665" s="365" t="str">
        <f>CONCATENATE("EXP",Commodities!C50,"B",RIGHT(OILTrade!$T$73,2))</f>
        <v>EXPDSHB46</v>
      </c>
      <c r="D1665" s="365" t="str">
        <f>CONCATENATE("Export Barge/Vessel Trade of ",Commodities!C50, " from ",$B$1663," to R",RIGHT(C1665))</f>
        <v>Export Barge/Vessel Trade of DSH from *R4 to R6</v>
      </c>
      <c r="E1665" s="381" t="s">
        <v>384</v>
      </c>
      <c r="F1665" s="381" t="s">
        <v>505</v>
      </c>
    </row>
    <row r="1666" spans="2:6">
      <c r="B1666" s="365" t="s">
        <v>1087</v>
      </c>
      <c r="C1666" s="365" t="str">
        <f>CONCATENATE("EXP",Commodities!C51,"B",RIGHT(OILTrade!$T$73,2))</f>
        <v>EXPDSLB46</v>
      </c>
      <c r="D1666" s="365" t="str">
        <f>CONCATENATE("Export Barge/Vessel Trade of ",Commodities!C51, " from ",$B$1663," to R",RIGHT(C1666))</f>
        <v>Export Barge/Vessel Trade of DSL from *R4 to R6</v>
      </c>
      <c r="E1666" s="381" t="s">
        <v>384</v>
      </c>
      <c r="F1666" s="381" t="s">
        <v>505</v>
      </c>
    </row>
    <row r="1667" spans="2:6">
      <c r="B1667" s="365" t="s">
        <v>1087</v>
      </c>
      <c r="C1667" s="365" t="str">
        <f>CONCATENATE("EXP",Commodities!C52,"B",RIGHT(OILTrade!$T$73,2))</f>
        <v>EXPDSUB46</v>
      </c>
      <c r="D1667" s="365" t="str">
        <f>CONCATENATE("Export Barge/Vessel Trade of ",Commodities!C52, " from ",$B$1663," to R",RIGHT(C1667))</f>
        <v>Export Barge/Vessel Trade of DSU from *R4 to R6</v>
      </c>
      <c r="E1667" s="381" t="s">
        <v>384</v>
      </c>
      <c r="F1667" s="381" t="s">
        <v>505</v>
      </c>
    </row>
    <row r="1668" spans="2:6">
      <c r="B1668" s="365" t="s">
        <v>1087</v>
      </c>
      <c r="C1668" s="365" t="str">
        <f>CONCATENATE("EXP",Commodities!C53,"B",RIGHT(OILTrade!$T$73,2))</f>
        <v>EXPJTFB46</v>
      </c>
      <c r="D1668" s="365" t="str">
        <f>CONCATENATE("Export Barge/Vessel Trade of ",Commodities!C53, " from ",$B$1663," to R",RIGHT(C1668))</f>
        <v>Export Barge/Vessel Trade of JTF from *R4 to R6</v>
      </c>
      <c r="E1668" s="381" t="s">
        <v>384</v>
      </c>
      <c r="F1668" s="381" t="s">
        <v>505</v>
      </c>
    </row>
    <row r="1669" spans="2:6">
      <c r="B1669" s="365" t="s">
        <v>1087</v>
      </c>
      <c r="C1669" s="365" t="str">
        <f>CONCATENATE("EXP",Commodities!C54,"B",RIGHT(OILTrade!$T$73,2))</f>
        <v>EXPKERB46</v>
      </c>
      <c r="D1669" s="365" t="str">
        <f>CONCATENATE("Export Barge/Vessel Trade of ",Commodities!C54, " from ",$B$1663," to R",RIGHT(C1669))</f>
        <v>Export Barge/Vessel Trade of KER from *R4 to R6</v>
      </c>
      <c r="E1669" s="381" t="s">
        <v>384</v>
      </c>
      <c r="F1669" s="381" t="s">
        <v>505</v>
      </c>
    </row>
    <row r="1670" spans="2:6">
      <c r="B1670" s="365" t="s">
        <v>1087</v>
      </c>
      <c r="C1670" s="365" t="str">
        <f>CONCATENATE("EXP",Commodities!C55,"B",RIGHT(OILTrade!$T$73,2))</f>
        <v>EXPLPGB46</v>
      </c>
      <c r="D1670" s="365" t="str">
        <f>CONCATENATE("Export Barge/Vessel Trade of ",Commodities!C55, " from ",$B$1663," to R",RIGHT(C1670))</f>
        <v>Export Barge/Vessel Trade of LPG from *R4 to R6</v>
      </c>
      <c r="E1670" s="381" t="s">
        <v>384</v>
      </c>
      <c r="F1670" s="381" t="s">
        <v>505</v>
      </c>
    </row>
    <row r="1671" spans="2:6">
      <c r="B1671" s="365" t="s">
        <v>1087</v>
      </c>
      <c r="C1671" s="365" t="str">
        <f>CONCATENATE("EXP",Commodities!C56,"B",RIGHT(OILTrade!$T$73,2))</f>
        <v>EXPMTHB46</v>
      </c>
      <c r="D1671" s="365" t="str">
        <f>CONCATENATE("Export Barge/Vessel Trade of ",Commodities!C56, " from ",$B$1663," to R",RIGHT(C1671))</f>
        <v>Export Barge/Vessel Trade of MTH from *R4 to R6</v>
      </c>
      <c r="E1671" s="381" t="s">
        <v>384</v>
      </c>
      <c r="F1671" s="381" t="s">
        <v>505</v>
      </c>
    </row>
    <row r="1672" spans="2:6">
      <c r="B1672" s="365" t="s">
        <v>1087</v>
      </c>
      <c r="C1672" s="365" t="str">
        <f>CONCATENATE("EXP",Commodities!C57,"B",RIGHT(OILTrade!$T$73,2))</f>
        <v>EXPPFSB46</v>
      </c>
      <c r="D1672" s="365" t="str">
        <f>CONCATENATE("Export Barge/Vessel Trade of ",Commodities!C57, " from ",$B$1663," to R",RIGHT(C1672))</f>
        <v>Export Barge/Vessel Trade of PFS from *R4 to R6</v>
      </c>
      <c r="E1672" s="381" t="s">
        <v>384</v>
      </c>
      <c r="F1672" s="381" t="s">
        <v>505</v>
      </c>
    </row>
    <row r="1673" spans="2:6">
      <c r="B1673" s="365" t="s">
        <v>1087</v>
      </c>
      <c r="C1673" s="365" t="str">
        <f>CONCATENATE("EXP",Commodities!C58,"B",RIGHT(OILTrade!$T$73,2))</f>
        <v>EXPRFHB46</v>
      </c>
      <c r="D1673" s="365" t="str">
        <f>CONCATENATE("Export Barge/Vessel Trade of ",Commodities!C58, " from ",$B$1663," to R",RIGHT(C1673))</f>
        <v>Export Barge/Vessel Trade of RFH from *R4 to R6</v>
      </c>
      <c r="E1673" s="381" t="s">
        <v>384</v>
      </c>
      <c r="F1673" s="381" t="s">
        <v>505</v>
      </c>
    </row>
    <row r="1674" spans="2:6">
      <c r="B1674" s="365" t="s">
        <v>1087</v>
      </c>
      <c r="C1674" s="365" t="str">
        <f>CONCATENATE("EXP",Commodities!C59,"B",RIGHT(OILTrade!$T$73,2))</f>
        <v>EXPRFLB46</v>
      </c>
      <c r="D1674" s="365" t="str">
        <f>CONCATENATE("Export Barge/Vessel Trade of ",Commodities!C59, " from ",$B$1663," to R",RIGHT(C1674))</f>
        <v>Export Barge/Vessel Trade of RFL from *R4 to R6</v>
      </c>
      <c r="E1674" s="381" t="s">
        <v>384</v>
      </c>
      <c r="F1674" s="381" t="s">
        <v>505</v>
      </c>
    </row>
    <row r="1675" spans="2:6">
      <c r="B1675" s="365" t="s">
        <v>1087</v>
      </c>
      <c r="C1675" s="365" t="str">
        <f>CONCATENATE("EXP",Commodities!C60,"B",RIGHT(OILTrade!$T$73,2))</f>
        <v>EXPASPB46</v>
      </c>
      <c r="D1675" s="365" t="str">
        <f>CONCATENATE("Export Barge/Vessel Trade of ",Commodities!C60, " from ",$B$1663," to R",RIGHT(C1675))</f>
        <v>Export Barge/Vessel Trade of ASP from *R4 to R6</v>
      </c>
      <c r="E1675" s="381" t="s">
        <v>384</v>
      </c>
      <c r="F1675" s="381" t="s">
        <v>505</v>
      </c>
    </row>
    <row r="1676" spans="2:6">
      <c r="B1676" s="365" t="s">
        <v>1087</v>
      </c>
      <c r="C1676" s="365" t="str">
        <f>CONCATENATE("EXP",Commodities!C48,"B",RIGHT(OILTrade!$U$73,2))</f>
        <v>EXPGSCB</v>
      </c>
      <c r="D1676" s="365" t="str">
        <f>CONCATENATE("Export Barge/Vessel Trade of ",Commodities!C48, " from ",$B$1676," to R",RIGHT(C1676))</f>
        <v>Export Barge/Vessel Trade of GSC from *R4 to RB</v>
      </c>
      <c r="E1676" s="381" t="s">
        <v>384</v>
      </c>
      <c r="F1676" s="381" t="s">
        <v>505</v>
      </c>
    </row>
    <row r="1677" spans="2:6">
      <c r="B1677" s="365" t="s">
        <v>1087</v>
      </c>
      <c r="C1677" s="365" t="str">
        <f>CONCATENATE("EXP",Commodities!C49,"B",RIGHT(OILTrade!$U$73,2))</f>
        <v>EXPGSRB</v>
      </c>
      <c r="D1677" s="365" t="str">
        <f>CONCATENATE("Export Barge/Vessel Trade of ",Commodities!C49, " from ",$B$1676," to R",RIGHT(C1677))</f>
        <v>Export Barge/Vessel Trade of GSR from *R4 to RB</v>
      </c>
      <c r="E1677" s="381" t="s">
        <v>384</v>
      </c>
      <c r="F1677" s="381" t="s">
        <v>505</v>
      </c>
    </row>
    <row r="1678" spans="2:6">
      <c r="B1678" s="365" t="s">
        <v>1087</v>
      </c>
      <c r="C1678" s="365" t="str">
        <f>CONCATENATE("EXP",Commodities!C50,"B",RIGHT(OILTrade!$U$73,2))</f>
        <v>EXPDSHB</v>
      </c>
      <c r="D1678" s="365" t="str">
        <f>CONCATENATE("Export Barge/Vessel Trade of ",Commodities!C50, " from ",$B$1676," to R",RIGHT(C1678))</f>
        <v>Export Barge/Vessel Trade of DSH from *R4 to RB</v>
      </c>
      <c r="E1678" s="381" t="s">
        <v>384</v>
      </c>
      <c r="F1678" s="381" t="s">
        <v>505</v>
      </c>
    </row>
    <row r="1679" spans="2:6">
      <c r="B1679" s="365" t="s">
        <v>1087</v>
      </c>
      <c r="C1679" s="365" t="str">
        <f>CONCATENATE("EXP",Commodities!C51,"B",RIGHT(OILTrade!$U$73,2))</f>
        <v>EXPDSLB</v>
      </c>
      <c r="D1679" s="365" t="str">
        <f>CONCATENATE("Export Barge/Vessel Trade of ",Commodities!C51, " from ",$B$1676," to R",RIGHT(C1679))</f>
        <v>Export Barge/Vessel Trade of DSL from *R4 to RB</v>
      </c>
      <c r="E1679" s="381" t="s">
        <v>384</v>
      </c>
      <c r="F1679" s="381" t="s">
        <v>505</v>
      </c>
    </row>
    <row r="1680" spans="2:6">
      <c r="B1680" s="365" t="s">
        <v>1087</v>
      </c>
      <c r="C1680" s="365" t="str">
        <f>CONCATENATE("EXP",Commodities!C52,"B",RIGHT(OILTrade!$U$73,2))</f>
        <v>EXPDSUB</v>
      </c>
      <c r="D1680" s="365" t="str">
        <f>CONCATENATE("Export Barge/Vessel Trade of ",Commodities!C52, " from ",$B$1676," to R",RIGHT(C1680))</f>
        <v>Export Barge/Vessel Trade of DSU from *R4 to RB</v>
      </c>
      <c r="E1680" s="381" t="s">
        <v>384</v>
      </c>
      <c r="F1680" s="381" t="s">
        <v>505</v>
      </c>
    </row>
    <row r="1681" spans="2:6">
      <c r="B1681" s="365" t="s">
        <v>1087</v>
      </c>
      <c r="C1681" s="365" t="str">
        <f>CONCATENATE("EXP",Commodities!C53,"B",RIGHT(OILTrade!$U$73,2))</f>
        <v>EXPJTFB</v>
      </c>
      <c r="D1681" s="365" t="str">
        <f>CONCATENATE("Export Barge/Vessel Trade of ",Commodities!C53, " from ",$B$1676," to R",RIGHT(C1681))</f>
        <v>Export Barge/Vessel Trade of JTF from *R4 to RB</v>
      </c>
      <c r="E1681" s="381" t="s">
        <v>384</v>
      </c>
      <c r="F1681" s="381" t="s">
        <v>505</v>
      </c>
    </row>
    <row r="1682" spans="2:6">
      <c r="B1682" s="365" t="s">
        <v>1087</v>
      </c>
      <c r="C1682" s="365" t="str">
        <f>CONCATENATE("EXP",Commodities!C54,"B",RIGHT(OILTrade!$U$73,2))</f>
        <v>EXPKERB</v>
      </c>
      <c r="D1682" s="365" t="str">
        <f>CONCATENATE("Export Barge/Vessel Trade of ",Commodities!C54, " from ",$B$1676," to R",RIGHT(C1682))</f>
        <v>Export Barge/Vessel Trade of KER from *R4 to RB</v>
      </c>
      <c r="E1682" s="381" t="s">
        <v>384</v>
      </c>
      <c r="F1682" s="381" t="s">
        <v>505</v>
      </c>
    </row>
    <row r="1683" spans="2:6">
      <c r="B1683" s="365" t="s">
        <v>1087</v>
      </c>
      <c r="C1683" s="365" t="str">
        <f>CONCATENATE("EXP",Commodities!C55,"B",RIGHT(OILTrade!$U$73,2))</f>
        <v>EXPLPGB</v>
      </c>
      <c r="D1683" s="365" t="str">
        <f>CONCATENATE("Export Barge/Vessel Trade of ",Commodities!C55, " from ",$B$1676," to R",RIGHT(C1683))</f>
        <v>Export Barge/Vessel Trade of LPG from *R4 to RB</v>
      </c>
      <c r="E1683" s="381" t="s">
        <v>384</v>
      </c>
      <c r="F1683" s="381" t="s">
        <v>505</v>
      </c>
    </row>
    <row r="1684" spans="2:6">
      <c r="B1684" s="365" t="s">
        <v>1087</v>
      </c>
      <c r="C1684" s="365" t="str">
        <f>CONCATENATE("EXP",Commodities!C56,"B",RIGHT(OILTrade!$U$73,2))</f>
        <v>EXPMTHB</v>
      </c>
      <c r="D1684" s="365" t="str">
        <f>CONCATENATE("Export Barge/Vessel Trade of ",Commodities!C56, " from ",$B$1676," to R",RIGHT(C1684))</f>
        <v>Export Barge/Vessel Trade of MTH from *R4 to RB</v>
      </c>
      <c r="E1684" s="381" t="s">
        <v>384</v>
      </c>
      <c r="F1684" s="381" t="s">
        <v>505</v>
      </c>
    </row>
    <row r="1685" spans="2:6">
      <c r="B1685" s="365" t="s">
        <v>1087</v>
      </c>
      <c r="C1685" s="365" t="str">
        <f>CONCATENATE("EXP",Commodities!C57,"B",RIGHT(OILTrade!$U$73,2))</f>
        <v>EXPPFSB</v>
      </c>
      <c r="D1685" s="365" t="str">
        <f>CONCATENATE("Export Barge/Vessel Trade of ",Commodities!C57, " from ",$B$1676," to R",RIGHT(C1685))</f>
        <v>Export Barge/Vessel Trade of PFS from *R4 to RB</v>
      </c>
      <c r="E1685" s="381" t="s">
        <v>384</v>
      </c>
      <c r="F1685" s="381" t="s">
        <v>505</v>
      </c>
    </row>
    <row r="1686" spans="2:6">
      <c r="B1686" s="365" t="s">
        <v>1087</v>
      </c>
      <c r="C1686" s="365" t="str">
        <f>CONCATENATE("EXP",Commodities!C58,"B",RIGHT(OILTrade!$U$73,2))</f>
        <v>EXPRFHB</v>
      </c>
      <c r="D1686" s="365" t="str">
        <f>CONCATENATE("Export Barge/Vessel Trade of ",Commodities!C58, " from ",$B$1676," to R",RIGHT(C1686))</f>
        <v>Export Barge/Vessel Trade of RFH from *R4 to RB</v>
      </c>
      <c r="E1686" s="381" t="s">
        <v>384</v>
      </c>
      <c r="F1686" s="381" t="s">
        <v>505</v>
      </c>
    </row>
    <row r="1687" spans="2:6">
      <c r="B1687" s="365" t="s">
        <v>1087</v>
      </c>
      <c r="C1687" s="365" t="str">
        <f>CONCATENATE("EXP",Commodities!C59,"B",RIGHT(OILTrade!$U$73,2))</f>
        <v>EXPRFLB</v>
      </c>
      <c r="D1687" s="365" t="str">
        <f>CONCATENATE("Export Barge/Vessel Trade of ",Commodities!C59, " from ",$B$1676," to R",RIGHT(C1687))</f>
        <v>Export Barge/Vessel Trade of RFL from *R4 to RB</v>
      </c>
      <c r="E1687" s="381" t="s">
        <v>384</v>
      </c>
      <c r="F1687" s="381" t="s">
        <v>505</v>
      </c>
    </row>
    <row r="1688" spans="2:6">
      <c r="B1688" s="365" t="s">
        <v>1087</v>
      </c>
      <c r="C1688" s="365" t="str">
        <f>CONCATENATE("EXP",Commodities!C60,"B",RIGHT(OILTrade!$U$73,2))</f>
        <v>EXPASPB</v>
      </c>
      <c r="D1688" s="365" t="str">
        <f>CONCATENATE("Export Barge/Vessel Trade of ",Commodities!C60, " from ",$B$1676," to R",RIGHT(C1688))</f>
        <v>Export Barge/Vessel Trade of ASP from *R4 to RB</v>
      </c>
      <c r="E1688" s="381" t="s">
        <v>384</v>
      </c>
      <c r="F1688" s="381" t="s">
        <v>505</v>
      </c>
    </row>
    <row r="1689" spans="2:6">
      <c r="B1689" s="365" t="s">
        <v>1088</v>
      </c>
      <c r="C1689" s="365" t="str">
        <f>CONCATENATE("EXP",Commodities!C48,"B",RIGHT(OILTrade!$Q$74,2))</f>
        <v>EXPGSCB</v>
      </c>
      <c r="D1689" s="365" t="str">
        <f>CONCATENATE("Export Barge/Vessel Trade of ",Commodities!C48, " from ",$B$1689," to R",RIGHT(C1689))</f>
        <v>Export Barge/Vessel Trade of GSC from *R5 to RB</v>
      </c>
      <c r="E1689" s="381" t="s">
        <v>384</v>
      </c>
      <c r="F1689" s="381" t="s">
        <v>505</v>
      </c>
    </row>
    <row r="1690" spans="2:6">
      <c r="B1690" s="365" t="s">
        <v>1088</v>
      </c>
      <c r="C1690" s="365" t="str">
        <f>CONCATENATE("EXP",Commodities!C49,"B",RIGHT(OILTrade!$Q$74,2))</f>
        <v>EXPGSRB</v>
      </c>
      <c r="D1690" s="365" t="str">
        <f>CONCATENATE("Export Barge/Vessel Trade of ",Commodities!C49, " from ",$B$1689," to R",RIGHT(C1690))</f>
        <v>Export Barge/Vessel Trade of GSR from *R5 to RB</v>
      </c>
      <c r="E1690" s="381" t="s">
        <v>384</v>
      </c>
      <c r="F1690" s="381" t="s">
        <v>505</v>
      </c>
    </row>
    <row r="1691" spans="2:6">
      <c r="B1691" s="365" t="s">
        <v>1088</v>
      </c>
      <c r="C1691" s="365" t="str">
        <f>CONCATENATE("EXP",Commodities!C50,"B",RIGHT(OILTrade!$Q$74,2))</f>
        <v>EXPDSHB</v>
      </c>
      <c r="D1691" s="365" t="str">
        <f>CONCATENATE("Export Barge/Vessel Trade of ",Commodities!C50, " from ",$B$1689," to R",RIGHT(C1691))</f>
        <v>Export Barge/Vessel Trade of DSH from *R5 to RB</v>
      </c>
      <c r="E1691" s="381" t="s">
        <v>384</v>
      </c>
      <c r="F1691" s="381" t="s">
        <v>505</v>
      </c>
    </row>
    <row r="1692" spans="2:6">
      <c r="B1692" s="365" t="s">
        <v>1088</v>
      </c>
      <c r="C1692" s="365" t="str">
        <f>CONCATENATE("EXP",Commodities!C51,"B",RIGHT(OILTrade!$Q$74,2))</f>
        <v>EXPDSLB</v>
      </c>
      <c r="D1692" s="365" t="str">
        <f>CONCATENATE("Export Barge/Vessel Trade of ",Commodities!C51, " from ",$B$1689," to R",RIGHT(C1692))</f>
        <v>Export Barge/Vessel Trade of DSL from *R5 to RB</v>
      </c>
      <c r="E1692" s="381" t="s">
        <v>384</v>
      </c>
      <c r="F1692" s="381" t="s">
        <v>505</v>
      </c>
    </row>
    <row r="1693" spans="2:6">
      <c r="B1693" s="365" t="s">
        <v>1088</v>
      </c>
      <c r="C1693" s="365" t="str">
        <f>CONCATENATE("EXP",Commodities!C52,"B",RIGHT(OILTrade!$Q$74,2))</f>
        <v>EXPDSUB</v>
      </c>
      <c r="D1693" s="365" t="str">
        <f>CONCATENATE("Export Barge/Vessel Trade of ",Commodities!C52, " from ",$B$1689," to R",RIGHT(C1693))</f>
        <v>Export Barge/Vessel Trade of DSU from *R5 to RB</v>
      </c>
      <c r="E1693" s="381" t="s">
        <v>384</v>
      </c>
      <c r="F1693" s="381" t="s">
        <v>505</v>
      </c>
    </row>
    <row r="1694" spans="2:6">
      <c r="B1694" s="365" t="s">
        <v>1088</v>
      </c>
      <c r="C1694" s="365" t="str">
        <f>CONCATENATE("EXP",Commodities!C53,"B",RIGHT(OILTrade!$Q$74,2))</f>
        <v>EXPJTFB</v>
      </c>
      <c r="D1694" s="365" t="str">
        <f>CONCATENATE("Export Barge/Vessel Trade of ",Commodities!C53, " from ",$B$1689," to R",RIGHT(C1694))</f>
        <v>Export Barge/Vessel Trade of JTF from *R5 to RB</v>
      </c>
      <c r="E1694" s="381" t="s">
        <v>384</v>
      </c>
      <c r="F1694" s="381" t="s">
        <v>505</v>
      </c>
    </row>
    <row r="1695" spans="2:6">
      <c r="B1695" s="365" t="s">
        <v>1088</v>
      </c>
      <c r="C1695" s="365" t="str">
        <f>CONCATENATE("EXP",Commodities!C54,"B",RIGHT(OILTrade!$Q$74,2))</f>
        <v>EXPKERB</v>
      </c>
      <c r="D1695" s="365" t="str">
        <f>CONCATENATE("Export Barge/Vessel Trade of ",Commodities!C54, " from ",$B$1689," to R",RIGHT(C1695))</f>
        <v>Export Barge/Vessel Trade of KER from *R5 to RB</v>
      </c>
      <c r="E1695" s="381" t="s">
        <v>384</v>
      </c>
      <c r="F1695" s="381" t="s">
        <v>505</v>
      </c>
    </row>
    <row r="1696" spans="2:6">
      <c r="B1696" s="365" t="s">
        <v>1088</v>
      </c>
      <c r="C1696" s="365" t="str">
        <f>CONCATENATE("EXP",Commodities!C55,"B",RIGHT(OILTrade!$Q$74,2))</f>
        <v>EXPLPGB</v>
      </c>
      <c r="D1696" s="365" t="str">
        <f>CONCATENATE("Export Barge/Vessel Trade of ",Commodities!C55, " from ",$B$1689," to R",RIGHT(C1696))</f>
        <v>Export Barge/Vessel Trade of LPG from *R5 to RB</v>
      </c>
      <c r="E1696" s="381" t="s">
        <v>384</v>
      </c>
      <c r="F1696" s="381" t="s">
        <v>505</v>
      </c>
    </row>
    <row r="1697" spans="2:6">
      <c r="B1697" s="365" t="s">
        <v>1088</v>
      </c>
      <c r="C1697" s="365" t="str">
        <f>CONCATENATE("EXP",Commodities!C56,"B",RIGHT(OILTrade!$Q$74,2))</f>
        <v>EXPMTHB</v>
      </c>
      <c r="D1697" s="365" t="str">
        <f>CONCATENATE("Export Barge/Vessel Trade of ",Commodities!C56, " from ",$B$1689," to R",RIGHT(C1697))</f>
        <v>Export Barge/Vessel Trade of MTH from *R5 to RB</v>
      </c>
      <c r="E1697" s="381" t="s">
        <v>384</v>
      </c>
      <c r="F1697" s="381" t="s">
        <v>505</v>
      </c>
    </row>
    <row r="1698" spans="2:6">
      <c r="B1698" s="365" t="s">
        <v>1088</v>
      </c>
      <c r="C1698" s="365" t="str">
        <f>CONCATENATE("EXP",Commodities!C57,"B",RIGHT(OILTrade!$Q$74,2))</f>
        <v>EXPPFSB</v>
      </c>
      <c r="D1698" s="365" t="str">
        <f>CONCATENATE("Export Barge/Vessel Trade of ",Commodities!C57, " from ",$B$1689," to R",RIGHT(C1698))</f>
        <v>Export Barge/Vessel Trade of PFS from *R5 to RB</v>
      </c>
      <c r="E1698" s="381" t="s">
        <v>384</v>
      </c>
      <c r="F1698" s="381" t="s">
        <v>505</v>
      </c>
    </row>
    <row r="1699" spans="2:6">
      <c r="B1699" s="365" t="s">
        <v>1088</v>
      </c>
      <c r="C1699" s="365" t="str">
        <f>CONCATENATE("EXP",Commodities!C58,"B",RIGHT(OILTrade!$Q$74,2))</f>
        <v>EXPRFHB</v>
      </c>
      <c r="D1699" s="365" t="str">
        <f>CONCATENATE("Export Barge/Vessel Trade of ",Commodities!C58, " from ",$B$1689," to R",RIGHT(C1699))</f>
        <v>Export Barge/Vessel Trade of RFH from *R5 to RB</v>
      </c>
      <c r="E1699" s="381" t="s">
        <v>384</v>
      </c>
      <c r="F1699" s="381" t="s">
        <v>505</v>
      </c>
    </row>
    <row r="1700" spans="2:6">
      <c r="B1700" s="365" t="s">
        <v>1088</v>
      </c>
      <c r="C1700" s="365" t="str">
        <f>CONCATENATE("EXP",Commodities!C59,"B",RIGHT(OILTrade!$Q$74,2))</f>
        <v>EXPRFLB</v>
      </c>
      <c r="D1700" s="365" t="str">
        <f>CONCATENATE("Export Barge/Vessel Trade of ",Commodities!C59, " from ",$B$1689," to R",RIGHT(C1700))</f>
        <v>Export Barge/Vessel Trade of RFL from *R5 to RB</v>
      </c>
      <c r="E1700" s="381" t="s">
        <v>384</v>
      </c>
      <c r="F1700" s="381" t="s">
        <v>505</v>
      </c>
    </row>
    <row r="1701" spans="2:6">
      <c r="B1701" s="365" t="s">
        <v>1088</v>
      </c>
      <c r="C1701" s="365" t="str">
        <f>CONCATENATE("EXP",Commodities!C60,"B",RIGHT(OILTrade!$Q$74,2))</f>
        <v>EXPASPB</v>
      </c>
      <c r="D1701" s="365" t="str">
        <f>CONCATENATE("Export Barge/Vessel Trade of ",Commodities!C60, " from ",$B$1689," to R",RIGHT(C1701))</f>
        <v>Export Barge/Vessel Trade of ASP from *R5 to RB</v>
      </c>
      <c r="E1701" s="381" t="s">
        <v>384</v>
      </c>
      <c r="F1701" s="381" t="s">
        <v>505</v>
      </c>
    </row>
    <row r="1702" spans="2:6">
      <c r="B1702" s="365" t="s">
        <v>1088</v>
      </c>
      <c r="C1702" s="365" t="str">
        <f>CONCATENATE("EXP",Commodities!C48,"B",RIGHT(OILTrade!$T$74,2))</f>
        <v>EXPGSCB</v>
      </c>
      <c r="D1702" s="365" t="str">
        <f>CONCATENATE("Export Barge/Vessel Trade of ",Commodities!C48, " from ",$B$1702," to R",RIGHT(C1702))</f>
        <v>Export Barge/Vessel Trade of GSC from *R5 to RB</v>
      </c>
      <c r="E1702" s="381" t="s">
        <v>384</v>
      </c>
      <c r="F1702" s="381" t="s">
        <v>505</v>
      </c>
    </row>
    <row r="1703" spans="2:6">
      <c r="B1703" s="365" t="s">
        <v>1088</v>
      </c>
      <c r="C1703" s="365" t="str">
        <f>CONCATENATE("EXP",Commodities!C49,"B",RIGHT(OILTrade!$T$74,2))</f>
        <v>EXPGSRB</v>
      </c>
      <c r="D1703" s="365" t="str">
        <f>CONCATENATE("Export Barge/Vessel Trade of ",Commodities!C49, " from ",$B$1702," to R",RIGHT(C1703))</f>
        <v>Export Barge/Vessel Trade of GSR from *R5 to RB</v>
      </c>
      <c r="E1703" s="381" t="s">
        <v>384</v>
      </c>
      <c r="F1703" s="381" t="s">
        <v>505</v>
      </c>
    </row>
    <row r="1704" spans="2:6">
      <c r="B1704" s="365" t="s">
        <v>1088</v>
      </c>
      <c r="C1704" s="365" t="str">
        <f>CONCATENATE("EXP",Commodities!C50,"B",RIGHT(OILTrade!$T$74,2))</f>
        <v>EXPDSHB</v>
      </c>
      <c r="D1704" s="365" t="str">
        <f>CONCATENATE("Export Barge/Vessel Trade of ",Commodities!C50, " from ",$B$1702," to R",RIGHT(C1704))</f>
        <v>Export Barge/Vessel Trade of DSH from *R5 to RB</v>
      </c>
      <c r="E1704" s="381" t="s">
        <v>384</v>
      </c>
      <c r="F1704" s="381" t="s">
        <v>505</v>
      </c>
    </row>
    <row r="1705" spans="2:6">
      <c r="B1705" s="365" t="s">
        <v>1088</v>
      </c>
      <c r="C1705" s="365" t="str">
        <f>CONCATENATE("EXP",Commodities!C51,"B",RIGHT(OILTrade!$T$74,2))</f>
        <v>EXPDSLB</v>
      </c>
      <c r="D1705" s="365" t="str">
        <f>CONCATENATE("Export Barge/Vessel Trade of ",Commodities!C51, " from ",$B$1702," to R",RIGHT(C1705))</f>
        <v>Export Barge/Vessel Trade of DSL from *R5 to RB</v>
      </c>
      <c r="E1705" s="381" t="s">
        <v>384</v>
      </c>
      <c r="F1705" s="381" t="s">
        <v>505</v>
      </c>
    </row>
    <row r="1706" spans="2:6">
      <c r="B1706" s="365" t="s">
        <v>1088</v>
      </c>
      <c r="C1706" s="365" t="str">
        <f>CONCATENATE("EXP",Commodities!C52,"B",RIGHT(OILTrade!$T$74,2))</f>
        <v>EXPDSUB</v>
      </c>
      <c r="D1706" s="365" t="str">
        <f>CONCATENATE("Export Barge/Vessel Trade of ",Commodities!C52, " from ",$B$1702," to R",RIGHT(C1706))</f>
        <v>Export Barge/Vessel Trade of DSU from *R5 to RB</v>
      </c>
      <c r="E1706" s="381" t="s">
        <v>384</v>
      </c>
      <c r="F1706" s="381" t="s">
        <v>505</v>
      </c>
    </row>
    <row r="1707" spans="2:6">
      <c r="B1707" s="365" t="s">
        <v>1088</v>
      </c>
      <c r="C1707" s="365" t="str">
        <f>CONCATENATE("EXP",Commodities!C53,"B",RIGHT(OILTrade!$T$74,2))</f>
        <v>EXPJTFB</v>
      </c>
      <c r="D1707" s="365" t="str">
        <f>CONCATENATE("Export Barge/Vessel Trade of ",Commodities!C53, " from ",$B$1702," to R",RIGHT(C1707))</f>
        <v>Export Barge/Vessel Trade of JTF from *R5 to RB</v>
      </c>
      <c r="E1707" s="381" t="s">
        <v>384</v>
      </c>
      <c r="F1707" s="381" t="s">
        <v>505</v>
      </c>
    </row>
    <row r="1708" spans="2:6">
      <c r="B1708" s="365" t="s">
        <v>1088</v>
      </c>
      <c r="C1708" s="365" t="str">
        <f>CONCATENATE("EXP",Commodities!C54,"B",RIGHT(OILTrade!$T$74,2))</f>
        <v>EXPKERB</v>
      </c>
      <c r="D1708" s="365" t="str">
        <f>CONCATENATE("Export Barge/Vessel Trade of ",Commodities!C54, " from ",$B$1702," to R",RIGHT(C1708))</f>
        <v>Export Barge/Vessel Trade of KER from *R5 to RB</v>
      </c>
      <c r="E1708" s="381" t="s">
        <v>384</v>
      </c>
      <c r="F1708" s="381" t="s">
        <v>505</v>
      </c>
    </row>
    <row r="1709" spans="2:6">
      <c r="B1709" s="365" t="s">
        <v>1088</v>
      </c>
      <c r="C1709" s="365" t="str">
        <f>CONCATENATE("EXP",Commodities!C55,"B",RIGHT(OILTrade!$T$74,2))</f>
        <v>EXPLPGB</v>
      </c>
      <c r="D1709" s="365" t="str">
        <f>CONCATENATE("Export Barge/Vessel Trade of ",Commodities!C55, " from ",$B$1702," to R",RIGHT(C1709))</f>
        <v>Export Barge/Vessel Trade of LPG from *R5 to RB</v>
      </c>
      <c r="E1709" s="381" t="s">
        <v>384</v>
      </c>
      <c r="F1709" s="381" t="s">
        <v>505</v>
      </c>
    </row>
    <row r="1710" spans="2:6">
      <c r="B1710" s="365" t="s">
        <v>1088</v>
      </c>
      <c r="C1710" s="365" t="str">
        <f>CONCATENATE("EXP",Commodities!C56,"B",RIGHT(OILTrade!$T$74,2))</f>
        <v>EXPMTHB</v>
      </c>
      <c r="D1710" s="365" t="str">
        <f>CONCATENATE("Export Barge/Vessel Trade of ",Commodities!C56, " from ",$B$1702," to R",RIGHT(C1710))</f>
        <v>Export Barge/Vessel Trade of MTH from *R5 to RB</v>
      </c>
      <c r="E1710" s="381" t="s">
        <v>384</v>
      </c>
      <c r="F1710" s="381" t="s">
        <v>505</v>
      </c>
    </row>
    <row r="1711" spans="2:6">
      <c r="B1711" s="365" t="s">
        <v>1088</v>
      </c>
      <c r="C1711" s="365" t="str">
        <f>CONCATENATE("EXP",Commodities!C57,"B",RIGHT(OILTrade!$T$74,2))</f>
        <v>EXPPFSB</v>
      </c>
      <c r="D1711" s="365" t="str">
        <f>CONCATENATE("Export Barge/Vessel Trade of ",Commodities!C57, " from ",$B$1702," to R",RIGHT(C1711))</f>
        <v>Export Barge/Vessel Trade of PFS from *R5 to RB</v>
      </c>
      <c r="E1711" s="381" t="s">
        <v>384</v>
      </c>
      <c r="F1711" s="381" t="s">
        <v>505</v>
      </c>
    </row>
    <row r="1712" spans="2:6">
      <c r="B1712" s="365" t="s">
        <v>1088</v>
      </c>
      <c r="C1712" s="365" t="str">
        <f>CONCATENATE("EXP",Commodities!C58,"B",RIGHT(OILTrade!$T$74,2))</f>
        <v>EXPRFHB</v>
      </c>
      <c r="D1712" s="365" t="str">
        <f>CONCATENATE("Export Barge/Vessel Trade of ",Commodities!C58, " from ",$B$1702," to R",RIGHT(C1712))</f>
        <v>Export Barge/Vessel Trade of RFH from *R5 to RB</v>
      </c>
      <c r="E1712" s="381" t="s">
        <v>384</v>
      </c>
      <c r="F1712" s="381" t="s">
        <v>505</v>
      </c>
    </row>
    <row r="1713" spans="2:6">
      <c r="B1713" s="365" t="s">
        <v>1088</v>
      </c>
      <c r="C1713" s="365" t="str">
        <f>CONCATENATE("EXP",Commodities!C59,"B",RIGHT(OILTrade!$T$74,2))</f>
        <v>EXPRFLB</v>
      </c>
      <c r="D1713" s="365" t="str">
        <f>CONCATENATE("Export Barge/Vessel Trade of ",Commodities!C59, " from ",$B$1702," to R",RIGHT(C1713))</f>
        <v>Export Barge/Vessel Trade of RFL from *R5 to RB</v>
      </c>
      <c r="E1713" s="381" t="s">
        <v>384</v>
      </c>
      <c r="F1713" s="381" t="s">
        <v>505</v>
      </c>
    </row>
    <row r="1714" spans="2:6">
      <c r="B1714" s="365" t="s">
        <v>1088</v>
      </c>
      <c r="C1714" s="365" t="str">
        <f>CONCATENATE("EXP",Commodities!C60,"B",RIGHT(OILTrade!$T$74,2))</f>
        <v>EXPASPB</v>
      </c>
      <c r="D1714" s="365" t="str">
        <f>CONCATENATE("Export Barge/Vessel Trade of ",Commodities!C60, " from ",$B$1702," to R",RIGHT(C1714))</f>
        <v>Export Barge/Vessel Trade of ASP from *R5 to RB</v>
      </c>
      <c r="E1714" s="381" t="s">
        <v>384</v>
      </c>
      <c r="F1714" s="381" t="s">
        <v>505</v>
      </c>
    </row>
    <row r="1715" spans="2:6">
      <c r="B1715" s="365" t="s">
        <v>1088</v>
      </c>
      <c r="C1715" s="365" t="str">
        <f>CONCATENATE("EXP",Commodities!C48,"B",RIGHT(OILTrade!$U$74,2))</f>
        <v>EXPGSCB</v>
      </c>
      <c r="D1715" s="365" t="str">
        <f>CONCATENATE("Export Barge/Vessel Trade of ",Commodities!C48, " from ",$B$1715," to R",RIGHT(C1715))</f>
        <v>Export Barge/Vessel Trade of GSC from *R5 to RB</v>
      </c>
      <c r="E1715" s="381" t="s">
        <v>384</v>
      </c>
      <c r="F1715" s="381" t="s">
        <v>505</v>
      </c>
    </row>
    <row r="1716" spans="2:6">
      <c r="B1716" s="365" t="s">
        <v>1088</v>
      </c>
      <c r="C1716" s="365" t="str">
        <f>CONCATENATE("EXP",Commodities!C49,"B",RIGHT(OILTrade!$U$74,2))</f>
        <v>EXPGSRB</v>
      </c>
      <c r="D1716" s="365" t="str">
        <f>CONCATENATE("Export Barge/Vessel Trade of ",Commodities!C49, " from ",$B$1715," to R",RIGHT(C1716))</f>
        <v>Export Barge/Vessel Trade of GSR from *R5 to RB</v>
      </c>
      <c r="E1716" s="381" t="s">
        <v>384</v>
      </c>
      <c r="F1716" s="381" t="s">
        <v>505</v>
      </c>
    </row>
    <row r="1717" spans="2:6">
      <c r="B1717" s="365" t="s">
        <v>1088</v>
      </c>
      <c r="C1717" s="365" t="str">
        <f>CONCATENATE("EXP",Commodities!C50,"B",RIGHT(OILTrade!$U$74,2))</f>
        <v>EXPDSHB</v>
      </c>
      <c r="D1717" s="365" t="str">
        <f>CONCATENATE("Export Barge/Vessel Trade of ",Commodities!C50, " from ",$B$1715," to R",RIGHT(C1717))</f>
        <v>Export Barge/Vessel Trade of DSH from *R5 to RB</v>
      </c>
      <c r="E1717" s="381" t="s">
        <v>384</v>
      </c>
      <c r="F1717" s="381" t="s">
        <v>505</v>
      </c>
    </row>
    <row r="1718" spans="2:6">
      <c r="B1718" s="365" t="s">
        <v>1088</v>
      </c>
      <c r="C1718" s="365" t="str">
        <f>CONCATENATE("EXP",Commodities!C51,"B",RIGHT(OILTrade!$U$74,2))</f>
        <v>EXPDSLB</v>
      </c>
      <c r="D1718" s="365" t="str">
        <f>CONCATENATE("Export Barge/Vessel Trade of ",Commodities!C51, " from ",$B$1715," to R",RIGHT(C1718))</f>
        <v>Export Barge/Vessel Trade of DSL from *R5 to RB</v>
      </c>
      <c r="E1718" s="381" t="s">
        <v>384</v>
      </c>
      <c r="F1718" s="381" t="s">
        <v>505</v>
      </c>
    </row>
    <row r="1719" spans="2:6">
      <c r="B1719" s="365" t="s">
        <v>1088</v>
      </c>
      <c r="C1719" s="365" t="str">
        <f>CONCATENATE("EXP",Commodities!C52,"B",RIGHT(OILTrade!$U$74,2))</f>
        <v>EXPDSUB</v>
      </c>
      <c r="D1719" s="365" t="str">
        <f>CONCATENATE("Export Barge/Vessel Trade of ",Commodities!C52, " from ",$B$1715," to R",RIGHT(C1719))</f>
        <v>Export Barge/Vessel Trade of DSU from *R5 to RB</v>
      </c>
      <c r="E1719" s="381" t="s">
        <v>384</v>
      </c>
      <c r="F1719" s="381" t="s">
        <v>505</v>
      </c>
    </row>
    <row r="1720" spans="2:6">
      <c r="B1720" s="365" t="s">
        <v>1088</v>
      </c>
      <c r="C1720" s="365" t="str">
        <f>CONCATENATE("EXP",Commodities!C53,"B",RIGHT(OILTrade!$U$74,2))</f>
        <v>EXPJTFB</v>
      </c>
      <c r="D1720" s="365" t="str">
        <f>CONCATENATE("Export Barge/Vessel Trade of ",Commodities!C53, " from ",$B$1715," to R",RIGHT(C1720))</f>
        <v>Export Barge/Vessel Trade of JTF from *R5 to RB</v>
      </c>
      <c r="E1720" s="381" t="s">
        <v>384</v>
      </c>
      <c r="F1720" s="381" t="s">
        <v>505</v>
      </c>
    </row>
    <row r="1721" spans="2:6">
      <c r="B1721" s="365" t="s">
        <v>1088</v>
      </c>
      <c r="C1721" s="365" t="str">
        <f>CONCATENATE("EXP",Commodities!C54,"B",RIGHT(OILTrade!$U$74,2))</f>
        <v>EXPKERB</v>
      </c>
      <c r="D1721" s="365" t="str">
        <f>CONCATENATE("Export Barge/Vessel Trade of ",Commodities!C54, " from ",$B$1715," to R",RIGHT(C1721))</f>
        <v>Export Barge/Vessel Trade of KER from *R5 to RB</v>
      </c>
      <c r="E1721" s="381" t="s">
        <v>384</v>
      </c>
      <c r="F1721" s="381" t="s">
        <v>505</v>
      </c>
    </row>
    <row r="1722" spans="2:6">
      <c r="B1722" s="365" t="s">
        <v>1088</v>
      </c>
      <c r="C1722" s="365" t="str">
        <f>CONCATENATE("EXP",Commodities!C55,"B",RIGHT(OILTrade!$U$74,2))</f>
        <v>EXPLPGB</v>
      </c>
      <c r="D1722" s="365" t="str">
        <f>CONCATENATE("Export Barge/Vessel Trade of ",Commodities!C55, " from ",$B$1715," to R",RIGHT(C1722))</f>
        <v>Export Barge/Vessel Trade of LPG from *R5 to RB</v>
      </c>
      <c r="E1722" s="381" t="s">
        <v>384</v>
      </c>
      <c r="F1722" s="381" t="s">
        <v>505</v>
      </c>
    </row>
    <row r="1723" spans="2:6">
      <c r="B1723" s="365" t="s">
        <v>1088</v>
      </c>
      <c r="C1723" s="365" t="str">
        <f>CONCATENATE("EXP",Commodities!C56,"B",RIGHT(OILTrade!$U$74,2))</f>
        <v>EXPMTHB</v>
      </c>
      <c r="D1723" s="365" t="str">
        <f>CONCATENATE("Export Barge/Vessel Trade of ",Commodities!C56, " from ",$B$1715," to R",RIGHT(C1723))</f>
        <v>Export Barge/Vessel Trade of MTH from *R5 to RB</v>
      </c>
      <c r="E1723" s="381" t="s">
        <v>384</v>
      </c>
      <c r="F1723" s="381" t="s">
        <v>505</v>
      </c>
    </row>
    <row r="1724" spans="2:6">
      <c r="B1724" s="365" t="s">
        <v>1088</v>
      </c>
      <c r="C1724" s="365" t="str">
        <f>CONCATENATE("EXP",Commodities!C57,"B",RIGHT(OILTrade!$U$74,2))</f>
        <v>EXPPFSB</v>
      </c>
      <c r="D1724" s="365" t="str">
        <f>CONCATENATE("Export Barge/Vessel Trade of ",Commodities!C57, " from ",$B$1715," to R",RIGHT(C1724))</f>
        <v>Export Barge/Vessel Trade of PFS from *R5 to RB</v>
      </c>
      <c r="E1724" s="381" t="s">
        <v>384</v>
      </c>
      <c r="F1724" s="381" t="s">
        <v>505</v>
      </c>
    </row>
    <row r="1725" spans="2:6">
      <c r="B1725" s="365" t="s">
        <v>1088</v>
      </c>
      <c r="C1725" s="365" t="str">
        <f>CONCATENATE("EXP",Commodities!C58,"B",RIGHT(OILTrade!$U$74,2))</f>
        <v>EXPRFHB</v>
      </c>
      <c r="D1725" s="365" t="str">
        <f>CONCATENATE("Export Barge/Vessel Trade of ",Commodities!C58, " from ",$B$1715," to R",RIGHT(C1725))</f>
        <v>Export Barge/Vessel Trade of RFH from *R5 to RB</v>
      </c>
      <c r="E1725" s="381" t="s">
        <v>384</v>
      </c>
      <c r="F1725" s="381" t="s">
        <v>505</v>
      </c>
    </row>
    <row r="1726" spans="2:6">
      <c r="B1726" s="365" t="s">
        <v>1088</v>
      </c>
      <c r="C1726" s="365" t="str">
        <f>CONCATENATE("EXP",Commodities!C59,"B",RIGHT(OILTrade!$U$74,2))</f>
        <v>EXPRFLB</v>
      </c>
      <c r="D1726" s="365" t="str">
        <f>CONCATENATE("Export Barge/Vessel Trade of ",Commodities!C59, " from ",$B$1715," to R",RIGHT(C1726))</f>
        <v>Export Barge/Vessel Trade of RFL from *R5 to RB</v>
      </c>
      <c r="E1726" s="381" t="s">
        <v>384</v>
      </c>
      <c r="F1726" s="381" t="s">
        <v>505</v>
      </c>
    </row>
    <row r="1727" spans="2:6">
      <c r="B1727" s="365" t="s">
        <v>1088</v>
      </c>
      <c r="C1727" s="365" t="str">
        <f>CONCATENATE("EXP",Commodities!C60,"B",RIGHT(OILTrade!$U$74,2))</f>
        <v>EXPASPB</v>
      </c>
      <c r="D1727" s="365" t="str">
        <f>CONCATENATE("Export Barge/Vessel Trade of ",Commodities!C60, " from ",$B$1715," to R",RIGHT(C1727))</f>
        <v>Export Barge/Vessel Trade of ASP from *R5 to RB</v>
      </c>
      <c r="E1727" s="381" t="s">
        <v>384</v>
      </c>
      <c r="F1727" s="381" t="s">
        <v>505</v>
      </c>
    </row>
    <row r="1728" spans="2:6">
      <c r="B1728" s="365" t="s">
        <v>1089</v>
      </c>
      <c r="C1728" s="365" t="str">
        <f>CONCATENATE("EXP",Commodities!C48,"B",RIGHT(OILTrade!$O$75,2))</f>
        <v>EXPGSCB</v>
      </c>
      <c r="D1728" s="365" t="str">
        <f>CONCATENATE("Export Barge/Vessel Trade of ",Commodities!C48, " from ",$B$1728," to R",RIGHT(C1728))</f>
        <v>Export Barge/Vessel Trade of GSC from *R6 to RB</v>
      </c>
      <c r="E1728" s="381" t="s">
        <v>384</v>
      </c>
      <c r="F1728" s="381" t="s">
        <v>505</v>
      </c>
    </row>
    <row r="1729" spans="2:6">
      <c r="B1729" s="365" t="s">
        <v>1089</v>
      </c>
      <c r="C1729" s="365" t="str">
        <f>CONCATENATE("EXP",Commodities!C49,"B",RIGHT(OILTrade!$O$75,2))</f>
        <v>EXPGSRB</v>
      </c>
      <c r="D1729" s="365" t="str">
        <f>CONCATENATE("Export Barge/Vessel Trade of ",Commodities!C49, " from ",$B$1728," to R",RIGHT(C1729))</f>
        <v>Export Barge/Vessel Trade of GSR from *R6 to RB</v>
      </c>
      <c r="E1729" s="381" t="s">
        <v>384</v>
      </c>
      <c r="F1729" s="381" t="s">
        <v>505</v>
      </c>
    </row>
    <row r="1730" spans="2:6">
      <c r="B1730" s="365" t="s">
        <v>1089</v>
      </c>
      <c r="C1730" s="365" t="str">
        <f>CONCATENATE("EXP",Commodities!C50,"B",RIGHT(OILTrade!$O$75,2))</f>
        <v>EXPDSHB</v>
      </c>
      <c r="D1730" s="365" t="str">
        <f>CONCATENATE("Export Barge/Vessel Trade of ",Commodities!C50, " from ",$B$1728," to R",RIGHT(C1730))</f>
        <v>Export Barge/Vessel Trade of DSH from *R6 to RB</v>
      </c>
      <c r="E1730" s="381" t="s">
        <v>384</v>
      </c>
      <c r="F1730" s="381" t="s">
        <v>505</v>
      </c>
    </row>
    <row r="1731" spans="2:6">
      <c r="B1731" s="365" t="s">
        <v>1089</v>
      </c>
      <c r="C1731" s="365" t="str">
        <f>CONCATENATE("EXP",Commodities!C51,"B",RIGHT(OILTrade!$O$75,2))</f>
        <v>EXPDSLB</v>
      </c>
      <c r="D1731" s="365" t="str">
        <f>CONCATENATE("Export Barge/Vessel Trade of ",Commodities!C51, " from ",$B$1728," to R",RIGHT(C1731))</f>
        <v>Export Barge/Vessel Trade of DSL from *R6 to RB</v>
      </c>
      <c r="E1731" s="381" t="s">
        <v>384</v>
      </c>
      <c r="F1731" s="381" t="s">
        <v>505</v>
      </c>
    </row>
    <row r="1732" spans="2:6">
      <c r="B1732" s="365" t="s">
        <v>1089</v>
      </c>
      <c r="C1732" s="365" t="str">
        <f>CONCATENATE("EXP",Commodities!C52,"B",RIGHT(OILTrade!$O$75,2))</f>
        <v>EXPDSUB</v>
      </c>
      <c r="D1732" s="365" t="str">
        <f>CONCATENATE("Export Barge/Vessel Trade of ",Commodities!C52, " from ",$B$1728," to R",RIGHT(C1732))</f>
        <v>Export Barge/Vessel Trade of DSU from *R6 to RB</v>
      </c>
      <c r="E1732" s="381" t="s">
        <v>384</v>
      </c>
      <c r="F1732" s="381" t="s">
        <v>505</v>
      </c>
    </row>
    <row r="1733" spans="2:6">
      <c r="B1733" s="365" t="s">
        <v>1089</v>
      </c>
      <c r="C1733" s="365" t="str">
        <f>CONCATENATE("EXP",Commodities!C53,"B",RIGHT(OILTrade!$O$75,2))</f>
        <v>EXPJTFB</v>
      </c>
      <c r="D1733" s="365" t="str">
        <f>CONCATENATE("Export Barge/Vessel Trade of ",Commodities!C53, " from ",$B$1728," to R",RIGHT(C1733))</f>
        <v>Export Barge/Vessel Trade of JTF from *R6 to RB</v>
      </c>
      <c r="E1733" s="381" t="s">
        <v>384</v>
      </c>
      <c r="F1733" s="381" t="s">
        <v>505</v>
      </c>
    </row>
    <row r="1734" spans="2:6">
      <c r="B1734" s="365" t="s">
        <v>1089</v>
      </c>
      <c r="C1734" s="365" t="str">
        <f>CONCATENATE("EXP",Commodities!C54,"B",RIGHT(OILTrade!$O$75,2))</f>
        <v>EXPKERB</v>
      </c>
      <c r="D1734" s="365" t="str">
        <f>CONCATENATE("Export Barge/Vessel Trade of ",Commodities!C54, " from ",$B$1728," to R",RIGHT(C1734))</f>
        <v>Export Barge/Vessel Trade of KER from *R6 to RB</v>
      </c>
      <c r="E1734" s="381" t="s">
        <v>384</v>
      </c>
      <c r="F1734" s="381" t="s">
        <v>505</v>
      </c>
    </row>
    <row r="1735" spans="2:6">
      <c r="B1735" s="365" t="s">
        <v>1089</v>
      </c>
      <c r="C1735" s="365" t="str">
        <f>CONCATENATE("EXP",Commodities!C55,"B",RIGHT(OILTrade!$O$75,2))</f>
        <v>EXPLPGB</v>
      </c>
      <c r="D1735" s="365" t="str">
        <f>CONCATENATE("Export Barge/Vessel Trade of ",Commodities!C55, " from ",$B$1728," to R",RIGHT(C1735))</f>
        <v>Export Barge/Vessel Trade of LPG from *R6 to RB</v>
      </c>
      <c r="E1735" s="381" t="s">
        <v>384</v>
      </c>
      <c r="F1735" s="381" t="s">
        <v>505</v>
      </c>
    </row>
    <row r="1736" spans="2:6">
      <c r="B1736" s="365" t="s">
        <v>1089</v>
      </c>
      <c r="C1736" s="365" t="str">
        <f>CONCATENATE("EXP",Commodities!C56,"B",RIGHT(OILTrade!$O$75,2))</f>
        <v>EXPMTHB</v>
      </c>
      <c r="D1736" s="365" t="str">
        <f>CONCATENATE("Export Barge/Vessel Trade of ",Commodities!C56, " from ",$B$1728," to R",RIGHT(C1736))</f>
        <v>Export Barge/Vessel Trade of MTH from *R6 to RB</v>
      </c>
      <c r="E1736" s="381" t="s">
        <v>384</v>
      </c>
      <c r="F1736" s="381" t="s">
        <v>505</v>
      </c>
    </row>
    <row r="1737" spans="2:6">
      <c r="B1737" s="365" t="s">
        <v>1089</v>
      </c>
      <c r="C1737" s="365" t="str">
        <f>CONCATENATE("EXP",Commodities!C57,"B",RIGHT(OILTrade!$O$75,2))</f>
        <v>EXPPFSB</v>
      </c>
      <c r="D1737" s="365" t="str">
        <f>CONCATENATE("Export Barge/Vessel Trade of ",Commodities!C57, " from ",$B$1728," to R",RIGHT(C1737))</f>
        <v>Export Barge/Vessel Trade of PFS from *R6 to RB</v>
      </c>
      <c r="E1737" s="381" t="s">
        <v>384</v>
      </c>
      <c r="F1737" s="381" t="s">
        <v>505</v>
      </c>
    </row>
    <row r="1738" spans="2:6">
      <c r="B1738" s="365" t="s">
        <v>1089</v>
      </c>
      <c r="C1738" s="365" t="str">
        <f>CONCATENATE("EXP",Commodities!C58,"B",RIGHT(OILTrade!$O$75,2))</f>
        <v>EXPRFHB</v>
      </c>
      <c r="D1738" s="365" t="str">
        <f>CONCATENATE("Export Barge/Vessel Trade of ",Commodities!C58, " from ",$B$1728," to R",RIGHT(C1738))</f>
        <v>Export Barge/Vessel Trade of RFH from *R6 to RB</v>
      </c>
      <c r="E1738" s="381" t="s">
        <v>384</v>
      </c>
      <c r="F1738" s="381" t="s">
        <v>505</v>
      </c>
    </row>
    <row r="1739" spans="2:6">
      <c r="B1739" s="365" t="s">
        <v>1089</v>
      </c>
      <c r="C1739" s="365" t="str">
        <f>CONCATENATE("EXP",Commodities!C59,"B",RIGHT(OILTrade!$O$75,2))</f>
        <v>EXPRFLB</v>
      </c>
      <c r="D1739" s="365" t="str">
        <f>CONCATENATE("Export Barge/Vessel Trade of ",Commodities!C59, " from ",$B$1728," to R",RIGHT(C1739))</f>
        <v>Export Barge/Vessel Trade of RFL from *R6 to RB</v>
      </c>
      <c r="E1739" s="381" t="s">
        <v>384</v>
      </c>
      <c r="F1739" s="381" t="s">
        <v>505</v>
      </c>
    </row>
    <row r="1740" spans="2:6">
      <c r="B1740" s="365" t="s">
        <v>1089</v>
      </c>
      <c r="C1740" s="365" t="str">
        <f>CONCATENATE("EXP",Commodities!C60,"B",RIGHT(OILTrade!$O$75,2))</f>
        <v>EXPASPB</v>
      </c>
      <c r="D1740" s="365" t="str">
        <f>CONCATENATE("Export Barge/Vessel Trade of ",Commodities!C60, " from ",$B$1728," to R",RIGHT(C1740))</f>
        <v>Export Barge/Vessel Trade of ASP from *R6 to RB</v>
      </c>
      <c r="E1740" s="381" t="s">
        <v>384</v>
      </c>
      <c r="F1740" s="381" t="s">
        <v>505</v>
      </c>
    </row>
    <row r="1741" spans="2:6">
      <c r="B1741" s="365" t="s">
        <v>1089</v>
      </c>
      <c r="C1741" s="365" t="str">
        <f>CONCATENATE("EXP",Commodities!C48,"B",RIGHT(OILTrade!$P$75,2))</f>
        <v>EXPGSCB62</v>
      </c>
      <c r="D1741" s="365" t="str">
        <f>CONCATENATE("Export Barge/Vessel Trade of ",Commodities!C48, " from ",$B$1741," to R",RIGHT(C1741))</f>
        <v>Export Barge/Vessel Trade of GSC from *R6 to R2</v>
      </c>
      <c r="E1741" s="381" t="s">
        <v>384</v>
      </c>
      <c r="F1741" s="381" t="s">
        <v>505</v>
      </c>
    </row>
    <row r="1742" spans="2:6">
      <c r="B1742" s="365" t="s">
        <v>1089</v>
      </c>
      <c r="C1742" s="365" t="str">
        <f>CONCATENATE("EXP",Commodities!C49,"B",RIGHT(OILTrade!$P$75,2))</f>
        <v>EXPGSRB62</v>
      </c>
      <c r="D1742" s="365" t="str">
        <f>CONCATENATE("Export Barge/Vessel Trade of ",Commodities!C49, " from ",$B$1741," to R",RIGHT(C1742))</f>
        <v>Export Barge/Vessel Trade of GSR from *R6 to R2</v>
      </c>
      <c r="E1742" s="381" t="s">
        <v>384</v>
      </c>
      <c r="F1742" s="381" t="s">
        <v>505</v>
      </c>
    </row>
    <row r="1743" spans="2:6">
      <c r="B1743" s="365" t="s">
        <v>1089</v>
      </c>
      <c r="C1743" s="365" t="str">
        <f>CONCATENATE("EXP",Commodities!C50,"B",RIGHT(OILTrade!$P$75,2))</f>
        <v>EXPDSHB62</v>
      </c>
      <c r="D1743" s="365" t="str">
        <f>CONCATENATE("Export Barge/Vessel Trade of ",Commodities!C50, " from ",$B$1741," to R",RIGHT(C1743))</f>
        <v>Export Barge/Vessel Trade of DSH from *R6 to R2</v>
      </c>
      <c r="E1743" s="381" t="s">
        <v>384</v>
      </c>
      <c r="F1743" s="381" t="s">
        <v>505</v>
      </c>
    </row>
    <row r="1744" spans="2:6">
      <c r="B1744" s="365" t="s">
        <v>1089</v>
      </c>
      <c r="C1744" s="365" t="str">
        <f>CONCATENATE("EXP",Commodities!C51,"B",RIGHT(OILTrade!$P$75,2))</f>
        <v>EXPDSLB62</v>
      </c>
      <c r="D1744" s="365" t="str">
        <f>CONCATENATE("Export Barge/Vessel Trade of ",Commodities!C51, " from ",$B$1741," to R",RIGHT(C1744))</f>
        <v>Export Barge/Vessel Trade of DSL from *R6 to R2</v>
      </c>
      <c r="E1744" s="381" t="s">
        <v>384</v>
      </c>
      <c r="F1744" s="381" t="s">
        <v>505</v>
      </c>
    </row>
    <row r="1745" spans="2:6">
      <c r="B1745" s="365" t="s">
        <v>1089</v>
      </c>
      <c r="C1745" s="365" t="str">
        <f>CONCATENATE("EXP",Commodities!C52,"B",RIGHT(OILTrade!$P$75,2))</f>
        <v>EXPDSUB62</v>
      </c>
      <c r="D1745" s="365" t="str">
        <f>CONCATENATE("Export Barge/Vessel Trade of ",Commodities!C52, " from ",$B$1741," to R",RIGHT(C1745))</f>
        <v>Export Barge/Vessel Trade of DSU from *R6 to R2</v>
      </c>
      <c r="E1745" s="381" t="s">
        <v>384</v>
      </c>
      <c r="F1745" s="381" t="s">
        <v>505</v>
      </c>
    </row>
    <row r="1746" spans="2:6">
      <c r="B1746" s="365" t="s">
        <v>1089</v>
      </c>
      <c r="C1746" s="365" t="str">
        <f>CONCATENATE("EXP",Commodities!C53,"B",RIGHT(OILTrade!$P$75,2))</f>
        <v>EXPJTFB62</v>
      </c>
      <c r="D1746" s="365" t="str">
        <f>CONCATENATE("Export Barge/Vessel Trade of ",Commodities!C53, " from ",$B$1741," to R",RIGHT(C1746))</f>
        <v>Export Barge/Vessel Trade of JTF from *R6 to R2</v>
      </c>
      <c r="E1746" s="381" t="s">
        <v>384</v>
      </c>
      <c r="F1746" s="381" t="s">
        <v>505</v>
      </c>
    </row>
    <row r="1747" spans="2:6">
      <c r="B1747" s="365" t="s">
        <v>1089</v>
      </c>
      <c r="C1747" s="365" t="str">
        <f>CONCATENATE("EXP",Commodities!C54,"B",RIGHT(OILTrade!$P$75,2))</f>
        <v>EXPKERB62</v>
      </c>
      <c r="D1747" s="365" t="str">
        <f>CONCATENATE("Export Barge/Vessel Trade of ",Commodities!C54, " from ",$B$1741," to R",RIGHT(C1747))</f>
        <v>Export Barge/Vessel Trade of KER from *R6 to R2</v>
      </c>
      <c r="E1747" s="381" t="s">
        <v>384</v>
      </c>
      <c r="F1747" s="381" t="s">
        <v>505</v>
      </c>
    </row>
    <row r="1748" spans="2:6">
      <c r="B1748" s="365" t="s">
        <v>1089</v>
      </c>
      <c r="C1748" s="365" t="str">
        <f>CONCATENATE("EXP",Commodities!C55,"B",RIGHT(OILTrade!$P$75,2))</f>
        <v>EXPLPGB62</v>
      </c>
      <c r="D1748" s="365" t="str">
        <f>CONCATENATE("Export Barge/Vessel Trade of ",Commodities!C55, " from ",$B$1741," to R",RIGHT(C1748))</f>
        <v>Export Barge/Vessel Trade of LPG from *R6 to R2</v>
      </c>
      <c r="E1748" s="381" t="s">
        <v>384</v>
      </c>
      <c r="F1748" s="381" t="s">
        <v>505</v>
      </c>
    </row>
    <row r="1749" spans="2:6">
      <c r="B1749" s="365" t="s">
        <v>1089</v>
      </c>
      <c r="C1749" s="365" t="str">
        <f>CONCATENATE("EXP",Commodities!C56,"B",RIGHT(OILTrade!$P$75,2))</f>
        <v>EXPMTHB62</v>
      </c>
      <c r="D1749" s="365" t="str">
        <f>CONCATENATE("Export Barge/Vessel Trade of ",Commodities!C56, " from ",$B$1741," to R",RIGHT(C1749))</f>
        <v>Export Barge/Vessel Trade of MTH from *R6 to R2</v>
      </c>
      <c r="E1749" s="381" t="s">
        <v>384</v>
      </c>
      <c r="F1749" s="381" t="s">
        <v>505</v>
      </c>
    </row>
    <row r="1750" spans="2:6">
      <c r="B1750" s="365" t="s">
        <v>1089</v>
      </c>
      <c r="C1750" s="365" t="str">
        <f>CONCATENATE("EXP",Commodities!C57,"B",RIGHT(OILTrade!$P$75,2))</f>
        <v>EXPPFSB62</v>
      </c>
      <c r="D1750" s="365" t="str">
        <f>CONCATENATE("Export Barge/Vessel Trade of ",Commodities!C57, " from ",$B$1741," to R",RIGHT(C1750))</f>
        <v>Export Barge/Vessel Trade of PFS from *R6 to R2</v>
      </c>
      <c r="E1750" s="381" t="s">
        <v>384</v>
      </c>
      <c r="F1750" s="381" t="s">
        <v>505</v>
      </c>
    </row>
    <row r="1751" spans="2:6">
      <c r="B1751" s="365" t="s">
        <v>1089</v>
      </c>
      <c r="C1751" s="365" t="str">
        <f>CONCATENATE("EXP",Commodities!C58,"B",RIGHT(OILTrade!$P$75,2))</f>
        <v>EXPRFHB62</v>
      </c>
      <c r="D1751" s="365" t="str">
        <f>CONCATENATE("Export Barge/Vessel Trade of ",Commodities!C58, " from ",$B$1741," to R",RIGHT(C1751))</f>
        <v>Export Barge/Vessel Trade of RFH from *R6 to R2</v>
      </c>
      <c r="E1751" s="381" t="s">
        <v>384</v>
      </c>
      <c r="F1751" s="381" t="s">
        <v>505</v>
      </c>
    </row>
    <row r="1752" spans="2:6">
      <c r="B1752" s="365" t="s">
        <v>1089</v>
      </c>
      <c r="C1752" s="365" t="str">
        <f>CONCATENATE("EXP",Commodities!C59,"B",RIGHT(OILTrade!$P$75,2))</f>
        <v>EXPRFLB62</v>
      </c>
      <c r="D1752" s="365" t="str">
        <f>CONCATENATE("Export Barge/Vessel Trade of ",Commodities!C59, " from ",$B$1741," to R",RIGHT(C1752))</f>
        <v>Export Barge/Vessel Trade of RFL from *R6 to R2</v>
      </c>
      <c r="E1752" s="381" t="s">
        <v>384</v>
      </c>
      <c r="F1752" s="381" t="s">
        <v>505</v>
      </c>
    </row>
    <row r="1753" spans="2:6">
      <c r="B1753" s="365" t="s">
        <v>1089</v>
      </c>
      <c r="C1753" s="365" t="str">
        <f>CONCATENATE("EXP",Commodities!C60,"B",RIGHT(OILTrade!$P$75,2))</f>
        <v>EXPASPB62</v>
      </c>
      <c r="D1753" s="365" t="str">
        <f>CONCATENATE("Export Barge/Vessel Trade of ",Commodities!C60, " from ",$B$1741," to R",RIGHT(C1753))</f>
        <v>Export Barge/Vessel Trade of ASP from *R6 to R2</v>
      </c>
      <c r="E1753" s="381" t="s">
        <v>384</v>
      </c>
      <c r="F1753" s="381" t="s">
        <v>505</v>
      </c>
    </row>
    <row r="1754" spans="2:6">
      <c r="B1754" s="365" t="s">
        <v>1089</v>
      </c>
      <c r="C1754" s="365" t="str">
        <f>CONCATENATE("EXP",Commodities!C48,"B",RIGHT(OILTrade!$Q$75,2))</f>
        <v>EXPGSCB63</v>
      </c>
      <c r="D1754" s="365" t="str">
        <f>CONCATENATE("Export Barge/Vessel Trade of ",Commodities!C48, " from ",$B$1754," to R",RIGHT(C1754))</f>
        <v>Export Barge/Vessel Trade of GSC from *R6 to R3</v>
      </c>
      <c r="E1754" s="381" t="s">
        <v>384</v>
      </c>
      <c r="F1754" s="381" t="s">
        <v>505</v>
      </c>
    </row>
    <row r="1755" spans="2:6">
      <c r="B1755" s="365" t="s">
        <v>1089</v>
      </c>
      <c r="C1755" s="365" t="str">
        <f>CONCATENATE("EXP",Commodities!C49,"B",RIGHT(OILTrade!$Q$75,2))</f>
        <v>EXPGSRB63</v>
      </c>
      <c r="D1755" s="365" t="str">
        <f>CONCATENATE("Export Barge/Vessel Trade of ",Commodities!C49, " from ",$B$1754," to R",RIGHT(C1755))</f>
        <v>Export Barge/Vessel Trade of GSR from *R6 to R3</v>
      </c>
      <c r="E1755" s="381" t="s">
        <v>384</v>
      </c>
      <c r="F1755" s="381" t="s">
        <v>505</v>
      </c>
    </row>
    <row r="1756" spans="2:6">
      <c r="B1756" s="365" t="s">
        <v>1089</v>
      </c>
      <c r="C1756" s="365" t="str">
        <f>CONCATENATE("EXP",Commodities!C50,"B",RIGHT(OILTrade!$Q$75,2))</f>
        <v>EXPDSHB63</v>
      </c>
      <c r="D1756" s="365" t="str">
        <f>CONCATENATE("Export Barge/Vessel Trade of ",Commodities!C50, " from ",$B$1754," to R",RIGHT(C1756))</f>
        <v>Export Barge/Vessel Trade of DSH from *R6 to R3</v>
      </c>
      <c r="E1756" s="381" t="s">
        <v>384</v>
      </c>
      <c r="F1756" s="381" t="s">
        <v>505</v>
      </c>
    </row>
    <row r="1757" spans="2:6">
      <c r="B1757" s="365" t="s">
        <v>1089</v>
      </c>
      <c r="C1757" s="365" t="str">
        <f>CONCATENATE("EXP",Commodities!C51,"B",RIGHT(OILTrade!$Q$75,2))</f>
        <v>EXPDSLB63</v>
      </c>
      <c r="D1757" s="365" t="str">
        <f>CONCATENATE("Export Barge/Vessel Trade of ",Commodities!C51, " from ",$B$1754," to R",RIGHT(C1757))</f>
        <v>Export Barge/Vessel Trade of DSL from *R6 to R3</v>
      </c>
      <c r="E1757" s="381" t="s">
        <v>384</v>
      </c>
      <c r="F1757" s="381" t="s">
        <v>505</v>
      </c>
    </row>
    <row r="1758" spans="2:6">
      <c r="B1758" s="365" t="s">
        <v>1089</v>
      </c>
      <c r="C1758" s="365" t="str">
        <f>CONCATENATE("EXP",Commodities!C52,"B",RIGHT(OILTrade!$Q$75,2))</f>
        <v>EXPDSUB63</v>
      </c>
      <c r="D1758" s="365" t="str">
        <f>CONCATENATE("Export Barge/Vessel Trade of ",Commodities!C52, " from ",$B$1754," to R",RIGHT(C1758))</f>
        <v>Export Barge/Vessel Trade of DSU from *R6 to R3</v>
      </c>
      <c r="E1758" s="381" t="s">
        <v>384</v>
      </c>
      <c r="F1758" s="381" t="s">
        <v>505</v>
      </c>
    </row>
    <row r="1759" spans="2:6">
      <c r="B1759" s="365" t="s">
        <v>1089</v>
      </c>
      <c r="C1759" s="365" t="str">
        <f>CONCATENATE("EXP",Commodities!C53,"B",RIGHT(OILTrade!$Q$75,2))</f>
        <v>EXPJTFB63</v>
      </c>
      <c r="D1759" s="365" t="str">
        <f>CONCATENATE("Export Barge/Vessel Trade of ",Commodities!C53, " from ",$B$1754," to R",RIGHT(C1759))</f>
        <v>Export Barge/Vessel Trade of JTF from *R6 to R3</v>
      </c>
      <c r="E1759" s="381" t="s">
        <v>384</v>
      </c>
      <c r="F1759" s="381" t="s">
        <v>505</v>
      </c>
    </row>
    <row r="1760" spans="2:6">
      <c r="B1760" s="365" t="s">
        <v>1089</v>
      </c>
      <c r="C1760" s="365" t="str">
        <f>CONCATENATE("EXP",Commodities!C54,"B",RIGHT(OILTrade!$Q$75,2))</f>
        <v>EXPKERB63</v>
      </c>
      <c r="D1760" s="365" t="str">
        <f>CONCATENATE("Export Barge/Vessel Trade of ",Commodities!C54, " from ",$B$1754," to R",RIGHT(C1760))</f>
        <v>Export Barge/Vessel Trade of KER from *R6 to R3</v>
      </c>
      <c r="E1760" s="381" t="s">
        <v>384</v>
      </c>
      <c r="F1760" s="381" t="s">
        <v>505</v>
      </c>
    </row>
    <row r="1761" spans="2:6">
      <c r="B1761" s="365" t="s">
        <v>1089</v>
      </c>
      <c r="C1761" s="365" t="str">
        <f>CONCATENATE("EXP",Commodities!C55,"B",RIGHT(OILTrade!$Q$75,2))</f>
        <v>EXPLPGB63</v>
      </c>
      <c r="D1761" s="365" t="str">
        <f>CONCATENATE("Export Barge/Vessel Trade of ",Commodities!C55, " from ",$B$1754," to R",RIGHT(C1761))</f>
        <v>Export Barge/Vessel Trade of LPG from *R6 to R3</v>
      </c>
      <c r="E1761" s="381" t="s">
        <v>384</v>
      </c>
      <c r="F1761" s="381" t="s">
        <v>505</v>
      </c>
    </row>
    <row r="1762" spans="2:6">
      <c r="B1762" s="365" t="s">
        <v>1089</v>
      </c>
      <c r="C1762" s="365" t="str">
        <f>CONCATENATE("EXP",Commodities!C56,"B",RIGHT(OILTrade!$Q$75,2))</f>
        <v>EXPMTHB63</v>
      </c>
      <c r="D1762" s="365" t="str">
        <f>CONCATENATE("Export Barge/Vessel Trade of ",Commodities!C56, " from ",$B$1754," to R",RIGHT(C1762))</f>
        <v>Export Barge/Vessel Trade of MTH from *R6 to R3</v>
      </c>
      <c r="E1762" s="381" t="s">
        <v>384</v>
      </c>
      <c r="F1762" s="381" t="s">
        <v>505</v>
      </c>
    </row>
    <row r="1763" spans="2:6">
      <c r="B1763" s="365" t="s">
        <v>1089</v>
      </c>
      <c r="C1763" s="365" t="str">
        <f>CONCATENATE("EXP",Commodities!C57,"B",RIGHT(OILTrade!$Q$75,2))</f>
        <v>EXPPFSB63</v>
      </c>
      <c r="D1763" s="365" t="str">
        <f>CONCATENATE("Export Barge/Vessel Trade of ",Commodities!C57, " from ",$B$1754," to R",RIGHT(C1763))</f>
        <v>Export Barge/Vessel Trade of PFS from *R6 to R3</v>
      </c>
      <c r="E1763" s="381" t="s">
        <v>384</v>
      </c>
      <c r="F1763" s="381" t="s">
        <v>505</v>
      </c>
    </row>
    <row r="1764" spans="2:6">
      <c r="B1764" s="365" t="s">
        <v>1089</v>
      </c>
      <c r="C1764" s="365" t="str">
        <f>CONCATENATE("EXP",Commodities!C58,"B",RIGHT(OILTrade!$Q$75,2))</f>
        <v>EXPRFHB63</v>
      </c>
      <c r="D1764" s="365" t="str">
        <f>CONCATENATE("Export Barge/Vessel Trade of ",Commodities!C58, " from ",$B$1754," to R",RIGHT(C1764))</f>
        <v>Export Barge/Vessel Trade of RFH from *R6 to R3</v>
      </c>
      <c r="E1764" s="381" t="s">
        <v>384</v>
      </c>
      <c r="F1764" s="381" t="s">
        <v>505</v>
      </c>
    </row>
    <row r="1765" spans="2:6">
      <c r="B1765" s="365" t="s">
        <v>1089</v>
      </c>
      <c r="C1765" s="365" t="str">
        <f>CONCATENATE("EXP",Commodities!C59,"B",RIGHT(OILTrade!$Q$75,2))</f>
        <v>EXPRFLB63</v>
      </c>
      <c r="D1765" s="365" t="str">
        <f>CONCATENATE("Export Barge/Vessel Trade of ",Commodities!C59, " from ",$B$1754," to R",RIGHT(C1765))</f>
        <v>Export Barge/Vessel Trade of RFL from *R6 to R3</v>
      </c>
      <c r="E1765" s="381" t="s">
        <v>384</v>
      </c>
      <c r="F1765" s="381" t="s">
        <v>505</v>
      </c>
    </row>
    <row r="1766" spans="2:6">
      <c r="B1766" s="365" t="s">
        <v>1089</v>
      </c>
      <c r="C1766" s="365" t="str">
        <f>CONCATENATE("EXP",Commodities!C60,"B",RIGHT(OILTrade!$Q$75,2))</f>
        <v>EXPASPB63</v>
      </c>
      <c r="D1766" s="365" t="str">
        <f>CONCATENATE("Export Barge/Vessel Trade of ",Commodities!C60, " from ",$B$1754," to R",RIGHT(C1766))</f>
        <v>Export Barge/Vessel Trade of ASP from *R6 to R3</v>
      </c>
      <c r="E1766" s="381" t="s">
        <v>384</v>
      </c>
      <c r="F1766" s="381" t="s">
        <v>505</v>
      </c>
    </row>
    <row r="1767" spans="2:6">
      <c r="B1767" s="365" t="s">
        <v>1089</v>
      </c>
      <c r="C1767" s="365" t="str">
        <f>CONCATENATE("EXP",Commodities!C48,"B",RIGHT(OILTrade!$R$75,2))</f>
        <v>EXPGSCB64</v>
      </c>
      <c r="D1767" s="365" t="str">
        <f>CONCATENATE("Export Barge/Vessel Trade of ",Commodities!C48, " from ",$B$1767," to R",RIGHT(C1767))</f>
        <v>Export Barge/Vessel Trade of GSC from *R6 to R4</v>
      </c>
      <c r="E1767" s="381" t="s">
        <v>384</v>
      </c>
      <c r="F1767" s="381" t="s">
        <v>505</v>
      </c>
    </row>
    <row r="1768" spans="2:6">
      <c r="B1768" s="365" t="s">
        <v>1089</v>
      </c>
      <c r="C1768" s="365" t="str">
        <f>CONCATENATE("EXP",Commodities!C49,"B",RIGHT(OILTrade!$R$75,2))</f>
        <v>EXPGSRB64</v>
      </c>
      <c r="D1768" s="365" t="str">
        <f>CONCATENATE("Export Barge/Vessel Trade of ",Commodities!C49, " from ",$B$1767," to R",RIGHT(C1768))</f>
        <v>Export Barge/Vessel Trade of GSR from *R6 to R4</v>
      </c>
      <c r="E1768" s="381" t="s">
        <v>384</v>
      </c>
      <c r="F1768" s="381" t="s">
        <v>505</v>
      </c>
    </row>
    <row r="1769" spans="2:6">
      <c r="B1769" s="365" t="s">
        <v>1089</v>
      </c>
      <c r="C1769" s="365" t="str">
        <f>CONCATENATE("EXP",Commodities!C50,"B",RIGHT(OILTrade!$R$75,2))</f>
        <v>EXPDSHB64</v>
      </c>
      <c r="D1769" s="365" t="str">
        <f>CONCATENATE("Export Barge/Vessel Trade of ",Commodities!C50, " from ",$B$1767," to R",RIGHT(C1769))</f>
        <v>Export Barge/Vessel Trade of DSH from *R6 to R4</v>
      </c>
      <c r="E1769" s="381" t="s">
        <v>384</v>
      </c>
      <c r="F1769" s="381" t="s">
        <v>505</v>
      </c>
    </row>
    <row r="1770" spans="2:6">
      <c r="B1770" s="365" t="s">
        <v>1089</v>
      </c>
      <c r="C1770" s="365" t="str">
        <f>CONCATENATE("EXP",Commodities!C51,"B",RIGHT(OILTrade!$R$75,2))</f>
        <v>EXPDSLB64</v>
      </c>
      <c r="D1770" s="365" t="str">
        <f>CONCATENATE("Export Barge/Vessel Trade of ",Commodities!C51, " from ",$B$1767," to R",RIGHT(C1770))</f>
        <v>Export Barge/Vessel Trade of DSL from *R6 to R4</v>
      </c>
      <c r="E1770" s="381" t="s">
        <v>384</v>
      </c>
      <c r="F1770" s="381" t="s">
        <v>505</v>
      </c>
    </row>
    <row r="1771" spans="2:6">
      <c r="B1771" s="365" t="s">
        <v>1089</v>
      </c>
      <c r="C1771" s="365" t="str">
        <f>CONCATENATE("EXP",Commodities!C52,"B",RIGHT(OILTrade!$R$75,2))</f>
        <v>EXPDSUB64</v>
      </c>
      <c r="D1771" s="365" t="str">
        <f>CONCATENATE("Export Barge/Vessel Trade of ",Commodities!C52, " from ",$B$1767," to R",RIGHT(C1771))</f>
        <v>Export Barge/Vessel Trade of DSU from *R6 to R4</v>
      </c>
      <c r="E1771" s="381" t="s">
        <v>384</v>
      </c>
      <c r="F1771" s="381" t="s">
        <v>505</v>
      </c>
    </row>
    <row r="1772" spans="2:6">
      <c r="B1772" s="365" t="s">
        <v>1089</v>
      </c>
      <c r="C1772" s="365" t="str">
        <f>CONCATENATE("EXP",Commodities!C53,"B",RIGHT(OILTrade!$R$75,2))</f>
        <v>EXPJTFB64</v>
      </c>
      <c r="D1772" s="365" t="str">
        <f>CONCATENATE("Export Barge/Vessel Trade of ",Commodities!C53, " from ",$B$1767," to R",RIGHT(C1772))</f>
        <v>Export Barge/Vessel Trade of JTF from *R6 to R4</v>
      </c>
      <c r="E1772" s="381" t="s">
        <v>384</v>
      </c>
      <c r="F1772" s="381" t="s">
        <v>505</v>
      </c>
    </row>
    <row r="1773" spans="2:6">
      <c r="B1773" s="365" t="s">
        <v>1089</v>
      </c>
      <c r="C1773" s="365" t="str">
        <f>CONCATENATE("EXP",Commodities!C54,"B",RIGHT(OILTrade!$R$75,2))</f>
        <v>EXPKERB64</v>
      </c>
      <c r="D1773" s="365" t="str">
        <f>CONCATENATE("Export Barge/Vessel Trade of ",Commodities!C54, " from ",$B$1767," to R",RIGHT(C1773))</f>
        <v>Export Barge/Vessel Trade of KER from *R6 to R4</v>
      </c>
      <c r="E1773" s="381" t="s">
        <v>384</v>
      </c>
      <c r="F1773" s="381" t="s">
        <v>505</v>
      </c>
    </row>
    <row r="1774" spans="2:6">
      <c r="B1774" s="365" t="s">
        <v>1089</v>
      </c>
      <c r="C1774" s="365" t="str">
        <f>CONCATENATE("EXP",Commodities!C55,"B",RIGHT(OILTrade!$R$75,2))</f>
        <v>EXPLPGB64</v>
      </c>
      <c r="D1774" s="365" t="str">
        <f>CONCATENATE("Export Barge/Vessel Trade of ",Commodities!C55, " from ",$B$1767," to R",RIGHT(C1774))</f>
        <v>Export Barge/Vessel Trade of LPG from *R6 to R4</v>
      </c>
      <c r="E1774" s="381" t="s">
        <v>384</v>
      </c>
      <c r="F1774" s="381" t="s">
        <v>505</v>
      </c>
    </row>
    <row r="1775" spans="2:6">
      <c r="B1775" s="365" t="s">
        <v>1089</v>
      </c>
      <c r="C1775" s="365" t="str">
        <f>CONCATENATE("EXP",Commodities!C56,"B",RIGHT(OILTrade!$R$75,2))</f>
        <v>EXPMTHB64</v>
      </c>
      <c r="D1775" s="365" t="str">
        <f>CONCATENATE("Export Barge/Vessel Trade of ",Commodities!C56, " from ",$B$1767," to R",RIGHT(C1775))</f>
        <v>Export Barge/Vessel Trade of MTH from *R6 to R4</v>
      </c>
      <c r="E1775" s="381" t="s">
        <v>384</v>
      </c>
      <c r="F1775" s="381" t="s">
        <v>505</v>
      </c>
    </row>
    <row r="1776" spans="2:6">
      <c r="B1776" s="365" t="s">
        <v>1089</v>
      </c>
      <c r="C1776" s="365" t="str">
        <f>CONCATENATE("EXP",Commodities!C57,"B",RIGHT(OILTrade!$R$75,2))</f>
        <v>EXPPFSB64</v>
      </c>
      <c r="D1776" s="365" t="str">
        <f>CONCATENATE("Export Barge/Vessel Trade of ",Commodities!C57, " from ",$B$1767," to R",RIGHT(C1776))</f>
        <v>Export Barge/Vessel Trade of PFS from *R6 to R4</v>
      </c>
      <c r="E1776" s="381" t="s">
        <v>384</v>
      </c>
      <c r="F1776" s="381" t="s">
        <v>505</v>
      </c>
    </row>
    <row r="1777" spans="2:6">
      <c r="B1777" s="365" t="s">
        <v>1089</v>
      </c>
      <c r="C1777" s="365" t="str">
        <f>CONCATENATE("EXP",Commodities!C58,"B",RIGHT(OILTrade!$R$75,2))</f>
        <v>EXPRFHB64</v>
      </c>
      <c r="D1777" s="365" t="str">
        <f>CONCATENATE("Export Barge/Vessel Trade of ",Commodities!C58, " from ",$B$1767," to R",RIGHT(C1777))</f>
        <v>Export Barge/Vessel Trade of RFH from *R6 to R4</v>
      </c>
      <c r="E1777" s="381" t="s">
        <v>384</v>
      </c>
      <c r="F1777" s="381" t="s">
        <v>505</v>
      </c>
    </row>
    <row r="1778" spans="2:6">
      <c r="B1778" s="365" t="s">
        <v>1089</v>
      </c>
      <c r="C1778" s="365" t="str">
        <f>CONCATENATE("EXP",Commodities!C59,"B",RIGHT(OILTrade!$R$75,2))</f>
        <v>EXPRFLB64</v>
      </c>
      <c r="D1778" s="365" t="str">
        <f>CONCATENATE("Export Barge/Vessel Trade of ",Commodities!C59, " from ",$B$1767," to R",RIGHT(C1778))</f>
        <v>Export Barge/Vessel Trade of RFL from *R6 to R4</v>
      </c>
      <c r="E1778" s="381" t="s">
        <v>384</v>
      </c>
      <c r="F1778" s="381" t="s">
        <v>505</v>
      </c>
    </row>
    <row r="1779" spans="2:6">
      <c r="B1779" s="365" t="s">
        <v>1089</v>
      </c>
      <c r="C1779" s="365" t="str">
        <f>CONCATENATE("EXP",Commodities!C60,"B",RIGHT(OILTrade!$R$75,2))</f>
        <v>EXPASPB64</v>
      </c>
      <c r="D1779" s="365" t="str">
        <f>CONCATENATE("Export Barge/Vessel Trade of ",Commodities!C60, " from ",$B$1767," to R",RIGHT(C1779))</f>
        <v>Export Barge/Vessel Trade of ASP from *R6 to R4</v>
      </c>
      <c r="E1779" s="381" t="s">
        <v>384</v>
      </c>
      <c r="F1779" s="381" t="s">
        <v>505</v>
      </c>
    </row>
    <row r="1780" spans="2:6">
      <c r="B1780" s="365" t="s">
        <v>1089</v>
      </c>
      <c r="C1780" s="365" t="str">
        <f>CONCATENATE("EXP",Commodities!C48,"B",RIGHT(OILTrade!$S$75,2))</f>
        <v>EXPGSCB</v>
      </c>
      <c r="D1780" s="365" t="str">
        <f>CONCATENATE("Export Barge/Vessel Trade of ",Commodities!C48, " from ",$B$1780," to R",RIGHT(C1780))</f>
        <v>Export Barge/Vessel Trade of GSC from *R6 to RB</v>
      </c>
      <c r="E1780" s="381" t="s">
        <v>384</v>
      </c>
      <c r="F1780" s="381" t="s">
        <v>505</v>
      </c>
    </row>
    <row r="1781" spans="2:6">
      <c r="B1781" s="365" t="s">
        <v>1089</v>
      </c>
      <c r="C1781" s="365" t="str">
        <f>CONCATENATE("EXP",Commodities!C49,"B",RIGHT(OILTrade!$S$75,2))</f>
        <v>EXPGSRB</v>
      </c>
      <c r="D1781" s="365" t="str">
        <f>CONCATENATE("Export Barge/Vessel Trade of ",Commodities!C49, " from ",$B$1780," to R",RIGHT(C1781))</f>
        <v>Export Barge/Vessel Trade of GSR from *R6 to RB</v>
      </c>
      <c r="E1781" s="381" t="s">
        <v>384</v>
      </c>
      <c r="F1781" s="381" t="s">
        <v>505</v>
      </c>
    </row>
    <row r="1782" spans="2:6">
      <c r="B1782" s="365" t="s">
        <v>1089</v>
      </c>
      <c r="C1782" s="365" t="str">
        <f>CONCATENATE("EXP",Commodities!C50,"B",RIGHT(OILTrade!$S$75,2))</f>
        <v>EXPDSHB</v>
      </c>
      <c r="D1782" s="365" t="str">
        <f>CONCATENATE("Export Barge/Vessel Trade of ",Commodities!C50, " from ",$B$1780," to R",RIGHT(C1782))</f>
        <v>Export Barge/Vessel Trade of DSH from *R6 to RB</v>
      </c>
      <c r="E1782" s="381" t="s">
        <v>384</v>
      </c>
      <c r="F1782" s="381" t="s">
        <v>505</v>
      </c>
    </row>
    <row r="1783" spans="2:6">
      <c r="B1783" s="365" t="s">
        <v>1089</v>
      </c>
      <c r="C1783" s="365" t="str">
        <f>CONCATENATE("EXP",Commodities!C51,"B",RIGHT(OILTrade!$S$75,2))</f>
        <v>EXPDSLB</v>
      </c>
      <c r="D1783" s="365" t="str">
        <f>CONCATENATE("Export Barge/Vessel Trade of ",Commodities!C51, " from ",$B$1780," to R",RIGHT(C1783))</f>
        <v>Export Barge/Vessel Trade of DSL from *R6 to RB</v>
      </c>
      <c r="E1783" s="381" t="s">
        <v>384</v>
      </c>
      <c r="F1783" s="381" t="s">
        <v>505</v>
      </c>
    </row>
    <row r="1784" spans="2:6">
      <c r="B1784" s="365" t="s">
        <v>1089</v>
      </c>
      <c r="C1784" s="365" t="str">
        <f>CONCATENATE("EXP",Commodities!C52,"B",RIGHT(OILTrade!$S$75,2))</f>
        <v>EXPDSUB</v>
      </c>
      <c r="D1784" s="365" t="str">
        <f>CONCATENATE("Export Barge/Vessel Trade of ",Commodities!C52, " from ",$B$1780," to R",RIGHT(C1784))</f>
        <v>Export Barge/Vessel Trade of DSU from *R6 to RB</v>
      </c>
      <c r="E1784" s="381" t="s">
        <v>384</v>
      </c>
      <c r="F1784" s="381" t="s">
        <v>505</v>
      </c>
    </row>
    <row r="1785" spans="2:6">
      <c r="B1785" s="365" t="s">
        <v>1089</v>
      </c>
      <c r="C1785" s="365" t="str">
        <f>CONCATENATE("EXP",Commodities!C53,"B",RIGHT(OILTrade!$S$75,2))</f>
        <v>EXPJTFB</v>
      </c>
      <c r="D1785" s="365" t="str">
        <f>CONCATENATE("Export Barge/Vessel Trade of ",Commodities!C53, " from ",$B$1780," to R",RIGHT(C1785))</f>
        <v>Export Barge/Vessel Trade of JTF from *R6 to RB</v>
      </c>
      <c r="E1785" s="381" t="s">
        <v>384</v>
      </c>
      <c r="F1785" s="381" t="s">
        <v>505</v>
      </c>
    </row>
    <row r="1786" spans="2:6">
      <c r="B1786" s="365" t="s">
        <v>1089</v>
      </c>
      <c r="C1786" s="365" t="str">
        <f>CONCATENATE("EXP",Commodities!C54,"B",RIGHT(OILTrade!$S$75,2))</f>
        <v>EXPKERB</v>
      </c>
      <c r="D1786" s="365" t="str">
        <f>CONCATENATE("Export Barge/Vessel Trade of ",Commodities!C54, " from ",$B$1780," to R",RIGHT(C1786))</f>
        <v>Export Barge/Vessel Trade of KER from *R6 to RB</v>
      </c>
      <c r="E1786" s="381" t="s">
        <v>384</v>
      </c>
      <c r="F1786" s="381" t="s">
        <v>505</v>
      </c>
    </row>
    <row r="1787" spans="2:6">
      <c r="B1787" s="365" t="s">
        <v>1089</v>
      </c>
      <c r="C1787" s="365" t="str">
        <f>CONCATENATE("EXP",Commodities!C55,"B",RIGHT(OILTrade!$S$75,2))</f>
        <v>EXPLPGB</v>
      </c>
      <c r="D1787" s="365" t="str">
        <f>CONCATENATE("Export Barge/Vessel Trade of ",Commodities!C55, " from ",$B$1780," to R",RIGHT(C1787))</f>
        <v>Export Barge/Vessel Trade of LPG from *R6 to RB</v>
      </c>
      <c r="E1787" s="381" t="s">
        <v>384</v>
      </c>
      <c r="F1787" s="381" t="s">
        <v>505</v>
      </c>
    </row>
    <row r="1788" spans="2:6">
      <c r="B1788" s="365" t="s">
        <v>1089</v>
      </c>
      <c r="C1788" s="365" t="str">
        <f>CONCATENATE("EXP",Commodities!C56,"B",RIGHT(OILTrade!$S$75,2))</f>
        <v>EXPMTHB</v>
      </c>
      <c r="D1788" s="365" t="str">
        <f>CONCATENATE("Export Barge/Vessel Trade of ",Commodities!C56, " from ",$B$1780," to R",RIGHT(C1788))</f>
        <v>Export Barge/Vessel Trade of MTH from *R6 to RB</v>
      </c>
      <c r="E1788" s="381" t="s">
        <v>384</v>
      </c>
      <c r="F1788" s="381" t="s">
        <v>505</v>
      </c>
    </row>
    <row r="1789" spans="2:6">
      <c r="B1789" s="365" t="s">
        <v>1089</v>
      </c>
      <c r="C1789" s="365" t="str">
        <f>CONCATENATE("EXP",Commodities!C57,"B",RIGHT(OILTrade!$S$75,2))</f>
        <v>EXPPFSB</v>
      </c>
      <c r="D1789" s="365" t="str">
        <f>CONCATENATE("Export Barge/Vessel Trade of ",Commodities!C57, " from ",$B$1780," to R",RIGHT(C1789))</f>
        <v>Export Barge/Vessel Trade of PFS from *R6 to RB</v>
      </c>
      <c r="E1789" s="381" t="s">
        <v>384</v>
      </c>
      <c r="F1789" s="381" t="s">
        <v>505</v>
      </c>
    </row>
    <row r="1790" spans="2:6">
      <c r="B1790" s="365" t="s">
        <v>1089</v>
      </c>
      <c r="C1790" s="365" t="str">
        <f>CONCATENATE("EXP",Commodities!C58,"B",RIGHT(OILTrade!$S$75,2))</f>
        <v>EXPRFHB</v>
      </c>
      <c r="D1790" s="365" t="str">
        <f>CONCATENATE("Export Barge/Vessel Trade of ",Commodities!C58, " from ",$B$1780," to R",RIGHT(C1790))</f>
        <v>Export Barge/Vessel Trade of RFH from *R6 to RB</v>
      </c>
      <c r="E1790" s="381" t="s">
        <v>384</v>
      </c>
      <c r="F1790" s="381" t="s">
        <v>505</v>
      </c>
    </row>
    <row r="1791" spans="2:6">
      <c r="B1791" s="365" t="s">
        <v>1089</v>
      </c>
      <c r="C1791" s="365" t="str">
        <f>CONCATENATE("EXP",Commodities!C59,"B",RIGHT(OILTrade!$S$75,2))</f>
        <v>EXPRFLB</v>
      </c>
      <c r="D1791" s="365" t="str">
        <f>CONCATENATE("Export Barge/Vessel Trade of ",Commodities!C59, " from ",$B$1780," to R",RIGHT(C1791))</f>
        <v>Export Barge/Vessel Trade of RFL from *R6 to RB</v>
      </c>
      <c r="E1791" s="381" t="s">
        <v>384</v>
      </c>
      <c r="F1791" s="381" t="s">
        <v>505</v>
      </c>
    </row>
    <row r="1792" spans="2:6">
      <c r="B1792" s="365" t="s">
        <v>1089</v>
      </c>
      <c r="C1792" s="365" t="str">
        <f>CONCATENATE("EXP",Commodities!C60,"B",RIGHT(OILTrade!$S$75,2))</f>
        <v>EXPASPB</v>
      </c>
      <c r="D1792" s="365" t="str">
        <f>CONCATENATE("Export Barge/Vessel Trade of ",Commodities!C60, " from ",$B$1780," to R",RIGHT(C1792))</f>
        <v>Export Barge/Vessel Trade of ASP from *R6 to RB</v>
      </c>
      <c r="E1792" s="381" t="s">
        <v>384</v>
      </c>
      <c r="F1792" s="381" t="s">
        <v>505</v>
      </c>
    </row>
    <row r="1793" spans="2:6">
      <c r="B1793" s="365" t="s">
        <v>1089</v>
      </c>
      <c r="C1793" s="365" t="str">
        <f>CONCATENATE("EXP",Commodities!C48,"B",RIGHT(OILTrade!$V$75,2))</f>
        <v>EXPGSCB</v>
      </c>
      <c r="D1793" s="365" t="str">
        <f>CONCATENATE("Export Barge/Vessel Trade of ",Commodities!C48, " from ",$B$1793," to R",RIGHT(C1793))</f>
        <v>Export Barge/Vessel Trade of GSC from *R6 to RB</v>
      </c>
      <c r="E1793" s="381" t="s">
        <v>384</v>
      </c>
      <c r="F1793" s="381" t="s">
        <v>505</v>
      </c>
    </row>
    <row r="1794" spans="2:6">
      <c r="B1794" s="365" t="s">
        <v>1089</v>
      </c>
      <c r="C1794" s="365" t="str">
        <f>CONCATENATE("EXP",Commodities!C49,"B",RIGHT(OILTrade!$V$75,2))</f>
        <v>EXPGSRB</v>
      </c>
      <c r="D1794" s="365" t="str">
        <f>CONCATENATE("Export Barge/Vessel Trade of ",Commodities!C49, " from ",$B$1793," to R",RIGHT(C1794))</f>
        <v>Export Barge/Vessel Trade of GSR from *R6 to RB</v>
      </c>
      <c r="E1794" s="381" t="s">
        <v>384</v>
      </c>
      <c r="F1794" s="381" t="s">
        <v>505</v>
      </c>
    </row>
    <row r="1795" spans="2:6">
      <c r="B1795" s="365" t="s">
        <v>1089</v>
      </c>
      <c r="C1795" s="365" t="str">
        <f>CONCATENATE("EXP",Commodities!C50,"B",RIGHT(OILTrade!$V$75,2))</f>
        <v>EXPDSHB</v>
      </c>
      <c r="D1795" s="365" t="str">
        <f>CONCATENATE("Export Barge/Vessel Trade of ",Commodities!C50, " from ",$B$1793," to R",RIGHT(C1795))</f>
        <v>Export Barge/Vessel Trade of DSH from *R6 to RB</v>
      </c>
      <c r="E1795" s="381" t="s">
        <v>384</v>
      </c>
      <c r="F1795" s="381" t="s">
        <v>505</v>
      </c>
    </row>
    <row r="1796" spans="2:6">
      <c r="B1796" s="365" t="s">
        <v>1089</v>
      </c>
      <c r="C1796" s="365" t="str">
        <f>CONCATENATE("EXP",Commodities!C51,"B",RIGHT(OILTrade!$V$75,2))</f>
        <v>EXPDSLB</v>
      </c>
      <c r="D1796" s="365" t="str">
        <f>CONCATENATE("Export Barge/Vessel Trade of ",Commodities!C51, " from ",$B$1793," to R",RIGHT(C1796))</f>
        <v>Export Barge/Vessel Trade of DSL from *R6 to RB</v>
      </c>
      <c r="E1796" s="381" t="s">
        <v>384</v>
      </c>
      <c r="F1796" s="381" t="s">
        <v>505</v>
      </c>
    </row>
    <row r="1797" spans="2:6">
      <c r="B1797" s="365" t="s">
        <v>1089</v>
      </c>
      <c r="C1797" s="365" t="str">
        <f>CONCATENATE("EXP",Commodities!C52,"B",RIGHT(OILTrade!$V$75,2))</f>
        <v>EXPDSUB</v>
      </c>
      <c r="D1797" s="365" t="str">
        <f>CONCATENATE("Export Barge/Vessel Trade of ",Commodities!C52, " from ",$B$1793," to R",RIGHT(C1797))</f>
        <v>Export Barge/Vessel Trade of DSU from *R6 to RB</v>
      </c>
      <c r="E1797" s="381" t="s">
        <v>384</v>
      </c>
      <c r="F1797" s="381" t="s">
        <v>505</v>
      </c>
    </row>
    <row r="1798" spans="2:6">
      <c r="B1798" s="365" t="s">
        <v>1089</v>
      </c>
      <c r="C1798" s="365" t="str">
        <f>CONCATENATE("EXP",Commodities!C53,"B",RIGHT(OILTrade!$V$75,2))</f>
        <v>EXPJTFB</v>
      </c>
      <c r="D1798" s="365" t="str">
        <f>CONCATENATE("Export Barge/Vessel Trade of ",Commodities!C53, " from ",$B$1793," to R",RIGHT(C1798))</f>
        <v>Export Barge/Vessel Trade of JTF from *R6 to RB</v>
      </c>
      <c r="E1798" s="381" t="s">
        <v>384</v>
      </c>
      <c r="F1798" s="381" t="s">
        <v>505</v>
      </c>
    </row>
    <row r="1799" spans="2:6">
      <c r="B1799" s="365" t="s">
        <v>1089</v>
      </c>
      <c r="C1799" s="365" t="str">
        <f>CONCATENATE("EXP",Commodities!C54,"B",RIGHT(OILTrade!$V$75,2))</f>
        <v>EXPKERB</v>
      </c>
      <c r="D1799" s="365" t="str">
        <f>CONCATENATE("Export Barge/Vessel Trade of ",Commodities!C54, " from ",$B$1793," to R",RIGHT(C1799))</f>
        <v>Export Barge/Vessel Trade of KER from *R6 to RB</v>
      </c>
      <c r="E1799" s="381" t="s">
        <v>384</v>
      </c>
      <c r="F1799" s="381" t="s">
        <v>505</v>
      </c>
    </row>
    <row r="1800" spans="2:6">
      <c r="B1800" s="365" t="s">
        <v>1089</v>
      </c>
      <c r="C1800" s="365" t="str">
        <f>CONCATENATE("EXP",Commodities!C55,"B",RIGHT(OILTrade!$V$75,2))</f>
        <v>EXPLPGB</v>
      </c>
      <c r="D1800" s="365" t="str">
        <f>CONCATENATE("Export Barge/Vessel Trade of ",Commodities!C55, " from ",$B$1793," to R",RIGHT(C1800))</f>
        <v>Export Barge/Vessel Trade of LPG from *R6 to RB</v>
      </c>
      <c r="E1800" s="381" t="s">
        <v>384</v>
      </c>
      <c r="F1800" s="381" t="s">
        <v>505</v>
      </c>
    </row>
    <row r="1801" spans="2:6">
      <c r="B1801" s="365" t="s">
        <v>1089</v>
      </c>
      <c r="C1801" s="365" t="str">
        <f>CONCATENATE("EXP",Commodities!C56,"B",RIGHT(OILTrade!$V$75,2))</f>
        <v>EXPMTHB</v>
      </c>
      <c r="D1801" s="365" t="str">
        <f>CONCATENATE("Export Barge/Vessel Trade of ",Commodities!C56, " from ",$B$1793," to R",RIGHT(C1801))</f>
        <v>Export Barge/Vessel Trade of MTH from *R6 to RB</v>
      </c>
      <c r="E1801" s="381" t="s">
        <v>384</v>
      </c>
      <c r="F1801" s="381" t="s">
        <v>505</v>
      </c>
    </row>
    <row r="1802" spans="2:6">
      <c r="B1802" s="365" t="s">
        <v>1089</v>
      </c>
      <c r="C1802" s="365" t="str">
        <f>CONCATENATE("EXP",Commodities!C57,"B",RIGHT(OILTrade!$V$75,2))</f>
        <v>EXPPFSB</v>
      </c>
      <c r="D1802" s="365" t="str">
        <f>CONCATENATE("Export Barge/Vessel Trade of ",Commodities!C57, " from ",$B$1793," to R",RIGHT(C1802))</f>
        <v>Export Barge/Vessel Trade of PFS from *R6 to RB</v>
      </c>
      <c r="E1802" s="381" t="s">
        <v>384</v>
      </c>
      <c r="F1802" s="381" t="s">
        <v>505</v>
      </c>
    </row>
    <row r="1803" spans="2:6">
      <c r="B1803" s="365" t="s">
        <v>1089</v>
      </c>
      <c r="C1803" s="365" t="str">
        <f>CONCATENATE("EXP",Commodities!C58,"B",RIGHT(OILTrade!$V$75,2))</f>
        <v>EXPRFHB</v>
      </c>
      <c r="D1803" s="365" t="str">
        <f>CONCATENATE("Export Barge/Vessel Trade of ",Commodities!C58, " from ",$B$1793," to R",RIGHT(C1803))</f>
        <v>Export Barge/Vessel Trade of RFH from *R6 to RB</v>
      </c>
      <c r="E1803" s="381" t="s">
        <v>384</v>
      </c>
      <c r="F1803" s="381" t="s">
        <v>505</v>
      </c>
    </row>
    <row r="1804" spans="2:6">
      <c r="B1804" s="365" t="s">
        <v>1089</v>
      </c>
      <c r="C1804" s="365" t="str">
        <f>CONCATENATE("EXP",Commodities!C59,"B",RIGHT(OILTrade!$V$75,2))</f>
        <v>EXPRFLB</v>
      </c>
      <c r="D1804" s="365" t="str">
        <f>CONCATENATE("Export Barge/Vessel Trade of ",Commodities!C59, " from ",$B$1793," to R",RIGHT(C1804))</f>
        <v>Export Barge/Vessel Trade of RFL from *R6 to RB</v>
      </c>
      <c r="E1804" s="381" t="s">
        <v>384</v>
      </c>
      <c r="F1804" s="381" t="s">
        <v>505</v>
      </c>
    </row>
    <row r="1805" spans="2:6">
      <c r="B1805" s="365" t="s">
        <v>1089</v>
      </c>
      <c r="C1805" s="365" t="str">
        <f>CONCATENATE("EXP",Commodities!C60,"B",RIGHT(OILTrade!$V$75,2))</f>
        <v>EXPASPB</v>
      </c>
      <c r="D1805" s="365" t="str">
        <f>CONCATENATE("Export Barge/Vessel Trade of ",Commodities!C60, " from ",$B$1793," to R",RIGHT(C1805))</f>
        <v>Export Barge/Vessel Trade of ASP from *R6 to RB</v>
      </c>
      <c r="E1805" s="381" t="s">
        <v>384</v>
      </c>
      <c r="F1805" s="381" t="s">
        <v>505</v>
      </c>
    </row>
    <row r="1806" spans="2:6">
      <c r="B1806" s="365" t="s">
        <v>1089</v>
      </c>
      <c r="C1806" s="365" t="str">
        <f>CONCATENATE("EXP",Commodities!C48,"B",RIGHT(OILTrade!$W$75,2))</f>
        <v>EXPGSCB</v>
      </c>
      <c r="D1806" s="365" t="str">
        <f>CONCATENATE("Export Barge/Vessel Trade of ",Commodities!C48, " from ",$B$1806," to R",RIGHT(C1806))</f>
        <v>Export Barge/Vessel Trade of GSC from *R6 to RB</v>
      </c>
      <c r="E1806" s="381" t="s">
        <v>384</v>
      </c>
      <c r="F1806" s="381" t="s">
        <v>505</v>
      </c>
    </row>
    <row r="1807" spans="2:6">
      <c r="B1807" s="365" t="s">
        <v>1089</v>
      </c>
      <c r="C1807" s="365" t="str">
        <f>CONCATENATE("EXP",Commodities!C49,"B",RIGHT(OILTrade!$W$75,2))</f>
        <v>EXPGSRB</v>
      </c>
      <c r="D1807" s="365" t="str">
        <f>CONCATENATE("Export Barge/Vessel Trade of ",Commodities!C49, " from ",$B$1806," to R",RIGHT(C1807))</f>
        <v>Export Barge/Vessel Trade of GSR from *R6 to RB</v>
      </c>
      <c r="E1807" s="381" t="s">
        <v>384</v>
      </c>
      <c r="F1807" s="381" t="s">
        <v>505</v>
      </c>
    </row>
    <row r="1808" spans="2:6">
      <c r="B1808" s="365" t="s">
        <v>1089</v>
      </c>
      <c r="C1808" s="365" t="str">
        <f>CONCATENATE("EXP",Commodities!C50,"B",RIGHT(OILTrade!$W$75,2))</f>
        <v>EXPDSHB</v>
      </c>
      <c r="D1808" s="365" t="str">
        <f>CONCATENATE("Export Barge/Vessel Trade of ",Commodities!C50, " from ",$B$1806," to R",RIGHT(C1808))</f>
        <v>Export Barge/Vessel Trade of DSH from *R6 to RB</v>
      </c>
      <c r="E1808" s="381" t="s">
        <v>384</v>
      </c>
      <c r="F1808" s="381" t="s">
        <v>505</v>
      </c>
    </row>
    <row r="1809" spans="2:6">
      <c r="B1809" s="365" t="s">
        <v>1089</v>
      </c>
      <c r="C1809" s="365" t="str">
        <f>CONCATENATE("EXP",Commodities!C51,"B",RIGHT(OILTrade!$W$75,2))</f>
        <v>EXPDSLB</v>
      </c>
      <c r="D1809" s="365" t="str">
        <f>CONCATENATE("Export Barge/Vessel Trade of ",Commodities!C51, " from ",$B$1806," to R",RIGHT(C1809))</f>
        <v>Export Barge/Vessel Trade of DSL from *R6 to RB</v>
      </c>
      <c r="E1809" s="381" t="s">
        <v>384</v>
      </c>
      <c r="F1809" s="381" t="s">
        <v>505</v>
      </c>
    </row>
    <row r="1810" spans="2:6">
      <c r="B1810" s="365" t="s">
        <v>1089</v>
      </c>
      <c r="C1810" s="365" t="str">
        <f>CONCATENATE("EXP",Commodities!C52,"B",RIGHT(OILTrade!$W$75,2))</f>
        <v>EXPDSUB</v>
      </c>
      <c r="D1810" s="365" t="str">
        <f>CONCATENATE("Export Barge/Vessel Trade of ",Commodities!C52, " from ",$B$1806," to R",RIGHT(C1810))</f>
        <v>Export Barge/Vessel Trade of DSU from *R6 to RB</v>
      </c>
      <c r="E1810" s="381" t="s">
        <v>384</v>
      </c>
      <c r="F1810" s="381" t="s">
        <v>505</v>
      </c>
    </row>
    <row r="1811" spans="2:6">
      <c r="B1811" s="365" t="s">
        <v>1089</v>
      </c>
      <c r="C1811" s="365" t="str">
        <f>CONCATENATE("EXP",Commodities!C53,"B",RIGHT(OILTrade!$W$75,2))</f>
        <v>EXPJTFB</v>
      </c>
      <c r="D1811" s="365" t="str">
        <f>CONCATENATE("Export Barge/Vessel Trade of ",Commodities!C53, " from ",$B$1806," to R",RIGHT(C1811))</f>
        <v>Export Barge/Vessel Trade of JTF from *R6 to RB</v>
      </c>
      <c r="E1811" s="381" t="s">
        <v>384</v>
      </c>
      <c r="F1811" s="381" t="s">
        <v>505</v>
      </c>
    </row>
    <row r="1812" spans="2:6">
      <c r="B1812" s="365" t="s">
        <v>1089</v>
      </c>
      <c r="C1812" s="365" t="str">
        <f>CONCATENATE("EXP",Commodities!C54,"B",RIGHT(OILTrade!$W$75,2))</f>
        <v>EXPKERB</v>
      </c>
      <c r="D1812" s="365" t="str">
        <f>CONCATENATE("Export Barge/Vessel Trade of ",Commodities!C54, " from ",$B$1806," to R",RIGHT(C1812))</f>
        <v>Export Barge/Vessel Trade of KER from *R6 to RB</v>
      </c>
      <c r="E1812" s="381" t="s">
        <v>384</v>
      </c>
      <c r="F1812" s="381" t="s">
        <v>505</v>
      </c>
    </row>
    <row r="1813" spans="2:6">
      <c r="B1813" s="365" t="s">
        <v>1089</v>
      </c>
      <c r="C1813" s="365" t="str">
        <f>CONCATENATE("EXP",Commodities!C55,"B",RIGHT(OILTrade!$W$75,2))</f>
        <v>EXPLPGB</v>
      </c>
      <c r="D1813" s="365" t="str">
        <f>CONCATENATE("Export Barge/Vessel Trade of ",Commodities!C55, " from ",$B$1806," to R",RIGHT(C1813))</f>
        <v>Export Barge/Vessel Trade of LPG from *R6 to RB</v>
      </c>
      <c r="E1813" s="381" t="s">
        <v>384</v>
      </c>
      <c r="F1813" s="381" t="s">
        <v>505</v>
      </c>
    </row>
    <row r="1814" spans="2:6">
      <c r="B1814" s="365" t="s">
        <v>1089</v>
      </c>
      <c r="C1814" s="365" t="str">
        <f>CONCATENATE("EXP",Commodities!C56,"B",RIGHT(OILTrade!$W$75,2))</f>
        <v>EXPMTHB</v>
      </c>
      <c r="D1814" s="365" t="str">
        <f>CONCATENATE("Export Barge/Vessel Trade of ",Commodities!C56, " from ",$B$1806," to R",RIGHT(C1814))</f>
        <v>Export Barge/Vessel Trade of MTH from *R6 to RB</v>
      </c>
      <c r="E1814" s="381" t="s">
        <v>384</v>
      </c>
      <c r="F1814" s="381" t="s">
        <v>505</v>
      </c>
    </row>
    <row r="1815" spans="2:6">
      <c r="B1815" s="365" t="s">
        <v>1089</v>
      </c>
      <c r="C1815" s="365" t="str">
        <f>CONCATENATE("EXP",Commodities!C57,"B",RIGHT(OILTrade!$W$75,2))</f>
        <v>EXPPFSB</v>
      </c>
      <c r="D1815" s="365" t="str">
        <f>CONCATENATE("Export Barge/Vessel Trade of ",Commodities!C57, " from ",$B$1806," to R",RIGHT(C1815))</f>
        <v>Export Barge/Vessel Trade of PFS from *R6 to RB</v>
      </c>
      <c r="E1815" s="381" t="s">
        <v>384</v>
      </c>
      <c r="F1815" s="381" t="s">
        <v>505</v>
      </c>
    </row>
    <row r="1816" spans="2:6">
      <c r="B1816" s="365" t="s">
        <v>1089</v>
      </c>
      <c r="C1816" s="365" t="str">
        <f>CONCATENATE("EXP",Commodities!C58,"B",RIGHT(OILTrade!$W$75,2))</f>
        <v>EXPRFHB</v>
      </c>
      <c r="D1816" s="365" t="str">
        <f>CONCATENATE("Export Barge/Vessel Trade of ",Commodities!C58, " from ",$B$1806," to R",RIGHT(C1816))</f>
        <v>Export Barge/Vessel Trade of RFH from *R6 to RB</v>
      </c>
      <c r="E1816" s="381" t="s">
        <v>384</v>
      </c>
      <c r="F1816" s="381" t="s">
        <v>505</v>
      </c>
    </row>
    <row r="1817" spans="2:6">
      <c r="B1817" s="365" t="s">
        <v>1089</v>
      </c>
      <c r="C1817" s="365" t="str">
        <f>CONCATENATE("EXP",Commodities!C59,"B",RIGHT(OILTrade!$W$75,2))</f>
        <v>EXPRFLB</v>
      </c>
      <c r="D1817" s="365" t="str">
        <f>CONCATENATE("Export Barge/Vessel Trade of ",Commodities!C59, " from ",$B$1806," to R",RIGHT(C1817))</f>
        <v>Export Barge/Vessel Trade of RFL from *R6 to RB</v>
      </c>
      <c r="E1817" s="381" t="s">
        <v>384</v>
      </c>
      <c r="F1817" s="381" t="s">
        <v>505</v>
      </c>
    </row>
    <row r="1818" spans="2:6">
      <c r="B1818" s="365" t="s">
        <v>1089</v>
      </c>
      <c r="C1818" s="365" t="str">
        <f>CONCATENATE("EXP",Commodities!C60,"B",RIGHT(OILTrade!$W$75,2))</f>
        <v>EXPASPB</v>
      </c>
      <c r="D1818" s="365" t="str">
        <f>CONCATENATE("Export Barge/Vessel Trade of ",Commodities!C60, " from ",$B$1806," to R",RIGHT(C1818))</f>
        <v>Export Barge/Vessel Trade of ASP from *R6 to RB</v>
      </c>
      <c r="E1818" s="381" t="s">
        <v>384</v>
      </c>
      <c r="F1818" s="381" t="s">
        <v>505</v>
      </c>
    </row>
    <row r="1819" spans="2:6">
      <c r="B1819" s="365" t="s">
        <v>1059</v>
      </c>
      <c r="C1819" s="365" t="str">
        <f>CONCATENATE("EXP",Commodities!C48,"B",RIGHT(OILTrade!$O$76,2))</f>
        <v>EXPGSCB</v>
      </c>
      <c r="D1819" s="365" t="str">
        <f>CONCATENATE("Export Barge/Vessel Trade of ",Commodities!C48, " from ",$B$1819," to R",RIGHT(C1819))</f>
        <v>Export Barge/Vessel Trade of GSC from *R7 to RB</v>
      </c>
      <c r="E1819" s="381" t="s">
        <v>384</v>
      </c>
      <c r="F1819" s="381" t="s">
        <v>505</v>
      </c>
    </row>
    <row r="1820" spans="2:6">
      <c r="B1820" s="365" t="s">
        <v>1059</v>
      </c>
      <c r="C1820" s="365" t="str">
        <f>CONCATENATE("EXP",Commodities!C49,"B",RIGHT(OILTrade!$O$76,2))</f>
        <v>EXPGSRB</v>
      </c>
      <c r="D1820" s="365" t="str">
        <f>CONCATENATE("Export Barge/Vessel Trade of ",Commodities!C49, " from ",$B$1819," to R",RIGHT(C1820))</f>
        <v>Export Barge/Vessel Trade of GSR from *R7 to RB</v>
      </c>
      <c r="E1820" s="381" t="s">
        <v>384</v>
      </c>
      <c r="F1820" s="381" t="s">
        <v>505</v>
      </c>
    </row>
    <row r="1821" spans="2:6">
      <c r="B1821" s="365" t="s">
        <v>1059</v>
      </c>
      <c r="C1821" s="365" t="str">
        <f>CONCATENATE("EXP",Commodities!C50,"B",RIGHT(OILTrade!$O$76,2))</f>
        <v>EXPDSHB</v>
      </c>
      <c r="D1821" s="365" t="str">
        <f>CONCATENATE("Export Barge/Vessel Trade of ",Commodities!C50, " from ",$B$1819," to R",RIGHT(C1821))</f>
        <v>Export Barge/Vessel Trade of DSH from *R7 to RB</v>
      </c>
      <c r="E1821" s="381" t="s">
        <v>384</v>
      </c>
      <c r="F1821" s="381" t="s">
        <v>505</v>
      </c>
    </row>
    <row r="1822" spans="2:6">
      <c r="B1822" s="365" t="s">
        <v>1059</v>
      </c>
      <c r="C1822" s="365" t="str">
        <f>CONCATENATE("EXP",Commodities!C51,"B",RIGHT(OILTrade!$O$76,2))</f>
        <v>EXPDSLB</v>
      </c>
      <c r="D1822" s="365" t="str">
        <f>CONCATENATE("Export Barge/Vessel Trade of ",Commodities!C51, " from ",$B$1819," to R",RIGHT(C1822))</f>
        <v>Export Barge/Vessel Trade of DSL from *R7 to RB</v>
      </c>
      <c r="E1822" s="381" t="s">
        <v>384</v>
      </c>
      <c r="F1822" s="381" t="s">
        <v>505</v>
      </c>
    </row>
    <row r="1823" spans="2:6">
      <c r="B1823" s="365" t="s">
        <v>1059</v>
      </c>
      <c r="C1823" s="365" t="str">
        <f>CONCATENATE("EXP",Commodities!C52,"B",RIGHT(OILTrade!$O$76,2))</f>
        <v>EXPDSUB</v>
      </c>
      <c r="D1823" s="365" t="str">
        <f>CONCATENATE("Export Barge/Vessel Trade of ",Commodities!C52, " from ",$B$1819," to R",RIGHT(C1823))</f>
        <v>Export Barge/Vessel Trade of DSU from *R7 to RB</v>
      </c>
      <c r="E1823" s="381" t="s">
        <v>384</v>
      </c>
      <c r="F1823" s="381" t="s">
        <v>505</v>
      </c>
    </row>
    <row r="1824" spans="2:6">
      <c r="B1824" s="365" t="s">
        <v>1059</v>
      </c>
      <c r="C1824" s="365" t="str">
        <f>CONCATENATE("EXP",Commodities!C53,"B",RIGHT(OILTrade!$O$76,2))</f>
        <v>EXPJTFB</v>
      </c>
      <c r="D1824" s="365" t="str">
        <f>CONCATENATE("Export Barge/Vessel Trade of ",Commodities!C53, " from ",$B$1819," to R",RIGHT(C1824))</f>
        <v>Export Barge/Vessel Trade of JTF from *R7 to RB</v>
      </c>
      <c r="E1824" s="381" t="s">
        <v>384</v>
      </c>
      <c r="F1824" s="381" t="s">
        <v>505</v>
      </c>
    </row>
    <row r="1825" spans="2:6">
      <c r="B1825" s="365" t="s">
        <v>1059</v>
      </c>
      <c r="C1825" s="365" t="str">
        <f>CONCATENATE("EXP",Commodities!C54,"B",RIGHT(OILTrade!$O$76,2))</f>
        <v>EXPKERB</v>
      </c>
      <c r="D1825" s="365" t="str">
        <f>CONCATENATE("Export Barge/Vessel Trade of ",Commodities!C54, " from ",$B$1819," to R",RIGHT(C1825))</f>
        <v>Export Barge/Vessel Trade of KER from *R7 to RB</v>
      </c>
      <c r="E1825" s="381" t="s">
        <v>384</v>
      </c>
      <c r="F1825" s="381" t="s">
        <v>505</v>
      </c>
    </row>
    <row r="1826" spans="2:6">
      <c r="B1826" s="365" t="s">
        <v>1059</v>
      </c>
      <c r="C1826" s="365" t="str">
        <f>CONCATENATE("EXP",Commodities!C55,"B",RIGHT(OILTrade!$O$76,2))</f>
        <v>EXPLPGB</v>
      </c>
      <c r="D1826" s="365" t="str">
        <f>CONCATENATE("Export Barge/Vessel Trade of ",Commodities!C55, " from ",$B$1819," to R",RIGHT(C1826))</f>
        <v>Export Barge/Vessel Trade of LPG from *R7 to RB</v>
      </c>
      <c r="E1826" s="381" t="s">
        <v>384</v>
      </c>
      <c r="F1826" s="381" t="s">
        <v>505</v>
      </c>
    </row>
    <row r="1827" spans="2:6">
      <c r="B1827" s="365" t="s">
        <v>1059</v>
      </c>
      <c r="C1827" s="365" t="str">
        <f>CONCATENATE("EXP",Commodities!C56,"B",RIGHT(OILTrade!$O$76,2))</f>
        <v>EXPMTHB</v>
      </c>
      <c r="D1827" s="365" t="str">
        <f>CONCATENATE("Export Barge/Vessel Trade of ",Commodities!C56, " from ",$B$1819," to R",RIGHT(C1827))</f>
        <v>Export Barge/Vessel Trade of MTH from *R7 to RB</v>
      </c>
      <c r="E1827" s="381" t="s">
        <v>384</v>
      </c>
      <c r="F1827" s="381" t="s">
        <v>505</v>
      </c>
    </row>
    <row r="1828" spans="2:6">
      <c r="B1828" s="365" t="s">
        <v>1059</v>
      </c>
      <c r="C1828" s="365" t="str">
        <f>CONCATENATE("EXP",Commodities!C57,"B",RIGHT(OILTrade!$O$76,2))</f>
        <v>EXPPFSB</v>
      </c>
      <c r="D1828" s="365" t="str">
        <f>CONCATENATE("Export Barge/Vessel Trade of ",Commodities!C57, " from ",$B$1819," to R",RIGHT(C1828))</f>
        <v>Export Barge/Vessel Trade of PFS from *R7 to RB</v>
      </c>
      <c r="E1828" s="381" t="s">
        <v>384</v>
      </c>
      <c r="F1828" s="381" t="s">
        <v>505</v>
      </c>
    </row>
    <row r="1829" spans="2:6">
      <c r="B1829" s="365" t="s">
        <v>1059</v>
      </c>
      <c r="C1829" s="365" t="str">
        <f>CONCATENATE("EXP",Commodities!C58,"B",RIGHT(OILTrade!$O$76,2))</f>
        <v>EXPRFHB</v>
      </c>
      <c r="D1829" s="365" t="str">
        <f>CONCATENATE("Export Barge/Vessel Trade of ",Commodities!C58, " from ",$B$1819," to R",RIGHT(C1829))</f>
        <v>Export Barge/Vessel Trade of RFH from *R7 to RB</v>
      </c>
      <c r="E1829" s="381" t="s">
        <v>384</v>
      </c>
      <c r="F1829" s="381" t="s">
        <v>505</v>
      </c>
    </row>
    <row r="1830" spans="2:6">
      <c r="B1830" s="365" t="s">
        <v>1059</v>
      </c>
      <c r="C1830" s="365" t="str">
        <f>CONCATENATE("EXP",Commodities!C59,"B",RIGHT(OILTrade!$O$76,2))</f>
        <v>EXPRFLB</v>
      </c>
      <c r="D1830" s="365" t="str">
        <f>CONCATENATE("Export Barge/Vessel Trade of ",Commodities!C59, " from ",$B$1819," to R",RIGHT(C1830))</f>
        <v>Export Barge/Vessel Trade of RFL from *R7 to RB</v>
      </c>
      <c r="E1830" s="381" t="s">
        <v>384</v>
      </c>
      <c r="F1830" s="381" t="s">
        <v>505</v>
      </c>
    </row>
    <row r="1831" spans="2:6">
      <c r="B1831" s="365" t="s">
        <v>1059</v>
      </c>
      <c r="C1831" s="365" t="str">
        <f>CONCATENATE("EXP",Commodities!C60,"B",RIGHT(OILTrade!$O$76,2))</f>
        <v>EXPASPB</v>
      </c>
      <c r="D1831" s="365" t="str">
        <f>CONCATENATE("Export Barge/Vessel Trade of ",Commodities!C60, " from ",$B$1819," to R",RIGHT(C1831))</f>
        <v>Export Barge/Vessel Trade of ASP from *R7 to RB</v>
      </c>
      <c r="E1831" s="381" t="s">
        <v>384</v>
      </c>
      <c r="F1831" s="381" t="s">
        <v>505</v>
      </c>
    </row>
    <row r="1832" spans="2:6">
      <c r="B1832" s="365" t="s">
        <v>1059</v>
      </c>
      <c r="C1832" s="365" t="str">
        <f>CONCATENATE("EXP",Commodities!C48,"B",RIGHT(OILTrade!$P$76,2))</f>
        <v>EXPGSCB</v>
      </c>
      <c r="D1832" s="365" t="str">
        <f>CONCATENATE("Export Barge/Vessel Trade of ",Commodities!C48, " from ",$B$1832," to R",RIGHT(C1832))</f>
        <v>Export Barge/Vessel Trade of GSC from *R7 to RB</v>
      </c>
      <c r="E1832" s="381" t="s">
        <v>384</v>
      </c>
      <c r="F1832" s="381" t="s">
        <v>505</v>
      </c>
    </row>
    <row r="1833" spans="2:6">
      <c r="B1833" s="365" t="s">
        <v>1059</v>
      </c>
      <c r="C1833" s="365" t="str">
        <f>CONCATENATE("EXP",Commodities!C49,"B",RIGHT(OILTrade!$P$76,2))</f>
        <v>EXPGSRB</v>
      </c>
      <c r="D1833" s="365" t="str">
        <f>CONCATENATE("Export Barge/Vessel Trade of ",Commodities!C49, " from ",$B$1832," to R",RIGHT(C1833))</f>
        <v>Export Barge/Vessel Trade of GSR from *R7 to RB</v>
      </c>
      <c r="E1833" s="381" t="s">
        <v>384</v>
      </c>
      <c r="F1833" s="381" t="s">
        <v>505</v>
      </c>
    </row>
    <row r="1834" spans="2:6">
      <c r="B1834" s="365" t="s">
        <v>1059</v>
      </c>
      <c r="C1834" s="365" t="str">
        <f>CONCATENATE("EXP",Commodities!C50,"B",RIGHT(OILTrade!$P$76,2))</f>
        <v>EXPDSHB</v>
      </c>
      <c r="D1834" s="365" t="str">
        <f>CONCATENATE("Export Barge/Vessel Trade of ",Commodities!C50, " from ",$B$1832," to R",RIGHT(C1834))</f>
        <v>Export Barge/Vessel Trade of DSH from *R7 to RB</v>
      </c>
      <c r="E1834" s="381" t="s">
        <v>384</v>
      </c>
      <c r="F1834" s="381" t="s">
        <v>505</v>
      </c>
    </row>
    <row r="1835" spans="2:6">
      <c r="B1835" s="365" t="s">
        <v>1059</v>
      </c>
      <c r="C1835" s="365" t="str">
        <f>CONCATENATE("EXP",Commodities!C51,"B",RIGHT(OILTrade!$P$76,2))</f>
        <v>EXPDSLB</v>
      </c>
      <c r="D1835" s="365" t="str">
        <f>CONCATENATE("Export Barge/Vessel Trade of ",Commodities!C51, " from ",$B$1832," to R",RIGHT(C1835))</f>
        <v>Export Barge/Vessel Trade of DSL from *R7 to RB</v>
      </c>
      <c r="E1835" s="381" t="s">
        <v>384</v>
      </c>
      <c r="F1835" s="381" t="s">
        <v>505</v>
      </c>
    </row>
    <row r="1836" spans="2:6">
      <c r="B1836" s="365" t="s">
        <v>1059</v>
      </c>
      <c r="C1836" s="365" t="str">
        <f>CONCATENATE("EXP",Commodities!C52,"B",RIGHT(OILTrade!$P$76,2))</f>
        <v>EXPDSUB</v>
      </c>
      <c r="D1836" s="365" t="str">
        <f>CONCATENATE("Export Barge/Vessel Trade of ",Commodities!C52, " from ",$B$1832," to R",RIGHT(C1836))</f>
        <v>Export Barge/Vessel Trade of DSU from *R7 to RB</v>
      </c>
      <c r="E1836" s="381" t="s">
        <v>384</v>
      </c>
      <c r="F1836" s="381" t="s">
        <v>505</v>
      </c>
    </row>
    <row r="1837" spans="2:6">
      <c r="B1837" s="365" t="s">
        <v>1059</v>
      </c>
      <c r="C1837" s="365" t="str">
        <f>CONCATENATE("EXP",Commodities!C53,"B",RIGHT(OILTrade!$P$76,2))</f>
        <v>EXPJTFB</v>
      </c>
      <c r="D1837" s="365" t="str">
        <f>CONCATENATE("Export Barge/Vessel Trade of ",Commodities!C53, " from ",$B$1832," to R",RIGHT(C1837))</f>
        <v>Export Barge/Vessel Trade of JTF from *R7 to RB</v>
      </c>
      <c r="E1837" s="381" t="s">
        <v>384</v>
      </c>
      <c r="F1837" s="381" t="s">
        <v>505</v>
      </c>
    </row>
    <row r="1838" spans="2:6">
      <c r="B1838" s="365" t="s">
        <v>1059</v>
      </c>
      <c r="C1838" s="365" t="str">
        <f>CONCATENATE("EXP",Commodities!C54,"B",RIGHT(OILTrade!$P$76,2))</f>
        <v>EXPKERB</v>
      </c>
      <c r="D1838" s="365" t="str">
        <f>CONCATENATE("Export Barge/Vessel Trade of ",Commodities!C54, " from ",$B$1832," to R",RIGHT(C1838))</f>
        <v>Export Barge/Vessel Trade of KER from *R7 to RB</v>
      </c>
      <c r="E1838" s="381" t="s">
        <v>384</v>
      </c>
      <c r="F1838" s="381" t="s">
        <v>505</v>
      </c>
    </row>
    <row r="1839" spans="2:6">
      <c r="B1839" s="365" t="s">
        <v>1059</v>
      </c>
      <c r="C1839" s="365" t="str">
        <f>CONCATENATE("EXP",Commodities!C55,"B",RIGHT(OILTrade!$P$76,2))</f>
        <v>EXPLPGB</v>
      </c>
      <c r="D1839" s="365" t="str">
        <f>CONCATENATE("Export Barge/Vessel Trade of ",Commodities!C55, " from ",$B$1832," to R",RIGHT(C1839))</f>
        <v>Export Barge/Vessel Trade of LPG from *R7 to RB</v>
      </c>
      <c r="E1839" s="381" t="s">
        <v>384</v>
      </c>
      <c r="F1839" s="381" t="s">
        <v>505</v>
      </c>
    </row>
    <row r="1840" spans="2:6">
      <c r="B1840" s="365" t="s">
        <v>1059</v>
      </c>
      <c r="C1840" s="365" t="str">
        <f>CONCATENATE("EXP",Commodities!C56,"B",RIGHT(OILTrade!$P$76,2))</f>
        <v>EXPMTHB</v>
      </c>
      <c r="D1840" s="365" t="str">
        <f>CONCATENATE("Export Barge/Vessel Trade of ",Commodities!C56, " from ",$B$1832," to R",RIGHT(C1840))</f>
        <v>Export Barge/Vessel Trade of MTH from *R7 to RB</v>
      </c>
      <c r="E1840" s="381" t="s">
        <v>384</v>
      </c>
      <c r="F1840" s="381" t="s">
        <v>505</v>
      </c>
    </row>
    <row r="1841" spans="2:6">
      <c r="B1841" s="365" t="s">
        <v>1059</v>
      </c>
      <c r="C1841" s="365" t="str">
        <f>CONCATENATE("EXP",Commodities!C57,"B",RIGHT(OILTrade!$P$76,2))</f>
        <v>EXPPFSB</v>
      </c>
      <c r="D1841" s="365" t="str">
        <f>CONCATENATE("Export Barge/Vessel Trade of ",Commodities!C57, " from ",$B$1832," to R",RIGHT(C1841))</f>
        <v>Export Barge/Vessel Trade of PFS from *R7 to RB</v>
      </c>
      <c r="E1841" s="381" t="s">
        <v>384</v>
      </c>
      <c r="F1841" s="381" t="s">
        <v>505</v>
      </c>
    </row>
    <row r="1842" spans="2:6">
      <c r="B1842" s="365" t="s">
        <v>1059</v>
      </c>
      <c r="C1842" s="365" t="str">
        <f>CONCATENATE("EXP",Commodities!C58,"B",RIGHT(OILTrade!$P$76,2))</f>
        <v>EXPRFHB</v>
      </c>
      <c r="D1842" s="365" t="str">
        <f>CONCATENATE("Export Barge/Vessel Trade of ",Commodities!C58, " from ",$B$1832," to R",RIGHT(C1842))</f>
        <v>Export Barge/Vessel Trade of RFH from *R7 to RB</v>
      </c>
      <c r="E1842" s="381" t="s">
        <v>384</v>
      </c>
      <c r="F1842" s="381" t="s">
        <v>505</v>
      </c>
    </row>
    <row r="1843" spans="2:6">
      <c r="B1843" s="365" t="s">
        <v>1059</v>
      </c>
      <c r="C1843" s="365" t="str">
        <f>CONCATENATE("EXP",Commodities!C59,"B",RIGHT(OILTrade!$P$76,2))</f>
        <v>EXPRFLB</v>
      </c>
      <c r="D1843" s="365" t="str">
        <f>CONCATENATE("Export Barge/Vessel Trade of ",Commodities!C59, " from ",$B$1832," to R",RIGHT(C1843))</f>
        <v>Export Barge/Vessel Trade of RFL from *R7 to RB</v>
      </c>
      <c r="E1843" s="381" t="s">
        <v>384</v>
      </c>
      <c r="F1843" s="381" t="s">
        <v>505</v>
      </c>
    </row>
    <row r="1844" spans="2:6">
      <c r="B1844" s="365" t="s">
        <v>1059</v>
      </c>
      <c r="C1844" s="365" t="str">
        <f>CONCATENATE("EXP",Commodities!C60,"B",RIGHT(OILTrade!$P$76,2))</f>
        <v>EXPASPB</v>
      </c>
      <c r="D1844" s="365" t="str">
        <f>CONCATENATE("Export Barge/Vessel Trade of ",Commodities!C60, " from ",$B$1832," to R",RIGHT(C1844))</f>
        <v>Export Barge/Vessel Trade of ASP from *R7 to RB</v>
      </c>
      <c r="E1844" s="381" t="s">
        <v>384</v>
      </c>
      <c r="F1844" s="381" t="s">
        <v>505</v>
      </c>
    </row>
    <row r="1845" spans="2:6">
      <c r="B1845" s="365" t="s">
        <v>1059</v>
      </c>
      <c r="C1845" s="365" t="str">
        <f>CONCATENATE("EXP",Commodities!C48,"B",RIGHT(OILTrade!$Q$76,2))</f>
        <v>EXPGSCB</v>
      </c>
      <c r="D1845" s="365" t="str">
        <f>CONCATENATE("Export Barge/Vessel Trade of ",Commodities!C48, " from ",$B$1845," to R",RIGHT(C1845))</f>
        <v>Export Barge/Vessel Trade of GSC from *R7 to RB</v>
      </c>
      <c r="E1845" s="381" t="s">
        <v>384</v>
      </c>
      <c r="F1845" s="381" t="s">
        <v>505</v>
      </c>
    </row>
    <row r="1846" spans="2:6">
      <c r="B1846" s="365" t="s">
        <v>1059</v>
      </c>
      <c r="C1846" s="365" t="str">
        <f>CONCATENATE("EXP",Commodities!C49,"B",RIGHT(OILTrade!$Q$76,2))</f>
        <v>EXPGSRB</v>
      </c>
      <c r="D1846" s="365" t="str">
        <f>CONCATENATE("Export Barge/Vessel Trade of ",Commodities!C49, " from ",$B$1845," to R",RIGHT(C1846))</f>
        <v>Export Barge/Vessel Trade of GSR from *R7 to RB</v>
      </c>
      <c r="E1846" s="381" t="s">
        <v>384</v>
      </c>
      <c r="F1846" s="381" t="s">
        <v>505</v>
      </c>
    </row>
    <row r="1847" spans="2:6">
      <c r="B1847" s="365" t="s">
        <v>1059</v>
      </c>
      <c r="C1847" s="365" t="str">
        <f>CONCATENATE("EXP",Commodities!C50,"B",RIGHT(OILTrade!$Q$76,2))</f>
        <v>EXPDSHB</v>
      </c>
      <c r="D1847" s="365" t="str">
        <f>CONCATENATE("Export Barge/Vessel Trade of ",Commodities!C50, " from ",$B$1845," to R",RIGHT(C1847))</f>
        <v>Export Barge/Vessel Trade of DSH from *R7 to RB</v>
      </c>
      <c r="E1847" s="381" t="s">
        <v>384</v>
      </c>
      <c r="F1847" s="381" t="s">
        <v>505</v>
      </c>
    </row>
    <row r="1848" spans="2:6">
      <c r="B1848" s="365" t="s">
        <v>1059</v>
      </c>
      <c r="C1848" s="365" t="str">
        <f>CONCATENATE("EXP",Commodities!C51,"B",RIGHT(OILTrade!$Q$76,2))</f>
        <v>EXPDSLB</v>
      </c>
      <c r="D1848" s="365" t="str">
        <f>CONCATENATE("Export Barge/Vessel Trade of ",Commodities!C51, " from ",$B$1845," to R",RIGHT(C1848))</f>
        <v>Export Barge/Vessel Trade of DSL from *R7 to RB</v>
      </c>
      <c r="E1848" s="381" t="s">
        <v>384</v>
      </c>
      <c r="F1848" s="381" t="s">
        <v>505</v>
      </c>
    </row>
    <row r="1849" spans="2:6">
      <c r="B1849" s="365" t="s">
        <v>1059</v>
      </c>
      <c r="C1849" s="365" t="str">
        <f>CONCATENATE("EXP",Commodities!C52,"B",RIGHT(OILTrade!$Q$76,2))</f>
        <v>EXPDSUB</v>
      </c>
      <c r="D1849" s="365" t="str">
        <f>CONCATENATE("Export Barge/Vessel Trade of ",Commodities!C52, " from ",$B$1845," to R",RIGHT(C1849))</f>
        <v>Export Barge/Vessel Trade of DSU from *R7 to RB</v>
      </c>
      <c r="E1849" s="381" t="s">
        <v>384</v>
      </c>
      <c r="F1849" s="381" t="s">
        <v>505</v>
      </c>
    </row>
    <row r="1850" spans="2:6">
      <c r="B1850" s="365" t="s">
        <v>1059</v>
      </c>
      <c r="C1850" s="365" t="str">
        <f>CONCATENATE("EXP",Commodities!C53,"B",RIGHT(OILTrade!$Q$76,2))</f>
        <v>EXPJTFB</v>
      </c>
      <c r="D1850" s="365" t="str">
        <f>CONCATENATE("Export Barge/Vessel Trade of ",Commodities!C53, " from ",$B$1845," to R",RIGHT(C1850))</f>
        <v>Export Barge/Vessel Trade of JTF from *R7 to RB</v>
      </c>
      <c r="E1850" s="381" t="s">
        <v>384</v>
      </c>
      <c r="F1850" s="381" t="s">
        <v>505</v>
      </c>
    </row>
    <row r="1851" spans="2:6">
      <c r="B1851" s="365" t="s">
        <v>1059</v>
      </c>
      <c r="C1851" s="365" t="str">
        <f>CONCATENATE("EXP",Commodities!C54,"B",RIGHT(OILTrade!$Q$76,2))</f>
        <v>EXPKERB</v>
      </c>
      <c r="D1851" s="365" t="str">
        <f>CONCATENATE("Export Barge/Vessel Trade of ",Commodities!C54, " from ",$B$1845," to R",RIGHT(C1851))</f>
        <v>Export Barge/Vessel Trade of KER from *R7 to RB</v>
      </c>
      <c r="E1851" s="381" t="s">
        <v>384</v>
      </c>
      <c r="F1851" s="381" t="s">
        <v>505</v>
      </c>
    </row>
    <row r="1852" spans="2:6">
      <c r="B1852" s="365" t="s">
        <v>1059</v>
      </c>
      <c r="C1852" s="365" t="str">
        <f>CONCATENATE("EXP",Commodities!C55,"B",RIGHT(OILTrade!$Q$76,2))</f>
        <v>EXPLPGB</v>
      </c>
      <c r="D1852" s="365" t="str">
        <f>CONCATENATE("Export Barge/Vessel Trade of ",Commodities!C55, " from ",$B$1845," to R",RIGHT(C1852))</f>
        <v>Export Barge/Vessel Trade of LPG from *R7 to RB</v>
      </c>
      <c r="E1852" s="381" t="s">
        <v>384</v>
      </c>
      <c r="F1852" s="381" t="s">
        <v>505</v>
      </c>
    </row>
    <row r="1853" spans="2:6">
      <c r="B1853" s="365" t="s">
        <v>1059</v>
      </c>
      <c r="C1853" s="365" t="str">
        <f>CONCATENATE("EXP",Commodities!C56,"B",RIGHT(OILTrade!$Q$76,2))</f>
        <v>EXPMTHB</v>
      </c>
      <c r="D1853" s="365" t="str">
        <f>CONCATENATE("Export Barge/Vessel Trade of ",Commodities!C56, " from ",$B$1845," to R",RIGHT(C1853))</f>
        <v>Export Barge/Vessel Trade of MTH from *R7 to RB</v>
      </c>
      <c r="E1853" s="381" t="s">
        <v>384</v>
      </c>
      <c r="F1853" s="381" t="s">
        <v>505</v>
      </c>
    </row>
    <row r="1854" spans="2:6">
      <c r="B1854" s="365" t="s">
        <v>1059</v>
      </c>
      <c r="C1854" s="365" t="str">
        <f>CONCATENATE("EXP",Commodities!C57,"B",RIGHT(OILTrade!$Q$76,2))</f>
        <v>EXPPFSB</v>
      </c>
      <c r="D1854" s="365" t="str">
        <f>CONCATENATE("Export Barge/Vessel Trade of ",Commodities!C57, " from ",$B$1845," to R",RIGHT(C1854))</f>
        <v>Export Barge/Vessel Trade of PFS from *R7 to RB</v>
      </c>
      <c r="E1854" s="381" t="s">
        <v>384</v>
      </c>
      <c r="F1854" s="381" t="s">
        <v>505</v>
      </c>
    </row>
    <row r="1855" spans="2:6">
      <c r="B1855" s="365" t="s">
        <v>1059</v>
      </c>
      <c r="C1855" s="365" t="str">
        <f>CONCATENATE("EXP",Commodities!C58,"B",RIGHT(OILTrade!$Q$76,2))</f>
        <v>EXPRFHB</v>
      </c>
      <c r="D1855" s="365" t="str">
        <f>CONCATENATE("Export Barge/Vessel Trade of ",Commodities!C58, " from ",$B$1845," to R",RIGHT(C1855))</f>
        <v>Export Barge/Vessel Trade of RFH from *R7 to RB</v>
      </c>
      <c r="E1855" s="381" t="s">
        <v>384</v>
      </c>
      <c r="F1855" s="381" t="s">
        <v>505</v>
      </c>
    </row>
    <row r="1856" spans="2:6">
      <c r="B1856" s="365" t="s">
        <v>1059</v>
      </c>
      <c r="C1856" s="365" t="str">
        <f>CONCATENATE("EXP",Commodities!C59,"B",RIGHT(OILTrade!$Q$76,2))</f>
        <v>EXPRFLB</v>
      </c>
      <c r="D1856" s="365" t="str">
        <f>CONCATENATE("Export Barge/Vessel Trade of ",Commodities!C59, " from ",$B$1845," to R",RIGHT(C1856))</f>
        <v>Export Barge/Vessel Trade of RFL from *R7 to RB</v>
      </c>
      <c r="E1856" s="381" t="s">
        <v>384</v>
      </c>
      <c r="F1856" s="381" t="s">
        <v>505</v>
      </c>
    </row>
    <row r="1857" spans="2:6">
      <c r="B1857" s="365" t="s">
        <v>1059</v>
      </c>
      <c r="C1857" s="365" t="str">
        <f>CONCATENATE("EXP",Commodities!C60,"B",RIGHT(OILTrade!$Q$76,2))</f>
        <v>EXPASPB</v>
      </c>
      <c r="D1857" s="365" t="str">
        <f>CONCATENATE("Export Barge/Vessel Trade of ",Commodities!C60, " from ",$B$1845," to R",RIGHT(C1857))</f>
        <v>Export Barge/Vessel Trade of ASP from *R7 to RB</v>
      </c>
      <c r="E1857" s="381" t="s">
        <v>384</v>
      </c>
      <c r="F1857" s="381" t="s">
        <v>505</v>
      </c>
    </row>
    <row r="1858" spans="2:6">
      <c r="B1858" s="365" t="s">
        <v>1059</v>
      </c>
      <c r="C1858" s="365" t="str">
        <f>CONCATENATE("EXP",Commodities!C48,"B",RIGHT(OILTrade!$R$76,2))</f>
        <v>EXPGSCB</v>
      </c>
      <c r="D1858" s="365" t="str">
        <f>CONCATENATE("Export Barge/Vessel Trade of ",Commodities!C48, " from ",$B$1858," to R",RIGHT(C1858))</f>
        <v>Export Barge/Vessel Trade of GSC from *R7 to RB</v>
      </c>
      <c r="E1858" s="381" t="s">
        <v>384</v>
      </c>
      <c r="F1858" s="381" t="s">
        <v>505</v>
      </c>
    </row>
    <row r="1859" spans="2:6">
      <c r="B1859" s="365" t="s">
        <v>1059</v>
      </c>
      <c r="C1859" s="365" t="str">
        <f>CONCATENATE("EXP",Commodities!C49,"B",RIGHT(OILTrade!$R$76,2))</f>
        <v>EXPGSRB</v>
      </c>
      <c r="D1859" s="365" t="str">
        <f>CONCATENATE("Export Barge/Vessel Trade of ",Commodities!C49, " from ",$B$1858," to R",RIGHT(C1859))</f>
        <v>Export Barge/Vessel Trade of GSR from *R7 to RB</v>
      </c>
      <c r="E1859" s="381" t="s">
        <v>384</v>
      </c>
      <c r="F1859" s="381" t="s">
        <v>505</v>
      </c>
    </row>
    <row r="1860" spans="2:6">
      <c r="B1860" s="365" t="s">
        <v>1059</v>
      </c>
      <c r="C1860" s="365" t="str">
        <f>CONCATENATE("EXP",Commodities!C50,"B",RIGHT(OILTrade!$R$76,2))</f>
        <v>EXPDSHB</v>
      </c>
      <c r="D1860" s="365" t="str">
        <f>CONCATENATE("Export Barge/Vessel Trade of ",Commodities!C50, " from ",$B$1858," to R",RIGHT(C1860))</f>
        <v>Export Barge/Vessel Trade of DSH from *R7 to RB</v>
      </c>
      <c r="E1860" s="381" t="s">
        <v>384</v>
      </c>
      <c r="F1860" s="381" t="s">
        <v>505</v>
      </c>
    </row>
    <row r="1861" spans="2:6">
      <c r="B1861" s="365" t="s">
        <v>1059</v>
      </c>
      <c r="C1861" s="365" t="str">
        <f>CONCATENATE("EXP",Commodities!C51,"B",RIGHT(OILTrade!$R$76,2))</f>
        <v>EXPDSLB</v>
      </c>
      <c r="D1861" s="365" t="str">
        <f>CONCATENATE("Export Barge/Vessel Trade of ",Commodities!C51, " from ",$B$1858," to R",RIGHT(C1861))</f>
        <v>Export Barge/Vessel Trade of DSL from *R7 to RB</v>
      </c>
      <c r="E1861" s="381" t="s">
        <v>384</v>
      </c>
      <c r="F1861" s="381" t="s">
        <v>505</v>
      </c>
    </row>
    <row r="1862" spans="2:6">
      <c r="B1862" s="365" t="s">
        <v>1059</v>
      </c>
      <c r="C1862" s="365" t="str">
        <f>CONCATENATE("EXP",Commodities!C52,"B",RIGHT(OILTrade!$R$76,2))</f>
        <v>EXPDSUB</v>
      </c>
      <c r="D1862" s="365" t="str">
        <f>CONCATENATE("Export Barge/Vessel Trade of ",Commodities!C52, " from ",$B$1858," to R",RIGHT(C1862))</f>
        <v>Export Barge/Vessel Trade of DSU from *R7 to RB</v>
      </c>
      <c r="E1862" s="381" t="s">
        <v>384</v>
      </c>
      <c r="F1862" s="381" t="s">
        <v>505</v>
      </c>
    </row>
    <row r="1863" spans="2:6">
      <c r="B1863" s="365" t="s">
        <v>1059</v>
      </c>
      <c r="C1863" s="365" t="str">
        <f>CONCATENATE("EXP",Commodities!C53,"B",RIGHT(OILTrade!$R$76,2))</f>
        <v>EXPJTFB</v>
      </c>
      <c r="D1863" s="365" t="str">
        <f>CONCATENATE("Export Barge/Vessel Trade of ",Commodities!C53, " from ",$B$1858," to R",RIGHT(C1863))</f>
        <v>Export Barge/Vessel Trade of JTF from *R7 to RB</v>
      </c>
      <c r="E1863" s="381" t="s">
        <v>384</v>
      </c>
      <c r="F1863" s="381" t="s">
        <v>505</v>
      </c>
    </row>
    <row r="1864" spans="2:6">
      <c r="B1864" s="365" t="s">
        <v>1059</v>
      </c>
      <c r="C1864" s="365" t="str">
        <f>CONCATENATE("EXP",Commodities!C54,"B",RIGHT(OILTrade!$R$76,2))</f>
        <v>EXPKERB</v>
      </c>
      <c r="D1864" s="365" t="str">
        <f>CONCATENATE("Export Barge/Vessel Trade of ",Commodities!C54, " from ",$B$1858," to R",RIGHT(C1864))</f>
        <v>Export Barge/Vessel Trade of KER from *R7 to RB</v>
      </c>
      <c r="E1864" s="381" t="s">
        <v>384</v>
      </c>
      <c r="F1864" s="381" t="s">
        <v>505</v>
      </c>
    </row>
    <row r="1865" spans="2:6">
      <c r="B1865" s="365" t="s">
        <v>1059</v>
      </c>
      <c r="C1865" s="365" t="str">
        <f>CONCATENATE("EXP",Commodities!C55,"B",RIGHT(OILTrade!$R$76,2))</f>
        <v>EXPLPGB</v>
      </c>
      <c r="D1865" s="365" t="str">
        <f>CONCATENATE("Export Barge/Vessel Trade of ",Commodities!C55, " from ",$B$1858," to R",RIGHT(C1865))</f>
        <v>Export Barge/Vessel Trade of LPG from *R7 to RB</v>
      </c>
      <c r="E1865" s="381" t="s">
        <v>384</v>
      </c>
      <c r="F1865" s="381" t="s">
        <v>505</v>
      </c>
    </row>
    <row r="1866" spans="2:6">
      <c r="B1866" s="365" t="s">
        <v>1059</v>
      </c>
      <c r="C1866" s="365" t="str">
        <f>CONCATENATE("EXP",Commodities!C56,"B",RIGHT(OILTrade!$R$76,2))</f>
        <v>EXPMTHB</v>
      </c>
      <c r="D1866" s="365" t="str">
        <f>CONCATENATE("Export Barge/Vessel Trade of ",Commodities!C56, " from ",$B$1858," to R",RIGHT(C1866))</f>
        <v>Export Barge/Vessel Trade of MTH from *R7 to RB</v>
      </c>
      <c r="E1866" s="381" t="s">
        <v>384</v>
      </c>
      <c r="F1866" s="381" t="s">
        <v>505</v>
      </c>
    </row>
    <row r="1867" spans="2:6">
      <c r="B1867" s="365" t="s">
        <v>1059</v>
      </c>
      <c r="C1867" s="365" t="str">
        <f>CONCATENATE("EXP",Commodities!C57,"B",RIGHT(OILTrade!$R$76,2))</f>
        <v>EXPPFSB</v>
      </c>
      <c r="D1867" s="365" t="str">
        <f>CONCATENATE("Export Barge/Vessel Trade of ",Commodities!C57, " from ",$B$1858," to R",RIGHT(C1867))</f>
        <v>Export Barge/Vessel Trade of PFS from *R7 to RB</v>
      </c>
      <c r="E1867" s="381" t="s">
        <v>384</v>
      </c>
      <c r="F1867" s="381" t="s">
        <v>505</v>
      </c>
    </row>
    <row r="1868" spans="2:6">
      <c r="B1868" s="365" t="s">
        <v>1059</v>
      </c>
      <c r="C1868" s="365" t="str">
        <f>CONCATENATE("EXP",Commodities!C58,"B",RIGHT(OILTrade!$R$76,2))</f>
        <v>EXPRFHB</v>
      </c>
      <c r="D1868" s="365" t="str">
        <f>CONCATENATE("Export Barge/Vessel Trade of ",Commodities!C58, " from ",$B$1858," to R",RIGHT(C1868))</f>
        <v>Export Barge/Vessel Trade of RFH from *R7 to RB</v>
      </c>
      <c r="E1868" s="381" t="s">
        <v>384</v>
      </c>
      <c r="F1868" s="381" t="s">
        <v>505</v>
      </c>
    </row>
    <row r="1869" spans="2:6">
      <c r="B1869" s="365" t="s">
        <v>1059</v>
      </c>
      <c r="C1869" s="365" t="str">
        <f>CONCATENATE("EXP",Commodities!C59,"B",RIGHT(OILTrade!$R$76,2))</f>
        <v>EXPRFLB</v>
      </c>
      <c r="D1869" s="365" t="str">
        <f>CONCATENATE("Export Barge/Vessel Trade of ",Commodities!C59, " from ",$B$1858," to R",RIGHT(C1869))</f>
        <v>Export Barge/Vessel Trade of RFL from *R7 to RB</v>
      </c>
      <c r="E1869" s="381" t="s">
        <v>384</v>
      </c>
      <c r="F1869" s="381" t="s">
        <v>505</v>
      </c>
    </row>
    <row r="1870" spans="2:6">
      <c r="B1870" s="365" t="s">
        <v>1059</v>
      </c>
      <c r="C1870" s="365" t="str">
        <f>CONCATENATE("EXP",Commodities!C60,"B",RIGHT(OILTrade!$R$76,2))</f>
        <v>EXPASPB</v>
      </c>
      <c r="D1870" s="365" t="str">
        <f>CONCATENATE("Export Barge/Vessel Trade of ",Commodities!C60, " from ",$B$1858," to R",RIGHT(C1870))</f>
        <v>Export Barge/Vessel Trade of ASP from *R7 to RB</v>
      </c>
      <c r="E1870" s="381" t="s">
        <v>384</v>
      </c>
      <c r="F1870" s="381" t="s">
        <v>505</v>
      </c>
    </row>
    <row r="1871" spans="2:6">
      <c r="B1871" s="365" t="s">
        <v>1059</v>
      </c>
      <c r="C1871" s="365" t="str">
        <f>CONCATENATE("EXP",Commodities!C48,"B",RIGHT(OILTrade!$S$76,2))</f>
        <v>EXPGSCB</v>
      </c>
      <c r="D1871" s="365" t="str">
        <f>CONCATENATE("Export Barge/Vessel Trade of ",Commodities!C48, " from ",$B$1871," to R",RIGHT(C1871))</f>
        <v>Export Barge/Vessel Trade of GSC from *R7 to RB</v>
      </c>
      <c r="E1871" s="381" t="s">
        <v>384</v>
      </c>
      <c r="F1871" s="381" t="s">
        <v>505</v>
      </c>
    </row>
    <row r="1872" spans="2:6">
      <c r="B1872" s="365" t="s">
        <v>1059</v>
      </c>
      <c r="C1872" s="365" t="str">
        <f>CONCATENATE("EXP",Commodities!C49,"B",RIGHT(OILTrade!$S$76,2))</f>
        <v>EXPGSRB</v>
      </c>
      <c r="D1872" s="365" t="str">
        <f>CONCATENATE("Export Barge/Vessel Trade of ",Commodities!C49, " from ",$B$1871," to R",RIGHT(C1872))</f>
        <v>Export Barge/Vessel Trade of GSR from *R7 to RB</v>
      </c>
      <c r="E1872" s="381" t="s">
        <v>384</v>
      </c>
      <c r="F1872" s="381" t="s">
        <v>505</v>
      </c>
    </row>
    <row r="1873" spans="2:6">
      <c r="B1873" s="365" t="s">
        <v>1059</v>
      </c>
      <c r="C1873" s="365" t="str">
        <f>CONCATENATE("EXP",Commodities!C50,"B",RIGHT(OILTrade!$S$76,2))</f>
        <v>EXPDSHB</v>
      </c>
      <c r="D1873" s="365" t="str">
        <f>CONCATENATE("Export Barge/Vessel Trade of ",Commodities!C50, " from ",$B$1871," to R",RIGHT(C1873))</f>
        <v>Export Barge/Vessel Trade of DSH from *R7 to RB</v>
      </c>
      <c r="E1873" s="381" t="s">
        <v>384</v>
      </c>
      <c r="F1873" s="381" t="s">
        <v>505</v>
      </c>
    </row>
    <row r="1874" spans="2:6">
      <c r="B1874" s="365" t="s">
        <v>1059</v>
      </c>
      <c r="C1874" s="365" t="str">
        <f>CONCATENATE("EXP",Commodities!C51,"B",RIGHT(OILTrade!$S$76,2))</f>
        <v>EXPDSLB</v>
      </c>
      <c r="D1874" s="365" t="str">
        <f>CONCATENATE("Export Barge/Vessel Trade of ",Commodities!C51, " from ",$B$1871," to R",RIGHT(C1874))</f>
        <v>Export Barge/Vessel Trade of DSL from *R7 to RB</v>
      </c>
      <c r="E1874" s="381" t="s">
        <v>384</v>
      </c>
      <c r="F1874" s="381" t="s">
        <v>505</v>
      </c>
    </row>
    <row r="1875" spans="2:6">
      <c r="B1875" s="365" t="s">
        <v>1059</v>
      </c>
      <c r="C1875" s="365" t="str">
        <f>CONCATENATE("EXP",Commodities!C52,"B",RIGHT(OILTrade!$S$76,2))</f>
        <v>EXPDSUB</v>
      </c>
      <c r="D1875" s="365" t="str">
        <f>CONCATENATE("Export Barge/Vessel Trade of ",Commodities!C52, " from ",$B$1871," to R",RIGHT(C1875))</f>
        <v>Export Barge/Vessel Trade of DSU from *R7 to RB</v>
      </c>
      <c r="E1875" s="381" t="s">
        <v>384</v>
      </c>
      <c r="F1875" s="381" t="s">
        <v>505</v>
      </c>
    </row>
    <row r="1876" spans="2:6">
      <c r="B1876" s="365" t="s">
        <v>1059</v>
      </c>
      <c r="C1876" s="365" t="str">
        <f>CONCATENATE("EXP",Commodities!C53,"B",RIGHT(OILTrade!$S$76,2))</f>
        <v>EXPJTFB</v>
      </c>
      <c r="D1876" s="365" t="str">
        <f>CONCATENATE("Export Barge/Vessel Trade of ",Commodities!C53, " from ",$B$1871," to R",RIGHT(C1876))</f>
        <v>Export Barge/Vessel Trade of JTF from *R7 to RB</v>
      </c>
      <c r="E1876" s="381" t="s">
        <v>384</v>
      </c>
      <c r="F1876" s="381" t="s">
        <v>505</v>
      </c>
    </row>
    <row r="1877" spans="2:6">
      <c r="B1877" s="365" t="s">
        <v>1059</v>
      </c>
      <c r="C1877" s="365" t="str">
        <f>CONCATENATE("EXP",Commodities!C54,"B",RIGHT(OILTrade!$S$76,2))</f>
        <v>EXPKERB</v>
      </c>
      <c r="D1877" s="365" t="str">
        <f>CONCATENATE("Export Barge/Vessel Trade of ",Commodities!C54, " from ",$B$1871," to R",RIGHT(C1877))</f>
        <v>Export Barge/Vessel Trade of KER from *R7 to RB</v>
      </c>
      <c r="E1877" s="381" t="s">
        <v>384</v>
      </c>
      <c r="F1877" s="381" t="s">
        <v>505</v>
      </c>
    </row>
    <row r="1878" spans="2:6">
      <c r="B1878" s="365" t="s">
        <v>1059</v>
      </c>
      <c r="C1878" s="365" t="str">
        <f>CONCATENATE("EXP",Commodities!C55,"B",RIGHT(OILTrade!$S$76,2))</f>
        <v>EXPLPGB</v>
      </c>
      <c r="D1878" s="365" t="str">
        <f>CONCATENATE("Export Barge/Vessel Trade of ",Commodities!C55, " from ",$B$1871," to R",RIGHT(C1878))</f>
        <v>Export Barge/Vessel Trade of LPG from *R7 to RB</v>
      </c>
      <c r="E1878" s="381" t="s">
        <v>384</v>
      </c>
      <c r="F1878" s="381" t="s">
        <v>505</v>
      </c>
    </row>
    <row r="1879" spans="2:6">
      <c r="B1879" s="365" t="s">
        <v>1059</v>
      </c>
      <c r="C1879" s="365" t="str">
        <f>CONCATENATE("EXP",Commodities!C56,"B",RIGHT(OILTrade!$S$76,2))</f>
        <v>EXPMTHB</v>
      </c>
      <c r="D1879" s="365" t="str">
        <f>CONCATENATE("Export Barge/Vessel Trade of ",Commodities!C56, " from ",$B$1871," to R",RIGHT(C1879))</f>
        <v>Export Barge/Vessel Trade of MTH from *R7 to RB</v>
      </c>
      <c r="E1879" s="381" t="s">
        <v>384</v>
      </c>
      <c r="F1879" s="381" t="s">
        <v>505</v>
      </c>
    </row>
    <row r="1880" spans="2:6">
      <c r="B1880" s="365" t="s">
        <v>1059</v>
      </c>
      <c r="C1880" s="365" t="str">
        <f>CONCATENATE("EXP",Commodities!C57,"B",RIGHT(OILTrade!$S$76,2))</f>
        <v>EXPPFSB</v>
      </c>
      <c r="D1880" s="365" t="str">
        <f>CONCATENATE("Export Barge/Vessel Trade of ",Commodities!C57, " from ",$B$1871," to R",RIGHT(C1880))</f>
        <v>Export Barge/Vessel Trade of PFS from *R7 to RB</v>
      </c>
      <c r="E1880" s="381" t="s">
        <v>384</v>
      </c>
      <c r="F1880" s="381" t="s">
        <v>505</v>
      </c>
    </row>
    <row r="1881" spans="2:6">
      <c r="B1881" s="365" t="s">
        <v>1059</v>
      </c>
      <c r="C1881" s="365" t="str">
        <f>CONCATENATE("EXP",Commodities!C58,"B",RIGHT(OILTrade!$S$76,2))</f>
        <v>EXPRFHB</v>
      </c>
      <c r="D1881" s="365" t="str">
        <f>CONCATENATE("Export Barge/Vessel Trade of ",Commodities!C58, " from ",$B$1871," to R",RIGHT(C1881))</f>
        <v>Export Barge/Vessel Trade of RFH from *R7 to RB</v>
      </c>
      <c r="E1881" s="381" t="s">
        <v>384</v>
      </c>
      <c r="F1881" s="381" t="s">
        <v>505</v>
      </c>
    </row>
    <row r="1882" spans="2:6">
      <c r="B1882" s="365" t="s">
        <v>1059</v>
      </c>
      <c r="C1882" s="365" t="str">
        <f>CONCATENATE("EXP",Commodities!C59,"B",RIGHT(OILTrade!$S$76,2))</f>
        <v>EXPRFLB</v>
      </c>
      <c r="D1882" s="365" t="str">
        <f>CONCATENATE("Export Barge/Vessel Trade of ",Commodities!C59, " from ",$B$1871," to R",RIGHT(C1882))</f>
        <v>Export Barge/Vessel Trade of RFL from *R7 to RB</v>
      </c>
      <c r="E1882" s="381" t="s">
        <v>384</v>
      </c>
      <c r="F1882" s="381" t="s">
        <v>505</v>
      </c>
    </row>
    <row r="1883" spans="2:6">
      <c r="B1883" s="365" t="s">
        <v>1059</v>
      </c>
      <c r="C1883" s="365" t="str">
        <f>CONCATENATE("EXP",Commodities!C60,"B",RIGHT(OILTrade!$S$76,2))</f>
        <v>EXPASPB</v>
      </c>
      <c r="D1883" s="365" t="str">
        <f>CONCATENATE("Export Barge/Vessel Trade of ",Commodities!C60, " from ",$B$1871," to R",RIGHT(C1883))</f>
        <v>Export Barge/Vessel Trade of ASP from *R7 to RB</v>
      </c>
      <c r="E1883" s="381" t="s">
        <v>384</v>
      </c>
      <c r="F1883" s="381" t="s">
        <v>505</v>
      </c>
    </row>
    <row r="1884" spans="2:6">
      <c r="B1884" s="365" t="s">
        <v>1059</v>
      </c>
      <c r="C1884" s="365" t="str">
        <f>CONCATENATE("EXP",Commodities!C48,"B",RIGHT(OILTrade!$T$76,2))</f>
        <v>EXPGSCB</v>
      </c>
      <c r="D1884" s="365" t="str">
        <f>CONCATENATE("Export Barge/Vessel Trade of ",Commodities!C48, " from ",$B$1884," to R",RIGHT(C1884))</f>
        <v>Export Barge/Vessel Trade of GSC from *R7 to RB</v>
      </c>
      <c r="E1884" s="381" t="s">
        <v>384</v>
      </c>
      <c r="F1884" s="381" t="s">
        <v>505</v>
      </c>
    </row>
    <row r="1885" spans="2:6">
      <c r="B1885" s="365" t="s">
        <v>1059</v>
      </c>
      <c r="C1885" s="365" t="str">
        <f>CONCATENATE("EXP",Commodities!C49,"B",RIGHT(OILTrade!$T$76,2))</f>
        <v>EXPGSRB</v>
      </c>
      <c r="D1885" s="365" t="str">
        <f>CONCATENATE("Export Barge/Vessel Trade of ",Commodities!C49, " from ",$B$1884," to R",RIGHT(C1885))</f>
        <v>Export Barge/Vessel Trade of GSR from *R7 to RB</v>
      </c>
      <c r="E1885" s="381" t="s">
        <v>384</v>
      </c>
      <c r="F1885" s="381" t="s">
        <v>505</v>
      </c>
    </row>
    <row r="1886" spans="2:6">
      <c r="B1886" s="365" t="s">
        <v>1059</v>
      </c>
      <c r="C1886" s="365" t="str">
        <f>CONCATENATE("EXP",Commodities!C50,"B",RIGHT(OILTrade!$T$76,2))</f>
        <v>EXPDSHB</v>
      </c>
      <c r="D1886" s="365" t="str">
        <f>CONCATENATE("Export Barge/Vessel Trade of ",Commodities!C50, " from ",$B$1884," to R",RIGHT(C1886))</f>
        <v>Export Barge/Vessel Trade of DSH from *R7 to RB</v>
      </c>
      <c r="E1886" s="381" t="s">
        <v>384</v>
      </c>
      <c r="F1886" s="381" t="s">
        <v>505</v>
      </c>
    </row>
    <row r="1887" spans="2:6">
      <c r="B1887" s="365" t="s">
        <v>1059</v>
      </c>
      <c r="C1887" s="365" t="str">
        <f>CONCATENATE("EXP",Commodities!C51,"B",RIGHT(OILTrade!$T$76,2))</f>
        <v>EXPDSLB</v>
      </c>
      <c r="D1887" s="365" t="str">
        <f>CONCATENATE("Export Barge/Vessel Trade of ",Commodities!C51, " from ",$B$1884," to R",RIGHT(C1887))</f>
        <v>Export Barge/Vessel Trade of DSL from *R7 to RB</v>
      </c>
      <c r="E1887" s="381" t="s">
        <v>384</v>
      </c>
      <c r="F1887" s="381" t="s">
        <v>505</v>
      </c>
    </row>
    <row r="1888" spans="2:6">
      <c r="B1888" s="365" t="s">
        <v>1059</v>
      </c>
      <c r="C1888" s="365" t="str">
        <f>CONCATENATE("EXP",Commodities!C52,"B",RIGHT(OILTrade!$T$76,2))</f>
        <v>EXPDSUB</v>
      </c>
      <c r="D1888" s="365" t="str">
        <f>CONCATENATE("Export Barge/Vessel Trade of ",Commodities!C52, " from ",$B$1884," to R",RIGHT(C1888))</f>
        <v>Export Barge/Vessel Trade of DSU from *R7 to RB</v>
      </c>
      <c r="E1888" s="381" t="s">
        <v>384</v>
      </c>
      <c r="F1888" s="381" t="s">
        <v>505</v>
      </c>
    </row>
    <row r="1889" spans="2:6">
      <c r="B1889" s="365" t="s">
        <v>1059</v>
      </c>
      <c r="C1889" s="365" t="str">
        <f>CONCATENATE("EXP",Commodities!C53,"B",RIGHT(OILTrade!$T$76,2))</f>
        <v>EXPJTFB</v>
      </c>
      <c r="D1889" s="365" t="str">
        <f>CONCATENATE("Export Barge/Vessel Trade of ",Commodities!C53, " from ",$B$1884," to R",RIGHT(C1889))</f>
        <v>Export Barge/Vessel Trade of JTF from *R7 to RB</v>
      </c>
      <c r="E1889" s="381" t="s">
        <v>384</v>
      </c>
      <c r="F1889" s="381" t="s">
        <v>505</v>
      </c>
    </row>
    <row r="1890" spans="2:6">
      <c r="B1890" s="365" t="s">
        <v>1059</v>
      </c>
      <c r="C1890" s="365" t="str">
        <f>CONCATENATE("EXP",Commodities!C54,"B",RIGHT(OILTrade!$T$76,2))</f>
        <v>EXPKERB</v>
      </c>
      <c r="D1890" s="365" t="str">
        <f>CONCATENATE("Export Barge/Vessel Trade of ",Commodities!C54, " from ",$B$1884," to R",RIGHT(C1890))</f>
        <v>Export Barge/Vessel Trade of KER from *R7 to RB</v>
      </c>
      <c r="E1890" s="381" t="s">
        <v>384</v>
      </c>
      <c r="F1890" s="381" t="s">
        <v>505</v>
      </c>
    </row>
    <row r="1891" spans="2:6">
      <c r="B1891" s="365" t="s">
        <v>1059</v>
      </c>
      <c r="C1891" s="365" t="str">
        <f>CONCATENATE("EXP",Commodities!C55,"B",RIGHT(OILTrade!$T$76,2))</f>
        <v>EXPLPGB</v>
      </c>
      <c r="D1891" s="365" t="str">
        <f>CONCATENATE("Export Barge/Vessel Trade of ",Commodities!C55, " from ",$B$1884," to R",RIGHT(C1891))</f>
        <v>Export Barge/Vessel Trade of LPG from *R7 to RB</v>
      </c>
      <c r="E1891" s="381" t="s">
        <v>384</v>
      </c>
      <c r="F1891" s="381" t="s">
        <v>505</v>
      </c>
    </row>
    <row r="1892" spans="2:6">
      <c r="B1892" s="365" t="s">
        <v>1059</v>
      </c>
      <c r="C1892" s="365" t="str">
        <f>CONCATENATE("EXP",Commodities!C56,"B",RIGHT(OILTrade!$T$76,2))</f>
        <v>EXPMTHB</v>
      </c>
      <c r="D1892" s="365" t="str">
        <f>CONCATENATE("Export Barge/Vessel Trade of ",Commodities!C56, " from ",$B$1884," to R",RIGHT(C1892))</f>
        <v>Export Barge/Vessel Trade of MTH from *R7 to RB</v>
      </c>
      <c r="E1892" s="381" t="s">
        <v>384</v>
      </c>
      <c r="F1892" s="381" t="s">
        <v>505</v>
      </c>
    </row>
    <row r="1893" spans="2:6">
      <c r="B1893" s="365" t="s">
        <v>1059</v>
      </c>
      <c r="C1893" s="365" t="str">
        <f>CONCATENATE("EXP",Commodities!C57,"B",RIGHT(OILTrade!$T$76,2))</f>
        <v>EXPPFSB</v>
      </c>
      <c r="D1893" s="365" t="str">
        <f>CONCATENATE("Export Barge/Vessel Trade of ",Commodities!C57, " from ",$B$1884," to R",RIGHT(C1893))</f>
        <v>Export Barge/Vessel Trade of PFS from *R7 to RB</v>
      </c>
      <c r="E1893" s="381" t="s">
        <v>384</v>
      </c>
      <c r="F1893" s="381" t="s">
        <v>505</v>
      </c>
    </row>
    <row r="1894" spans="2:6">
      <c r="B1894" s="365" t="s">
        <v>1059</v>
      </c>
      <c r="C1894" s="365" t="str">
        <f>CONCATENATE("EXP",Commodities!C58,"B",RIGHT(OILTrade!$T$76,2))</f>
        <v>EXPRFHB</v>
      </c>
      <c r="D1894" s="365" t="str">
        <f>CONCATENATE("Export Barge/Vessel Trade of ",Commodities!C58, " from ",$B$1884," to R",RIGHT(C1894))</f>
        <v>Export Barge/Vessel Trade of RFH from *R7 to RB</v>
      </c>
      <c r="E1894" s="381" t="s">
        <v>384</v>
      </c>
      <c r="F1894" s="381" t="s">
        <v>505</v>
      </c>
    </row>
    <row r="1895" spans="2:6">
      <c r="B1895" s="365" t="s">
        <v>1059</v>
      </c>
      <c r="C1895" s="365" t="str">
        <f>CONCATENATE("EXP",Commodities!C59,"B",RIGHT(OILTrade!$T$76,2))</f>
        <v>EXPRFLB</v>
      </c>
      <c r="D1895" s="365" t="str">
        <f>CONCATENATE("Export Barge/Vessel Trade of ",Commodities!C59, " from ",$B$1884," to R",RIGHT(C1895))</f>
        <v>Export Barge/Vessel Trade of RFL from *R7 to RB</v>
      </c>
      <c r="E1895" s="381" t="s">
        <v>384</v>
      </c>
      <c r="F1895" s="381" t="s">
        <v>505</v>
      </c>
    </row>
    <row r="1896" spans="2:6">
      <c r="B1896" s="365" t="s">
        <v>1059</v>
      </c>
      <c r="C1896" s="365" t="str">
        <f>CONCATENATE("EXP",Commodities!C60,"B",RIGHT(OILTrade!$T$76,2))</f>
        <v>EXPASPB</v>
      </c>
      <c r="D1896" s="365" t="str">
        <f>CONCATENATE("Export Barge/Vessel Trade of ",Commodities!C60, " from ",$B$1884," to R",RIGHT(C1896))</f>
        <v>Export Barge/Vessel Trade of ASP from *R7 to RB</v>
      </c>
      <c r="E1896" s="381" t="s">
        <v>384</v>
      </c>
      <c r="F1896" s="381" t="s">
        <v>505</v>
      </c>
    </row>
    <row r="1897" spans="2:6">
      <c r="B1897" s="365" t="s">
        <v>1059</v>
      </c>
      <c r="C1897" s="365" t="str">
        <f>CONCATENATE("EXP",Commodities!C48,"B",RIGHT(OILTrade!$V$76,2))</f>
        <v>EXPGSCB</v>
      </c>
      <c r="D1897" s="365" t="str">
        <f>CONCATENATE("Export Barge/Vessel Trade of ",Commodities!C48, " from ",$B$1897," to R",RIGHT(C1897))</f>
        <v>Export Barge/Vessel Trade of GSC from *R7 to RB</v>
      </c>
      <c r="E1897" s="381" t="s">
        <v>384</v>
      </c>
      <c r="F1897" s="381" t="s">
        <v>505</v>
      </c>
    </row>
    <row r="1898" spans="2:6">
      <c r="B1898" s="365" t="s">
        <v>1059</v>
      </c>
      <c r="C1898" s="365" t="str">
        <f>CONCATENATE("EXP",Commodities!C49,"B",RIGHT(OILTrade!$V$76,2))</f>
        <v>EXPGSRB</v>
      </c>
      <c r="D1898" s="365" t="str">
        <f>CONCATENATE("Export Barge/Vessel Trade of ",Commodities!C49, " from ",$B$1897," to R",RIGHT(C1898))</f>
        <v>Export Barge/Vessel Trade of GSR from *R7 to RB</v>
      </c>
      <c r="E1898" s="381" t="s">
        <v>384</v>
      </c>
      <c r="F1898" s="381" t="s">
        <v>505</v>
      </c>
    </row>
    <row r="1899" spans="2:6">
      <c r="B1899" s="365" t="s">
        <v>1059</v>
      </c>
      <c r="C1899" s="365" t="str">
        <f>CONCATENATE("EXP",Commodities!C50,"B",RIGHT(OILTrade!$V$76,2))</f>
        <v>EXPDSHB</v>
      </c>
      <c r="D1899" s="365" t="str">
        <f>CONCATENATE("Export Barge/Vessel Trade of ",Commodities!C50, " from ",$B$1897," to R",RIGHT(C1899))</f>
        <v>Export Barge/Vessel Trade of DSH from *R7 to RB</v>
      </c>
      <c r="E1899" s="381" t="s">
        <v>384</v>
      </c>
      <c r="F1899" s="381" t="s">
        <v>505</v>
      </c>
    </row>
    <row r="1900" spans="2:6">
      <c r="B1900" s="365" t="s">
        <v>1059</v>
      </c>
      <c r="C1900" s="365" t="str">
        <f>CONCATENATE("EXP",Commodities!C51,"B",RIGHT(OILTrade!$V$76,2))</f>
        <v>EXPDSLB</v>
      </c>
      <c r="D1900" s="365" t="str">
        <f>CONCATENATE("Export Barge/Vessel Trade of ",Commodities!C51, " from ",$B$1897," to R",RIGHT(C1900))</f>
        <v>Export Barge/Vessel Trade of DSL from *R7 to RB</v>
      </c>
      <c r="E1900" s="381" t="s">
        <v>384</v>
      </c>
      <c r="F1900" s="381" t="s">
        <v>505</v>
      </c>
    </row>
    <row r="1901" spans="2:6">
      <c r="B1901" s="365" t="s">
        <v>1059</v>
      </c>
      <c r="C1901" s="365" t="str">
        <f>CONCATENATE("EXP",Commodities!C52,"B",RIGHT(OILTrade!$V$76,2))</f>
        <v>EXPDSUB</v>
      </c>
      <c r="D1901" s="365" t="str">
        <f>CONCATENATE("Export Barge/Vessel Trade of ",Commodities!C52, " from ",$B$1897," to R",RIGHT(C1901))</f>
        <v>Export Barge/Vessel Trade of DSU from *R7 to RB</v>
      </c>
      <c r="E1901" s="381" t="s">
        <v>384</v>
      </c>
      <c r="F1901" s="381" t="s">
        <v>505</v>
      </c>
    </row>
    <row r="1902" spans="2:6">
      <c r="B1902" s="365" t="s">
        <v>1059</v>
      </c>
      <c r="C1902" s="365" t="str">
        <f>CONCATENATE("EXP",Commodities!C53,"B",RIGHT(OILTrade!$V$76,2))</f>
        <v>EXPJTFB</v>
      </c>
      <c r="D1902" s="365" t="str">
        <f>CONCATENATE("Export Barge/Vessel Trade of ",Commodities!C53, " from ",$B$1897," to R",RIGHT(C1902))</f>
        <v>Export Barge/Vessel Trade of JTF from *R7 to RB</v>
      </c>
      <c r="E1902" s="381" t="s">
        <v>384</v>
      </c>
      <c r="F1902" s="381" t="s">
        <v>505</v>
      </c>
    </row>
    <row r="1903" spans="2:6">
      <c r="B1903" s="365" t="s">
        <v>1059</v>
      </c>
      <c r="C1903" s="365" t="str">
        <f>CONCATENATE("EXP",Commodities!C54,"B",RIGHT(OILTrade!$V$76,2))</f>
        <v>EXPKERB</v>
      </c>
      <c r="D1903" s="365" t="str">
        <f>CONCATENATE("Export Barge/Vessel Trade of ",Commodities!C54, " from ",$B$1897," to R",RIGHT(C1903))</f>
        <v>Export Barge/Vessel Trade of KER from *R7 to RB</v>
      </c>
      <c r="E1903" s="381" t="s">
        <v>384</v>
      </c>
      <c r="F1903" s="381" t="s">
        <v>505</v>
      </c>
    </row>
    <row r="1904" spans="2:6">
      <c r="B1904" s="365" t="s">
        <v>1059</v>
      </c>
      <c r="C1904" s="365" t="str">
        <f>CONCATENATE("EXP",Commodities!C55,"B",RIGHT(OILTrade!$V$76,2))</f>
        <v>EXPLPGB</v>
      </c>
      <c r="D1904" s="365" t="str">
        <f>CONCATENATE("Export Barge/Vessel Trade of ",Commodities!C55, " from ",$B$1897," to R",RIGHT(C1904))</f>
        <v>Export Barge/Vessel Trade of LPG from *R7 to RB</v>
      </c>
      <c r="E1904" s="381" t="s">
        <v>384</v>
      </c>
      <c r="F1904" s="381" t="s">
        <v>505</v>
      </c>
    </row>
    <row r="1905" spans="2:6">
      <c r="B1905" s="365" t="s">
        <v>1059</v>
      </c>
      <c r="C1905" s="365" t="str">
        <f>CONCATENATE("EXP",Commodities!C56,"B",RIGHT(OILTrade!$V$76,2))</f>
        <v>EXPMTHB</v>
      </c>
      <c r="D1905" s="365" t="str">
        <f>CONCATENATE("Export Barge/Vessel Trade of ",Commodities!C56, " from ",$B$1897," to R",RIGHT(C1905))</f>
        <v>Export Barge/Vessel Trade of MTH from *R7 to RB</v>
      </c>
      <c r="E1905" s="381" t="s">
        <v>384</v>
      </c>
      <c r="F1905" s="381" t="s">
        <v>505</v>
      </c>
    </row>
    <row r="1906" spans="2:6">
      <c r="B1906" s="365" t="s">
        <v>1059</v>
      </c>
      <c r="C1906" s="365" t="str">
        <f>CONCATENATE("EXP",Commodities!C57,"B",RIGHT(OILTrade!$V$76,2))</f>
        <v>EXPPFSB</v>
      </c>
      <c r="D1906" s="365" t="str">
        <f>CONCATENATE("Export Barge/Vessel Trade of ",Commodities!C57, " from ",$B$1897," to R",RIGHT(C1906))</f>
        <v>Export Barge/Vessel Trade of PFS from *R7 to RB</v>
      </c>
      <c r="E1906" s="381" t="s">
        <v>384</v>
      </c>
      <c r="F1906" s="381" t="s">
        <v>505</v>
      </c>
    </row>
    <row r="1907" spans="2:6">
      <c r="B1907" s="365" t="s">
        <v>1059</v>
      </c>
      <c r="C1907" s="365" t="str">
        <f>CONCATENATE("EXP",Commodities!C58,"B",RIGHT(OILTrade!$V$76,2))</f>
        <v>EXPRFHB</v>
      </c>
      <c r="D1907" s="365" t="str">
        <f>CONCATENATE("Export Barge/Vessel Trade of ",Commodities!C58, " from ",$B$1897," to R",RIGHT(C1907))</f>
        <v>Export Barge/Vessel Trade of RFH from *R7 to RB</v>
      </c>
      <c r="E1907" s="381" t="s">
        <v>384</v>
      </c>
      <c r="F1907" s="381" t="s">
        <v>505</v>
      </c>
    </row>
    <row r="1908" spans="2:6">
      <c r="B1908" s="365" t="s">
        <v>1059</v>
      </c>
      <c r="C1908" s="365" t="str">
        <f>CONCATENATE("EXP",Commodities!C59,"B",RIGHT(OILTrade!$V$76,2))</f>
        <v>EXPRFLB</v>
      </c>
      <c r="D1908" s="365" t="str">
        <f>CONCATENATE("Export Barge/Vessel Trade of ",Commodities!C59, " from ",$B$1897," to R",RIGHT(C1908))</f>
        <v>Export Barge/Vessel Trade of RFL from *R7 to RB</v>
      </c>
      <c r="E1908" s="381" t="s">
        <v>384</v>
      </c>
      <c r="F1908" s="381" t="s">
        <v>505</v>
      </c>
    </row>
    <row r="1909" spans="2:6">
      <c r="B1909" s="365" t="s">
        <v>1059</v>
      </c>
      <c r="C1909" s="365" t="str">
        <f>CONCATENATE("EXP",Commodities!C60,"B",RIGHT(OILTrade!$V$76,2))</f>
        <v>EXPASPB</v>
      </c>
      <c r="D1909" s="365" t="str">
        <f>CONCATENATE("Export Barge/Vessel Trade of ",Commodities!C60, " from ",$B$1897," to R",RIGHT(C1909))</f>
        <v>Export Barge/Vessel Trade of ASP from *R7 to RB</v>
      </c>
      <c r="E1909" s="381" t="s">
        <v>384</v>
      </c>
      <c r="F1909" s="381" t="s">
        <v>505</v>
      </c>
    </row>
    <row r="1910" spans="2:6">
      <c r="B1910" s="365" t="s">
        <v>1059</v>
      </c>
      <c r="C1910" s="365" t="str">
        <f>CONCATENATE("EXP",Commodities!C48,"B",RIGHT(OILTrade!$W$76,2))</f>
        <v>EXPGSCB</v>
      </c>
      <c r="D1910" s="365" t="str">
        <f>CONCATENATE("Export Barge/Vessel Trade of ",Commodities!C48, " from ",$B$1910," to R",RIGHT(C1910))</f>
        <v>Export Barge/Vessel Trade of GSC from *R7 to RB</v>
      </c>
      <c r="E1910" s="381" t="s">
        <v>384</v>
      </c>
      <c r="F1910" s="381" t="s">
        <v>505</v>
      </c>
    </row>
    <row r="1911" spans="2:6">
      <c r="B1911" s="365" t="s">
        <v>1059</v>
      </c>
      <c r="C1911" s="365" t="str">
        <f>CONCATENATE("EXP",Commodities!C49,"B",RIGHT(OILTrade!$W$76,2))</f>
        <v>EXPGSRB</v>
      </c>
      <c r="D1911" s="365" t="str">
        <f>CONCATENATE("Export Barge/Vessel Trade of ",Commodities!C49, " from ",$B$1910," to R",RIGHT(C1911))</f>
        <v>Export Barge/Vessel Trade of GSR from *R7 to RB</v>
      </c>
      <c r="E1911" s="381" t="s">
        <v>384</v>
      </c>
      <c r="F1911" s="381" t="s">
        <v>505</v>
      </c>
    </row>
    <row r="1912" spans="2:6">
      <c r="B1912" s="365" t="s">
        <v>1059</v>
      </c>
      <c r="C1912" s="365" t="str">
        <f>CONCATENATE("EXP",Commodities!C50,"B",RIGHT(OILTrade!$W$76,2))</f>
        <v>EXPDSHB</v>
      </c>
      <c r="D1912" s="365" t="str">
        <f>CONCATENATE("Export Barge/Vessel Trade of ",Commodities!C50, " from ",$B$1910," to R",RIGHT(C1912))</f>
        <v>Export Barge/Vessel Trade of DSH from *R7 to RB</v>
      </c>
      <c r="E1912" s="381" t="s">
        <v>384</v>
      </c>
      <c r="F1912" s="381" t="s">
        <v>505</v>
      </c>
    </row>
    <row r="1913" spans="2:6">
      <c r="B1913" s="365" t="s">
        <v>1059</v>
      </c>
      <c r="C1913" s="365" t="str">
        <f>CONCATENATE("EXP",Commodities!C51,"B",RIGHT(OILTrade!$W$76,2))</f>
        <v>EXPDSLB</v>
      </c>
      <c r="D1913" s="365" t="str">
        <f>CONCATENATE("Export Barge/Vessel Trade of ",Commodities!C51, " from ",$B$1910," to R",RIGHT(C1913))</f>
        <v>Export Barge/Vessel Trade of DSL from *R7 to RB</v>
      </c>
      <c r="E1913" s="381" t="s">
        <v>384</v>
      </c>
      <c r="F1913" s="381" t="s">
        <v>505</v>
      </c>
    </row>
    <row r="1914" spans="2:6">
      <c r="B1914" s="365" t="s">
        <v>1059</v>
      </c>
      <c r="C1914" s="365" t="str">
        <f>CONCATENATE("EXP",Commodities!C52,"B",RIGHT(OILTrade!$W$76,2))</f>
        <v>EXPDSUB</v>
      </c>
      <c r="D1914" s="365" t="str">
        <f>CONCATENATE("Export Barge/Vessel Trade of ",Commodities!C52, " from ",$B$1910," to R",RIGHT(C1914))</f>
        <v>Export Barge/Vessel Trade of DSU from *R7 to RB</v>
      </c>
      <c r="E1914" s="381" t="s">
        <v>384</v>
      </c>
      <c r="F1914" s="381" t="s">
        <v>505</v>
      </c>
    </row>
    <row r="1915" spans="2:6">
      <c r="B1915" s="365" t="s">
        <v>1059</v>
      </c>
      <c r="C1915" s="365" t="str">
        <f>CONCATENATE("EXP",Commodities!C53,"B",RIGHT(OILTrade!$W$76,2))</f>
        <v>EXPJTFB</v>
      </c>
      <c r="D1915" s="365" t="str">
        <f>CONCATENATE("Export Barge/Vessel Trade of ",Commodities!C53, " from ",$B$1910," to R",RIGHT(C1915))</f>
        <v>Export Barge/Vessel Trade of JTF from *R7 to RB</v>
      </c>
      <c r="E1915" s="381" t="s">
        <v>384</v>
      </c>
      <c r="F1915" s="381" t="s">
        <v>505</v>
      </c>
    </row>
    <row r="1916" spans="2:6">
      <c r="B1916" s="365" t="s">
        <v>1059</v>
      </c>
      <c r="C1916" s="365" t="str">
        <f>CONCATENATE("EXP",Commodities!C54,"B",RIGHT(OILTrade!$W$76,2))</f>
        <v>EXPKERB</v>
      </c>
      <c r="D1916" s="365" t="str">
        <f>CONCATENATE("Export Barge/Vessel Trade of ",Commodities!C54, " from ",$B$1910," to R",RIGHT(C1916))</f>
        <v>Export Barge/Vessel Trade of KER from *R7 to RB</v>
      </c>
      <c r="E1916" s="381" t="s">
        <v>384</v>
      </c>
      <c r="F1916" s="381" t="s">
        <v>505</v>
      </c>
    </row>
    <row r="1917" spans="2:6">
      <c r="B1917" s="365" t="s">
        <v>1059</v>
      </c>
      <c r="C1917" s="365" t="str">
        <f>CONCATENATE("EXP",Commodities!C55,"B",RIGHT(OILTrade!$W$76,2))</f>
        <v>EXPLPGB</v>
      </c>
      <c r="D1917" s="365" t="str">
        <f>CONCATENATE("Export Barge/Vessel Trade of ",Commodities!C55, " from ",$B$1910," to R",RIGHT(C1917))</f>
        <v>Export Barge/Vessel Trade of LPG from *R7 to RB</v>
      </c>
      <c r="E1917" s="381" t="s">
        <v>384</v>
      </c>
      <c r="F1917" s="381" t="s">
        <v>505</v>
      </c>
    </row>
    <row r="1918" spans="2:6">
      <c r="B1918" s="365" t="s">
        <v>1059</v>
      </c>
      <c r="C1918" s="365" t="str">
        <f>CONCATENATE("EXP",Commodities!C56,"B",RIGHT(OILTrade!$W$76,2))</f>
        <v>EXPMTHB</v>
      </c>
      <c r="D1918" s="365" t="str">
        <f>CONCATENATE("Export Barge/Vessel Trade of ",Commodities!C56, " from ",$B$1910," to R",RIGHT(C1918))</f>
        <v>Export Barge/Vessel Trade of MTH from *R7 to RB</v>
      </c>
      <c r="E1918" s="381" t="s">
        <v>384</v>
      </c>
      <c r="F1918" s="381" t="s">
        <v>505</v>
      </c>
    </row>
    <row r="1919" spans="2:6">
      <c r="B1919" s="365" t="s">
        <v>1059</v>
      </c>
      <c r="C1919" s="365" t="str">
        <f>CONCATENATE("EXP",Commodities!C57,"B",RIGHT(OILTrade!$W$76,2))</f>
        <v>EXPPFSB</v>
      </c>
      <c r="D1919" s="365" t="str">
        <f>CONCATENATE("Export Barge/Vessel Trade of ",Commodities!C57, " from ",$B$1910," to R",RIGHT(C1919))</f>
        <v>Export Barge/Vessel Trade of PFS from *R7 to RB</v>
      </c>
      <c r="E1919" s="381" t="s">
        <v>384</v>
      </c>
      <c r="F1919" s="381" t="s">
        <v>505</v>
      </c>
    </row>
    <row r="1920" spans="2:6">
      <c r="B1920" s="365" t="s">
        <v>1059</v>
      </c>
      <c r="C1920" s="365" t="str">
        <f>CONCATENATE("EXP",Commodities!C58,"B",RIGHT(OILTrade!$W$76,2))</f>
        <v>EXPRFHB</v>
      </c>
      <c r="D1920" s="365" t="str">
        <f>CONCATENATE("Export Barge/Vessel Trade of ",Commodities!C58, " from ",$B$1910," to R",RIGHT(C1920))</f>
        <v>Export Barge/Vessel Trade of RFH from *R7 to RB</v>
      </c>
      <c r="E1920" s="381" t="s">
        <v>384</v>
      </c>
      <c r="F1920" s="381" t="s">
        <v>505</v>
      </c>
    </row>
    <row r="1921" spans="2:7">
      <c r="B1921" s="365" t="s">
        <v>1059</v>
      </c>
      <c r="C1921" s="365" t="str">
        <f>CONCATENATE("EXP",Commodities!C59,"B",RIGHT(OILTrade!$W$76,2))</f>
        <v>EXPRFLB</v>
      </c>
      <c r="D1921" s="365" t="str">
        <f>CONCATENATE("Export Barge/Vessel Trade of ",Commodities!C59, " from ",$B$1910," to R",RIGHT(C1921))</f>
        <v>Export Barge/Vessel Trade of RFL from *R7 to RB</v>
      </c>
      <c r="E1921" s="381" t="s">
        <v>384</v>
      </c>
      <c r="F1921" s="381" t="s">
        <v>505</v>
      </c>
    </row>
    <row r="1922" spans="2:7">
      <c r="B1922" s="365" t="s">
        <v>1059</v>
      </c>
      <c r="C1922" s="365" t="str">
        <f>CONCATENATE("EXP",Commodities!C60,"B",RIGHT(OILTrade!$W$76,2))</f>
        <v>EXPASPB</v>
      </c>
      <c r="D1922" s="365" t="str">
        <f>CONCATENATE("Export Barge/Vessel Trade of ",Commodities!C60, " from ",$B$1910," to R",RIGHT(C1922))</f>
        <v>Export Barge/Vessel Trade of ASP from *R7 to RB</v>
      </c>
      <c r="E1922" s="381" t="s">
        <v>384</v>
      </c>
      <c r="F1922" s="381" t="s">
        <v>505</v>
      </c>
    </row>
    <row r="1923" spans="2:7">
      <c r="B1923" s="365" t="s">
        <v>579</v>
      </c>
    </row>
    <row r="1924" spans="2:7">
      <c r="B1924" s="365" t="str">
        <f t="shared" ref="B1924:B1987" si="11">IF(LEFT(B1285,1)="*","*",CONCATENATE("R",RIGHT(C1924,1)))</f>
        <v>R3</v>
      </c>
      <c r="C1924" s="365" t="str">
        <f>CONCATENATE("IMP",Commodities!C$48,"R",RIGHT(C1285,2))</f>
        <v>IMPGSCR13</v>
      </c>
      <c r="D1924" s="365" t="str">
        <f>CONCATENATE("Import Pipeline Trade of ",Commodities!C$48, " to ",$B1924," from ",B1285)</f>
        <v>Import Pipeline Trade of GSC to R3 from R1</v>
      </c>
      <c r="E1924" s="381" t="s">
        <v>384</v>
      </c>
      <c r="F1924" s="381" t="s">
        <v>505</v>
      </c>
      <c r="G1924" s="364" t="s">
        <v>2536</v>
      </c>
    </row>
    <row r="1925" spans="2:7">
      <c r="B1925" s="365" t="str">
        <f t="shared" si="11"/>
        <v>R3</v>
      </c>
      <c r="C1925" s="365" t="str">
        <f>CONCATENATE("IMP",Commodities!C$49,"R",RIGHT(C1286,2))</f>
        <v>IMPGSRR13</v>
      </c>
      <c r="D1925" s="365" t="str">
        <f>CONCATENATE("Import Pipeline Trade of ",Commodities!C$49, " to ",$B1925," from ",B1286)</f>
        <v>Import Pipeline Trade of GSR to R3 from R1</v>
      </c>
      <c r="E1925" s="381" t="s">
        <v>384</v>
      </c>
      <c r="F1925" s="381" t="s">
        <v>505</v>
      </c>
    </row>
    <row r="1926" spans="2:7">
      <c r="B1926" s="365" t="str">
        <f t="shared" si="11"/>
        <v>R3</v>
      </c>
      <c r="C1926" s="365" t="str">
        <f>CONCATENATE("IMP",Commodities!C$50,"R",RIGHT(C1287,2))</f>
        <v>IMPDSHR13</v>
      </c>
      <c r="D1926" s="365" t="str">
        <f>CONCATENATE("Import Pipeline Trade of ",Commodities!C$50, " to ",$B1926," from ",B1287)</f>
        <v>Import Pipeline Trade of DSH to R3 from R1</v>
      </c>
      <c r="E1926" s="381" t="s">
        <v>384</v>
      </c>
      <c r="F1926" s="381" t="s">
        <v>505</v>
      </c>
    </row>
    <row r="1927" spans="2:7">
      <c r="B1927" s="365" t="str">
        <f t="shared" si="11"/>
        <v>R3</v>
      </c>
      <c r="C1927" s="365" t="str">
        <f>CONCATENATE("IMP",Commodities!C$51,"R",RIGHT(C1288,2))</f>
        <v>IMPDSLR13</v>
      </c>
      <c r="D1927" s="365" t="str">
        <f>CONCATENATE("Import Pipeline Trade of ",Commodities!C$51, " to ",$B1927," from ",B1288)</f>
        <v>Import Pipeline Trade of DSL to R3 from R1</v>
      </c>
      <c r="E1927" s="381" t="s">
        <v>384</v>
      </c>
      <c r="F1927" s="381" t="s">
        <v>505</v>
      </c>
    </row>
    <row r="1928" spans="2:7">
      <c r="B1928" s="365" t="str">
        <f t="shared" si="11"/>
        <v>R3</v>
      </c>
      <c r="C1928" s="365" t="str">
        <f>CONCATENATE("IMP",Commodities!C$52,"R",RIGHT(C1289,2))</f>
        <v>IMPDSUR13</v>
      </c>
      <c r="D1928" s="365" t="str">
        <f>CONCATENATE("Import Pipeline Trade of ",Commodities!C$52, " to ",$B1928," from ",B1289)</f>
        <v>Import Pipeline Trade of DSU to R3 from R1</v>
      </c>
      <c r="E1928" s="381" t="s">
        <v>384</v>
      </c>
      <c r="F1928" s="381" t="s">
        <v>505</v>
      </c>
    </row>
    <row r="1929" spans="2:7">
      <c r="B1929" s="365" t="str">
        <f t="shared" si="11"/>
        <v>R3</v>
      </c>
      <c r="C1929" s="365" t="str">
        <f>CONCATENATE("IMP",Commodities!C$53,"R",RIGHT(C1290,2))</f>
        <v>IMPJTFR13</v>
      </c>
      <c r="D1929" s="365" t="str">
        <f>CONCATENATE("Import Pipeline Trade of ",Commodities!C$53, " to ",$B1929," from ",B1290)</f>
        <v>Import Pipeline Trade of JTF to R3 from R1</v>
      </c>
      <c r="E1929" s="381" t="s">
        <v>384</v>
      </c>
      <c r="F1929" s="381" t="s">
        <v>505</v>
      </c>
    </row>
    <row r="1930" spans="2:7">
      <c r="B1930" s="365" t="str">
        <f t="shared" si="11"/>
        <v>*</v>
      </c>
      <c r="C1930" s="365" t="str">
        <f>CONCATENATE("IMP",Commodities!C$54,"R",RIGHT(C1291,2))</f>
        <v>IMPKERR13</v>
      </c>
      <c r="D1930" s="365" t="str">
        <f>CONCATENATE("Import Pipeline Trade of ",Commodities!C$54, " to ",$B1930," from ",B1291)</f>
        <v>Import Pipeline Trade of KER to * from *R1</v>
      </c>
      <c r="E1930" s="381" t="s">
        <v>384</v>
      </c>
      <c r="F1930" s="381" t="s">
        <v>505</v>
      </c>
    </row>
    <row r="1931" spans="2:7">
      <c r="B1931" s="365" t="str">
        <f t="shared" si="11"/>
        <v>*</v>
      </c>
      <c r="C1931" s="365" t="str">
        <f>CONCATENATE("IMP",Commodities!C$55,"R",RIGHT(C1292,2))</f>
        <v>IMPLPGR13</v>
      </c>
      <c r="D1931" s="365" t="str">
        <f>CONCATENATE("Import Pipeline Trade of ",Commodities!C$55, " to ",$B1931," from ",B1292)</f>
        <v>Import Pipeline Trade of LPG to * from *R1</v>
      </c>
      <c r="E1931" s="381" t="s">
        <v>384</v>
      </c>
      <c r="F1931" s="381" t="s">
        <v>505</v>
      </c>
    </row>
    <row r="1932" spans="2:7">
      <c r="B1932" s="365" t="str">
        <f t="shared" si="11"/>
        <v>*</v>
      </c>
      <c r="C1932" s="365" t="str">
        <f>CONCATENATE("IMP",Commodities!C$56,"R",RIGHT(C1293,2))</f>
        <v>IMPMTHR13</v>
      </c>
      <c r="D1932" s="365" t="str">
        <f>CONCATENATE("Import Pipeline Trade of ",Commodities!C$56, " to ",$B1932," from ",B1293)</f>
        <v>Import Pipeline Trade of MTH to * from *R1</v>
      </c>
      <c r="E1932" s="381" t="s">
        <v>384</v>
      </c>
      <c r="F1932" s="381" t="s">
        <v>505</v>
      </c>
    </row>
    <row r="1933" spans="2:7">
      <c r="B1933" s="365" t="str">
        <f t="shared" si="11"/>
        <v>*</v>
      </c>
      <c r="C1933" s="365" t="str">
        <f>CONCATENATE("IMP",Commodities!C$57,"R",RIGHT(C1294,2))</f>
        <v>IMPPFSR13</v>
      </c>
      <c r="D1933" s="365" t="str">
        <f>CONCATENATE("Import Pipeline Trade of ",Commodities!C$57, " to ",$B1933," from ",B1294)</f>
        <v>Import Pipeline Trade of PFS to * from *R1</v>
      </c>
      <c r="E1933" s="381" t="s">
        <v>384</v>
      </c>
      <c r="F1933" s="381" t="s">
        <v>505</v>
      </c>
    </row>
    <row r="1934" spans="2:7">
      <c r="B1934" s="365" t="str">
        <f t="shared" si="11"/>
        <v>*</v>
      </c>
      <c r="C1934" s="365" t="str">
        <f>CONCATENATE("IMP",Commodities!C$58,"R",RIGHT(C1295,2))</f>
        <v>IMPRFHR13</v>
      </c>
      <c r="D1934" s="365" t="str">
        <f>CONCATENATE("Import Pipeline Trade of ",Commodities!C$58, " to ",$B1934," from ",B1295)</f>
        <v>Import Pipeline Trade of RFH to * from *R1</v>
      </c>
      <c r="E1934" s="381" t="s">
        <v>384</v>
      </c>
      <c r="F1934" s="381" t="s">
        <v>505</v>
      </c>
    </row>
    <row r="1935" spans="2:7">
      <c r="B1935" s="365" t="str">
        <f t="shared" si="11"/>
        <v>R3</v>
      </c>
      <c r="C1935" s="365" t="str">
        <f>CONCATENATE("IMP",Commodities!C$59,"R",RIGHT(C1296,2))</f>
        <v>IMPRFLR13</v>
      </c>
      <c r="D1935" s="365" t="str">
        <f>CONCATENATE("Import Pipeline Trade of ",Commodities!C$59, " to ",$B1935," from ",B1296)</f>
        <v>Import Pipeline Trade of RFL to R3 from R1</v>
      </c>
      <c r="E1935" s="381" t="s">
        <v>384</v>
      </c>
      <c r="F1935" s="381" t="s">
        <v>505</v>
      </c>
    </row>
    <row r="1936" spans="2:7">
      <c r="B1936" s="365" t="str">
        <f t="shared" si="11"/>
        <v>*</v>
      </c>
      <c r="C1936" s="365" t="str">
        <f>CONCATENATE("IMP",Commodities!C$60,"R",RIGHT(C1297,2))</f>
        <v>IMPASPR13</v>
      </c>
      <c r="D1936" s="365" t="str">
        <f>CONCATENATE("Import Pipeline Trade of ",Commodities!C$60, " to ",$B1936," from ",B1297)</f>
        <v>Import Pipeline Trade of ASP to * from *R1</v>
      </c>
      <c r="E1936" s="381" t="s">
        <v>384</v>
      </c>
      <c r="F1936" s="381" t="s">
        <v>505</v>
      </c>
    </row>
    <row r="1937" spans="2:6">
      <c r="B1937" s="365" t="str">
        <f t="shared" si="11"/>
        <v>*</v>
      </c>
      <c r="C1937" s="365" t="str">
        <f>CONCATENATE("IMP",Commodities!C$48,"R",RIGHT(C1298,2))</f>
        <v>IMPGSCR36</v>
      </c>
      <c r="D1937" s="365" t="str">
        <f>CONCATENATE("Import Pipeline Trade of ",Commodities!C$48, " to ",$B1937," from ",B1298)</f>
        <v>Import Pipeline Trade of GSC to * from *R3</v>
      </c>
      <c r="E1937" s="381" t="s">
        <v>384</v>
      </c>
      <c r="F1937" s="381" t="s">
        <v>505</v>
      </c>
    </row>
    <row r="1938" spans="2:6">
      <c r="B1938" s="365" t="str">
        <f t="shared" si="11"/>
        <v>*</v>
      </c>
      <c r="C1938" s="365" t="str">
        <f>CONCATENATE("IMP",Commodities!C$49,"R",RIGHT(C1299,2))</f>
        <v>IMPGSRR36</v>
      </c>
      <c r="D1938" s="365" t="str">
        <f>CONCATENATE("Import Pipeline Trade of ",Commodities!C$49, " to ",$B1938," from ",B1299)</f>
        <v>Import Pipeline Trade of GSR to * from *R3</v>
      </c>
      <c r="E1938" s="381" t="s">
        <v>384</v>
      </c>
      <c r="F1938" s="381" t="s">
        <v>505</v>
      </c>
    </row>
    <row r="1939" spans="2:6">
      <c r="B1939" s="365" t="str">
        <f t="shared" si="11"/>
        <v>*</v>
      </c>
      <c r="C1939" s="365" t="str">
        <f>CONCATENATE("IMP",Commodities!C$50,"R",RIGHT(C1300,2))</f>
        <v>IMPDSHR36</v>
      </c>
      <c r="D1939" s="365" t="str">
        <f>CONCATENATE("Import Pipeline Trade of ",Commodities!C$50, " to ",$B1939," from ",B1300)</f>
        <v>Import Pipeline Trade of DSH to * from *R3</v>
      </c>
      <c r="E1939" s="381" t="s">
        <v>384</v>
      </c>
      <c r="F1939" s="381" t="s">
        <v>505</v>
      </c>
    </row>
    <row r="1940" spans="2:6">
      <c r="B1940" s="365" t="str">
        <f t="shared" si="11"/>
        <v>*</v>
      </c>
      <c r="C1940" s="365" t="str">
        <f>CONCATENATE("IMP",Commodities!C$51,"R",RIGHT(C1301,2))</f>
        <v>IMPDSLR36</v>
      </c>
      <c r="D1940" s="365" t="str">
        <f>CONCATENATE("Import Pipeline Trade of ",Commodities!C$51, " to ",$B1940," from ",B1301)</f>
        <v>Import Pipeline Trade of DSL to * from *R3</v>
      </c>
      <c r="E1940" s="381" t="s">
        <v>384</v>
      </c>
      <c r="F1940" s="381" t="s">
        <v>505</v>
      </c>
    </row>
    <row r="1941" spans="2:6">
      <c r="B1941" s="365" t="str">
        <f t="shared" si="11"/>
        <v>*</v>
      </c>
      <c r="C1941" s="365" t="str">
        <f>CONCATENATE("IMP",Commodities!C$52,"R",RIGHT(C1302,2))</f>
        <v>IMPDSUR36</v>
      </c>
      <c r="D1941" s="365" t="str">
        <f>CONCATENATE("Import Pipeline Trade of ",Commodities!C$52, " to ",$B1941," from ",B1302)</f>
        <v>Import Pipeline Trade of DSU to * from *R3</v>
      </c>
      <c r="E1941" s="381" t="s">
        <v>384</v>
      </c>
      <c r="F1941" s="381" t="s">
        <v>505</v>
      </c>
    </row>
    <row r="1942" spans="2:6">
      <c r="B1942" s="365" t="str">
        <f t="shared" si="11"/>
        <v>*</v>
      </c>
      <c r="C1942" s="365" t="str">
        <f>CONCATENATE("IMP",Commodities!C$53,"R",RIGHT(C1303,2))</f>
        <v>IMPJTFR36</v>
      </c>
      <c r="D1942" s="365" t="str">
        <f>CONCATENATE("Import Pipeline Trade of ",Commodities!C$53, " to ",$B1942," from ",B1303)</f>
        <v>Import Pipeline Trade of JTF to * from *R3</v>
      </c>
      <c r="E1942" s="381" t="s">
        <v>384</v>
      </c>
      <c r="F1942" s="381" t="s">
        <v>505</v>
      </c>
    </row>
    <row r="1943" spans="2:6">
      <c r="B1943" s="365" t="str">
        <f t="shared" si="11"/>
        <v>*</v>
      </c>
      <c r="C1943" s="365" t="str">
        <f>CONCATENATE("IMP",Commodities!C$54,"R",RIGHT(C1304,2))</f>
        <v>IMPKERR36</v>
      </c>
      <c r="D1943" s="365" t="str">
        <f>CONCATENATE("Import Pipeline Trade of ",Commodities!C$54, " to ",$B1943," from ",B1304)</f>
        <v>Import Pipeline Trade of KER to * from *R3</v>
      </c>
      <c r="E1943" s="381" t="s">
        <v>384</v>
      </c>
      <c r="F1943" s="381" t="s">
        <v>505</v>
      </c>
    </row>
    <row r="1944" spans="2:6">
      <c r="B1944" s="365" t="str">
        <f t="shared" si="11"/>
        <v>*</v>
      </c>
      <c r="C1944" s="365" t="str">
        <f>CONCATENATE("IMP",Commodities!C$55,"R",RIGHT(C1305,2))</f>
        <v>IMPLPGR36</v>
      </c>
      <c r="D1944" s="365" t="str">
        <f>CONCATENATE("Import Pipeline Trade of ",Commodities!C$55, " to ",$B1944," from ",B1305)</f>
        <v>Import Pipeline Trade of LPG to * from *R3</v>
      </c>
      <c r="E1944" s="381" t="s">
        <v>384</v>
      </c>
      <c r="F1944" s="381" t="s">
        <v>505</v>
      </c>
    </row>
    <row r="1945" spans="2:6">
      <c r="B1945" s="365" t="str">
        <f t="shared" si="11"/>
        <v>*</v>
      </c>
      <c r="C1945" s="365" t="str">
        <f>CONCATENATE("IMP",Commodities!C$56,"R",RIGHT(C1306,2))</f>
        <v>IMPMTHR36</v>
      </c>
      <c r="D1945" s="365" t="str">
        <f>CONCATENATE("Import Pipeline Trade of ",Commodities!C$56, " to ",$B1945," from ",B1306)</f>
        <v>Import Pipeline Trade of MTH to * from *R3</v>
      </c>
      <c r="E1945" s="381" t="s">
        <v>384</v>
      </c>
      <c r="F1945" s="381" t="s">
        <v>505</v>
      </c>
    </row>
    <row r="1946" spans="2:6">
      <c r="B1946" s="365" t="str">
        <f t="shared" si="11"/>
        <v>*</v>
      </c>
      <c r="C1946" s="365" t="str">
        <f>CONCATENATE("IMP",Commodities!C$57,"R",RIGHT(C1307,2))</f>
        <v>IMPPFSR36</v>
      </c>
      <c r="D1946" s="365" t="str">
        <f>CONCATENATE("Import Pipeline Trade of ",Commodities!C$57, " to ",$B1946," from ",B1307)</f>
        <v>Import Pipeline Trade of PFS to * from *R3</v>
      </c>
      <c r="E1946" s="381" t="s">
        <v>384</v>
      </c>
      <c r="F1946" s="381" t="s">
        <v>505</v>
      </c>
    </row>
    <row r="1947" spans="2:6">
      <c r="B1947" s="365" t="str">
        <f t="shared" si="11"/>
        <v>*</v>
      </c>
      <c r="C1947" s="365" t="str">
        <f>CONCATENATE("IMP",Commodities!C$58,"R",RIGHT(C1308,2))</f>
        <v>IMPRFHR36</v>
      </c>
      <c r="D1947" s="365" t="str">
        <f>CONCATENATE("Import Pipeline Trade of ",Commodities!C$58, " to ",$B1947," from ",B1308)</f>
        <v>Import Pipeline Trade of RFH to * from *R3</v>
      </c>
      <c r="E1947" s="381" t="s">
        <v>384</v>
      </c>
      <c r="F1947" s="381" t="s">
        <v>505</v>
      </c>
    </row>
    <row r="1948" spans="2:6">
      <c r="B1948" s="365" t="str">
        <f t="shared" si="11"/>
        <v>*</v>
      </c>
      <c r="C1948" s="365" t="str">
        <f>CONCATENATE("IMP",Commodities!C$59,"R",RIGHT(C1309,2))</f>
        <v>IMPRFLR36</v>
      </c>
      <c r="D1948" s="365" t="str">
        <f>CONCATENATE("Import Pipeline Trade of ",Commodities!C$59, " to ",$B1948," from ",B1309)</f>
        <v>Import Pipeline Trade of RFL to * from *R3</v>
      </c>
      <c r="E1948" s="381" t="s">
        <v>384</v>
      </c>
      <c r="F1948" s="381" t="s">
        <v>505</v>
      </c>
    </row>
    <row r="1949" spans="2:6">
      <c r="B1949" s="365" t="str">
        <f t="shared" si="11"/>
        <v>*</v>
      </c>
      <c r="C1949" s="365" t="str">
        <f>CONCATENATE("IMP",Commodities!C$60,"R",RIGHT(C1310,2))</f>
        <v>IMPASPR36</v>
      </c>
      <c r="D1949" s="365" t="str">
        <f>CONCATENATE("Import Pipeline Trade of ",Commodities!C$60, " to ",$B1949," from ",B1310)</f>
        <v>Import Pipeline Trade of ASP to * from *R3</v>
      </c>
      <c r="E1949" s="381" t="s">
        <v>384</v>
      </c>
      <c r="F1949" s="381" t="s">
        <v>505</v>
      </c>
    </row>
    <row r="1950" spans="2:6">
      <c r="B1950" s="365" t="str">
        <f t="shared" si="11"/>
        <v>*</v>
      </c>
      <c r="C1950" s="365" t="str">
        <f>CONCATENATE("IMP",Commodities!C$48,"R",RIGHT(C1311,2))</f>
        <v>IMPGSCRSC</v>
      </c>
      <c r="D1950" s="365" t="str">
        <f>CONCATENATE("Import Pipeline Trade of ",Commodities!C$48, " to ",$B1950," from ",B1311)</f>
        <v>Import Pipeline Trade of GSC to * from *R3</v>
      </c>
      <c r="E1950" s="381" t="s">
        <v>384</v>
      </c>
      <c r="F1950" s="381" t="s">
        <v>505</v>
      </c>
    </row>
    <row r="1951" spans="2:6">
      <c r="B1951" s="365" t="str">
        <f t="shared" si="11"/>
        <v>*</v>
      </c>
      <c r="C1951" s="365" t="str">
        <f>CONCATENATE("IMP",Commodities!C$49,"R",RIGHT(C1312,2))</f>
        <v>IMPGSRRSR</v>
      </c>
      <c r="D1951" s="365" t="str">
        <f>CONCATENATE("Import Pipeline Trade of ",Commodities!C$49, " to ",$B1951," from ",B1312)</f>
        <v>Import Pipeline Trade of GSR to * from *R3</v>
      </c>
      <c r="E1951" s="381" t="s">
        <v>384</v>
      </c>
      <c r="F1951" s="381" t="s">
        <v>505</v>
      </c>
    </row>
    <row r="1952" spans="2:6">
      <c r="B1952" s="365" t="str">
        <f t="shared" si="11"/>
        <v>*</v>
      </c>
      <c r="C1952" s="365" t="str">
        <f>CONCATENATE("IMP",Commodities!C$50,"R",RIGHT(C1313,2))</f>
        <v>IMPDSHRSH</v>
      </c>
      <c r="D1952" s="365" t="str">
        <f>CONCATENATE("Import Pipeline Trade of ",Commodities!C$50, " to ",$B1952," from ",B1313)</f>
        <v>Import Pipeline Trade of DSH to * from *R3</v>
      </c>
      <c r="E1952" s="381" t="s">
        <v>384</v>
      </c>
      <c r="F1952" s="381" t="s">
        <v>505</v>
      </c>
    </row>
    <row r="1953" spans="2:6">
      <c r="B1953" s="365" t="str">
        <f t="shared" si="11"/>
        <v>*</v>
      </c>
      <c r="C1953" s="365" t="str">
        <f>CONCATENATE("IMP",Commodities!C$51,"R",RIGHT(C1314,2))</f>
        <v>IMPDSLRSL</v>
      </c>
      <c r="D1953" s="365" t="str">
        <f>CONCATENATE("Import Pipeline Trade of ",Commodities!C$51, " to ",$B1953," from ",B1314)</f>
        <v>Import Pipeline Trade of DSL to * from *R3</v>
      </c>
      <c r="E1953" s="381" t="s">
        <v>384</v>
      </c>
      <c r="F1953" s="381" t="s">
        <v>505</v>
      </c>
    </row>
    <row r="1954" spans="2:6">
      <c r="B1954" s="365" t="str">
        <f t="shared" si="11"/>
        <v>*</v>
      </c>
      <c r="C1954" s="365" t="str">
        <f>CONCATENATE("IMP",Commodities!C$52,"R",RIGHT(C1315,2))</f>
        <v>IMPDSURSU</v>
      </c>
      <c r="D1954" s="365" t="str">
        <f>CONCATENATE("Import Pipeline Trade of ",Commodities!C$52, " to ",$B1954," from ",B1315)</f>
        <v>Import Pipeline Trade of DSU to * from *R3</v>
      </c>
      <c r="E1954" s="381" t="s">
        <v>384</v>
      </c>
      <c r="F1954" s="381" t="s">
        <v>505</v>
      </c>
    </row>
    <row r="1955" spans="2:6">
      <c r="B1955" s="365" t="str">
        <f t="shared" si="11"/>
        <v>*</v>
      </c>
      <c r="C1955" s="365" t="str">
        <f>CONCATENATE("IMP",Commodities!C$53,"R",RIGHT(C1316,2))</f>
        <v>IMPJTFRTF</v>
      </c>
      <c r="D1955" s="365" t="str">
        <f>CONCATENATE("Import Pipeline Trade of ",Commodities!C$53, " to ",$B1955," from ",B1316)</f>
        <v>Import Pipeline Trade of JTF to * from *R3</v>
      </c>
      <c r="E1955" s="381" t="s">
        <v>384</v>
      </c>
      <c r="F1955" s="381" t="s">
        <v>505</v>
      </c>
    </row>
    <row r="1956" spans="2:6">
      <c r="B1956" s="365" t="str">
        <f t="shared" si="11"/>
        <v>*</v>
      </c>
      <c r="C1956" s="365" t="str">
        <f>CONCATENATE("IMP",Commodities!C$54,"R",RIGHT(C1317,2))</f>
        <v>IMPKERRER</v>
      </c>
      <c r="D1956" s="365" t="str">
        <f>CONCATENATE("Import Pipeline Trade of ",Commodities!C$54, " to ",$B1956," from ",B1317)</f>
        <v>Import Pipeline Trade of KER to * from *R3</v>
      </c>
      <c r="E1956" s="381" t="s">
        <v>384</v>
      </c>
      <c r="F1956" s="381" t="s">
        <v>505</v>
      </c>
    </row>
    <row r="1957" spans="2:6">
      <c r="B1957" s="365" t="str">
        <f t="shared" si="11"/>
        <v>*</v>
      </c>
      <c r="C1957" s="365" t="str">
        <f>CONCATENATE("IMP",Commodities!C$55,"R",RIGHT(C1318,2))</f>
        <v>IMPLPGRPG</v>
      </c>
      <c r="D1957" s="365" t="str">
        <f>CONCATENATE("Import Pipeline Trade of ",Commodities!C$55, " to ",$B1957," from ",B1318)</f>
        <v>Import Pipeline Trade of LPG to * from *R3</v>
      </c>
      <c r="E1957" s="381" t="s">
        <v>384</v>
      </c>
      <c r="F1957" s="381" t="s">
        <v>505</v>
      </c>
    </row>
    <row r="1958" spans="2:6">
      <c r="B1958" s="365" t="str">
        <f t="shared" si="11"/>
        <v>*</v>
      </c>
      <c r="C1958" s="365" t="str">
        <f>CONCATENATE("IMP",Commodities!C$56,"R",RIGHT(C1319,2))</f>
        <v>IMPMTHRTH</v>
      </c>
      <c r="D1958" s="365" t="str">
        <f>CONCATENATE("Import Pipeline Trade of ",Commodities!C$56, " to ",$B1958," from ",B1319)</f>
        <v>Import Pipeline Trade of MTH to * from *R3</v>
      </c>
      <c r="E1958" s="381" t="s">
        <v>384</v>
      </c>
      <c r="F1958" s="381" t="s">
        <v>505</v>
      </c>
    </row>
    <row r="1959" spans="2:6">
      <c r="B1959" s="365" t="str">
        <f t="shared" si="11"/>
        <v>*</v>
      </c>
      <c r="C1959" s="365" t="str">
        <f>CONCATENATE("IMP",Commodities!C$57,"R",RIGHT(C1320,2))</f>
        <v>IMPPFSRFS</v>
      </c>
      <c r="D1959" s="365" t="str">
        <f>CONCATENATE("Import Pipeline Trade of ",Commodities!C$57, " to ",$B1959," from ",B1320)</f>
        <v>Import Pipeline Trade of PFS to * from *R3</v>
      </c>
      <c r="E1959" s="381" t="s">
        <v>384</v>
      </c>
      <c r="F1959" s="381" t="s">
        <v>505</v>
      </c>
    </row>
    <row r="1960" spans="2:6">
      <c r="B1960" s="365" t="str">
        <f t="shared" si="11"/>
        <v>*</v>
      </c>
      <c r="C1960" s="365" t="str">
        <f>CONCATENATE("IMP",Commodities!C$58,"R",RIGHT(C1321,2))</f>
        <v>IMPRFHRFH</v>
      </c>
      <c r="D1960" s="365" t="str">
        <f>CONCATENATE("Import Pipeline Trade of ",Commodities!C$58, " to ",$B1960," from ",B1321)</f>
        <v>Import Pipeline Trade of RFH to * from *R3</v>
      </c>
      <c r="E1960" s="381" t="s">
        <v>384</v>
      </c>
      <c r="F1960" s="381" t="s">
        <v>505</v>
      </c>
    </row>
    <row r="1961" spans="2:6">
      <c r="B1961" s="365" t="str">
        <f t="shared" si="11"/>
        <v>*</v>
      </c>
      <c r="C1961" s="365" t="str">
        <f>CONCATENATE("IMP",Commodities!C$59,"R",RIGHT(C1322,2))</f>
        <v>IMPRFLRFL</v>
      </c>
      <c r="D1961" s="365" t="str">
        <f>CONCATENATE("Import Pipeline Trade of ",Commodities!C$59, " to ",$B1961," from ",B1322)</f>
        <v>Import Pipeline Trade of RFL to * from *R3</v>
      </c>
      <c r="E1961" s="381" t="s">
        <v>384</v>
      </c>
      <c r="F1961" s="381" t="s">
        <v>505</v>
      </c>
    </row>
    <row r="1962" spans="2:6">
      <c r="B1962" s="365" t="str">
        <f t="shared" si="11"/>
        <v>*</v>
      </c>
      <c r="C1962" s="365" t="str">
        <f>CONCATENATE("IMP",Commodities!C$60,"R",RIGHT(C1323,2))</f>
        <v>IMPASPRSP</v>
      </c>
      <c r="D1962" s="365" t="str">
        <f>CONCATENATE("Import Pipeline Trade of ",Commodities!C$60, " to ",$B1962," from ",B1323)</f>
        <v>Import Pipeline Trade of ASP to * from *R3</v>
      </c>
      <c r="E1962" s="381" t="s">
        <v>384</v>
      </c>
      <c r="F1962" s="381" t="s">
        <v>505</v>
      </c>
    </row>
    <row r="1963" spans="2:6">
      <c r="B1963" s="365" t="str">
        <f t="shared" si="11"/>
        <v>*</v>
      </c>
      <c r="C1963" s="365" t="str">
        <f>CONCATENATE("IMP",Commodities!C$48,"R",RIGHT(C1324,2))</f>
        <v>IMPGSCRSC</v>
      </c>
      <c r="D1963" s="365" t="str">
        <f>CONCATENATE("Import Pipeline Trade of ",Commodities!C$48, " to ",$B1963," from ",B1324)</f>
        <v>Import Pipeline Trade of GSC to * from *R3</v>
      </c>
      <c r="E1963" s="381" t="s">
        <v>384</v>
      </c>
      <c r="F1963" s="381" t="s">
        <v>505</v>
      </c>
    </row>
    <row r="1964" spans="2:6">
      <c r="B1964" s="365" t="str">
        <f t="shared" si="11"/>
        <v>*</v>
      </c>
      <c r="C1964" s="365" t="str">
        <f>CONCATENATE("IMP",Commodities!C$49,"R",RIGHT(C1325,2))</f>
        <v>IMPGSRRSR</v>
      </c>
      <c r="D1964" s="365" t="str">
        <f>CONCATENATE("Import Pipeline Trade of ",Commodities!C$49, " to ",$B1964," from ",B1325)</f>
        <v>Import Pipeline Trade of GSR to * from *R3</v>
      </c>
      <c r="E1964" s="381" t="s">
        <v>384</v>
      </c>
      <c r="F1964" s="381" t="s">
        <v>505</v>
      </c>
    </row>
    <row r="1965" spans="2:6">
      <c r="B1965" s="365" t="str">
        <f t="shared" si="11"/>
        <v>*</v>
      </c>
      <c r="C1965" s="365" t="str">
        <f>CONCATENATE("IMP",Commodities!C$50,"R",RIGHT(C1326,2))</f>
        <v>IMPDSHRSH</v>
      </c>
      <c r="D1965" s="365" t="str">
        <f>CONCATENATE("Import Pipeline Trade of ",Commodities!C$50, " to ",$B1965," from ",B1326)</f>
        <v>Import Pipeline Trade of DSH to * from *R3</v>
      </c>
      <c r="E1965" s="381" t="s">
        <v>384</v>
      </c>
      <c r="F1965" s="381" t="s">
        <v>505</v>
      </c>
    </row>
    <row r="1966" spans="2:6">
      <c r="B1966" s="365" t="str">
        <f t="shared" si="11"/>
        <v>*</v>
      </c>
      <c r="C1966" s="365" t="str">
        <f>CONCATENATE("IMP",Commodities!C$51,"R",RIGHT(C1327,2))</f>
        <v>IMPDSLRSL</v>
      </c>
      <c r="D1966" s="365" t="str">
        <f>CONCATENATE("Import Pipeline Trade of ",Commodities!C$51, " to ",$B1966," from ",B1327)</f>
        <v>Import Pipeline Trade of DSL to * from *R3</v>
      </c>
      <c r="E1966" s="381" t="s">
        <v>384</v>
      </c>
      <c r="F1966" s="381" t="s">
        <v>505</v>
      </c>
    </row>
    <row r="1967" spans="2:6">
      <c r="B1967" s="365" t="str">
        <f t="shared" si="11"/>
        <v>*</v>
      </c>
      <c r="C1967" s="365" t="str">
        <f>CONCATENATE("IMP",Commodities!C$52,"R",RIGHT(C1328,2))</f>
        <v>IMPDSURSU</v>
      </c>
      <c r="D1967" s="365" t="str">
        <f>CONCATENATE("Import Pipeline Trade of ",Commodities!C$52, " to ",$B1967," from ",B1328)</f>
        <v>Import Pipeline Trade of DSU to * from *R3</v>
      </c>
      <c r="E1967" s="381" t="s">
        <v>384</v>
      </c>
      <c r="F1967" s="381" t="s">
        <v>505</v>
      </c>
    </row>
    <row r="1968" spans="2:6">
      <c r="B1968" s="365" t="str">
        <f t="shared" si="11"/>
        <v>*</v>
      </c>
      <c r="C1968" s="365" t="str">
        <f>CONCATENATE("IMP",Commodities!C$53,"R",RIGHT(C1329,2))</f>
        <v>IMPJTFRTF</v>
      </c>
      <c r="D1968" s="365" t="str">
        <f>CONCATENATE("Import Pipeline Trade of ",Commodities!C$53, " to ",$B1968," from ",B1329)</f>
        <v>Import Pipeline Trade of JTF to * from *R3</v>
      </c>
      <c r="E1968" s="381" t="s">
        <v>384</v>
      </c>
      <c r="F1968" s="381" t="s">
        <v>505</v>
      </c>
    </row>
    <row r="1969" spans="2:6">
      <c r="B1969" s="365" t="str">
        <f t="shared" si="11"/>
        <v>*</v>
      </c>
      <c r="C1969" s="365" t="str">
        <f>CONCATENATE("IMP",Commodities!C$54,"R",RIGHT(C1330,2))</f>
        <v>IMPKERRER</v>
      </c>
      <c r="D1969" s="365" t="str">
        <f>CONCATENATE("Import Pipeline Trade of ",Commodities!C$54, " to ",$B1969," from ",B1330)</f>
        <v>Import Pipeline Trade of KER to * from *R3</v>
      </c>
      <c r="E1969" s="381" t="s">
        <v>384</v>
      </c>
      <c r="F1969" s="381" t="s">
        <v>505</v>
      </c>
    </row>
    <row r="1970" spans="2:6">
      <c r="B1970" s="365" t="str">
        <f t="shared" si="11"/>
        <v>*</v>
      </c>
      <c r="C1970" s="365" t="str">
        <f>CONCATENATE("IMP",Commodities!C$55,"R",RIGHT(C1331,2))</f>
        <v>IMPLPGRPG</v>
      </c>
      <c r="D1970" s="365" t="str">
        <f>CONCATENATE("Import Pipeline Trade of ",Commodities!C$55, " to ",$B1970," from ",B1331)</f>
        <v>Import Pipeline Trade of LPG to * from *R3</v>
      </c>
      <c r="E1970" s="381" t="s">
        <v>384</v>
      </c>
      <c r="F1970" s="381" t="s">
        <v>505</v>
      </c>
    </row>
    <row r="1971" spans="2:6">
      <c r="B1971" s="365" t="str">
        <f t="shared" si="11"/>
        <v>*</v>
      </c>
      <c r="C1971" s="365" t="str">
        <f>CONCATENATE("IMP",Commodities!C$56,"R",RIGHT(C1332,2))</f>
        <v>IMPMTHRTH</v>
      </c>
      <c r="D1971" s="365" t="str">
        <f>CONCATENATE("Import Pipeline Trade of ",Commodities!C$56, " to ",$B1971," from ",B1332)</f>
        <v>Import Pipeline Trade of MTH to * from *R3</v>
      </c>
      <c r="E1971" s="381" t="s">
        <v>384</v>
      </c>
      <c r="F1971" s="381" t="s">
        <v>505</v>
      </c>
    </row>
    <row r="1972" spans="2:6">
      <c r="B1972" s="365" t="str">
        <f t="shared" si="11"/>
        <v>*</v>
      </c>
      <c r="C1972" s="365" t="str">
        <f>CONCATENATE("IMP",Commodities!C$57,"R",RIGHT(C1333,2))</f>
        <v>IMPPFSRFS</v>
      </c>
      <c r="D1972" s="365" t="str">
        <f>CONCATENATE("Import Pipeline Trade of ",Commodities!C$57, " to ",$B1972," from ",B1333)</f>
        <v>Import Pipeline Trade of PFS to * from *R3</v>
      </c>
      <c r="E1972" s="381" t="s">
        <v>384</v>
      </c>
      <c r="F1972" s="381" t="s">
        <v>505</v>
      </c>
    </row>
    <row r="1973" spans="2:6">
      <c r="B1973" s="365" t="str">
        <f t="shared" si="11"/>
        <v>*</v>
      </c>
      <c r="C1973" s="365" t="str">
        <f>CONCATENATE("IMP",Commodities!C$58,"R",RIGHT(C1334,2))</f>
        <v>IMPRFHRFH</v>
      </c>
      <c r="D1973" s="365" t="str">
        <f>CONCATENATE("Import Pipeline Trade of ",Commodities!C$58, " to ",$B1973," from ",B1334)</f>
        <v>Import Pipeline Trade of RFH to * from *R3</v>
      </c>
      <c r="E1973" s="381" t="s">
        <v>384</v>
      </c>
      <c r="F1973" s="381" t="s">
        <v>505</v>
      </c>
    </row>
    <row r="1974" spans="2:6">
      <c r="B1974" s="365" t="str">
        <f t="shared" si="11"/>
        <v>*</v>
      </c>
      <c r="C1974" s="365" t="str">
        <f>CONCATENATE("IMP",Commodities!C$59,"R",RIGHT(C1335,2))</f>
        <v>IMPRFLRFL</v>
      </c>
      <c r="D1974" s="365" t="str">
        <f>CONCATENATE("Import Pipeline Trade of ",Commodities!C$59, " to ",$B1974," from ",B1335)</f>
        <v>Import Pipeline Trade of RFL to * from *R3</v>
      </c>
      <c r="E1974" s="381" t="s">
        <v>384</v>
      </c>
      <c r="F1974" s="381" t="s">
        <v>505</v>
      </c>
    </row>
    <row r="1975" spans="2:6">
      <c r="B1975" s="365" t="str">
        <f t="shared" si="11"/>
        <v>*</v>
      </c>
      <c r="C1975" s="365" t="str">
        <f>CONCATENATE("IMP",Commodities!C$60,"R",RIGHT(C1336,2))</f>
        <v>IMPASPRSP</v>
      </c>
      <c r="D1975" s="365" t="str">
        <f>CONCATENATE("Import Pipeline Trade of ",Commodities!C$60, " to ",$B1975," from ",B1336)</f>
        <v>Import Pipeline Trade of ASP to * from *R3</v>
      </c>
      <c r="E1975" s="381" t="s">
        <v>384</v>
      </c>
      <c r="F1975" s="381" t="s">
        <v>505</v>
      </c>
    </row>
    <row r="1976" spans="2:6">
      <c r="B1976" s="365" t="str">
        <f t="shared" si="11"/>
        <v>*</v>
      </c>
      <c r="C1976" s="365" t="str">
        <f>CONCATENATE("IMP",Commodities!C$48,"R",RIGHT(C1337,2))</f>
        <v>IMPGSCR42</v>
      </c>
      <c r="D1976" s="365" t="str">
        <f>CONCATENATE("Import Pipeline Trade of ",Commodities!C$48, " to ",$B1976," from ",B1337)</f>
        <v>Import Pipeline Trade of GSC to * from *R4</v>
      </c>
      <c r="E1976" s="381" t="s">
        <v>384</v>
      </c>
      <c r="F1976" s="381" t="s">
        <v>505</v>
      </c>
    </row>
    <row r="1977" spans="2:6">
      <c r="B1977" s="365" t="str">
        <f t="shared" si="11"/>
        <v>*</v>
      </c>
      <c r="C1977" s="365" t="str">
        <f>CONCATENATE("IMP",Commodities!C$49,"R",RIGHT(C1338,2))</f>
        <v>IMPGSRR42</v>
      </c>
      <c r="D1977" s="365" t="str">
        <f>CONCATENATE("Import Pipeline Trade of ",Commodities!C$49, " to ",$B1977," from ",B1338)</f>
        <v>Import Pipeline Trade of GSR to * from *R4</v>
      </c>
      <c r="E1977" s="381" t="s">
        <v>384</v>
      </c>
      <c r="F1977" s="381" t="s">
        <v>505</v>
      </c>
    </row>
    <row r="1978" spans="2:6">
      <c r="B1978" s="365" t="str">
        <f t="shared" si="11"/>
        <v>*</v>
      </c>
      <c r="C1978" s="365" t="str">
        <f>CONCATENATE("IMP",Commodities!C$50,"R",RIGHT(C1339,2))</f>
        <v>IMPDSHR42</v>
      </c>
      <c r="D1978" s="365" t="str">
        <f>CONCATENATE("Import Pipeline Trade of ",Commodities!C$50, " to ",$B1978," from ",B1339)</f>
        <v>Import Pipeline Trade of DSH to * from *R4</v>
      </c>
      <c r="E1978" s="381" t="s">
        <v>384</v>
      </c>
      <c r="F1978" s="381" t="s">
        <v>505</v>
      </c>
    </row>
    <row r="1979" spans="2:6">
      <c r="B1979" s="365" t="str">
        <f t="shared" si="11"/>
        <v>*</v>
      </c>
      <c r="C1979" s="365" t="str">
        <f>CONCATENATE("IMP",Commodities!C$51,"R",RIGHT(C1340,2))</f>
        <v>IMPDSLR42</v>
      </c>
      <c r="D1979" s="365" t="str">
        <f>CONCATENATE("Import Pipeline Trade of ",Commodities!C$51, " to ",$B1979," from ",B1340)</f>
        <v>Import Pipeline Trade of DSL to * from *R4</v>
      </c>
      <c r="E1979" s="381" t="s">
        <v>384</v>
      </c>
      <c r="F1979" s="381" t="s">
        <v>505</v>
      </c>
    </row>
    <row r="1980" spans="2:6">
      <c r="B1980" s="365" t="str">
        <f t="shared" si="11"/>
        <v>*</v>
      </c>
      <c r="C1980" s="365" t="str">
        <f>CONCATENATE("IMP",Commodities!C$52,"R",RIGHT(C1341,2))</f>
        <v>IMPDSUR42</v>
      </c>
      <c r="D1980" s="365" t="str">
        <f>CONCATENATE("Import Pipeline Trade of ",Commodities!C$52, " to ",$B1980," from ",B1341)</f>
        <v>Import Pipeline Trade of DSU to * from *R4</v>
      </c>
      <c r="E1980" s="381" t="s">
        <v>384</v>
      </c>
      <c r="F1980" s="381" t="s">
        <v>505</v>
      </c>
    </row>
    <row r="1981" spans="2:6">
      <c r="B1981" s="365" t="str">
        <f t="shared" si="11"/>
        <v>*</v>
      </c>
      <c r="C1981" s="365" t="str">
        <f>CONCATENATE("IMP",Commodities!C$53,"R",RIGHT(C1342,2))</f>
        <v>IMPJTFR42</v>
      </c>
      <c r="D1981" s="365" t="str">
        <f>CONCATENATE("Import Pipeline Trade of ",Commodities!C$53, " to ",$B1981," from ",B1342)</f>
        <v>Import Pipeline Trade of JTF to * from *R4</v>
      </c>
      <c r="E1981" s="381" t="s">
        <v>384</v>
      </c>
      <c r="F1981" s="381" t="s">
        <v>505</v>
      </c>
    </row>
    <row r="1982" spans="2:6">
      <c r="B1982" s="365" t="str">
        <f t="shared" si="11"/>
        <v>*</v>
      </c>
      <c r="C1982" s="365" t="str">
        <f>CONCATENATE("IMP",Commodities!C$54,"R",RIGHT(C1343,2))</f>
        <v>IMPKERR42</v>
      </c>
      <c r="D1982" s="365" t="str">
        <f>CONCATENATE("Import Pipeline Trade of ",Commodities!C$54, " to ",$B1982," from ",B1343)</f>
        <v>Import Pipeline Trade of KER to * from *R4</v>
      </c>
      <c r="E1982" s="381" t="s">
        <v>384</v>
      </c>
      <c r="F1982" s="381" t="s">
        <v>505</v>
      </c>
    </row>
    <row r="1983" spans="2:6">
      <c r="B1983" s="365" t="str">
        <f t="shared" si="11"/>
        <v>*</v>
      </c>
      <c r="C1983" s="365" t="str">
        <f>CONCATENATE("IMP",Commodities!C$55,"R",RIGHT(C1344,2))</f>
        <v>IMPLPGR42</v>
      </c>
      <c r="D1983" s="365" t="str">
        <f>CONCATENATE("Import Pipeline Trade of ",Commodities!C$55, " to ",$B1983," from ",B1344)</f>
        <v>Import Pipeline Trade of LPG to * from *R4</v>
      </c>
      <c r="E1983" s="381" t="s">
        <v>384</v>
      </c>
      <c r="F1983" s="381" t="s">
        <v>505</v>
      </c>
    </row>
    <row r="1984" spans="2:6">
      <c r="B1984" s="365" t="str">
        <f t="shared" si="11"/>
        <v>*</v>
      </c>
      <c r="C1984" s="365" t="str">
        <f>CONCATENATE("IMP",Commodities!C$56,"R",RIGHT(C1345,2))</f>
        <v>IMPMTHR42</v>
      </c>
      <c r="D1984" s="365" t="str">
        <f>CONCATENATE("Import Pipeline Trade of ",Commodities!C$56, " to ",$B1984," from ",B1345)</f>
        <v>Import Pipeline Trade of MTH to * from *R4</v>
      </c>
      <c r="E1984" s="381" t="s">
        <v>384</v>
      </c>
      <c r="F1984" s="381" t="s">
        <v>505</v>
      </c>
    </row>
    <row r="1985" spans="2:6">
      <c r="B1985" s="365" t="str">
        <f t="shared" si="11"/>
        <v>*</v>
      </c>
      <c r="C1985" s="365" t="str">
        <f>CONCATENATE("IMP",Commodities!C$57,"R",RIGHT(C1346,2))</f>
        <v>IMPPFSR42</v>
      </c>
      <c r="D1985" s="365" t="str">
        <f>CONCATENATE("Import Pipeline Trade of ",Commodities!C$57, " to ",$B1985," from ",B1346)</f>
        <v>Import Pipeline Trade of PFS to * from *R4</v>
      </c>
      <c r="E1985" s="381" t="s">
        <v>384</v>
      </c>
      <c r="F1985" s="381" t="s">
        <v>505</v>
      </c>
    </row>
    <row r="1986" spans="2:6">
      <c r="B1986" s="365" t="str">
        <f t="shared" si="11"/>
        <v>*</v>
      </c>
      <c r="C1986" s="365" t="str">
        <f>CONCATENATE("IMP",Commodities!C$58,"R",RIGHT(C1347,2))</f>
        <v>IMPRFHR42</v>
      </c>
      <c r="D1986" s="365" t="str">
        <f>CONCATENATE("Import Pipeline Trade of ",Commodities!C$58, " to ",$B1986," from ",B1347)</f>
        <v>Import Pipeline Trade of RFH to * from *R4</v>
      </c>
      <c r="E1986" s="381" t="s">
        <v>384</v>
      </c>
      <c r="F1986" s="381" t="s">
        <v>505</v>
      </c>
    </row>
    <row r="1987" spans="2:6">
      <c r="B1987" s="365" t="str">
        <f t="shared" si="11"/>
        <v>*</v>
      </c>
      <c r="C1987" s="365" t="str">
        <f>CONCATENATE("IMP",Commodities!C$59,"R",RIGHT(C1348,2))</f>
        <v>IMPRFLR42</v>
      </c>
      <c r="D1987" s="365" t="str">
        <f>CONCATENATE("Import Pipeline Trade of ",Commodities!C$59, " to ",$B1987," from ",B1348)</f>
        <v>Import Pipeline Trade of RFL to * from *R4</v>
      </c>
      <c r="E1987" s="381" t="s">
        <v>384</v>
      </c>
      <c r="F1987" s="381" t="s">
        <v>505</v>
      </c>
    </row>
    <row r="1988" spans="2:6">
      <c r="B1988" s="365" t="str">
        <f t="shared" ref="B1988:B2051" si="12">IF(LEFT(B1349,1)="*","*",CONCATENATE("R",RIGHT(C1988,1)))</f>
        <v>*</v>
      </c>
      <c r="C1988" s="365" t="str">
        <f>CONCATENATE("IMP",Commodities!C$60,"R",RIGHT(C1349,2))</f>
        <v>IMPASPR42</v>
      </c>
      <c r="D1988" s="365" t="str">
        <f>CONCATENATE("Import Pipeline Trade of ",Commodities!C$60, " to ",$B1988," from ",B1349)</f>
        <v>Import Pipeline Trade of ASP to * from *R4</v>
      </c>
      <c r="E1988" s="381" t="s">
        <v>384</v>
      </c>
      <c r="F1988" s="381" t="s">
        <v>505</v>
      </c>
    </row>
    <row r="1989" spans="2:6">
      <c r="B1989" s="365" t="str">
        <f t="shared" si="12"/>
        <v>*</v>
      </c>
      <c r="C1989" s="365" t="str">
        <f>CONCATENATE("IMP",Commodities!C$48,"R",RIGHT(C1350,2))</f>
        <v>IMPGSCR46</v>
      </c>
      <c r="D1989" s="365" t="str">
        <f>CONCATENATE("Import Pipeline Trade of ",Commodities!C$48, " to ",$B1989," from ",B1350)</f>
        <v>Import Pipeline Trade of GSC to * from *R4</v>
      </c>
      <c r="E1989" s="381" t="s">
        <v>384</v>
      </c>
      <c r="F1989" s="381" t="s">
        <v>505</v>
      </c>
    </row>
    <row r="1990" spans="2:6">
      <c r="B1990" s="365" t="str">
        <f t="shared" si="12"/>
        <v>*</v>
      </c>
      <c r="C1990" s="365" t="str">
        <f>CONCATENATE("IMP",Commodities!C$49,"R",RIGHT(C1351,2))</f>
        <v>IMPGSRR46</v>
      </c>
      <c r="D1990" s="365" t="str">
        <f>CONCATENATE("Import Pipeline Trade of ",Commodities!C$49, " to ",$B1990," from ",B1351)</f>
        <v>Import Pipeline Trade of GSR to * from *R4</v>
      </c>
      <c r="E1990" s="381" t="s">
        <v>384</v>
      </c>
      <c r="F1990" s="381" t="s">
        <v>505</v>
      </c>
    </row>
    <row r="1991" spans="2:6">
      <c r="B1991" s="365" t="str">
        <f t="shared" si="12"/>
        <v>*</v>
      </c>
      <c r="C1991" s="365" t="str">
        <f>CONCATENATE("IMP",Commodities!C$50,"R",RIGHT(C1352,2))</f>
        <v>IMPDSHR46</v>
      </c>
      <c r="D1991" s="365" t="str">
        <f>CONCATENATE("Import Pipeline Trade of ",Commodities!C$50, " to ",$B1991," from ",B1352)</f>
        <v>Import Pipeline Trade of DSH to * from *R4</v>
      </c>
      <c r="E1991" s="381" t="s">
        <v>384</v>
      </c>
      <c r="F1991" s="381" t="s">
        <v>505</v>
      </c>
    </row>
    <row r="1992" spans="2:6">
      <c r="B1992" s="365" t="str">
        <f t="shared" si="12"/>
        <v>*</v>
      </c>
      <c r="C1992" s="365" t="str">
        <f>CONCATENATE("IMP",Commodities!C$51,"R",RIGHT(C1353,2))</f>
        <v>IMPDSLR46</v>
      </c>
      <c r="D1992" s="365" t="str">
        <f>CONCATENATE("Import Pipeline Trade of ",Commodities!C$51, " to ",$B1992," from ",B1353)</f>
        <v>Import Pipeline Trade of DSL to * from *R4</v>
      </c>
      <c r="E1992" s="381" t="s">
        <v>384</v>
      </c>
      <c r="F1992" s="381" t="s">
        <v>505</v>
      </c>
    </row>
    <row r="1993" spans="2:6">
      <c r="B1993" s="365" t="str">
        <f t="shared" si="12"/>
        <v>*</v>
      </c>
      <c r="C1993" s="365" t="str">
        <f>CONCATENATE("IMP",Commodities!C$52,"R",RIGHT(C1354,2))</f>
        <v>IMPDSUR46</v>
      </c>
      <c r="D1993" s="365" t="str">
        <f>CONCATENATE("Import Pipeline Trade of ",Commodities!C$52, " to ",$B1993," from ",B1354)</f>
        <v>Import Pipeline Trade of DSU to * from *R4</v>
      </c>
      <c r="E1993" s="381" t="s">
        <v>384</v>
      </c>
      <c r="F1993" s="381" t="s">
        <v>505</v>
      </c>
    </row>
    <row r="1994" spans="2:6">
      <c r="B1994" s="365" t="str">
        <f t="shared" si="12"/>
        <v>*</v>
      </c>
      <c r="C1994" s="365" t="str">
        <f>CONCATENATE("IMP",Commodities!C$53,"R",RIGHT(C1355,2))</f>
        <v>IMPJTFR46</v>
      </c>
      <c r="D1994" s="365" t="str">
        <f>CONCATENATE("Import Pipeline Trade of ",Commodities!C$53, " to ",$B1994," from ",B1355)</f>
        <v>Import Pipeline Trade of JTF to * from *R4</v>
      </c>
      <c r="E1994" s="381" t="s">
        <v>384</v>
      </c>
      <c r="F1994" s="381" t="s">
        <v>505</v>
      </c>
    </row>
    <row r="1995" spans="2:6">
      <c r="B1995" s="365" t="str">
        <f t="shared" si="12"/>
        <v>*</v>
      </c>
      <c r="C1995" s="365" t="str">
        <f>CONCATENATE("IMP",Commodities!C$54,"R",RIGHT(C1356,2))</f>
        <v>IMPKERR46</v>
      </c>
      <c r="D1995" s="365" t="str">
        <f>CONCATENATE("Import Pipeline Trade of ",Commodities!C$54, " to ",$B1995," from ",B1356)</f>
        <v>Import Pipeline Trade of KER to * from *R4</v>
      </c>
      <c r="E1995" s="381" t="s">
        <v>384</v>
      </c>
      <c r="F1995" s="381" t="s">
        <v>505</v>
      </c>
    </row>
    <row r="1996" spans="2:6">
      <c r="B1996" s="365" t="str">
        <f t="shared" si="12"/>
        <v>*</v>
      </c>
      <c r="C1996" s="365" t="str">
        <f>CONCATENATE("IMP",Commodities!C$55,"R",RIGHT(C1357,2))</f>
        <v>IMPLPGR46</v>
      </c>
      <c r="D1996" s="365" t="str">
        <f>CONCATENATE("Import Pipeline Trade of ",Commodities!C$55, " to ",$B1996," from ",B1357)</f>
        <v>Import Pipeline Trade of LPG to * from *R4</v>
      </c>
      <c r="E1996" s="381" t="s">
        <v>384</v>
      </c>
      <c r="F1996" s="381" t="s">
        <v>505</v>
      </c>
    </row>
    <row r="1997" spans="2:6">
      <c r="B1997" s="365" t="str">
        <f t="shared" si="12"/>
        <v>*</v>
      </c>
      <c r="C1997" s="365" t="str">
        <f>CONCATENATE("IMP",Commodities!C$56,"R",RIGHT(C1358,2))</f>
        <v>IMPMTHR46</v>
      </c>
      <c r="D1997" s="365" t="str">
        <f>CONCATENATE("Import Pipeline Trade of ",Commodities!C$56, " to ",$B1997," from ",B1358)</f>
        <v>Import Pipeline Trade of MTH to * from *R4</v>
      </c>
      <c r="E1997" s="381" t="s">
        <v>384</v>
      </c>
      <c r="F1997" s="381" t="s">
        <v>505</v>
      </c>
    </row>
    <row r="1998" spans="2:6">
      <c r="B1998" s="365" t="str">
        <f t="shared" si="12"/>
        <v>*</v>
      </c>
      <c r="C1998" s="365" t="str">
        <f>CONCATENATE("IMP",Commodities!C$57,"R",RIGHT(C1359,2))</f>
        <v>IMPPFSR46</v>
      </c>
      <c r="D1998" s="365" t="str">
        <f>CONCATENATE("Import Pipeline Trade of ",Commodities!C$57, " to ",$B1998," from ",B1359)</f>
        <v>Import Pipeline Trade of PFS to * from *R4</v>
      </c>
      <c r="E1998" s="381" t="s">
        <v>384</v>
      </c>
      <c r="F1998" s="381" t="s">
        <v>505</v>
      </c>
    </row>
    <row r="1999" spans="2:6">
      <c r="B1999" s="365" t="str">
        <f t="shared" si="12"/>
        <v>*</v>
      </c>
      <c r="C1999" s="365" t="str">
        <f>CONCATENATE("IMP",Commodities!C$58,"R",RIGHT(C1360,2))</f>
        <v>IMPRFHR46</v>
      </c>
      <c r="D1999" s="365" t="str">
        <f>CONCATENATE("Import Pipeline Trade of ",Commodities!C$58, " to ",$B1999," from ",B1360)</f>
        <v>Import Pipeline Trade of RFH to * from *R4</v>
      </c>
      <c r="E1999" s="381" t="s">
        <v>384</v>
      </c>
      <c r="F1999" s="381" t="s">
        <v>505</v>
      </c>
    </row>
    <row r="2000" spans="2:6">
      <c r="B2000" s="365" t="str">
        <f t="shared" si="12"/>
        <v>*</v>
      </c>
      <c r="C2000" s="365" t="str">
        <f>CONCATENATE("IMP",Commodities!C$59,"R",RIGHT(C1361,2))</f>
        <v>IMPRFLR46</v>
      </c>
      <c r="D2000" s="365" t="str">
        <f>CONCATENATE("Import Pipeline Trade of ",Commodities!C$59, " to ",$B2000," from ",B1361)</f>
        <v>Import Pipeline Trade of RFL to * from *R4</v>
      </c>
      <c r="E2000" s="381" t="s">
        <v>384</v>
      </c>
      <c r="F2000" s="381" t="s">
        <v>505</v>
      </c>
    </row>
    <row r="2001" spans="2:6">
      <c r="B2001" s="365" t="str">
        <f t="shared" si="12"/>
        <v>*</v>
      </c>
      <c r="C2001" s="365" t="str">
        <f>CONCATENATE("IMP",Commodities!C$60,"R",RIGHT(C1362,2))</f>
        <v>IMPASPR46</v>
      </c>
      <c r="D2001" s="365" t="str">
        <f>CONCATENATE("Import Pipeline Trade of ",Commodities!C$60, " to ",$B2001," from ",B1362)</f>
        <v>Import Pipeline Trade of ASP to * from *R4</v>
      </c>
      <c r="E2001" s="381" t="s">
        <v>384</v>
      </c>
      <c r="F2001" s="381" t="s">
        <v>505</v>
      </c>
    </row>
    <row r="2002" spans="2:6">
      <c r="B2002" s="365" t="str">
        <f t="shared" si="12"/>
        <v>R4</v>
      </c>
      <c r="C2002" s="365" t="str">
        <f>CONCATENATE("IMP",Commodities!C$48,"R",RIGHT(C1363,2))</f>
        <v>IMPGSCR14</v>
      </c>
      <c r="D2002" s="365" t="str">
        <f>CONCATENATE("Import Pipeline Trade of ",Commodities!C$48, " to ",$B2002," from ",B1363)</f>
        <v>Import Pipeline Trade of GSC to R4 from R1</v>
      </c>
      <c r="E2002" s="381" t="s">
        <v>384</v>
      </c>
      <c r="F2002" s="381" t="s">
        <v>505</v>
      </c>
    </row>
    <row r="2003" spans="2:6">
      <c r="B2003" s="365" t="str">
        <f t="shared" si="12"/>
        <v>R4</v>
      </c>
      <c r="C2003" s="365" t="str">
        <f>CONCATENATE("IMP",Commodities!C$49,"R",RIGHT(C1364,2))</f>
        <v>IMPGSRR14</v>
      </c>
      <c r="D2003" s="365" t="str">
        <f>CONCATENATE("Import Pipeline Trade of ",Commodities!C$49, " to ",$B2003," from ",B1364)</f>
        <v>Import Pipeline Trade of GSR to R4 from R1</v>
      </c>
      <c r="E2003" s="381" t="s">
        <v>384</v>
      </c>
      <c r="F2003" s="381" t="s">
        <v>505</v>
      </c>
    </row>
    <row r="2004" spans="2:6">
      <c r="B2004" s="365" t="str">
        <f t="shared" si="12"/>
        <v>R4</v>
      </c>
      <c r="C2004" s="365" t="str">
        <f>CONCATENATE("IMP",Commodities!C$50,"R",RIGHT(C1365,2))</f>
        <v>IMPDSHR14</v>
      </c>
      <c r="D2004" s="365" t="str">
        <f>CONCATENATE("Import Pipeline Trade of ",Commodities!C$50, " to ",$B2004," from ",B1365)</f>
        <v>Import Pipeline Trade of DSH to R4 from R1</v>
      </c>
      <c r="E2004" s="381" t="s">
        <v>384</v>
      </c>
      <c r="F2004" s="381" t="s">
        <v>505</v>
      </c>
    </row>
    <row r="2005" spans="2:6">
      <c r="B2005" s="365" t="str">
        <f t="shared" si="12"/>
        <v>R4</v>
      </c>
      <c r="C2005" s="365" t="str">
        <f>CONCATENATE("IMP",Commodities!C$51,"R",RIGHT(C1366,2))</f>
        <v>IMPDSLR14</v>
      </c>
      <c r="D2005" s="365" t="str">
        <f>CONCATENATE("Import Pipeline Trade of ",Commodities!C$51, " to ",$B2005," from ",B1366)</f>
        <v>Import Pipeline Trade of DSL to R4 from R1</v>
      </c>
      <c r="E2005" s="381" t="s">
        <v>384</v>
      </c>
      <c r="F2005" s="381" t="s">
        <v>505</v>
      </c>
    </row>
    <row r="2006" spans="2:6">
      <c r="B2006" s="365" t="str">
        <f t="shared" si="12"/>
        <v>R4</v>
      </c>
      <c r="C2006" s="365" t="str">
        <f>CONCATENATE("IMP",Commodities!C$52,"R",RIGHT(C1367,2))</f>
        <v>IMPDSUR14</v>
      </c>
      <c r="D2006" s="365" t="str">
        <f>CONCATENATE("Import Pipeline Trade of ",Commodities!C$52, " to ",$B2006," from ",B1367)</f>
        <v>Import Pipeline Trade of DSU to R4 from R1</v>
      </c>
      <c r="E2006" s="381" t="s">
        <v>384</v>
      </c>
      <c r="F2006" s="381" t="s">
        <v>505</v>
      </c>
    </row>
    <row r="2007" spans="2:6">
      <c r="B2007" s="365" t="str">
        <f t="shared" si="12"/>
        <v>R4</v>
      </c>
      <c r="C2007" s="365" t="str">
        <f>CONCATENATE("IMP",Commodities!C$53,"R",RIGHT(C1368,2))</f>
        <v>IMPJTFR14</v>
      </c>
      <c r="D2007" s="365" t="str">
        <f>CONCATENATE("Import Pipeline Trade of ",Commodities!C$53, " to ",$B2007," from ",B1368)</f>
        <v>Import Pipeline Trade of JTF to R4 from R1</v>
      </c>
      <c r="E2007" s="381" t="s">
        <v>384</v>
      </c>
      <c r="F2007" s="381" t="s">
        <v>505</v>
      </c>
    </row>
    <row r="2008" spans="2:6">
      <c r="B2008" s="365" t="str">
        <f t="shared" si="12"/>
        <v>*</v>
      </c>
      <c r="C2008" s="365" t="str">
        <f>CONCATENATE("IMP",Commodities!C$54,"R",RIGHT(C1369,2))</f>
        <v>IMPKERR14</v>
      </c>
      <c r="D2008" s="365" t="str">
        <f>CONCATENATE("Import Pipeline Trade of ",Commodities!C$54, " to ",$B2008," from ",B1369)</f>
        <v>Import Pipeline Trade of KER to * from *R1</v>
      </c>
      <c r="E2008" s="381" t="s">
        <v>384</v>
      </c>
      <c r="F2008" s="381" t="s">
        <v>505</v>
      </c>
    </row>
    <row r="2009" spans="2:6">
      <c r="B2009" s="365" t="str">
        <f t="shared" si="12"/>
        <v>*</v>
      </c>
      <c r="C2009" s="365" t="str">
        <f>CONCATENATE("IMP",Commodities!C$55,"R",RIGHT(C1370,2))</f>
        <v>IMPLPGR14</v>
      </c>
      <c r="D2009" s="365" t="str">
        <f>CONCATENATE("Import Pipeline Trade of ",Commodities!C$55, " to ",$B2009," from ",B1370)</f>
        <v>Import Pipeline Trade of LPG to * from *R1</v>
      </c>
      <c r="E2009" s="381" t="s">
        <v>384</v>
      </c>
      <c r="F2009" s="381" t="s">
        <v>505</v>
      </c>
    </row>
    <row r="2010" spans="2:6">
      <c r="B2010" s="365" t="str">
        <f t="shared" si="12"/>
        <v>*</v>
      </c>
      <c r="C2010" s="365" t="str">
        <f>CONCATENATE("IMP",Commodities!C$56,"R",RIGHT(C1371,2))</f>
        <v>IMPMTHR14</v>
      </c>
      <c r="D2010" s="365" t="str">
        <f>CONCATENATE("Import Pipeline Trade of ",Commodities!C$56, " to ",$B2010," from ",B1371)</f>
        <v>Import Pipeline Trade of MTH to * from *R1</v>
      </c>
      <c r="E2010" s="381" t="s">
        <v>384</v>
      </c>
      <c r="F2010" s="381" t="s">
        <v>505</v>
      </c>
    </row>
    <row r="2011" spans="2:6">
      <c r="B2011" s="365" t="str">
        <f t="shared" si="12"/>
        <v>*</v>
      </c>
      <c r="C2011" s="365" t="str">
        <f>CONCATENATE("IMP",Commodities!C$57,"R",RIGHT(C1372,2))</f>
        <v>IMPPFSR14</v>
      </c>
      <c r="D2011" s="365" t="str">
        <f>CONCATENATE("Import Pipeline Trade of ",Commodities!C$57, " to ",$B2011," from ",B1372)</f>
        <v>Import Pipeline Trade of PFS to * from *R1</v>
      </c>
      <c r="E2011" s="381" t="s">
        <v>384</v>
      </c>
      <c r="F2011" s="381" t="s">
        <v>505</v>
      </c>
    </row>
    <row r="2012" spans="2:6">
      <c r="B2012" s="365" t="str">
        <f t="shared" si="12"/>
        <v>*</v>
      </c>
      <c r="C2012" s="365" t="str">
        <f>CONCATENATE("IMP",Commodities!C$58,"R",RIGHT(C1373,2))</f>
        <v>IMPRFHR14</v>
      </c>
      <c r="D2012" s="365" t="str">
        <f>CONCATENATE("Import Pipeline Trade of ",Commodities!C$58, " to ",$B2012," from ",B1373)</f>
        <v>Import Pipeline Trade of RFH to * from *R1</v>
      </c>
      <c r="E2012" s="381" t="s">
        <v>384</v>
      </c>
      <c r="F2012" s="381" t="s">
        <v>505</v>
      </c>
    </row>
    <row r="2013" spans="2:6">
      <c r="B2013" s="365" t="str">
        <f t="shared" si="12"/>
        <v>R4</v>
      </c>
      <c r="C2013" s="365" t="str">
        <f>CONCATENATE("IMP",Commodities!C$59,"R",RIGHT(C1374,2))</f>
        <v>IMPRFLR14</v>
      </c>
      <c r="D2013" s="365" t="str">
        <f>CONCATENATE("Import Pipeline Trade of ",Commodities!C$59, " to ",$B2013," from ",B1374)</f>
        <v>Import Pipeline Trade of RFL to R4 from R1</v>
      </c>
      <c r="E2013" s="381" t="s">
        <v>384</v>
      </c>
      <c r="F2013" s="381" t="s">
        <v>505</v>
      </c>
    </row>
    <row r="2014" spans="2:6">
      <c r="B2014" s="365" t="str">
        <f t="shared" si="12"/>
        <v>*</v>
      </c>
      <c r="C2014" s="365" t="str">
        <f>CONCATENATE("IMP",Commodities!C$60,"R",RIGHT(C1375,2))</f>
        <v>IMPASPR14</v>
      </c>
      <c r="D2014" s="365" t="str">
        <f>CONCATENATE("Import Pipeline Trade of ",Commodities!C$60, " to ",$B2014," from ",B1375)</f>
        <v>Import Pipeline Trade of ASP to * from *R1</v>
      </c>
      <c r="E2014" s="381" t="s">
        <v>384</v>
      </c>
      <c r="F2014" s="381" t="s">
        <v>505</v>
      </c>
    </row>
    <row r="2015" spans="2:6">
      <c r="B2015" s="365" t="str">
        <f t="shared" si="12"/>
        <v>R6</v>
      </c>
      <c r="C2015" s="365" t="str">
        <f>CONCATENATE("IMP",Commodities!C$48,"R",RIGHT(C1376,2))</f>
        <v>IMPGSCR16</v>
      </c>
      <c r="D2015" s="365" t="str">
        <f>CONCATENATE("Import Pipeline Trade of ",Commodities!C$48, " to ",$B2015," from ",B1376)</f>
        <v>Import Pipeline Trade of GSC to R6 from R1</v>
      </c>
      <c r="E2015" s="381" t="s">
        <v>384</v>
      </c>
      <c r="F2015" s="381" t="s">
        <v>505</v>
      </c>
    </row>
    <row r="2016" spans="2:6">
      <c r="B2016" s="365" t="str">
        <f t="shared" si="12"/>
        <v>R6</v>
      </c>
      <c r="C2016" s="365" t="str">
        <f>CONCATENATE("IMP",Commodities!C$49,"R",RIGHT(C1377,2))</f>
        <v>IMPGSRR16</v>
      </c>
      <c r="D2016" s="365" t="str">
        <f>CONCATENATE("Import Pipeline Trade of ",Commodities!C$49, " to ",$B2016," from ",B1377)</f>
        <v>Import Pipeline Trade of GSR to R6 from R1</v>
      </c>
      <c r="E2016" s="381" t="s">
        <v>384</v>
      </c>
      <c r="F2016" s="381" t="s">
        <v>505</v>
      </c>
    </row>
    <row r="2017" spans="2:6">
      <c r="B2017" s="365" t="str">
        <f t="shared" si="12"/>
        <v>R6</v>
      </c>
      <c r="C2017" s="365" t="str">
        <f>CONCATENATE("IMP",Commodities!C$50,"R",RIGHT(C1378,2))</f>
        <v>IMPDSHR16</v>
      </c>
      <c r="D2017" s="365" t="str">
        <f>CONCATENATE("Import Pipeline Trade of ",Commodities!C$50, " to ",$B2017," from ",B1378)</f>
        <v>Import Pipeline Trade of DSH to R6 from R1</v>
      </c>
      <c r="E2017" s="381" t="s">
        <v>384</v>
      </c>
      <c r="F2017" s="381" t="s">
        <v>505</v>
      </c>
    </row>
    <row r="2018" spans="2:6">
      <c r="B2018" s="365" t="str">
        <f t="shared" si="12"/>
        <v>R6</v>
      </c>
      <c r="C2018" s="365" t="str">
        <f>CONCATENATE("IMP",Commodities!C$51,"R",RIGHT(C1379,2))</f>
        <v>IMPDSLR16</v>
      </c>
      <c r="D2018" s="365" t="str">
        <f>CONCATENATE("Import Pipeline Trade of ",Commodities!C$51, " to ",$B2018," from ",B1379)</f>
        <v>Import Pipeline Trade of DSL to R6 from R1</v>
      </c>
      <c r="E2018" s="381" t="s">
        <v>384</v>
      </c>
      <c r="F2018" s="381" t="s">
        <v>505</v>
      </c>
    </row>
    <row r="2019" spans="2:6">
      <c r="B2019" s="365" t="str">
        <f t="shared" si="12"/>
        <v>R6</v>
      </c>
      <c r="C2019" s="365" t="str">
        <f>CONCATENATE("IMP",Commodities!C$52,"R",RIGHT(C1380,2))</f>
        <v>IMPDSUR16</v>
      </c>
      <c r="D2019" s="365" t="str">
        <f>CONCATENATE("Import Pipeline Trade of ",Commodities!C$52, " to ",$B2019," from ",B1380)</f>
        <v>Import Pipeline Trade of DSU to R6 from R1</v>
      </c>
      <c r="E2019" s="381" t="s">
        <v>384</v>
      </c>
      <c r="F2019" s="381" t="s">
        <v>505</v>
      </c>
    </row>
    <row r="2020" spans="2:6">
      <c r="B2020" s="365" t="str">
        <f t="shared" si="12"/>
        <v>R6</v>
      </c>
      <c r="C2020" s="365" t="str">
        <f>CONCATENATE("IMP",Commodities!C$53,"R",RIGHT(C1381,2))</f>
        <v>IMPJTFR16</v>
      </c>
      <c r="D2020" s="365" t="str">
        <f>CONCATENATE("Import Pipeline Trade of ",Commodities!C$53, " to ",$B2020," from ",B1381)</f>
        <v>Import Pipeline Trade of JTF to R6 from R1</v>
      </c>
      <c r="E2020" s="381" t="s">
        <v>384</v>
      </c>
      <c r="F2020" s="381" t="s">
        <v>505</v>
      </c>
    </row>
    <row r="2021" spans="2:6">
      <c r="B2021" s="365" t="str">
        <f t="shared" si="12"/>
        <v>*</v>
      </c>
      <c r="C2021" s="365" t="str">
        <f>CONCATENATE("IMP",Commodities!C$54,"R",RIGHT(C1382,2))</f>
        <v>IMPKERR16</v>
      </c>
      <c r="D2021" s="365" t="str">
        <f>CONCATENATE("Import Pipeline Trade of ",Commodities!C$54, " to ",$B2021," from ",B1382)</f>
        <v>Import Pipeline Trade of KER to * from *R1</v>
      </c>
      <c r="E2021" s="381" t="s">
        <v>384</v>
      </c>
      <c r="F2021" s="381" t="s">
        <v>505</v>
      </c>
    </row>
    <row r="2022" spans="2:6">
      <c r="B2022" s="365" t="str">
        <f t="shared" si="12"/>
        <v>*</v>
      </c>
      <c r="C2022" s="365" t="str">
        <f>CONCATENATE("IMP",Commodities!C$55,"R",RIGHT(C1383,2))</f>
        <v>IMPLPGR16</v>
      </c>
      <c r="D2022" s="365" t="str">
        <f>CONCATENATE("Import Pipeline Trade of ",Commodities!C$55, " to ",$B2022," from ",B1383)</f>
        <v>Import Pipeline Trade of LPG to * from *R1</v>
      </c>
      <c r="E2022" s="381" t="s">
        <v>384</v>
      </c>
      <c r="F2022" s="381" t="s">
        <v>505</v>
      </c>
    </row>
    <row r="2023" spans="2:6">
      <c r="B2023" s="365" t="str">
        <f t="shared" si="12"/>
        <v>*</v>
      </c>
      <c r="C2023" s="365" t="str">
        <f>CONCATENATE("IMP",Commodities!C$56,"R",RIGHT(C1384,2))</f>
        <v>IMPMTHR16</v>
      </c>
      <c r="D2023" s="365" t="str">
        <f>CONCATENATE("Import Pipeline Trade of ",Commodities!C$56, " to ",$B2023," from ",B1384)</f>
        <v>Import Pipeline Trade of MTH to * from *R1</v>
      </c>
      <c r="E2023" s="381" t="s">
        <v>384</v>
      </c>
      <c r="F2023" s="381" t="s">
        <v>505</v>
      </c>
    </row>
    <row r="2024" spans="2:6">
      <c r="B2024" s="365" t="str">
        <f t="shared" si="12"/>
        <v>*</v>
      </c>
      <c r="C2024" s="365" t="str">
        <f>CONCATENATE("IMP",Commodities!C$57,"R",RIGHT(C1385,2))</f>
        <v>IMPPFSR16</v>
      </c>
      <c r="D2024" s="365" t="str">
        <f>CONCATENATE("Import Pipeline Trade of ",Commodities!C$57, " to ",$B2024," from ",B1385)</f>
        <v>Import Pipeline Trade of PFS to * from *R1</v>
      </c>
      <c r="E2024" s="381" t="s">
        <v>384</v>
      </c>
      <c r="F2024" s="381" t="s">
        <v>505</v>
      </c>
    </row>
    <row r="2025" spans="2:6">
      <c r="B2025" s="365" t="str">
        <f t="shared" si="12"/>
        <v>*</v>
      </c>
      <c r="C2025" s="365" t="str">
        <f>CONCATENATE("IMP",Commodities!C$58,"R",RIGHT(C1386,2))</f>
        <v>IMPRFHR16</v>
      </c>
      <c r="D2025" s="365" t="str">
        <f>CONCATENATE("Import Pipeline Trade of ",Commodities!C$58, " to ",$B2025," from ",B1386)</f>
        <v>Import Pipeline Trade of RFH to * from *R1</v>
      </c>
      <c r="E2025" s="381" t="s">
        <v>384</v>
      </c>
      <c r="F2025" s="381" t="s">
        <v>505</v>
      </c>
    </row>
    <row r="2026" spans="2:6">
      <c r="B2026" s="365" t="str">
        <f t="shared" si="12"/>
        <v>R6</v>
      </c>
      <c r="C2026" s="365" t="str">
        <f>CONCATENATE("IMP",Commodities!C$59,"R",RIGHT(C1387,2))</f>
        <v>IMPRFLR16</v>
      </c>
      <c r="D2026" s="365" t="str">
        <f>CONCATENATE("Import Pipeline Trade of ",Commodities!C$59, " to ",$B2026," from ",B1387)</f>
        <v>Import Pipeline Trade of RFL to R6 from R1</v>
      </c>
      <c r="E2026" s="381" t="s">
        <v>384</v>
      </c>
      <c r="F2026" s="381" t="s">
        <v>505</v>
      </c>
    </row>
    <row r="2027" spans="2:6">
      <c r="B2027" s="365" t="str">
        <f t="shared" si="12"/>
        <v>*</v>
      </c>
      <c r="C2027" s="365" t="str">
        <f>CONCATENATE("IMP",Commodities!C$60,"R",RIGHT(C1388,2))</f>
        <v>IMPASPR16</v>
      </c>
      <c r="D2027" s="365" t="str">
        <f>CONCATENATE("Import Pipeline Trade of ",Commodities!C$60, " to ",$B2027," from ",B1388)</f>
        <v>Import Pipeline Trade of ASP to * from *R1</v>
      </c>
      <c r="E2027" s="381" t="s">
        <v>384</v>
      </c>
      <c r="F2027" s="381" t="s">
        <v>505</v>
      </c>
    </row>
    <row r="2028" spans="2:6">
      <c r="B2028" s="365" t="str">
        <f t="shared" si="12"/>
        <v>*</v>
      </c>
      <c r="C2028" s="365" t="str">
        <f>CONCATENATE("IMP",Commodities!C$48,"R",RIGHT(C1389,2))</f>
        <v>IMPGSCR52</v>
      </c>
      <c r="D2028" s="365" t="str">
        <f>CONCATENATE("Import Pipeline Trade of ",Commodities!C$48, " to ",$B2028," from ",B1389)</f>
        <v>Import Pipeline Trade of GSC to * from *R5</v>
      </c>
      <c r="E2028" s="381" t="s">
        <v>384</v>
      </c>
      <c r="F2028" s="381" t="s">
        <v>505</v>
      </c>
    </row>
    <row r="2029" spans="2:6">
      <c r="B2029" s="365" t="str">
        <f t="shared" si="12"/>
        <v>*</v>
      </c>
      <c r="C2029" s="365" t="str">
        <f>CONCATENATE("IMP",Commodities!C$49,"R",RIGHT(C1390,2))</f>
        <v>IMPGSRR52</v>
      </c>
      <c r="D2029" s="365" t="str">
        <f>CONCATENATE("Import Pipeline Trade of ",Commodities!C$49, " to ",$B2029," from ",B1390)</f>
        <v>Import Pipeline Trade of GSR to * from *R5</v>
      </c>
      <c r="E2029" s="381" t="s">
        <v>384</v>
      </c>
      <c r="F2029" s="381" t="s">
        <v>505</v>
      </c>
    </row>
    <row r="2030" spans="2:6">
      <c r="B2030" s="365" t="str">
        <f t="shared" si="12"/>
        <v>*</v>
      </c>
      <c r="C2030" s="365" t="str">
        <f>CONCATENATE("IMP",Commodities!C$50,"R",RIGHT(C1391,2))</f>
        <v>IMPDSHR52</v>
      </c>
      <c r="D2030" s="365" t="str">
        <f>CONCATENATE("Import Pipeline Trade of ",Commodities!C$50, " to ",$B2030," from ",B1391)</f>
        <v>Import Pipeline Trade of DSH to * from *R5</v>
      </c>
      <c r="E2030" s="381" t="s">
        <v>384</v>
      </c>
      <c r="F2030" s="381" t="s">
        <v>505</v>
      </c>
    </row>
    <row r="2031" spans="2:6">
      <c r="B2031" s="365" t="str">
        <f t="shared" si="12"/>
        <v>*</v>
      </c>
      <c r="C2031" s="365" t="str">
        <f>CONCATENATE("IMP",Commodities!C$51,"R",RIGHT(C1392,2))</f>
        <v>IMPDSLR52</v>
      </c>
      <c r="D2031" s="365" t="str">
        <f>CONCATENATE("Import Pipeline Trade of ",Commodities!C$51, " to ",$B2031," from ",B1392)</f>
        <v>Import Pipeline Trade of DSL to * from *R5</v>
      </c>
      <c r="E2031" s="381" t="s">
        <v>384</v>
      </c>
      <c r="F2031" s="381" t="s">
        <v>505</v>
      </c>
    </row>
    <row r="2032" spans="2:6">
      <c r="B2032" s="365" t="str">
        <f t="shared" si="12"/>
        <v>*</v>
      </c>
      <c r="C2032" s="365" t="str">
        <f>CONCATENATE("IMP",Commodities!C$52,"R",RIGHT(C1393,2))</f>
        <v>IMPDSUR52</v>
      </c>
      <c r="D2032" s="365" t="str">
        <f>CONCATENATE("Import Pipeline Trade of ",Commodities!C$52, " to ",$B2032," from ",B1393)</f>
        <v>Import Pipeline Trade of DSU to * from *R5</v>
      </c>
      <c r="E2032" s="381" t="s">
        <v>384</v>
      </c>
      <c r="F2032" s="381" t="s">
        <v>505</v>
      </c>
    </row>
    <row r="2033" spans="2:6">
      <c r="B2033" s="365" t="str">
        <f t="shared" si="12"/>
        <v>*</v>
      </c>
      <c r="C2033" s="365" t="str">
        <f>CONCATENATE("IMP",Commodities!C$53,"R",RIGHT(C1394,2))</f>
        <v>IMPJTFR52</v>
      </c>
      <c r="D2033" s="365" t="str">
        <f>CONCATENATE("Import Pipeline Trade of ",Commodities!C$53, " to ",$B2033," from ",B1394)</f>
        <v>Import Pipeline Trade of JTF to * from *R5</v>
      </c>
      <c r="E2033" s="381" t="s">
        <v>384</v>
      </c>
      <c r="F2033" s="381" t="s">
        <v>505</v>
      </c>
    </row>
    <row r="2034" spans="2:6">
      <c r="B2034" s="365" t="str">
        <f t="shared" si="12"/>
        <v>*</v>
      </c>
      <c r="C2034" s="365" t="str">
        <f>CONCATENATE("IMP",Commodities!C$54,"R",RIGHT(C1395,2))</f>
        <v>IMPKERR52</v>
      </c>
      <c r="D2034" s="365" t="str">
        <f>CONCATENATE("Import Pipeline Trade of ",Commodities!C$54, " to ",$B2034," from ",B1395)</f>
        <v>Import Pipeline Trade of KER to * from *R5</v>
      </c>
      <c r="E2034" s="381" t="s">
        <v>384</v>
      </c>
      <c r="F2034" s="381" t="s">
        <v>505</v>
      </c>
    </row>
    <row r="2035" spans="2:6">
      <c r="B2035" s="365" t="str">
        <f t="shared" si="12"/>
        <v>*</v>
      </c>
      <c r="C2035" s="365" t="str">
        <f>CONCATENATE("IMP",Commodities!C$55,"R",RIGHT(C1396,2))</f>
        <v>IMPLPGR52</v>
      </c>
      <c r="D2035" s="365" t="str">
        <f>CONCATENATE("Import Pipeline Trade of ",Commodities!C$55, " to ",$B2035," from ",B1396)</f>
        <v>Import Pipeline Trade of LPG to * from *R5</v>
      </c>
      <c r="E2035" s="381" t="s">
        <v>384</v>
      </c>
      <c r="F2035" s="381" t="s">
        <v>505</v>
      </c>
    </row>
    <row r="2036" spans="2:6">
      <c r="B2036" s="365" t="str">
        <f t="shared" si="12"/>
        <v>*</v>
      </c>
      <c r="C2036" s="365" t="str">
        <f>CONCATENATE("IMP",Commodities!C$56,"R",RIGHT(C1397,2))</f>
        <v>IMPMTHR52</v>
      </c>
      <c r="D2036" s="365" t="str">
        <f>CONCATENATE("Import Pipeline Trade of ",Commodities!C$56, " to ",$B2036," from ",B1397)</f>
        <v>Import Pipeline Trade of MTH to * from *R5</v>
      </c>
      <c r="E2036" s="381" t="s">
        <v>384</v>
      </c>
      <c r="F2036" s="381" t="s">
        <v>505</v>
      </c>
    </row>
    <row r="2037" spans="2:6">
      <c r="B2037" s="365" t="str">
        <f t="shared" si="12"/>
        <v>*</v>
      </c>
      <c r="C2037" s="365" t="str">
        <f>CONCATENATE("IMP",Commodities!C$57,"R",RIGHT(C1398,2))</f>
        <v>IMPPFSR52</v>
      </c>
      <c r="D2037" s="365" t="str">
        <f>CONCATENATE("Import Pipeline Trade of ",Commodities!C$57, " to ",$B2037," from ",B1398)</f>
        <v>Import Pipeline Trade of PFS to * from *R5</v>
      </c>
      <c r="E2037" s="381" t="s">
        <v>384</v>
      </c>
      <c r="F2037" s="381" t="s">
        <v>505</v>
      </c>
    </row>
    <row r="2038" spans="2:6">
      <c r="B2038" s="365" t="str">
        <f t="shared" si="12"/>
        <v>*</v>
      </c>
      <c r="C2038" s="365" t="str">
        <f>CONCATENATE("IMP",Commodities!C$58,"R",RIGHT(C1399,2))</f>
        <v>IMPRFHR52</v>
      </c>
      <c r="D2038" s="365" t="str">
        <f>CONCATENATE("Import Pipeline Trade of ",Commodities!C$58, " to ",$B2038," from ",B1399)</f>
        <v>Import Pipeline Trade of RFH to * from *R5</v>
      </c>
      <c r="E2038" s="381" t="s">
        <v>384</v>
      </c>
      <c r="F2038" s="381" t="s">
        <v>505</v>
      </c>
    </row>
    <row r="2039" spans="2:6">
      <c r="B2039" s="365" t="str">
        <f t="shared" si="12"/>
        <v>*</v>
      </c>
      <c r="C2039" s="365" t="str">
        <f>CONCATENATE("IMP",Commodities!C$59,"R",RIGHT(C1400,2))</f>
        <v>IMPRFLR52</v>
      </c>
      <c r="D2039" s="365" t="str">
        <f>CONCATENATE("Import Pipeline Trade of ",Commodities!C$59, " to ",$B2039," from ",B1400)</f>
        <v>Import Pipeline Trade of RFL to * from *R5</v>
      </c>
      <c r="E2039" s="381" t="s">
        <v>384</v>
      </c>
      <c r="F2039" s="381" t="s">
        <v>505</v>
      </c>
    </row>
    <row r="2040" spans="2:6">
      <c r="B2040" s="365" t="str">
        <f t="shared" si="12"/>
        <v>*</v>
      </c>
      <c r="C2040" s="365" t="str">
        <f>CONCATENATE("IMP",Commodities!C$60,"R",RIGHT(C1401,2))</f>
        <v>IMPASPR52</v>
      </c>
      <c r="D2040" s="365" t="str">
        <f>CONCATENATE("Import Pipeline Trade of ",Commodities!C$60, " to ",$B2040," from ",B1401)</f>
        <v>Import Pipeline Trade of ASP to * from *R5</v>
      </c>
      <c r="E2040" s="381" t="s">
        <v>384</v>
      </c>
      <c r="F2040" s="381" t="s">
        <v>505</v>
      </c>
    </row>
    <row r="2041" spans="2:6">
      <c r="B2041" s="365" t="str">
        <f t="shared" si="12"/>
        <v>R2</v>
      </c>
      <c r="C2041" s="365" t="str">
        <f>CONCATENATE("IMP",Commodities!C$48,"R",RIGHT(C1402,2))</f>
        <v>IMPGSCR12</v>
      </c>
      <c r="D2041" s="365" t="str">
        <f>CONCATENATE("Import Pipeline Trade of ",Commodities!C$48, " to ",$B2041," from ",B1402)</f>
        <v>Import Pipeline Trade of GSC to R2 from R1</v>
      </c>
      <c r="E2041" s="381" t="s">
        <v>384</v>
      </c>
      <c r="F2041" s="381" t="s">
        <v>505</v>
      </c>
    </row>
    <row r="2042" spans="2:6">
      <c r="B2042" s="365" t="str">
        <f t="shared" si="12"/>
        <v>R2</v>
      </c>
      <c r="C2042" s="365" t="str">
        <f>CONCATENATE("IMP",Commodities!C$49,"R",RIGHT(C1403,2))</f>
        <v>IMPGSRR12</v>
      </c>
      <c r="D2042" s="365" t="str">
        <f>CONCATENATE("Import Pipeline Trade of ",Commodities!C$49, " to ",$B2042," from ",B1403)</f>
        <v>Import Pipeline Trade of GSR to R2 from R1</v>
      </c>
      <c r="E2042" s="381" t="s">
        <v>384</v>
      </c>
      <c r="F2042" s="381" t="s">
        <v>505</v>
      </c>
    </row>
    <row r="2043" spans="2:6">
      <c r="B2043" s="365" t="str">
        <f t="shared" si="12"/>
        <v>R2</v>
      </c>
      <c r="C2043" s="365" t="str">
        <f>CONCATENATE("IMP",Commodities!C$50,"R",RIGHT(C1404,2))</f>
        <v>IMPDSHR12</v>
      </c>
      <c r="D2043" s="365" t="str">
        <f>CONCATENATE("Import Pipeline Trade of ",Commodities!C$50, " to ",$B2043," from ",B1404)</f>
        <v>Import Pipeline Trade of DSH to R2 from R1</v>
      </c>
      <c r="E2043" s="381" t="s">
        <v>384</v>
      </c>
      <c r="F2043" s="381" t="s">
        <v>505</v>
      </c>
    </row>
    <row r="2044" spans="2:6">
      <c r="B2044" s="365" t="str">
        <f t="shared" si="12"/>
        <v>R2</v>
      </c>
      <c r="C2044" s="365" t="str">
        <f>CONCATENATE("IMP",Commodities!C$51,"R",RIGHT(C1405,2))</f>
        <v>IMPDSLR12</v>
      </c>
      <c r="D2044" s="365" t="str">
        <f>CONCATENATE("Import Pipeline Trade of ",Commodities!C$51, " to ",$B2044," from ",B1405)</f>
        <v>Import Pipeline Trade of DSL to R2 from R1</v>
      </c>
      <c r="E2044" s="381" t="s">
        <v>384</v>
      </c>
      <c r="F2044" s="381" t="s">
        <v>505</v>
      </c>
    </row>
    <row r="2045" spans="2:6">
      <c r="B2045" s="365" t="str">
        <f t="shared" si="12"/>
        <v>R2</v>
      </c>
      <c r="C2045" s="365" t="str">
        <f>CONCATENATE("IMP",Commodities!C$52,"R",RIGHT(C1406,2))</f>
        <v>IMPDSUR12</v>
      </c>
      <c r="D2045" s="365" t="str">
        <f>CONCATENATE("Import Pipeline Trade of ",Commodities!C$52, " to ",$B2045," from ",B1406)</f>
        <v>Import Pipeline Trade of DSU to R2 from R1</v>
      </c>
      <c r="E2045" s="381" t="s">
        <v>384</v>
      </c>
      <c r="F2045" s="381" t="s">
        <v>505</v>
      </c>
    </row>
    <row r="2046" spans="2:6">
      <c r="B2046" s="365" t="str">
        <f t="shared" si="12"/>
        <v>R2</v>
      </c>
      <c r="C2046" s="365" t="str">
        <f>CONCATENATE("IMP",Commodities!C$53,"R",RIGHT(C1407,2))</f>
        <v>IMPJTFR12</v>
      </c>
      <c r="D2046" s="365" t="str">
        <f>CONCATENATE("Import Pipeline Trade of ",Commodities!C$53, " to ",$B2046," from ",B1407)</f>
        <v>Import Pipeline Trade of JTF to R2 from R1</v>
      </c>
      <c r="E2046" s="381" t="s">
        <v>384</v>
      </c>
      <c r="F2046" s="381" t="s">
        <v>505</v>
      </c>
    </row>
    <row r="2047" spans="2:6">
      <c r="B2047" s="365" t="str">
        <f t="shared" si="12"/>
        <v>*</v>
      </c>
      <c r="C2047" s="365" t="str">
        <f>CONCATENATE("IMP",Commodities!C$54,"R",RIGHT(C1408,2))</f>
        <v>IMPKERR12</v>
      </c>
      <c r="D2047" s="365" t="str">
        <f>CONCATENATE("Import Pipeline Trade of ",Commodities!C$54, " to ",$B2047," from ",B1408)</f>
        <v>Import Pipeline Trade of KER to * from *R1</v>
      </c>
      <c r="E2047" s="381" t="s">
        <v>384</v>
      </c>
      <c r="F2047" s="381" t="s">
        <v>505</v>
      </c>
    </row>
    <row r="2048" spans="2:6">
      <c r="B2048" s="365" t="str">
        <f t="shared" si="12"/>
        <v>*</v>
      </c>
      <c r="C2048" s="365" t="str">
        <f>CONCATENATE("IMP",Commodities!C$55,"R",RIGHT(C1409,2))</f>
        <v>IMPLPGR12</v>
      </c>
      <c r="D2048" s="365" t="str">
        <f>CONCATENATE("Import Pipeline Trade of ",Commodities!C$55, " to ",$B2048," from ",B1409)</f>
        <v>Import Pipeline Trade of LPG to * from *R1</v>
      </c>
      <c r="E2048" s="381" t="s">
        <v>384</v>
      </c>
      <c r="F2048" s="381" t="s">
        <v>505</v>
      </c>
    </row>
    <row r="2049" spans="2:6">
      <c r="B2049" s="365" t="str">
        <f t="shared" si="12"/>
        <v>*</v>
      </c>
      <c r="C2049" s="365" t="str">
        <f>CONCATENATE("IMP",Commodities!C$56,"R",RIGHT(C1410,2))</f>
        <v>IMPMTHR12</v>
      </c>
      <c r="D2049" s="365" t="str">
        <f>CONCATENATE("Import Pipeline Trade of ",Commodities!C$56, " to ",$B2049," from ",B1410)</f>
        <v>Import Pipeline Trade of MTH to * from *R1</v>
      </c>
      <c r="E2049" s="381" t="s">
        <v>384</v>
      </c>
      <c r="F2049" s="381" t="s">
        <v>505</v>
      </c>
    </row>
    <row r="2050" spans="2:6">
      <c r="B2050" s="365" t="str">
        <f t="shared" si="12"/>
        <v>*</v>
      </c>
      <c r="C2050" s="365" t="str">
        <f>CONCATENATE("IMP",Commodities!C$57,"R",RIGHT(C1411,2))</f>
        <v>IMPPFSR12</v>
      </c>
      <c r="D2050" s="365" t="str">
        <f>CONCATENATE("Import Pipeline Trade of ",Commodities!C$57, " to ",$B2050," from ",B1411)</f>
        <v>Import Pipeline Trade of PFS to * from *R1</v>
      </c>
      <c r="E2050" s="381" t="s">
        <v>384</v>
      </c>
      <c r="F2050" s="381" t="s">
        <v>505</v>
      </c>
    </row>
    <row r="2051" spans="2:6">
      <c r="B2051" s="365" t="str">
        <f t="shared" si="12"/>
        <v>*</v>
      </c>
      <c r="C2051" s="365" t="str">
        <f>CONCATENATE("IMP",Commodities!C$58,"R",RIGHT(C1412,2))</f>
        <v>IMPRFHR12</v>
      </c>
      <c r="D2051" s="365" t="str">
        <f>CONCATENATE("Import Pipeline Trade of ",Commodities!C$58, " to ",$B2051," from ",B1412)</f>
        <v>Import Pipeline Trade of RFH to * from *R1</v>
      </c>
      <c r="E2051" s="381" t="s">
        <v>384</v>
      </c>
      <c r="F2051" s="381" t="s">
        <v>505</v>
      </c>
    </row>
    <row r="2052" spans="2:6">
      <c r="B2052" s="365" t="str">
        <f t="shared" ref="B2052:B2115" si="13">IF(LEFT(B1413,1)="*","*",CONCATENATE("R",RIGHT(C2052,1)))</f>
        <v>R2</v>
      </c>
      <c r="C2052" s="365" t="str">
        <f>CONCATENATE("IMP",Commodities!C$59,"R",RIGHT(C1413,2))</f>
        <v>IMPRFLR12</v>
      </c>
      <c r="D2052" s="365" t="str">
        <f>CONCATENATE("Import Pipeline Trade of ",Commodities!C$59, " to ",$B2052," from ",B1413)</f>
        <v>Import Pipeline Trade of RFL to R2 from R1</v>
      </c>
      <c r="E2052" s="381" t="s">
        <v>384</v>
      </c>
      <c r="F2052" s="381" t="s">
        <v>505</v>
      </c>
    </row>
    <row r="2053" spans="2:6">
      <c r="B2053" s="365" t="str">
        <f t="shared" si="13"/>
        <v>*</v>
      </c>
      <c r="C2053" s="365" t="str">
        <f>CONCATENATE("IMP",Commodities!C$60,"R",RIGHT(C1414,2))</f>
        <v>IMPASPR12</v>
      </c>
      <c r="D2053" s="365" t="str">
        <f>CONCATENATE("Import Pipeline Trade of ",Commodities!C$60, " to ",$B2053," from ",B1414)</f>
        <v>Import Pipeline Trade of ASP to * from *R1</v>
      </c>
      <c r="E2053" s="381" t="s">
        <v>384</v>
      </c>
      <c r="F2053" s="381" t="s">
        <v>505</v>
      </c>
    </row>
    <row r="2054" spans="2:6">
      <c r="B2054" s="365" t="str">
        <f t="shared" si="13"/>
        <v>*</v>
      </c>
      <c r="C2054" s="365" t="str">
        <f>CONCATENATE("IMP",Commodities!C$48,"R",RIGHT(C1415,2))</f>
        <v>IMPGSCR63</v>
      </c>
      <c r="D2054" s="365" t="str">
        <f>CONCATENATE("Import Pipeline Trade of ",Commodities!C$48, " to ",$B2054," from ",B1415)</f>
        <v>Import Pipeline Trade of GSC to * from *R6</v>
      </c>
      <c r="E2054" s="381" t="s">
        <v>384</v>
      </c>
      <c r="F2054" s="381" t="s">
        <v>505</v>
      </c>
    </row>
    <row r="2055" spans="2:6">
      <c r="B2055" s="365" t="str">
        <f t="shared" si="13"/>
        <v>*</v>
      </c>
      <c r="C2055" s="365" t="str">
        <f>CONCATENATE("IMP",Commodities!C$49,"R",RIGHT(C1416,2))</f>
        <v>IMPGSRR63</v>
      </c>
      <c r="D2055" s="365" t="str">
        <f>CONCATENATE("Import Pipeline Trade of ",Commodities!C$49, " to ",$B2055," from ",B1416)</f>
        <v>Import Pipeline Trade of GSR to * from *R6</v>
      </c>
      <c r="E2055" s="381" t="s">
        <v>384</v>
      </c>
      <c r="F2055" s="381" t="s">
        <v>505</v>
      </c>
    </row>
    <row r="2056" spans="2:6">
      <c r="B2056" s="365" t="str">
        <f t="shared" si="13"/>
        <v>*</v>
      </c>
      <c r="C2056" s="365" t="str">
        <f>CONCATENATE("IMP",Commodities!C$50,"R",RIGHT(C1417,2))</f>
        <v>IMPDSHR63</v>
      </c>
      <c r="D2056" s="365" t="str">
        <f>CONCATENATE("Import Pipeline Trade of ",Commodities!C$50, " to ",$B2056," from ",B1417)</f>
        <v>Import Pipeline Trade of DSH to * from *R6</v>
      </c>
      <c r="E2056" s="381" t="s">
        <v>384</v>
      </c>
      <c r="F2056" s="381" t="s">
        <v>505</v>
      </c>
    </row>
    <row r="2057" spans="2:6">
      <c r="B2057" s="365" t="str">
        <f t="shared" si="13"/>
        <v>*</v>
      </c>
      <c r="C2057" s="365" t="str">
        <f>CONCATENATE("IMP",Commodities!C$51,"R",RIGHT(C1418,2))</f>
        <v>IMPDSLR63</v>
      </c>
      <c r="D2057" s="365" t="str">
        <f>CONCATENATE("Import Pipeline Trade of ",Commodities!C$51, " to ",$B2057," from ",B1418)</f>
        <v>Import Pipeline Trade of DSL to * from *R6</v>
      </c>
      <c r="E2057" s="381" t="s">
        <v>384</v>
      </c>
      <c r="F2057" s="381" t="s">
        <v>505</v>
      </c>
    </row>
    <row r="2058" spans="2:6">
      <c r="B2058" s="365" t="str">
        <f t="shared" si="13"/>
        <v>*</v>
      </c>
      <c r="C2058" s="365" t="str">
        <f>CONCATENATE("IMP",Commodities!C$52,"R",RIGHT(C1419,2))</f>
        <v>IMPDSUR63</v>
      </c>
      <c r="D2058" s="365" t="str">
        <f>CONCATENATE("Import Pipeline Trade of ",Commodities!C$52, " to ",$B2058," from ",B1419)</f>
        <v>Import Pipeline Trade of DSU to * from *R6</v>
      </c>
      <c r="E2058" s="381" t="s">
        <v>384</v>
      </c>
      <c r="F2058" s="381" t="s">
        <v>505</v>
      </c>
    </row>
    <row r="2059" spans="2:6">
      <c r="B2059" s="365" t="str">
        <f t="shared" si="13"/>
        <v>*</v>
      </c>
      <c r="C2059" s="365" t="str">
        <f>CONCATENATE("IMP",Commodities!C$53,"R",RIGHT(C1420,2))</f>
        <v>IMPJTFR63</v>
      </c>
      <c r="D2059" s="365" t="str">
        <f>CONCATENATE("Import Pipeline Trade of ",Commodities!C$53, " to ",$B2059," from ",B1420)</f>
        <v>Import Pipeline Trade of JTF to * from *R6</v>
      </c>
      <c r="E2059" s="381" t="s">
        <v>384</v>
      </c>
      <c r="F2059" s="381" t="s">
        <v>505</v>
      </c>
    </row>
    <row r="2060" spans="2:6">
      <c r="B2060" s="365" t="str">
        <f t="shared" si="13"/>
        <v>*</v>
      </c>
      <c r="C2060" s="365" t="str">
        <f>CONCATENATE("IMP",Commodities!C$54,"R",RIGHT(C1421,2))</f>
        <v>IMPKERR63</v>
      </c>
      <c r="D2060" s="365" t="str">
        <f>CONCATENATE("Import Pipeline Trade of ",Commodities!C$54, " to ",$B2060," from ",B1421)</f>
        <v>Import Pipeline Trade of KER to * from *R6</v>
      </c>
      <c r="E2060" s="381" t="s">
        <v>384</v>
      </c>
      <c r="F2060" s="381" t="s">
        <v>505</v>
      </c>
    </row>
    <row r="2061" spans="2:6">
      <c r="B2061" s="365" t="str">
        <f t="shared" si="13"/>
        <v>*</v>
      </c>
      <c r="C2061" s="365" t="str">
        <f>CONCATENATE("IMP",Commodities!C$55,"R",RIGHT(C1422,2))</f>
        <v>IMPLPGR63</v>
      </c>
      <c r="D2061" s="365" t="str">
        <f>CONCATENATE("Import Pipeline Trade of ",Commodities!C$55, " to ",$B2061," from ",B1422)</f>
        <v>Import Pipeline Trade of LPG to * from *R6</v>
      </c>
      <c r="E2061" s="381" t="s">
        <v>384</v>
      </c>
      <c r="F2061" s="381" t="s">
        <v>505</v>
      </c>
    </row>
    <row r="2062" spans="2:6">
      <c r="B2062" s="365" t="str">
        <f t="shared" si="13"/>
        <v>*</v>
      </c>
      <c r="C2062" s="365" t="str">
        <f>CONCATENATE("IMP",Commodities!C$56,"R",RIGHT(C1423,2))</f>
        <v>IMPMTHR63</v>
      </c>
      <c r="D2062" s="365" t="str">
        <f>CONCATENATE("Import Pipeline Trade of ",Commodities!C$56, " to ",$B2062," from ",B1423)</f>
        <v>Import Pipeline Trade of MTH to * from *R6</v>
      </c>
      <c r="E2062" s="381" t="s">
        <v>384</v>
      </c>
      <c r="F2062" s="381" t="s">
        <v>505</v>
      </c>
    </row>
    <row r="2063" spans="2:6">
      <c r="B2063" s="365" t="str">
        <f t="shared" si="13"/>
        <v>*</v>
      </c>
      <c r="C2063" s="365" t="str">
        <f>CONCATENATE("IMP",Commodities!C$57,"R",RIGHT(C1424,2))</f>
        <v>IMPPFSR63</v>
      </c>
      <c r="D2063" s="365" t="str">
        <f>CONCATENATE("Import Pipeline Trade of ",Commodities!C$57, " to ",$B2063," from ",B1424)</f>
        <v>Import Pipeline Trade of PFS to * from *R6</v>
      </c>
      <c r="E2063" s="381" t="s">
        <v>384</v>
      </c>
      <c r="F2063" s="381" t="s">
        <v>505</v>
      </c>
    </row>
    <row r="2064" spans="2:6">
      <c r="B2064" s="365" t="str">
        <f t="shared" si="13"/>
        <v>*</v>
      </c>
      <c r="C2064" s="365" t="str">
        <f>CONCATENATE("IMP",Commodities!C$58,"R",RIGHT(C1425,2))</f>
        <v>IMPRFHR63</v>
      </c>
      <c r="D2064" s="365" t="str">
        <f>CONCATENATE("Import Pipeline Trade of ",Commodities!C$58, " to ",$B2064," from ",B1425)</f>
        <v>Import Pipeline Trade of RFH to * from *R6</v>
      </c>
      <c r="E2064" s="381" t="s">
        <v>384</v>
      </c>
      <c r="F2064" s="381" t="s">
        <v>505</v>
      </c>
    </row>
    <row r="2065" spans="2:6">
      <c r="B2065" s="365" t="str">
        <f t="shared" si="13"/>
        <v>*</v>
      </c>
      <c r="C2065" s="365" t="str">
        <f>CONCATENATE("IMP",Commodities!C$59,"R",RIGHT(C1426,2))</f>
        <v>IMPRFLR63</v>
      </c>
      <c r="D2065" s="365" t="str">
        <f>CONCATENATE("Import Pipeline Trade of ",Commodities!C$59, " to ",$B2065," from ",B1426)</f>
        <v>Import Pipeline Trade of RFL to * from *R6</v>
      </c>
      <c r="E2065" s="381" t="s">
        <v>384</v>
      </c>
      <c r="F2065" s="381" t="s">
        <v>505</v>
      </c>
    </row>
    <row r="2066" spans="2:6">
      <c r="B2066" s="365" t="str">
        <f t="shared" si="13"/>
        <v>*</v>
      </c>
      <c r="C2066" s="365" t="str">
        <f>CONCATENATE("IMP",Commodities!C$60,"R",RIGHT(C1427,2))</f>
        <v>IMPASPR63</v>
      </c>
      <c r="D2066" s="365" t="str">
        <f>CONCATENATE("Import Pipeline Trade of ",Commodities!C$60, " to ",$B2066," from ",B1427)</f>
        <v>Import Pipeline Trade of ASP to * from *R6</v>
      </c>
      <c r="E2066" s="381" t="s">
        <v>384</v>
      </c>
      <c r="F2066" s="381" t="s">
        <v>505</v>
      </c>
    </row>
    <row r="2067" spans="2:6">
      <c r="B2067" s="365" t="str">
        <f t="shared" si="13"/>
        <v>*</v>
      </c>
      <c r="C2067" s="365" t="str">
        <f>CONCATENATE("IMP",Commodities!C$48,"R",RIGHT(C1428,2))</f>
        <v>IMPGSCR64</v>
      </c>
      <c r="D2067" s="365" t="str">
        <f>CONCATENATE("Import Pipeline Trade of ",Commodities!C$48, " to ",$B2067," from ",B1428)</f>
        <v>Import Pipeline Trade of GSC to * from *R6</v>
      </c>
      <c r="E2067" s="381" t="s">
        <v>384</v>
      </c>
      <c r="F2067" s="381" t="s">
        <v>505</v>
      </c>
    </row>
    <row r="2068" spans="2:6">
      <c r="B2068" s="365" t="str">
        <f t="shared" si="13"/>
        <v>*</v>
      </c>
      <c r="C2068" s="365" t="str">
        <f>CONCATENATE("IMP",Commodities!C$49,"R",RIGHT(C1429,2))</f>
        <v>IMPGSRR64</v>
      </c>
      <c r="D2068" s="365" t="str">
        <f>CONCATENATE("Import Pipeline Trade of ",Commodities!C$49, " to ",$B2068," from ",B1429)</f>
        <v>Import Pipeline Trade of GSR to * from *R6</v>
      </c>
      <c r="E2068" s="381" t="s">
        <v>384</v>
      </c>
      <c r="F2068" s="381" t="s">
        <v>505</v>
      </c>
    </row>
    <row r="2069" spans="2:6">
      <c r="B2069" s="365" t="str">
        <f t="shared" si="13"/>
        <v>*</v>
      </c>
      <c r="C2069" s="365" t="str">
        <f>CONCATENATE("IMP",Commodities!C$50,"R",RIGHT(C1430,2))</f>
        <v>IMPDSHR64</v>
      </c>
      <c r="D2069" s="365" t="str">
        <f>CONCATENATE("Import Pipeline Trade of ",Commodities!C$50, " to ",$B2069," from ",B1430)</f>
        <v>Import Pipeline Trade of DSH to * from *R6</v>
      </c>
      <c r="E2069" s="381" t="s">
        <v>384</v>
      </c>
      <c r="F2069" s="381" t="s">
        <v>505</v>
      </c>
    </row>
    <row r="2070" spans="2:6">
      <c r="B2070" s="365" t="str">
        <f t="shared" si="13"/>
        <v>*</v>
      </c>
      <c r="C2070" s="365" t="str">
        <f>CONCATENATE("IMP",Commodities!C$51,"R",RIGHT(C1431,2))</f>
        <v>IMPDSLR64</v>
      </c>
      <c r="D2070" s="365" t="str">
        <f>CONCATENATE("Import Pipeline Trade of ",Commodities!C$51, " to ",$B2070," from ",B1431)</f>
        <v>Import Pipeline Trade of DSL to * from *R6</v>
      </c>
      <c r="E2070" s="381" t="s">
        <v>384</v>
      </c>
      <c r="F2070" s="381" t="s">
        <v>505</v>
      </c>
    </row>
    <row r="2071" spans="2:6">
      <c r="B2071" s="365" t="str">
        <f t="shared" si="13"/>
        <v>*</v>
      </c>
      <c r="C2071" s="365" t="str">
        <f>CONCATENATE("IMP",Commodities!C$52,"R",RIGHT(C1432,2))</f>
        <v>IMPDSUR64</v>
      </c>
      <c r="D2071" s="365" t="str">
        <f>CONCATENATE("Import Pipeline Trade of ",Commodities!C$52, " to ",$B2071," from ",B1432)</f>
        <v>Import Pipeline Trade of DSU to * from *R6</v>
      </c>
      <c r="E2071" s="381" t="s">
        <v>384</v>
      </c>
      <c r="F2071" s="381" t="s">
        <v>505</v>
      </c>
    </row>
    <row r="2072" spans="2:6">
      <c r="B2072" s="365" t="str">
        <f t="shared" si="13"/>
        <v>*</v>
      </c>
      <c r="C2072" s="365" t="str">
        <f>CONCATENATE("IMP",Commodities!C$53,"R",RIGHT(C1433,2))</f>
        <v>IMPJTFR64</v>
      </c>
      <c r="D2072" s="365" t="str">
        <f>CONCATENATE("Import Pipeline Trade of ",Commodities!C$53, " to ",$B2072," from ",B1433)</f>
        <v>Import Pipeline Trade of JTF to * from *R6</v>
      </c>
      <c r="E2072" s="381" t="s">
        <v>384</v>
      </c>
      <c r="F2072" s="381" t="s">
        <v>505</v>
      </c>
    </row>
    <row r="2073" spans="2:6">
      <c r="B2073" s="365" t="str">
        <f t="shared" si="13"/>
        <v>*</v>
      </c>
      <c r="C2073" s="365" t="str">
        <f>CONCATENATE("IMP",Commodities!C$54,"R",RIGHT(C1434,2))</f>
        <v>IMPKERR64</v>
      </c>
      <c r="D2073" s="365" t="str">
        <f>CONCATENATE("Import Pipeline Trade of ",Commodities!C$54, " to ",$B2073," from ",B1434)</f>
        <v>Import Pipeline Trade of KER to * from *R6</v>
      </c>
      <c r="E2073" s="381" t="s">
        <v>384</v>
      </c>
      <c r="F2073" s="381" t="s">
        <v>505</v>
      </c>
    </row>
    <row r="2074" spans="2:6">
      <c r="B2074" s="365" t="str">
        <f t="shared" si="13"/>
        <v>*</v>
      </c>
      <c r="C2074" s="365" t="str">
        <f>CONCATENATE("IMP",Commodities!C$55,"R",RIGHT(C1435,2))</f>
        <v>IMPLPGR64</v>
      </c>
      <c r="D2074" s="365" t="str">
        <f>CONCATENATE("Import Pipeline Trade of ",Commodities!C$55, " to ",$B2074," from ",B1435)</f>
        <v>Import Pipeline Trade of LPG to * from *R6</v>
      </c>
      <c r="E2074" s="381" t="s">
        <v>384</v>
      </c>
      <c r="F2074" s="381" t="s">
        <v>505</v>
      </c>
    </row>
    <row r="2075" spans="2:6">
      <c r="B2075" s="365" t="str">
        <f t="shared" si="13"/>
        <v>*</v>
      </c>
      <c r="C2075" s="365" t="str">
        <f>CONCATENATE("IMP",Commodities!C$56,"R",RIGHT(C1436,2))</f>
        <v>IMPMTHR64</v>
      </c>
      <c r="D2075" s="365" t="str">
        <f>CONCATENATE("Import Pipeline Trade of ",Commodities!C$56, " to ",$B2075," from ",B1436)</f>
        <v>Import Pipeline Trade of MTH to * from *R6</v>
      </c>
      <c r="E2075" s="381" t="s">
        <v>384</v>
      </c>
      <c r="F2075" s="381" t="s">
        <v>505</v>
      </c>
    </row>
    <row r="2076" spans="2:6">
      <c r="B2076" s="365" t="str">
        <f t="shared" si="13"/>
        <v>*</v>
      </c>
      <c r="C2076" s="365" t="str">
        <f>CONCATENATE("IMP",Commodities!C$57,"R",RIGHT(C1437,2))</f>
        <v>IMPPFSR64</v>
      </c>
      <c r="D2076" s="365" t="str">
        <f>CONCATENATE("Import Pipeline Trade of ",Commodities!C$57, " to ",$B2076," from ",B1437)</f>
        <v>Import Pipeline Trade of PFS to * from *R6</v>
      </c>
      <c r="E2076" s="381" t="s">
        <v>384</v>
      </c>
      <c r="F2076" s="381" t="s">
        <v>505</v>
      </c>
    </row>
    <row r="2077" spans="2:6">
      <c r="B2077" s="365" t="str">
        <f t="shared" si="13"/>
        <v>*</v>
      </c>
      <c r="C2077" s="365" t="str">
        <f>CONCATENATE("IMP",Commodities!C$58,"R",RIGHT(C1438,2))</f>
        <v>IMPRFHR64</v>
      </c>
      <c r="D2077" s="365" t="str">
        <f>CONCATENATE("Import Pipeline Trade of ",Commodities!C$58, " to ",$B2077," from ",B1438)</f>
        <v>Import Pipeline Trade of RFH to * from *R6</v>
      </c>
      <c r="E2077" s="381" t="s">
        <v>384</v>
      </c>
      <c r="F2077" s="381" t="s">
        <v>505</v>
      </c>
    </row>
    <row r="2078" spans="2:6">
      <c r="B2078" s="365" t="str">
        <f t="shared" si="13"/>
        <v>*</v>
      </c>
      <c r="C2078" s="365" t="str">
        <f>CONCATENATE("IMP",Commodities!C$59,"R",RIGHT(C1439,2))</f>
        <v>IMPRFLR64</v>
      </c>
      <c r="D2078" s="365" t="str">
        <f>CONCATENATE("Import Pipeline Trade of ",Commodities!C$59, " to ",$B2078," from ",B1439)</f>
        <v>Import Pipeline Trade of RFL to * from *R6</v>
      </c>
      <c r="E2078" s="381" t="s">
        <v>384</v>
      </c>
      <c r="F2078" s="381" t="s">
        <v>505</v>
      </c>
    </row>
    <row r="2079" spans="2:6">
      <c r="B2079" s="365" t="str">
        <f t="shared" si="13"/>
        <v>*</v>
      </c>
      <c r="C2079" s="365" t="str">
        <f>CONCATENATE("IMP",Commodities!C$60,"R",RIGHT(C1440,2))</f>
        <v>IMPASPR64</v>
      </c>
      <c r="D2079" s="365" t="str">
        <f>CONCATENATE("Import Pipeline Trade of ",Commodities!C$60, " to ",$B2079," from ",B1440)</f>
        <v>Import Pipeline Trade of ASP to * from *R6</v>
      </c>
      <c r="E2079" s="381" t="s">
        <v>384</v>
      </c>
      <c r="F2079" s="381" t="s">
        <v>505</v>
      </c>
    </row>
    <row r="2080" spans="2:6">
      <c r="B2080" s="365" t="str">
        <f t="shared" si="13"/>
        <v>R5</v>
      </c>
      <c r="C2080" s="365" t="str">
        <f>CONCATENATE("IMP",Commodities!C$48,"R",RIGHT(C1441,2))</f>
        <v>IMPGSCR15</v>
      </c>
      <c r="D2080" s="365" t="str">
        <f>CONCATENATE("Import Pipeline Trade of ",Commodities!C$48, " to ",$B2080," from ",B1441)</f>
        <v>Import Pipeline Trade of GSC to R5 from R1</v>
      </c>
      <c r="E2080" s="381" t="s">
        <v>384</v>
      </c>
      <c r="F2080" s="381" t="s">
        <v>505</v>
      </c>
    </row>
    <row r="2081" spans="2:6">
      <c r="B2081" s="365" t="str">
        <f t="shared" si="13"/>
        <v>R5</v>
      </c>
      <c r="C2081" s="365" t="str">
        <f>CONCATENATE("IMP",Commodities!C$49,"R",RIGHT(C1442,2))</f>
        <v>IMPGSRR15</v>
      </c>
      <c r="D2081" s="365" t="str">
        <f>CONCATENATE("Import Pipeline Trade of ",Commodities!C$49, " to ",$B2081," from ",B1442)</f>
        <v>Import Pipeline Trade of GSR to R5 from R1</v>
      </c>
      <c r="E2081" s="381" t="s">
        <v>384</v>
      </c>
      <c r="F2081" s="381" t="s">
        <v>505</v>
      </c>
    </row>
    <row r="2082" spans="2:6">
      <c r="B2082" s="365" t="str">
        <f t="shared" si="13"/>
        <v>R5</v>
      </c>
      <c r="C2082" s="365" t="str">
        <f>CONCATENATE("IMP",Commodities!C$50,"R",RIGHT(C1443,2))</f>
        <v>IMPDSHR15</v>
      </c>
      <c r="D2082" s="365" t="str">
        <f>CONCATENATE("Import Pipeline Trade of ",Commodities!C$50, " to ",$B2082," from ",B1443)</f>
        <v>Import Pipeline Trade of DSH to R5 from R1</v>
      </c>
      <c r="E2082" s="381" t="s">
        <v>384</v>
      </c>
      <c r="F2082" s="381" t="s">
        <v>505</v>
      </c>
    </row>
    <row r="2083" spans="2:6">
      <c r="B2083" s="365" t="str">
        <f t="shared" si="13"/>
        <v>R5</v>
      </c>
      <c r="C2083" s="365" t="str">
        <f>CONCATENATE("IMP",Commodities!C$51,"R",RIGHT(C1444,2))</f>
        <v>IMPDSLR15</v>
      </c>
      <c r="D2083" s="365" t="str">
        <f>CONCATENATE("Import Pipeline Trade of ",Commodities!C$51, " to ",$B2083," from ",B1444)</f>
        <v>Import Pipeline Trade of DSL to R5 from R1</v>
      </c>
      <c r="E2083" s="381" t="s">
        <v>384</v>
      </c>
      <c r="F2083" s="381" t="s">
        <v>505</v>
      </c>
    </row>
    <row r="2084" spans="2:6">
      <c r="B2084" s="365" t="str">
        <f t="shared" si="13"/>
        <v>R5</v>
      </c>
      <c r="C2084" s="365" t="str">
        <f>CONCATENATE("IMP",Commodities!C$52,"R",RIGHT(C1445,2))</f>
        <v>IMPDSUR15</v>
      </c>
      <c r="D2084" s="365" t="str">
        <f>CONCATENATE("Import Pipeline Trade of ",Commodities!C$52, " to ",$B2084," from ",B1445)</f>
        <v>Import Pipeline Trade of DSU to R5 from R1</v>
      </c>
      <c r="E2084" s="381" t="s">
        <v>384</v>
      </c>
      <c r="F2084" s="381" t="s">
        <v>505</v>
      </c>
    </row>
    <row r="2085" spans="2:6">
      <c r="B2085" s="365" t="str">
        <f t="shared" si="13"/>
        <v>R5</v>
      </c>
      <c r="C2085" s="365" t="str">
        <f>CONCATENATE("IMP",Commodities!C$53,"R",RIGHT(C1446,2))</f>
        <v>IMPJTFR15</v>
      </c>
      <c r="D2085" s="365" t="str">
        <f>CONCATENATE("Import Pipeline Trade of ",Commodities!C$53, " to ",$B2085," from ",B1446)</f>
        <v>Import Pipeline Trade of JTF to R5 from R1</v>
      </c>
      <c r="E2085" s="381" t="s">
        <v>384</v>
      </c>
      <c r="F2085" s="381" t="s">
        <v>505</v>
      </c>
    </row>
    <row r="2086" spans="2:6">
      <c r="B2086" s="365" t="str">
        <f t="shared" si="13"/>
        <v>*</v>
      </c>
      <c r="C2086" s="365" t="str">
        <f>CONCATENATE("IMP",Commodities!C$54,"R",RIGHT(C1447,2))</f>
        <v>IMPKERR15</v>
      </c>
      <c r="D2086" s="365" t="str">
        <f>CONCATENATE("Import Pipeline Trade of ",Commodities!C$54, " to ",$B2086," from ",B1447)</f>
        <v>Import Pipeline Trade of KER to * from *R1</v>
      </c>
      <c r="E2086" s="381" t="s">
        <v>384</v>
      </c>
      <c r="F2086" s="381" t="s">
        <v>505</v>
      </c>
    </row>
    <row r="2087" spans="2:6">
      <c r="B2087" s="365" t="str">
        <f t="shared" si="13"/>
        <v>*</v>
      </c>
      <c r="C2087" s="365" t="str">
        <f>CONCATENATE("IMP",Commodities!C$55,"R",RIGHT(C1448,2))</f>
        <v>IMPLPGR15</v>
      </c>
      <c r="D2087" s="365" t="str">
        <f>CONCATENATE("Import Pipeline Trade of ",Commodities!C$55, " to ",$B2087," from ",B1448)</f>
        <v>Import Pipeline Trade of LPG to * from *R1</v>
      </c>
      <c r="E2087" s="381" t="s">
        <v>384</v>
      </c>
      <c r="F2087" s="381" t="s">
        <v>505</v>
      </c>
    </row>
    <row r="2088" spans="2:6">
      <c r="B2088" s="365" t="str">
        <f t="shared" si="13"/>
        <v>*</v>
      </c>
      <c r="C2088" s="365" t="str">
        <f>CONCATENATE("IMP",Commodities!C$56,"R",RIGHT(C1449,2))</f>
        <v>IMPMTHR15</v>
      </c>
      <c r="D2088" s="365" t="str">
        <f>CONCATENATE("Import Pipeline Trade of ",Commodities!C$56, " to ",$B2088," from ",B1449)</f>
        <v>Import Pipeline Trade of MTH to * from *R1</v>
      </c>
      <c r="E2088" s="381" t="s">
        <v>384</v>
      </c>
      <c r="F2088" s="381" t="s">
        <v>505</v>
      </c>
    </row>
    <row r="2089" spans="2:6">
      <c r="B2089" s="365" t="str">
        <f t="shared" si="13"/>
        <v>*</v>
      </c>
      <c r="C2089" s="365" t="str">
        <f>CONCATENATE("IMP",Commodities!C$57,"R",RIGHT(C1450,2))</f>
        <v>IMPPFSR15</v>
      </c>
      <c r="D2089" s="365" t="str">
        <f>CONCATENATE("Import Pipeline Trade of ",Commodities!C$57, " to ",$B2089," from ",B1450)</f>
        <v>Import Pipeline Trade of PFS to * from *R1</v>
      </c>
      <c r="E2089" s="381" t="s">
        <v>384</v>
      </c>
      <c r="F2089" s="381" t="s">
        <v>505</v>
      </c>
    </row>
    <row r="2090" spans="2:6">
      <c r="B2090" s="365" t="str">
        <f t="shared" si="13"/>
        <v>*</v>
      </c>
      <c r="C2090" s="365" t="str">
        <f>CONCATENATE("IMP",Commodities!C$58,"R",RIGHT(C1451,2))</f>
        <v>IMPRFHR15</v>
      </c>
      <c r="D2090" s="365" t="str">
        <f>CONCATENATE("Import Pipeline Trade of ",Commodities!C$58, " to ",$B2090," from ",B1451)</f>
        <v>Import Pipeline Trade of RFH to * from *R1</v>
      </c>
      <c r="E2090" s="381" t="s">
        <v>384</v>
      </c>
      <c r="F2090" s="381" t="s">
        <v>505</v>
      </c>
    </row>
    <row r="2091" spans="2:6">
      <c r="B2091" s="365" t="str">
        <f t="shared" si="13"/>
        <v>R5</v>
      </c>
      <c r="C2091" s="365" t="str">
        <f>CONCATENATE("IMP",Commodities!C$59,"R",RIGHT(C1452,2))</f>
        <v>IMPRFLR15</v>
      </c>
      <c r="D2091" s="365" t="str">
        <f>CONCATENATE("Import Pipeline Trade of ",Commodities!C$59, " to ",$B2091," from ",B1452)</f>
        <v>Import Pipeline Trade of RFL to R5 from R1</v>
      </c>
      <c r="E2091" s="381" t="s">
        <v>384</v>
      </c>
      <c r="F2091" s="381" t="s">
        <v>505</v>
      </c>
    </row>
    <row r="2092" spans="2:6">
      <c r="B2092" s="365" t="str">
        <f t="shared" si="13"/>
        <v>*</v>
      </c>
      <c r="C2092" s="365" t="str">
        <f>CONCATENATE("IMP",Commodities!C$60,"R",RIGHT(C1453,2))</f>
        <v>IMPASPR15</v>
      </c>
      <c r="D2092" s="365" t="str">
        <f>CONCATENATE("Import Pipeline Trade of ",Commodities!C$60, " to ",$B2092," from ",B1453)</f>
        <v>Import Pipeline Trade of ASP to * from *R1</v>
      </c>
      <c r="E2092" s="381" t="s">
        <v>384</v>
      </c>
      <c r="F2092" s="381" t="s">
        <v>505</v>
      </c>
    </row>
    <row r="2093" spans="2:6">
      <c r="B2093" s="365" t="str">
        <f t="shared" si="13"/>
        <v>*</v>
      </c>
      <c r="C2093" s="365" t="str">
        <f>CONCATENATE("IMP",Commodities!C48,"R",RIGHT(OILTrade!$V$61,2))</f>
        <v>IMPGSCR</v>
      </c>
      <c r="D2093" s="365" t="str">
        <f>CONCATENATE("Import Pipeline Trade of ",Commodities!C48, " to ",$B$2093," from ",OILTrade!$N$61)</f>
        <v>Import Pipeline Trade of GSC to * from R6</v>
      </c>
      <c r="E2093" s="381" t="s">
        <v>384</v>
      </c>
      <c r="F2093" s="381" t="s">
        <v>505</v>
      </c>
    </row>
    <row r="2094" spans="2:6">
      <c r="B2094" s="365" t="str">
        <f t="shared" si="13"/>
        <v>*</v>
      </c>
      <c r="C2094" s="365" t="str">
        <f>CONCATENATE("IMP",Commodities!C49,"R",RIGHT(OILTrade!$V$61,2))</f>
        <v>IMPGSRR</v>
      </c>
      <c r="D2094" s="365" t="str">
        <f>CONCATENATE("Import Pipeline Trade of ",Commodities!C49, " to ",$B$2093," from ",OILTrade!$N$61)</f>
        <v>Import Pipeline Trade of GSR to * from R6</v>
      </c>
      <c r="E2094" s="381" t="s">
        <v>384</v>
      </c>
      <c r="F2094" s="381" t="s">
        <v>505</v>
      </c>
    </row>
    <row r="2095" spans="2:6">
      <c r="B2095" s="365" t="str">
        <f t="shared" si="13"/>
        <v>*</v>
      </c>
      <c r="C2095" s="365" t="str">
        <f>CONCATENATE("IMP",Commodities!C50,"R",RIGHT(OILTrade!$V$61,2))</f>
        <v>IMPDSHR</v>
      </c>
      <c r="D2095" s="365" t="str">
        <f>CONCATENATE("Import Pipeline Trade of ",Commodities!C50, " to ",$B$2093," from ",OILTrade!$N$61)</f>
        <v>Import Pipeline Trade of DSH to * from R6</v>
      </c>
      <c r="E2095" s="381" t="s">
        <v>384</v>
      </c>
      <c r="F2095" s="381" t="s">
        <v>505</v>
      </c>
    </row>
    <row r="2096" spans="2:6">
      <c r="B2096" s="365" t="str">
        <f t="shared" si="13"/>
        <v>*</v>
      </c>
      <c r="C2096" s="365" t="str">
        <f>CONCATENATE("IMP",Commodities!C51,"R",RIGHT(OILTrade!$V$61,2))</f>
        <v>IMPDSLR</v>
      </c>
      <c r="D2096" s="365" t="str">
        <f>CONCATENATE("Import Pipeline Trade of ",Commodities!C51, " to ",$B$2093," from ",OILTrade!$N$61)</f>
        <v>Import Pipeline Trade of DSL to * from R6</v>
      </c>
      <c r="E2096" s="381" t="s">
        <v>384</v>
      </c>
      <c r="F2096" s="381" t="s">
        <v>505</v>
      </c>
    </row>
    <row r="2097" spans="2:6">
      <c r="B2097" s="365" t="str">
        <f t="shared" si="13"/>
        <v>*</v>
      </c>
      <c r="C2097" s="365" t="str">
        <f>CONCATENATE("IMP",Commodities!C52,"R",RIGHT(OILTrade!$V$61,2))</f>
        <v>IMPDSUR</v>
      </c>
      <c r="D2097" s="365" t="str">
        <f>CONCATENATE("Import Pipeline Trade of ",Commodities!C52, " to ",$B$2093," from ",OILTrade!$N$61)</f>
        <v>Import Pipeline Trade of DSU to * from R6</v>
      </c>
      <c r="E2097" s="381" t="s">
        <v>384</v>
      </c>
      <c r="F2097" s="381" t="s">
        <v>505</v>
      </c>
    </row>
    <row r="2098" spans="2:6">
      <c r="B2098" s="365" t="str">
        <f t="shared" si="13"/>
        <v>*</v>
      </c>
      <c r="C2098" s="365" t="str">
        <f>CONCATENATE("IMP",Commodities!C53,"R",RIGHT(OILTrade!$V$61,2))</f>
        <v>IMPJTFR</v>
      </c>
      <c r="D2098" s="365" t="str">
        <f>CONCATENATE("Import Pipeline Trade of ",Commodities!C53, " to ",$B$2093," from ",OILTrade!$N$61)</f>
        <v>Import Pipeline Trade of JTF to * from R6</v>
      </c>
      <c r="E2098" s="381" t="s">
        <v>384</v>
      </c>
      <c r="F2098" s="381" t="s">
        <v>505</v>
      </c>
    </row>
    <row r="2099" spans="2:6">
      <c r="B2099" s="365" t="str">
        <f t="shared" si="13"/>
        <v>*</v>
      </c>
      <c r="C2099" s="365" t="str">
        <f>CONCATENATE("IMP",Commodities!C54,"R",RIGHT(OILTrade!$V$61,2))</f>
        <v>IMPKERR</v>
      </c>
      <c r="D2099" s="365" t="str">
        <f>CONCATENATE("Import Pipeline Trade of ",Commodities!C54, " to ",$B$2093," from ",OILTrade!$N$61)</f>
        <v>Import Pipeline Trade of KER to * from R6</v>
      </c>
      <c r="E2099" s="381" t="s">
        <v>384</v>
      </c>
      <c r="F2099" s="381" t="s">
        <v>505</v>
      </c>
    </row>
    <row r="2100" spans="2:6">
      <c r="B2100" s="365" t="str">
        <f t="shared" si="13"/>
        <v>*</v>
      </c>
      <c r="C2100" s="365" t="str">
        <f>CONCATENATE("IMP",Commodities!C55,"R",RIGHT(OILTrade!$V$61,2))</f>
        <v>IMPLPGR</v>
      </c>
      <c r="D2100" s="365" t="str">
        <f>CONCATENATE("Import Pipeline Trade of ",Commodities!C55, " to ",$B$2093," from ",OILTrade!$N$61)</f>
        <v>Import Pipeline Trade of LPG to * from R6</v>
      </c>
      <c r="E2100" s="381" t="s">
        <v>384</v>
      </c>
      <c r="F2100" s="381" t="s">
        <v>505</v>
      </c>
    </row>
    <row r="2101" spans="2:6">
      <c r="B2101" s="365" t="str">
        <f t="shared" si="13"/>
        <v>*</v>
      </c>
      <c r="C2101" s="365" t="str">
        <f>CONCATENATE("IMP",Commodities!C56,"R",RIGHT(OILTrade!$V$61,2))</f>
        <v>IMPMTHR</v>
      </c>
      <c r="D2101" s="365" t="str">
        <f>CONCATENATE("Import Pipeline Trade of ",Commodities!C56, " to ",$B$2093," from ",OILTrade!$N$61)</f>
        <v>Import Pipeline Trade of MTH to * from R6</v>
      </c>
      <c r="E2101" s="381" t="s">
        <v>384</v>
      </c>
      <c r="F2101" s="381" t="s">
        <v>505</v>
      </c>
    </row>
    <row r="2102" spans="2:6">
      <c r="B2102" s="365" t="str">
        <f t="shared" si="13"/>
        <v>*</v>
      </c>
      <c r="C2102" s="365" t="str">
        <f>CONCATENATE("IMP",Commodities!C57,"R",RIGHT(OILTrade!$V$61,2))</f>
        <v>IMPPFSR</v>
      </c>
      <c r="D2102" s="365" t="str">
        <f>CONCATENATE("Import Pipeline Trade of ",Commodities!C57, " to ",$B$2093," from ",OILTrade!$N$61)</f>
        <v>Import Pipeline Trade of PFS to * from R6</v>
      </c>
      <c r="E2102" s="381" t="s">
        <v>384</v>
      </c>
      <c r="F2102" s="381" t="s">
        <v>505</v>
      </c>
    </row>
    <row r="2103" spans="2:6">
      <c r="B2103" s="365" t="str">
        <f t="shared" si="13"/>
        <v>*</v>
      </c>
      <c r="C2103" s="365" t="str">
        <f>CONCATENATE("IMP",Commodities!C58,"R",RIGHT(OILTrade!$V$61,2))</f>
        <v>IMPRFHR</v>
      </c>
      <c r="D2103" s="365" t="str">
        <f>CONCATENATE("Import Pipeline Trade of ",Commodities!C58, " to ",$B$2093," from ",OILTrade!$N$61)</f>
        <v>Import Pipeline Trade of RFH to * from R6</v>
      </c>
      <c r="E2103" s="381" t="s">
        <v>384</v>
      </c>
      <c r="F2103" s="381" t="s">
        <v>505</v>
      </c>
    </row>
    <row r="2104" spans="2:6">
      <c r="B2104" s="365" t="str">
        <f t="shared" si="13"/>
        <v>*</v>
      </c>
      <c r="C2104" s="365" t="str">
        <f>CONCATENATE("IMP",Commodities!C59,"R",RIGHT(OILTrade!$V$61,2))</f>
        <v>IMPRFLR</v>
      </c>
      <c r="D2104" s="365" t="str">
        <f>CONCATENATE("Import Pipeline Trade of ",Commodities!C59, " to ",$B$2093," from ",OILTrade!$N$61)</f>
        <v>Import Pipeline Trade of RFL to * from R6</v>
      </c>
      <c r="E2104" s="381" t="s">
        <v>384</v>
      </c>
      <c r="F2104" s="381" t="s">
        <v>505</v>
      </c>
    </row>
    <row r="2105" spans="2:6">
      <c r="B2105" s="365" t="str">
        <f t="shared" si="13"/>
        <v>*</v>
      </c>
      <c r="C2105" s="365" t="str">
        <f>CONCATENATE("IMP",Commodities!C60,"R",RIGHT(OILTrade!$V$61,2))</f>
        <v>IMPASPR</v>
      </c>
      <c r="D2105" s="365" t="str">
        <f>CONCATENATE("Import Pipeline Trade of ",Commodities!C60, " to ",$B$2093," from ",OILTrade!$N$61)</f>
        <v>Import Pipeline Trade of ASP to * from R6</v>
      </c>
      <c r="E2105" s="381" t="s">
        <v>384</v>
      </c>
      <c r="F2105" s="381" t="s">
        <v>505</v>
      </c>
    </row>
    <row r="2106" spans="2:6">
      <c r="B2106" s="365" t="str">
        <f t="shared" si="13"/>
        <v>*</v>
      </c>
      <c r="C2106" s="365" t="str">
        <f>CONCATENATE("IMP",Commodities!C48,"R",RIGHT(OILTrade!$Q$62,2))</f>
        <v>IMPGSCR</v>
      </c>
      <c r="D2106" s="365" t="str">
        <f>CONCATENATE("Import Pipeline Trade of ",Commodities!C48, " to ",$B$2106," from ",OILTrade!$N$62)</f>
        <v>Import Pipeline Trade of GSC to * from R7</v>
      </c>
      <c r="E2106" s="381" t="s">
        <v>384</v>
      </c>
      <c r="F2106" s="381" t="s">
        <v>505</v>
      </c>
    </row>
    <row r="2107" spans="2:6">
      <c r="B2107" s="365" t="str">
        <f t="shared" si="13"/>
        <v>*</v>
      </c>
      <c r="C2107" s="365" t="str">
        <f>CONCATENATE("IMP",Commodities!C49,"R",RIGHT(OILTrade!$Q$62,2))</f>
        <v>IMPGSRR</v>
      </c>
      <c r="D2107" s="365" t="str">
        <f>CONCATENATE("Import Pipeline Trade of ",Commodities!C49, " to ",$B$2106," from ",OILTrade!$N$62)</f>
        <v>Import Pipeline Trade of GSR to * from R7</v>
      </c>
      <c r="E2107" s="381" t="s">
        <v>384</v>
      </c>
      <c r="F2107" s="381" t="s">
        <v>505</v>
      </c>
    </row>
    <row r="2108" spans="2:6">
      <c r="B2108" s="365" t="str">
        <f t="shared" si="13"/>
        <v>*</v>
      </c>
      <c r="C2108" s="365" t="str">
        <f>CONCATENATE("IMP",Commodities!C50,"R",RIGHT(OILTrade!$Q$62,2))</f>
        <v>IMPDSHR</v>
      </c>
      <c r="D2108" s="365" t="str">
        <f>CONCATENATE("Import Pipeline Trade of ",Commodities!C50, " to ",$B$2106," from ",OILTrade!$N$62)</f>
        <v>Import Pipeline Trade of DSH to * from R7</v>
      </c>
      <c r="E2108" s="381" t="s">
        <v>384</v>
      </c>
      <c r="F2108" s="381" t="s">
        <v>505</v>
      </c>
    </row>
    <row r="2109" spans="2:6">
      <c r="B2109" s="365" t="str">
        <f t="shared" si="13"/>
        <v>*</v>
      </c>
      <c r="C2109" s="365" t="str">
        <f>CONCATENATE("IMP",Commodities!C51,"R",RIGHT(OILTrade!$Q$62,2))</f>
        <v>IMPDSLR</v>
      </c>
      <c r="D2109" s="365" t="str">
        <f>CONCATENATE("Import Pipeline Trade of ",Commodities!C51, " to ",$B$2106," from ",OILTrade!$N$62)</f>
        <v>Import Pipeline Trade of DSL to * from R7</v>
      </c>
      <c r="E2109" s="381" t="s">
        <v>384</v>
      </c>
      <c r="F2109" s="381" t="s">
        <v>505</v>
      </c>
    </row>
    <row r="2110" spans="2:6">
      <c r="B2110" s="365" t="str">
        <f t="shared" si="13"/>
        <v>*</v>
      </c>
      <c r="C2110" s="365" t="str">
        <f>CONCATENATE("IMP",Commodities!C52,"R",RIGHT(OILTrade!$Q$62,2))</f>
        <v>IMPDSUR</v>
      </c>
      <c r="D2110" s="365" t="str">
        <f>CONCATENATE("Import Pipeline Trade of ",Commodities!C52, " to ",$B$2106," from ",OILTrade!$N$62)</f>
        <v>Import Pipeline Trade of DSU to * from R7</v>
      </c>
      <c r="E2110" s="381" t="s">
        <v>384</v>
      </c>
      <c r="F2110" s="381" t="s">
        <v>505</v>
      </c>
    </row>
    <row r="2111" spans="2:6">
      <c r="B2111" s="365" t="str">
        <f t="shared" si="13"/>
        <v>*</v>
      </c>
      <c r="C2111" s="365" t="str">
        <f>CONCATENATE("IMP",Commodities!C53,"R",RIGHT(OILTrade!$Q$62,2))</f>
        <v>IMPJTFR</v>
      </c>
      <c r="D2111" s="365" t="str">
        <f>CONCATENATE("Import Pipeline Trade of ",Commodities!C53, " to ",$B$2106," from ",OILTrade!$N$62)</f>
        <v>Import Pipeline Trade of JTF to * from R7</v>
      </c>
      <c r="E2111" s="381" t="s">
        <v>384</v>
      </c>
      <c r="F2111" s="381" t="s">
        <v>505</v>
      </c>
    </row>
    <row r="2112" spans="2:6">
      <c r="B2112" s="365" t="str">
        <f t="shared" si="13"/>
        <v>*</v>
      </c>
      <c r="C2112" s="365" t="str">
        <f>CONCATENATE("IMP",Commodities!C54,"R",RIGHT(OILTrade!$Q$62,2))</f>
        <v>IMPKERR</v>
      </c>
      <c r="D2112" s="365" t="str">
        <f>CONCATENATE("Import Pipeline Trade of ",Commodities!C54, " to ",$B$2106," from ",OILTrade!$N$62)</f>
        <v>Import Pipeline Trade of KER to * from R7</v>
      </c>
      <c r="E2112" s="381" t="s">
        <v>384</v>
      </c>
      <c r="F2112" s="381" t="s">
        <v>505</v>
      </c>
    </row>
    <row r="2113" spans="2:6">
      <c r="B2113" s="365" t="str">
        <f t="shared" si="13"/>
        <v>*</v>
      </c>
      <c r="C2113" s="365" t="str">
        <f>CONCATENATE("IMP",Commodities!C55,"R",RIGHT(OILTrade!$Q$62,2))</f>
        <v>IMPLPGR</v>
      </c>
      <c r="D2113" s="365" t="str">
        <f>CONCATENATE("Import Pipeline Trade of ",Commodities!C55, " to ",$B$2106," from ",OILTrade!$N$62)</f>
        <v>Import Pipeline Trade of LPG to * from R7</v>
      </c>
      <c r="E2113" s="381" t="s">
        <v>384</v>
      </c>
      <c r="F2113" s="381" t="s">
        <v>505</v>
      </c>
    </row>
    <row r="2114" spans="2:6">
      <c r="B2114" s="365" t="str">
        <f t="shared" si="13"/>
        <v>*</v>
      </c>
      <c r="C2114" s="365" t="str">
        <f>CONCATENATE("IMP",Commodities!C56,"R",RIGHT(OILTrade!$Q$62,2))</f>
        <v>IMPMTHR</v>
      </c>
      <c r="D2114" s="365" t="str">
        <f>CONCATENATE("Import Pipeline Trade of ",Commodities!C56, " to ",$B$2106," from ",OILTrade!$N$62)</f>
        <v>Import Pipeline Trade of MTH to * from R7</v>
      </c>
      <c r="E2114" s="381" t="s">
        <v>384</v>
      </c>
      <c r="F2114" s="381" t="s">
        <v>505</v>
      </c>
    </row>
    <row r="2115" spans="2:6">
      <c r="B2115" s="365" t="str">
        <f t="shared" si="13"/>
        <v>*</v>
      </c>
      <c r="C2115" s="365" t="str">
        <f>CONCATENATE("IMP",Commodities!C57,"R",RIGHT(OILTrade!$Q$62,2))</f>
        <v>IMPPFSR</v>
      </c>
      <c r="D2115" s="365" t="str">
        <f>CONCATENATE("Import Pipeline Trade of ",Commodities!C57, " to ",$B$2106," from ",OILTrade!$N$62)</f>
        <v>Import Pipeline Trade of PFS to * from R7</v>
      </c>
      <c r="E2115" s="381" t="s">
        <v>384</v>
      </c>
      <c r="F2115" s="381" t="s">
        <v>505</v>
      </c>
    </row>
    <row r="2116" spans="2:6">
      <c r="B2116" s="365" t="str">
        <f t="shared" ref="B2116:B2179" si="14">IF(LEFT(B1477,1)="*","*",CONCATENATE("R",RIGHT(C2116,1)))</f>
        <v>*</v>
      </c>
      <c r="C2116" s="365" t="str">
        <f>CONCATENATE("IMP",Commodities!C58,"R",RIGHT(OILTrade!$Q$62,2))</f>
        <v>IMPRFHR</v>
      </c>
      <c r="D2116" s="365" t="str">
        <f>CONCATENATE("Import Pipeline Trade of ",Commodities!C58, " to ",$B$2106," from ",OILTrade!$N$62)</f>
        <v>Import Pipeline Trade of RFH to * from R7</v>
      </c>
      <c r="E2116" s="381" t="s">
        <v>384</v>
      </c>
      <c r="F2116" s="381" t="s">
        <v>505</v>
      </c>
    </row>
    <row r="2117" spans="2:6">
      <c r="B2117" s="365" t="str">
        <f t="shared" si="14"/>
        <v>*</v>
      </c>
      <c r="C2117" s="365" t="str">
        <f>CONCATENATE("IMP",Commodities!C59,"R",RIGHT(OILTrade!$Q$62,2))</f>
        <v>IMPRFLR</v>
      </c>
      <c r="D2117" s="365" t="str">
        <f>CONCATENATE("Import Pipeline Trade of ",Commodities!C59, " to ",$B$2106," from ",OILTrade!$N$62)</f>
        <v>Import Pipeline Trade of RFL to * from R7</v>
      </c>
      <c r="E2117" s="381" t="s">
        <v>384</v>
      </c>
      <c r="F2117" s="381" t="s">
        <v>505</v>
      </c>
    </row>
    <row r="2118" spans="2:6">
      <c r="B2118" s="365" t="str">
        <f t="shared" si="14"/>
        <v>*</v>
      </c>
      <c r="C2118" s="365" t="str">
        <f>CONCATENATE("IMP",Commodities!C60,"R",RIGHT(OILTrade!$Q$62,2))</f>
        <v>IMPASPR</v>
      </c>
      <c r="D2118" s="365" t="str">
        <f>CONCATENATE("Import Pipeline Trade of ",Commodities!C60, " to ",$B$2106," from ",OILTrade!$N$62)</f>
        <v>Import Pipeline Trade of ASP to * from R7</v>
      </c>
      <c r="E2118" s="381" t="s">
        <v>384</v>
      </c>
      <c r="F2118" s="381" t="s">
        <v>505</v>
      </c>
    </row>
    <row r="2119" spans="2:6">
      <c r="B2119" s="365" t="str">
        <f t="shared" si="14"/>
        <v>*</v>
      </c>
      <c r="C2119" s="365" t="str">
        <f>CONCATENATE("IMP",Commodities!C48,"R",RIGHT(OILTrade!$R$62,2))</f>
        <v>IMPGSCR</v>
      </c>
      <c r="D2119" s="365" t="str">
        <f>CONCATENATE("Import Pipeline Trade of ",Commodities!C48, " to ",$B$2119," from ",OILTrade!$N$62)</f>
        <v>Import Pipeline Trade of GSC to * from R7</v>
      </c>
      <c r="E2119" s="381" t="s">
        <v>384</v>
      </c>
      <c r="F2119" s="381" t="s">
        <v>505</v>
      </c>
    </row>
    <row r="2120" spans="2:6">
      <c r="B2120" s="365" t="str">
        <f t="shared" si="14"/>
        <v>*</v>
      </c>
      <c r="C2120" s="365" t="str">
        <f>CONCATENATE("IMP",Commodities!C49,"R",RIGHT(OILTrade!$R$62,2))</f>
        <v>IMPGSRR</v>
      </c>
      <c r="D2120" s="365" t="str">
        <f>CONCATENATE("Import Pipeline Trade of ",Commodities!C49, " to ",$B$2119," from ",OILTrade!$N$62)</f>
        <v>Import Pipeline Trade of GSR to * from R7</v>
      </c>
      <c r="E2120" s="381" t="s">
        <v>384</v>
      </c>
      <c r="F2120" s="381" t="s">
        <v>505</v>
      </c>
    </row>
    <row r="2121" spans="2:6">
      <c r="B2121" s="365" t="str">
        <f t="shared" si="14"/>
        <v>*</v>
      </c>
      <c r="C2121" s="365" t="str">
        <f>CONCATENATE("IMP",Commodities!C50,"R",RIGHT(OILTrade!$R$62,2))</f>
        <v>IMPDSHR</v>
      </c>
      <c r="D2121" s="365" t="str">
        <f>CONCATENATE("Import Pipeline Trade of ",Commodities!C50, " to ",$B$2119," from ",OILTrade!$N$62)</f>
        <v>Import Pipeline Trade of DSH to * from R7</v>
      </c>
      <c r="E2121" s="381" t="s">
        <v>384</v>
      </c>
      <c r="F2121" s="381" t="s">
        <v>505</v>
      </c>
    </row>
    <row r="2122" spans="2:6">
      <c r="B2122" s="365" t="str">
        <f t="shared" si="14"/>
        <v>*</v>
      </c>
      <c r="C2122" s="365" t="str">
        <f>CONCATENATE("IMP",Commodities!C51,"R",RIGHT(OILTrade!$R$62,2))</f>
        <v>IMPDSLR</v>
      </c>
      <c r="D2122" s="365" t="str">
        <f>CONCATENATE("Import Pipeline Trade of ",Commodities!C51, " to ",$B$2119," from ",OILTrade!$N$62)</f>
        <v>Import Pipeline Trade of DSL to * from R7</v>
      </c>
      <c r="E2122" s="381" t="s">
        <v>384</v>
      </c>
      <c r="F2122" s="381" t="s">
        <v>505</v>
      </c>
    </row>
    <row r="2123" spans="2:6">
      <c r="B2123" s="365" t="str">
        <f t="shared" si="14"/>
        <v>*</v>
      </c>
      <c r="C2123" s="365" t="str">
        <f>CONCATENATE("IMP",Commodities!C52,"R",RIGHT(OILTrade!$R$62,2))</f>
        <v>IMPDSUR</v>
      </c>
      <c r="D2123" s="365" t="str">
        <f>CONCATENATE("Import Pipeline Trade of ",Commodities!C52, " to ",$B$2119," from ",OILTrade!$N$62)</f>
        <v>Import Pipeline Trade of DSU to * from R7</v>
      </c>
      <c r="E2123" s="381" t="s">
        <v>384</v>
      </c>
      <c r="F2123" s="381" t="s">
        <v>505</v>
      </c>
    </row>
    <row r="2124" spans="2:6">
      <c r="B2124" s="365" t="str">
        <f t="shared" si="14"/>
        <v>*</v>
      </c>
      <c r="C2124" s="365" t="str">
        <f>CONCATENATE("IMP",Commodities!C53,"R",RIGHT(OILTrade!$R$62,2))</f>
        <v>IMPJTFR</v>
      </c>
      <c r="D2124" s="365" t="str">
        <f>CONCATENATE("Import Pipeline Trade of ",Commodities!C53, " to ",$B$2119," from ",OILTrade!$N$62)</f>
        <v>Import Pipeline Trade of JTF to * from R7</v>
      </c>
      <c r="E2124" s="381" t="s">
        <v>384</v>
      </c>
      <c r="F2124" s="381" t="s">
        <v>505</v>
      </c>
    </row>
    <row r="2125" spans="2:6">
      <c r="B2125" s="365" t="str">
        <f t="shared" si="14"/>
        <v>*</v>
      </c>
      <c r="C2125" s="365" t="str">
        <f>CONCATENATE("IMP",Commodities!C54,"R",RIGHT(OILTrade!$R$62,2))</f>
        <v>IMPKERR</v>
      </c>
      <c r="D2125" s="365" t="str">
        <f>CONCATENATE("Import Pipeline Trade of ",Commodities!C54, " to ",$B$2119," from ",OILTrade!$N$62)</f>
        <v>Import Pipeline Trade of KER to * from R7</v>
      </c>
      <c r="E2125" s="381" t="s">
        <v>384</v>
      </c>
      <c r="F2125" s="381" t="s">
        <v>505</v>
      </c>
    </row>
    <row r="2126" spans="2:6">
      <c r="B2126" s="365" t="str">
        <f t="shared" si="14"/>
        <v>*</v>
      </c>
      <c r="C2126" s="365" t="str">
        <f>CONCATENATE("IMP",Commodities!C55,"R",RIGHT(OILTrade!$R$62,2))</f>
        <v>IMPLPGR</v>
      </c>
      <c r="D2126" s="365" t="str">
        <f>CONCATENATE("Import Pipeline Trade of ",Commodities!C55, " to ",$B$2119," from ",OILTrade!$N$62)</f>
        <v>Import Pipeline Trade of LPG to * from R7</v>
      </c>
      <c r="E2126" s="381" t="s">
        <v>384</v>
      </c>
      <c r="F2126" s="381" t="s">
        <v>505</v>
      </c>
    </row>
    <row r="2127" spans="2:6">
      <c r="B2127" s="365" t="str">
        <f t="shared" si="14"/>
        <v>*</v>
      </c>
      <c r="C2127" s="365" t="str">
        <f>CONCATENATE("IMP",Commodities!C56,"R",RIGHT(OILTrade!$R$62,2))</f>
        <v>IMPMTHR</v>
      </c>
      <c r="D2127" s="365" t="str">
        <f>CONCATENATE("Import Pipeline Trade of ",Commodities!C56, " to ",$B$2119," from ",OILTrade!$N$62)</f>
        <v>Import Pipeline Trade of MTH to * from R7</v>
      </c>
      <c r="E2127" s="381" t="s">
        <v>384</v>
      </c>
      <c r="F2127" s="381" t="s">
        <v>505</v>
      </c>
    </row>
    <row r="2128" spans="2:6">
      <c r="B2128" s="365" t="str">
        <f t="shared" si="14"/>
        <v>*</v>
      </c>
      <c r="C2128" s="365" t="str">
        <f>CONCATENATE("IMP",Commodities!C57,"R",RIGHT(OILTrade!$R$62,2))</f>
        <v>IMPPFSR</v>
      </c>
      <c r="D2128" s="365" t="str">
        <f>CONCATENATE("Import Pipeline Trade of ",Commodities!C57, " to ",$B$2119," from ",OILTrade!$N$62)</f>
        <v>Import Pipeline Trade of PFS to * from R7</v>
      </c>
      <c r="E2128" s="381" t="s">
        <v>384</v>
      </c>
      <c r="F2128" s="381" t="s">
        <v>505</v>
      </c>
    </row>
    <row r="2129" spans="2:6">
      <c r="B2129" s="365" t="str">
        <f t="shared" si="14"/>
        <v>*</v>
      </c>
      <c r="C2129" s="365" t="str">
        <f>CONCATENATE("IMP",Commodities!C58,"R",RIGHT(OILTrade!$R$62,2))</f>
        <v>IMPRFHR</v>
      </c>
      <c r="D2129" s="365" t="str">
        <f>CONCATENATE("Import Pipeline Trade of ",Commodities!C58, " to ",$B$2119," from ",OILTrade!$N$62)</f>
        <v>Import Pipeline Trade of RFH to * from R7</v>
      </c>
      <c r="E2129" s="381" t="s">
        <v>384</v>
      </c>
      <c r="F2129" s="381" t="s">
        <v>505</v>
      </c>
    </row>
    <row r="2130" spans="2:6">
      <c r="B2130" s="365" t="str">
        <f t="shared" si="14"/>
        <v>*</v>
      </c>
      <c r="C2130" s="365" t="str">
        <f>CONCATENATE("IMP",Commodities!C59,"R",RIGHT(OILTrade!$R$62,2))</f>
        <v>IMPRFLR</v>
      </c>
      <c r="D2130" s="365" t="str">
        <f>CONCATENATE("Import Pipeline Trade of ",Commodities!C59, " to ",$B$2119," from ",OILTrade!$N$62)</f>
        <v>Import Pipeline Trade of RFL to * from R7</v>
      </c>
      <c r="E2130" s="381" t="s">
        <v>384</v>
      </c>
      <c r="F2130" s="381" t="s">
        <v>505</v>
      </c>
    </row>
    <row r="2131" spans="2:6">
      <c r="B2131" s="365" t="str">
        <f t="shared" si="14"/>
        <v>*</v>
      </c>
      <c r="C2131" s="365" t="str">
        <f>CONCATENATE("IMP",Commodities!C60,"R",RIGHT(OILTrade!$R$62,2))</f>
        <v>IMPASPR</v>
      </c>
      <c r="D2131" s="365" t="str">
        <f>CONCATENATE("Import Pipeline Trade of ",Commodities!C60, " to ",$B$2119," from ",OILTrade!$N$62)</f>
        <v>Import Pipeline Trade of ASP to * from R7</v>
      </c>
      <c r="E2131" s="381" t="s">
        <v>384</v>
      </c>
      <c r="F2131" s="381" t="s">
        <v>505</v>
      </c>
    </row>
    <row r="2132" spans="2:6">
      <c r="B2132" s="365" t="str">
        <f t="shared" si="14"/>
        <v>*</v>
      </c>
      <c r="C2132" s="365" t="str">
        <f>CONCATENATE("IMP",Commodities!C48,"R",RIGHT(OILTrade!$T$62,2))</f>
        <v>IMPGSCR</v>
      </c>
      <c r="D2132" s="365" t="str">
        <f>CONCATENATE("Import Pipeline Trade of ",Commodities!C48, " to ",$B$2132," from ",OILTrade!$N$62)</f>
        <v>Import Pipeline Trade of GSC to * from R7</v>
      </c>
      <c r="E2132" s="381" t="s">
        <v>384</v>
      </c>
      <c r="F2132" s="381" t="s">
        <v>505</v>
      </c>
    </row>
    <row r="2133" spans="2:6">
      <c r="B2133" s="365" t="str">
        <f t="shared" si="14"/>
        <v>*</v>
      </c>
      <c r="C2133" s="365" t="str">
        <f>CONCATENATE("IMP",Commodities!C49,"R",RIGHT(OILTrade!$T$62,2))</f>
        <v>IMPGSRR</v>
      </c>
      <c r="D2133" s="365" t="str">
        <f>CONCATENATE("Import Pipeline Trade of ",Commodities!C49, " to ",$B$2132," from ",OILTrade!$N$62)</f>
        <v>Import Pipeline Trade of GSR to * from R7</v>
      </c>
      <c r="E2133" s="381" t="s">
        <v>384</v>
      </c>
      <c r="F2133" s="381" t="s">
        <v>505</v>
      </c>
    </row>
    <row r="2134" spans="2:6">
      <c r="B2134" s="365" t="str">
        <f t="shared" si="14"/>
        <v>*</v>
      </c>
      <c r="C2134" s="365" t="str">
        <f>CONCATENATE("IMP",Commodities!C50,"R",RIGHT(OILTrade!$T$62,2))</f>
        <v>IMPDSHR</v>
      </c>
      <c r="D2134" s="365" t="str">
        <f>CONCATENATE("Import Pipeline Trade of ",Commodities!C50, " to ",$B$2132," from ",OILTrade!$N$62)</f>
        <v>Import Pipeline Trade of DSH to * from R7</v>
      </c>
      <c r="E2134" s="381" t="s">
        <v>384</v>
      </c>
      <c r="F2134" s="381" t="s">
        <v>505</v>
      </c>
    </row>
    <row r="2135" spans="2:6">
      <c r="B2135" s="365" t="str">
        <f t="shared" si="14"/>
        <v>*</v>
      </c>
      <c r="C2135" s="365" t="str">
        <f>CONCATENATE("IMP",Commodities!C51,"R",RIGHT(OILTrade!$T$62,2))</f>
        <v>IMPDSLR</v>
      </c>
      <c r="D2135" s="365" t="str">
        <f>CONCATENATE("Import Pipeline Trade of ",Commodities!C51, " to ",$B$2132," from ",OILTrade!$N$62)</f>
        <v>Import Pipeline Trade of DSL to * from R7</v>
      </c>
      <c r="E2135" s="381" t="s">
        <v>384</v>
      </c>
      <c r="F2135" s="381" t="s">
        <v>505</v>
      </c>
    </row>
    <row r="2136" spans="2:6">
      <c r="B2136" s="365" t="str">
        <f t="shared" si="14"/>
        <v>*</v>
      </c>
      <c r="C2136" s="365" t="str">
        <f>CONCATENATE("IMP",Commodities!C52,"R",RIGHT(OILTrade!$T$62,2))</f>
        <v>IMPDSUR</v>
      </c>
      <c r="D2136" s="365" t="str">
        <f>CONCATENATE("Import Pipeline Trade of ",Commodities!C52, " to ",$B$2132," from ",OILTrade!$N$62)</f>
        <v>Import Pipeline Trade of DSU to * from R7</v>
      </c>
      <c r="E2136" s="381" t="s">
        <v>384</v>
      </c>
      <c r="F2136" s="381" t="s">
        <v>505</v>
      </c>
    </row>
    <row r="2137" spans="2:6">
      <c r="B2137" s="365" t="str">
        <f t="shared" si="14"/>
        <v>*</v>
      </c>
      <c r="C2137" s="365" t="str">
        <f>CONCATENATE("IMP",Commodities!C53,"R",RIGHT(OILTrade!$T$62,2))</f>
        <v>IMPJTFR</v>
      </c>
      <c r="D2137" s="365" t="str">
        <f>CONCATENATE("Import Pipeline Trade of ",Commodities!C53, " to ",$B$2132," from ",OILTrade!$N$62)</f>
        <v>Import Pipeline Trade of JTF to * from R7</v>
      </c>
      <c r="E2137" s="381" t="s">
        <v>384</v>
      </c>
      <c r="F2137" s="381" t="s">
        <v>505</v>
      </c>
    </row>
    <row r="2138" spans="2:6">
      <c r="B2138" s="365" t="str">
        <f t="shared" si="14"/>
        <v>*</v>
      </c>
      <c r="C2138" s="365" t="str">
        <f>CONCATENATE("IMP",Commodities!C54,"R",RIGHT(OILTrade!$T$62,2))</f>
        <v>IMPKERR</v>
      </c>
      <c r="D2138" s="365" t="str">
        <f>CONCATENATE("Import Pipeline Trade of ",Commodities!C54, " to ",$B$2132," from ",OILTrade!$N$62)</f>
        <v>Import Pipeline Trade of KER to * from R7</v>
      </c>
      <c r="E2138" s="381" t="s">
        <v>384</v>
      </c>
      <c r="F2138" s="381" t="s">
        <v>505</v>
      </c>
    </row>
    <row r="2139" spans="2:6">
      <c r="B2139" s="365" t="str">
        <f t="shared" si="14"/>
        <v>*</v>
      </c>
      <c r="C2139" s="365" t="str">
        <f>CONCATENATE("IMP",Commodities!C55,"R",RIGHT(OILTrade!$T$62,2))</f>
        <v>IMPLPGR</v>
      </c>
      <c r="D2139" s="365" t="str">
        <f>CONCATENATE("Import Pipeline Trade of ",Commodities!C55, " to ",$B$2132," from ",OILTrade!$N$62)</f>
        <v>Import Pipeline Trade of LPG to * from R7</v>
      </c>
      <c r="E2139" s="381" t="s">
        <v>384</v>
      </c>
      <c r="F2139" s="381" t="s">
        <v>505</v>
      </c>
    </row>
    <row r="2140" spans="2:6">
      <c r="B2140" s="365" t="str">
        <f t="shared" si="14"/>
        <v>*</v>
      </c>
      <c r="C2140" s="365" t="str">
        <f>CONCATENATE("IMP",Commodities!C56,"R",RIGHT(OILTrade!$T$62,2))</f>
        <v>IMPMTHR</v>
      </c>
      <c r="D2140" s="365" t="str">
        <f>CONCATENATE("Import Pipeline Trade of ",Commodities!C56, " to ",$B$2132," from ",OILTrade!$N$62)</f>
        <v>Import Pipeline Trade of MTH to * from R7</v>
      </c>
      <c r="E2140" s="381" t="s">
        <v>384</v>
      </c>
      <c r="F2140" s="381" t="s">
        <v>505</v>
      </c>
    </row>
    <row r="2141" spans="2:6">
      <c r="B2141" s="365" t="str">
        <f t="shared" si="14"/>
        <v>*</v>
      </c>
      <c r="C2141" s="365" t="str">
        <f>CONCATENATE("IMP",Commodities!C57,"R",RIGHT(OILTrade!$T$62,2))</f>
        <v>IMPPFSR</v>
      </c>
      <c r="D2141" s="365" t="str">
        <f>CONCATENATE("Import Pipeline Trade of ",Commodities!C57, " to ",$B$2132," from ",OILTrade!$N$62)</f>
        <v>Import Pipeline Trade of PFS to * from R7</v>
      </c>
      <c r="E2141" s="381" t="s">
        <v>384</v>
      </c>
      <c r="F2141" s="381" t="s">
        <v>505</v>
      </c>
    </row>
    <row r="2142" spans="2:6">
      <c r="B2142" s="365" t="str">
        <f t="shared" si="14"/>
        <v>*</v>
      </c>
      <c r="C2142" s="365" t="str">
        <f>CONCATENATE("IMP",Commodities!C58,"R",RIGHT(OILTrade!$T$62,2))</f>
        <v>IMPRFHR</v>
      </c>
      <c r="D2142" s="365" t="str">
        <f>CONCATENATE("Import Pipeline Trade of ",Commodities!C58, " to ",$B$2132," from ",OILTrade!$N$62)</f>
        <v>Import Pipeline Trade of RFH to * from R7</v>
      </c>
      <c r="E2142" s="381" t="s">
        <v>384</v>
      </c>
      <c r="F2142" s="381" t="s">
        <v>505</v>
      </c>
    </row>
    <row r="2143" spans="2:6">
      <c r="B2143" s="365" t="str">
        <f t="shared" si="14"/>
        <v>*</v>
      </c>
      <c r="C2143" s="365" t="str">
        <f>CONCATENATE("IMP",Commodities!C59,"R",RIGHT(OILTrade!$T$62,2))</f>
        <v>IMPRFLR</v>
      </c>
      <c r="D2143" s="365" t="str">
        <f>CONCATENATE("Import Pipeline Trade of ",Commodities!C59, " to ",$B$2132," from ",OILTrade!$N$62)</f>
        <v>Import Pipeline Trade of RFL to * from R7</v>
      </c>
      <c r="E2143" s="381" t="s">
        <v>384</v>
      </c>
      <c r="F2143" s="381" t="s">
        <v>505</v>
      </c>
    </row>
    <row r="2144" spans="2:6">
      <c r="B2144" s="365" t="str">
        <f t="shared" si="14"/>
        <v>*</v>
      </c>
      <c r="C2144" s="365" t="str">
        <f>CONCATENATE("IMP",Commodities!C60,"R",RIGHT(OILTrade!$T$62,2))</f>
        <v>IMPASPR</v>
      </c>
      <c r="D2144" s="365" t="str">
        <f>CONCATENATE("Import Pipeline Trade of ",Commodities!C60, " to ",$B$2132," from ",OILTrade!$N$62)</f>
        <v>Import Pipeline Trade of ASP to * from R7</v>
      </c>
      <c r="E2144" s="381" t="s">
        <v>384</v>
      </c>
      <c r="F2144" s="381" t="s">
        <v>505</v>
      </c>
    </row>
    <row r="2145" spans="2:6">
      <c r="B2145" s="365" t="str">
        <f t="shared" si="14"/>
        <v>*</v>
      </c>
      <c r="C2145" s="365" t="str">
        <f>CONCATENATE("IMP",Commodities!C48,"R",RIGHT(OILTrade!$V$62,2))</f>
        <v>IMPGSCR</v>
      </c>
      <c r="D2145" s="365" t="str">
        <f>CONCATENATE("Import Pipeline Trade of ",Commodities!C48, " to ",$B$2145," from ",OILTrade!$N$62)</f>
        <v>Import Pipeline Trade of GSC to * from R7</v>
      </c>
      <c r="E2145" s="381" t="s">
        <v>384</v>
      </c>
      <c r="F2145" s="381" t="s">
        <v>505</v>
      </c>
    </row>
    <row r="2146" spans="2:6">
      <c r="B2146" s="365" t="str">
        <f t="shared" si="14"/>
        <v>*</v>
      </c>
      <c r="C2146" s="365" t="str">
        <f>CONCATENATE("IMP",Commodities!C49,"R",RIGHT(OILTrade!$V$62,2))</f>
        <v>IMPGSRR</v>
      </c>
      <c r="D2146" s="365" t="str">
        <f>CONCATENATE("Import Pipeline Trade of ",Commodities!C49, " to ",$B$2145," from ",OILTrade!$N$62)</f>
        <v>Import Pipeline Trade of GSR to * from R7</v>
      </c>
      <c r="E2146" s="381" t="s">
        <v>384</v>
      </c>
      <c r="F2146" s="381" t="s">
        <v>505</v>
      </c>
    </row>
    <row r="2147" spans="2:6">
      <c r="B2147" s="365" t="str">
        <f t="shared" si="14"/>
        <v>*</v>
      </c>
      <c r="C2147" s="365" t="str">
        <f>CONCATENATE("IMP",Commodities!C50,"R",RIGHT(OILTrade!$V$62,2))</f>
        <v>IMPDSHR</v>
      </c>
      <c r="D2147" s="365" t="str">
        <f>CONCATENATE("Import Pipeline Trade of ",Commodities!C50, " to ",$B$2145," from ",OILTrade!$N$62)</f>
        <v>Import Pipeline Trade of DSH to * from R7</v>
      </c>
      <c r="E2147" s="381" t="s">
        <v>384</v>
      </c>
      <c r="F2147" s="381" t="s">
        <v>505</v>
      </c>
    </row>
    <row r="2148" spans="2:6">
      <c r="B2148" s="365" t="str">
        <f t="shared" si="14"/>
        <v>*</v>
      </c>
      <c r="C2148" s="365" t="str">
        <f>CONCATENATE("IMP",Commodities!C51,"R",RIGHT(OILTrade!$V$62,2))</f>
        <v>IMPDSLR</v>
      </c>
      <c r="D2148" s="365" t="str">
        <f>CONCATENATE("Import Pipeline Trade of ",Commodities!C51, " to ",$B$2145," from ",OILTrade!$N$62)</f>
        <v>Import Pipeline Trade of DSL to * from R7</v>
      </c>
      <c r="E2148" s="381" t="s">
        <v>384</v>
      </c>
      <c r="F2148" s="381" t="s">
        <v>505</v>
      </c>
    </row>
    <row r="2149" spans="2:6">
      <c r="B2149" s="365" t="str">
        <f t="shared" si="14"/>
        <v>*</v>
      </c>
      <c r="C2149" s="365" t="str">
        <f>CONCATENATE("IMP",Commodities!C52,"R",RIGHT(OILTrade!$V$62,2))</f>
        <v>IMPDSUR</v>
      </c>
      <c r="D2149" s="365" t="str">
        <f>CONCATENATE("Import Pipeline Trade of ",Commodities!C52, " to ",$B$2145," from ",OILTrade!$N$62)</f>
        <v>Import Pipeline Trade of DSU to * from R7</v>
      </c>
      <c r="E2149" s="381" t="s">
        <v>384</v>
      </c>
      <c r="F2149" s="381" t="s">
        <v>505</v>
      </c>
    </row>
    <row r="2150" spans="2:6">
      <c r="B2150" s="365" t="str">
        <f t="shared" si="14"/>
        <v>*</v>
      </c>
      <c r="C2150" s="365" t="str">
        <f>CONCATENATE("IMP",Commodities!C53,"R",RIGHT(OILTrade!$V$62,2))</f>
        <v>IMPJTFR</v>
      </c>
      <c r="D2150" s="365" t="str">
        <f>CONCATENATE("Import Pipeline Trade of ",Commodities!C53, " to ",$B$2145," from ",OILTrade!$N$62)</f>
        <v>Import Pipeline Trade of JTF to * from R7</v>
      </c>
      <c r="E2150" s="381" t="s">
        <v>384</v>
      </c>
      <c r="F2150" s="381" t="s">
        <v>505</v>
      </c>
    </row>
    <row r="2151" spans="2:6">
      <c r="B2151" s="365" t="str">
        <f t="shared" si="14"/>
        <v>*</v>
      </c>
      <c r="C2151" s="365" t="str">
        <f>CONCATENATE("IMP",Commodities!C54,"R",RIGHT(OILTrade!$V$62,2))</f>
        <v>IMPKERR</v>
      </c>
      <c r="D2151" s="365" t="str">
        <f>CONCATENATE("Import Pipeline Trade of ",Commodities!C54, " to ",$B$2145," from ",OILTrade!$N$62)</f>
        <v>Import Pipeline Trade of KER to * from R7</v>
      </c>
      <c r="E2151" s="381" t="s">
        <v>384</v>
      </c>
      <c r="F2151" s="381" t="s">
        <v>505</v>
      </c>
    </row>
    <row r="2152" spans="2:6">
      <c r="B2152" s="365" t="str">
        <f t="shared" si="14"/>
        <v>*</v>
      </c>
      <c r="C2152" s="365" t="str">
        <f>CONCATENATE("IMP",Commodities!C55,"R",RIGHT(OILTrade!$V$62,2))</f>
        <v>IMPLPGR</v>
      </c>
      <c r="D2152" s="365" t="str">
        <f>CONCATENATE("Import Pipeline Trade of ",Commodities!C55, " to ",$B$2145," from ",OILTrade!$N$62)</f>
        <v>Import Pipeline Trade of LPG to * from R7</v>
      </c>
      <c r="E2152" s="381" t="s">
        <v>384</v>
      </c>
      <c r="F2152" s="381" t="s">
        <v>505</v>
      </c>
    </row>
    <row r="2153" spans="2:6">
      <c r="B2153" s="365" t="str">
        <f t="shared" si="14"/>
        <v>*</v>
      </c>
      <c r="C2153" s="365" t="str">
        <f>CONCATENATE("IMP",Commodities!C56,"R",RIGHT(OILTrade!$V$62,2))</f>
        <v>IMPMTHR</v>
      </c>
      <c r="D2153" s="365" t="str">
        <f>CONCATENATE("Import Pipeline Trade of ",Commodities!C56, " to ",$B$2145," from ",OILTrade!$N$62)</f>
        <v>Import Pipeline Trade of MTH to * from R7</v>
      </c>
      <c r="E2153" s="381" t="s">
        <v>384</v>
      </c>
      <c r="F2153" s="381" t="s">
        <v>505</v>
      </c>
    </row>
    <row r="2154" spans="2:6">
      <c r="B2154" s="365" t="str">
        <f t="shared" si="14"/>
        <v>*</v>
      </c>
      <c r="C2154" s="365" t="str">
        <f>CONCATENATE("IMP",Commodities!C57,"R",RIGHT(OILTrade!$V$62,2))</f>
        <v>IMPPFSR</v>
      </c>
      <c r="D2154" s="365" t="str">
        <f>CONCATENATE("Import Pipeline Trade of ",Commodities!C57, " to ",$B$2145," from ",OILTrade!$N$62)</f>
        <v>Import Pipeline Trade of PFS to * from R7</v>
      </c>
      <c r="E2154" s="381" t="s">
        <v>384</v>
      </c>
      <c r="F2154" s="381" t="s">
        <v>505</v>
      </c>
    </row>
    <row r="2155" spans="2:6">
      <c r="B2155" s="365" t="str">
        <f t="shared" si="14"/>
        <v>*</v>
      </c>
      <c r="C2155" s="365" t="str">
        <f>CONCATENATE("IMP",Commodities!C58,"R",RIGHT(OILTrade!$V$62,2))</f>
        <v>IMPRFHR</v>
      </c>
      <c r="D2155" s="365" t="str">
        <f>CONCATENATE("Import Pipeline Trade of ",Commodities!C58, " to ",$B$2145," from ",OILTrade!$N$62)</f>
        <v>Import Pipeline Trade of RFH to * from R7</v>
      </c>
      <c r="E2155" s="381" t="s">
        <v>384</v>
      </c>
      <c r="F2155" s="381" t="s">
        <v>505</v>
      </c>
    </row>
    <row r="2156" spans="2:6">
      <c r="B2156" s="365" t="str">
        <f t="shared" si="14"/>
        <v>*</v>
      </c>
      <c r="C2156" s="365" t="str">
        <f>CONCATENATE("IMP",Commodities!C59,"R",RIGHT(OILTrade!$V$62,2))</f>
        <v>IMPRFLR</v>
      </c>
      <c r="D2156" s="365" t="str">
        <f>CONCATENATE("Import Pipeline Trade of ",Commodities!C59, " to ",$B$2145," from ",OILTrade!$N$62)</f>
        <v>Import Pipeline Trade of RFL to * from R7</v>
      </c>
      <c r="E2156" s="381" t="s">
        <v>384</v>
      </c>
      <c r="F2156" s="381" t="s">
        <v>505</v>
      </c>
    </row>
    <row r="2157" spans="2:6">
      <c r="B2157" s="365" t="str">
        <f t="shared" si="14"/>
        <v>*</v>
      </c>
      <c r="C2157" s="365" t="str">
        <f>CONCATENATE("IMP",Commodities!C60,"R",RIGHT(OILTrade!$V$62,2))</f>
        <v>IMPASPR</v>
      </c>
      <c r="D2157" s="365" t="str">
        <f>CONCATENATE("Import Pipeline Trade of ",Commodities!C60, " to ",$B$2145," from ",OILTrade!$N$62)</f>
        <v>Import Pipeline Trade of ASP to * from R7</v>
      </c>
      <c r="E2157" s="381" t="s">
        <v>384</v>
      </c>
      <c r="F2157" s="381" t="s">
        <v>505</v>
      </c>
    </row>
    <row r="2158" spans="2:6">
      <c r="B2158" s="365" t="str">
        <f t="shared" si="14"/>
        <v>*</v>
      </c>
      <c r="C2158" s="365" t="str">
        <f>CONCATENATE("IMP",Commodities!C48,"R",RIGHT(OILTrade!$R$63,2))</f>
        <v>IMPGSCR</v>
      </c>
      <c r="D2158" s="365" t="str">
        <f>CONCATENATE("Import Pipeline Trade of ",Commodities!C48, " to ",$B$2158," from ",OILTrade!$N$63)</f>
        <v>Import Pipeline Trade of GSC to * from R8</v>
      </c>
      <c r="E2158" s="381" t="s">
        <v>384</v>
      </c>
      <c r="F2158" s="381" t="s">
        <v>505</v>
      </c>
    </row>
    <row r="2159" spans="2:6">
      <c r="B2159" s="365" t="str">
        <f t="shared" si="14"/>
        <v>*</v>
      </c>
      <c r="C2159" s="365" t="str">
        <f>CONCATENATE("IMP",Commodities!C49,"R",RIGHT(OILTrade!$R$63,2))</f>
        <v>IMPGSRR</v>
      </c>
      <c r="D2159" s="365" t="str">
        <f>CONCATENATE("Import Pipeline Trade of ",Commodities!C49, " to ",$B$2158," from ",OILTrade!$N$63)</f>
        <v>Import Pipeline Trade of GSR to * from R8</v>
      </c>
      <c r="E2159" s="381" t="s">
        <v>384</v>
      </c>
      <c r="F2159" s="381" t="s">
        <v>505</v>
      </c>
    </row>
    <row r="2160" spans="2:6">
      <c r="B2160" s="365" t="str">
        <f t="shared" si="14"/>
        <v>*</v>
      </c>
      <c r="C2160" s="365" t="str">
        <f>CONCATENATE("IMP",Commodities!C50,"R",RIGHT(OILTrade!$R$63,2))</f>
        <v>IMPDSHR</v>
      </c>
      <c r="D2160" s="365" t="str">
        <f>CONCATENATE("Import Pipeline Trade of ",Commodities!C50, " to ",$B$2158," from ",OILTrade!$N$63)</f>
        <v>Import Pipeline Trade of DSH to * from R8</v>
      </c>
      <c r="E2160" s="381" t="s">
        <v>384</v>
      </c>
      <c r="F2160" s="381" t="s">
        <v>505</v>
      </c>
    </row>
    <row r="2161" spans="2:6">
      <c r="B2161" s="365" t="str">
        <f t="shared" si="14"/>
        <v>*</v>
      </c>
      <c r="C2161" s="365" t="str">
        <f>CONCATENATE("IMP",Commodities!C51,"R",RIGHT(OILTrade!$R$63,2))</f>
        <v>IMPDSLR</v>
      </c>
      <c r="D2161" s="365" t="str">
        <f>CONCATENATE("Import Pipeline Trade of ",Commodities!C51, " to ",$B$2158," from ",OILTrade!$N$63)</f>
        <v>Import Pipeline Trade of DSL to * from R8</v>
      </c>
      <c r="E2161" s="381" t="s">
        <v>384</v>
      </c>
      <c r="F2161" s="381" t="s">
        <v>505</v>
      </c>
    </row>
    <row r="2162" spans="2:6">
      <c r="B2162" s="365" t="str">
        <f t="shared" si="14"/>
        <v>*</v>
      </c>
      <c r="C2162" s="365" t="str">
        <f>CONCATENATE("IMP",Commodities!C52,"R",RIGHT(OILTrade!$R$63,2))</f>
        <v>IMPDSUR</v>
      </c>
      <c r="D2162" s="365" t="str">
        <f>CONCATENATE("Import Pipeline Trade of ",Commodities!C52, " to ",$B$2158," from ",OILTrade!$N$63)</f>
        <v>Import Pipeline Trade of DSU to * from R8</v>
      </c>
      <c r="E2162" s="381" t="s">
        <v>384</v>
      </c>
      <c r="F2162" s="381" t="s">
        <v>505</v>
      </c>
    </row>
    <row r="2163" spans="2:6">
      <c r="B2163" s="365" t="str">
        <f t="shared" si="14"/>
        <v>*</v>
      </c>
      <c r="C2163" s="365" t="str">
        <f>CONCATENATE("IMP",Commodities!C53,"R",RIGHT(OILTrade!$R$63,2))</f>
        <v>IMPJTFR</v>
      </c>
      <c r="D2163" s="365" t="str">
        <f>CONCATENATE("Import Pipeline Trade of ",Commodities!C53, " to ",$B$2158," from ",OILTrade!$N$63)</f>
        <v>Import Pipeline Trade of JTF to * from R8</v>
      </c>
      <c r="E2163" s="381" t="s">
        <v>384</v>
      </c>
      <c r="F2163" s="381" t="s">
        <v>505</v>
      </c>
    </row>
    <row r="2164" spans="2:6">
      <c r="B2164" s="365" t="str">
        <f t="shared" si="14"/>
        <v>*</v>
      </c>
      <c r="C2164" s="365" t="str">
        <f>CONCATENATE("IMP",Commodities!C54,"R",RIGHT(OILTrade!$R$63,2))</f>
        <v>IMPKERR</v>
      </c>
      <c r="D2164" s="365" t="str">
        <f>CONCATENATE("Import Pipeline Trade of ",Commodities!C54, " to ",$B$2158," from ",OILTrade!$N$63)</f>
        <v>Import Pipeline Trade of KER to * from R8</v>
      </c>
      <c r="E2164" s="381" t="s">
        <v>384</v>
      </c>
      <c r="F2164" s="381" t="s">
        <v>505</v>
      </c>
    </row>
    <row r="2165" spans="2:6">
      <c r="B2165" s="365" t="str">
        <f t="shared" si="14"/>
        <v>*</v>
      </c>
      <c r="C2165" s="365" t="str">
        <f>CONCATENATE("IMP",Commodities!C55,"R",RIGHT(OILTrade!$R$63,2))</f>
        <v>IMPLPGR</v>
      </c>
      <c r="D2165" s="365" t="str">
        <f>CONCATENATE("Import Pipeline Trade of ",Commodities!C55, " to ",$B$2158," from ",OILTrade!$N$63)</f>
        <v>Import Pipeline Trade of LPG to * from R8</v>
      </c>
      <c r="E2165" s="381" t="s">
        <v>384</v>
      </c>
      <c r="F2165" s="381" t="s">
        <v>505</v>
      </c>
    </row>
    <row r="2166" spans="2:6">
      <c r="B2166" s="365" t="str">
        <f t="shared" si="14"/>
        <v>*</v>
      </c>
      <c r="C2166" s="365" t="str">
        <f>CONCATENATE("IMP",Commodities!C56,"R",RIGHT(OILTrade!$R$63,2))</f>
        <v>IMPMTHR</v>
      </c>
      <c r="D2166" s="365" t="str">
        <f>CONCATENATE("Import Pipeline Trade of ",Commodities!C56, " to ",$B$2158," from ",OILTrade!$N$63)</f>
        <v>Import Pipeline Trade of MTH to * from R8</v>
      </c>
      <c r="E2166" s="381" t="s">
        <v>384</v>
      </c>
      <c r="F2166" s="381" t="s">
        <v>505</v>
      </c>
    </row>
    <row r="2167" spans="2:6">
      <c r="B2167" s="365" t="str">
        <f t="shared" si="14"/>
        <v>*</v>
      </c>
      <c r="C2167" s="365" t="str">
        <f>CONCATENATE("IMP",Commodities!C57,"R",RIGHT(OILTrade!$R$63,2))</f>
        <v>IMPPFSR</v>
      </c>
      <c r="D2167" s="365" t="str">
        <f>CONCATENATE("Import Pipeline Trade of ",Commodities!C57, " to ",$B$2158," from ",OILTrade!$N$63)</f>
        <v>Import Pipeline Trade of PFS to * from R8</v>
      </c>
      <c r="E2167" s="381" t="s">
        <v>384</v>
      </c>
      <c r="F2167" s="381" t="s">
        <v>505</v>
      </c>
    </row>
    <row r="2168" spans="2:6">
      <c r="B2168" s="365" t="str">
        <f t="shared" si="14"/>
        <v>*</v>
      </c>
      <c r="C2168" s="365" t="str">
        <f>CONCATENATE("IMP",Commodities!C58,"R",RIGHT(OILTrade!$R$63,2))</f>
        <v>IMPRFHR</v>
      </c>
      <c r="D2168" s="365" t="str">
        <f>CONCATENATE("Import Pipeline Trade of ",Commodities!C58, " to ",$B$2158," from ",OILTrade!$N$63)</f>
        <v>Import Pipeline Trade of RFH to * from R8</v>
      </c>
      <c r="E2168" s="381" t="s">
        <v>384</v>
      </c>
      <c r="F2168" s="381" t="s">
        <v>505</v>
      </c>
    </row>
    <row r="2169" spans="2:6">
      <c r="B2169" s="365" t="str">
        <f t="shared" si="14"/>
        <v>*</v>
      </c>
      <c r="C2169" s="365" t="str">
        <f>CONCATENATE("IMP",Commodities!C59,"R",RIGHT(OILTrade!$R$63,2))</f>
        <v>IMPRFLR</v>
      </c>
      <c r="D2169" s="365" t="str">
        <f>CONCATENATE("Import Pipeline Trade of ",Commodities!C59, " to ",$B$2158," from ",OILTrade!$N$63)</f>
        <v>Import Pipeline Trade of RFL to * from R8</v>
      </c>
      <c r="E2169" s="381" t="s">
        <v>384</v>
      </c>
      <c r="F2169" s="381" t="s">
        <v>505</v>
      </c>
    </row>
    <row r="2170" spans="2:6">
      <c r="B2170" s="365" t="str">
        <f t="shared" si="14"/>
        <v>*</v>
      </c>
      <c r="C2170" s="365" t="str">
        <f>CONCATENATE("IMP",Commodities!C60,"R",RIGHT(OILTrade!$R$63,2))</f>
        <v>IMPASPR</v>
      </c>
      <c r="D2170" s="365" t="str">
        <f>CONCATENATE("Import Pipeline Trade of ",Commodities!C60, " to ",$B$2158," from ",OILTrade!$N$63)</f>
        <v>Import Pipeline Trade of ASP to * from R8</v>
      </c>
      <c r="E2170" s="381" t="s">
        <v>384</v>
      </c>
      <c r="F2170" s="381" t="s">
        <v>505</v>
      </c>
    </row>
    <row r="2171" spans="2:6">
      <c r="B2171" s="365" t="str">
        <f t="shared" si="14"/>
        <v>*</v>
      </c>
      <c r="C2171" s="365" t="str">
        <f>CONCATENATE("IMP",Commodities!C48,"R",RIGHT(OILTrade!$W$63,2))</f>
        <v>IMPGSCR</v>
      </c>
      <c r="D2171" s="365" t="str">
        <f>CONCATENATE("Import Pipeline Trade of ",Commodities!C48, " to ",$B$2171," from ",OILTrade!$N$63)</f>
        <v>Import Pipeline Trade of GSC to * from R8</v>
      </c>
      <c r="E2171" s="381" t="s">
        <v>384</v>
      </c>
      <c r="F2171" s="381" t="s">
        <v>505</v>
      </c>
    </row>
    <row r="2172" spans="2:6">
      <c r="B2172" s="365" t="str">
        <f t="shared" si="14"/>
        <v>*</v>
      </c>
      <c r="C2172" s="365" t="str">
        <f>CONCATENATE("IMP",Commodities!C49,"R",RIGHT(OILTrade!$W$63,2))</f>
        <v>IMPGSRR</v>
      </c>
      <c r="D2172" s="365" t="str">
        <f>CONCATENATE("Import Pipeline Trade of ",Commodities!C49, " to ",$B$2171," from ",OILTrade!$N$63)</f>
        <v>Import Pipeline Trade of GSR to * from R8</v>
      </c>
      <c r="E2172" s="381" t="s">
        <v>384</v>
      </c>
      <c r="F2172" s="381" t="s">
        <v>505</v>
      </c>
    </row>
    <row r="2173" spans="2:6">
      <c r="B2173" s="365" t="str">
        <f t="shared" si="14"/>
        <v>*</v>
      </c>
      <c r="C2173" s="365" t="str">
        <f>CONCATENATE("IMP",Commodities!C50,"R",RIGHT(OILTrade!$W$63,2))</f>
        <v>IMPDSHR</v>
      </c>
      <c r="D2173" s="365" t="str">
        <f>CONCATENATE("Import Pipeline Trade of ",Commodities!C50, " to ",$B$2171," from ",OILTrade!$N$63)</f>
        <v>Import Pipeline Trade of DSH to * from R8</v>
      </c>
      <c r="E2173" s="381" t="s">
        <v>384</v>
      </c>
      <c r="F2173" s="381" t="s">
        <v>505</v>
      </c>
    </row>
    <row r="2174" spans="2:6">
      <c r="B2174" s="365" t="str">
        <f t="shared" si="14"/>
        <v>*</v>
      </c>
      <c r="C2174" s="365" t="str">
        <f>CONCATENATE("IMP",Commodities!C51,"R",RIGHT(OILTrade!$W$63,2))</f>
        <v>IMPDSLR</v>
      </c>
      <c r="D2174" s="365" t="str">
        <f>CONCATENATE("Import Pipeline Trade of ",Commodities!C51, " to ",$B$2171," from ",OILTrade!$N$63)</f>
        <v>Import Pipeline Trade of DSL to * from R8</v>
      </c>
      <c r="E2174" s="381" t="s">
        <v>384</v>
      </c>
      <c r="F2174" s="381" t="s">
        <v>505</v>
      </c>
    </row>
    <row r="2175" spans="2:6">
      <c r="B2175" s="365" t="str">
        <f t="shared" si="14"/>
        <v>*</v>
      </c>
      <c r="C2175" s="365" t="str">
        <f>CONCATENATE("IMP",Commodities!C52,"R",RIGHT(OILTrade!$W$63,2))</f>
        <v>IMPDSUR</v>
      </c>
      <c r="D2175" s="365" t="str">
        <f>CONCATENATE("Import Pipeline Trade of ",Commodities!C52, " to ",$B$2171," from ",OILTrade!$N$63)</f>
        <v>Import Pipeline Trade of DSU to * from R8</v>
      </c>
      <c r="E2175" s="381" t="s">
        <v>384</v>
      </c>
      <c r="F2175" s="381" t="s">
        <v>505</v>
      </c>
    </row>
    <row r="2176" spans="2:6">
      <c r="B2176" s="365" t="str">
        <f t="shared" si="14"/>
        <v>*</v>
      </c>
      <c r="C2176" s="365" t="str">
        <f>CONCATENATE("IMP",Commodities!C53,"R",RIGHT(OILTrade!$W$63,2))</f>
        <v>IMPJTFR</v>
      </c>
      <c r="D2176" s="365" t="str">
        <f>CONCATENATE("Import Pipeline Trade of ",Commodities!C53, " to ",$B$2171," from ",OILTrade!$N$63)</f>
        <v>Import Pipeline Trade of JTF to * from R8</v>
      </c>
      <c r="E2176" s="381" t="s">
        <v>384</v>
      </c>
      <c r="F2176" s="381" t="s">
        <v>505</v>
      </c>
    </row>
    <row r="2177" spans="2:6">
      <c r="B2177" s="365" t="str">
        <f t="shared" si="14"/>
        <v>*</v>
      </c>
      <c r="C2177" s="365" t="str">
        <f>CONCATENATE("IMP",Commodities!C54,"R",RIGHT(OILTrade!$W$63,2))</f>
        <v>IMPKERR</v>
      </c>
      <c r="D2177" s="365" t="str">
        <f>CONCATENATE("Import Pipeline Trade of ",Commodities!C54, " to ",$B$2171," from ",OILTrade!$N$63)</f>
        <v>Import Pipeline Trade of KER to * from R8</v>
      </c>
      <c r="E2177" s="381" t="s">
        <v>384</v>
      </c>
      <c r="F2177" s="381" t="s">
        <v>505</v>
      </c>
    </row>
    <row r="2178" spans="2:6">
      <c r="B2178" s="365" t="str">
        <f t="shared" si="14"/>
        <v>*</v>
      </c>
      <c r="C2178" s="365" t="str">
        <f>CONCATENATE("IMP",Commodities!C55,"R",RIGHT(OILTrade!$W$63,2))</f>
        <v>IMPLPGR</v>
      </c>
      <c r="D2178" s="365" t="str">
        <f>CONCATENATE("Import Pipeline Trade of ",Commodities!C55, " to ",$B$2171," from ",OILTrade!$N$63)</f>
        <v>Import Pipeline Trade of LPG to * from R8</v>
      </c>
      <c r="E2178" s="381" t="s">
        <v>384</v>
      </c>
      <c r="F2178" s="381" t="s">
        <v>505</v>
      </c>
    </row>
    <row r="2179" spans="2:6">
      <c r="B2179" s="365" t="str">
        <f t="shared" si="14"/>
        <v>*</v>
      </c>
      <c r="C2179" s="365" t="str">
        <f>CONCATENATE("IMP",Commodities!C56,"R",RIGHT(OILTrade!$W$63,2))</f>
        <v>IMPMTHR</v>
      </c>
      <c r="D2179" s="365" t="str">
        <f>CONCATENATE("Import Pipeline Trade of ",Commodities!C56, " to ",$B$2171," from ",OILTrade!$N$63)</f>
        <v>Import Pipeline Trade of MTH to * from R8</v>
      </c>
      <c r="E2179" s="381" t="s">
        <v>384</v>
      </c>
      <c r="F2179" s="381" t="s">
        <v>505</v>
      </c>
    </row>
    <row r="2180" spans="2:6">
      <c r="B2180" s="365" t="str">
        <f t="shared" ref="B2180:B2183" si="15">IF(LEFT(B1541,1)="*","*",CONCATENATE("R",RIGHT(C2180,1)))</f>
        <v>*</v>
      </c>
      <c r="C2180" s="365" t="str">
        <f>CONCATENATE("IMP",Commodities!C57,"R",RIGHT(OILTrade!$W$63,2))</f>
        <v>IMPPFSR</v>
      </c>
      <c r="D2180" s="365" t="str">
        <f>CONCATENATE("Import Pipeline Trade of ",Commodities!C57, " to ",$B$2171," from ",OILTrade!$N$63)</f>
        <v>Import Pipeline Trade of PFS to * from R8</v>
      </c>
      <c r="E2180" s="381" t="s">
        <v>384</v>
      </c>
      <c r="F2180" s="381" t="s">
        <v>505</v>
      </c>
    </row>
    <row r="2181" spans="2:6">
      <c r="B2181" s="365" t="str">
        <f t="shared" si="15"/>
        <v>*</v>
      </c>
      <c r="C2181" s="365" t="str">
        <f>CONCATENATE("IMP",Commodities!C58,"R",RIGHT(OILTrade!$W$63,2))</f>
        <v>IMPRFHR</v>
      </c>
      <c r="D2181" s="365" t="str">
        <f>CONCATENATE("Import Pipeline Trade of ",Commodities!C58, " to ",$B$2171," from ",OILTrade!$N$63)</f>
        <v>Import Pipeline Trade of RFH to * from R8</v>
      </c>
      <c r="E2181" s="381" t="s">
        <v>384</v>
      </c>
      <c r="F2181" s="381" t="s">
        <v>505</v>
      </c>
    </row>
    <row r="2182" spans="2:6">
      <c r="B2182" s="365" t="str">
        <f t="shared" si="15"/>
        <v>*</v>
      </c>
      <c r="C2182" s="365" t="str">
        <f>CONCATENATE("IMP",Commodities!C59,"R",RIGHT(OILTrade!$W$63,2))</f>
        <v>IMPRFLR</v>
      </c>
      <c r="D2182" s="365" t="str">
        <f>CONCATENATE("Import Pipeline Trade of ",Commodities!C59, " to ",$B$2171," from ",OILTrade!$N$63)</f>
        <v>Import Pipeline Trade of RFL to * from R8</v>
      </c>
      <c r="E2182" s="381" t="s">
        <v>384</v>
      </c>
      <c r="F2182" s="381" t="s">
        <v>505</v>
      </c>
    </row>
    <row r="2183" spans="2:6">
      <c r="B2183" s="365" t="str">
        <f t="shared" si="15"/>
        <v>*</v>
      </c>
      <c r="C2183" s="365" t="str">
        <f>CONCATENATE("IMP",Commodities!C60,"R",RIGHT(OILTrade!$W$63,2))</f>
        <v>IMPASPR</v>
      </c>
      <c r="D2183" s="365" t="str">
        <f>CONCATENATE("Import Pipeline Trade of ",Commodities!C60, " to ",$B$2171," from ",OILTrade!$N$63)</f>
        <v>Import Pipeline Trade of ASP to * from R8</v>
      </c>
      <c r="E2183" s="381" t="s">
        <v>384</v>
      </c>
      <c r="F2183" s="381" t="s">
        <v>505</v>
      </c>
    </row>
    <row r="2184" spans="2:6">
      <c r="B2184" s="365" t="s">
        <v>580</v>
      </c>
    </row>
    <row r="2185" spans="2:6">
      <c r="B2185" s="365" t="s">
        <v>1091</v>
      </c>
      <c r="C2185" s="365" t="str">
        <f>CONCATENATE("IMP",Commodities!C48,"BR",RIGHT(OILTrade!$O$75,2))</f>
        <v>IMPGSCBR</v>
      </c>
      <c r="D2185" s="365" t="str">
        <f>CONCATENATE("Import Barge/Vessel Trade of ",Commodities!C48, " to ",$B$2185," from ",OILTrade!$N$75)</f>
        <v>Import Barge/Vessel Trade of GSC to *R1 from R6</v>
      </c>
      <c r="E2185" s="381" t="s">
        <v>384</v>
      </c>
      <c r="F2185" s="381" t="s">
        <v>505</v>
      </c>
    </row>
    <row r="2186" spans="2:6">
      <c r="B2186" s="365" t="s">
        <v>1091</v>
      </c>
      <c r="C2186" s="365" t="str">
        <f>CONCATENATE("IMP",Commodities!C49,"BR",RIGHT(OILTrade!$O$75,2))</f>
        <v>IMPGSRBR</v>
      </c>
      <c r="D2186" s="365" t="str">
        <f>CONCATENATE("Import Barge/Vessel Trade of ",Commodities!C49, " to ",$B$2185," from ",OILTrade!$N$75)</f>
        <v>Import Barge/Vessel Trade of GSR to *R1 from R6</v>
      </c>
      <c r="E2186" s="381" t="s">
        <v>384</v>
      </c>
      <c r="F2186" s="381" t="s">
        <v>505</v>
      </c>
    </row>
    <row r="2187" spans="2:6">
      <c r="B2187" s="365" t="s">
        <v>1091</v>
      </c>
      <c r="C2187" s="365" t="str">
        <f>CONCATENATE("IMP",Commodities!C50,"BR",RIGHT(OILTrade!$O$75,2))</f>
        <v>IMPDSHBR</v>
      </c>
      <c r="D2187" s="365" t="str">
        <f>CONCATENATE("Import Barge/Vessel Trade of ",Commodities!C50, " to ",$B$2185," from ",OILTrade!$N$75)</f>
        <v>Import Barge/Vessel Trade of DSH to *R1 from R6</v>
      </c>
      <c r="E2187" s="381" t="s">
        <v>384</v>
      </c>
      <c r="F2187" s="381" t="s">
        <v>505</v>
      </c>
    </row>
    <row r="2188" spans="2:6">
      <c r="B2188" s="365" t="s">
        <v>1091</v>
      </c>
      <c r="C2188" s="365" t="str">
        <f>CONCATENATE("IMP",Commodities!C51,"BR",RIGHT(OILTrade!$O$75,2))</f>
        <v>IMPDSLBR</v>
      </c>
      <c r="D2188" s="365" t="str">
        <f>CONCATENATE("Import Barge/Vessel Trade of ",Commodities!C51, " to ",$B$2185," from ",OILTrade!$N$75)</f>
        <v>Import Barge/Vessel Trade of DSL to *R1 from R6</v>
      </c>
      <c r="E2188" s="381" t="s">
        <v>384</v>
      </c>
      <c r="F2188" s="381" t="s">
        <v>505</v>
      </c>
    </row>
    <row r="2189" spans="2:6">
      <c r="B2189" s="365" t="s">
        <v>1091</v>
      </c>
      <c r="C2189" s="365" t="str">
        <f>CONCATENATE("IMP",Commodities!C52,"BR",RIGHT(OILTrade!$O$75,2))</f>
        <v>IMPDSUBR</v>
      </c>
      <c r="D2189" s="365" t="str">
        <f>CONCATENATE("Import Barge/Vessel Trade of ",Commodities!C52, " to ",$B$2185," from ",OILTrade!$N$75)</f>
        <v>Import Barge/Vessel Trade of DSU to *R1 from R6</v>
      </c>
      <c r="E2189" s="381" t="s">
        <v>384</v>
      </c>
      <c r="F2189" s="381" t="s">
        <v>505</v>
      </c>
    </row>
    <row r="2190" spans="2:6">
      <c r="B2190" s="365" t="s">
        <v>1091</v>
      </c>
      <c r="C2190" s="365" t="str">
        <f>CONCATENATE("IMP",Commodities!C53,"BR",RIGHT(OILTrade!$O$75,2))</f>
        <v>IMPJTFBR</v>
      </c>
      <c r="D2190" s="365" t="str">
        <f>CONCATENATE("Import Barge/Vessel Trade of ",Commodities!C53, " to ",$B$2185," from ",OILTrade!$N$75)</f>
        <v>Import Barge/Vessel Trade of JTF to *R1 from R6</v>
      </c>
      <c r="E2190" s="381" t="s">
        <v>384</v>
      </c>
      <c r="F2190" s="381" t="s">
        <v>505</v>
      </c>
    </row>
    <row r="2191" spans="2:6">
      <c r="B2191" s="365" t="s">
        <v>1091</v>
      </c>
      <c r="C2191" s="365" t="str">
        <f>CONCATENATE("IMP",Commodities!C54,"BR",RIGHT(OILTrade!$O$75,2))</f>
        <v>IMPKERBR</v>
      </c>
      <c r="D2191" s="365" t="str">
        <f>CONCATENATE("Import Barge/Vessel Trade of ",Commodities!C54, " to ",$B$2185," from ",OILTrade!$N$75)</f>
        <v>Import Barge/Vessel Trade of KER to *R1 from R6</v>
      </c>
      <c r="E2191" s="381" t="s">
        <v>384</v>
      </c>
      <c r="F2191" s="381" t="s">
        <v>505</v>
      </c>
    </row>
    <row r="2192" spans="2:6">
      <c r="B2192" s="365" t="s">
        <v>1091</v>
      </c>
      <c r="C2192" s="365" t="str">
        <f>CONCATENATE("IMP",Commodities!C55,"BR",RIGHT(OILTrade!$O$75,2))</f>
        <v>IMPLPGBR</v>
      </c>
      <c r="D2192" s="365" t="str">
        <f>CONCATENATE("Import Barge/Vessel Trade of ",Commodities!C55, " to ",$B$2185," from ",OILTrade!$N$75)</f>
        <v>Import Barge/Vessel Trade of LPG to *R1 from R6</v>
      </c>
      <c r="E2192" s="381" t="s">
        <v>384</v>
      </c>
      <c r="F2192" s="381" t="s">
        <v>505</v>
      </c>
    </row>
    <row r="2193" spans="2:6">
      <c r="B2193" s="365" t="s">
        <v>1091</v>
      </c>
      <c r="C2193" s="365" t="str">
        <f>CONCATENATE("IMP",Commodities!C56,"BR",RIGHT(OILTrade!$O$75,2))</f>
        <v>IMPMTHBR</v>
      </c>
      <c r="D2193" s="365" t="str">
        <f>CONCATENATE("Import Barge/Vessel Trade of ",Commodities!C56, " to ",$B$2185," from ",OILTrade!$N$75)</f>
        <v>Import Barge/Vessel Trade of MTH to *R1 from R6</v>
      </c>
      <c r="E2193" s="381" t="s">
        <v>384</v>
      </c>
      <c r="F2193" s="381" t="s">
        <v>505</v>
      </c>
    </row>
    <row r="2194" spans="2:6">
      <c r="B2194" s="365" t="s">
        <v>1091</v>
      </c>
      <c r="C2194" s="365" t="str">
        <f>CONCATENATE("IMP",Commodities!C57,"BR",RIGHT(OILTrade!$O$75,2))</f>
        <v>IMPPFSBR</v>
      </c>
      <c r="D2194" s="365" t="str">
        <f>CONCATENATE("Import Barge/Vessel Trade of ",Commodities!C57, " to ",$B$2185," from ",OILTrade!$N$75)</f>
        <v>Import Barge/Vessel Trade of PFS to *R1 from R6</v>
      </c>
      <c r="E2194" s="381" t="s">
        <v>384</v>
      </c>
      <c r="F2194" s="381" t="s">
        <v>505</v>
      </c>
    </row>
    <row r="2195" spans="2:6">
      <c r="B2195" s="365" t="s">
        <v>1091</v>
      </c>
      <c r="C2195" s="365" t="str">
        <f>CONCATENATE("IMP",Commodities!C58,"BR",RIGHT(OILTrade!$O$75,2))</f>
        <v>IMPRFHBR</v>
      </c>
      <c r="D2195" s="365" t="str">
        <f>CONCATENATE("Import Barge/Vessel Trade of ",Commodities!C58, " to ",$B$2185," from ",OILTrade!$N$75)</f>
        <v>Import Barge/Vessel Trade of RFH to *R1 from R6</v>
      </c>
      <c r="E2195" s="381" t="s">
        <v>384</v>
      </c>
      <c r="F2195" s="381" t="s">
        <v>505</v>
      </c>
    </row>
    <row r="2196" spans="2:6">
      <c r="B2196" s="365" t="s">
        <v>1091</v>
      </c>
      <c r="C2196" s="365" t="str">
        <f>CONCATENATE("IMP",Commodities!C59,"BR",RIGHT(OILTrade!$O$75,2))</f>
        <v>IMPRFLBR</v>
      </c>
      <c r="D2196" s="365" t="str">
        <f>CONCATENATE("Import Barge/Vessel Trade of ",Commodities!C59, " to ",$B$2185," from ",OILTrade!$N$75)</f>
        <v>Import Barge/Vessel Trade of RFL to *R1 from R6</v>
      </c>
      <c r="E2196" s="381" t="s">
        <v>384</v>
      </c>
      <c r="F2196" s="381" t="s">
        <v>505</v>
      </c>
    </row>
    <row r="2197" spans="2:6">
      <c r="B2197" s="365" t="s">
        <v>1091</v>
      </c>
      <c r="C2197" s="365" t="str">
        <f>CONCATENATE("IMP",Commodities!C60,"BR",RIGHT(OILTrade!$O$75,2))</f>
        <v>IMPASPBR</v>
      </c>
      <c r="D2197" s="365" t="str">
        <f>CONCATENATE("Import Barge/Vessel Trade of ",Commodities!C60, " to ",$B$2185," from ",OILTrade!$N$75)</f>
        <v>Import Barge/Vessel Trade of ASP to *R1 from R6</v>
      </c>
      <c r="E2197" s="381" t="s">
        <v>384</v>
      </c>
      <c r="F2197" s="381" t="s">
        <v>505</v>
      </c>
    </row>
    <row r="2198" spans="2:6">
      <c r="B2198" s="365" t="s">
        <v>1091</v>
      </c>
      <c r="C2198" s="365" t="str">
        <f>CONCATENATE("IMP",Commodities!C48,"BR",RIGHT(OILTrade!$O$76,2))</f>
        <v>IMPGSCBR</v>
      </c>
      <c r="D2198" s="365" t="str">
        <f>CONCATENATE("Import Barge/Vessel Trade of ",Commodities!C48, " to ",$B$2198," from ",OILTrade!$N$76)</f>
        <v>Import Barge/Vessel Trade of GSC to *R1 from R7</v>
      </c>
      <c r="E2198" s="381" t="s">
        <v>384</v>
      </c>
      <c r="F2198" s="381" t="s">
        <v>505</v>
      </c>
    </row>
    <row r="2199" spans="2:6">
      <c r="B2199" s="365" t="s">
        <v>1091</v>
      </c>
      <c r="C2199" s="365" t="str">
        <f>CONCATENATE("IMP",Commodities!C49,"BR",RIGHT(OILTrade!$O$76,2))</f>
        <v>IMPGSRBR</v>
      </c>
      <c r="D2199" s="365" t="str">
        <f>CONCATENATE("Import Barge/Vessel Trade of ",Commodities!C49, " to ",$B$2198," from ",OILTrade!$N$76)</f>
        <v>Import Barge/Vessel Trade of GSR to *R1 from R7</v>
      </c>
      <c r="E2199" s="381" t="s">
        <v>384</v>
      </c>
      <c r="F2199" s="381" t="s">
        <v>505</v>
      </c>
    </row>
    <row r="2200" spans="2:6">
      <c r="B2200" s="365" t="s">
        <v>1091</v>
      </c>
      <c r="C2200" s="365" t="str">
        <f>CONCATENATE("IMP",Commodities!C50,"BR",RIGHT(OILTrade!$O$76,2))</f>
        <v>IMPDSHBR</v>
      </c>
      <c r="D2200" s="365" t="str">
        <f>CONCATENATE("Import Barge/Vessel Trade of ",Commodities!C50, " to ",$B$2198," from ",OILTrade!$N$76)</f>
        <v>Import Barge/Vessel Trade of DSH to *R1 from R7</v>
      </c>
      <c r="E2200" s="381" t="s">
        <v>384</v>
      </c>
      <c r="F2200" s="381" t="s">
        <v>505</v>
      </c>
    </row>
    <row r="2201" spans="2:6">
      <c r="B2201" s="365" t="s">
        <v>1091</v>
      </c>
      <c r="C2201" s="365" t="str">
        <f>CONCATENATE("IMP",Commodities!C51,"BR",RIGHT(OILTrade!$O$76,2))</f>
        <v>IMPDSLBR</v>
      </c>
      <c r="D2201" s="365" t="str">
        <f>CONCATENATE("Import Barge/Vessel Trade of ",Commodities!C51, " to ",$B$2198," from ",OILTrade!$N$76)</f>
        <v>Import Barge/Vessel Trade of DSL to *R1 from R7</v>
      </c>
      <c r="E2201" s="381" t="s">
        <v>384</v>
      </c>
      <c r="F2201" s="381" t="s">
        <v>505</v>
      </c>
    </row>
    <row r="2202" spans="2:6">
      <c r="B2202" s="365" t="s">
        <v>1091</v>
      </c>
      <c r="C2202" s="365" t="str">
        <f>CONCATENATE("IMP",Commodities!C52,"BR",RIGHT(OILTrade!$O$76,2))</f>
        <v>IMPDSUBR</v>
      </c>
      <c r="D2202" s="365" t="str">
        <f>CONCATENATE("Import Barge/Vessel Trade of ",Commodities!C52, " to ",$B$2198," from ",OILTrade!$N$76)</f>
        <v>Import Barge/Vessel Trade of DSU to *R1 from R7</v>
      </c>
      <c r="E2202" s="381" t="s">
        <v>384</v>
      </c>
      <c r="F2202" s="381" t="s">
        <v>505</v>
      </c>
    </row>
    <row r="2203" spans="2:6">
      <c r="B2203" s="365" t="s">
        <v>1091</v>
      </c>
      <c r="C2203" s="365" t="str">
        <f>CONCATENATE("IMP",Commodities!C53,"BR",RIGHT(OILTrade!$O$76,2))</f>
        <v>IMPJTFBR</v>
      </c>
      <c r="D2203" s="365" t="str">
        <f>CONCATENATE("Import Barge/Vessel Trade of ",Commodities!C53, " to ",$B$2198," from ",OILTrade!$N$76)</f>
        <v>Import Barge/Vessel Trade of JTF to *R1 from R7</v>
      </c>
      <c r="E2203" s="381" t="s">
        <v>384</v>
      </c>
      <c r="F2203" s="381" t="s">
        <v>505</v>
      </c>
    </row>
    <row r="2204" spans="2:6">
      <c r="B2204" s="365" t="s">
        <v>1091</v>
      </c>
      <c r="C2204" s="365" t="str">
        <f>CONCATENATE("IMP",Commodities!C54,"BR",RIGHT(OILTrade!$O$76,2))</f>
        <v>IMPKERBR</v>
      </c>
      <c r="D2204" s="365" t="str">
        <f>CONCATENATE("Import Barge/Vessel Trade of ",Commodities!C54, " to ",$B$2198," from ",OILTrade!$N$76)</f>
        <v>Import Barge/Vessel Trade of KER to *R1 from R7</v>
      </c>
      <c r="E2204" s="381" t="s">
        <v>384</v>
      </c>
      <c r="F2204" s="381" t="s">
        <v>505</v>
      </c>
    </row>
    <row r="2205" spans="2:6">
      <c r="B2205" s="365" t="s">
        <v>1091</v>
      </c>
      <c r="C2205" s="365" t="str">
        <f>CONCATENATE("IMP",Commodities!C55,"BR",RIGHT(OILTrade!$O$76,2))</f>
        <v>IMPLPGBR</v>
      </c>
      <c r="D2205" s="365" t="str">
        <f>CONCATENATE("Import Barge/Vessel Trade of ",Commodities!C55, " to ",$B$2198," from ",OILTrade!$N$76)</f>
        <v>Import Barge/Vessel Trade of LPG to *R1 from R7</v>
      </c>
      <c r="E2205" s="381" t="s">
        <v>384</v>
      </c>
      <c r="F2205" s="381" t="s">
        <v>505</v>
      </c>
    </row>
    <row r="2206" spans="2:6">
      <c r="B2206" s="365" t="s">
        <v>1091</v>
      </c>
      <c r="C2206" s="365" t="str">
        <f>CONCATENATE("IMP",Commodities!C56,"BR",RIGHT(OILTrade!$O$76,2))</f>
        <v>IMPMTHBR</v>
      </c>
      <c r="D2206" s="365" t="str">
        <f>CONCATENATE("Import Barge/Vessel Trade of ",Commodities!C56, " to ",$B$2198," from ",OILTrade!$N$76)</f>
        <v>Import Barge/Vessel Trade of MTH to *R1 from R7</v>
      </c>
      <c r="E2206" s="381" t="s">
        <v>384</v>
      </c>
      <c r="F2206" s="381" t="s">
        <v>505</v>
      </c>
    </row>
    <row r="2207" spans="2:6">
      <c r="B2207" s="365" t="s">
        <v>1091</v>
      </c>
      <c r="C2207" s="365" t="str">
        <f>CONCATENATE("IMP",Commodities!C57,"BR",RIGHT(OILTrade!$O$76,2))</f>
        <v>IMPPFSBR</v>
      </c>
      <c r="D2207" s="365" t="str">
        <f>CONCATENATE("Import Barge/Vessel Trade of ",Commodities!C57, " to ",$B$2198," from ",OILTrade!$N$76)</f>
        <v>Import Barge/Vessel Trade of PFS to *R1 from R7</v>
      </c>
      <c r="E2207" s="381" t="s">
        <v>384</v>
      </c>
      <c r="F2207" s="381" t="s">
        <v>505</v>
      </c>
    </row>
    <row r="2208" spans="2:6">
      <c r="B2208" s="365" t="s">
        <v>1091</v>
      </c>
      <c r="C2208" s="365" t="str">
        <f>CONCATENATE("IMP",Commodities!C58,"BR",RIGHT(OILTrade!$O$76,2))</f>
        <v>IMPRFHBR</v>
      </c>
      <c r="D2208" s="365" t="str">
        <f>CONCATENATE("Import Barge/Vessel Trade of ",Commodities!C58, " to ",$B$2198," from ",OILTrade!$N$76)</f>
        <v>Import Barge/Vessel Trade of RFH to *R1 from R7</v>
      </c>
      <c r="E2208" s="381" t="s">
        <v>384</v>
      </c>
      <c r="F2208" s="381" t="s">
        <v>505</v>
      </c>
    </row>
    <row r="2209" spans="2:6">
      <c r="B2209" s="365" t="s">
        <v>1091</v>
      </c>
      <c r="C2209" s="365" t="str">
        <f>CONCATENATE("IMP",Commodities!C59,"BR",RIGHT(OILTrade!$O$76,2))</f>
        <v>IMPRFLBR</v>
      </c>
      <c r="D2209" s="365" t="str">
        <f>CONCATENATE("Import Barge/Vessel Trade of ",Commodities!C59, " to ",$B$2198," from ",OILTrade!$N$76)</f>
        <v>Import Barge/Vessel Trade of RFL to *R1 from R7</v>
      </c>
      <c r="E2209" s="381" t="s">
        <v>384</v>
      </c>
      <c r="F2209" s="381" t="s">
        <v>505</v>
      </c>
    </row>
    <row r="2210" spans="2:6">
      <c r="B2210" s="365" t="s">
        <v>1091</v>
      </c>
      <c r="C2210" s="365" t="str">
        <f>CONCATENATE("IMP",Commodities!C60,"BR",RIGHT(OILTrade!$O$76,2))</f>
        <v>IMPASPBR</v>
      </c>
      <c r="D2210" s="365" t="str">
        <f>CONCATENATE("Import Barge/Vessel Trade of ",Commodities!C60, " to ",$B$2198," from ",OILTrade!$N$76)</f>
        <v>Import Barge/Vessel Trade of ASP to *R1 from R7</v>
      </c>
      <c r="E2210" s="381" t="s">
        <v>384</v>
      </c>
      <c r="F2210" s="381" t="s">
        <v>505</v>
      </c>
    </row>
    <row r="2211" spans="2:6">
      <c r="B2211" s="365" t="s">
        <v>1085</v>
      </c>
      <c r="C2211" s="365" t="str">
        <f>CONCATENATE("IMP",Commodities!C48,"BR",RIGHT(OILTrade!$P$72,2))</f>
        <v>IMPGSCBR</v>
      </c>
      <c r="D2211" s="365" t="str">
        <f>CONCATENATE("Import Barge/Vessel Trade of ",Commodities!C48, " to ",$B$2211," from ",OILTrade!$N$72)</f>
        <v>Import Barge/Vessel Trade of GSC to *R2 from R3</v>
      </c>
      <c r="E2211" s="381" t="s">
        <v>384</v>
      </c>
      <c r="F2211" s="381" t="s">
        <v>505</v>
      </c>
    </row>
    <row r="2212" spans="2:6">
      <c r="B2212" s="365" t="s">
        <v>1085</v>
      </c>
      <c r="C2212" s="365" t="str">
        <f>CONCATENATE("IMP",Commodities!C49,"BR",RIGHT(OILTrade!$P$72,2))</f>
        <v>IMPGSRBR</v>
      </c>
      <c r="D2212" s="365" t="str">
        <f>CONCATENATE("Import Barge/Vessel Trade of ",Commodities!C49, " to ",$B$2211," from ",OILTrade!$N$72)</f>
        <v>Import Barge/Vessel Trade of GSR to *R2 from R3</v>
      </c>
      <c r="E2212" s="381" t="s">
        <v>384</v>
      </c>
      <c r="F2212" s="381" t="s">
        <v>505</v>
      </c>
    </row>
    <row r="2213" spans="2:6">
      <c r="B2213" s="365" t="s">
        <v>1085</v>
      </c>
      <c r="C2213" s="365" t="str">
        <f>CONCATENATE("IMP",Commodities!C50,"BR",RIGHT(OILTrade!$P$72,2))</f>
        <v>IMPDSHBR</v>
      </c>
      <c r="D2213" s="365" t="str">
        <f>CONCATENATE("Import Barge/Vessel Trade of ",Commodities!C50, " to ",$B$2211," from ",OILTrade!$N$72)</f>
        <v>Import Barge/Vessel Trade of DSH to *R2 from R3</v>
      </c>
      <c r="E2213" s="381" t="s">
        <v>384</v>
      </c>
      <c r="F2213" s="381" t="s">
        <v>505</v>
      </c>
    </row>
    <row r="2214" spans="2:6">
      <c r="B2214" s="365" t="s">
        <v>1085</v>
      </c>
      <c r="C2214" s="365" t="str">
        <f>CONCATENATE("IMP",Commodities!C51,"BR",RIGHT(OILTrade!$P$72,2))</f>
        <v>IMPDSLBR</v>
      </c>
      <c r="D2214" s="365" t="str">
        <f>CONCATENATE("Import Barge/Vessel Trade of ",Commodities!C51, " to ",$B$2211," from ",OILTrade!$N$72)</f>
        <v>Import Barge/Vessel Trade of DSL to *R2 from R3</v>
      </c>
      <c r="E2214" s="381" t="s">
        <v>384</v>
      </c>
      <c r="F2214" s="381" t="s">
        <v>505</v>
      </c>
    </row>
    <row r="2215" spans="2:6">
      <c r="B2215" s="365" t="s">
        <v>1085</v>
      </c>
      <c r="C2215" s="365" t="str">
        <f>CONCATENATE("IMP",Commodities!C52,"BR",RIGHT(OILTrade!$P$72,2))</f>
        <v>IMPDSUBR</v>
      </c>
      <c r="D2215" s="365" t="str">
        <f>CONCATENATE("Import Barge/Vessel Trade of ",Commodities!C52, " to ",$B$2211," from ",OILTrade!$N$72)</f>
        <v>Import Barge/Vessel Trade of DSU to *R2 from R3</v>
      </c>
      <c r="E2215" s="381" t="s">
        <v>384</v>
      </c>
      <c r="F2215" s="381" t="s">
        <v>505</v>
      </c>
    </row>
    <row r="2216" spans="2:6">
      <c r="B2216" s="365" t="s">
        <v>1085</v>
      </c>
      <c r="C2216" s="365" t="str">
        <f>CONCATENATE("IMP",Commodities!C53,"BR",RIGHT(OILTrade!$P$72,2))</f>
        <v>IMPJTFBR</v>
      </c>
      <c r="D2216" s="365" t="str">
        <f>CONCATENATE("Import Barge/Vessel Trade of ",Commodities!C53, " to ",$B$2211," from ",OILTrade!$N$72)</f>
        <v>Import Barge/Vessel Trade of JTF to *R2 from R3</v>
      </c>
      <c r="E2216" s="381" t="s">
        <v>384</v>
      </c>
      <c r="F2216" s="381" t="s">
        <v>505</v>
      </c>
    </row>
    <row r="2217" spans="2:6">
      <c r="B2217" s="365" t="s">
        <v>1085</v>
      </c>
      <c r="C2217" s="365" t="str">
        <f>CONCATENATE("IMP",Commodities!C54,"BR",RIGHT(OILTrade!$P$72,2))</f>
        <v>IMPKERBR</v>
      </c>
      <c r="D2217" s="365" t="str">
        <f>CONCATENATE("Import Barge/Vessel Trade of ",Commodities!C54, " to ",$B$2211," from ",OILTrade!$N$72)</f>
        <v>Import Barge/Vessel Trade of KER to *R2 from R3</v>
      </c>
      <c r="E2217" s="381" t="s">
        <v>384</v>
      </c>
      <c r="F2217" s="381" t="s">
        <v>505</v>
      </c>
    </row>
    <row r="2218" spans="2:6">
      <c r="B2218" s="365" t="s">
        <v>1085</v>
      </c>
      <c r="C2218" s="365" t="str">
        <f>CONCATENATE("IMP",Commodities!C55,"BR",RIGHT(OILTrade!$P$72,2))</f>
        <v>IMPLPGBR</v>
      </c>
      <c r="D2218" s="365" t="str">
        <f>CONCATENATE("Import Barge/Vessel Trade of ",Commodities!C55, " to ",$B$2211," from ",OILTrade!$N$72)</f>
        <v>Import Barge/Vessel Trade of LPG to *R2 from R3</v>
      </c>
      <c r="E2218" s="381" t="s">
        <v>384</v>
      </c>
      <c r="F2218" s="381" t="s">
        <v>505</v>
      </c>
    </row>
    <row r="2219" spans="2:6">
      <c r="B2219" s="365" t="s">
        <v>1085</v>
      </c>
      <c r="C2219" s="365" t="str">
        <f>CONCATENATE("IMP",Commodities!C56,"BR",RIGHT(OILTrade!$P$72,2))</f>
        <v>IMPMTHBR</v>
      </c>
      <c r="D2219" s="365" t="str">
        <f>CONCATENATE("Import Barge/Vessel Trade of ",Commodities!C56, " to ",$B$2211," from ",OILTrade!$N$72)</f>
        <v>Import Barge/Vessel Trade of MTH to *R2 from R3</v>
      </c>
      <c r="E2219" s="381" t="s">
        <v>384</v>
      </c>
      <c r="F2219" s="381" t="s">
        <v>505</v>
      </c>
    </row>
    <row r="2220" spans="2:6">
      <c r="B2220" s="365" t="s">
        <v>1085</v>
      </c>
      <c r="C2220" s="365" t="str">
        <f>CONCATENATE("IMP",Commodities!C57,"BR",RIGHT(OILTrade!$P$72,2))</f>
        <v>IMPPFSBR</v>
      </c>
      <c r="D2220" s="365" t="str">
        <f>CONCATENATE("Import Barge/Vessel Trade of ",Commodities!C57, " to ",$B$2211," from ",OILTrade!$N$72)</f>
        <v>Import Barge/Vessel Trade of PFS to *R2 from R3</v>
      </c>
      <c r="E2220" s="381" t="s">
        <v>384</v>
      </c>
      <c r="F2220" s="381" t="s">
        <v>505</v>
      </c>
    </row>
    <row r="2221" spans="2:6">
      <c r="B2221" s="365" t="s">
        <v>1085</v>
      </c>
      <c r="C2221" s="365" t="str">
        <f>CONCATENATE("IMP",Commodities!C58,"BR",RIGHT(OILTrade!$P$72,2))</f>
        <v>IMPRFHBR</v>
      </c>
      <c r="D2221" s="365" t="str">
        <f>CONCATENATE("Import Barge/Vessel Trade of ",Commodities!C58, " to ",$B$2211," from ",OILTrade!$N$72)</f>
        <v>Import Barge/Vessel Trade of RFH to *R2 from R3</v>
      </c>
      <c r="E2221" s="381" t="s">
        <v>384</v>
      </c>
      <c r="F2221" s="381" t="s">
        <v>505</v>
      </c>
    </row>
    <row r="2222" spans="2:6">
      <c r="B2222" s="365" t="s">
        <v>1085</v>
      </c>
      <c r="C2222" s="365" t="str">
        <f>CONCATENATE("IMP",Commodities!C59,"BR",RIGHT(OILTrade!$P$72,2))</f>
        <v>IMPRFLBR</v>
      </c>
      <c r="D2222" s="365" t="str">
        <f>CONCATENATE("Import Barge/Vessel Trade of ",Commodities!C59, " to ",$B$2211," from ",OILTrade!$N$72)</f>
        <v>Import Barge/Vessel Trade of RFL to *R2 from R3</v>
      </c>
      <c r="E2222" s="381" t="s">
        <v>384</v>
      </c>
      <c r="F2222" s="381" t="s">
        <v>505</v>
      </c>
    </row>
    <row r="2223" spans="2:6">
      <c r="B2223" s="365" t="s">
        <v>1085</v>
      </c>
      <c r="C2223" s="365" t="str">
        <f>CONCATENATE("IMP",Commodities!C60,"BR",RIGHT(OILTrade!$P$72,2))</f>
        <v>IMPASPBR</v>
      </c>
      <c r="D2223" s="365" t="str">
        <f>CONCATENATE("Import Barge/Vessel Trade of ",Commodities!C60, " to ",$B$2211," from ",OILTrade!$N$72)</f>
        <v>Import Barge/Vessel Trade of ASP to *R2 from R3</v>
      </c>
      <c r="E2223" s="381" t="s">
        <v>384</v>
      </c>
      <c r="F2223" s="381" t="s">
        <v>505</v>
      </c>
    </row>
    <row r="2224" spans="2:6">
      <c r="B2224" s="365" t="s">
        <v>1085</v>
      </c>
      <c r="C2224" s="365" t="str">
        <f>CONCATENATE("IMP",Commodities!C48,"BR",RIGHT(OILTrade!$P$73,2))</f>
        <v>IMPGSCBR42</v>
      </c>
      <c r="D2224" s="365" t="str">
        <f>CONCATENATE("Import Barge/Vessel Trade of ",Commodities!C48, " to ",$B$2224," from ",OILTrade!$N$73)</f>
        <v>Import Barge/Vessel Trade of GSC to *R2 from R4</v>
      </c>
      <c r="E2224" s="381" t="s">
        <v>384</v>
      </c>
      <c r="F2224" s="381" t="s">
        <v>505</v>
      </c>
    </row>
    <row r="2225" spans="2:6">
      <c r="B2225" s="365" t="s">
        <v>1085</v>
      </c>
      <c r="C2225" s="365" t="str">
        <f>CONCATENATE("IMP",Commodities!C49,"BR",RIGHT(OILTrade!$P$73,2))</f>
        <v>IMPGSRBR42</v>
      </c>
      <c r="D2225" s="365" t="str">
        <f>CONCATENATE("Import Barge/Vessel Trade of ",Commodities!C49, " to ",$B$2224," from ",OILTrade!$N$73)</f>
        <v>Import Barge/Vessel Trade of GSR to *R2 from R4</v>
      </c>
      <c r="E2225" s="381" t="s">
        <v>384</v>
      </c>
      <c r="F2225" s="381" t="s">
        <v>505</v>
      </c>
    </row>
    <row r="2226" spans="2:6">
      <c r="B2226" s="365" t="s">
        <v>1085</v>
      </c>
      <c r="C2226" s="365" t="str">
        <f>CONCATENATE("IMP",Commodities!C50,"BR",RIGHT(OILTrade!$P$73,2))</f>
        <v>IMPDSHBR42</v>
      </c>
      <c r="D2226" s="365" t="str">
        <f>CONCATENATE("Import Barge/Vessel Trade of ",Commodities!C50, " to ",$B$2224," from ",OILTrade!$N$73)</f>
        <v>Import Barge/Vessel Trade of DSH to *R2 from R4</v>
      </c>
      <c r="E2226" s="381" t="s">
        <v>384</v>
      </c>
      <c r="F2226" s="381" t="s">
        <v>505</v>
      </c>
    </row>
    <row r="2227" spans="2:6">
      <c r="B2227" s="365" t="s">
        <v>1085</v>
      </c>
      <c r="C2227" s="365" t="str">
        <f>CONCATENATE("IMP",Commodities!C51,"BR",RIGHT(OILTrade!$P$73,2))</f>
        <v>IMPDSLBR42</v>
      </c>
      <c r="D2227" s="365" t="str">
        <f>CONCATENATE("Import Barge/Vessel Trade of ",Commodities!C51, " to ",$B$2224," from ",OILTrade!$N$73)</f>
        <v>Import Barge/Vessel Trade of DSL to *R2 from R4</v>
      </c>
      <c r="E2227" s="381" t="s">
        <v>384</v>
      </c>
      <c r="F2227" s="381" t="s">
        <v>505</v>
      </c>
    </row>
    <row r="2228" spans="2:6">
      <c r="B2228" s="365" t="s">
        <v>1085</v>
      </c>
      <c r="C2228" s="365" t="str">
        <f>CONCATENATE("IMP",Commodities!C52,"BR",RIGHT(OILTrade!$P$73,2))</f>
        <v>IMPDSUBR42</v>
      </c>
      <c r="D2228" s="365" t="str">
        <f>CONCATENATE("Import Barge/Vessel Trade of ",Commodities!C52, " to ",$B$2224," from ",OILTrade!$N$73)</f>
        <v>Import Barge/Vessel Trade of DSU to *R2 from R4</v>
      </c>
      <c r="E2228" s="381" t="s">
        <v>384</v>
      </c>
      <c r="F2228" s="381" t="s">
        <v>505</v>
      </c>
    </row>
    <row r="2229" spans="2:6">
      <c r="B2229" s="365" t="s">
        <v>1085</v>
      </c>
      <c r="C2229" s="365" t="str">
        <f>CONCATENATE("IMP",Commodities!C53,"BR",RIGHT(OILTrade!$P$73,2))</f>
        <v>IMPJTFBR42</v>
      </c>
      <c r="D2229" s="365" t="str">
        <f>CONCATENATE("Import Barge/Vessel Trade of ",Commodities!C53, " to ",$B$2224," from ",OILTrade!$N$73)</f>
        <v>Import Barge/Vessel Trade of JTF to *R2 from R4</v>
      </c>
      <c r="E2229" s="381" t="s">
        <v>384</v>
      </c>
      <c r="F2229" s="381" t="s">
        <v>505</v>
      </c>
    </row>
    <row r="2230" spans="2:6">
      <c r="B2230" s="365" t="s">
        <v>1085</v>
      </c>
      <c r="C2230" s="365" t="str">
        <f>CONCATENATE("IMP",Commodities!C54,"BR",RIGHT(OILTrade!$P$73,2))</f>
        <v>IMPKERBR42</v>
      </c>
      <c r="D2230" s="365" t="str">
        <f>CONCATENATE("Import Barge/Vessel Trade of ",Commodities!C54, " to ",$B$2224," from ",OILTrade!$N$73)</f>
        <v>Import Barge/Vessel Trade of KER to *R2 from R4</v>
      </c>
      <c r="E2230" s="381" t="s">
        <v>384</v>
      </c>
      <c r="F2230" s="381" t="s">
        <v>505</v>
      </c>
    </row>
    <row r="2231" spans="2:6">
      <c r="B2231" s="365" t="s">
        <v>1085</v>
      </c>
      <c r="C2231" s="365" t="str">
        <f>CONCATENATE("IMP",Commodities!C55,"BR",RIGHT(OILTrade!$P$73,2))</f>
        <v>IMPLPGBR42</v>
      </c>
      <c r="D2231" s="365" t="str">
        <f>CONCATENATE("Import Barge/Vessel Trade of ",Commodities!C55, " to ",$B$2224," from ",OILTrade!$N$73)</f>
        <v>Import Barge/Vessel Trade of LPG to *R2 from R4</v>
      </c>
      <c r="E2231" s="381" t="s">
        <v>384</v>
      </c>
      <c r="F2231" s="381" t="s">
        <v>505</v>
      </c>
    </row>
    <row r="2232" spans="2:6">
      <c r="B2232" s="365" t="s">
        <v>1085</v>
      </c>
      <c r="C2232" s="365" t="str">
        <f>CONCATENATE("IMP",Commodities!C56,"BR",RIGHT(OILTrade!$P$73,2))</f>
        <v>IMPMTHBR42</v>
      </c>
      <c r="D2232" s="365" t="str">
        <f>CONCATENATE("Import Barge/Vessel Trade of ",Commodities!C56, " to ",$B$2224," from ",OILTrade!$N$73)</f>
        <v>Import Barge/Vessel Trade of MTH to *R2 from R4</v>
      </c>
      <c r="E2232" s="381" t="s">
        <v>384</v>
      </c>
      <c r="F2232" s="381" t="s">
        <v>505</v>
      </c>
    </row>
    <row r="2233" spans="2:6">
      <c r="B2233" s="365" t="s">
        <v>1085</v>
      </c>
      <c r="C2233" s="365" t="str">
        <f>CONCATENATE("IMP",Commodities!C57,"BR",RIGHT(OILTrade!$P$73,2))</f>
        <v>IMPPFSBR42</v>
      </c>
      <c r="D2233" s="365" t="str">
        <f>CONCATENATE("Import Barge/Vessel Trade of ",Commodities!C57, " to ",$B$2224," from ",OILTrade!$N$73)</f>
        <v>Import Barge/Vessel Trade of PFS to *R2 from R4</v>
      </c>
      <c r="E2233" s="381" t="s">
        <v>384</v>
      </c>
      <c r="F2233" s="381" t="s">
        <v>505</v>
      </c>
    </row>
    <row r="2234" spans="2:6">
      <c r="B2234" s="365" t="s">
        <v>1085</v>
      </c>
      <c r="C2234" s="365" t="str">
        <f>CONCATENATE("IMP",Commodities!C58,"BR",RIGHT(OILTrade!$P$73,2))</f>
        <v>IMPRFHBR42</v>
      </c>
      <c r="D2234" s="365" t="str">
        <f>CONCATENATE("Import Barge/Vessel Trade of ",Commodities!C58, " to ",$B$2224," from ",OILTrade!$N$73)</f>
        <v>Import Barge/Vessel Trade of RFH to *R2 from R4</v>
      </c>
      <c r="E2234" s="381" t="s">
        <v>384</v>
      </c>
      <c r="F2234" s="381" t="s">
        <v>505</v>
      </c>
    </row>
    <row r="2235" spans="2:6">
      <c r="B2235" s="365" t="s">
        <v>1085</v>
      </c>
      <c r="C2235" s="365" t="str">
        <f>CONCATENATE("IMP",Commodities!C59,"BR",RIGHT(OILTrade!$P$73,2))</f>
        <v>IMPRFLBR42</v>
      </c>
      <c r="D2235" s="365" t="str">
        <f>CONCATENATE("Import Barge/Vessel Trade of ",Commodities!C59, " to ",$B$2224," from ",OILTrade!$N$73)</f>
        <v>Import Barge/Vessel Trade of RFL to *R2 from R4</v>
      </c>
      <c r="E2235" s="381" t="s">
        <v>384</v>
      </c>
      <c r="F2235" s="381" t="s">
        <v>505</v>
      </c>
    </row>
    <row r="2236" spans="2:6">
      <c r="B2236" s="365" t="s">
        <v>1085</v>
      </c>
      <c r="C2236" s="365" t="str">
        <f>CONCATENATE("IMP",Commodities!C60,"BR",RIGHT(OILTrade!$P$73,2))</f>
        <v>IMPASPBR42</v>
      </c>
      <c r="D2236" s="365" t="str">
        <f>CONCATENATE("Import Barge/Vessel Trade of ",Commodities!C60, " to ",$B$2224," from ",OILTrade!$N$73)</f>
        <v>Import Barge/Vessel Trade of ASP to *R2 from R4</v>
      </c>
      <c r="E2236" s="381" t="s">
        <v>384</v>
      </c>
      <c r="F2236" s="381" t="s">
        <v>505</v>
      </c>
    </row>
    <row r="2237" spans="2:6">
      <c r="B2237" s="365" t="s">
        <v>1085</v>
      </c>
      <c r="C2237" s="365" t="str">
        <f>CONCATENATE("IMP",Commodities!C48,"BR",RIGHT(OILTrade!$P$75,2))</f>
        <v>IMPGSCBR62</v>
      </c>
      <c r="D2237" s="365" t="str">
        <f>CONCATENATE("Import Barge/Vessel Trade of ",Commodities!C48, " to ",$B$2237," from ",OILTrade!$N$75)</f>
        <v>Import Barge/Vessel Trade of GSC to *R2 from R6</v>
      </c>
      <c r="E2237" s="381" t="s">
        <v>384</v>
      </c>
      <c r="F2237" s="381" t="s">
        <v>505</v>
      </c>
    </row>
    <row r="2238" spans="2:6">
      <c r="B2238" s="365" t="s">
        <v>1085</v>
      </c>
      <c r="C2238" s="365" t="str">
        <f>CONCATENATE("IMP",Commodities!C49,"BR",RIGHT(OILTrade!$P$75,2))</f>
        <v>IMPGSRBR62</v>
      </c>
      <c r="D2238" s="365" t="str">
        <f>CONCATENATE("Import Barge/Vessel Trade of ",Commodities!C49, " to ",$B$2237," from ",OILTrade!$N$75)</f>
        <v>Import Barge/Vessel Trade of GSR to *R2 from R6</v>
      </c>
      <c r="E2238" s="381" t="s">
        <v>384</v>
      </c>
      <c r="F2238" s="381" t="s">
        <v>505</v>
      </c>
    </row>
    <row r="2239" spans="2:6">
      <c r="B2239" s="365" t="s">
        <v>1085</v>
      </c>
      <c r="C2239" s="365" t="str">
        <f>CONCATENATE("IMP",Commodities!C50,"BR",RIGHT(OILTrade!$P$75,2))</f>
        <v>IMPDSHBR62</v>
      </c>
      <c r="D2239" s="365" t="str">
        <f>CONCATENATE("Import Barge/Vessel Trade of ",Commodities!C50, " to ",$B$2237," from ",OILTrade!$N$75)</f>
        <v>Import Barge/Vessel Trade of DSH to *R2 from R6</v>
      </c>
      <c r="E2239" s="381" t="s">
        <v>384</v>
      </c>
      <c r="F2239" s="381" t="s">
        <v>505</v>
      </c>
    </row>
    <row r="2240" spans="2:6">
      <c r="B2240" s="365" t="s">
        <v>1085</v>
      </c>
      <c r="C2240" s="365" t="str">
        <f>CONCATENATE("IMP",Commodities!C51,"BR",RIGHT(OILTrade!$P$75,2))</f>
        <v>IMPDSLBR62</v>
      </c>
      <c r="D2240" s="365" t="str">
        <f>CONCATENATE("Import Barge/Vessel Trade of ",Commodities!C51, " to ",$B$2237," from ",OILTrade!$N$75)</f>
        <v>Import Barge/Vessel Trade of DSL to *R2 from R6</v>
      </c>
      <c r="E2240" s="381" t="s">
        <v>384</v>
      </c>
      <c r="F2240" s="381" t="s">
        <v>505</v>
      </c>
    </row>
    <row r="2241" spans="2:6">
      <c r="B2241" s="365" t="s">
        <v>1085</v>
      </c>
      <c r="C2241" s="365" t="str">
        <f>CONCATENATE("IMP",Commodities!C52,"BR",RIGHT(OILTrade!$P$75,2))</f>
        <v>IMPDSUBR62</v>
      </c>
      <c r="D2241" s="365" t="str">
        <f>CONCATENATE("Import Barge/Vessel Trade of ",Commodities!C52, " to ",$B$2237," from ",OILTrade!$N$75)</f>
        <v>Import Barge/Vessel Trade of DSU to *R2 from R6</v>
      </c>
      <c r="E2241" s="381" t="s">
        <v>384</v>
      </c>
      <c r="F2241" s="381" t="s">
        <v>505</v>
      </c>
    </row>
    <row r="2242" spans="2:6">
      <c r="B2242" s="365" t="s">
        <v>1085</v>
      </c>
      <c r="C2242" s="365" t="str">
        <f>CONCATENATE("IMP",Commodities!C53,"BR",RIGHT(OILTrade!$P$75,2))</f>
        <v>IMPJTFBR62</v>
      </c>
      <c r="D2242" s="365" t="str">
        <f>CONCATENATE("Import Barge/Vessel Trade of ",Commodities!C53, " to ",$B$2237," from ",OILTrade!$N$75)</f>
        <v>Import Barge/Vessel Trade of JTF to *R2 from R6</v>
      </c>
      <c r="E2242" s="381" t="s">
        <v>384</v>
      </c>
      <c r="F2242" s="381" t="s">
        <v>505</v>
      </c>
    </row>
    <row r="2243" spans="2:6">
      <c r="B2243" s="365" t="s">
        <v>1085</v>
      </c>
      <c r="C2243" s="365" t="str">
        <f>CONCATENATE("IMP",Commodities!C54,"BR",RIGHT(OILTrade!$P$75,2))</f>
        <v>IMPKERBR62</v>
      </c>
      <c r="D2243" s="365" t="str">
        <f>CONCATENATE("Import Barge/Vessel Trade of ",Commodities!C54, " to ",$B$2237," from ",OILTrade!$N$75)</f>
        <v>Import Barge/Vessel Trade of KER to *R2 from R6</v>
      </c>
      <c r="E2243" s="381" t="s">
        <v>384</v>
      </c>
      <c r="F2243" s="381" t="s">
        <v>505</v>
      </c>
    </row>
    <row r="2244" spans="2:6">
      <c r="B2244" s="365" t="s">
        <v>1085</v>
      </c>
      <c r="C2244" s="365" t="str">
        <f>CONCATENATE("IMP",Commodities!C55,"BR",RIGHT(OILTrade!$P$75,2))</f>
        <v>IMPLPGBR62</v>
      </c>
      <c r="D2244" s="365" t="str">
        <f>CONCATENATE("Import Barge/Vessel Trade of ",Commodities!C55, " to ",$B$2237," from ",OILTrade!$N$75)</f>
        <v>Import Barge/Vessel Trade of LPG to *R2 from R6</v>
      </c>
      <c r="E2244" s="381" t="s">
        <v>384</v>
      </c>
      <c r="F2244" s="381" t="s">
        <v>505</v>
      </c>
    </row>
    <row r="2245" spans="2:6">
      <c r="B2245" s="365" t="s">
        <v>1085</v>
      </c>
      <c r="C2245" s="365" t="str">
        <f>CONCATENATE("IMP",Commodities!C56,"BR",RIGHT(OILTrade!$P$75,2))</f>
        <v>IMPMTHBR62</v>
      </c>
      <c r="D2245" s="365" t="str">
        <f>CONCATENATE("Import Barge/Vessel Trade of ",Commodities!C56, " to ",$B$2237," from ",OILTrade!$N$75)</f>
        <v>Import Barge/Vessel Trade of MTH to *R2 from R6</v>
      </c>
      <c r="E2245" s="381" t="s">
        <v>384</v>
      </c>
      <c r="F2245" s="381" t="s">
        <v>505</v>
      </c>
    </row>
    <row r="2246" spans="2:6">
      <c r="B2246" s="365" t="s">
        <v>1085</v>
      </c>
      <c r="C2246" s="365" t="str">
        <f>CONCATENATE("IMP",Commodities!C57,"BR",RIGHT(OILTrade!$P$75,2))</f>
        <v>IMPPFSBR62</v>
      </c>
      <c r="D2246" s="365" t="str">
        <f>CONCATENATE("Import Barge/Vessel Trade of ",Commodities!C57, " to ",$B$2237," from ",OILTrade!$N$75)</f>
        <v>Import Barge/Vessel Trade of PFS to *R2 from R6</v>
      </c>
      <c r="E2246" s="381" t="s">
        <v>384</v>
      </c>
      <c r="F2246" s="381" t="s">
        <v>505</v>
      </c>
    </row>
    <row r="2247" spans="2:6">
      <c r="B2247" s="365" t="s">
        <v>1085</v>
      </c>
      <c r="C2247" s="365" t="str">
        <f>CONCATENATE("IMP",Commodities!C58,"BR",RIGHT(OILTrade!$P$75,2))</f>
        <v>IMPRFHBR62</v>
      </c>
      <c r="D2247" s="365" t="str">
        <f>CONCATENATE("Import Barge/Vessel Trade of ",Commodities!C58, " to ",$B$2237," from ",OILTrade!$N$75)</f>
        <v>Import Barge/Vessel Trade of RFH to *R2 from R6</v>
      </c>
      <c r="E2247" s="381" t="s">
        <v>384</v>
      </c>
      <c r="F2247" s="381" t="s">
        <v>505</v>
      </c>
    </row>
    <row r="2248" spans="2:6">
      <c r="B2248" s="365" t="s">
        <v>1085</v>
      </c>
      <c r="C2248" s="365" t="str">
        <f>CONCATENATE("IMP",Commodities!C59,"BR",RIGHT(OILTrade!$P$75,2))</f>
        <v>IMPRFLBR62</v>
      </c>
      <c r="D2248" s="365" t="str">
        <f>CONCATENATE("Import Barge/Vessel Trade of ",Commodities!C59, " to ",$B$2237," from ",OILTrade!$N$75)</f>
        <v>Import Barge/Vessel Trade of RFL to *R2 from R6</v>
      </c>
      <c r="E2248" s="381" t="s">
        <v>384</v>
      </c>
      <c r="F2248" s="381" t="s">
        <v>505</v>
      </c>
    </row>
    <row r="2249" spans="2:6">
      <c r="B2249" s="365" t="s">
        <v>1085</v>
      </c>
      <c r="C2249" s="365" t="str">
        <f>CONCATENATE("IMP",Commodities!C60,"BR",RIGHT(OILTrade!$P$75,2))</f>
        <v>IMPASPBR62</v>
      </c>
      <c r="D2249" s="365" t="str">
        <f>CONCATENATE("Import Barge/Vessel Trade of ",Commodities!C60, " to ",$B$2237," from ",OILTrade!$N$75)</f>
        <v>Import Barge/Vessel Trade of ASP to *R2 from R6</v>
      </c>
      <c r="E2249" s="381" t="s">
        <v>384</v>
      </c>
      <c r="F2249" s="381" t="s">
        <v>505</v>
      </c>
    </row>
    <row r="2250" spans="2:6">
      <c r="B2250" s="365" t="s">
        <v>1085</v>
      </c>
      <c r="C2250" s="365" t="str">
        <f>CONCATENATE("IMP",Commodities!C48,"BR",RIGHT(OILTrade!$P$76,2))</f>
        <v>IMPGSCBR</v>
      </c>
      <c r="D2250" s="365" t="str">
        <f>CONCATENATE("Import Barge/Vessel Trade of ",Commodities!C48, " to ",$B$2250," from ",OILTrade!$N$76)</f>
        <v>Import Barge/Vessel Trade of GSC to *R2 from R7</v>
      </c>
      <c r="E2250" s="381" t="s">
        <v>384</v>
      </c>
      <c r="F2250" s="381" t="s">
        <v>505</v>
      </c>
    </row>
    <row r="2251" spans="2:6">
      <c r="B2251" s="365" t="s">
        <v>1085</v>
      </c>
      <c r="C2251" s="365" t="str">
        <f>CONCATENATE("IMP",Commodities!C49,"BR",RIGHT(OILTrade!$P$76,2))</f>
        <v>IMPGSRBR</v>
      </c>
      <c r="D2251" s="365" t="str">
        <f>CONCATENATE("Import Barge/Vessel Trade of ",Commodities!C49, " to ",$B$2250," from ",OILTrade!$N$76)</f>
        <v>Import Barge/Vessel Trade of GSR to *R2 from R7</v>
      </c>
      <c r="E2251" s="381" t="s">
        <v>384</v>
      </c>
      <c r="F2251" s="381" t="s">
        <v>505</v>
      </c>
    </row>
    <row r="2252" spans="2:6">
      <c r="B2252" s="365" t="s">
        <v>1085</v>
      </c>
      <c r="C2252" s="365" t="str">
        <f>CONCATENATE("IMP",Commodities!C50,"BR",RIGHT(OILTrade!$P$76,2))</f>
        <v>IMPDSHBR</v>
      </c>
      <c r="D2252" s="365" t="str">
        <f>CONCATENATE("Import Barge/Vessel Trade of ",Commodities!C50, " to ",$B$2250," from ",OILTrade!$N$76)</f>
        <v>Import Barge/Vessel Trade of DSH to *R2 from R7</v>
      </c>
      <c r="E2252" s="381" t="s">
        <v>384</v>
      </c>
      <c r="F2252" s="381" t="s">
        <v>505</v>
      </c>
    </row>
    <row r="2253" spans="2:6">
      <c r="B2253" s="365" t="s">
        <v>1085</v>
      </c>
      <c r="C2253" s="365" t="str">
        <f>CONCATENATE("IMP",Commodities!C51,"BR",RIGHT(OILTrade!$P$76,2))</f>
        <v>IMPDSLBR</v>
      </c>
      <c r="D2253" s="365" t="str">
        <f>CONCATENATE("Import Barge/Vessel Trade of ",Commodities!C51, " to ",$B$2250," from ",OILTrade!$N$76)</f>
        <v>Import Barge/Vessel Trade of DSL to *R2 from R7</v>
      </c>
      <c r="E2253" s="381" t="s">
        <v>384</v>
      </c>
      <c r="F2253" s="381" t="s">
        <v>505</v>
      </c>
    </row>
    <row r="2254" spans="2:6">
      <c r="B2254" s="365" t="s">
        <v>1085</v>
      </c>
      <c r="C2254" s="365" t="str">
        <f>CONCATENATE("IMP",Commodities!C52,"BR",RIGHT(OILTrade!$P$76,2))</f>
        <v>IMPDSUBR</v>
      </c>
      <c r="D2254" s="365" t="str">
        <f>CONCATENATE("Import Barge/Vessel Trade of ",Commodities!C52, " to ",$B$2250," from ",OILTrade!$N$76)</f>
        <v>Import Barge/Vessel Trade of DSU to *R2 from R7</v>
      </c>
      <c r="E2254" s="381" t="s">
        <v>384</v>
      </c>
      <c r="F2254" s="381" t="s">
        <v>505</v>
      </c>
    </row>
    <row r="2255" spans="2:6">
      <c r="B2255" s="365" t="s">
        <v>1085</v>
      </c>
      <c r="C2255" s="365" t="str">
        <f>CONCATENATE("IMP",Commodities!C53,"BR",RIGHT(OILTrade!$P$76,2))</f>
        <v>IMPJTFBR</v>
      </c>
      <c r="D2255" s="365" t="str">
        <f>CONCATENATE("Import Barge/Vessel Trade of ",Commodities!C53, " to ",$B$2250," from ",OILTrade!$N$76)</f>
        <v>Import Barge/Vessel Trade of JTF to *R2 from R7</v>
      </c>
      <c r="E2255" s="381" t="s">
        <v>384</v>
      </c>
      <c r="F2255" s="381" t="s">
        <v>505</v>
      </c>
    </row>
    <row r="2256" spans="2:6">
      <c r="B2256" s="365" t="s">
        <v>1085</v>
      </c>
      <c r="C2256" s="365" t="str">
        <f>CONCATENATE("IMP",Commodities!C54,"BR",RIGHT(OILTrade!$P$76,2))</f>
        <v>IMPKERBR</v>
      </c>
      <c r="D2256" s="365" t="str">
        <f>CONCATENATE("Import Barge/Vessel Trade of ",Commodities!C54, " to ",$B$2250," from ",OILTrade!$N$76)</f>
        <v>Import Barge/Vessel Trade of KER to *R2 from R7</v>
      </c>
      <c r="E2256" s="381" t="s">
        <v>384</v>
      </c>
      <c r="F2256" s="381" t="s">
        <v>505</v>
      </c>
    </row>
    <row r="2257" spans="2:6">
      <c r="B2257" s="365" t="s">
        <v>1085</v>
      </c>
      <c r="C2257" s="365" t="str">
        <f>CONCATENATE("IMP",Commodities!C55,"BR",RIGHT(OILTrade!$P$76,2))</f>
        <v>IMPLPGBR</v>
      </c>
      <c r="D2257" s="365" t="str">
        <f>CONCATENATE("Import Barge/Vessel Trade of ",Commodities!C55, " to ",$B$2250," from ",OILTrade!$N$76)</f>
        <v>Import Barge/Vessel Trade of LPG to *R2 from R7</v>
      </c>
      <c r="E2257" s="381" t="s">
        <v>384</v>
      </c>
      <c r="F2257" s="381" t="s">
        <v>505</v>
      </c>
    </row>
    <row r="2258" spans="2:6">
      <c r="B2258" s="365" t="s">
        <v>1085</v>
      </c>
      <c r="C2258" s="365" t="str">
        <f>CONCATENATE("IMP",Commodities!C56,"BR",RIGHT(OILTrade!$P$76,2))</f>
        <v>IMPMTHBR</v>
      </c>
      <c r="D2258" s="365" t="str">
        <f>CONCATENATE("Import Barge/Vessel Trade of ",Commodities!C56, " to ",$B$2250," from ",OILTrade!$N$76)</f>
        <v>Import Barge/Vessel Trade of MTH to *R2 from R7</v>
      </c>
      <c r="E2258" s="381" t="s">
        <v>384</v>
      </c>
      <c r="F2258" s="381" t="s">
        <v>505</v>
      </c>
    </row>
    <row r="2259" spans="2:6">
      <c r="B2259" s="365" t="s">
        <v>1085</v>
      </c>
      <c r="C2259" s="365" t="str">
        <f>CONCATENATE("IMP",Commodities!C57,"BR",RIGHT(OILTrade!$P$76,2))</f>
        <v>IMPPFSBR</v>
      </c>
      <c r="D2259" s="365" t="str">
        <f>CONCATENATE("Import Barge/Vessel Trade of ",Commodities!C57, " to ",$B$2250," from ",OILTrade!$N$76)</f>
        <v>Import Barge/Vessel Trade of PFS to *R2 from R7</v>
      </c>
      <c r="E2259" s="381" t="s">
        <v>384</v>
      </c>
      <c r="F2259" s="381" t="s">
        <v>505</v>
      </c>
    </row>
    <row r="2260" spans="2:6">
      <c r="B2260" s="365" t="s">
        <v>1085</v>
      </c>
      <c r="C2260" s="365" t="str">
        <f>CONCATENATE("IMP",Commodities!C58,"BR",RIGHT(OILTrade!$P$76,2))</f>
        <v>IMPRFHBR</v>
      </c>
      <c r="D2260" s="365" t="str">
        <f>CONCATENATE("Import Barge/Vessel Trade of ",Commodities!C58, " to ",$B$2250," from ",OILTrade!$N$76)</f>
        <v>Import Barge/Vessel Trade of RFH to *R2 from R7</v>
      </c>
      <c r="E2260" s="381" t="s">
        <v>384</v>
      </c>
      <c r="F2260" s="381" t="s">
        <v>505</v>
      </c>
    </row>
    <row r="2261" spans="2:6">
      <c r="B2261" s="365" t="s">
        <v>1085</v>
      </c>
      <c r="C2261" s="365" t="str">
        <f>CONCATENATE("IMP",Commodities!C59,"BR",RIGHT(OILTrade!$P$76,2))</f>
        <v>IMPRFLBR</v>
      </c>
      <c r="D2261" s="365" t="str">
        <f>CONCATENATE("Import Barge/Vessel Trade of ",Commodities!C59, " to ",$B$2250," from ",OILTrade!$N$76)</f>
        <v>Import Barge/Vessel Trade of RFL to *R2 from R7</v>
      </c>
      <c r="E2261" s="381" t="s">
        <v>384</v>
      </c>
      <c r="F2261" s="381" t="s">
        <v>505</v>
      </c>
    </row>
    <row r="2262" spans="2:6">
      <c r="B2262" s="365" t="s">
        <v>1085</v>
      </c>
      <c r="C2262" s="365" t="str">
        <f>CONCATENATE("IMP",Commodities!C60,"BR",RIGHT(OILTrade!$P$76,2))</f>
        <v>IMPASPBR</v>
      </c>
      <c r="D2262" s="365" t="str">
        <f>CONCATENATE("Import Barge/Vessel Trade of ",Commodities!C60, " to ",$B$2250," from ",OILTrade!$N$76)</f>
        <v>Import Barge/Vessel Trade of ASP to *R2 from R7</v>
      </c>
      <c r="E2262" s="381" t="s">
        <v>384</v>
      </c>
      <c r="F2262" s="381" t="s">
        <v>505</v>
      </c>
    </row>
    <row r="2263" spans="2:6">
      <c r="B2263" s="365" t="s">
        <v>1086</v>
      </c>
      <c r="C2263" s="365" t="str">
        <f>CONCATENATE("IMP",Commodities!C48,"BR",RIGHT(OILTrade!$Q$71,2))</f>
        <v>IMPGSCBR</v>
      </c>
      <c r="D2263" s="365" t="str">
        <f>CONCATENATE("Import Barge/Vessel Trade of ",Commodities!C48, " to ",$B$2263," from ",OILTrade!$N$71)</f>
        <v>Import Barge/Vessel Trade of GSC to *R3 from R2</v>
      </c>
      <c r="E2263" s="381" t="s">
        <v>384</v>
      </c>
      <c r="F2263" s="381" t="s">
        <v>505</v>
      </c>
    </row>
    <row r="2264" spans="2:6">
      <c r="B2264" s="365" t="s">
        <v>1086</v>
      </c>
      <c r="C2264" s="365" t="str">
        <f>CONCATENATE("IMP",Commodities!C49,"BR",RIGHT(OILTrade!$Q$71,2))</f>
        <v>IMPGSRBR</v>
      </c>
      <c r="D2264" s="365" t="str">
        <f>CONCATENATE("Import Barge/Vessel Trade of ",Commodities!C49, " to ",$B$2263," from ",OILTrade!$N$71)</f>
        <v>Import Barge/Vessel Trade of GSR to *R3 from R2</v>
      </c>
      <c r="E2264" s="381" t="s">
        <v>384</v>
      </c>
      <c r="F2264" s="381" t="s">
        <v>505</v>
      </c>
    </row>
    <row r="2265" spans="2:6">
      <c r="B2265" s="365" t="s">
        <v>1086</v>
      </c>
      <c r="C2265" s="365" t="str">
        <f>CONCATENATE("IMP",Commodities!C50,"BR",RIGHT(OILTrade!$Q$71,2))</f>
        <v>IMPDSHBR</v>
      </c>
      <c r="D2265" s="365" t="str">
        <f>CONCATENATE("Import Barge/Vessel Trade of ",Commodities!C50, " to ",$B$2263," from ",OILTrade!$N$71)</f>
        <v>Import Barge/Vessel Trade of DSH to *R3 from R2</v>
      </c>
      <c r="E2265" s="381" t="s">
        <v>384</v>
      </c>
      <c r="F2265" s="381" t="s">
        <v>505</v>
      </c>
    </row>
    <row r="2266" spans="2:6">
      <c r="B2266" s="365" t="s">
        <v>1086</v>
      </c>
      <c r="C2266" s="365" t="str">
        <f>CONCATENATE("IMP",Commodities!C51,"BR",RIGHT(OILTrade!$Q$71,2))</f>
        <v>IMPDSLBR</v>
      </c>
      <c r="D2266" s="365" t="str">
        <f>CONCATENATE("Import Barge/Vessel Trade of ",Commodities!C51, " to ",$B$2263," from ",OILTrade!$N$71)</f>
        <v>Import Barge/Vessel Trade of DSL to *R3 from R2</v>
      </c>
      <c r="E2266" s="381" t="s">
        <v>384</v>
      </c>
      <c r="F2266" s="381" t="s">
        <v>505</v>
      </c>
    </row>
    <row r="2267" spans="2:6">
      <c r="B2267" s="365" t="s">
        <v>1086</v>
      </c>
      <c r="C2267" s="365" t="str">
        <f>CONCATENATE("IMP",Commodities!C52,"BR",RIGHT(OILTrade!$Q$71,2))</f>
        <v>IMPDSUBR</v>
      </c>
      <c r="D2267" s="365" t="str">
        <f>CONCATENATE("Import Barge/Vessel Trade of ",Commodities!C52, " to ",$B$2263," from ",OILTrade!$N$71)</f>
        <v>Import Barge/Vessel Trade of DSU to *R3 from R2</v>
      </c>
      <c r="E2267" s="381" t="s">
        <v>384</v>
      </c>
      <c r="F2267" s="381" t="s">
        <v>505</v>
      </c>
    </row>
    <row r="2268" spans="2:6">
      <c r="B2268" s="365" t="s">
        <v>1086</v>
      </c>
      <c r="C2268" s="365" t="str">
        <f>CONCATENATE("IMP",Commodities!C53,"BR",RIGHT(OILTrade!$Q$71,2))</f>
        <v>IMPJTFBR</v>
      </c>
      <c r="D2268" s="365" t="str">
        <f>CONCATENATE("Import Barge/Vessel Trade of ",Commodities!C53, " to ",$B$2263," from ",OILTrade!$N$71)</f>
        <v>Import Barge/Vessel Trade of JTF to *R3 from R2</v>
      </c>
      <c r="E2268" s="381" t="s">
        <v>384</v>
      </c>
      <c r="F2268" s="381" t="s">
        <v>505</v>
      </c>
    </row>
    <row r="2269" spans="2:6">
      <c r="B2269" s="365" t="s">
        <v>1086</v>
      </c>
      <c r="C2269" s="365" t="str">
        <f>CONCATENATE("IMP",Commodities!C54,"BR",RIGHT(OILTrade!$Q$71,2))</f>
        <v>IMPKERBR</v>
      </c>
      <c r="D2269" s="365" t="str">
        <f>CONCATENATE("Import Barge/Vessel Trade of ",Commodities!C54, " to ",$B$2263," from ",OILTrade!$N$71)</f>
        <v>Import Barge/Vessel Trade of KER to *R3 from R2</v>
      </c>
      <c r="E2269" s="381" t="s">
        <v>384</v>
      </c>
      <c r="F2269" s="381" t="s">
        <v>505</v>
      </c>
    </row>
    <row r="2270" spans="2:6">
      <c r="B2270" s="365" t="s">
        <v>1086</v>
      </c>
      <c r="C2270" s="365" t="str">
        <f>CONCATENATE("IMP",Commodities!C55,"BR",RIGHT(OILTrade!$Q$71,2))</f>
        <v>IMPLPGBR</v>
      </c>
      <c r="D2270" s="365" t="str">
        <f>CONCATENATE("Import Barge/Vessel Trade of ",Commodities!C55, " to ",$B$2263," from ",OILTrade!$N$71)</f>
        <v>Import Barge/Vessel Trade of LPG to *R3 from R2</v>
      </c>
      <c r="E2270" s="381" t="s">
        <v>384</v>
      </c>
      <c r="F2270" s="381" t="s">
        <v>505</v>
      </c>
    </row>
    <row r="2271" spans="2:6">
      <c r="B2271" s="365" t="s">
        <v>1086</v>
      </c>
      <c r="C2271" s="365" t="str">
        <f>CONCATENATE("IMP",Commodities!C56,"BR",RIGHT(OILTrade!$Q$71,2))</f>
        <v>IMPMTHBR</v>
      </c>
      <c r="D2271" s="365" t="str">
        <f>CONCATENATE("Import Barge/Vessel Trade of ",Commodities!C56, " to ",$B$2263," from ",OILTrade!$N$71)</f>
        <v>Import Barge/Vessel Trade of MTH to *R3 from R2</v>
      </c>
      <c r="E2271" s="381" t="s">
        <v>384</v>
      </c>
      <c r="F2271" s="381" t="s">
        <v>505</v>
      </c>
    </row>
    <row r="2272" spans="2:6">
      <c r="B2272" s="365" t="s">
        <v>1086</v>
      </c>
      <c r="C2272" s="365" t="str">
        <f>CONCATENATE("IMP",Commodities!C57,"BR",RIGHT(OILTrade!$Q$71,2))</f>
        <v>IMPPFSBR</v>
      </c>
      <c r="D2272" s="365" t="str">
        <f>CONCATENATE("Import Barge/Vessel Trade of ",Commodities!C57, " to ",$B$2263," from ",OILTrade!$N$71)</f>
        <v>Import Barge/Vessel Trade of PFS to *R3 from R2</v>
      </c>
      <c r="E2272" s="381" t="s">
        <v>384</v>
      </c>
      <c r="F2272" s="381" t="s">
        <v>505</v>
      </c>
    </row>
    <row r="2273" spans="2:6">
      <c r="B2273" s="365" t="s">
        <v>1086</v>
      </c>
      <c r="C2273" s="365" t="str">
        <f>CONCATENATE("IMP",Commodities!C58,"BR",RIGHT(OILTrade!$Q$71,2))</f>
        <v>IMPRFHBR</v>
      </c>
      <c r="D2273" s="365" t="str">
        <f>CONCATENATE("Import Barge/Vessel Trade of ",Commodities!C58, " to ",$B$2263," from ",OILTrade!$N$71)</f>
        <v>Import Barge/Vessel Trade of RFH to *R3 from R2</v>
      </c>
      <c r="E2273" s="381" t="s">
        <v>384</v>
      </c>
      <c r="F2273" s="381" t="s">
        <v>505</v>
      </c>
    </row>
    <row r="2274" spans="2:6">
      <c r="B2274" s="365" t="s">
        <v>1086</v>
      </c>
      <c r="C2274" s="365" t="str">
        <f>CONCATENATE("IMP",Commodities!C59,"BR",RIGHT(OILTrade!$Q$71,2))</f>
        <v>IMPRFLBR</v>
      </c>
      <c r="D2274" s="365" t="str">
        <f>CONCATENATE("Import Barge/Vessel Trade of ",Commodities!C59, " to ",$B$2263," from ",OILTrade!$N$71)</f>
        <v>Import Barge/Vessel Trade of RFL to *R3 from R2</v>
      </c>
      <c r="E2274" s="381" t="s">
        <v>384</v>
      </c>
      <c r="F2274" s="381" t="s">
        <v>505</v>
      </c>
    </row>
    <row r="2275" spans="2:6">
      <c r="B2275" s="365" t="s">
        <v>1086</v>
      </c>
      <c r="C2275" s="365" t="str">
        <f>CONCATENATE("IMP",Commodities!C60,"BR",RIGHT(OILTrade!$Q$71,2))</f>
        <v>IMPASPBR</v>
      </c>
      <c r="D2275" s="365" t="str">
        <f>CONCATENATE("Import Barge/Vessel Trade of ",Commodities!C60, " to ",$B$2263," from ",OILTrade!$N$71)</f>
        <v>Import Barge/Vessel Trade of ASP to *R3 from R2</v>
      </c>
      <c r="E2275" s="381" t="s">
        <v>384</v>
      </c>
      <c r="F2275" s="381" t="s">
        <v>505</v>
      </c>
    </row>
    <row r="2276" spans="2:6">
      <c r="B2276" s="365" t="s">
        <v>1086</v>
      </c>
      <c r="C2276" s="365" t="str">
        <f>CONCATENATE("IMP",Commodities!C48,"BR",RIGHT(OILTrade!$Q$74,2))</f>
        <v>IMPGSCBR</v>
      </c>
      <c r="D2276" s="365" t="str">
        <f>CONCATENATE("Import Barge/Vessel Trade of ",Commodities!C48, " to ",$B$2276," from ",OILTrade!$N$74)</f>
        <v>Import Barge/Vessel Trade of GSC to *R3 from R5</v>
      </c>
      <c r="E2276" s="381" t="s">
        <v>384</v>
      </c>
      <c r="F2276" s="381" t="s">
        <v>505</v>
      </c>
    </row>
    <row r="2277" spans="2:6">
      <c r="B2277" s="365" t="s">
        <v>1086</v>
      </c>
      <c r="C2277" s="365" t="str">
        <f>CONCATENATE("IMP",Commodities!C49,"BR",RIGHT(OILTrade!$Q$74,2))</f>
        <v>IMPGSRBR</v>
      </c>
      <c r="D2277" s="365" t="str">
        <f>CONCATENATE("Import Barge/Vessel Trade of ",Commodities!C49, " to ",$B$2276," from ",OILTrade!$N$74)</f>
        <v>Import Barge/Vessel Trade of GSR to *R3 from R5</v>
      </c>
      <c r="E2277" s="381" t="s">
        <v>384</v>
      </c>
      <c r="F2277" s="381" t="s">
        <v>505</v>
      </c>
    </row>
    <row r="2278" spans="2:6">
      <c r="B2278" s="365" t="s">
        <v>1086</v>
      </c>
      <c r="C2278" s="365" t="str">
        <f>CONCATENATE("IMP",Commodities!C50,"BR",RIGHT(OILTrade!$Q$74,2))</f>
        <v>IMPDSHBR</v>
      </c>
      <c r="D2278" s="365" t="str">
        <f>CONCATENATE("Import Barge/Vessel Trade of ",Commodities!C50, " to ",$B$2276," from ",OILTrade!$N$74)</f>
        <v>Import Barge/Vessel Trade of DSH to *R3 from R5</v>
      </c>
      <c r="E2278" s="381" t="s">
        <v>384</v>
      </c>
      <c r="F2278" s="381" t="s">
        <v>505</v>
      </c>
    </row>
    <row r="2279" spans="2:6">
      <c r="B2279" s="365" t="s">
        <v>1086</v>
      </c>
      <c r="C2279" s="365" t="str">
        <f>CONCATENATE("IMP",Commodities!C51,"BR",RIGHT(OILTrade!$Q$74,2))</f>
        <v>IMPDSLBR</v>
      </c>
      <c r="D2279" s="365" t="str">
        <f>CONCATENATE("Import Barge/Vessel Trade of ",Commodities!C51, " to ",$B$2276," from ",OILTrade!$N$74)</f>
        <v>Import Barge/Vessel Trade of DSL to *R3 from R5</v>
      </c>
      <c r="E2279" s="381" t="s">
        <v>384</v>
      </c>
      <c r="F2279" s="381" t="s">
        <v>505</v>
      </c>
    </row>
    <row r="2280" spans="2:6">
      <c r="B2280" s="365" t="s">
        <v>1086</v>
      </c>
      <c r="C2280" s="365" t="str">
        <f>CONCATENATE("IMP",Commodities!C52,"BR",RIGHT(OILTrade!$Q$74,2))</f>
        <v>IMPDSUBR</v>
      </c>
      <c r="D2280" s="365" t="str">
        <f>CONCATENATE("Import Barge/Vessel Trade of ",Commodities!C52, " to ",$B$2276," from ",OILTrade!$N$74)</f>
        <v>Import Barge/Vessel Trade of DSU to *R3 from R5</v>
      </c>
      <c r="E2280" s="381" t="s">
        <v>384</v>
      </c>
      <c r="F2280" s="381" t="s">
        <v>505</v>
      </c>
    </row>
    <row r="2281" spans="2:6">
      <c r="B2281" s="365" t="s">
        <v>1086</v>
      </c>
      <c r="C2281" s="365" t="str">
        <f>CONCATENATE("IMP",Commodities!C53,"BR",RIGHT(OILTrade!$Q$74,2))</f>
        <v>IMPJTFBR</v>
      </c>
      <c r="D2281" s="365" t="str">
        <f>CONCATENATE("Import Barge/Vessel Trade of ",Commodities!C53, " to ",$B$2276," from ",OILTrade!$N$74)</f>
        <v>Import Barge/Vessel Trade of JTF to *R3 from R5</v>
      </c>
      <c r="E2281" s="381" t="s">
        <v>384</v>
      </c>
      <c r="F2281" s="381" t="s">
        <v>505</v>
      </c>
    </row>
    <row r="2282" spans="2:6">
      <c r="B2282" s="365" t="s">
        <v>1086</v>
      </c>
      <c r="C2282" s="365" t="str">
        <f>CONCATENATE("IMP",Commodities!C54,"BR",RIGHT(OILTrade!$Q$74,2))</f>
        <v>IMPKERBR</v>
      </c>
      <c r="D2282" s="365" t="str">
        <f>CONCATENATE("Import Barge/Vessel Trade of ",Commodities!C54, " to ",$B$2276," from ",OILTrade!$N$74)</f>
        <v>Import Barge/Vessel Trade of KER to *R3 from R5</v>
      </c>
      <c r="E2282" s="381" t="s">
        <v>384</v>
      </c>
      <c r="F2282" s="381" t="s">
        <v>505</v>
      </c>
    </row>
    <row r="2283" spans="2:6">
      <c r="B2283" s="365" t="s">
        <v>1086</v>
      </c>
      <c r="C2283" s="365" t="str">
        <f>CONCATENATE("IMP",Commodities!C55,"BR",RIGHT(OILTrade!$Q$74,2))</f>
        <v>IMPLPGBR</v>
      </c>
      <c r="D2283" s="365" t="str">
        <f>CONCATENATE("Import Barge/Vessel Trade of ",Commodities!C55, " to ",$B$2276," from ",OILTrade!$N$74)</f>
        <v>Import Barge/Vessel Trade of LPG to *R3 from R5</v>
      </c>
      <c r="E2283" s="381" t="s">
        <v>384</v>
      </c>
      <c r="F2283" s="381" t="s">
        <v>505</v>
      </c>
    </row>
    <row r="2284" spans="2:6">
      <c r="B2284" s="365" t="s">
        <v>1086</v>
      </c>
      <c r="C2284" s="365" t="str">
        <f>CONCATENATE("IMP",Commodities!C56,"BR",RIGHT(OILTrade!$Q$74,2))</f>
        <v>IMPMTHBR</v>
      </c>
      <c r="D2284" s="365" t="str">
        <f>CONCATENATE("Import Barge/Vessel Trade of ",Commodities!C56, " to ",$B$2276," from ",OILTrade!$N$74)</f>
        <v>Import Barge/Vessel Trade of MTH to *R3 from R5</v>
      </c>
      <c r="E2284" s="381" t="s">
        <v>384</v>
      </c>
      <c r="F2284" s="381" t="s">
        <v>505</v>
      </c>
    </row>
    <row r="2285" spans="2:6">
      <c r="B2285" s="365" t="s">
        <v>1086</v>
      </c>
      <c r="C2285" s="365" t="str">
        <f>CONCATENATE("IMP",Commodities!C57,"BR",RIGHT(OILTrade!$Q$74,2))</f>
        <v>IMPPFSBR</v>
      </c>
      <c r="D2285" s="365" t="str">
        <f>CONCATENATE("Import Barge/Vessel Trade of ",Commodities!C57, " to ",$B$2276," from ",OILTrade!$N$74)</f>
        <v>Import Barge/Vessel Trade of PFS to *R3 from R5</v>
      </c>
      <c r="E2285" s="381" t="s">
        <v>384</v>
      </c>
      <c r="F2285" s="381" t="s">
        <v>505</v>
      </c>
    </row>
    <row r="2286" spans="2:6">
      <c r="B2286" s="365" t="s">
        <v>1086</v>
      </c>
      <c r="C2286" s="365" t="str">
        <f>CONCATENATE("IMP",Commodities!C58,"BR",RIGHT(OILTrade!$Q$74,2))</f>
        <v>IMPRFHBR</v>
      </c>
      <c r="D2286" s="365" t="str">
        <f>CONCATENATE("Import Barge/Vessel Trade of ",Commodities!C58, " to ",$B$2276," from ",OILTrade!$N$74)</f>
        <v>Import Barge/Vessel Trade of RFH to *R3 from R5</v>
      </c>
      <c r="E2286" s="381" t="s">
        <v>384</v>
      </c>
      <c r="F2286" s="381" t="s">
        <v>505</v>
      </c>
    </row>
    <row r="2287" spans="2:6">
      <c r="B2287" s="365" t="s">
        <v>1086</v>
      </c>
      <c r="C2287" s="365" t="str">
        <f>CONCATENATE("IMP",Commodities!C59,"BR",RIGHT(OILTrade!$Q$74,2))</f>
        <v>IMPRFLBR</v>
      </c>
      <c r="D2287" s="365" t="str">
        <f>CONCATENATE("Import Barge/Vessel Trade of ",Commodities!C59, " to ",$B$2276," from ",OILTrade!$N$74)</f>
        <v>Import Barge/Vessel Trade of RFL to *R3 from R5</v>
      </c>
      <c r="E2287" s="381" t="s">
        <v>384</v>
      </c>
      <c r="F2287" s="381" t="s">
        <v>505</v>
      </c>
    </row>
    <row r="2288" spans="2:6">
      <c r="B2288" s="365" t="s">
        <v>1086</v>
      </c>
      <c r="C2288" s="365" t="str">
        <f>CONCATENATE("IMP",Commodities!C60,"BR",RIGHT(OILTrade!$Q$74,2))</f>
        <v>IMPASPBR</v>
      </c>
      <c r="D2288" s="365" t="str">
        <f>CONCATENATE("Import Barge/Vessel Trade of ",Commodities!C60, " to ",$B$2276," from ",OILTrade!$N$74)</f>
        <v>Import Barge/Vessel Trade of ASP to *R3 from R5</v>
      </c>
      <c r="E2288" s="381" t="s">
        <v>384</v>
      </c>
      <c r="F2288" s="381" t="s">
        <v>505</v>
      </c>
    </row>
    <row r="2289" spans="2:6">
      <c r="B2289" s="365" t="s">
        <v>1086</v>
      </c>
      <c r="C2289" s="365" t="str">
        <f>CONCATENATE("IMP",Commodities!C48,"BR",RIGHT(OILTrade!$Q$75,2))</f>
        <v>IMPGSCBR63</v>
      </c>
      <c r="D2289" s="365" t="str">
        <f>CONCATENATE("Import Barge/Vessel Trade of ",Commodities!C48, " to ",$B$2289," from ",OILTrade!$N$75)</f>
        <v>Import Barge/Vessel Trade of GSC to *R3 from R6</v>
      </c>
      <c r="E2289" s="381" t="s">
        <v>384</v>
      </c>
      <c r="F2289" s="381" t="s">
        <v>505</v>
      </c>
    </row>
    <row r="2290" spans="2:6">
      <c r="B2290" s="365" t="s">
        <v>1086</v>
      </c>
      <c r="C2290" s="365" t="str">
        <f>CONCATENATE("IMP",Commodities!C49,"BR",RIGHT(OILTrade!$Q$75,2))</f>
        <v>IMPGSRBR63</v>
      </c>
      <c r="D2290" s="365" t="str">
        <f>CONCATENATE("Import Barge/Vessel Trade of ",Commodities!C49, " to ",$B$2289," from ",OILTrade!$N$75)</f>
        <v>Import Barge/Vessel Trade of GSR to *R3 from R6</v>
      </c>
      <c r="E2290" s="381" t="s">
        <v>384</v>
      </c>
      <c r="F2290" s="381" t="s">
        <v>505</v>
      </c>
    </row>
    <row r="2291" spans="2:6">
      <c r="B2291" s="365" t="s">
        <v>1086</v>
      </c>
      <c r="C2291" s="365" t="str">
        <f>CONCATENATE("IMP",Commodities!C50,"BR",RIGHT(OILTrade!$Q$75,2))</f>
        <v>IMPDSHBR63</v>
      </c>
      <c r="D2291" s="365" t="str">
        <f>CONCATENATE("Import Barge/Vessel Trade of ",Commodities!C50, " to ",$B$2289," from ",OILTrade!$N$75)</f>
        <v>Import Barge/Vessel Trade of DSH to *R3 from R6</v>
      </c>
      <c r="E2291" s="381" t="s">
        <v>384</v>
      </c>
      <c r="F2291" s="381" t="s">
        <v>505</v>
      </c>
    </row>
    <row r="2292" spans="2:6">
      <c r="B2292" s="365" t="s">
        <v>1086</v>
      </c>
      <c r="C2292" s="365" t="str">
        <f>CONCATENATE("IMP",Commodities!C51,"BR",RIGHT(OILTrade!$Q$75,2))</f>
        <v>IMPDSLBR63</v>
      </c>
      <c r="D2292" s="365" t="str">
        <f>CONCATENATE("Import Barge/Vessel Trade of ",Commodities!C51, " to ",$B$2289," from ",OILTrade!$N$75)</f>
        <v>Import Barge/Vessel Trade of DSL to *R3 from R6</v>
      </c>
      <c r="E2292" s="381" t="s">
        <v>384</v>
      </c>
      <c r="F2292" s="381" t="s">
        <v>505</v>
      </c>
    </row>
    <row r="2293" spans="2:6">
      <c r="B2293" s="365" t="s">
        <v>1086</v>
      </c>
      <c r="C2293" s="365" t="str">
        <f>CONCATENATE("IMP",Commodities!C52,"BR",RIGHT(OILTrade!$Q$75,2))</f>
        <v>IMPDSUBR63</v>
      </c>
      <c r="D2293" s="365" t="str">
        <f>CONCATENATE("Import Barge/Vessel Trade of ",Commodities!C52, " to ",$B$2289," from ",OILTrade!$N$75)</f>
        <v>Import Barge/Vessel Trade of DSU to *R3 from R6</v>
      </c>
      <c r="E2293" s="381" t="s">
        <v>384</v>
      </c>
      <c r="F2293" s="381" t="s">
        <v>505</v>
      </c>
    </row>
    <row r="2294" spans="2:6">
      <c r="B2294" s="365" t="s">
        <v>1086</v>
      </c>
      <c r="C2294" s="365" t="str">
        <f>CONCATENATE("IMP",Commodities!C53,"BR",RIGHT(OILTrade!$Q$75,2))</f>
        <v>IMPJTFBR63</v>
      </c>
      <c r="D2294" s="365" t="str">
        <f>CONCATENATE("Import Barge/Vessel Trade of ",Commodities!C53, " to ",$B$2289," from ",OILTrade!$N$75)</f>
        <v>Import Barge/Vessel Trade of JTF to *R3 from R6</v>
      </c>
      <c r="E2294" s="381" t="s">
        <v>384</v>
      </c>
      <c r="F2294" s="381" t="s">
        <v>505</v>
      </c>
    </row>
    <row r="2295" spans="2:6">
      <c r="B2295" s="365" t="s">
        <v>1086</v>
      </c>
      <c r="C2295" s="365" t="str">
        <f>CONCATENATE("IMP",Commodities!C54,"BR",RIGHT(OILTrade!$Q$75,2))</f>
        <v>IMPKERBR63</v>
      </c>
      <c r="D2295" s="365" t="str">
        <f>CONCATENATE("Import Barge/Vessel Trade of ",Commodities!C54, " to ",$B$2289," from ",OILTrade!$N$75)</f>
        <v>Import Barge/Vessel Trade of KER to *R3 from R6</v>
      </c>
      <c r="E2295" s="381" t="s">
        <v>384</v>
      </c>
      <c r="F2295" s="381" t="s">
        <v>505</v>
      </c>
    </row>
    <row r="2296" spans="2:6">
      <c r="B2296" s="365" t="s">
        <v>1086</v>
      </c>
      <c r="C2296" s="365" t="str">
        <f>CONCATENATE("IMP",Commodities!C55,"BR",RIGHT(OILTrade!$Q$75,2))</f>
        <v>IMPLPGBR63</v>
      </c>
      <c r="D2296" s="365" t="str">
        <f>CONCATENATE("Import Barge/Vessel Trade of ",Commodities!C55, " to ",$B$2289," from ",OILTrade!$N$75)</f>
        <v>Import Barge/Vessel Trade of LPG to *R3 from R6</v>
      </c>
      <c r="E2296" s="381" t="s">
        <v>384</v>
      </c>
      <c r="F2296" s="381" t="s">
        <v>505</v>
      </c>
    </row>
    <row r="2297" spans="2:6">
      <c r="B2297" s="365" t="s">
        <v>1086</v>
      </c>
      <c r="C2297" s="365" t="str">
        <f>CONCATENATE("IMP",Commodities!C56,"BR",RIGHT(OILTrade!$Q$75,2))</f>
        <v>IMPMTHBR63</v>
      </c>
      <c r="D2297" s="365" t="str">
        <f>CONCATENATE("Import Barge/Vessel Trade of ",Commodities!C56, " to ",$B$2289," from ",OILTrade!$N$75)</f>
        <v>Import Barge/Vessel Trade of MTH to *R3 from R6</v>
      </c>
      <c r="E2297" s="381" t="s">
        <v>384</v>
      </c>
      <c r="F2297" s="381" t="s">
        <v>505</v>
      </c>
    </row>
    <row r="2298" spans="2:6">
      <c r="B2298" s="365" t="s">
        <v>1086</v>
      </c>
      <c r="C2298" s="365" t="str">
        <f>CONCATENATE("IMP",Commodities!C57,"BR",RIGHT(OILTrade!$Q$75,2))</f>
        <v>IMPPFSBR63</v>
      </c>
      <c r="D2298" s="365" t="str">
        <f>CONCATENATE("Import Barge/Vessel Trade of ",Commodities!C57, " to ",$B$2289," from ",OILTrade!$N$75)</f>
        <v>Import Barge/Vessel Trade of PFS to *R3 from R6</v>
      </c>
      <c r="E2298" s="381" t="s">
        <v>384</v>
      </c>
      <c r="F2298" s="381" t="s">
        <v>505</v>
      </c>
    </row>
    <row r="2299" spans="2:6">
      <c r="B2299" s="365" t="s">
        <v>1086</v>
      </c>
      <c r="C2299" s="365" t="str">
        <f>CONCATENATE("IMP",Commodities!C58,"BR",RIGHT(OILTrade!$Q$75,2))</f>
        <v>IMPRFHBR63</v>
      </c>
      <c r="D2299" s="365" t="str">
        <f>CONCATENATE("Import Barge/Vessel Trade of ",Commodities!C58, " to ",$B$2289," from ",OILTrade!$N$75)</f>
        <v>Import Barge/Vessel Trade of RFH to *R3 from R6</v>
      </c>
      <c r="E2299" s="381" t="s">
        <v>384</v>
      </c>
      <c r="F2299" s="381" t="s">
        <v>505</v>
      </c>
    </row>
    <row r="2300" spans="2:6">
      <c r="B2300" s="365" t="s">
        <v>1086</v>
      </c>
      <c r="C2300" s="365" t="str">
        <f>CONCATENATE("IMP",Commodities!C59,"BR",RIGHT(OILTrade!$Q$75,2))</f>
        <v>IMPRFLBR63</v>
      </c>
      <c r="D2300" s="365" t="str">
        <f>CONCATENATE("Import Barge/Vessel Trade of ",Commodities!C59, " to ",$B$2289," from ",OILTrade!$N$75)</f>
        <v>Import Barge/Vessel Trade of RFL to *R3 from R6</v>
      </c>
      <c r="E2300" s="381" t="s">
        <v>384</v>
      </c>
      <c r="F2300" s="381" t="s">
        <v>505</v>
      </c>
    </row>
    <row r="2301" spans="2:6">
      <c r="B2301" s="365" t="s">
        <v>1086</v>
      </c>
      <c r="C2301" s="365" t="str">
        <f>CONCATENATE("IMP",Commodities!C60,"BR",RIGHT(OILTrade!$Q$75,2))</f>
        <v>IMPASPBR63</v>
      </c>
      <c r="D2301" s="365" t="str">
        <f>CONCATENATE("Import Barge/Vessel Trade of ",Commodities!C60, " to ",$B$2289," from ",OILTrade!$N$75)</f>
        <v>Import Barge/Vessel Trade of ASP to *R3 from R6</v>
      </c>
      <c r="E2301" s="381" t="s">
        <v>384</v>
      </c>
      <c r="F2301" s="381" t="s">
        <v>505</v>
      </c>
    </row>
    <row r="2302" spans="2:6">
      <c r="B2302" s="365" t="s">
        <v>1086</v>
      </c>
      <c r="C2302" s="365" t="str">
        <f>CONCATENATE("IMP",Commodities!C48,"BR",RIGHT(OILTrade!$Q$76,2))</f>
        <v>IMPGSCBR</v>
      </c>
      <c r="D2302" s="365" t="str">
        <f>CONCATENATE("Import Barge/Vessel Trade of ",Commodities!C48, " to ",$B$2302," from ",OILTrade!$N$76)</f>
        <v>Import Barge/Vessel Trade of GSC to *R3 from R7</v>
      </c>
      <c r="E2302" s="381" t="s">
        <v>384</v>
      </c>
      <c r="F2302" s="381" t="s">
        <v>505</v>
      </c>
    </row>
    <row r="2303" spans="2:6">
      <c r="B2303" s="365" t="s">
        <v>1086</v>
      </c>
      <c r="C2303" s="365" t="str">
        <f>CONCATENATE("IMP",Commodities!C49,"BR",RIGHT(OILTrade!$Q$76,2))</f>
        <v>IMPGSRBR</v>
      </c>
      <c r="D2303" s="365" t="str">
        <f>CONCATENATE("Import Barge/Vessel Trade of ",Commodities!C49, " to ",$B$2302," from ",OILTrade!$N$76)</f>
        <v>Import Barge/Vessel Trade of GSR to *R3 from R7</v>
      </c>
      <c r="E2303" s="381" t="s">
        <v>384</v>
      </c>
      <c r="F2303" s="381" t="s">
        <v>505</v>
      </c>
    </row>
    <row r="2304" spans="2:6">
      <c r="B2304" s="365" t="s">
        <v>1086</v>
      </c>
      <c r="C2304" s="365" t="str">
        <f>CONCATENATE("IMP",Commodities!C50,"BR",RIGHT(OILTrade!$Q$76,2))</f>
        <v>IMPDSHBR</v>
      </c>
      <c r="D2304" s="365" t="str">
        <f>CONCATENATE("Import Barge/Vessel Trade of ",Commodities!C50, " to ",$B$2302," from ",OILTrade!$N$76)</f>
        <v>Import Barge/Vessel Trade of DSH to *R3 from R7</v>
      </c>
      <c r="E2304" s="381" t="s">
        <v>384</v>
      </c>
      <c r="F2304" s="381" t="s">
        <v>505</v>
      </c>
    </row>
    <row r="2305" spans="2:6">
      <c r="B2305" s="365" t="s">
        <v>1086</v>
      </c>
      <c r="C2305" s="365" t="str">
        <f>CONCATENATE("IMP",Commodities!C51,"BR",RIGHT(OILTrade!$Q$76,2))</f>
        <v>IMPDSLBR</v>
      </c>
      <c r="D2305" s="365" t="str">
        <f>CONCATENATE("Import Barge/Vessel Trade of ",Commodities!C51, " to ",$B$2302," from ",OILTrade!$N$76)</f>
        <v>Import Barge/Vessel Trade of DSL to *R3 from R7</v>
      </c>
      <c r="E2305" s="381" t="s">
        <v>384</v>
      </c>
      <c r="F2305" s="381" t="s">
        <v>505</v>
      </c>
    </row>
    <row r="2306" spans="2:6">
      <c r="B2306" s="365" t="s">
        <v>1086</v>
      </c>
      <c r="C2306" s="365" t="str">
        <f>CONCATENATE("IMP",Commodities!C52,"BR",RIGHT(OILTrade!$Q$76,2))</f>
        <v>IMPDSUBR</v>
      </c>
      <c r="D2306" s="365" t="str">
        <f>CONCATENATE("Import Barge/Vessel Trade of ",Commodities!C52, " to ",$B$2302," from ",OILTrade!$N$76)</f>
        <v>Import Barge/Vessel Trade of DSU to *R3 from R7</v>
      </c>
      <c r="E2306" s="381" t="s">
        <v>384</v>
      </c>
      <c r="F2306" s="381" t="s">
        <v>505</v>
      </c>
    </row>
    <row r="2307" spans="2:6">
      <c r="B2307" s="365" t="s">
        <v>1086</v>
      </c>
      <c r="C2307" s="365" t="str">
        <f>CONCATENATE("IMP",Commodities!C53,"BR",RIGHT(OILTrade!$Q$76,2))</f>
        <v>IMPJTFBR</v>
      </c>
      <c r="D2307" s="365" t="str">
        <f>CONCATENATE("Import Barge/Vessel Trade of ",Commodities!C53, " to ",$B$2302," from ",OILTrade!$N$76)</f>
        <v>Import Barge/Vessel Trade of JTF to *R3 from R7</v>
      </c>
      <c r="E2307" s="381" t="s">
        <v>384</v>
      </c>
      <c r="F2307" s="381" t="s">
        <v>505</v>
      </c>
    </row>
    <row r="2308" spans="2:6">
      <c r="B2308" s="365" t="s">
        <v>1086</v>
      </c>
      <c r="C2308" s="365" t="str">
        <f>CONCATENATE("IMP",Commodities!C54,"BR",RIGHT(OILTrade!$Q$76,2))</f>
        <v>IMPKERBR</v>
      </c>
      <c r="D2308" s="365" t="str">
        <f>CONCATENATE("Import Barge/Vessel Trade of ",Commodities!C54, " to ",$B$2302," from ",OILTrade!$N$76)</f>
        <v>Import Barge/Vessel Trade of KER to *R3 from R7</v>
      </c>
      <c r="E2308" s="381" t="s">
        <v>384</v>
      </c>
      <c r="F2308" s="381" t="s">
        <v>505</v>
      </c>
    </row>
    <row r="2309" spans="2:6">
      <c r="B2309" s="365" t="s">
        <v>1086</v>
      </c>
      <c r="C2309" s="365" t="str">
        <f>CONCATENATE("IMP",Commodities!C55,"BR",RIGHT(OILTrade!$Q$76,2))</f>
        <v>IMPLPGBR</v>
      </c>
      <c r="D2309" s="365" t="str">
        <f>CONCATENATE("Import Barge/Vessel Trade of ",Commodities!C55, " to ",$B$2302," from ",OILTrade!$N$76)</f>
        <v>Import Barge/Vessel Trade of LPG to *R3 from R7</v>
      </c>
      <c r="E2309" s="381" t="s">
        <v>384</v>
      </c>
      <c r="F2309" s="381" t="s">
        <v>505</v>
      </c>
    </row>
    <row r="2310" spans="2:6">
      <c r="B2310" s="365" t="s">
        <v>1086</v>
      </c>
      <c r="C2310" s="365" t="str">
        <f>CONCATENATE("IMP",Commodities!C56,"BR",RIGHT(OILTrade!$Q$76,2))</f>
        <v>IMPMTHBR</v>
      </c>
      <c r="D2310" s="365" t="str">
        <f>CONCATENATE("Import Barge/Vessel Trade of ",Commodities!C56, " to ",$B$2302," from ",OILTrade!$N$76)</f>
        <v>Import Barge/Vessel Trade of MTH to *R3 from R7</v>
      </c>
      <c r="E2310" s="381" t="s">
        <v>384</v>
      </c>
      <c r="F2310" s="381" t="s">
        <v>505</v>
      </c>
    </row>
    <row r="2311" spans="2:6">
      <c r="B2311" s="365" t="s">
        <v>1086</v>
      </c>
      <c r="C2311" s="365" t="str">
        <f>CONCATENATE("IMP",Commodities!C57,"BR",RIGHT(OILTrade!$Q$76,2))</f>
        <v>IMPPFSBR</v>
      </c>
      <c r="D2311" s="365" t="str">
        <f>CONCATENATE("Import Barge/Vessel Trade of ",Commodities!C57, " to ",$B$2302," from ",OILTrade!$N$76)</f>
        <v>Import Barge/Vessel Trade of PFS to *R3 from R7</v>
      </c>
      <c r="E2311" s="381" t="s">
        <v>384</v>
      </c>
      <c r="F2311" s="381" t="s">
        <v>505</v>
      </c>
    </row>
    <row r="2312" spans="2:6">
      <c r="B2312" s="365" t="s">
        <v>1086</v>
      </c>
      <c r="C2312" s="365" t="str">
        <f>CONCATENATE("IMP",Commodities!C58,"BR",RIGHT(OILTrade!$Q$76,2))</f>
        <v>IMPRFHBR</v>
      </c>
      <c r="D2312" s="365" t="str">
        <f>CONCATENATE("Import Barge/Vessel Trade of ",Commodities!C58, " to ",$B$2302," from ",OILTrade!$N$76)</f>
        <v>Import Barge/Vessel Trade of RFH to *R3 from R7</v>
      </c>
      <c r="E2312" s="381" t="s">
        <v>384</v>
      </c>
      <c r="F2312" s="381" t="s">
        <v>505</v>
      </c>
    </row>
    <row r="2313" spans="2:6">
      <c r="B2313" s="365" t="s">
        <v>1086</v>
      </c>
      <c r="C2313" s="365" t="str">
        <f>CONCATENATE("IMP",Commodities!C59,"BR",RIGHT(OILTrade!$Q$76,2))</f>
        <v>IMPRFLBR</v>
      </c>
      <c r="D2313" s="365" t="str">
        <f>CONCATENATE("Import Barge/Vessel Trade of ",Commodities!C59, " to ",$B$2302," from ",OILTrade!$N$76)</f>
        <v>Import Barge/Vessel Trade of RFL to *R3 from R7</v>
      </c>
      <c r="E2313" s="381" t="s">
        <v>384</v>
      </c>
      <c r="F2313" s="381" t="s">
        <v>505</v>
      </c>
    </row>
    <row r="2314" spans="2:6">
      <c r="B2314" s="365" t="s">
        <v>1086</v>
      </c>
      <c r="C2314" s="365" t="str">
        <f>CONCATENATE("IMP",Commodities!C60,"BR",RIGHT(OILTrade!$Q$76,2))</f>
        <v>IMPASPBR</v>
      </c>
      <c r="D2314" s="365" t="str">
        <f>CONCATENATE("Import Barge/Vessel Trade of ",Commodities!C60, " to ",$B$2302," from ",OILTrade!$N$76)</f>
        <v>Import Barge/Vessel Trade of ASP to *R3 from R7</v>
      </c>
      <c r="E2314" s="381" t="s">
        <v>384</v>
      </c>
      <c r="F2314" s="381" t="s">
        <v>505</v>
      </c>
    </row>
    <row r="2315" spans="2:6">
      <c r="B2315" s="365" t="s">
        <v>1087</v>
      </c>
      <c r="C2315" s="365" t="str">
        <f>CONCATENATE("IMP",Commodities!C48,"BR",RIGHT(OILTrade!$R$75,2))</f>
        <v>IMPGSCBR64</v>
      </c>
      <c r="D2315" s="365" t="str">
        <f>CONCATENATE("Import Barge/Vessel Trade of ",Commodities!C48, " to ",$B$2315," from ",OILTrade!$N$75)</f>
        <v>Import Barge/Vessel Trade of GSC to *R4 from R6</v>
      </c>
      <c r="E2315" s="381" t="s">
        <v>384</v>
      </c>
      <c r="F2315" s="381" t="s">
        <v>505</v>
      </c>
    </row>
    <row r="2316" spans="2:6">
      <c r="B2316" s="365" t="s">
        <v>1087</v>
      </c>
      <c r="C2316" s="365" t="str">
        <f>CONCATENATE("IMP",Commodities!C49,"BR",RIGHT(OILTrade!$R$75,2))</f>
        <v>IMPGSRBR64</v>
      </c>
      <c r="D2316" s="365" t="str">
        <f>CONCATENATE("Import Barge/Vessel Trade of ",Commodities!C49, " to ",$B$2315," from ",OILTrade!$N$75)</f>
        <v>Import Barge/Vessel Trade of GSR to *R4 from R6</v>
      </c>
      <c r="E2316" s="381" t="s">
        <v>384</v>
      </c>
      <c r="F2316" s="381" t="s">
        <v>505</v>
      </c>
    </row>
    <row r="2317" spans="2:6">
      <c r="B2317" s="365" t="s">
        <v>1087</v>
      </c>
      <c r="C2317" s="365" t="str">
        <f>CONCATENATE("IMP",Commodities!C50,"BR",RIGHT(OILTrade!$R$75,2))</f>
        <v>IMPDSHBR64</v>
      </c>
      <c r="D2317" s="365" t="str">
        <f>CONCATENATE("Import Barge/Vessel Trade of ",Commodities!C50, " to ",$B$2315," from ",OILTrade!$N$75)</f>
        <v>Import Barge/Vessel Trade of DSH to *R4 from R6</v>
      </c>
      <c r="E2317" s="381" t="s">
        <v>384</v>
      </c>
      <c r="F2317" s="381" t="s">
        <v>505</v>
      </c>
    </row>
    <row r="2318" spans="2:6">
      <c r="B2318" s="365" t="s">
        <v>1087</v>
      </c>
      <c r="C2318" s="365" t="str">
        <f>CONCATENATE("IMP",Commodities!C51,"BR",RIGHT(OILTrade!$R$75,2))</f>
        <v>IMPDSLBR64</v>
      </c>
      <c r="D2318" s="365" t="str">
        <f>CONCATENATE("Import Barge/Vessel Trade of ",Commodities!C51, " to ",$B$2315," from ",OILTrade!$N$75)</f>
        <v>Import Barge/Vessel Trade of DSL to *R4 from R6</v>
      </c>
      <c r="E2318" s="381" t="s">
        <v>384</v>
      </c>
      <c r="F2318" s="381" t="s">
        <v>505</v>
      </c>
    </row>
    <row r="2319" spans="2:6">
      <c r="B2319" s="365" t="s">
        <v>1087</v>
      </c>
      <c r="C2319" s="365" t="str">
        <f>CONCATENATE("IMP",Commodities!C52,"BR",RIGHT(OILTrade!$R$75,2))</f>
        <v>IMPDSUBR64</v>
      </c>
      <c r="D2319" s="365" t="str">
        <f>CONCATENATE("Import Barge/Vessel Trade of ",Commodities!C52, " to ",$B$2315," from ",OILTrade!$N$75)</f>
        <v>Import Barge/Vessel Trade of DSU to *R4 from R6</v>
      </c>
      <c r="E2319" s="381" t="s">
        <v>384</v>
      </c>
      <c r="F2319" s="381" t="s">
        <v>505</v>
      </c>
    </row>
    <row r="2320" spans="2:6">
      <c r="B2320" s="365" t="s">
        <v>1087</v>
      </c>
      <c r="C2320" s="365" t="str">
        <f>CONCATENATE("IMP",Commodities!C53,"BR",RIGHT(OILTrade!$R$75,2))</f>
        <v>IMPJTFBR64</v>
      </c>
      <c r="D2320" s="365" t="str">
        <f>CONCATENATE("Import Barge/Vessel Trade of ",Commodities!C53, " to ",$B$2315," from ",OILTrade!$N$75)</f>
        <v>Import Barge/Vessel Trade of JTF to *R4 from R6</v>
      </c>
      <c r="E2320" s="381" t="s">
        <v>384</v>
      </c>
      <c r="F2320" s="381" t="s">
        <v>505</v>
      </c>
    </row>
    <row r="2321" spans="2:6">
      <c r="B2321" s="365" t="s">
        <v>1087</v>
      </c>
      <c r="C2321" s="365" t="str">
        <f>CONCATENATE("IMP",Commodities!C54,"BR",RIGHT(OILTrade!$R$75,2))</f>
        <v>IMPKERBR64</v>
      </c>
      <c r="D2321" s="365" t="str">
        <f>CONCATENATE("Import Barge/Vessel Trade of ",Commodities!C54, " to ",$B$2315," from ",OILTrade!$N$75)</f>
        <v>Import Barge/Vessel Trade of KER to *R4 from R6</v>
      </c>
      <c r="E2321" s="381" t="s">
        <v>384</v>
      </c>
      <c r="F2321" s="381" t="s">
        <v>505</v>
      </c>
    </row>
    <row r="2322" spans="2:6">
      <c r="B2322" s="365" t="s">
        <v>1087</v>
      </c>
      <c r="C2322" s="365" t="str">
        <f>CONCATENATE("IMP",Commodities!C55,"BR",RIGHT(OILTrade!$R$75,2))</f>
        <v>IMPLPGBR64</v>
      </c>
      <c r="D2322" s="365" t="str">
        <f>CONCATENATE("Import Barge/Vessel Trade of ",Commodities!C55, " to ",$B$2315," from ",OILTrade!$N$75)</f>
        <v>Import Barge/Vessel Trade of LPG to *R4 from R6</v>
      </c>
      <c r="E2322" s="381" t="s">
        <v>384</v>
      </c>
      <c r="F2322" s="381" t="s">
        <v>505</v>
      </c>
    </row>
    <row r="2323" spans="2:6">
      <c r="B2323" s="365" t="s">
        <v>1087</v>
      </c>
      <c r="C2323" s="365" t="str">
        <f>CONCATENATE("IMP",Commodities!C56,"BR",RIGHT(OILTrade!$R$75,2))</f>
        <v>IMPMTHBR64</v>
      </c>
      <c r="D2323" s="365" t="str">
        <f>CONCATENATE("Import Barge/Vessel Trade of ",Commodities!C56, " to ",$B$2315," from ",OILTrade!$N$75)</f>
        <v>Import Barge/Vessel Trade of MTH to *R4 from R6</v>
      </c>
      <c r="E2323" s="381" t="s">
        <v>384</v>
      </c>
      <c r="F2323" s="381" t="s">
        <v>505</v>
      </c>
    </row>
    <row r="2324" spans="2:6">
      <c r="B2324" s="365" t="s">
        <v>1087</v>
      </c>
      <c r="C2324" s="365" t="str">
        <f>CONCATENATE("IMP",Commodities!C57,"BR",RIGHT(OILTrade!$R$75,2))</f>
        <v>IMPPFSBR64</v>
      </c>
      <c r="D2324" s="365" t="str">
        <f>CONCATENATE("Import Barge/Vessel Trade of ",Commodities!C57, " to ",$B$2315," from ",OILTrade!$N$75)</f>
        <v>Import Barge/Vessel Trade of PFS to *R4 from R6</v>
      </c>
      <c r="E2324" s="381" t="s">
        <v>384</v>
      </c>
      <c r="F2324" s="381" t="s">
        <v>505</v>
      </c>
    </row>
    <row r="2325" spans="2:6">
      <c r="B2325" s="365" t="s">
        <v>1087</v>
      </c>
      <c r="C2325" s="365" t="str">
        <f>CONCATENATE("IMP",Commodities!C58,"BR",RIGHT(OILTrade!$R$75,2))</f>
        <v>IMPRFHBR64</v>
      </c>
      <c r="D2325" s="365" t="str">
        <f>CONCATENATE("Import Barge/Vessel Trade of ",Commodities!C58, " to ",$B$2315," from ",OILTrade!$N$75)</f>
        <v>Import Barge/Vessel Trade of RFH to *R4 from R6</v>
      </c>
      <c r="E2325" s="381" t="s">
        <v>384</v>
      </c>
      <c r="F2325" s="381" t="s">
        <v>505</v>
      </c>
    </row>
    <row r="2326" spans="2:6">
      <c r="B2326" s="365" t="s">
        <v>1087</v>
      </c>
      <c r="C2326" s="365" t="str">
        <f>CONCATENATE("IMP",Commodities!C59,"BR",RIGHT(OILTrade!$R$75,2))</f>
        <v>IMPRFLBR64</v>
      </c>
      <c r="D2326" s="365" t="str">
        <f>CONCATENATE("Import Barge/Vessel Trade of ",Commodities!C59, " to ",$B$2315," from ",OILTrade!$N$75)</f>
        <v>Import Barge/Vessel Trade of RFL to *R4 from R6</v>
      </c>
      <c r="E2326" s="381" t="s">
        <v>384</v>
      </c>
      <c r="F2326" s="381" t="s">
        <v>505</v>
      </c>
    </row>
    <row r="2327" spans="2:6">
      <c r="B2327" s="365" t="s">
        <v>1087</v>
      </c>
      <c r="C2327" s="365" t="str">
        <f>CONCATENATE("IMP",Commodities!C60,"BR",RIGHT(OILTrade!$R$75,2))</f>
        <v>IMPASPBR64</v>
      </c>
      <c r="D2327" s="365" t="str">
        <f>CONCATENATE("Import Barge/Vessel Trade of ",Commodities!C60, " to ",$B$2315," from ",OILTrade!$N$75)</f>
        <v>Import Barge/Vessel Trade of ASP to *R4 from R6</v>
      </c>
      <c r="E2327" s="381" t="s">
        <v>384</v>
      </c>
      <c r="F2327" s="381" t="s">
        <v>505</v>
      </c>
    </row>
    <row r="2328" spans="2:6">
      <c r="B2328" s="365" t="s">
        <v>1087</v>
      </c>
      <c r="C2328" s="365" t="str">
        <f>CONCATENATE("IMP",Commodities!C48,"BR",RIGHT(OILTrade!$R$76,2))</f>
        <v>IMPGSCBR</v>
      </c>
      <c r="D2328" s="365" t="str">
        <f>CONCATENATE("Import Barge/Vessel Trade of ",Commodities!C48, " to ",$B$2328," from ",OILTrade!$N$76)</f>
        <v>Import Barge/Vessel Trade of GSC to *R4 from R7</v>
      </c>
      <c r="E2328" s="381" t="s">
        <v>384</v>
      </c>
      <c r="F2328" s="381" t="s">
        <v>505</v>
      </c>
    </row>
    <row r="2329" spans="2:6">
      <c r="B2329" s="365" t="s">
        <v>1087</v>
      </c>
      <c r="C2329" s="365" t="str">
        <f>CONCATENATE("IMP",Commodities!C49,"BR",RIGHT(OILTrade!$R$76,2))</f>
        <v>IMPGSRBR</v>
      </c>
      <c r="D2329" s="365" t="str">
        <f>CONCATENATE("Import Barge/Vessel Trade of ",Commodities!C49, " to ",$B$2328," from ",OILTrade!$N$76)</f>
        <v>Import Barge/Vessel Trade of GSR to *R4 from R7</v>
      </c>
      <c r="E2329" s="381" t="s">
        <v>384</v>
      </c>
      <c r="F2329" s="381" t="s">
        <v>505</v>
      </c>
    </row>
    <row r="2330" spans="2:6">
      <c r="B2330" s="365" t="s">
        <v>1087</v>
      </c>
      <c r="C2330" s="365" t="str">
        <f>CONCATENATE("IMP",Commodities!C50,"BR",RIGHT(OILTrade!$R$76,2))</f>
        <v>IMPDSHBR</v>
      </c>
      <c r="D2330" s="365" t="str">
        <f>CONCATENATE("Import Barge/Vessel Trade of ",Commodities!C50, " to ",$B$2328," from ",OILTrade!$N$76)</f>
        <v>Import Barge/Vessel Trade of DSH to *R4 from R7</v>
      </c>
      <c r="E2330" s="381" t="s">
        <v>384</v>
      </c>
      <c r="F2330" s="381" t="s">
        <v>505</v>
      </c>
    </row>
    <row r="2331" spans="2:6">
      <c r="B2331" s="365" t="s">
        <v>1087</v>
      </c>
      <c r="C2331" s="365" t="str">
        <f>CONCATENATE("IMP",Commodities!C51,"BR",RIGHT(OILTrade!$R$76,2))</f>
        <v>IMPDSLBR</v>
      </c>
      <c r="D2331" s="365" t="str">
        <f>CONCATENATE("Import Barge/Vessel Trade of ",Commodities!C51, " to ",$B$2328," from ",OILTrade!$N$76)</f>
        <v>Import Barge/Vessel Trade of DSL to *R4 from R7</v>
      </c>
      <c r="E2331" s="381" t="s">
        <v>384</v>
      </c>
      <c r="F2331" s="381" t="s">
        <v>505</v>
      </c>
    </row>
    <row r="2332" spans="2:6">
      <c r="B2332" s="365" t="s">
        <v>1087</v>
      </c>
      <c r="C2332" s="365" t="str">
        <f>CONCATENATE("IMP",Commodities!C52,"BR",RIGHT(OILTrade!$R$76,2))</f>
        <v>IMPDSUBR</v>
      </c>
      <c r="D2332" s="365" t="str">
        <f>CONCATENATE("Import Barge/Vessel Trade of ",Commodities!C52, " to ",$B$2328," from ",OILTrade!$N$76)</f>
        <v>Import Barge/Vessel Trade of DSU to *R4 from R7</v>
      </c>
      <c r="E2332" s="381" t="s">
        <v>384</v>
      </c>
      <c r="F2332" s="381" t="s">
        <v>505</v>
      </c>
    </row>
    <row r="2333" spans="2:6">
      <c r="B2333" s="365" t="s">
        <v>1087</v>
      </c>
      <c r="C2333" s="365" t="str">
        <f>CONCATENATE("IMP",Commodities!C53,"BR",RIGHT(OILTrade!$R$76,2))</f>
        <v>IMPJTFBR</v>
      </c>
      <c r="D2333" s="365" t="str">
        <f>CONCATENATE("Import Barge/Vessel Trade of ",Commodities!C53, " to ",$B$2328," from ",OILTrade!$N$76)</f>
        <v>Import Barge/Vessel Trade of JTF to *R4 from R7</v>
      </c>
      <c r="E2333" s="381" t="s">
        <v>384</v>
      </c>
      <c r="F2333" s="381" t="s">
        <v>505</v>
      </c>
    </row>
    <row r="2334" spans="2:6">
      <c r="B2334" s="365" t="s">
        <v>1087</v>
      </c>
      <c r="C2334" s="365" t="str">
        <f>CONCATENATE("IMP",Commodities!C54,"BR",RIGHT(OILTrade!$R$76,2))</f>
        <v>IMPKERBR</v>
      </c>
      <c r="D2334" s="365" t="str">
        <f>CONCATENATE("Import Barge/Vessel Trade of ",Commodities!C54, " to ",$B$2328," from ",OILTrade!$N$76)</f>
        <v>Import Barge/Vessel Trade of KER to *R4 from R7</v>
      </c>
      <c r="E2334" s="381" t="s">
        <v>384</v>
      </c>
      <c r="F2334" s="381" t="s">
        <v>505</v>
      </c>
    </row>
    <row r="2335" spans="2:6">
      <c r="B2335" s="365" t="s">
        <v>1087</v>
      </c>
      <c r="C2335" s="365" t="str">
        <f>CONCATENATE("IMP",Commodities!C55,"BR",RIGHT(OILTrade!$R$76,2))</f>
        <v>IMPLPGBR</v>
      </c>
      <c r="D2335" s="365" t="str">
        <f>CONCATENATE("Import Barge/Vessel Trade of ",Commodities!C55, " to ",$B$2328," from ",OILTrade!$N$76)</f>
        <v>Import Barge/Vessel Trade of LPG to *R4 from R7</v>
      </c>
      <c r="E2335" s="381" t="s">
        <v>384</v>
      </c>
      <c r="F2335" s="381" t="s">
        <v>505</v>
      </c>
    </row>
    <row r="2336" spans="2:6">
      <c r="B2336" s="365" t="s">
        <v>1087</v>
      </c>
      <c r="C2336" s="365" t="str">
        <f>CONCATENATE("IMP",Commodities!C56,"BR",RIGHT(OILTrade!$R$76,2))</f>
        <v>IMPMTHBR</v>
      </c>
      <c r="D2336" s="365" t="str">
        <f>CONCATENATE("Import Barge/Vessel Trade of ",Commodities!C56, " to ",$B$2328," from ",OILTrade!$N$76)</f>
        <v>Import Barge/Vessel Trade of MTH to *R4 from R7</v>
      </c>
      <c r="E2336" s="381" t="s">
        <v>384</v>
      </c>
      <c r="F2336" s="381" t="s">
        <v>505</v>
      </c>
    </row>
    <row r="2337" spans="2:6">
      <c r="B2337" s="365" t="s">
        <v>1087</v>
      </c>
      <c r="C2337" s="365" t="str">
        <f>CONCATENATE("IMP",Commodities!C57,"BR",RIGHT(OILTrade!$R$76,2))</f>
        <v>IMPPFSBR</v>
      </c>
      <c r="D2337" s="365" t="str">
        <f>CONCATENATE("Import Barge/Vessel Trade of ",Commodities!C57, " to ",$B$2328," from ",OILTrade!$N$76)</f>
        <v>Import Barge/Vessel Trade of PFS to *R4 from R7</v>
      </c>
      <c r="E2337" s="381" t="s">
        <v>384</v>
      </c>
      <c r="F2337" s="381" t="s">
        <v>505</v>
      </c>
    </row>
    <row r="2338" spans="2:6">
      <c r="B2338" s="365" t="s">
        <v>1087</v>
      </c>
      <c r="C2338" s="365" t="str">
        <f>CONCATENATE("IMP",Commodities!C58,"BR",RIGHT(OILTrade!$R$76,2))</f>
        <v>IMPRFHBR</v>
      </c>
      <c r="D2338" s="365" t="str">
        <f>CONCATENATE("Import Barge/Vessel Trade of ",Commodities!C58, " to ",$B$2328," from ",OILTrade!$N$76)</f>
        <v>Import Barge/Vessel Trade of RFH to *R4 from R7</v>
      </c>
      <c r="E2338" s="381" t="s">
        <v>384</v>
      </c>
      <c r="F2338" s="381" t="s">
        <v>505</v>
      </c>
    </row>
    <row r="2339" spans="2:6">
      <c r="B2339" s="365" t="s">
        <v>1087</v>
      </c>
      <c r="C2339" s="365" t="str">
        <f>CONCATENATE("IMP",Commodities!C59,"BR",RIGHT(OILTrade!$R$76,2))</f>
        <v>IMPRFLBR</v>
      </c>
      <c r="D2339" s="365" t="str">
        <f>CONCATENATE("Import Barge/Vessel Trade of ",Commodities!C59, " to ",$B$2328," from ",OILTrade!$N$76)</f>
        <v>Import Barge/Vessel Trade of RFL to *R4 from R7</v>
      </c>
      <c r="E2339" s="381" t="s">
        <v>384</v>
      </c>
      <c r="F2339" s="381" t="s">
        <v>505</v>
      </c>
    </row>
    <row r="2340" spans="2:6">
      <c r="B2340" s="365" t="s">
        <v>1087</v>
      </c>
      <c r="C2340" s="365" t="str">
        <f>CONCATENATE("IMP",Commodities!C60,"BR",RIGHT(OILTrade!$R$76,2))</f>
        <v>IMPASPBR</v>
      </c>
      <c r="D2340" s="365" t="str">
        <f>CONCATENATE("Import Barge/Vessel Trade of ",Commodities!C60, " to ",$B$2328," from ",OILTrade!$N$76)</f>
        <v>Import Barge/Vessel Trade of ASP to *R4 from R7</v>
      </c>
      <c r="E2340" s="381" t="s">
        <v>384</v>
      </c>
      <c r="F2340" s="381" t="s">
        <v>505</v>
      </c>
    </row>
    <row r="2341" spans="2:6">
      <c r="B2341" s="365" t="s">
        <v>1088</v>
      </c>
      <c r="C2341" s="365" t="str">
        <f>CONCATENATE("IMP",Commodities!C48,"BR",RIGHT(OILTrade!$S$72,2))</f>
        <v>IMPGSCBR35</v>
      </c>
      <c r="D2341" s="365" t="str">
        <f>CONCATENATE("Import Barge/Vessel Trade of ",Commodities!C48, " to ",$B$2341," from ",OILTrade!$N$72)</f>
        <v>Import Barge/Vessel Trade of GSC to *R5 from R3</v>
      </c>
      <c r="E2341" s="381" t="s">
        <v>384</v>
      </c>
      <c r="F2341" s="381" t="s">
        <v>505</v>
      </c>
    </row>
    <row r="2342" spans="2:6">
      <c r="B2342" s="365" t="s">
        <v>1088</v>
      </c>
      <c r="C2342" s="365" t="str">
        <f>CONCATENATE("IMP",Commodities!C49,"BR",RIGHT(OILTrade!$S$72,2))</f>
        <v>IMPGSRBR35</v>
      </c>
      <c r="D2342" s="365" t="str">
        <f>CONCATENATE("Import Barge/Vessel Trade of ",Commodities!C49, " to ",$B$2341," from ",OILTrade!$N$72)</f>
        <v>Import Barge/Vessel Trade of GSR to *R5 from R3</v>
      </c>
      <c r="E2342" s="381" t="s">
        <v>384</v>
      </c>
      <c r="F2342" s="381" t="s">
        <v>505</v>
      </c>
    </row>
    <row r="2343" spans="2:6">
      <c r="B2343" s="365" t="s">
        <v>1088</v>
      </c>
      <c r="C2343" s="365" t="str">
        <f>CONCATENATE("IMP",Commodities!C50,"BR",RIGHT(OILTrade!$S$72,2))</f>
        <v>IMPDSHBR35</v>
      </c>
      <c r="D2343" s="365" t="str">
        <f>CONCATENATE("Import Barge/Vessel Trade of ",Commodities!C50, " to ",$B$2341," from ",OILTrade!$N$72)</f>
        <v>Import Barge/Vessel Trade of DSH to *R5 from R3</v>
      </c>
      <c r="E2343" s="381" t="s">
        <v>384</v>
      </c>
      <c r="F2343" s="381" t="s">
        <v>505</v>
      </c>
    </row>
    <row r="2344" spans="2:6">
      <c r="B2344" s="365" t="s">
        <v>1088</v>
      </c>
      <c r="C2344" s="365" t="str">
        <f>CONCATENATE("IMP",Commodities!C51,"BR",RIGHT(OILTrade!$S$72,2))</f>
        <v>IMPDSLBR35</v>
      </c>
      <c r="D2344" s="365" t="str">
        <f>CONCATENATE("Import Barge/Vessel Trade of ",Commodities!C51, " to ",$B$2341," from ",OILTrade!$N$72)</f>
        <v>Import Barge/Vessel Trade of DSL to *R5 from R3</v>
      </c>
      <c r="E2344" s="381" t="s">
        <v>384</v>
      </c>
      <c r="F2344" s="381" t="s">
        <v>505</v>
      </c>
    </row>
    <row r="2345" spans="2:6">
      <c r="B2345" s="365" t="s">
        <v>1088</v>
      </c>
      <c r="C2345" s="365" t="str">
        <f>CONCATENATE("IMP",Commodities!C52,"BR",RIGHT(OILTrade!$S$72,2))</f>
        <v>IMPDSUBR35</v>
      </c>
      <c r="D2345" s="365" t="str">
        <f>CONCATENATE("Import Barge/Vessel Trade of ",Commodities!C52, " to ",$B$2341," from ",OILTrade!$N$72)</f>
        <v>Import Barge/Vessel Trade of DSU to *R5 from R3</v>
      </c>
      <c r="E2345" s="381" t="s">
        <v>384</v>
      </c>
      <c r="F2345" s="381" t="s">
        <v>505</v>
      </c>
    </row>
    <row r="2346" spans="2:6">
      <c r="B2346" s="365" t="s">
        <v>1088</v>
      </c>
      <c r="C2346" s="365" t="str">
        <f>CONCATENATE("IMP",Commodities!C53,"BR",RIGHT(OILTrade!$S$72,2))</f>
        <v>IMPJTFBR35</v>
      </c>
      <c r="D2346" s="365" t="str">
        <f>CONCATENATE("Import Barge/Vessel Trade of ",Commodities!C53, " to ",$B$2341," from ",OILTrade!$N$72)</f>
        <v>Import Barge/Vessel Trade of JTF to *R5 from R3</v>
      </c>
      <c r="E2346" s="381" t="s">
        <v>384</v>
      </c>
      <c r="F2346" s="381" t="s">
        <v>505</v>
      </c>
    </row>
    <row r="2347" spans="2:6">
      <c r="B2347" s="365" t="s">
        <v>1088</v>
      </c>
      <c r="C2347" s="365" t="str">
        <f>CONCATENATE("IMP",Commodities!C54,"BR",RIGHT(OILTrade!$S$72,2))</f>
        <v>IMPKERBR35</v>
      </c>
      <c r="D2347" s="365" t="str">
        <f>CONCATENATE("Import Barge/Vessel Trade of ",Commodities!C54, " to ",$B$2341," from ",OILTrade!$N$72)</f>
        <v>Import Barge/Vessel Trade of KER to *R5 from R3</v>
      </c>
      <c r="E2347" s="381" t="s">
        <v>384</v>
      </c>
      <c r="F2347" s="381" t="s">
        <v>505</v>
      </c>
    </row>
    <row r="2348" spans="2:6">
      <c r="B2348" s="365" t="s">
        <v>1088</v>
      </c>
      <c r="C2348" s="365" t="str">
        <f>CONCATENATE("IMP",Commodities!C55,"BR",RIGHT(OILTrade!$S$72,2))</f>
        <v>IMPLPGBR35</v>
      </c>
      <c r="D2348" s="365" t="str">
        <f>CONCATENATE("Import Barge/Vessel Trade of ",Commodities!C55, " to ",$B$2341," from ",OILTrade!$N$72)</f>
        <v>Import Barge/Vessel Trade of LPG to *R5 from R3</v>
      </c>
      <c r="E2348" s="381" t="s">
        <v>384</v>
      </c>
      <c r="F2348" s="381" t="s">
        <v>505</v>
      </c>
    </row>
    <row r="2349" spans="2:6">
      <c r="B2349" s="365" t="s">
        <v>1088</v>
      </c>
      <c r="C2349" s="365" t="str">
        <f>CONCATENATE("IMP",Commodities!C56,"BR",RIGHT(OILTrade!$S$72,2))</f>
        <v>IMPMTHBR35</v>
      </c>
      <c r="D2349" s="365" t="str">
        <f>CONCATENATE("Import Barge/Vessel Trade of ",Commodities!C56, " to ",$B$2341," from ",OILTrade!$N$72)</f>
        <v>Import Barge/Vessel Trade of MTH to *R5 from R3</v>
      </c>
      <c r="E2349" s="381" t="s">
        <v>384</v>
      </c>
      <c r="F2349" s="381" t="s">
        <v>505</v>
      </c>
    </row>
    <row r="2350" spans="2:6">
      <c r="B2350" s="365" t="s">
        <v>1088</v>
      </c>
      <c r="C2350" s="365" t="str">
        <f>CONCATENATE("IMP",Commodities!C57,"BR",RIGHT(OILTrade!$S$72,2))</f>
        <v>IMPPFSBR35</v>
      </c>
      <c r="D2350" s="365" t="str">
        <f>CONCATENATE("Import Barge/Vessel Trade of ",Commodities!C57, " to ",$B$2341," from ",OILTrade!$N$72)</f>
        <v>Import Barge/Vessel Trade of PFS to *R5 from R3</v>
      </c>
      <c r="E2350" s="381" t="s">
        <v>384</v>
      </c>
      <c r="F2350" s="381" t="s">
        <v>505</v>
      </c>
    </row>
    <row r="2351" spans="2:6">
      <c r="B2351" s="365" t="s">
        <v>1088</v>
      </c>
      <c r="C2351" s="365" t="str">
        <f>CONCATENATE("IMP",Commodities!C58,"BR",RIGHT(OILTrade!$S$72,2))</f>
        <v>IMPRFHBR35</v>
      </c>
      <c r="D2351" s="365" t="str">
        <f>CONCATENATE("Import Barge/Vessel Trade of ",Commodities!C58, " to ",$B$2341," from ",OILTrade!$N$72)</f>
        <v>Import Barge/Vessel Trade of RFH to *R5 from R3</v>
      </c>
      <c r="E2351" s="381" t="s">
        <v>384</v>
      </c>
      <c r="F2351" s="381" t="s">
        <v>505</v>
      </c>
    </row>
    <row r="2352" spans="2:6">
      <c r="B2352" s="365" t="s">
        <v>1088</v>
      </c>
      <c r="C2352" s="365" t="str">
        <f>CONCATENATE("IMP",Commodities!C59,"BR",RIGHT(OILTrade!$S$72,2))</f>
        <v>IMPRFLBR35</v>
      </c>
      <c r="D2352" s="365" t="str">
        <f>CONCATENATE("Import Barge/Vessel Trade of ",Commodities!C59, " to ",$B$2341," from ",OILTrade!$N$72)</f>
        <v>Import Barge/Vessel Trade of RFL to *R5 from R3</v>
      </c>
      <c r="E2352" s="381" t="s">
        <v>384</v>
      </c>
      <c r="F2352" s="381" t="s">
        <v>505</v>
      </c>
    </row>
    <row r="2353" spans="2:6">
      <c r="B2353" s="365" t="s">
        <v>1088</v>
      </c>
      <c r="C2353" s="365" t="str">
        <f>CONCATENATE("IMP",Commodities!C60,"BR",RIGHT(OILTrade!$S$72,2))</f>
        <v>IMPASPBR35</v>
      </c>
      <c r="D2353" s="365" t="str">
        <f>CONCATENATE("Import Barge/Vessel Trade of ",Commodities!C60, " to ",$B$2341," from ",OILTrade!$N$72)</f>
        <v>Import Barge/Vessel Trade of ASP to *R5 from R3</v>
      </c>
      <c r="E2353" s="381" t="s">
        <v>384</v>
      </c>
      <c r="F2353" s="381" t="s">
        <v>505</v>
      </c>
    </row>
    <row r="2354" spans="2:6">
      <c r="B2354" s="365" t="s">
        <v>1088</v>
      </c>
      <c r="C2354" s="365" t="str">
        <f>CONCATENATE("IMP",Commodities!C48,"BR",RIGHT(OILTrade!$S$73,2))</f>
        <v>IMPGSCBR45</v>
      </c>
      <c r="D2354" s="365" t="str">
        <f>CONCATENATE("Import Barge/Vessel Trade of ",Commodities!C48, " to ",$B$2354," from ",OILTrade!$N$73)</f>
        <v>Import Barge/Vessel Trade of GSC to *R5 from R4</v>
      </c>
      <c r="E2354" s="381" t="s">
        <v>384</v>
      </c>
      <c r="F2354" s="381" t="s">
        <v>505</v>
      </c>
    </row>
    <row r="2355" spans="2:6">
      <c r="B2355" s="365" t="s">
        <v>1088</v>
      </c>
      <c r="C2355" s="365" t="str">
        <f>CONCATENATE("IMP",Commodities!C49,"BR",RIGHT(OILTrade!$S$73,2))</f>
        <v>IMPGSRBR45</v>
      </c>
      <c r="D2355" s="365" t="str">
        <f>CONCATENATE("Import Barge/Vessel Trade of ",Commodities!C49, " to ",$B$2354," from ",OILTrade!$N$73)</f>
        <v>Import Barge/Vessel Trade of GSR to *R5 from R4</v>
      </c>
      <c r="E2355" s="381" t="s">
        <v>384</v>
      </c>
      <c r="F2355" s="381" t="s">
        <v>505</v>
      </c>
    </row>
    <row r="2356" spans="2:6">
      <c r="B2356" s="365" t="s">
        <v>1088</v>
      </c>
      <c r="C2356" s="365" t="str">
        <f>CONCATENATE("IMP",Commodities!C50,"BR",RIGHT(OILTrade!$S$73,2))</f>
        <v>IMPDSHBR45</v>
      </c>
      <c r="D2356" s="365" t="str">
        <f>CONCATENATE("Import Barge/Vessel Trade of ",Commodities!C50, " to ",$B$2354," from ",OILTrade!$N$73)</f>
        <v>Import Barge/Vessel Trade of DSH to *R5 from R4</v>
      </c>
      <c r="E2356" s="381" t="s">
        <v>384</v>
      </c>
      <c r="F2356" s="381" t="s">
        <v>505</v>
      </c>
    </row>
    <row r="2357" spans="2:6">
      <c r="B2357" s="365" t="s">
        <v>1088</v>
      </c>
      <c r="C2357" s="365" t="str">
        <f>CONCATENATE("IMP",Commodities!C51,"BR",RIGHT(OILTrade!$S$73,2))</f>
        <v>IMPDSLBR45</v>
      </c>
      <c r="D2357" s="365" t="str">
        <f>CONCATENATE("Import Barge/Vessel Trade of ",Commodities!C51, " to ",$B$2354," from ",OILTrade!$N$73)</f>
        <v>Import Barge/Vessel Trade of DSL to *R5 from R4</v>
      </c>
      <c r="E2357" s="381" t="s">
        <v>384</v>
      </c>
      <c r="F2357" s="381" t="s">
        <v>505</v>
      </c>
    </row>
    <row r="2358" spans="2:6">
      <c r="B2358" s="365" t="s">
        <v>1088</v>
      </c>
      <c r="C2358" s="365" t="str">
        <f>CONCATENATE("IMP",Commodities!C52,"BR",RIGHT(OILTrade!$S$73,2))</f>
        <v>IMPDSUBR45</v>
      </c>
      <c r="D2358" s="365" t="str">
        <f>CONCATENATE("Import Barge/Vessel Trade of ",Commodities!C52, " to ",$B$2354," from ",OILTrade!$N$73)</f>
        <v>Import Barge/Vessel Trade of DSU to *R5 from R4</v>
      </c>
      <c r="E2358" s="381" t="s">
        <v>384</v>
      </c>
      <c r="F2358" s="381" t="s">
        <v>505</v>
      </c>
    </row>
    <row r="2359" spans="2:6">
      <c r="B2359" s="365" t="s">
        <v>1088</v>
      </c>
      <c r="C2359" s="365" t="str">
        <f>CONCATENATE("IMP",Commodities!C53,"BR",RIGHT(OILTrade!$S$73,2))</f>
        <v>IMPJTFBR45</v>
      </c>
      <c r="D2359" s="365" t="str">
        <f>CONCATENATE("Import Barge/Vessel Trade of ",Commodities!C53, " to ",$B$2354," from ",OILTrade!$N$73)</f>
        <v>Import Barge/Vessel Trade of JTF to *R5 from R4</v>
      </c>
      <c r="E2359" s="381" t="s">
        <v>384</v>
      </c>
      <c r="F2359" s="381" t="s">
        <v>505</v>
      </c>
    </row>
    <row r="2360" spans="2:6">
      <c r="B2360" s="365" t="s">
        <v>1088</v>
      </c>
      <c r="C2360" s="365" t="str">
        <f>CONCATENATE("IMP",Commodities!C54,"BR",RIGHT(OILTrade!$S$73,2))</f>
        <v>IMPKERBR45</v>
      </c>
      <c r="D2360" s="365" t="str">
        <f>CONCATENATE("Import Barge/Vessel Trade of ",Commodities!C54, " to ",$B$2354," from ",OILTrade!$N$73)</f>
        <v>Import Barge/Vessel Trade of KER to *R5 from R4</v>
      </c>
      <c r="E2360" s="381" t="s">
        <v>384</v>
      </c>
      <c r="F2360" s="381" t="s">
        <v>505</v>
      </c>
    </row>
    <row r="2361" spans="2:6">
      <c r="B2361" s="365" t="s">
        <v>1088</v>
      </c>
      <c r="C2361" s="365" t="str">
        <f>CONCATENATE("IMP",Commodities!C55,"BR",RIGHT(OILTrade!$S$73,2))</f>
        <v>IMPLPGBR45</v>
      </c>
      <c r="D2361" s="365" t="str">
        <f>CONCATENATE("Import Barge/Vessel Trade of ",Commodities!C55, " to ",$B$2354," from ",OILTrade!$N$73)</f>
        <v>Import Barge/Vessel Trade of LPG to *R5 from R4</v>
      </c>
      <c r="E2361" s="381" t="s">
        <v>384</v>
      </c>
      <c r="F2361" s="381" t="s">
        <v>505</v>
      </c>
    </row>
    <row r="2362" spans="2:6">
      <c r="B2362" s="365" t="s">
        <v>1088</v>
      </c>
      <c r="C2362" s="365" t="str">
        <f>CONCATENATE("IMP",Commodities!C56,"BR",RIGHT(OILTrade!$S$73,2))</f>
        <v>IMPMTHBR45</v>
      </c>
      <c r="D2362" s="365" t="str">
        <f>CONCATENATE("Import Barge/Vessel Trade of ",Commodities!C56, " to ",$B$2354," from ",OILTrade!$N$73)</f>
        <v>Import Barge/Vessel Trade of MTH to *R5 from R4</v>
      </c>
      <c r="E2362" s="381" t="s">
        <v>384</v>
      </c>
      <c r="F2362" s="381" t="s">
        <v>505</v>
      </c>
    </row>
    <row r="2363" spans="2:6">
      <c r="B2363" s="365" t="s">
        <v>1088</v>
      </c>
      <c r="C2363" s="365" t="str">
        <f>CONCATENATE("IMP",Commodities!C57,"BR",RIGHT(OILTrade!$S$73,2))</f>
        <v>IMPPFSBR45</v>
      </c>
      <c r="D2363" s="365" t="str">
        <f>CONCATENATE("Import Barge/Vessel Trade of ",Commodities!C57, " to ",$B$2354," from ",OILTrade!$N$73)</f>
        <v>Import Barge/Vessel Trade of PFS to *R5 from R4</v>
      </c>
      <c r="E2363" s="381" t="s">
        <v>384</v>
      </c>
      <c r="F2363" s="381" t="s">
        <v>505</v>
      </c>
    </row>
    <row r="2364" spans="2:6">
      <c r="B2364" s="365" t="s">
        <v>1088</v>
      </c>
      <c r="C2364" s="365" t="str">
        <f>CONCATENATE("IMP",Commodities!C58,"BR",RIGHT(OILTrade!$S$73,2))</f>
        <v>IMPRFHBR45</v>
      </c>
      <c r="D2364" s="365" t="str">
        <f>CONCATENATE("Import Barge/Vessel Trade of ",Commodities!C58, " to ",$B$2354," from ",OILTrade!$N$73)</f>
        <v>Import Barge/Vessel Trade of RFH to *R5 from R4</v>
      </c>
      <c r="E2364" s="381" t="s">
        <v>384</v>
      </c>
      <c r="F2364" s="381" t="s">
        <v>505</v>
      </c>
    </row>
    <row r="2365" spans="2:6">
      <c r="B2365" s="365" t="s">
        <v>1088</v>
      </c>
      <c r="C2365" s="365" t="str">
        <f>CONCATENATE("IMP",Commodities!C59,"BR",RIGHT(OILTrade!$S$73,2))</f>
        <v>IMPRFLBR45</v>
      </c>
      <c r="D2365" s="365" t="str">
        <f>CONCATENATE("Import Barge/Vessel Trade of ",Commodities!C59, " to ",$B$2354," from ",OILTrade!$N$73)</f>
        <v>Import Barge/Vessel Trade of RFL to *R5 from R4</v>
      </c>
      <c r="E2365" s="381" t="s">
        <v>384</v>
      </c>
      <c r="F2365" s="381" t="s">
        <v>505</v>
      </c>
    </row>
    <row r="2366" spans="2:6">
      <c r="B2366" s="365" t="s">
        <v>1088</v>
      </c>
      <c r="C2366" s="365" t="str">
        <f>CONCATENATE("IMP",Commodities!C60,"BR",RIGHT(OILTrade!$S$73,2))</f>
        <v>IMPASPBR45</v>
      </c>
      <c r="D2366" s="365" t="str">
        <f>CONCATENATE("Import Barge/Vessel Trade of ",Commodities!C60, " to ",$B$2354," from ",OILTrade!$N$73)</f>
        <v>Import Barge/Vessel Trade of ASP to *R5 from R4</v>
      </c>
      <c r="E2366" s="381" t="s">
        <v>384</v>
      </c>
      <c r="F2366" s="381" t="s">
        <v>505</v>
      </c>
    </row>
    <row r="2367" spans="2:6">
      <c r="B2367" s="365" t="s">
        <v>1088</v>
      </c>
      <c r="C2367" s="365" t="str">
        <f>CONCATENATE("IMP",Commodities!C48,"BR",RIGHT(OILTrade!$S$75,2))</f>
        <v>IMPGSCBR</v>
      </c>
      <c r="D2367" s="365" t="str">
        <f>CONCATENATE("Import Barge/Vessel Trade of ",Commodities!C48, " to ",$B$2367," from ",OILTrade!$N$75)</f>
        <v>Import Barge/Vessel Trade of GSC to *R5 from R6</v>
      </c>
      <c r="E2367" s="381" t="s">
        <v>384</v>
      </c>
      <c r="F2367" s="381" t="s">
        <v>505</v>
      </c>
    </row>
    <row r="2368" spans="2:6">
      <c r="B2368" s="365" t="s">
        <v>1088</v>
      </c>
      <c r="C2368" s="365" t="str">
        <f>CONCATENATE("IMP",Commodities!C49,"BR",RIGHT(OILTrade!$S$75,2))</f>
        <v>IMPGSRBR</v>
      </c>
      <c r="D2368" s="365" t="str">
        <f>CONCATENATE("Import Barge/Vessel Trade of ",Commodities!C49, " to ",$B$2367," from ",OILTrade!$N$75)</f>
        <v>Import Barge/Vessel Trade of GSR to *R5 from R6</v>
      </c>
      <c r="E2368" s="381" t="s">
        <v>384</v>
      </c>
      <c r="F2368" s="381" t="s">
        <v>505</v>
      </c>
    </row>
    <row r="2369" spans="2:6">
      <c r="B2369" s="365" t="s">
        <v>1088</v>
      </c>
      <c r="C2369" s="365" t="str">
        <f>CONCATENATE("IMP",Commodities!C50,"BR",RIGHT(OILTrade!$S$75,2))</f>
        <v>IMPDSHBR</v>
      </c>
      <c r="D2369" s="365" t="str">
        <f>CONCATENATE("Import Barge/Vessel Trade of ",Commodities!C50, " to ",$B$2367," from ",OILTrade!$N$75)</f>
        <v>Import Barge/Vessel Trade of DSH to *R5 from R6</v>
      </c>
      <c r="E2369" s="381" t="s">
        <v>384</v>
      </c>
      <c r="F2369" s="381" t="s">
        <v>505</v>
      </c>
    </row>
    <row r="2370" spans="2:6">
      <c r="B2370" s="365" t="s">
        <v>1088</v>
      </c>
      <c r="C2370" s="365" t="str">
        <f>CONCATENATE("IMP",Commodities!C51,"BR",RIGHT(OILTrade!$S$75,2))</f>
        <v>IMPDSLBR</v>
      </c>
      <c r="D2370" s="365" t="str">
        <f>CONCATENATE("Import Barge/Vessel Trade of ",Commodities!C51, " to ",$B$2367," from ",OILTrade!$N$75)</f>
        <v>Import Barge/Vessel Trade of DSL to *R5 from R6</v>
      </c>
      <c r="E2370" s="381" t="s">
        <v>384</v>
      </c>
      <c r="F2370" s="381" t="s">
        <v>505</v>
      </c>
    </row>
    <row r="2371" spans="2:6">
      <c r="B2371" s="365" t="s">
        <v>1088</v>
      </c>
      <c r="C2371" s="365" t="str">
        <f>CONCATENATE("IMP",Commodities!C52,"BR",RIGHT(OILTrade!$S$75,2))</f>
        <v>IMPDSUBR</v>
      </c>
      <c r="D2371" s="365" t="str">
        <f>CONCATENATE("Import Barge/Vessel Trade of ",Commodities!C52, " to ",$B$2367," from ",OILTrade!$N$75)</f>
        <v>Import Barge/Vessel Trade of DSU to *R5 from R6</v>
      </c>
      <c r="E2371" s="381" t="s">
        <v>384</v>
      </c>
      <c r="F2371" s="381" t="s">
        <v>505</v>
      </c>
    </row>
    <row r="2372" spans="2:6">
      <c r="B2372" s="365" t="s">
        <v>1088</v>
      </c>
      <c r="C2372" s="365" t="str">
        <f>CONCATENATE("IMP",Commodities!C53,"BR",RIGHT(OILTrade!$S$75,2))</f>
        <v>IMPJTFBR</v>
      </c>
      <c r="D2372" s="365" t="str">
        <f>CONCATENATE("Import Barge/Vessel Trade of ",Commodities!C53, " to ",$B$2367," from ",OILTrade!$N$75)</f>
        <v>Import Barge/Vessel Trade of JTF to *R5 from R6</v>
      </c>
      <c r="E2372" s="381" t="s">
        <v>384</v>
      </c>
      <c r="F2372" s="381" t="s">
        <v>505</v>
      </c>
    </row>
    <row r="2373" spans="2:6">
      <c r="B2373" s="365" t="s">
        <v>1088</v>
      </c>
      <c r="C2373" s="365" t="str">
        <f>CONCATENATE("IMP",Commodities!C54,"BR",RIGHT(OILTrade!$S$75,2))</f>
        <v>IMPKERBR</v>
      </c>
      <c r="D2373" s="365" t="str">
        <f>CONCATENATE("Import Barge/Vessel Trade of ",Commodities!C54, " to ",$B$2367," from ",OILTrade!$N$75)</f>
        <v>Import Barge/Vessel Trade of KER to *R5 from R6</v>
      </c>
      <c r="E2373" s="381" t="s">
        <v>384</v>
      </c>
      <c r="F2373" s="381" t="s">
        <v>505</v>
      </c>
    </row>
    <row r="2374" spans="2:6">
      <c r="B2374" s="365" t="s">
        <v>1088</v>
      </c>
      <c r="C2374" s="365" t="str">
        <f>CONCATENATE("IMP",Commodities!C55,"BR",RIGHT(OILTrade!$S$75,2))</f>
        <v>IMPLPGBR</v>
      </c>
      <c r="D2374" s="365" t="str">
        <f>CONCATENATE("Import Barge/Vessel Trade of ",Commodities!C55, " to ",$B$2367," from ",OILTrade!$N$75)</f>
        <v>Import Barge/Vessel Trade of LPG to *R5 from R6</v>
      </c>
      <c r="E2374" s="381" t="s">
        <v>384</v>
      </c>
      <c r="F2374" s="381" t="s">
        <v>505</v>
      </c>
    </row>
    <row r="2375" spans="2:6">
      <c r="B2375" s="365" t="s">
        <v>1088</v>
      </c>
      <c r="C2375" s="365" t="str">
        <f>CONCATENATE("IMP",Commodities!C56,"BR",RIGHT(OILTrade!$S$75,2))</f>
        <v>IMPMTHBR</v>
      </c>
      <c r="D2375" s="365" t="str">
        <f>CONCATENATE("Import Barge/Vessel Trade of ",Commodities!C56, " to ",$B$2367," from ",OILTrade!$N$75)</f>
        <v>Import Barge/Vessel Trade of MTH to *R5 from R6</v>
      </c>
      <c r="E2375" s="381" t="s">
        <v>384</v>
      </c>
      <c r="F2375" s="381" t="s">
        <v>505</v>
      </c>
    </row>
    <row r="2376" spans="2:6">
      <c r="B2376" s="365" t="s">
        <v>1088</v>
      </c>
      <c r="C2376" s="365" t="str">
        <f>CONCATENATE("IMP",Commodities!C57,"BR",RIGHT(OILTrade!$S$75,2))</f>
        <v>IMPPFSBR</v>
      </c>
      <c r="D2376" s="365" t="str">
        <f>CONCATENATE("Import Barge/Vessel Trade of ",Commodities!C57, " to ",$B$2367," from ",OILTrade!$N$75)</f>
        <v>Import Barge/Vessel Trade of PFS to *R5 from R6</v>
      </c>
      <c r="E2376" s="381" t="s">
        <v>384</v>
      </c>
      <c r="F2376" s="381" t="s">
        <v>505</v>
      </c>
    </row>
    <row r="2377" spans="2:6">
      <c r="B2377" s="365" t="s">
        <v>1088</v>
      </c>
      <c r="C2377" s="365" t="str">
        <f>CONCATENATE("IMP",Commodities!C58,"BR",RIGHT(OILTrade!$S$75,2))</f>
        <v>IMPRFHBR</v>
      </c>
      <c r="D2377" s="365" t="str">
        <f>CONCATENATE("Import Barge/Vessel Trade of ",Commodities!C58, " to ",$B$2367," from ",OILTrade!$N$75)</f>
        <v>Import Barge/Vessel Trade of RFH to *R5 from R6</v>
      </c>
      <c r="E2377" s="381" t="s">
        <v>384</v>
      </c>
      <c r="F2377" s="381" t="s">
        <v>505</v>
      </c>
    </row>
    <row r="2378" spans="2:6">
      <c r="B2378" s="365" t="s">
        <v>1088</v>
      </c>
      <c r="C2378" s="365" t="str">
        <f>CONCATENATE("IMP",Commodities!C59,"BR",RIGHT(OILTrade!$S$75,2))</f>
        <v>IMPRFLBR</v>
      </c>
      <c r="D2378" s="365" t="str">
        <f>CONCATENATE("Import Barge/Vessel Trade of ",Commodities!C59, " to ",$B$2367," from ",OILTrade!$N$75)</f>
        <v>Import Barge/Vessel Trade of RFL to *R5 from R6</v>
      </c>
      <c r="E2378" s="381" t="s">
        <v>384</v>
      </c>
      <c r="F2378" s="381" t="s">
        <v>505</v>
      </c>
    </row>
    <row r="2379" spans="2:6">
      <c r="B2379" s="365" t="s">
        <v>1088</v>
      </c>
      <c r="C2379" s="365" t="str">
        <f>CONCATENATE("IMP",Commodities!C60,"BR",RIGHT(OILTrade!$S$75,2))</f>
        <v>IMPASPBR</v>
      </c>
      <c r="D2379" s="365" t="str">
        <f>CONCATENATE("Import Barge/Vessel Trade of ",Commodities!C60, " to ",$B$2367," from ",OILTrade!$N$75)</f>
        <v>Import Barge/Vessel Trade of ASP to *R5 from R6</v>
      </c>
      <c r="E2379" s="381" t="s">
        <v>384</v>
      </c>
      <c r="F2379" s="381" t="s">
        <v>505</v>
      </c>
    </row>
    <row r="2380" spans="2:6">
      <c r="B2380" s="365" t="s">
        <v>1088</v>
      </c>
      <c r="C2380" s="365" t="str">
        <f>CONCATENATE("IMP",Commodities!C48,"BR",RIGHT(OILTrade!$S$76,2))</f>
        <v>IMPGSCBR</v>
      </c>
      <c r="D2380" s="365" t="str">
        <f>CONCATENATE("Import Barge/Vessel Trade of ",Commodities!C48, " to ",$B$2380," from ",OILTrade!$N$76)</f>
        <v>Import Barge/Vessel Trade of GSC to *R5 from R7</v>
      </c>
      <c r="E2380" s="381" t="s">
        <v>384</v>
      </c>
      <c r="F2380" s="381" t="s">
        <v>505</v>
      </c>
    </row>
    <row r="2381" spans="2:6">
      <c r="B2381" s="365" t="s">
        <v>1088</v>
      </c>
      <c r="C2381" s="365" t="str">
        <f>CONCATENATE("IMP",Commodities!C49,"BR",RIGHT(OILTrade!$S$76,2))</f>
        <v>IMPGSRBR</v>
      </c>
      <c r="D2381" s="365" t="str">
        <f>CONCATENATE("Import Barge/Vessel Trade of ",Commodities!C49, " to ",$B$2380," from ",OILTrade!$N$76)</f>
        <v>Import Barge/Vessel Trade of GSR to *R5 from R7</v>
      </c>
      <c r="E2381" s="381" t="s">
        <v>384</v>
      </c>
      <c r="F2381" s="381" t="s">
        <v>505</v>
      </c>
    </row>
    <row r="2382" spans="2:6">
      <c r="B2382" s="365" t="s">
        <v>1088</v>
      </c>
      <c r="C2382" s="365" t="str">
        <f>CONCATENATE("IMP",Commodities!C50,"BR",RIGHT(OILTrade!$S$76,2))</f>
        <v>IMPDSHBR</v>
      </c>
      <c r="D2382" s="365" t="str">
        <f>CONCATENATE("Import Barge/Vessel Trade of ",Commodities!C50, " to ",$B$2380," from ",OILTrade!$N$76)</f>
        <v>Import Barge/Vessel Trade of DSH to *R5 from R7</v>
      </c>
      <c r="E2382" s="381" t="s">
        <v>384</v>
      </c>
      <c r="F2382" s="381" t="s">
        <v>505</v>
      </c>
    </row>
    <row r="2383" spans="2:6">
      <c r="B2383" s="365" t="s">
        <v>1088</v>
      </c>
      <c r="C2383" s="365" t="str">
        <f>CONCATENATE("IMP",Commodities!C51,"BR",RIGHT(OILTrade!$S$76,2))</f>
        <v>IMPDSLBR</v>
      </c>
      <c r="D2383" s="365" t="str">
        <f>CONCATENATE("Import Barge/Vessel Trade of ",Commodities!C51, " to ",$B$2380," from ",OILTrade!$N$76)</f>
        <v>Import Barge/Vessel Trade of DSL to *R5 from R7</v>
      </c>
      <c r="E2383" s="381" t="s">
        <v>384</v>
      </c>
      <c r="F2383" s="381" t="s">
        <v>505</v>
      </c>
    </row>
    <row r="2384" spans="2:6">
      <c r="B2384" s="365" t="s">
        <v>1088</v>
      </c>
      <c r="C2384" s="365" t="str">
        <f>CONCATENATE("IMP",Commodities!C52,"BR",RIGHT(OILTrade!$S$76,2))</f>
        <v>IMPDSUBR</v>
      </c>
      <c r="D2384" s="365" t="str">
        <f>CONCATENATE("Import Barge/Vessel Trade of ",Commodities!C52, " to ",$B$2380," from ",OILTrade!$N$76)</f>
        <v>Import Barge/Vessel Trade of DSU to *R5 from R7</v>
      </c>
      <c r="E2384" s="381" t="s">
        <v>384</v>
      </c>
      <c r="F2384" s="381" t="s">
        <v>505</v>
      </c>
    </row>
    <row r="2385" spans="2:6">
      <c r="B2385" s="365" t="s">
        <v>1088</v>
      </c>
      <c r="C2385" s="365" t="str">
        <f>CONCATENATE("IMP",Commodities!C53,"BR",RIGHT(OILTrade!$S$76,2))</f>
        <v>IMPJTFBR</v>
      </c>
      <c r="D2385" s="365" t="str">
        <f>CONCATENATE("Import Barge/Vessel Trade of ",Commodities!C53, " to ",$B$2380," from ",OILTrade!$N$76)</f>
        <v>Import Barge/Vessel Trade of JTF to *R5 from R7</v>
      </c>
      <c r="E2385" s="381" t="s">
        <v>384</v>
      </c>
      <c r="F2385" s="381" t="s">
        <v>505</v>
      </c>
    </row>
    <row r="2386" spans="2:6">
      <c r="B2386" s="365" t="s">
        <v>1088</v>
      </c>
      <c r="C2386" s="365" t="str">
        <f>CONCATENATE("IMP",Commodities!C54,"BR",RIGHT(OILTrade!$S$76,2))</f>
        <v>IMPKERBR</v>
      </c>
      <c r="D2386" s="365" t="str">
        <f>CONCATENATE("Import Barge/Vessel Trade of ",Commodities!C54, " to ",$B$2380," from ",OILTrade!$N$76)</f>
        <v>Import Barge/Vessel Trade of KER to *R5 from R7</v>
      </c>
      <c r="E2386" s="381" t="s">
        <v>384</v>
      </c>
      <c r="F2386" s="381" t="s">
        <v>505</v>
      </c>
    </row>
    <row r="2387" spans="2:6">
      <c r="B2387" s="365" t="s">
        <v>1088</v>
      </c>
      <c r="C2387" s="365" t="str">
        <f>CONCATENATE("IMP",Commodities!C55,"BR",RIGHT(OILTrade!$S$76,2))</f>
        <v>IMPLPGBR</v>
      </c>
      <c r="D2387" s="365" t="str">
        <f>CONCATENATE("Import Barge/Vessel Trade of ",Commodities!C55, " to ",$B$2380," from ",OILTrade!$N$76)</f>
        <v>Import Barge/Vessel Trade of LPG to *R5 from R7</v>
      </c>
      <c r="E2387" s="381" t="s">
        <v>384</v>
      </c>
      <c r="F2387" s="381" t="s">
        <v>505</v>
      </c>
    </row>
    <row r="2388" spans="2:6">
      <c r="B2388" s="365" t="s">
        <v>1088</v>
      </c>
      <c r="C2388" s="365" t="str">
        <f>CONCATENATE("IMP",Commodities!C56,"BR",RIGHT(OILTrade!$S$76,2))</f>
        <v>IMPMTHBR</v>
      </c>
      <c r="D2388" s="365" t="str">
        <f>CONCATENATE("Import Barge/Vessel Trade of ",Commodities!C56, " to ",$B$2380," from ",OILTrade!$N$76)</f>
        <v>Import Barge/Vessel Trade of MTH to *R5 from R7</v>
      </c>
      <c r="E2388" s="381" t="s">
        <v>384</v>
      </c>
      <c r="F2388" s="381" t="s">
        <v>505</v>
      </c>
    </row>
    <row r="2389" spans="2:6">
      <c r="B2389" s="365" t="s">
        <v>1088</v>
      </c>
      <c r="C2389" s="365" t="str">
        <f>CONCATENATE("IMP",Commodities!C57,"BR",RIGHT(OILTrade!$S$76,2))</f>
        <v>IMPPFSBR</v>
      </c>
      <c r="D2389" s="365" t="str">
        <f>CONCATENATE("Import Barge/Vessel Trade of ",Commodities!C57, " to ",$B$2380," from ",OILTrade!$N$76)</f>
        <v>Import Barge/Vessel Trade of PFS to *R5 from R7</v>
      </c>
      <c r="E2389" s="381" t="s">
        <v>384</v>
      </c>
      <c r="F2389" s="381" t="s">
        <v>505</v>
      </c>
    </row>
    <row r="2390" spans="2:6">
      <c r="B2390" s="365" t="s">
        <v>1088</v>
      </c>
      <c r="C2390" s="365" t="str">
        <f>CONCATENATE("IMP",Commodities!C58,"BR",RIGHT(OILTrade!$S$76,2))</f>
        <v>IMPRFHBR</v>
      </c>
      <c r="D2390" s="365" t="str">
        <f>CONCATENATE("Import Barge/Vessel Trade of ",Commodities!C58, " to ",$B$2380," from ",OILTrade!$N$76)</f>
        <v>Import Barge/Vessel Trade of RFH to *R5 from R7</v>
      </c>
      <c r="E2390" s="381" t="s">
        <v>384</v>
      </c>
      <c r="F2390" s="381" t="s">
        <v>505</v>
      </c>
    </row>
    <row r="2391" spans="2:6">
      <c r="B2391" s="365" t="s">
        <v>1088</v>
      </c>
      <c r="C2391" s="365" t="str">
        <f>CONCATENATE("IMP",Commodities!C59,"BR",RIGHT(OILTrade!$S$76,2))</f>
        <v>IMPRFLBR</v>
      </c>
      <c r="D2391" s="365" t="str">
        <f>CONCATENATE("Import Barge/Vessel Trade of ",Commodities!C59, " to ",$B$2380," from ",OILTrade!$N$76)</f>
        <v>Import Barge/Vessel Trade of RFL to *R5 from R7</v>
      </c>
      <c r="E2391" s="381" t="s">
        <v>384</v>
      </c>
      <c r="F2391" s="381" t="s">
        <v>505</v>
      </c>
    </row>
    <row r="2392" spans="2:6">
      <c r="B2392" s="365" t="s">
        <v>1088</v>
      </c>
      <c r="C2392" s="365" t="str">
        <f>CONCATENATE("IMP",Commodities!C60,"BR",RIGHT(OILTrade!$S$76,2))</f>
        <v>IMPASPBR</v>
      </c>
      <c r="D2392" s="365" t="str">
        <f>CONCATENATE("Import Barge/Vessel Trade of ",Commodities!C60, " to ",$B$2380," from ",OILTrade!$N$76)</f>
        <v>Import Barge/Vessel Trade of ASP to *R5 from R7</v>
      </c>
      <c r="E2392" s="381" t="s">
        <v>384</v>
      </c>
      <c r="F2392" s="381" t="s">
        <v>505</v>
      </c>
    </row>
    <row r="2393" spans="2:6">
      <c r="B2393" s="365" t="s">
        <v>1089</v>
      </c>
      <c r="C2393" s="365" t="str">
        <f>CONCATENATE("IMP",Commodities!C48,"BR",RIGHT(OILTrade!$T$71,2))</f>
        <v>IMPGSCBR26</v>
      </c>
      <c r="D2393" s="365" t="str">
        <f>CONCATENATE("Import Barge/Vessel Trade of ",Commodities!C48, " to ",$B$2393," from ",OILTrade!$N$71)</f>
        <v>Import Barge/Vessel Trade of GSC to *R6 from R2</v>
      </c>
      <c r="E2393" s="381" t="s">
        <v>384</v>
      </c>
      <c r="F2393" s="381" t="s">
        <v>505</v>
      </c>
    </row>
    <row r="2394" spans="2:6">
      <c r="B2394" s="365" t="s">
        <v>1089</v>
      </c>
      <c r="C2394" s="365" t="str">
        <f>CONCATENATE("IMP",Commodities!C49,"BR",RIGHT(OILTrade!$T$71,2))</f>
        <v>IMPGSRBR26</v>
      </c>
      <c r="D2394" s="365" t="str">
        <f>CONCATENATE("Import Barge/Vessel Trade of ",Commodities!C49, " to ",$B$2393," from ",OILTrade!$N$71)</f>
        <v>Import Barge/Vessel Trade of GSR to *R6 from R2</v>
      </c>
      <c r="E2394" s="381" t="s">
        <v>384</v>
      </c>
      <c r="F2394" s="381" t="s">
        <v>505</v>
      </c>
    </row>
    <row r="2395" spans="2:6">
      <c r="B2395" s="365" t="s">
        <v>1089</v>
      </c>
      <c r="C2395" s="365" t="str">
        <f>CONCATENATE("IMP",Commodities!C50,"BR",RIGHT(OILTrade!$T$71,2))</f>
        <v>IMPDSHBR26</v>
      </c>
      <c r="D2395" s="365" t="str">
        <f>CONCATENATE("Import Barge/Vessel Trade of ",Commodities!C50, " to ",$B$2393," from ",OILTrade!$N$71)</f>
        <v>Import Barge/Vessel Trade of DSH to *R6 from R2</v>
      </c>
      <c r="E2395" s="381" t="s">
        <v>384</v>
      </c>
      <c r="F2395" s="381" t="s">
        <v>505</v>
      </c>
    </row>
    <row r="2396" spans="2:6">
      <c r="B2396" s="365" t="s">
        <v>1089</v>
      </c>
      <c r="C2396" s="365" t="str">
        <f>CONCATENATE("IMP",Commodities!C51,"BR",RIGHT(OILTrade!$T$71,2))</f>
        <v>IMPDSLBR26</v>
      </c>
      <c r="D2396" s="365" t="str">
        <f>CONCATENATE("Import Barge/Vessel Trade of ",Commodities!C51, " to ",$B$2393," from ",OILTrade!$N$71)</f>
        <v>Import Barge/Vessel Trade of DSL to *R6 from R2</v>
      </c>
      <c r="E2396" s="381" t="s">
        <v>384</v>
      </c>
      <c r="F2396" s="381" t="s">
        <v>505</v>
      </c>
    </row>
    <row r="2397" spans="2:6">
      <c r="B2397" s="365" t="s">
        <v>1089</v>
      </c>
      <c r="C2397" s="365" t="str">
        <f>CONCATENATE("IMP",Commodities!C52,"BR",RIGHT(OILTrade!$T$71,2))</f>
        <v>IMPDSUBR26</v>
      </c>
      <c r="D2397" s="365" t="str">
        <f>CONCATENATE("Import Barge/Vessel Trade of ",Commodities!C52, " to ",$B$2393," from ",OILTrade!$N$71)</f>
        <v>Import Barge/Vessel Trade of DSU to *R6 from R2</v>
      </c>
      <c r="E2397" s="381" t="s">
        <v>384</v>
      </c>
      <c r="F2397" s="381" t="s">
        <v>505</v>
      </c>
    </row>
    <row r="2398" spans="2:6">
      <c r="B2398" s="365" t="s">
        <v>1089</v>
      </c>
      <c r="C2398" s="365" t="str">
        <f>CONCATENATE("IMP",Commodities!C53,"BR",RIGHT(OILTrade!$T$71,2))</f>
        <v>IMPJTFBR26</v>
      </c>
      <c r="D2398" s="365" t="str">
        <f>CONCATENATE("Import Barge/Vessel Trade of ",Commodities!C53, " to ",$B$2393," from ",OILTrade!$N$71)</f>
        <v>Import Barge/Vessel Trade of JTF to *R6 from R2</v>
      </c>
      <c r="E2398" s="381" t="s">
        <v>384</v>
      </c>
      <c r="F2398" s="381" t="s">
        <v>505</v>
      </c>
    </row>
    <row r="2399" spans="2:6">
      <c r="B2399" s="365" t="s">
        <v>1089</v>
      </c>
      <c r="C2399" s="365" t="str">
        <f>CONCATENATE("IMP",Commodities!C54,"BR",RIGHT(OILTrade!$T$71,2))</f>
        <v>IMPKERBR26</v>
      </c>
      <c r="D2399" s="365" t="str">
        <f>CONCATENATE("Import Barge/Vessel Trade of ",Commodities!C54, " to ",$B$2393," from ",OILTrade!$N$71)</f>
        <v>Import Barge/Vessel Trade of KER to *R6 from R2</v>
      </c>
      <c r="E2399" s="381" t="s">
        <v>384</v>
      </c>
      <c r="F2399" s="381" t="s">
        <v>505</v>
      </c>
    </row>
    <row r="2400" spans="2:6">
      <c r="B2400" s="365" t="s">
        <v>1089</v>
      </c>
      <c r="C2400" s="365" t="str">
        <f>CONCATENATE("IMP",Commodities!C55,"BR",RIGHT(OILTrade!$T$71,2))</f>
        <v>IMPLPGBR26</v>
      </c>
      <c r="D2400" s="365" t="str">
        <f>CONCATENATE("Import Barge/Vessel Trade of ",Commodities!C55, " to ",$B$2393," from ",OILTrade!$N$71)</f>
        <v>Import Barge/Vessel Trade of LPG to *R6 from R2</v>
      </c>
      <c r="E2400" s="381" t="s">
        <v>384</v>
      </c>
      <c r="F2400" s="381" t="s">
        <v>505</v>
      </c>
    </row>
    <row r="2401" spans="2:6">
      <c r="B2401" s="365" t="s">
        <v>1089</v>
      </c>
      <c r="C2401" s="365" t="str">
        <f>CONCATENATE("IMP",Commodities!C56,"BR",RIGHT(OILTrade!$T$71,2))</f>
        <v>IMPMTHBR26</v>
      </c>
      <c r="D2401" s="365" t="str">
        <f>CONCATENATE("Import Barge/Vessel Trade of ",Commodities!C56, " to ",$B$2393," from ",OILTrade!$N$71)</f>
        <v>Import Barge/Vessel Trade of MTH to *R6 from R2</v>
      </c>
      <c r="E2401" s="381" t="s">
        <v>384</v>
      </c>
      <c r="F2401" s="381" t="s">
        <v>505</v>
      </c>
    </row>
    <row r="2402" spans="2:6">
      <c r="B2402" s="365" t="s">
        <v>1089</v>
      </c>
      <c r="C2402" s="365" t="str">
        <f>CONCATENATE("IMP",Commodities!C57,"BR",RIGHT(OILTrade!$T$71,2))</f>
        <v>IMPPFSBR26</v>
      </c>
      <c r="D2402" s="365" t="str">
        <f>CONCATENATE("Import Barge/Vessel Trade of ",Commodities!C57, " to ",$B$2393," from ",OILTrade!$N$71)</f>
        <v>Import Barge/Vessel Trade of PFS to *R6 from R2</v>
      </c>
      <c r="E2402" s="381" t="s">
        <v>384</v>
      </c>
      <c r="F2402" s="381" t="s">
        <v>505</v>
      </c>
    </row>
    <row r="2403" spans="2:6">
      <c r="B2403" s="365" t="s">
        <v>1089</v>
      </c>
      <c r="C2403" s="365" t="str">
        <f>CONCATENATE("IMP",Commodities!C58,"BR",RIGHT(OILTrade!$T$71,2))</f>
        <v>IMPRFHBR26</v>
      </c>
      <c r="D2403" s="365" t="str">
        <f>CONCATENATE("Import Barge/Vessel Trade of ",Commodities!C58, " to ",$B$2393," from ",OILTrade!$N$71)</f>
        <v>Import Barge/Vessel Trade of RFH to *R6 from R2</v>
      </c>
      <c r="E2403" s="381" t="s">
        <v>384</v>
      </c>
      <c r="F2403" s="381" t="s">
        <v>505</v>
      </c>
    </row>
    <row r="2404" spans="2:6">
      <c r="B2404" s="365" t="s">
        <v>1089</v>
      </c>
      <c r="C2404" s="365" t="str">
        <f>CONCATENATE("IMP",Commodities!C59,"BR",RIGHT(OILTrade!$T$71,2))</f>
        <v>IMPRFLBR26</v>
      </c>
      <c r="D2404" s="365" t="str">
        <f>CONCATENATE("Import Barge/Vessel Trade of ",Commodities!C59, " to ",$B$2393," from ",OILTrade!$N$71)</f>
        <v>Import Barge/Vessel Trade of RFL to *R6 from R2</v>
      </c>
      <c r="E2404" s="381" t="s">
        <v>384</v>
      </c>
      <c r="F2404" s="381" t="s">
        <v>505</v>
      </c>
    </row>
    <row r="2405" spans="2:6">
      <c r="B2405" s="365" t="s">
        <v>1089</v>
      </c>
      <c r="C2405" s="365" t="str">
        <f>CONCATENATE("IMP",Commodities!C60,"BR",RIGHT(OILTrade!$T$71,2))</f>
        <v>IMPASPBR26</v>
      </c>
      <c r="D2405" s="365" t="str">
        <f>CONCATENATE("Import Barge/Vessel Trade of ",Commodities!C60, " to ",$B$2393," from ",OILTrade!$N$71)</f>
        <v>Import Barge/Vessel Trade of ASP to *R6 from R2</v>
      </c>
      <c r="E2405" s="381" t="s">
        <v>384</v>
      </c>
      <c r="F2405" s="381" t="s">
        <v>505</v>
      </c>
    </row>
    <row r="2406" spans="2:6">
      <c r="B2406" s="365" t="s">
        <v>1089</v>
      </c>
      <c r="C2406" s="365" t="str">
        <f>CONCATENATE("IMP",Commodities!C48,"BR",RIGHT(OILTrade!$T$72,2))</f>
        <v>IMPGSCBR36</v>
      </c>
      <c r="D2406" s="365" t="str">
        <f>CONCATENATE("Import Barge/Vessel Trade of ",Commodities!C48, " to ",$B$2406," from ",OILTrade!$N$72)</f>
        <v>Import Barge/Vessel Trade of GSC to *R6 from R3</v>
      </c>
      <c r="E2406" s="381" t="s">
        <v>384</v>
      </c>
      <c r="F2406" s="381" t="s">
        <v>505</v>
      </c>
    </row>
    <row r="2407" spans="2:6">
      <c r="B2407" s="365" t="s">
        <v>1089</v>
      </c>
      <c r="C2407" s="365" t="str">
        <f>CONCATENATE("IMP",Commodities!C49,"BR",RIGHT(OILTrade!$T$72,2))</f>
        <v>IMPGSRBR36</v>
      </c>
      <c r="D2407" s="365" t="str">
        <f>CONCATENATE("Import Barge/Vessel Trade of ",Commodities!C49, " to ",$B$2406," from ",OILTrade!$N$72)</f>
        <v>Import Barge/Vessel Trade of GSR to *R6 from R3</v>
      </c>
      <c r="E2407" s="381" t="s">
        <v>384</v>
      </c>
      <c r="F2407" s="381" t="s">
        <v>505</v>
      </c>
    </row>
    <row r="2408" spans="2:6">
      <c r="B2408" s="365" t="s">
        <v>1089</v>
      </c>
      <c r="C2408" s="365" t="str">
        <f>CONCATENATE("IMP",Commodities!C50,"BR",RIGHT(OILTrade!$T$72,2))</f>
        <v>IMPDSHBR36</v>
      </c>
      <c r="D2408" s="365" t="str">
        <f>CONCATENATE("Import Barge/Vessel Trade of ",Commodities!C50, " to ",$B$2406," from ",OILTrade!$N$72)</f>
        <v>Import Barge/Vessel Trade of DSH to *R6 from R3</v>
      </c>
      <c r="E2408" s="381" t="s">
        <v>384</v>
      </c>
      <c r="F2408" s="381" t="s">
        <v>505</v>
      </c>
    </row>
    <row r="2409" spans="2:6">
      <c r="B2409" s="365" t="s">
        <v>1089</v>
      </c>
      <c r="C2409" s="365" t="str">
        <f>CONCATENATE("IMP",Commodities!C51,"BR",RIGHT(OILTrade!$T$72,2))</f>
        <v>IMPDSLBR36</v>
      </c>
      <c r="D2409" s="365" t="str">
        <f>CONCATENATE("Import Barge/Vessel Trade of ",Commodities!C51, " to ",$B$2406," from ",OILTrade!$N$72)</f>
        <v>Import Barge/Vessel Trade of DSL to *R6 from R3</v>
      </c>
      <c r="E2409" s="381" t="s">
        <v>384</v>
      </c>
      <c r="F2409" s="381" t="s">
        <v>505</v>
      </c>
    </row>
    <row r="2410" spans="2:6">
      <c r="B2410" s="365" t="s">
        <v>1089</v>
      </c>
      <c r="C2410" s="365" t="str">
        <f>CONCATENATE("IMP",Commodities!C52,"BR",RIGHT(OILTrade!$T$72,2))</f>
        <v>IMPDSUBR36</v>
      </c>
      <c r="D2410" s="365" t="str">
        <f>CONCATENATE("Import Barge/Vessel Trade of ",Commodities!C52, " to ",$B$2406," from ",OILTrade!$N$72)</f>
        <v>Import Barge/Vessel Trade of DSU to *R6 from R3</v>
      </c>
      <c r="E2410" s="381" t="s">
        <v>384</v>
      </c>
      <c r="F2410" s="381" t="s">
        <v>505</v>
      </c>
    </row>
    <row r="2411" spans="2:6">
      <c r="B2411" s="365" t="s">
        <v>1089</v>
      </c>
      <c r="C2411" s="365" t="str">
        <f>CONCATENATE("IMP",Commodities!C53,"BR",RIGHT(OILTrade!$T$72,2))</f>
        <v>IMPJTFBR36</v>
      </c>
      <c r="D2411" s="365" t="str">
        <f>CONCATENATE("Import Barge/Vessel Trade of ",Commodities!C53, " to ",$B$2406," from ",OILTrade!$N$72)</f>
        <v>Import Barge/Vessel Trade of JTF to *R6 from R3</v>
      </c>
      <c r="E2411" s="381" t="s">
        <v>384</v>
      </c>
      <c r="F2411" s="381" t="s">
        <v>505</v>
      </c>
    </row>
    <row r="2412" spans="2:6">
      <c r="B2412" s="365" t="s">
        <v>1089</v>
      </c>
      <c r="C2412" s="365" t="str">
        <f>CONCATENATE("IMP",Commodities!C54,"BR",RIGHT(OILTrade!$T$72,2))</f>
        <v>IMPKERBR36</v>
      </c>
      <c r="D2412" s="365" t="str">
        <f>CONCATENATE("Import Barge/Vessel Trade of ",Commodities!C54, " to ",$B$2406," from ",OILTrade!$N$72)</f>
        <v>Import Barge/Vessel Trade of KER to *R6 from R3</v>
      </c>
      <c r="E2412" s="381" t="s">
        <v>384</v>
      </c>
      <c r="F2412" s="381" t="s">
        <v>505</v>
      </c>
    </row>
    <row r="2413" spans="2:6">
      <c r="B2413" s="365" t="s">
        <v>1089</v>
      </c>
      <c r="C2413" s="365" t="str">
        <f>CONCATENATE("IMP",Commodities!C55,"BR",RIGHT(OILTrade!$T$72,2))</f>
        <v>IMPLPGBR36</v>
      </c>
      <c r="D2413" s="365" t="str">
        <f>CONCATENATE("Import Barge/Vessel Trade of ",Commodities!C55, " to ",$B$2406," from ",OILTrade!$N$72)</f>
        <v>Import Barge/Vessel Trade of LPG to *R6 from R3</v>
      </c>
      <c r="E2413" s="381" t="s">
        <v>384</v>
      </c>
      <c r="F2413" s="381" t="s">
        <v>505</v>
      </c>
    </row>
    <row r="2414" spans="2:6">
      <c r="B2414" s="365" t="s">
        <v>1089</v>
      </c>
      <c r="C2414" s="365" t="str">
        <f>CONCATENATE("IMP",Commodities!C56,"BR",RIGHT(OILTrade!$T$72,2))</f>
        <v>IMPMTHBR36</v>
      </c>
      <c r="D2414" s="365" t="str">
        <f>CONCATENATE("Import Barge/Vessel Trade of ",Commodities!C56, " to ",$B$2406," from ",OILTrade!$N$72)</f>
        <v>Import Barge/Vessel Trade of MTH to *R6 from R3</v>
      </c>
      <c r="E2414" s="381" t="s">
        <v>384</v>
      </c>
      <c r="F2414" s="381" t="s">
        <v>505</v>
      </c>
    </row>
    <row r="2415" spans="2:6">
      <c r="B2415" s="365" t="s">
        <v>1089</v>
      </c>
      <c r="C2415" s="365" t="str">
        <f>CONCATENATE("IMP",Commodities!C57,"BR",RIGHT(OILTrade!$T$72,2))</f>
        <v>IMPPFSBR36</v>
      </c>
      <c r="D2415" s="365" t="str">
        <f>CONCATENATE("Import Barge/Vessel Trade of ",Commodities!C57, " to ",$B$2406," from ",OILTrade!$N$72)</f>
        <v>Import Barge/Vessel Trade of PFS to *R6 from R3</v>
      </c>
      <c r="E2415" s="381" t="s">
        <v>384</v>
      </c>
      <c r="F2415" s="381" t="s">
        <v>505</v>
      </c>
    </row>
    <row r="2416" spans="2:6">
      <c r="B2416" s="365" t="s">
        <v>1089</v>
      </c>
      <c r="C2416" s="365" t="str">
        <f>CONCATENATE("IMP",Commodities!C58,"BR",RIGHT(OILTrade!$T$72,2))</f>
        <v>IMPRFHBR36</v>
      </c>
      <c r="D2416" s="365" t="str">
        <f>CONCATENATE("Import Barge/Vessel Trade of ",Commodities!C58, " to ",$B$2406," from ",OILTrade!$N$72)</f>
        <v>Import Barge/Vessel Trade of RFH to *R6 from R3</v>
      </c>
      <c r="E2416" s="381" t="s">
        <v>384</v>
      </c>
      <c r="F2416" s="381" t="s">
        <v>505</v>
      </c>
    </row>
    <row r="2417" spans="2:6">
      <c r="B2417" s="365" t="s">
        <v>1089</v>
      </c>
      <c r="C2417" s="365" t="str">
        <f>CONCATENATE("IMP",Commodities!C59,"BR",RIGHT(OILTrade!$T$72,2))</f>
        <v>IMPRFLBR36</v>
      </c>
      <c r="D2417" s="365" t="str">
        <f>CONCATENATE("Import Barge/Vessel Trade of ",Commodities!C59, " to ",$B$2406," from ",OILTrade!$N$72)</f>
        <v>Import Barge/Vessel Trade of RFL to *R6 from R3</v>
      </c>
      <c r="E2417" s="381" t="s">
        <v>384</v>
      </c>
      <c r="F2417" s="381" t="s">
        <v>505</v>
      </c>
    </row>
    <row r="2418" spans="2:6">
      <c r="B2418" s="365" t="s">
        <v>1089</v>
      </c>
      <c r="C2418" s="365" t="str">
        <f>CONCATENATE("IMP",Commodities!C60,"BR",RIGHT(OILTrade!$T$72,2))</f>
        <v>IMPASPBR36</v>
      </c>
      <c r="D2418" s="365" t="str">
        <f>CONCATENATE("Import Barge/Vessel Trade of ",Commodities!C60, " to ",$B$2406," from ",OILTrade!$N$72)</f>
        <v>Import Barge/Vessel Trade of ASP to *R6 from R3</v>
      </c>
      <c r="E2418" s="381" t="s">
        <v>384</v>
      </c>
      <c r="F2418" s="381" t="s">
        <v>505</v>
      </c>
    </row>
    <row r="2419" spans="2:6">
      <c r="B2419" s="365" t="s">
        <v>1089</v>
      </c>
      <c r="C2419" s="365" t="str">
        <f>CONCATENATE("IMP",Commodities!C48,"BR",RIGHT(OILTrade!$T$73,2))</f>
        <v>IMPGSCBR46</v>
      </c>
      <c r="D2419" s="365" t="str">
        <f>CONCATENATE("Import Barge/Vessel Trade of ",Commodities!C48, " to ",$B$2419," from ",OILTrade!$N$73)</f>
        <v>Import Barge/Vessel Trade of GSC to *R6 from R4</v>
      </c>
      <c r="E2419" s="381" t="s">
        <v>384</v>
      </c>
      <c r="F2419" s="381" t="s">
        <v>505</v>
      </c>
    </row>
    <row r="2420" spans="2:6">
      <c r="B2420" s="365" t="s">
        <v>1089</v>
      </c>
      <c r="C2420" s="365" t="str">
        <f>CONCATENATE("IMP",Commodities!C49,"BR",RIGHT(OILTrade!$T$73,2))</f>
        <v>IMPGSRBR46</v>
      </c>
      <c r="D2420" s="365" t="str">
        <f>CONCATENATE("Import Barge/Vessel Trade of ",Commodities!C49, " to ",$B$2419," from ",OILTrade!$N$73)</f>
        <v>Import Barge/Vessel Trade of GSR to *R6 from R4</v>
      </c>
      <c r="E2420" s="381" t="s">
        <v>384</v>
      </c>
      <c r="F2420" s="381" t="s">
        <v>505</v>
      </c>
    </row>
    <row r="2421" spans="2:6">
      <c r="B2421" s="365" t="s">
        <v>1089</v>
      </c>
      <c r="C2421" s="365" t="str">
        <f>CONCATENATE("IMP",Commodities!C50,"BR",RIGHT(OILTrade!$T$73,2))</f>
        <v>IMPDSHBR46</v>
      </c>
      <c r="D2421" s="365" t="str">
        <f>CONCATENATE("Import Barge/Vessel Trade of ",Commodities!C50, " to ",$B$2419," from ",OILTrade!$N$73)</f>
        <v>Import Barge/Vessel Trade of DSH to *R6 from R4</v>
      </c>
      <c r="E2421" s="381" t="s">
        <v>384</v>
      </c>
      <c r="F2421" s="381" t="s">
        <v>505</v>
      </c>
    </row>
    <row r="2422" spans="2:6">
      <c r="B2422" s="365" t="s">
        <v>1089</v>
      </c>
      <c r="C2422" s="365" t="str">
        <f>CONCATENATE("IMP",Commodities!C51,"BR",RIGHT(OILTrade!$T$73,2))</f>
        <v>IMPDSLBR46</v>
      </c>
      <c r="D2422" s="365" t="str">
        <f>CONCATENATE("Import Barge/Vessel Trade of ",Commodities!C51, " to ",$B$2419," from ",OILTrade!$N$73)</f>
        <v>Import Barge/Vessel Trade of DSL to *R6 from R4</v>
      </c>
      <c r="E2422" s="381" t="s">
        <v>384</v>
      </c>
      <c r="F2422" s="381" t="s">
        <v>505</v>
      </c>
    </row>
    <row r="2423" spans="2:6">
      <c r="B2423" s="365" t="s">
        <v>1089</v>
      </c>
      <c r="C2423" s="365" t="str">
        <f>CONCATENATE("IMP",Commodities!C52,"BR",RIGHT(OILTrade!$T$73,2))</f>
        <v>IMPDSUBR46</v>
      </c>
      <c r="D2423" s="365" t="str">
        <f>CONCATENATE("Import Barge/Vessel Trade of ",Commodities!C52, " to ",$B$2419," from ",OILTrade!$N$73)</f>
        <v>Import Barge/Vessel Trade of DSU to *R6 from R4</v>
      </c>
      <c r="E2423" s="381" t="s">
        <v>384</v>
      </c>
      <c r="F2423" s="381" t="s">
        <v>505</v>
      </c>
    </row>
    <row r="2424" spans="2:6">
      <c r="B2424" s="365" t="s">
        <v>1089</v>
      </c>
      <c r="C2424" s="365" t="str">
        <f>CONCATENATE("IMP",Commodities!C53,"BR",RIGHT(OILTrade!$T$73,2))</f>
        <v>IMPJTFBR46</v>
      </c>
      <c r="D2424" s="365" t="str">
        <f>CONCATENATE("Import Barge/Vessel Trade of ",Commodities!C53, " to ",$B$2419," from ",OILTrade!$N$73)</f>
        <v>Import Barge/Vessel Trade of JTF to *R6 from R4</v>
      </c>
      <c r="E2424" s="381" t="s">
        <v>384</v>
      </c>
      <c r="F2424" s="381" t="s">
        <v>505</v>
      </c>
    </row>
    <row r="2425" spans="2:6">
      <c r="B2425" s="365" t="s">
        <v>1089</v>
      </c>
      <c r="C2425" s="365" t="str">
        <f>CONCATENATE("IMP",Commodities!C54,"BR",RIGHT(OILTrade!$T$73,2))</f>
        <v>IMPKERBR46</v>
      </c>
      <c r="D2425" s="365" t="str">
        <f>CONCATENATE("Import Barge/Vessel Trade of ",Commodities!C54, " to ",$B$2419," from ",OILTrade!$N$73)</f>
        <v>Import Barge/Vessel Trade of KER to *R6 from R4</v>
      </c>
      <c r="E2425" s="381" t="s">
        <v>384</v>
      </c>
      <c r="F2425" s="381" t="s">
        <v>505</v>
      </c>
    </row>
    <row r="2426" spans="2:6">
      <c r="B2426" s="365" t="s">
        <v>1089</v>
      </c>
      <c r="C2426" s="365" t="str">
        <f>CONCATENATE("IMP",Commodities!C55,"BR",RIGHT(OILTrade!$T$73,2))</f>
        <v>IMPLPGBR46</v>
      </c>
      <c r="D2426" s="365" t="str">
        <f>CONCATENATE("Import Barge/Vessel Trade of ",Commodities!C55, " to ",$B$2419," from ",OILTrade!$N$73)</f>
        <v>Import Barge/Vessel Trade of LPG to *R6 from R4</v>
      </c>
      <c r="E2426" s="381" t="s">
        <v>384</v>
      </c>
      <c r="F2426" s="381" t="s">
        <v>505</v>
      </c>
    </row>
    <row r="2427" spans="2:6">
      <c r="B2427" s="365" t="s">
        <v>1089</v>
      </c>
      <c r="C2427" s="365" t="str">
        <f>CONCATENATE("IMP",Commodities!C56,"BR",RIGHT(OILTrade!$T$73,2))</f>
        <v>IMPMTHBR46</v>
      </c>
      <c r="D2427" s="365" t="str">
        <f>CONCATENATE("Import Barge/Vessel Trade of ",Commodities!C56, " to ",$B$2419," from ",OILTrade!$N$73)</f>
        <v>Import Barge/Vessel Trade of MTH to *R6 from R4</v>
      </c>
      <c r="E2427" s="381" t="s">
        <v>384</v>
      </c>
      <c r="F2427" s="381" t="s">
        <v>505</v>
      </c>
    </row>
    <row r="2428" spans="2:6">
      <c r="B2428" s="365" t="s">
        <v>1089</v>
      </c>
      <c r="C2428" s="365" t="str">
        <f>CONCATENATE("IMP",Commodities!C57,"BR",RIGHT(OILTrade!$T$73,2))</f>
        <v>IMPPFSBR46</v>
      </c>
      <c r="D2428" s="365" t="str">
        <f>CONCATENATE("Import Barge/Vessel Trade of ",Commodities!C57, " to ",$B$2419," from ",OILTrade!$N$73)</f>
        <v>Import Barge/Vessel Trade of PFS to *R6 from R4</v>
      </c>
      <c r="E2428" s="381" t="s">
        <v>384</v>
      </c>
      <c r="F2428" s="381" t="s">
        <v>505</v>
      </c>
    </row>
    <row r="2429" spans="2:6">
      <c r="B2429" s="365" t="s">
        <v>1089</v>
      </c>
      <c r="C2429" s="365" t="str">
        <f>CONCATENATE("IMP",Commodities!C58,"BR",RIGHT(OILTrade!$T$73,2))</f>
        <v>IMPRFHBR46</v>
      </c>
      <c r="D2429" s="365" t="str">
        <f>CONCATENATE("Import Barge/Vessel Trade of ",Commodities!C58, " to ",$B$2419," from ",OILTrade!$N$73)</f>
        <v>Import Barge/Vessel Trade of RFH to *R6 from R4</v>
      </c>
      <c r="E2429" s="381" t="s">
        <v>384</v>
      </c>
      <c r="F2429" s="381" t="s">
        <v>505</v>
      </c>
    </row>
    <row r="2430" spans="2:6">
      <c r="B2430" s="365" t="s">
        <v>1089</v>
      </c>
      <c r="C2430" s="365" t="str">
        <f>CONCATENATE("IMP",Commodities!C59,"BR",RIGHT(OILTrade!$T$73,2))</f>
        <v>IMPRFLBR46</v>
      </c>
      <c r="D2430" s="365" t="str">
        <f>CONCATENATE("Import Barge/Vessel Trade of ",Commodities!C59, " to ",$B$2419," from ",OILTrade!$N$73)</f>
        <v>Import Barge/Vessel Trade of RFL to *R6 from R4</v>
      </c>
      <c r="E2430" s="381" t="s">
        <v>384</v>
      </c>
      <c r="F2430" s="381" t="s">
        <v>505</v>
      </c>
    </row>
    <row r="2431" spans="2:6">
      <c r="B2431" s="365" t="s">
        <v>1089</v>
      </c>
      <c r="C2431" s="365" t="str">
        <f>CONCATENATE("IMP",Commodities!C60,"BR",RIGHT(OILTrade!$T$73,2))</f>
        <v>IMPASPBR46</v>
      </c>
      <c r="D2431" s="365" t="str">
        <f>CONCATENATE("Import Barge/Vessel Trade of ",Commodities!C60, " to ",$B$2419," from ",OILTrade!$N$73)</f>
        <v>Import Barge/Vessel Trade of ASP to *R6 from R4</v>
      </c>
      <c r="E2431" s="381" t="s">
        <v>384</v>
      </c>
      <c r="F2431" s="381" t="s">
        <v>505</v>
      </c>
    </row>
    <row r="2432" spans="2:6">
      <c r="B2432" s="365" t="s">
        <v>1089</v>
      </c>
      <c r="C2432" s="365" t="str">
        <f>CONCATENATE("IMP",Commodities!C48,"BR",RIGHT(OILTrade!$T$74,2))</f>
        <v>IMPGSCBR</v>
      </c>
      <c r="D2432" s="365" t="str">
        <f>CONCATENATE("Import Barge/Vessel Trade of ",Commodities!C48, " to ",$B$2432," from ",OILTrade!$N$74)</f>
        <v>Import Barge/Vessel Trade of GSC to *R6 from R5</v>
      </c>
      <c r="E2432" s="381" t="s">
        <v>384</v>
      </c>
      <c r="F2432" s="381" t="s">
        <v>505</v>
      </c>
    </row>
    <row r="2433" spans="2:6">
      <c r="B2433" s="365" t="s">
        <v>1089</v>
      </c>
      <c r="C2433" s="365" t="str">
        <f>CONCATENATE("IMP",Commodities!C49,"BR",RIGHT(OILTrade!$T$74,2))</f>
        <v>IMPGSRBR</v>
      </c>
      <c r="D2433" s="365" t="str">
        <f>CONCATENATE("Import Barge/Vessel Trade of ",Commodities!C49, " to ",$B$2432," from ",OILTrade!$N$74)</f>
        <v>Import Barge/Vessel Trade of GSR to *R6 from R5</v>
      </c>
      <c r="E2433" s="381" t="s">
        <v>384</v>
      </c>
      <c r="F2433" s="381" t="s">
        <v>505</v>
      </c>
    </row>
    <row r="2434" spans="2:6">
      <c r="B2434" s="365" t="s">
        <v>1089</v>
      </c>
      <c r="C2434" s="365" t="str">
        <f>CONCATENATE("IMP",Commodities!C50,"BR",RIGHT(OILTrade!$T$74,2))</f>
        <v>IMPDSHBR</v>
      </c>
      <c r="D2434" s="365" t="str">
        <f>CONCATENATE("Import Barge/Vessel Trade of ",Commodities!C50, " to ",$B$2432," from ",OILTrade!$N$74)</f>
        <v>Import Barge/Vessel Trade of DSH to *R6 from R5</v>
      </c>
      <c r="E2434" s="381" t="s">
        <v>384</v>
      </c>
      <c r="F2434" s="381" t="s">
        <v>505</v>
      </c>
    </row>
    <row r="2435" spans="2:6">
      <c r="B2435" s="365" t="s">
        <v>1089</v>
      </c>
      <c r="C2435" s="365" t="str">
        <f>CONCATENATE("IMP",Commodities!C51,"BR",RIGHT(OILTrade!$T$74,2))</f>
        <v>IMPDSLBR</v>
      </c>
      <c r="D2435" s="365" t="str">
        <f>CONCATENATE("Import Barge/Vessel Trade of ",Commodities!C51, " to ",$B$2432," from ",OILTrade!$N$74)</f>
        <v>Import Barge/Vessel Trade of DSL to *R6 from R5</v>
      </c>
      <c r="E2435" s="381" t="s">
        <v>384</v>
      </c>
      <c r="F2435" s="381" t="s">
        <v>505</v>
      </c>
    </row>
    <row r="2436" spans="2:6">
      <c r="B2436" s="365" t="s">
        <v>1089</v>
      </c>
      <c r="C2436" s="365" t="str">
        <f>CONCATENATE("IMP",Commodities!C52,"BR",RIGHT(OILTrade!$T$74,2))</f>
        <v>IMPDSUBR</v>
      </c>
      <c r="D2436" s="365" t="str">
        <f>CONCATENATE("Import Barge/Vessel Trade of ",Commodities!C52, " to ",$B$2432," from ",OILTrade!$N$74)</f>
        <v>Import Barge/Vessel Trade of DSU to *R6 from R5</v>
      </c>
      <c r="E2436" s="381" t="s">
        <v>384</v>
      </c>
      <c r="F2436" s="381" t="s">
        <v>505</v>
      </c>
    </row>
    <row r="2437" spans="2:6">
      <c r="B2437" s="365" t="s">
        <v>1089</v>
      </c>
      <c r="C2437" s="365" t="str">
        <f>CONCATENATE("IMP",Commodities!C53,"BR",RIGHT(OILTrade!$T$74,2))</f>
        <v>IMPJTFBR</v>
      </c>
      <c r="D2437" s="365" t="str">
        <f>CONCATENATE("Import Barge/Vessel Trade of ",Commodities!C53, " to ",$B$2432," from ",OILTrade!$N$74)</f>
        <v>Import Barge/Vessel Trade of JTF to *R6 from R5</v>
      </c>
      <c r="E2437" s="381" t="s">
        <v>384</v>
      </c>
      <c r="F2437" s="381" t="s">
        <v>505</v>
      </c>
    </row>
    <row r="2438" spans="2:6">
      <c r="B2438" s="365" t="s">
        <v>1089</v>
      </c>
      <c r="C2438" s="365" t="str">
        <f>CONCATENATE("IMP",Commodities!C54,"BR",RIGHT(OILTrade!$T$74,2))</f>
        <v>IMPKERBR</v>
      </c>
      <c r="D2438" s="365" t="str">
        <f>CONCATENATE("Import Barge/Vessel Trade of ",Commodities!C54, " to ",$B$2432," from ",OILTrade!$N$74)</f>
        <v>Import Barge/Vessel Trade of KER to *R6 from R5</v>
      </c>
      <c r="E2438" s="381" t="s">
        <v>384</v>
      </c>
      <c r="F2438" s="381" t="s">
        <v>505</v>
      </c>
    </row>
    <row r="2439" spans="2:6">
      <c r="B2439" s="365" t="s">
        <v>1089</v>
      </c>
      <c r="C2439" s="365" t="str">
        <f>CONCATENATE("IMP",Commodities!C55,"BR",RIGHT(OILTrade!$T$74,2))</f>
        <v>IMPLPGBR</v>
      </c>
      <c r="D2439" s="365" t="str">
        <f>CONCATENATE("Import Barge/Vessel Trade of ",Commodities!C55, " to ",$B$2432," from ",OILTrade!$N$74)</f>
        <v>Import Barge/Vessel Trade of LPG to *R6 from R5</v>
      </c>
      <c r="E2439" s="381" t="s">
        <v>384</v>
      </c>
      <c r="F2439" s="381" t="s">
        <v>505</v>
      </c>
    </row>
    <row r="2440" spans="2:6">
      <c r="B2440" s="365" t="s">
        <v>1089</v>
      </c>
      <c r="C2440" s="365" t="str">
        <f>CONCATENATE("IMP",Commodities!C56,"BR",RIGHT(OILTrade!$T$74,2))</f>
        <v>IMPMTHBR</v>
      </c>
      <c r="D2440" s="365" t="str">
        <f>CONCATENATE("Import Barge/Vessel Trade of ",Commodities!C56, " to ",$B$2432," from ",OILTrade!$N$74)</f>
        <v>Import Barge/Vessel Trade of MTH to *R6 from R5</v>
      </c>
      <c r="E2440" s="381" t="s">
        <v>384</v>
      </c>
      <c r="F2440" s="381" t="s">
        <v>505</v>
      </c>
    </row>
    <row r="2441" spans="2:6">
      <c r="B2441" s="365" t="s">
        <v>1089</v>
      </c>
      <c r="C2441" s="365" t="str">
        <f>CONCATENATE("IMP",Commodities!C57,"BR",RIGHT(OILTrade!$T$74,2))</f>
        <v>IMPPFSBR</v>
      </c>
      <c r="D2441" s="365" t="str">
        <f>CONCATENATE("Import Barge/Vessel Trade of ",Commodities!C57, " to ",$B$2432," from ",OILTrade!$N$74)</f>
        <v>Import Barge/Vessel Trade of PFS to *R6 from R5</v>
      </c>
      <c r="E2441" s="381" t="s">
        <v>384</v>
      </c>
      <c r="F2441" s="381" t="s">
        <v>505</v>
      </c>
    </row>
    <row r="2442" spans="2:6">
      <c r="B2442" s="365" t="s">
        <v>1089</v>
      </c>
      <c r="C2442" s="365" t="str">
        <f>CONCATENATE("IMP",Commodities!C58,"BR",RIGHT(OILTrade!$T$74,2))</f>
        <v>IMPRFHBR</v>
      </c>
      <c r="D2442" s="365" t="str">
        <f>CONCATENATE("Import Barge/Vessel Trade of ",Commodities!C58, " to ",$B$2432," from ",OILTrade!$N$74)</f>
        <v>Import Barge/Vessel Trade of RFH to *R6 from R5</v>
      </c>
      <c r="E2442" s="381" t="s">
        <v>384</v>
      </c>
      <c r="F2442" s="381" t="s">
        <v>505</v>
      </c>
    </row>
    <row r="2443" spans="2:6">
      <c r="B2443" s="365" t="s">
        <v>1089</v>
      </c>
      <c r="C2443" s="365" t="str">
        <f>CONCATENATE("IMP",Commodities!C59,"BR",RIGHT(OILTrade!$T$74,2))</f>
        <v>IMPRFLBR</v>
      </c>
      <c r="D2443" s="365" t="str">
        <f>CONCATENATE("Import Barge/Vessel Trade of ",Commodities!C59, " to ",$B$2432," from ",OILTrade!$N$74)</f>
        <v>Import Barge/Vessel Trade of RFL to *R6 from R5</v>
      </c>
      <c r="E2443" s="381" t="s">
        <v>384</v>
      </c>
      <c r="F2443" s="381" t="s">
        <v>505</v>
      </c>
    </row>
    <row r="2444" spans="2:6">
      <c r="B2444" s="365" t="s">
        <v>1089</v>
      </c>
      <c r="C2444" s="365" t="str">
        <f>CONCATENATE("IMP",Commodities!C60,"BR",RIGHT(OILTrade!$T$74,2))</f>
        <v>IMPASPBR</v>
      </c>
      <c r="D2444" s="365" t="str">
        <f>CONCATENATE("Import Barge/Vessel Trade of ",Commodities!C60, " to ",$B$2432," from ",OILTrade!$N$74)</f>
        <v>Import Barge/Vessel Trade of ASP to *R6 from R5</v>
      </c>
      <c r="E2444" s="381" t="s">
        <v>384</v>
      </c>
      <c r="F2444" s="381" t="s">
        <v>505</v>
      </c>
    </row>
    <row r="2445" spans="2:6">
      <c r="B2445" s="365" t="s">
        <v>1089</v>
      </c>
      <c r="C2445" s="365" t="str">
        <f>CONCATENATE("IMP",Commodities!C48,"BR",RIGHT(OILTrade!$T$76,2))</f>
        <v>IMPGSCBR</v>
      </c>
      <c r="D2445" s="365" t="str">
        <f>CONCATENATE("Import Barge/Vessel Trade of ",Commodities!C48, " to ",$B$2445," from ",OILTrade!$N$76)</f>
        <v>Import Barge/Vessel Trade of GSC to *R6 from R7</v>
      </c>
      <c r="E2445" s="381" t="s">
        <v>384</v>
      </c>
      <c r="F2445" s="381" t="s">
        <v>505</v>
      </c>
    </row>
    <row r="2446" spans="2:6">
      <c r="B2446" s="365" t="s">
        <v>1089</v>
      </c>
      <c r="C2446" s="365" t="str">
        <f>CONCATENATE("IMP",Commodities!C49,"BR",RIGHT(OILTrade!$T$76,2))</f>
        <v>IMPGSRBR</v>
      </c>
      <c r="D2446" s="365" t="str">
        <f>CONCATENATE("Import Barge/Vessel Trade of ",Commodities!C49, " to ",$B$2445," from ",OILTrade!$N$76)</f>
        <v>Import Barge/Vessel Trade of GSR to *R6 from R7</v>
      </c>
      <c r="E2446" s="381" t="s">
        <v>384</v>
      </c>
      <c r="F2446" s="381" t="s">
        <v>505</v>
      </c>
    </row>
    <row r="2447" spans="2:6">
      <c r="B2447" s="365" t="s">
        <v>1089</v>
      </c>
      <c r="C2447" s="365" t="str">
        <f>CONCATENATE("IMP",Commodities!C50,"BR",RIGHT(OILTrade!$T$76,2))</f>
        <v>IMPDSHBR</v>
      </c>
      <c r="D2447" s="365" t="str">
        <f>CONCATENATE("Import Barge/Vessel Trade of ",Commodities!C50, " to ",$B$2445," from ",OILTrade!$N$76)</f>
        <v>Import Barge/Vessel Trade of DSH to *R6 from R7</v>
      </c>
      <c r="E2447" s="381" t="s">
        <v>384</v>
      </c>
      <c r="F2447" s="381" t="s">
        <v>505</v>
      </c>
    </row>
    <row r="2448" spans="2:6">
      <c r="B2448" s="365" t="s">
        <v>1089</v>
      </c>
      <c r="C2448" s="365" t="str">
        <f>CONCATENATE("IMP",Commodities!C51,"BR",RIGHT(OILTrade!$T$76,2))</f>
        <v>IMPDSLBR</v>
      </c>
      <c r="D2448" s="365" t="str">
        <f>CONCATENATE("Import Barge/Vessel Trade of ",Commodities!C51, " to ",$B$2445," from ",OILTrade!$N$76)</f>
        <v>Import Barge/Vessel Trade of DSL to *R6 from R7</v>
      </c>
      <c r="E2448" s="381" t="s">
        <v>384</v>
      </c>
      <c r="F2448" s="381" t="s">
        <v>505</v>
      </c>
    </row>
    <row r="2449" spans="2:6">
      <c r="B2449" s="365" t="s">
        <v>1089</v>
      </c>
      <c r="C2449" s="365" t="str">
        <f>CONCATENATE("IMP",Commodities!C52,"BR",RIGHT(OILTrade!$T$76,2))</f>
        <v>IMPDSUBR</v>
      </c>
      <c r="D2449" s="365" t="str">
        <f>CONCATENATE("Import Barge/Vessel Trade of ",Commodities!C52, " to ",$B$2445," from ",OILTrade!$N$76)</f>
        <v>Import Barge/Vessel Trade of DSU to *R6 from R7</v>
      </c>
      <c r="E2449" s="381" t="s">
        <v>384</v>
      </c>
      <c r="F2449" s="381" t="s">
        <v>505</v>
      </c>
    </row>
    <row r="2450" spans="2:6">
      <c r="B2450" s="365" t="s">
        <v>1089</v>
      </c>
      <c r="C2450" s="365" t="str">
        <f>CONCATENATE("IMP",Commodities!C53,"BR",RIGHT(OILTrade!$T$76,2))</f>
        <v>IMPJTFBR</v>
      </c>
      <c r="D2450" s="365" t="str">
        <f>CONCATENATE("Import Barge/Vessel Trade of ",Commodities!C53, " to ",$B$2445," from ",OILTrade!$N$76)</f>
        <v>Import Barge/Vessel Trade of JTF to *R6 from R7</v>
      </c>
      <c r="E2450" s="381" t="s">
        <v>384</v>
      </c>
      <c r="F2450" s="381" t="s">
        <v>505</v>
      </c>
    </row>
    <row r="2451" spans="2:6">
      <c r="B2451" s="365" t="s">
        <v>1089</v>
      </c>
      <c r="C2451" s="365" t="str">
        <f>CONCATENATE("IMP",Commodities!C54,"BR",RIGHT(OILTrade!$T$76,2))</f>
        <v>IMPKERBR</v>
      </c>
      <c r="D2451" s="365" t="str">
        <f>CONCATENATE("Import Barge/Vessel Trade of ",Commodities!C54, " to ",$B$2445," from ",OILTrade!$N$76)</f>
        <v>Import Barge/Vessel Trade of KER to *R6 from R7</v>
      </c>
      <c r="E2451" s="381" t="s">
        <v>384</v>
      </c>
      <c r="F2451" s="381" t="s">
        <v>505</v>
      </c>
    </row>
    <row r="2452" spans="2:6">
      <c r="B2452" s="365" t="s">
        <v>1089</v>
      </c>
      <c r="C2452" s="365" t="str">
        <f>CONCATENATE("IMP",Commodities!C55,"BR",RIGHT(OILTrade!$T$76,2))</f>
        <v>IMPLPGBR</v>
      </c>
      <c r="D2452" s="365" t="str">
        <f>CONCATENATE("Import Barge/Vessel Trade of ",Commodities!C55, " to ",$B$2445," from ",OILTrade!$N$76)</f>
        <v>Import Barge/Vessel Trade of LPG to *R6 from R7</v>
      </c>
      <c r="E2452" s="381" t="s">
        <v>384</v>
      </c>
      <c r="F2452" s="381" t="s">
        <v>505</v>
      </c>
    </row>
    <row r="2453" spans="2:6">
      <c r="B2453" s="365" t="s">
        <v>1089</v>
      </c>
      <c r="C2453" s="365" t="str">
        <f>CONCATENATE("IMP",Commodities!C56,"BR",RIGHT(OILTrade!$T$76,2))</f>
        <v>IMPMTHBR</v>
      </c>
      <c r="D2453" s="365" t="str">
        <f>CONCATENATE("Import Barge/Vessel Trade of ",Commodities!C56, " to ",$B$2445," from ",OILTrade!$N$76)</f>
        <v>Import Barge/Vessel Trade of MTH to *R6 from R7</v>
      </c>
      <c r="E2453" s="381" t="s">
        <v>384</v>
      </c>
      <c r="F2453" s="381" t="s">
        <v>505</v>
      </c>
    </row>
    <row r="2454" spans="2:6">
      <c r="B2454" s="365" t="s">
        <v>1089</v>
      </c>
      <c r="C2454" s="365" t="str">
        <f>CONCATENATE("IMP",Commodities!C57,"BR",RIGHT(OILTrade!$T$76,2))</f>
        <v>IMPPFSBR</v>
      </c>
      <c r="D2454" s="365" t="str">
        <f>CONCATENATE("Import Barge/Vessel Trade of ",Commodities!C57, " to ",$B$2445," from ",OILTrade!$N$76)</f>
        <v>Import Barge/Vessel Trade of PFS to *R6 from R7</v>
      </c>
      <c r="E2454" s="381" t="s">
        <v>384</v>
      </c>
      <c r="F2454" s="381" t="s">
        <v>505</v>
      </c>
    </row>
    <row r="2455" spans="2:6">
      <c r="B2455" s="365" t="s">
        <v>1089</v>
      </c>
      <c r="C2455" s="365" t="str">
        <f>CONCATENATE("IMP",Commodities!C58,"BR",RIGHT(OILTrade!$T$76,2))</f>
        <v>IMPRFHBR</v>
      </c>
      <c r="D2455" s="365" t="str">
        <f>CONCATENATE("Import Barge/Vessel Trade of ",Commodities!C58, " to ",$B$2445," from ",OILTrade!$N$76)</f>
        <v>Import Barge/Vessel Trade of RFH to *R6 from R7</v>
      </c>
      <c r="E2455" s="381" t="s">
        <v>384</v>
      </c>
      <c r="F2455" s="381" t="s">
        <v>505</v>
      </c>
    </row>
    <row r="2456" spans="2:6">
      <c r="B2456" s="365" t="s">
        <v>1089</v>
      </c>
      <c r="C2456" s="365" t="str">
        <f>CONCATENATE("IMP",Commodities!C59,"BR",RIGHT(OILTrade!$T$76,2))</f>
        <v>IMPRFLBR</v>
      </c>
      <c r="D2456" s="365" t="str">
        <f>CONCATENATE("Import Barge/Vessel Trade of ",Commodities!C59, " to ",$B$2445," from ",OILTrade!$N$76)</f>
        <v>Import Barge/Vessel Trade of RFL to *R6 from R7</v>
      </c>
      <c r="E2456" s="381" t="s">
        <v>384</v>
      </c>
      <c r="F2456" s="381" t="s">
        <v>505</v>
      </c>
    </row>
    <row r="2457" spans="2:6">
      <c r="B2457" s="365" t="s">
        <v>1089</v>
      </c>
      <c r="C2457" s="365" t="str">
        <f>CONCATENATE("IMP",Commodities!C60,"BR",RIGHT(OILTrade!$T$76,2))</f>
        <v>IMPASPBR</v>
      </c>
      <c r="D2457" s="365" t="str">
        <f>CONCATENATE("Import Barge/Vessel Trade of ",Commodities!C60, " to ",$B$2445," from ",OILTrade!$N$76)</f>
        <v>Import Barge/Vessel Trade of ASP to *R6 from R7</v>
      </c>
      <c r="E2457" s="381" t="s">
        <v>384</v>
      </c>
      <c r="F2457" s="381" t="s">
        <v>505</v>
      </c>
    </row>
    <row r="2458" spans="2:6">
      <c r="B2458" s="365" t="s">
        <v>1059</v>
      </c>
      <c r="C2458" s="365" t="str">
        <f>CONCATENATE("IMP",Commodities!C48,"BR",RIGHT(OILTrade!$U$71,2))</f>
        <v>IMPGSCBR</v>
      </c>
      <c r="D2458" s="365" t="str">
        <f>CONCATENATE("Import Barge/Vessel Trade of ",Commodities!C48, " to ",$B$2458," from ",OILTrade!$N$71)</f>
        <v>Import Barge/Vessel Trade of GSC to *R7 from R2</v>
      </c>
      <c r="E2458" s="381" t="s">
        <v>384</v>
      </c>
      <c r="F2458" s="381" t="s">
        <v>505</v>
      </c>
    </row>
    <row r="2459" spans="2:6">
      <c r="B2459" s="365" t="s">
        <v>1059</v>
      </c>
      <c r="C2459" s="365" t="str">
        <f>CONCATENATE("IMP",Commodities!C49,"BR",RIGHT(OILTrade!$U$71,2))</f>
        <v>IMPGSRBR</v>
      </c>
      <c r="D2459" s="365" t="str">
        <f>CONCATENATE("Import Barge/Vessel Trade of ",Commodities!C49, " to ",$B$2458," from ",OILTrade!$N$71)</f>
        <v>Import Barge/Vessel Trade of GSR to *R7 from R2</v>
      </c>
      <c r="E2459" s="381" t="s">
        <v>384</v>
      </c>
      <c r="F2459" s="381" t="s">
        <v>505</v>
      </c>
    </row>
    <row r="2460" spans="2:6">
      <c r="B2460" s="365" t="s">
        <v>1059</v>
      </c>
      <c r="C2460" s="365" t="str">
        <f>CONCATENATE("IMP",Commodities!C50,"BR",RIGHT(OILTrade!$U$71,2))</f>
        <v>IMPDSHBR</v>
      </c>
      <c r="D2460" s="365" t="str">
        <f>CONCATENATE("Import Barge/Vessel Trade of ",Commodities!C50, " to ",$B$2458," from ",OILTrade!$N$71)</f>
        <v>Import Barge/Vessel Trade of DSH to *R7 from R2</v>
      </c>
      <c r="E2460" s="381" t="s">
        <v>384</v>
      </c>
      <c r="F2460" s="381" t="s">
        <v>505</v>
      </c>
    </row>
    <row r="2461" spans="2:6">
      <c r="B2461" s="365" t="s">
        <v>1059</v>
      </c>
      <c r="C2461" s="365" t="str">
        <f>CONCATENATE("IMP",Commodities!C51,"BR",RIGHT(OILTrade!$U$71,2))</f>
        <v>IMPDSLBR</v>
      </c>
      <c r="D2461" s="365" t="str">
        <f>CONCATENATE("Import Barge/Vessel Trade of ",Commodities!C51, " to ",$B$2458," from ",OILTrade!$N$71)</f>
        <v>Import Barge/Vessel Trade of DSL to *R7 from R2</v>
      </c>
      <c r="E2461" s="381" t="s">
        <v>384</v>
      </c>
      <c r="F2461" s="381" t="s">
        <v>505</v>
      </c>
    </row>
    <row r="2462" spans="2:6">
      <c r="B2462" s="365" t="s">
        <v>1059</v>
      </c>
      <c r="C2462" s="365" t="str">
        <f>CONCATENATE("IMP",Commodities!C52,"BR",RIGHT(OILTrade!$U$71,2))</f>
        <v>IMPDSUBR</v>
      </c>
      <c r="D2462" s="365" t="str">
        <f>CONCATENATE("Import Barge/Vessel Trade of ",Commodities!C52, " to ",$B$2458," from ",OILTrade!$N$71)</f>
        <v>Import Barge/Vessel Trade of DSU to *R7 from R2</v>
      </c>
      <c r="E2462" s="381" t="s">
        <v>384</v>
      </c>
      <c r="F2462" s="381" t="s">
        <v>505</v>
      </c>
    </row>
    <row r="2463" spans="2:6">
      <c r="B2463" s="365" t="s">
        <v>1059</v>
      </c>
      <c r="C2463" s="365" t="str">
        <f>CONCATENATE("IMP",Commodities!C53,"BR",RIGHT(OILTrade!$U$71,2))</f>
        <v>IMPJTFBR</v>
      </c>
      <c r="D2463" s="365" t="str">
        <f>CONCATENATE("Import Barge/Vessel Trade of ",Commodities!C53, " to ",$B$2458," from ",OILTrade!$N$71)</f>
        <v>Import Barge/Vessel Trade of JTF to *R7 from R2</v>
      </c>
      <c r="E2463" s="381" t="s">
        <v>384</v>
      </c>
      <c r="F2463" s="381" t="s">
        <v>505</v>
      </c>
    </row>
    <row r="2464" spans="2:6">
      <c r="B2464" s="365" t="s">
        <v>1059</v>
      </c>
      <c r="C2464" s="365" t="str">
        <f>CONCATENATE("IMP",Commodities!C54,"BR",RIGHT(OILTrade!$U$71,2))</f>
        <v>IMPKERBR</v>
      </c>
      <c r="D2464" s="365" t="str">
        <f>CONCATENATE("Import Barge/Vessel Trade of ",Commodities!C54, " to ",$B$2458," from ",OILTrade!$N$71)</f>
        <v>Import Barge/Vessel Trade of KER to *R7 from R2</v>
      </c>
      <c r="E2464" s="381" t="s">
        <v>384</v>
      </c>
      <c r="F2464" s="381" t="s">
        <v>505</v>
      </c>
    </row>
    <row r="2465" spans="2:6">
      <c r="B2465" s="365" t="s">
        <v>1059</v>
      </c>
      <c r="C2465" s="365" t="str">
        <f>CONCATENATE("IMP",Commodities!C55,"BR",RIGHT(OILTrade!$U$71,2))</f>
        <v>IMPLPGBR</v>
      </c>
      <c r="D2465" s="365" t="str">
        <f>CONCATENATE("Import Barge/Vessel Trade of ",Commodities!C55, " to ",$B$2458," from ",OILTrade!$N$71)</f>
        <v>Import Barge/Vessel Trade of LPG to *R7 from R2</v>
      </c>
      <c r="E2465" s="381" t="s">
        <v>384</v>
      </c>
      <c r="F2465" s="381" t="s">
        <v>505</v>
      </c>
    </row>
    <row r="2466" spans="2:6">
      <c r="B2466" s="365" t="s">
        <v>1059</v>
      </c>
      <c r="C2466" s="365" t="str">
        <f>CONCATENATE("IMP",Commodities!C56,"BR",RIGHT(OILTrade!$U$71,2))</f>
        <v>IMPMTHBR</v>
      </c>
      <c r="D2466" s="365" t="str">
        <f>CONCATENATE("Import Barge/Vessel Trade of ",Commodities!C56, " to ",$B$2458," from ",OILTrade!$N$71)</f>
        <v>Import Barge/Vessel Trade of MTH to *R7 from R2</v>
      </c>
      <c r="E2466" s="381" t="s">
        <v>384</v>
      </c>
      <c r="F2466" s="381" t="s">
        <v>505</v>
      </c>
    </row>
    <row r="2467" spans="2:6">
      <c r="B2467" s="365" t="s">
        <v>1059</v>
      </c>
      <c r="C2467" s="365" t="str">
        <f>CONCATENATE("IMP",Commodities!C57,"BR",RIGHT(OILTrade!$U$71,2))</f>
        <v>IMPPFSBR</v>
      </c>
      <c r="D2467" s="365" t="str">
        <f>CONCATENATE("Import Barge/Vessel Trade of ",Commodities!C57, " to ",$B$2458," from ",OILTrade!$N$71)</f>
        <v>Import Barge/Vessel Trade of PFS to *R7 from R2</v>
      </c>
      <c r="E2467" s="381" t="s">
        <v>384</v>
      </c>
      <c r="F2467" s="381" t="s">
        <v>505</v>
      </c>
    </row>
    <row r="2468" spans="2:6">
      <c r="B2468" s="365" t="s">
        <v>1059</v>
      </c>
      <c r="C2468" s="365" t="str">
        <f>CONCATENATE("IMP",Commodities!C58,"BR",RIGHT(OILTrade!$U$71,2))</f>
        <v>IMPRFHBR</v>
      </c>
      <c r="D2468" s="365" t="str">
        <f>CONCATENATE("Import Barge/Vessel Trade of ",Commodities!C58, " to ",$B$2458," from ",OILTrade!$N$71)</f>
        <v>Import Barge/Vessel Trade of RFH to *R7 from R2</v>
      </c>
      <c r="E2468" s="381" t="s">
        <v>384</v>
      </c>
      <c r="F2468" s="381" t="s">
        <v>505</v>
      </c>
    </row>
    <row r="2469" spans="2:6">
      <c r="B2469" s="365" t="s">
        <v>1059</v>
      </c>
      <c r="C2469" s="365" t="str">
        <f>CONCATENATE("IMP",Commodities!C59,"BR",RIGHT(OILTrade!$U$71,2))</f>
        <v>IMPRFLBR</v>
      </c>
      <c r="D2469" s="365" t="str">
        <f>CONCATENATE("Import Barge/Vessel Trade of ",Commodities!C59, " to ",$B$2458," from ",OILTrade!$N$71)</f>
        <v>Import Barge/Vessel Trade of RFL to *R7 from R2</v>
      </c>
      <c r="E2469" s="381" t="s">
        <v>384</v>
      </c>
      <c r="F2469" s="381" t="s">
        <v>505</v>
      </c>
    </row>
    <row r="2470" spans="2:6">
      <c r="B2470" s="365" t="s">
        <v>1059</v>
      </c>
      <c r="C2470" s="365" t="str">
        <f>CONCATENATE("IMP",Commodities!C60,"BR",RIGHT(OILTrade!$U$71,2))</f>
        <v>IMPASPBR</v>
      </c>
      <c r="D2470" s="365" t="str">
        <f>CONCATENATE("Import Barge/Vessel Trade of ",Commodities!C60, " to ",$B$2458," from ",OILTrade!$N$71)</f>
        <v>Import Barge/Vessel Trade of ASP to *R7 from R2</v>
      </c>
      <c r="E2470" s="381" t="s">
        <v>384</v>
      </c>
      <c r="F2470" s="381" t="s">
        <v>505</v>
      </c>
    </row>
    <row r="2471" spans="2:6">
      <c r="B2471" s="365" t="s">
        <v>1059</v>
      </c>
      <c r="C2471" s="365" t="str">
        <f>CONCATENATE("IMP",Commodities!C48,"BR",RIGHT(OILTrade!$U$72,2))</f>
        <v>IMPGSCBR</v>
      </c>
      <c r="D2471" s="365" t="str">
        <f>CONCATENATE("Import Barge/Vessel Trade of ",Commodities!C48, " to ",$B$2471," from ",OILTrade!$N$72)</f>
        <v>Import Barge/Vessel Trade of GSC to *R7 from R3</v>
      </c>
      <c r="E2471" s="381" t="s">
        <v>384</v>
      </c>
      <c r="F2471" s="381" t="s">
        <v>505</v>
      </c>
    </row>
    <row r="2472" spans="2:6">
      <c r="B2472" s="365" t="s">
        <v>1059</v>
      </c>
      <c r="C2472" s="365" t="str">
        <f>CONCATENATE("IMP",Commodities!C49,"BR",RIGHT(OILTrade!$U$72,2))</f>
        <v>IMPGSRBR</v>
      </c>
      <c r="D2472" s="365" t="str">
        <f>CONCATENATE("Import Barge/Vessel Trade of ",Commodities!C49, " to ",$B$2471," from ",OILTrade!$N$72)</f>
        <v>Import Barge/Vessel Trade of GSR to *R7 from R3</v>
      </c>
      <c r="E2472" s="381" t="s">
        <v>384</v>
      </c>
      <c r="F2472" s="381" t="s">
        <v>505</v>
      </c>
    </row>
    <row r="2473" spans="2:6">
      <c r="B2473" s="365" t="s">
        <v>1059</v>
      </c>
      <c r="C2473" s="365" t="str">
        <f>CONCATENATE("IMP",Commodities!C50,"BR",RIGHT(OILTrade!$U$72,2))</f>
        <v>IMPDSHBR</v>
      </c>
      <c r="D2473" s="365" t="str">
        <f>CONCATENATE("Import Barge/Vessel Trade of ",Commodities!C50, " to ",$B$2471," from ",OILTrade!$N$72)</f>
        <v>Import Barge/Vessel Trade of DSH to *R7 from R3</v>
      </c>
      <c r="E2473" s="381" t="s">
        <v>384</v>
      </c>
      <c r="F2473" s="381" t="s">
        <v>505</v>
      </c>
    </row>
    <row r="2474" spans="2:6">
      <c r="B2474" s="365" t="s">
        <v>1059</v>
      </c>
      <c r="C2474" s="365" t="str">
        <f>CONCATENATE("IMP",Commodities!C51,"BR",RIGHT(OILTrade!$U$72,2))</f>
        <v>IMPDSLBR</v>
      </c>
      <c r="D2474" s="365" t="str">
        <f>CONCATENATE("Import Barge/Vessel Trade of ",Commodities!C51, " to ",$B$2471," from ",OILTrade!$N$72)</f>
        <v>Import Barge/Vessel Trade of DSL to *R7 from R3</v>
      </c>
      <c r="E2474" s="381" t="s">
        <v>384</v>
      </c>
      <c r="F2474" s="381" t="s">
        <v>505</v>
      </c>
    </row>
    <row r="2475" spans="2:6">
      <c r="B2475" s="365" t="s">
        <v>1059</v>
      </c>
      <c r="C2475" s="365" t="str">
        <f>CONCATENATE("IMP",Commodities!C52,"BR",RIGHT(OILTrade!$U$72,2))</f>
        <v>IMPDSUBR</v>
      </c>
      <c r="D2475" s="365" t="str">
        <f>CONCATENATE("Import Barge/Vessel Trade of ",Commodities!C52, " to ",$B$2471," from ",OILTrade!$N$72)</f>
        <v>Import Barge/Vessel Trade of DSU to *R7 from R3</v>
      </c>
      <c r="E2475" s="381" t="s">
        <v>384</v>
      </c>
      <c r="F2475" s="381" t="s">
        <v>505</v>
      </c>
    </row>
    <row r="2476" spans="2:6">
      <c r="B2476" s="365" t="s">
        <v>1059</v>
      </c>
      <c r="C2476" s="365" t="str">
        <f>CONCATENATE("IMP",Commodities!C53,"BR",RIGHT(OILTrade!$U$72,2))</f>
        <v>IMPJTFBR</v>
      </c>
      <c r="D2476" s="365" t="str">
        <f>CONCATENATE("Import Barge/Vessel Trade of ",Commodities!C53, " to ",$B$2471," from ",OILTrade!$N$72)</f>
        <v>Import Barge/Vessel Trade of JTF to *R7 from R3</v>
      </c>
      <c r="E2476" s="381" t="s">
        <v>384</v>
      </c>
      <c r="F2476" s="381" t="s">
        <v>505</v>
      </c>
    </row>
    <row r="2477" spans="2:6">
      <c r="B2477" s="365" t="s">
        <v>1059</v>
      </c>
      <c r="C2477" s="365" t="str">
        <f>CONCATENATE("IMP",Commodities!C54,"BR",RIGHT(OILTrade!$U$72,2))</f>
        <v>IMPKERBR</v>
      </c>
      <c r="D2477" s="365" t="str">
        <f>CONCATENATE("Import Barge/Vessel Trade of ",Commodities!C54, " to ",$B$2471," from ",OILTrade!$N$72)</f>
        <v>Import Barge/Vessel Trade of KER to *R7 from R3</v>
      </c>
      <c r="E2477" s="381" t="s">
        <v>384</v>
      </c>
      <c r="F2477" s="381" t="s">
        <v>505</v>
      </c>
    </row>
    <row r="2478" spans="2:6">
      <c r="B2478" s="365" t="s">
        <v>1059</v>
      </c>
      <c r="C2478" s="365" t="str">
        <f>CONCATENATE("IMP",Commodities!C55,"BR",RIGHT(OILTrade!$U$72,2))</f>
        <v>IMPLPGBR</v>
      </c>
      <c r="D2478" s="365" t="str">
        <f>CONCATENATE("Import Barge/Vessel Trade of ",Commodities!C55, " to ",$B$2471," from ",OILTrade!$N$72)</f>
        <v>Import Barge/Vessel Trade of LPG to *R7 from R3</v>
      </c>
      <c r="E2478" s="381" t="s">
        <v>384</v>
      </c>
      <c r="F2478" s="381" t="s">
        <v>505</v>
      </c>
    </row>
    <row r="2479" spans="2:6">
      <c r="B2479" s="365" t="s">
        <v>1059</v>
      </c>
      <c r="C2479" s="365" t="str">
        <f>CONCATENATE("IMP",Commodities!C56,"BR",RIGHT(OILTrade!$U$72,2))</f>
        <v>IMPMTHBR</v>
      </c>
      <c r="D2479" s="365" t="str">
        <f>CONCATENATE("Import Barge/Vessel Trade of ",Commodities!C56, " to ",$B$2471," from ",OILTrade!$N$72)</f>
        <v>Import Barge/Vessel Trade of MTH to *R7 from R3</v>
      </c>
      <c r="E2479" s="381" t="s">
        <v>384</v>
      </c>
      <c r="F2479" s="381" t="s">
        <v>505</v>
      </c>
    </row>
    <row r="2480" spans="2:6">
      <c r="B2480" s="365" t="s">
        <v>1059</v>
      </c>
      <c r="C2480" s="365" t="str">
        <f>CONCATENATE("IMP",Commodities!C57,"BR",RIGHT(OILTrade!$U$72,2))</f>
        <v>IMPPFSBR</v>
      </c>
      <c r="D2480" s="365" t="str">
        <f>CONCATENATE("Import Barge/Vessel Trade of ",Commodities!C57, " to ",$B$2471," from ",OILTrade!$N$72)</f>
        <v>Import Barge/Vessel Trade of PFS to *R7 from R3</v>
      </c>
      <c r="E2480" s="381" t="s">
        <v>384</v>
      </c>
      <c r="F2480" s="381" t="s">
        <v>505</v>
      </c>
    </row>
    <row r="2481" spans="2:6">
      <c r="B2481" s="365" t="s">
        <v>1059</v>
      </c>
      <c r="C2481" s="365" t="str">
        <f>CONCATENATE("IMP",Commodities!C58,"BR",RIGHT(OILTrade!$U$72,2))</f>
        <v>IMPRFHBR</v>
      </c>
      <c r="D2481" s="365" t="str">
        <f>CONCATENATE("Import Barge/Vessel Trade of ",Commodities!C58, " to ",$B$2471," from ",OILTrade!$N$72)</f>
        <v>Import Barge/Vessel Trade of RFH to *R7 from R3</v>
      </c>
      <c r="E2481" s="381" t="s">
        <v>384</v>
      </c>
      <c r="F2481" s="381" t="s">
        <v>505</v>
      </c>
    </row>
    <row r="2482" spans="2:6">
      <c r="B2482" s="365" t="s">
        <v>1059</v>
      </c>
      <c r="C2482" s="365" t="str">
        <f>CONCATENATE("IMP",Commodities!C59,"BR",RIGHT(OILTrade!$U$72,2))</f>
        <v>IMPRFLBR</v>
      </c>
      <c r="D2482" s="365" t="str">
        <f>CONCATENATE("Import Barge/Vessel Trade of ",Commodities!C59, " to ",$B$2471," from ",OILTrade!$N$72)</f>
        <v>Import Barge/Vessel Trade of RFL to *R7 from R3</v>
      </c>
      <c r="E2482" s="381" t="s">
        <v>384</v>
      </c>
      <c r="F2482" s="381" t="s">
        <v>505</v>
      </c>
    </row>
    <row r="2483" spans="2:6">
      <c r="B2483" s="365" t="s">
        <v>1059</v>
      </c>
      <c r="C2483" s="365" t="str">
        <f>CONCATENATE("IMP",Commodities!C60,"BR",RIGHT(OILTrade!$U$72,2))</f>
        <v>IMPASPBR</v>
      </c>
      <c r="D2483" s="365" t="str">
        <f>CONCATENATE("Import Barge/Vessel Trade of ",Commodities!C60, " to ",$B$2471," from ",OILTrade!$N$72)</f>
        <v>Import Barge/Vessel Trade of ASP to *R7 from R3</v>
      </c>
      <c r="E2483" s="381" t="s">
        <v>384</v>
      </c>
      <c r="F2483" s="381" t="s">
        <v>505</v>
      </c>
    </row>
    <row r="2484" spans="2:6">
      <c r="B2484" s="365" t="s">
        <v>1059</v>
      </c>
      <c r="C2484" s="365" t="str">
        <f>CONCATENATE("IMP",Commodities!C48,"BR",RIGHT(OILTrade!$U$73,2))</f>
        <v>IMPGSCBR</v>
      </c>
      <c r="D2484" s="365" t="str">
        <f>CONCATENATE("Import Barge/Vessel Trade of ",Commodities!C48, " to ",$B$2484," from ",OILTrade!$N$73)</f>
        <v>Import Barge/Vessel Trade of GSC to *R7 from R4</v>
      </c>
      <c r="E2484" s="381" t="s">
        <v>384</v>
      </c>
      <c r="F2484" s="381" t="s">
        <v>505</v>
      </c>
    </row>
    <row r="2485" spans="2:6">
      <c r="B2485" s="365" t="s">
        <v>1059</v>
      </c>
      <c r="C2485" s="365" t="str">
        <f>CONCATENATE("IMP",Commodities!C49,"BR",RIGHT(OILTrade!$U$73,2))</f>
        <v>IMPGSRBR</v>
      </c>
      <c r="D2485" s="365" t="str">
        <f>CONCATENATE("Import Barge/Vessel Trade of ",Commodities!C49, " to ",$B$2484," from ",OILTrade!$N$73)</f>
        <v>Import Barge/Vessel Trade of GSR to *R7 from R4</v>
      </c>
      <c r="E2485" s="381" t="s">
        <v>384</v>
      </c>
      <c r="F2485" s="381" t="s">
        <v>505</v>
      </c>
    </row>
    <row r="2486" spans="2:6">
      <c r="B2486" s="365" t="s">
        <v>1059</v>
      </c>
      <c r="C2486" s="365" t="str">
        <f>CONCATENATE("IMP",Commodities!C50,"BR",RIGHT(OILTrade!$U$73,2))</f>
        <v>IMPDSHBR</v>
      </c>
      <c r="D2486" s="365" t="str">
        <f>CONCATENATE("Import Barge/Vessel Trade of ",Commodities!C50, " to ",$B$2484," from ",OILTrade!$N$73)</f>
        <v>Import Barge/Vessel Trade of DSH to *R7 from R4</v>
      </c>
      <c r="E2486" s="381" t="s">
        <v>384</v>
      </c>
      <c r="F2486" s="381" t="s">
        <v>505</v>
      </c>
    </row>
    <row r="2487" spans="2:6">
      <c r="B2487" s="365" t="s">
        <v>1059</v>
      </c>
      <c r="C2487" s="365" t="str">
        <f>CONCATENATE("IMP",Commodities!C51,"BR",RIGHT(OILTrade!$U$73,2))</f>
        <v>IMPDSLBR</v>
      </c>
      <c r="D2487" s="365" t="str">
        <f>CONCATENATE("Import Barge/Vessel Trade of ",Commodities!C51, " to ",$B$2484," from ",OILTrade!$N$73)</f>
        <v>Import Barge/Vessel Trade of DSL to *R7 from R4</v>
      </c>
      <c r="E2487" s="381" t="s">
        <v>384</v>
      </c>
      <c r="F2487" s="381" t="s">
        <v>505</v>
      </c>
    </row>
    <row r="2488" spans="2:6">
      <c r="B2488" s="365" t="s">
        <v>1059</v>
      </c>
      <c r="C2488" s="365" t="str">
        <f>CONCATENATE("IMP",Commodities!C52,"BR",RIGHT(OILTrade!$U$73,2))</f>
        <v>IMPDSUBR</v>
      </c>
      <c r="D2488" s="365" t="str">
        <f>CONCATENATE("Import Barge/Vessel Trade of ",Commodities!C52, " to ",$B$2484," from ",OILTrade!$N$73)</f>
        <v>Import Barge/Vessel Trade of DSU to *R7 from R4</v>
      </c>
      <c r="E2488" s="381" t="s">
        <v>384</v>
      </c>
      <c r="F2488" s="381" t="s">
        <v>505</v>
      </c>
    </row>
    <row r="2489" spans="2:6">
      <c r="B2489" s="365" t="s">
        <v>1059</v>
      </c>
      <c r="C2489" s="365" t="str">
        <f>CONCATENATE("IMP",Commodities!C53,"BR",RIGHT(OILTrade!$U$73,2))</f>
        <v>IMPJTFBR</v>
      </c>
      <c r="D2489" s="365" t="str">
        <f>CONCATENATE("Import Barge/Vessel Trade of ",Commodities!C53, " to ",$B$2484," from ",OILTrade!$N$73)</f>
        <v>Import Barge/Vessel Trade of JTF to *R7 from R4</v>
      </c>
      <c r="E2489" s="381" t="s">
        <v>384</v>
      </c>
      <c r="F2489" s="381" t="s">
        <v>505</v>
      </c>
    </row>
    <row r="2490" spans="2:6">
      <c r="B2490" s="365" t="s">
        <v>1059</v>
      </c>
      <c r="C2490" s="365" t="str">
        <f>CONCATENATE("IMP",Commodities!C54,"BR",RIGHT(OILTrade!$U$73,2))</f>
        <v>IMPKERBR</v>
      </c>
      <c r="D2490" s="365" t="str">
        <f>CONCATENATE("Import Barge/Vessel Trade of ",Commodities!C54, " to ",$B$2484," from ",OILTrade!$N$73)</f>
        <v>Import Barge/Vessel Trade of KER to *R7 from R4</v>
      </c>
      <c r="E2490" s="381" t="s">
        <v>384</v>
      </c>
      <c r="F2490" s="381" t="s">
        <v>505</v>
      </c>
    </row>
    <row r="2491" spans="2:6">
      <c r="B2491" s="365" t="s">
        <v>1059</v>
      </c>
      <c r="C2491" s="365" t="str">
        <f>CONCATENATE("IMP",Commodities!C55,"BR",RIGHT(OILTrade!$U$73,2))</f>
        <v>IMPLPGBR</v>
      </c>
      <c r="D2491" s="365" t="str">
        <f>CONCATENATE("Import Barge/Vessel Trade of ",Commodities!C55, " to ",$B$2484," from ",OILTrade!$N$73)</f>
        <v>Import Barge/Vessel Trade of LPG to *R7 from R4</v>
      </c>
      <c r="E2491" s="381" t="s">
        <v>384</v>
      </c>
      <c r="F2491" s="381" t="s">
        <v>505</v>
      </c>
    </row>
    <row r="2492" spans="2:6">
      <c r="B2492" s="365" t="s">
        <v>1059</v>
      </c>
      <c r="C2492" s="365" t="str">
        <f>CONCATENATE("IMP",Commodities!C56,"BR",RIGHT(OILTrade!$U$73,2))</f>
        <v>IMPMTHBR</v>
      </c>
      <c r="D2492" s="365" t="str">
        <f>CONCATENATE("Import Barge/Vessel Trade of ",Commodities!C56, " to ",$B$2484," from ",OILTrade!$N$73)</f>
        <v>Import Barge/Vessel Trade of MTH to *R7 from R4</v>
      </c>
      <c r="E2492" s="381" t="s">
        <v>384</v>
      </c>
      <c r="F2492" s="381" t="s">
        <v>505</v>
      </c>
    </row>
    <row r="2493" spans="2:6">
      <c r="B2493" s="365" t="s">
        <v>1059</v>
      </c>
      <c r="C2493" s="365" t="str">
        <f>CONCATENATE("IMP",Commodities!C57,"BR",RIGHT(OILTrade!$U$73,2))</f>
        <v>IMPPFSBR</v>
      </c>
      <c r="D2493" s="365" t="str">
        <f>CONCATENATE("Import Barge/Vessel Trade of ",Commodities!C57, " to ",$B$2484," from ",OILTrade!$N$73)</f>
        <v>Import Barge/Vessel Trade of PFS to *R7 from R4</v>
      </c>
      <c r="E2493" s="381" t="s">
        <v>384</v>
      </c>
      <c r="F2493" s="381" t="s">
        <v>505</v>
      </c>
    </row>
    <row r="2494" spans="2:6">
      <c r="B2494" s="365" t="s">
        <v>1059</v>
      </c>
      <c r="C2494" s="365" t="str">
        <f>CONCATENATE("IMP",Commodities!C58,"BR",RIGHT(OILTrade!$U$73,2))</f>
        <v>IMPRFHBR</v>
      </c>
      <c r="D2494" s="365" t="str">
        <f>CONCATENATE("Import Barge/Vessel Trade of ",Commodities!C58, " to ",$B$2484," from ",OILTrade!$N$73)</f>
        <v>Import Barge/Vessel Trade of RFH to *R7 from R4</v>
      </c>
      <c r="E2494" s="381" t="s">
        <v>384</v>
      </c>
      <c r="F2494" s="381" t="s">
        <v>505</v>
      </c>
    </row>
    <row r="2495" spans="2:6">
      <c r="B2495" s="365" t="s">
        <v>1059</v>
      </c>
      <c r="C2495" s="365" t="str">
        <f>CONCATENATE("IMP",Commodities!C59,"BR",RIGHT(OILTrade!$U$73,2))</f>
        <v>IMPRFLBR</v>
      </c>
      <c r="D2495" s="365" t="str">
        <f>CONCATENATE("Import Barge/Vessel Trade of ",Commodities!C59, " to ",$B$2484," from ",OILTrade!$N$73)</f>
        <v>Import Barge/Vessel Trade of RFL to *R7 from R4</v>
      </c>
      <c r="E2495" s="381" t="s">
        <v>384</v>
      </c>
      <c r="F2495" s="381" t="s">
        <v>505</v>
      </c>
    </row>
    <row r="2496" spans="2:6">
      <c r="B2496" s="365" t="s">
        <v>1059</v>
      </c>
      <c r="C2496" s="365" t="str">
        <f>CONCATENATE("IMP",Commodities!C60,"BR",RIGHT(OILTrade!$U$73,2))</f>
        <v>IMPASPBR</v>
      </c>
      <c r="D2496" s="365" t="str">
        <f>CONCATENATE("Import Barge/Vessel Trade of ",Commodities!C60, " to ",$B$2484," from ",OILTrade!$N$73)</f>
        <v>Import Barge/Vessel Trade of ASP to *R7 from R4</v>
      </c>
      <c r="E2496" s="381" t="s">
        <v>384</v>
      </c>
      <c r="F2496" s="381" t="s">
        <v>505</v>
      </c>
    </row>
    <row r="2497" spans="2:6">
      <c r="B2497" s="365" t="s">
        <v>1059</v>
      </c>
      <c r="C2497" s="365" t="str">
        <f>CONCATENATE("IMP",Commodities!C48,"BR",RIGHT(OILTrade!$U$74,2))</f>
        <v>IMPGSCBR</v>
      </c>
      <c r="D2497" s="365" t="str">
        <f>CONCATENATE("Import Barge/Vessel Trade of ",Commodities!C48, " to ",$B$2497," from ",OILTrade!$N$74)</f>
        <v>Import Barge/Vessel Trade of GSC to *R7 from R5</v>
      </c>
      <c r="E2497" s="381" t="s">
        <v>384</v>
      </c>
      <c r="F2497" s="381" t="s">
        <v>505</v>
      </c>
    </row>
    <row r="2498" spans="2:6">
      <c r="B2498" s="365" t="s">
        <v>1059</v>
      </c>
      <c r="C2498" s="365" t="str">
        <f>CONCATENATE("IMP",Commodities!C49,"BR",RIGHT(OILTrade!$U$74,2))</f>
        <v>IMPGSRBR</v>
      </c>
      <c r="D2498" s="365" t="str">
        <f>CONCATENATE("Import Barge/Vessel Trade of ",Commodities!C49, " to ",$B$2497," from ",OILTrade!$N$74)</f>
        <v>Import Barge/Vessel Trade of GSR to *R7 from R5</v>
      </c>
      <c r="E2498" s="381" t="s">
        <v>384</v>
      </c>
      <c r="F2498" s="381" t="s">
        <v>505</v>
      </c>
    </row>
    <row r="2499" spans="2:6">
      <c r="B2499" s="365" t="s">
        <v>1059</v>
      </c>
      <c r="C2499" s="365" t="str">
        <f>CONCATENATE("IMP",Commodities!C50,"BR",RIGHT(OILTrade!$U$74,2))</f>
        <v>IMPDSHBR</v>
      </c>
      <c r="D2499" s="365" t="str">
        <f>CONCATENATE("Import Barge/Vessel Trade of ",Commodities!C50, " to ",$B$2497," from ",OILTrade!$N$74)</f>
        <v>Import Barge/Vessel Trade of DSH to *R7 from R5</v>
      </c>
      <c r="E2499" s="381" t="s">
        <v>384</v>
      </c>
      <c r="F2499" s="381" t="s">
        <v>505</v>
      </c>
    </row>
    <row r="2500" spans="2:6">
      <c r="B2500" s="365" t="s">
        <v>1059</v>
      </c>
      <c r="C2500" s="365" t="str">
        <f>CONCATENATE("IMP",Commodities!C51,"BR",RIGHT(OILTrade!$U$74,2))</f>
        <v>IMPDSLBR</v>
      </c>
      <c r="D2500" s="365" t="str">
        <f>CONCATENATE("Import Barge/Vessel Trade of ",Commodities!C51, " to ",$B$2497," from ",OILTrade!$N$74)</f>
        <v>Import Barge/Vessel Trade of DSL to *R7 from R5</v>
      </c>
      <c r="E2500" s="381" t="s">
        <v>384</v>
      </c>
      <c r="F2500" s="381" t="s">
        <v>505</v>
      </c>
    </row>
    <row r="2501" spans="2:6">
      <c r="B2501" s="365" t="s">
        <v>1059</v>
      </c>
      <c r="C2501" s="365" t="str">
        <f>CONCATENATE("IMP",Commodities!C52,"BR",RIGHT(OILTrade!$U$74,2))</f>
        <v>IMPDSUBR</v>
      </c>
      <c r="D2501" s="365" t="str">
        <f>CONCATENATE("Import Barge/Vessel Trade of ",Commodities!C52, " to ",$B$2497," from ",OILTrade!$N$74)</f>
        <v>Import Barge/Vessel Trade of DSU to *R7 from R5</v>
      </c>
      <c r="E2501" s="381" t="s">
        <v>384</v>
      </c>
      <c r="F2501" s="381" t="s">
        <v>505</v>
      </c>
    </row>
    <row r="2502" spans="2:6">
      <c r="B2502" s="365" t="s">
        <v>1059</v>
      </c>
      <c r="C2502" s="365" t="str">
        <f>CONCATENATE("IMP",Commodities!C53,"BR",RIGHT(OILTrade!$U$74,2))</f>
        <v>IMPJTFBR</v>
      </c>
      <c r="D2502" s="365" t="str">
        <f>CONCATENATE("Import Barge/Vessel Trade of ",Commodities!C53, " to ",$B$2497," from ",OILTrade!$N$74)</f>
        <v>Import Barge/Vessel Trade of JTF to *R7 from R5</v>
      </c>
      <c r="E2502" s="381" t="s">
        <v>384</v>
      </c>
      <c r="F2502" s="381" t="s">
        <v>505</v>
      </c>
    </row>
    <row r="2503" spans="2:6">
      <c r="B2503" s="365" t="s">
        <v>1059</v>
      </c>
      <c r="C2503" s="365" t="str">
        <f>CONCATENATE("IMP",Commodities!C54,"BR",RIGHT(OILTrade!$U$74,2))</f>
        <v>IMPKERBR</v>
      </c>
      <c r="D2503" s="365" t="str">
        <f>CONCATENATE("Import Barge/Vessel Trade of ",Commodities!C54, " to ",$B$2497," from ",OILTrade!$N$74)</f>
        <v>Import Barge/Vessel Trade of KER to *R7 from R5</v>
      </c>
      <c r="E2503" s="381" t="s">
        <v>384</v>
      </c>
      <c r="F2503" s="381" t="s">
        <v>505</v>
      </c>
    </row>
    <row r="2504" spans="2:6">
      <c r="B2504" s="365" t="s">
        <v>1059</v>
      </c>
      <c r="C2504" s="365" t="str">
        <f>CONCATENATE("IMP",Commodities!C55,"BR",RIGHT(OILTrade!$U$74,2))</f>
        <v>IMPLPGBR</v>
      </c>
      <c r="D2504" s="365" t="str">
        <f>CONCATENATE("Import Barge/Vessel Trade of ",Commodities!C55, " to ",$B$2497," from ",OILTrade!$N$74)</f>
        <v>Import Barge/Vessel Trade of LPG to *R7 from R5</v>
      </c>
      <c r="E2504" s="381" t="s">
        <v>384</v>
      </c>
      <c r="F2504" s="381" t="s">
        <v>505</v>
      </c>
    </row>
    <row r="2505" spans="2:6">
      <c r="B2505" s="365" t="s">
        <v>1059</v>
      </c>
      <c r="C2505" s="365" t="str">
        <f>CONCATENATE("IMP",Commodities!C56,"BR",RIGHT(OILTrade!$U$74,2))</f>
        <v>IMPMTHBR</v>
      </c>
      <c r="D2505" s="365" t="str">
        <f>CONCATENATE("Import Barge/Vessel Trade of ",Commodities!C56, " to ",$B$2497," from ",OILTrade!$N$74)</f>
        <v>Import Barge/Vessel Trade of MTH to *R7 from R5</v>
      </c>
      <c r="E2505" s="381" t="s">
        <v>384</v>
      </c>
      <c r="F2505" s="381" t="s">
        <v>505</v>
      </c>
    </row>
    <row r="2506" spans="2:6">
      <c r="B2506" s="365" t="s">
        <v>1059</v>
      </c>
      <c r="C2506" s="365" t="str">
        <f>CONCATENATE("IMP",Commodities!C57,"BR",RIGHT(OILTrade!$U$74,2))</f>
        <v>IMPPFSBR</v>
      </c>
      <c r="D2506" s="365" t="str">
        <f>CONCATENATE("Import Barge/Vessel Trade of ",Commodities!C57, " to ",$B$2497," from ",OILTrade!$N$74)</f>
        <v>Import Barge/Vessel Trade of PFS to *R7 from R5</v>
      </c>
      <c r="E2506" s="381" t="s">
        <v>384</v>
      </c>
      <c r="F2506" s="381" t="s">
        <v>505</v>
      </c>
    </row>
    <row r="2507" spans="2:6">
      <c r="B2507" s="365" t="s">
        <v>1059</v>
      </c>
      <c r="C2507" s="365" t="str">
        <f>CONCATENATE("IMP",Commodities!C58,"BR",RIGHT(OILTrade!$U$74,2))</f>
        <v>IMPRFHBR</v>
      </c>
      <c r="D2507" s="365" t="str">
        <f>CONCATENATE("Import Barge/Vessel Trade of ",Commodities!C58, " to ",$B$2497," from ",OILTrade!$N$74)</f>
        <v>Import Barge/Vessel Trade of RFH to *R7 from R5</v>
      </c>
      <c r="E2507" s="381" t="s">
        <v>384</v>
      </c>
      <c r="F2507" s="381" t="s">
        <v>505</v>
      </c>
    </row>
    <row r="2508" spans="2:6">
      <c r="B2508" s="365" t="s">
        <v>1059</v>
      </c>
      <c r="C2508" s="365" t="str">
        <f>CONCATENATE("IMP",Commodities!C59,"BR",RIGHT(OILTrade!$U$74,2))</f>
        <v>IMPRFLBR</v>
      </c>
      <c r="D2508" s="365" t="str">
        <f>CONCATENATE("Import Barge/Vessel Trade of ",Commodities!C59, " to ",$B$2497," from ",OILTrade!$N$74)</f>
        <v>Import Barge/Vessel Trade of RFL to *R7 from R5</v>
      </c>
      <c r="E2508" s="381" t="s">
        <v>384</v>
      </c>
      <c r="F2508" s="381" t="s">
        <v>505</v>
      </c>
    </row>
    <row r="2509" spans="2:6">
      <c r="B2509" s="365" t="s">
        <v>1059</v>
      </c>
      <c r="C2509" s="365" t="str">
        <f>CONCATENATE("IMP",Commodities!C60,"BR",RIGHT(OILTrade!$U$74,2))</f>
        <v>IMPASPBR</v>
      </c>
      <c r="D2509" s="365" t="str">
        <f>CONCATENATE("Import Barge/Vessel Trade of ",Commodities!C60, " to ",$B$2497," from ",OILTrade!$N$74)</f>
        <v>Import Barge/Vessel Trade of ASP to *R7 from R5</v>
      </c>
      <c r="E2509" s="381" t="s">
        <v>384</v>
      </c>
      <c r="F2509" s="381" t="s">
        <v>505</v>
      </c>
    </row>
    <row r="2510" spans="2:6">
      <c r="B2510" s="365" t="s">
        <v>1025</v>
      </c>
      <c r="C2510" s="365" t="str">
        <f>CONCATENATE("IMP",Commodities!C48,"BR",RIGHT(OILTrade!$V$75,2))</f>
        <v>IMPGSCBR</v>
      </c>
      <c r="D2510" s="365" t="str">
        <f>CONCATENATE("Import Barge/Vessel Trade of ",Commodities!C48, " to ",$B$2510," from ",OILTrade!$N$75)</f>
        <v>Import Barge/Vessel Trade of GSC to *R8 from R6</v>
      </c>
      <c r="E2510" s="381" t="s">
        <v>384</v>
      </c>
      <c r="F2510" s="381" t="s">
        <v>505</v>
      </c>
    </row>
    <row r="2511" spans="2:6">
      <c r="B2511" s="365" t="s">
        <v>1025</v>
      </c>
      <c r="C2511" s="365" t="str">
        <f>CONCATENATE("IMP",Commodities!C49,"BR",RIGHT(OILTrade!$V$75,2))</f>
        <v>IMPGSRBR</v>
      </c>
      <c r="D2511" s="365" t="str">
        <f>CONCATENATE("Import Barge/Vessel Trade of ",Commodities!C49, " to ",$B$2510," from ",OILTrade!$N$75)</f>
        <v>Import Barge/Vessel Trade of GSR to *R8 from R6</v>
      </c>
      <c r="E2511" s="381" t="s">
        <v>384</v>
      </c>
      <c r="F2511" s="381" t="s">
        <v>505</v>
      </c>
    </row>
    <row r="2512" spans="2:6">
      <c r="B2512" s="365" t="s">
        <v>1025</v>
      </c>
      <c r="C2512" s="365" t="str">
        <f>CONCATENATE("IMP",Commodities!C50,"BR",RIGHT(OILTrade!$V$75,2))</f>
        <v>IMPDSHBR</v>
      </c>
      <c r="D2512" s="365" t="str">
        <f>CONCATENATE("Import Barge/Vessel Trade of ",Commodities!C50, " to ",$B$2510," from ",OILTrade!$N$75)</f>
        <v>Import Barge/Vessel Trade of DSH to *R8 from R6</v>
      </c>
      <c r="E2512" s="381" t="s">
        <v>384</v>
      </c>
      <c r="F2512" s="381" t="s">
        <v>505</v>
      </c>
    </row>
    <row r="2513" spans="2:6">
      <c r="B2513" s="365" t="s">
        <v>1025</v>
      </c>
      <c r="C2513" s="365" t="str">
        <f>CONCATENATE("IMP",Commodities!C51,"BR",RIGHT(OILTrade!$V$75,2))</f>
        <v>IMPDSLBR</v>
      </c>
      <c r="D2513" s="365" t="str">
        <f>CONCATENATE("Import Barge/Vessel Trade of ",Commodities!C51, " to ",$B$2510," from ",OILTrade!$N$75)</f>
        <v>Import Barge/Vessel Trade of DSL to *R8 from R6</v>
      </c>
      <c r="E2513" s="381" t="s">
        <v>384</v>
      </c>
      <c r="F2513" s="381" t="s">
        <v>505</v>
      </c>
    </row>
    <row r="2514" spans="2:6">
      <c r="B2514" s="365" t="s">
        <v>1025</v>
      </c>
      <c r="C2514" s="365" t="str">
        <f>CONCATENATE("IMP",Commodities!C52,"BR",RIGHT(OILTrade!$V$75,2))</f>
        <v>IMPDSUBR</v>
      </c>
      <c r="D2514" s="365" t="str">
        <f>CONCATENATE("Import Barge/Vessel Trade of ",Commodities!C52, " to ",$B$2510," from ",OILTrade!$N$75)</f>
        <v>Import Barge/Vessel Trade of DSU to *R8 from R6</v>
      </c>
      <c r="E2514" s="381" t="s">
        <v>384</v>
      </c>
      <c r="F2514" s="381" t="s">
        <v>505</v>
      </c>
    </row>
    <row r="2515" spans="2:6">
      <c r="B2515" s="365" t="s">
        <v>1025</v>
      </c>
      <c r="C2515" s="365" t="str">
        <f>CONCATENATE("IMP",Commodities!C53,"BR",RIGHT(OILTrade!$V$75,2))</f>
        <v>IMPJTFBR</v>
      </c>
      <c r="D2515" s="365" t="str">
        <f>CONCATENATE("Import Barge/Vessel Trade of ",Commodities!C53, " to ",$B$2510," from ",OILTrade!$N$75)</f>
        <v>Import Barge/Vessel Trade of JTF to *R8 from R6</v>
      </c>
      <c r="E2515" s="381" t="s">
        <v>384</v>
      </c>
      <c r="F2515" s="381" t="s">
        <v>505</v>
      </c>
    </row>
    <row r="2516" spans="2:6">
      <c r="B2516" s="365" t="s">
        <v>1025</v>
      </c>
      <c r="C2516" s="365" t="str">
        <f>CONCATENATE("IMP",Commodities!C54,"BR",RIGHT(OILTrade!$V$75,2))</f>
        <v>IMPKERBR</v>
      </c>
      <c r="D2516" s="365" t="str">
        <f>CONCATENATE("Import Barge/Vessel Trade of ",Commodities!C54, " to ",$B$2510," from ",OILTrade!$N$75)</f>
        <v>Import Barge/Vessel Trade of KER to *R8 from R6</v>
      </c>
      <c r="E2516" s="381" t="s">
        <v>384</v>
      </c>
      <c r="F2516" s="381" t="s">
        <v>505</v>
      </c>
    </row>
    <row r="2517" spans="2:6">
      <c r="B2517" s="365" t="s">
        <v>1025</v>
      </c>
      <c r="C2517" s="365" t="str">
        <f>CONCATENATE("IMP",Commodities!C55,"BR",RIGHT(OILTrade!$V$75,2))</f>
        <v>IMPLPGBR</v>
      </c>
      <c r="D2517" s="365" t="str">
        <f>CONCATENATE("Import Barge/Vessel Trade of ",Commodities!C55, " to ",$B$2510," from ",OILTrade!$N$75)</f>
        <v>Import Barge/Vessel Trade of LPG to *R8 from R6</v>
      </c>
      <c r="E2517" s="381" t="s">
        <v>384</v>
      </c>
      <c r="F2517" s="381" t="s">
        <v>505</v>
      </c>
    </row>
    <row r="2518" spans="2:6">
      <c r="B2518" s="365" t="s">
        <v>1025</v>
      </c>
      <c r="C2518" s="365" t="str">
        <f>CONCATENATE("IMP",Commodities!C56,"BR",RIGHT(OILTrade!$V$75,2))</f>
        <v>IMPMTHBR</v>
      </c>
      <c r="D2518" s="365" t="str">
        <f>CONCATENATE("Import Barge/Vessel Trade of ",Commodities!C56, " to ",$B$2510," from ",OILTrade!$N$75)</f>
        <v>Import Barge/Vessel Trade of MTH to *R8 from R6</v>
      </c>
      <c r="E2518" s="381" t="s">
        <v>384</v>
      </c>
      <c r="F2518" s="381" t="s">
        <v>505</v>
      </c>
    </row>
    <row r="2519" spans="2:6">
      <c r="B2519" s="365" t="s">
        <v>1025</v>
      </c>
      <c r="C2519" s="365" t="str">
        <f>CONCATENATE("IMP",Commodities!C57,"BR",RIGHT(OILTrade!$V$75,2))</f>
        <v>IMPPFSBR</v>
      </c>
      <c r="D2519" s="365" t="str">
        <f>CONCATENATE("Import Barge/Vessel Trade of ",Commodities!C57, " to ",$B$2510," from ",OILTrade!$N$75)</f>
        <v>Import Barge/Vessel Trade of PFS to *R8 from R6</v>
      </c>
      <c r="E2519" s="381" t="s">
        <v>384</v>
      </c>
      <c r="F2519" s="381" t="s">
        <v>505</v>
      </c>
    </row>
    <row r="2520" spans="2:6">
      <c r="B2520" s="365" t="s">
        <v>1025</v>
      </c>
      <c r="C2520" s="365" t="str">
        <f>CONCATENATE("IMP",Commodities!C58,"BR",RIGHT(OILTrade!$V$75,2))</f>
        <v>IMPRFHBR</v>
      </c>
      <c r="D2520" s="365" t="str">
        <f>CONCATENATE("Import Barge/Vessel Trade of ",Commodities!C58, " to ",$B$2510," from ",OILTrade!$N$75)</f>
        <v>Import Barge/Vessel Trade of RFH to *R8 from R6</v>
      </c>
      <c r="E2520" s="381" t="s">
        <v>384</v>
      </c>
      <c r="F2520" s="381" t="s">
        <v>505</v>
      </c>
    </row>
    <row r="2521" spans="2:6">
      <c r="B2521" s="365" t="s">
        <v>1025</v>
      </c>
      <c r="C2521" s="365" t="str">
        <f>CONCATENATE("IMP",Commodities!C59,"BR",RIGHT(OILTrade!$V$75,2))</f>
        <v>IMPRFLBR</v>
      </c>
      <c r="D2521" s="365" t="str">
        <f>CONCATENATE("Import Barge/Vessel Trade of ",Commodities!C59, " to ",$B$2510," from ",OILTrade!$N$75)</f>
        <v>Import Barge/Vessel Trade of RFL to *R8 from R6</v>
      </c>
      <c r="E2521" s="381" t="s">
        <v>384</v>
      </c>
      <c r="F2521" s="381" t="s">
        <v>505</v>
      </c>
    </row>
    <row r="2522" spans="2:6">
      <c r="B2522" s="365" t="s">
        <v>1025</v>
      </c>
      <c r="C2522" s="365" t="str">
        <f>CONCATENATE("IMP",Commodities!C60,"BR",RIGHT(OILTrade!$V$75,2))</f>
        <v>IMPASPBR</v>
      </c>
      <c r="D2522" s="365" t="str">
        <f>CONCATENATE("Import Barge/Vessel Trade of ",Commodities!C60, " to ",$B$2510," from ",OILTrade!$N$75)</f>
        <v>Import Barge/Vessel Trade of ASP to *R8 from R6</v>
      </c>
      <c r="E2522" s="381" t="s">
        <v>384</v>
      </c>
      <c r="F2522" s="381" t="s">
        <v>505</v>
      </c>
    </row>
    <row r="2523" spans="2:6">
      <c r="B2523" s="365" t="s">
        <v>1025</v>
      </c>
      <c r="C2523" s="365" t="str">
        <f>CONCATENATE("IMP",Commodities!C48,"BR",RIGHT(OILTrade!$V$76,2))</f>
        <v>IMPGSCBR</v>
      </c>
      <c r="D2523" s="365" t="str">
        <f>CONCATENATE("Import Barge/Vessel Trade of ",Commodities!C48, " to ",$B$2523," from ",OILTrade!$N$76)</f>
        <v>Import Barge/Vessel Trade of GSC to *R8 from R7</v>
      </c>
      <c r="E2523" s="381" t="s">
        <v>384</v>
      </c>
      <c r="F2523" s="381" t="s">
        <v>505</v>
      </c>
    </row>
    <row r="2524" spans="2:6">
      <c r="B2524" s="365" t="s">
        <v>1025</v>
      </c>
      <c r="C2524" s="365" t="str">
        <f>CONCATENATE("IMP",Commodities!C49,"BR",RIGHT(OILTrade!$V$76,2))</f>
        <v>IMPGSRBR</v>
      </c>
      <c r="D2524" s="365" t="str">
        <f>CONCATENATE("Import Barge/Vessel Trade of ",Commodities!C49, " to ",$B$2523," from ",OILTrade!$N$76)</f>
        <v>Import Barge/Vessel Trade of GSR to *R8 from R7</v>
      </c>
      <c r="E2524" s="381" t="s">
        <v>384</v>
      </c>
      <c r="F2524" s="381" t="s">
        <v>505</v>
      </c>
    </row>
    <row r="2525" spans="2:6">
      <c r="B2525" s="365" t="s">
        <v>1025</v>
      </c>
      <c r="C2525" s="365" t="str">
        <f>CONCATENATE("IMP",Commodities!C50,"BR",RIGHT(OILTrade!$V$76,2))</f>
        <v>IMPDSHBR</v>
      </c>
      <c r="D2525" s="365" t="str">
        <f>CONCATENATE("Import Barge/Vessel Trade of ",Commodities!C50, " to ",$B$2523," from ",OILTrade!$N$76)</f>
        <v>Import Barge/Vessel Trade of DSH to *R8 from R7</v>
      </c>
      <c r="E2525" s="381" t="s">
        <v>384</v>
      </c>
      <c r="F2525" s="381" t="s">
        <v>505</v>
      </c>
    </row>
    <row r="2526" spans="2:6">
      <c r="B2526" s="365" t="s">
        <v>1025</v>
      </c>
      <c r="C2526" s="365" t="str">
        <f>CONCATENATE("IMP",Commodities!C51,"BR",RIGHT(OILTrade!$V$76,2))</f>
        <v>IMPDSLBR</v>
      </c>
      <c r="D2526" s="365" t="str">
        <f>CONCATENATE("Import Barge/Vessel Trade of ",Commodities!C51, " to ",$B$2523," from ",OILTrade!$N$76)</f>
        <v>Import Barge/Vessel Trade of DSL to *R8 from R7</v>
      </c>
      <c r="E2526" s="381" t="s">
        <v>384</v>
      </c>
      <c r="F2526" s="381" t="s">
        <v>505</v>
      </c>
    </row>
    <row r="2527" spans="2:6">
      <c r="B2527" s="365" t="s">
        <v>1025</v>
      </c>
      <c r="C2527" s="365" t="str">
        <f>CONCATENATE("IMP",Commodities!C52,"BR",RIGHT(OILTrade!$V$76,2))</f>
        <v>IMPDSUBR</v>
      </c>
      <c r="D2527" s="365" t="str">
        <f>CONCATENATE("Import Barge/Vessel Trade of ",Commodities!C52, " to ",$B$2523," from ",OILTrade!$N$76)</f>
        <v>Import Barge/Vessel Trade of DSU to *R8 from R7</v>
      </c>
      <c r="E2527" s="381" t="s">
        <v>384</v>
      </c>
      <c r="F2527" s="381" t="s">
        <v>505</v>
      </c>
    </row>
    <row r="2528" spans="2:6">
      <c r="B2528" s="365" t="s">
        <v>1025</v>
      </c>
      <c r="C2528" s="365" t="str">
        <f>CONCATENATE("IMP",Commodities!C53,"BR",RIGHT(OILTrade!$V$76,2))</f>
        <v>IMPJTFBR</v>
      </c>
      <c r="D2528" s="365" t="str">
        <f>CONCATENATE("Import Barge/Vessel Trade of ",Commodities!C53, " to ",$B$2523," from ",OILTrade!$N$76)</f>
        <v>Import Barge/Vessel Trade of JTF to *R8 from R7</v>
      </c>
      <c r="E2528" s="381" t="s">
        <v>384</v>
      </c>
      <c r="F2528" s="381" t="s">
        <v>505</v>
      </c>
    </row>
    <row r="2529" spans="2:6">
      <c r="B2529" s="365" t="s">
        <v>1025</v>
      </c>
      <c r="C2529" s="365" t="str">
        <f>CONCATENATE("IMP",Commodities!C54,"BR",RIGHT(OILTrade!$V$76,2))</f>
        <v>IMPKERBR</v>
      </c>
      <c r="D2529" s="365" t="str">
        <f>CONCATENATE("Import Barge/Vessel Trade of ",Commodities!C54, " to ",$B$2523," from ",OILTrade!$N$76)</f>
        <v>Import Barge/Vessel Trade of KER to *R8 from R7</v>
      </c>
      <c r="E2529" s="381" t="s">
        <v>384</v>
      </c>
      <c r="F2529" s="381" t="s">
        <v>505</v>
      </c>
    </row>
    <row r="2530" spans="2:6">
      <c r="B2530" s="365" t="s">
        <v>1025</v>
      </c>
      <c r="C2530" s="365" t="str">
        <f>CONCATENATE("IMP",Commodities!C55,"BR",RIGHT(OILTrade!$V$76,2))</f>
        <v>IMPLPGBR</v>
      </c>
      <c r="D2530" s="365" t="str">
        <f>CONCATENATE("Import Barge/Vessel Trade of ",Commodities!C55, " to ",$B$2523," from ",OILTrade!$N$76)</f>
        <v>Import Barge/Vessel Trade of LPG to *R8 from R7</v>
      </c>
      <c r="E2530" s="381" t="s">
        <v>384</v>
      </c>
      <c r="F2530" s="381" t="s">
        <v>505</v>
      </c>
    </row>
    <row r="2531" spans="2:6">
      <c r="B2531" s="365" t="s">
        <v>1025</v>
      </c>
      <c r="C2531" s="365" t="str">
        <f>CONCATENATE("IMP",Commodities!C56,"BR",RIGHT(OILTrade!$V$76,2))</f>
        <v>IMPMTHBR</v>
      </c>
      <c r="D2531" s="365" t="str">
        <f>CONCATENATE("Import Barge/Vessel Trade of ",Commodities!C56, " to ",$B$2523," from ",OILTrade!$N$76)</f>
        <v>Import Barge/Vessel Trade of MTH to *R8 from R7</v>
      </c>
      <c r="E2531" s="381" t="s">
        <v>384</v>
      </c>
      <c r="F2531" s="381" t="s">
        <v>505</v>
      </c>
    </row>
    <row r="2532" spans="2:6">
      <c r="B2532" s="365" t="s">
        <v>1025</v>
      </c>
      <c r="C2532" s="365" t="str">
        <f>CONCATENATE("IMP",Commodities!C57,"BR",RIGHT(OILTrade!$V$76,2))</f>
        <v>IMPPFSBR</v>
      </c>
      <c r="D2532" s="365" t="str">
        <f>CONCATENATE("Import Barge/Vessel Trade of ",Commodities!C57, " to ",$B$2523," from ",OILTrade!$N$76)</f>
        <v>Import Barge/Vessel Trade of PFS to *R8 from R7</v>
      </c>
      <c r="E2532" s="381" t="s">
        <v>384</v>
      </c>
      <c r="F2532" s="381" t="s">
        <v>505</v>
      </c>
    </row>
    <row r="2533" spans="2:6">
      <c r="B2533" s="365" t="s">
        <v>1025</v>
      </c>
      <c r="C2533" s="365" t="str">
        <f>CONCATENATE("IMP",Commodities!C58,"BR",RIGHT(OILTrade!$V$76,2))</f>
        <v>IMPRFHBR</v>
      </c>
      <c r="D2533" s="365" t="str">
        <f>CONCATENATE("Import Barge/Vessel Trade of ",Commodities!C58, " to ",$B$2523," from ",OILTrade!$N$76)</f>
        <v>Import Barge/Vessel Trade of RFH to *R8 from R7</v>
      </c>
      <c r="E2533" s="381" t="s">
        <v>384</v>
      </c>
      <c r="F2533" s="381" t="s">
        <v>505</v>
      </c>
    </row>
    <row r="2534" spans="2:6">
      <c r="B2534" s="365" t="s">
        <v>1025</v>
      </c>
      <c r="C2534" s="365" t="str">
        <f>CONCATENATE("IMP",Commodities!C59,"BR",RIGHT(OILTrade!$V$76,2))</f>
        <v>IMPRFLBR</v>
      </c>
      <c r="D2534" s="365" t="str">
        <f>CONCATENATE("Import Barge/Vessel Trade of ",Commodities!C59, " to ",$B$2523," from ",OILTrade!$N$76)</f>
        <v>Import Barge/Vessel Trade of RFL to *R8 from R7</v>
      </c>
      <c r="E2534" s="381" t="s">
        <v>384</v>
      </c>
      <c r="F2534" s="381" t="s">
        <v>505</v>
      </c>
    </row>
    <row r="2535" spans="2:6">
      <c r="B2535" s="365" t="s">
        <v>1025</v>
      </c>
      <c r="C2535" s="365" t="str">
        <f>CONCATENATE("IMP",Commodities!C60,"BR",RIGHT(OILTrade!$V$76,2))</f>
        <v>IMPASPBR</v>
      </c>
      <c r="D2535" s="365" t="str">
        <f>CONCATENATE("Import Barge/Vessel Trade of ",Commodities!C60, " to ",$B$2523," from ",OILTrade!$N$76)</f>
        <v>Import Barge/Vessel Trade of ASP to *R8 from R7</v>
      </c>
      <c r="E2535" s="381" t="s">
        <v>384</v>
      </c>
      <c r="F2535" s="381" t="s">
        <v>505</v>
      </c>
    </row>
    <row r="2536" spans="2:6">
      <c r="B2536" s="365" t="s">
        <v>1026</v>
      </c>
      <c r="C2536" s="365" t="str">
        <f>CONCATENATE("IMP",Commodities!C48,"BR",RIGHT(OILTrade!$W$75,2))</f>
        <v>IMPGSCBR</v>
      </c>
      <c r="D2536" s="365" t="str">
        <f>CONCATENATE("Import Barge/Vessel Trade of ",Commodities!C48, " to ",$B$2536," from ",OILTrade!$N$75)</f>
        <v>Import Barge/Vessel Trade of GSC to *R9 from R6</v>
      </c>
      <c r="E2536" s="381" t="s">
        <v>384</v>
      </c>
      <c r="F2536" s="381" t="s">
        <v>505</v>
      </c>
    </row>
    <row r="2537" spans="2:6">
      <c r="B2537" s="365" t="s">
        <v>1026</v>
      </c>
      <c r="C2537" s="365" t="str">
        <f>CONCATENATE("IMP",Commodities!C49,"BR",RIGHT(OILTrade!$W$75,2))</f>
        <v>IMPGSRBR</v>
      </c>
      <c r="D2537" s="365" t="str">
        <f>CONCATENATE("Import Barge/Vessel Trade of ",Commodities!C49, " to ",$B$2536," from ",OILTrade!$N$75)</f>
        <v>Import Barge/Vessel Trade of GSR to *R9 from R6</v>
      </c>
      <c r="E2537" s="381" t="s">
        <v>384</v>
      </c>
      <c r="F2537" s="381" t="s">
        <v>505</v>
      </c>
    </row>
    <row r="2538" spans="2:6">
      <c r="B2538" s="365" t="s">
        <v>1026</v>
      </c>
      <c r="C2538" s="365" t="str">
        <f>CONCATENATE("IMP",Commodities!C50,"BR",RIGHT(OILTrade!$W$75,2))</f>
        <v>IMPDSHBR</v>
      </c>
      <c r="D2538" s="365" t="str">
        <f>CONCATENATE("Import Barge/Vessel Trade of ",Commodities!C50, " to ",$B$2536," from ",OILTrade!$N$75)</f>
        <v>Import Barge/Vessel Trade of DSH to *R9 from R6</v>
      </c>
      <c r="E2538" s="381" t="s">
        <v>384</v>
      </c>
      <c r="F2538" s="381" t="s">
        <v>505</v>
      </c>
    </row>
    <row r="2539" spans="2:6">
      <c r="B2539" s="365" t="s">
        <v>1026</v>
      </c>
      <c r="C2539" s="365" t="str">
        <f>CONCATENATE("IMP",Commodities!C51,"BR",RIGHT(OILTrade!$W$75,2))</f>
        <v>IMPDSLBR</v>
      </c>
      <c r="D2539" s="365" t="str">
        <f>CONCATENATE("Import Barge/Vessel Trade of ",Commodities!C51, " to ",$B$2536," from ",OILTrade!$N$75)</f>
        <v>Import Barge/Vessel Trade of DSL to *R9 from R6</v>
      </c>
      <c r="E2539" s="381" t="s">
        <v>384</v>
      </c>
      <c r="F2539" s="381" t="s">
        <v>505</v>
      </c>
    </row>
    <row r="2540" spans="2:6">
      <c r="B2540" s="365" t="s">
        <v>1026</v>
      </c>
      <c r="C2540" s="365" t="str">
        <f>CONCATENATE("IMP",Commodities!C52,"BR",RIGHT(OILTrade!$W$75,2))</f>
        <v>IMPDSUBR</v>
      </c>
      <c r="D2540" s="365" t="str">
        <f>CONCATENATE("Import Barge/Vessel Trade of ",Commodities!C52, " to ",$B$2536," from ",OILTrade!$N$75)</f>
        <v>Import Barge/Vessel Trade of DSU to *R9 from R6</v>
      </c>
      <c r="E2540" s="381" t="s">
        <v>384</v>
      </c>
      <c r="F2540" s="381" t="s">
        <v>505</v>
      </c>
    </row>
    <row r="2541" spans="2:6">
      <c r="B2541" s="365" t="s">
        <v>1026</v>
      </c>
      <c r="C2541" s="365" t="str">
        <f>CONCATENATE("IMP",Commodities!C53,"BR",RIGHT(OILTrade!$W$75,2))</f>
        <v>IMPJTFBR</v>
      </c>
      <c r="D2541" s="365" t="str">
        <f>CONCATENATE("Import Barge/Vessel Trade of ",Commodities!C53, " to ",$B$2536," from ",OILTrade!$N$75)</f>
        <v>Import Barge/Vessel Trade of JTF to *R9 from R6</v>
      </c>
      <c r="E2541" s="381" t="s">
        <v>384</v>
      </c>
      <c r="F2541" s="381" t="s">
        <v>505</v>
      </c>
    </row>
    <row r="2542" spans="2:6">
      <c r="B2542" s="365" t="s">
        <v>1026</v>
      </c>
      <c r="C2542" s="365" t="str">
        <f>CONCATENATE("IMP",Commodities!C54,"BR",RIGHT(OILTrade!$W$75,2))</f>
        <v>IMPKERBR</v>
      </c>
      <c r="D2542" s="365" t="str">
        <f>CONCATENATE("Import Barge/Vessel Trade of ",Commodities!C54, " to ",$B$2536," from ",OILTrade!$N$75)</f>
        <v>Import Barge/Vessel Trade of KER to *R9 from R6</v>
      </c>
      <c r="E2542" s="381" t="s">
        <v>384</v>
      </c>
      <c r="F2542" s="381" t="s">
        <v>505</v>
      </c>
    </row>
    <row r="2543" spans="2:6">
      <c r="B2543" s="365" t="s">
        <v>1026</v>
      </c>
      <c r="C2543" s="365" t="str">
        <f>CONCATENATE("IMP",Commodities!C55,"BR",RIGHT(OILTrade!$W$75,2))</f>
        <v>IMPLPGBR</v>
      </c>
      <c r="D2543" s="365" t="str">
        <f>CONCATENATE("Import Barge/Vessel Trade of ",Commodities!C55, " to ",$B$2536," from ",OILTrade!$N$75)</f>
        <v>Import Barge/Vessel Trade of LPG to *R9 from R6</v>
      </c>
      <c r="E2543" s="381" t="s">
        <v>384</v>
      </c>
      <c r="F2543" s="381" t="s">
        <v>505</v>
      </c>
    </row>
    <row r="2544" spans="2:6">
      <c r="B2544" s="365" t="s">
        <v>1026</v>
      </c>
      <c r="C2544" s="365" t="str">
        <f>CONCATENATE("IMP",Commodities!C56,"BR",RIGHT(OILTrade!$W$75,2))</f>
        <v>IMPMTHBR</v>
      </c>
      <c r="D2544" s="365" t="str">
        <f>CONCATENATE("Import Barge/Vessel Trade of ",Commodities!C56, " to ",$B$2536," from ",OILTrade!$N$75)</f>
        <v>Import Barge/Vessel Trade of MTH to *R9 from R6</v>
      </c>
      <c r="E2544" s="381" t="s">
        <v>384</v>
      </c>
      <c r="F2544" s="381" t="s">
        <v>505</v>
      </c>
    </row>
    <row r="2545" spans="2:6">
      <c r="B2545" s="365" t="s">
        <v>1026</v>
      </c>
      <c r="C2545" s="365" t="str">
        <f>CONCATENATE("IMP",Commodities!C57,"BR",RIGHT(OILTrade!$W$75,2))</f>
        <v>IMPPFSBR</v>
      </c>
      <c r="D2545" s="365" t="str">
        <f>CONCATENATE("Import Barge/Vessel Trade of ",Commodities!C57, " to ",$B$2536," from ",OILTrade!$N$75)</f>
        <v>Import Barge/Vessel Trade of PFS to *R9 from R6</v>
      </c>
      <c r="E2545" s="381" t="s">
        <v>384</v>
      </c>
      <c r="F2545" s="381" t="s">
        <v>505</v>
      </c>
    </row>
    <row r="2546" spans="2:6">
      <c r="B2546" s="365" t="s">
        <v>1026</v>
      </c>
      <c r="C2546" s="365" t="str">
        <f>CONCATENATE("IMP",Commodities!C58,"BR",RIGHT(OILTrade!$W$75,2))</f>
        <v>IMPRFHBR</v>
      </c>
      <c r="D2546" s="365" t="str">
        <f>CONCATENATE("Import Barge/Vessel Trade of ",Commodities!C58, " to ",$B$2536," from ",OILTrade!$N$75)</f>
        <v>Import Barge/Vessel Trade of RFH to *R9 from R6</v>
      </c>
      <c r="E2546" s="381" t="s">
        <v>384</v>
      </c>
      <c r="F2546" s="381" t="s">
        <v>505</v>
      </c>
    </row>
    <row r="2547" spans="2:6">
      <c r="B2547" s="365" t="s">
        <v>1026</v>
      </c>
      <c r="C2547" s="365" t="str">
        <f>CONCATENATE("IMP",Commodities!C59,"BR",RIGHT(OILTrade!$W$75,2))</f>
        <v>IMPRFLBR</v>
      </c>
      <c r="D2547" s="365" t="str">
        <f>CONCATENATE("Import Barge/Vessel Trade of ",Commodities!C59, " to ",$B$2536," from ",OILTrade!$N$75)</f>
        <v>Import Barge/Vessel Trade of RFL to *R9 from R6</v>
      </c>
      <c r="E2547" s="381" t="s">
        <v>384</v>
      </c>
      <c r="F2547" s="381" t="s">
        <v>505</v>
      </c>
    </row>
    <row r="2548" spans="2:6">
      <c r="B2548" s="365" t="s">
        <v>1026</v>
      </c>
      <c r="C2548" s="365" t="str">
        <f>CONCATENATE("IMP",Commodities!C60,"BR",RIGHT(OILTrade!$W$75,2))</f>
        <v>IMPASPBR</v>
      </c>
      <c r="D2548" s="365" t="str">
        <f>CONCATENATE("Import Barge/Vessel Trade of ",Commodities!C60, " to ",$B$2536," from ",OILTrade!$N$75)</f>
        <v>Import Barge/Vessel Trade of ASP to *R9 from R6</v>
      </c>
      <c r="E2548" s="381" t="s">
        <v>384</v>
      </c>
      <c r="F2548" s="381" t="s">
        <v>505</v>
      </c>
    </row>
    <row r="2549" spans="2:6">
      <c r="B2549" s="365" t="s">
        <v>1026</v>
      </c>
      <c r="C2549" s="365" t="str">
        <f>CONCATENATE("IMP",Commodities!C48,"BR",RIGHT(OILTrade!$W$76,2))</f>
        <v>IMPGSCBR</v>
      </c>
      <c r="D2549" s="365" t="str">
        <f>CONCATENATE("Import Barge/Vessel Trade of ",Commodities!C48, " to ",$B$2536," from ",OILTrade!$N$76)</f>
        <v>Import Barge/Vessel Trade of GSC to *R9 from R7</v>
      </c>
      <c r="E2549" s="381" t="s">
        <v>384</v>
      </c>
      <c r="F2549" s="381" t="s">
        <v>505</v>
      </c>
    </row>
    <row r="2550" spans="2:6">
      <c r="B2550" s="365" t="s">
        <v>1026</v>
      </c>
      <c r="C2550" s="365" t="str">
        <f>CONCATENATE("IMP",Commodities!C49,"BR",RIGHT(OILTrade!$W$76,2))</f>
        <v>IMPGSRBR</v>
      </c>
      <c r="D2550" s="365" t="str">
        <f>CONCATENATE("Import Barge/Vessel Trade of ",Commodities!C49, " to ",$B$2536," from ",OILTrade!$N$76)</f>
        <v>Import Barge/Vessel Trade of GSR to *R9 from R7</v>
      </c>
      <c r="E2550" s="381" t="s">
        <v>384</v>
      </c>
      <c r="F2550" s="381" t="s">
        <v>505</v>
      </c>
    </row>
    <row r="2551" spans="2:6">
      <c r="B2551" s="365" t="s">
        <v>1026</v>
      </c>
      <c r="C2551" s="365" t="str">
        <f>CONCATENATE("IMP",Commodities!C50,"BR",RIGHT(OILTrade!$W$76,2))</f>
        <v>IMPDSHBR</v>
      </c>
      <c r="D2551" s="365" t="str">
        <f>CONCATENATE("Import Barge/Vessel Trade of ",Commodities!C50, " to ",$B$2536," from ",OILTrade!$N$76)</f>
        <v>Import Barge/Vessel Trade of DSH to *R9 from R7</v>
      </c>
      <c r="E2551" s="381" t="s">
        <v>384</v>
      </c>
      <c r="F2551" s="381" t="s">
        <v>505</v>
      </c>
    </row>
    <row r="2552" spans="2:6">
      <c r="B2552" s="365" t="s">
        <v>1026</v>
      </c>
      <c r="C2552" s="365" t="str">
        <f>CONCATENATE("IMP",Commodities!C51,"BR",RIGHT(OILTrade!$W$76,2))</f>
        <v>IMPDSLBR</v>
      </c>
      <c r="D2552" s="365" t="str">
        <f>CONCATENATE("Import Barge/Vessel Trade of ",Commodities!C51, " to ",$B$2536," from ",OILTrade!$N$76)</f>
        <v>Import Barge/Vessel Trade of DSL to *R9 from R7</v>
      </c>
      <c r="E2552" s="381" t="s">
        <v>384</v>
      </c>
      <c r="F2552" s="381" t="s">
        <v>505</v>
      </c>
    </row>
    <row r="2553" spans="2:6">
      <c r="B2553" s="365" t="s">
        <v>1026</v>
      </c>
      <c r="C2553" s="365" t="str">
        <f>CONCATENATE("IMP",Commodities!C52,"BR",RIGHT(OILTrade!$W$76,2))</f>
        <v>IMPDSUBR</v>
      </c>
      <c r="D2553" s="365" t="str">
        <f>CONCATENATE("Import Barge/Vessel Trade of ",Commodities!C52, " to ",$B$2536," from ",OILTrade!$N$76)</f>
        <v>Import Barge/Vessel Trade of DSU to *R9 from R7</v>
      </c>
      <c r="E2553" s="381" t="s">
        <v>384</v>
      </c>
      <c r="F2553" s="381" t="s">
        <v>505</v>
      </c>
    </row>
    <row r="2554" spans="2:6">
      <c r="B2554" s="365" t="s">
        <v>1026</v>
      </c>
      <c r="C2554" s="365" t="str">
        <f>CONCATENATE("IMP",Commodities!C53,"BR",RIGHT(OILTrade!$W$76,2))</f>
        <v>IMPJTFBR</v>
      </c>
      <c r="D2554" s="365" t="str">
        <f>CONCATENATE("Import Barge/Vessel Trade of ",Commodities!C53, " to ",$B$2536," from ",OILTrade!$N$76)</f>
        <v>Import Barge/Vessel Trade of JTF to *R9 from R7</v>
      </c>
      <c r="E2554" s="381" t="s">
        <v>384</v>
      </c>
      <c r="F2554" s="381" t="s">
        <v>505</v>
      </c>
    </row>
    <row r="2555" spans="2:6">
      <c r="B2555" s="365" t="s">
        <v>1026</v>
      </c>
      <c r="C2555" s="365" t="str">
        <f>CONCATENATE("IMP",Commodities!C54,"BR",RIGHT(OILTrade!$W$76,2))</f>
        <v>IMPKERBR</v>
      </c>
      <c r="D2555" s="365" t="str">
        <f>CONCATENATE("Import Barge/Vessel Trade of ",Commodities!C54, " to ",$B$2536," from ",OILTrade!$N$76)</f>
        <v>Import Barge/Vessel Trade of KER to *R9 from R7</v>
      </c>
      <c r="E2555" s="381" t="s">
        <v>384</v>
      </c>
      <c r="F2555" s="381" t="s">
        <v>505</v>
      </c>
    </row>
    <row r="2556" spans="2:6">
      <c r="B2556" s="365" t="s">
        <v>1026</v>
      </c>
      <c r="C2556" s="365" t="str">
        <f>CONCATENATE("IMP",Commodities!C55,"BR",RIGHT(OILTrade!$W$76,2))</f>
        <v>IMPLPGBR</v>
      </c>
      <c r="D2556" s="365" t="str">
        <f>CONCATENATE("Import Barge/Vessel Trade of ",Commodities!C55, " to ",$B$2536," from ",OILTrade!$N$76)</f>
        <v>Import Barge/Vessel Trade of LPG to *R9 from R7</v>
      </c>
      <c r="E2556" s="381" t="s">
        <v>384</v>
      </c>
      <c r="F2556" s="381" t="s">
        <v>505</v>
      </c>
    </row>
    <row r="2557" spans="2:6">
      <c r="B2557" s="365" t="s">
        <v>1026</v>
      </c>
      <c r="C2557" s="365" t="str">
        <f>CONCATENATE("IMP",Commodities!C56,"BR",RIGHT(OILTrade!$W$76,2))</f>
        <v>IMPMTHBR</v>
      </c>
      <c r="D2557" s="365" t="str">
        <f>CONCATENATE("Import Barge/Vessel Trade of ",Commodities!C56, " to ",$B$2536," from ",OILTrade!$N$76)</f>
        <v>Import Barge/Vessel Trade of MTH to *R9 from R7</v>
      </c>
      <c r="E2557" s="381" t="s">
        <v>384</v>
      </c>
      <c r="F2557" s="381" t="s">
        <v>505</v>
      </c>
    </row>
    <row r="2558" spans="2:6">
      <c r="B2558" s="365" t="s">
        <v>1026</v>
      </c>
      <c r="C2558" s="365" t="str">
        <f>CONCATENATE("IMP",Commodities!C57,"BR",RIGHT(OILTrade!$W$76,2))</f>
        <v>IMPPFSBR</v>
      </c>
      <c r="D2558" s="365" t="str">
        <f>CONCATENATE("Import Barge/Vessel Trade of ",Commodities!C57, " to ",$B$2536," from ",OILTrade!$N$76)</f>
        <v>Import Barge/Vessel Trade of PFS to *R9 from R7</v>
      </c>
      <c r="E2558" s="381" t="s">
        <v>384</v>
      </c>
      <c r="F2558" s="381" t="s">
        <v>505</v>
      </c>
    </row>
    <row r="2559" spans="2:6">
      <c r="B2559" s="365" t="s">
        <v>1026</v>
      </c>
      <c r="C2559" s="365" t="str">
        <f>CONCATENATE("IMP",Commodities!C58,"BR",RIGHT(OILTrade!$W$76,2))</f>
        <v>IMPRFHBR</v>
      </c>
      <c r="D2559" s="365" t="str">
        <f>CONCATENATE("Import Barge/Vessel Trade of ",Commodities!C58, " to ",$B$2536," from ",OILTrade!$N$76)</f>
        <v>Import Barge/Vessel Trade of RFH to *R9 from R7</v>
      </c>
      <c r="E2559" s="381" t="s">
        <v>384</v>
      </c>
      <c r="F2559" s="381" t="s">
        <v>505</v>
      </c>
    </row>
    <row r="2560" spans="2:6">
      <c r="B2560" s="365" t="s">
        <v>1026</v>
      </c>
      <c r="C2560" s="365" t="str">
        <f>CONCATENATE("IMP",Commodities!C59,"BR",RIGHT(OILTrade!$W$76,2))</f>
        <v>IMPRFLBR</v>
      </c>
      <c r="D2560" s="365" t="str">
        <f>CONCATENATE("Import Barge/Vessel Trade of ",Commodities!C59, " to ",$B$2536," from ",OILTrade!$N$76)</f>
        <v>Import Barge/Vessel Trade of RFL to *R9 from R7</v>
      </c>
      <c r="E2560" s="381" t="s">
        <v>384</v>
      </c>
      <c r="F2560" s="381" t="s">
        <v>505</v>
      </c>
    </row>
    <row r="2561" spans="2:6">
      <c r="B2561" s="365" t="s">
        <v>1026</v>
      </c>
      <c r="C2561" s="365" t="str">
        <f>CONCATENATE("IMP",Commodities!C60,"BR",RIGHT(OILTrade!$W$76,2))</f>
        <v>IMPASPBR</v>
      </c>
      <c r="D2561" s="365" t="str">
        <f>CONCATENATE("Import Barge/Vessel Trade of ",Commodities!C60, " to ",$B$2536," from ",OILTrade!$N$76)</f>
        <v>Import Barge/Vessel Trade of ASP to *R9 from R7</v>
      </c>
      <c r="E2561" s="381" t="s">
        <v>384</v>
      </c>
      <c r="F2561" s="381" t="s">
        <v>505</v>
      </c>
    </row>
    <row r="2562" spans="2:6">
      <c r="B2562" s="364" t="s">
        <v>582</v>
      </c>
    </row>
    <row r="2563" spans="2:6">
      <c r="B2563" s="365" t="s">
        <v>1029</v>
      </c>
      <c r="C2563" s="365" t="str">
        <f>CONCATENATE("PEX",Commodities!C48,"B")</f>
        <v>PEXGSCB</v>
      </c>
      <c r="D2563" s="365" t="str">
        <f>CONCATENATE("Dummy Process for Barge/Vessel Traded ",Commodities!C48)</f>
        <v>Dummy Process for Barge/Vessel Traded GSC</v>
      </c>
      <c r="E2563" s="381" t="s">
        <v>384</v>
      </c>
      <c r="F2563" s="381" t="s">
        <v>505</v>
      </c>
    </row>
    <row r="2564" spans="2:6">
      <c r="B2564" s="365" t="s">
        <v>1029</v>
      </c>
      <c r="C2564" s="365" t="str">
        <f>CONCATENATE("PEX",Commodities!C49,"B")</f>
        <v>PEXGSRB</v>
      </c>
      <c r="D2564" s="365" t="str">
        <f>CONCATENATE("Dummy Process for Barge/Vessel Traded ",Commodities!C49)</f>
        <v>Dummy Process for Barge/Vessel Traded GSR</v>
      </c>
      <c r="E2564" s="381" t="s">
        <v>384</v>
      </c>
      <c r="F2564" s="381" t="s">
        <v>505</v>
      </c>
    </row>
    <row r="2565" spans="2:6">
      <c r="B2565" s="365" t="s">
        <v>1029</v>
      </c>
      <c r="C2565" s="365" t="str">
        <f>CONCATENATE("PEX",Commodities!C50,"B")</f>
        <v>PEXDSHB</v>
      </c>
      <c r="D2565" s="365" t="str">
        <f>CONCATENATE("Dummy Process for Barge/Vessel Traded ",Commodities!C50)</f>
        <v>Dummy Process for Barge/Vessel Traded DSH</v>
      </c>
      <c r="E2565" s="381" t="s">
        <v>384</v>
      </c>
      <c r="F2565" s="381" t="s">
        <v>505</v>
      </c>
    </row>
    <row r="2566" spans="2:6">
      <c r="B2566" s="365" t="s">
        <v>1029</v>
      </c>
      <c r="C2566" s="365" t="str">
        <f>CONCATENATE("PEX",Commodities!C51,"B")</f>
        <v>PEXDSLB</v>
      </c>
      <c r="D2566" s="365" t="str">
        <f>CONCATENATE("Dummy Process for Barge/Vessel Traded ",Commodities!C51)</f>
        <v>Dummy Process for Barge/Vessel Traded DSL</v>
      </c>
      <c r="E2566" s="381" t="s">
        <v>384</v>
      </c>
      <c r="F2566" s="381" t="s">
        <v>505</v>
      </c>
    </row>
    <row r="2567" spans="2:6">
      <c r="B2567" s="365" t="s">
        <v>1029</v>
      </c>
      <c r="C2567" s="365" t="str">
        <f>CONCATENATE("PEX",Commodities!C52,"B")</f>
        <v>PEXDSUB</v>
      </c>
      <c r="D2567" s="365" t="str">
        <f>CONCATENATE("Dummy Process for Barge/Vessel Traded ",Commodities!C52)</f>
        <v>Dummy Process for Barge/Vessel Traded DSU</v>
      </c>
      <c r="E2567" s="381" t="s">
        <v>384</v>
      </c>
      <c r="F2567" s="381" t="s">
        <v>505</v>
      </c>
    </row>
    <row r="2568" spans="2:6">
      <c r="B2568" s="365" t="s">
        <v>1029</v>
      </c>
      <c r="C2568" s="365" t="str">
        <f>CONCATENATE("PEX",Commodities!C53,"B")</f>
        <v>PEXJTFB</v>
      </c>
      <c r="D2568" s="365" t="str">
        <f>CONCATENATE("Dummy Process for Barge/Vessel Traded ",Commodities!C53)</f>
        <v>Dummy Process for Barge/Vessel Traded JTF</v>
      </c>
      <c r="E2568" s="381" t="s">
        <v>384</v>
      </c>
      <c r="F2568" s="381" t="s">
        <v>505</v>
      </c>
    </row>
    <row r="2569" spans="2:6">
      <c r="B2569" s="365" t="s">
        <v>1029</v>
      </c>
      <c r="C2569" s="365" t="str">
        <f>CONCATENATE("PEX",Commodities!C54,"B")</f>
        <v>PEXKERB</v>
      </c>
      <c r="D2569" s="365" t="str">
        <f>CONCATENATE("Dummy Process for Barge/Vessel Traded ",Commodities!C54)</f>
        <v>Dummy Process for Barge/Vessel Traded KER</v>
      </c>
      <c r="E2569" s="381" t="s">
        <v>384</v>
      </c>
      <c r="F2569" s="381" t="s">
        <v>505</v>
      </c>
    </row>
    <row r="2570" spans="2:6">
      <c r="B2570" s="365" t="s">
        <v>1029</v>
      </c>
      <c r="C2570" s="365" t="str">
        <f>CONCATENATE("PEX",Commodities!C55,"B")</f>
        <v>PEXLPGB</v>
      </c>
      <c r="D2570" s="365" t="str">
        <f>CONCATENATE("Dummy Process for Barge/Vessel Traded ",Commodities!C55)</f>
        <v>Dummy Process for Barge/Vessel Traded LPG</v>
      </c>
      <c r="E2570" s="381" t="s">
        <v>384</v>
      </c>
      <c r="F2570" s="381" t="s">
        <v>505</v>
      </c>
    </row>
    <row r="2571" spans="2:6">
      <c r="B2571" s="365" t="s">
        <v>1029</v>
      </c>
      <c r="C2571" s="365" t="str">
        <f>CONCATENATE("PEX",Commodities!C56,"B")</f>
        <v>PEXMTHB</v>
      </c>
      <c r="D2571" s="365" t="str">
        <f>CONCATENATE("Dummy Process for Barge/Vessel Traded ",Commodities!C56)</f>
        <v>Dummy Process for Barge/Vessel Traded MTH</v>
      </c>
      <c r="E2571" s="381" t="s">
        <v>384</v>
      </c>
      <c r="F2571" s="381" t="s">
        <v>505</v>
      </c>
    </row>
    <row r="2572" spans="2:6">
      <c r="B2572" s="365" t="s">
        <v>1029</v>
      </c>
      <c r="C2572" s="365" t="str">
        <f>CONCATENATE("PEX",Commodities!C57,"B")</f>
        <v>PEXPFSB</v>
      </c>
      <c r="D2572" s="365" t="str">
        <f>CONCATENATE("Dummy Process for Barge/Vessel Traded ",Commodities!C57)</f>
        <v>Dummy Process for Barge/Vessel Traded PFS</v>
      </c>
      <c r="E2572" s="381" t="s">
        <v>384</v>
      </c>
      <c r="F2572" s="381" t="s">
        <v>505</v>
      </c>
    </row>
    <row r="2573" spans="2:6">
      <c r="B2573" s="365" t="s">
        <v>1029</v>
      </c>
      <c r="C2573" s="365" t="str">
        <f>CONCATENATE("PEX",Commodities!C58,"B")</f>
        <v>PEXRFHB</v>
      </c>
      <c r="D2573" s="365" t="str">
        <f>CONCATENATE("Dummy Process for Barge/Vessel Traded ",Commodities!C58)</f>
        <v>Dummy Process for Barge/Vessel Traded RFH</v>
      </c>
      <c r="E2573" s="381" t="s">
        <v>384</v>
      </c>
      <c r="F2573" s="381" t="s">
        <v>505</v>
      </c>
    </row>
    <row r="2574" spans="2:6">
      <c r="B2574" s="365" t="s">
        <v>1029</v>
      </c>
      <c r="C2574" s="365" t="str">
        <f>CONCATENATE("PEX",Commodities!C59,"B")</f>
        <v>PEXRFLB</v>
      </c>
      <c r="D2574" s="365" t="str">
        <f>CONCATENATE("Dummy Process for Barge/Vessel Traded ",Commodities!C59)</f>
        <v>Dummy Process for Barge/Vessel Traded RFL</v>
      </c>
      <c r="E2574" s="381" t="s">
        <v>384</v>
      </c>
      <c r="F2574" s="381" t="s">
        <v>505</v>
      </c>
    </row>
    <row r="2575" spans="2:6">
      <c r="B2575" s="365" t="s">
        <v>1029</v>
      </c>
      <c r="C2575" s="365" t="str">
        <f>CONCATENATE("PEX",Commodities!C60,"B")</f>
        <v>PEXASPB</v>
      </c>
      <c r="D2575" s="365" t="str">
        <f>CONCATENATE("Dummy Process for Barge/Vessel Traded ",Commodities!C60)</f>
        <v>Dummy Process for Barge/Vessel Traded ASP</v>
      </c>
      <c r="E2575" s="381" t="s">
        <v>384</v>
      </c>
      <c r="F2575" s="381" t="s">
        <v>505</v>
      </c>
    </row>
    <row r="2576" spans="2:6">
      <c r="B2576" s="364" t="s">
        <v>583</v>
      </c>
    </row>
    <row r="2577" spans="2:6">
      <c r="B2577" s="365" t="s">
        <v>1092</v>
      </c>
      <c r="C2577" s="365" t="str">
        <f>CONCATENATE("XB",Commodities!C85,OILTrade!$N$71)</f>
        <v>XBTRGSLCR2</v>
      </c>
      <c r="D2577" s="365" t="str">
        <f>CONCATENATE("Delivery of Barge/Vessel Traded ",Commodities!C85," from ", OILTrade!$N$71)</f>
        <v>Delivery of Barge/Vessel Traded TRGSLC from R2</v>
      </c>
      <c r="E2577" s="381" t="s">
        <v>384</v>
      </c>
      <c r="F2577" s="381" t="s">
        <v>505</v>
      </c>
    </row>
    <row r="2578" spans="2:6">
      <c r="B2578" s="365" t="s">
        <v>1092</v>
      </c>
      <c r="C2578" s="365" t="str">
        <f>CONCATENATE("XB",Commodities!C86,OILTrade!$N$71)</f>
        <v>XBTRGSLRR2</v>
      </c>
      <c r="D2578" s="365" t="str">
        <f>CONCATENATE("Delivery of Barge/Vessel Traded ",Commodities!C86," from ", OILTrade!$N$71)</f>
        <v>Delivery of Barge/Vessel Traded TRGSLR from R2</v>
      </c>
      <c r="E2578" s="381" t="s">
        <v>384</v>
      </c>
      <c r="F2578" s="381" t="s">
        <v>505</v>
      </c>
    </row>
    <row r="2579" spans="2:6">
      <c r="B2579" s="365" t="s">
        <v>1092</v>
      </c>
      <c r="C2579" s="365" t="str">
        <f>CONCATENATE("XB",Commodities!C87,OILTrade!$N$71)</f>
        <v>XBRESDSLR2</v>
      </c>
      <c r="D2579" s="365" t="str">
        <f>CONCATENATE("Delivery of Barge/Vessel Traded ",Commodities!C87," from ", OILTrade!$N$71)</f>
        <v>Delivery of Barge/Vessel Traded RESDSL from R2</v>
      </c>
      <c r="E2579" s="381" t="s">
        <v>384</v>
      </c>
      <c r="F2579" s="381" t="s">
        <v>505</v>
      </c>
    </row>
    <row r="2580" spans="2:6">
      <c r="B2580" s="365" t="s">
        <v>1092</v>
      </c>
      <c r="C2580" s="365" t="str">
        <f>CONCATENATE("XB",Commodities!C88,OILTrade!$N$71)</f>
        <v>XBCOMDSLR2</v>
      </c>
      <c r="D2580" s="365" t="str">
        <f>CONCATENATE("Delivery of Barge/Vessel Traded ",Commodities!C88," from ", OILTrade!$N$71)</f>
        <v>Delivery of Barge/Vessel Traded COMDSL from R2</v>
      </c>
      <c r="E2580" s="381" t="s">
        <v>384</v>
      </c>
      <c r="F2580" s="381" t="s">
        <v>505</v>
      </c>
    </row>
    <row r="2581" spans="2:6">
      <c r="B2581" s="365" t="s">
        <v>1092</v>
      </c>
      <c r="C2581" s="365" t="str">
        <f>CONCATENATE("XB",Commodities!C89,OILTrade!$N$71)</f>
        <v>XBINDDSLR2</v>
      </c>
      <c r="D2581" s="365" t="str">
        <f>CONCATENATE("Delivery of Barge/Vessel Traded ",Commodities!C89," from ", OILTrade!$N$71)</f>
        <v>Delivery of Barge/Vessel Traded INDDSL from R2</v>
      </c>
      <c r="E2581" s="381" t="s">
        <v>384</v>
      </c>
      <c r="F2581" s="381" t="s">
        <v>505</v>
      </c>
    </row>
    <row r="2582" spans="2:6">
      <c r="B2582" s="365" t="s">
        <v>1092</v>
      </c>
      <c r="C2582" s="365" t="str">
        <f>CONCATENATE("XB",Commodities!C90,OILTrade!$N$71)</f>
        <v>XBELCDSLR2</v>
      </c>
      <c r="D2582" s="365" t="str">
        <f>CONCATENATE("Delivery of Barge/Vessel Traded ",Commodities!C90," from ", OILTrade!$N$71)</f>
        <v>Delivery of Barge/Vessel Traded ELCDSL from R2</v>
      </c>
      <c r="E2582" s="381" t="s">
        <v>384</v>
      </c>
      <c r="F2582" s="381" t="s">
        <v>505</v>
      </c>
    </row>
    <row r="2583" spans="2:6">
      <c r="B2583" s="365" t="s">
        <v>1092</v>
      </c>
      <c r="C2583" s="365" t="str">
        <f>CONCATENATE("XB",Commodities!C91,OILTrade!$N$71)</f>
        <v>XBTRDSLLR2</v>
      </c>
      <c r="D2583" s="365" t="str">
        <f>CONCATENATE("Delivery of Barge/Vessel Traded ",Commodities!C91," from ", OILTrade!$N$71)</f>
        <v>Delivery of Barge/Vessel Traded TRDSLL from R2</v>
      </c>
      <c r="E2583" s="381" t="s">
        <v>384</v>
      </c>
      <c r="F2583" s="381" t="s">
        <v>505</v>
      </c>
    </row>
    <row r="2584" spans="2:6">
      <c r="B2584" s="365" t="s">
        <v>1092</v>
      </c>
      <c r="C2584" s="365" t="str">
        <f>CONCATENATE("XB",Commodities!C92,OILTrade!$N$71)</f>
        <v>XBTRDSLUR2</v>
      </c>
      <c r="D2584" s="365" t="str">
        <f>CONCATENATE("Delivery of Barge/Vessel Traded ",Commodities!C92," from ", OILTrade!$N$71)</f>
        <v>Delivery of Barge/Vessel Traded TRDSLU from R2</v>
      </c>
      <c r="E2584" s="381" t="s">
        <v>384</v>
      </c>
      <c r="F2584" s="381" t="s">
        <v>505</v>
      </c>
    </row>
    <row r="2585" spans="2:6">
      <c r="B2585" s="365" t="s">
        <v>1092</v>
      </c>
      <c r="C2585" s="365" t="str">
        <f>CONCATENATE("XB",Commodities!C93,OILTrade!$N$71)</f>
        <v>XBTRNJTFR2</v>
      </c>
      <c r="D2585" s="365" t="str">
        <f>CONCATENATE("Delivery of Barge/Vessel Traded ",Commodities!C93," from ", OILTrade!$N$71)</f>
        <v>Delivery of Barge/Vessel Traded TRNJTF from R2</v>
      </c>
      <c r="E2585" s="381" t="s">
        <v>384</v>
      </c>
      <c r="F2585" s="381" t="s">
        <v>505</v>
      </c>
    </row>
    <row r="2586" spans="2:6">
      <c r="B2586" s="365" t="s">
        <v>1092</v>
      </c>
      <c r="C2586" s="365" t="str">
        <f>CONCATENATE("XB",Commodities!C94,OILTrade!$N$71)</f>
        <v>XBRESKERR2</v>
      </c>
      <c r="D2586" s="365" t="str">
        <f>CONCATENATE("Delivery of Barge/Vessel Traded ",Commodities!C94," from ", OILTrade!$N$71)</f>
        <v>Delivery of Barge/Vessel Traded RESKER from R2</v>
      </c>
      <c r="E2586" s="381" t="s">
        <v>384</v>
      </c>
      <c r="F2586" s="381" t="s">
        <v>505</v>
      </c>
    </row>
    <row r="2587" spans="2:6">
      <c r="B2587" s="365" t="s">
        <v>1092</v>
      </c>
      <c r="C2587" s="365" t="str">
        <f>CONCATENATE("XB",Commodities!C95,OILTrade!$N$71)</f>
        <v>XBCOMKERR2</v>
      </c>
      <c r="D2587" s="365" t="str">
        <f>CONCATENATE("Delivery of Barge/Vessel Traded ",Commodities!C95," from ", OILTrade!$N$71)</f>
        <v>Delivery of Barge/Vessel Traded COMKER from R2</v>
      </c>
      <c r="E2587" s="381" t="s">
        <v>384</v>
      </c>
      <c r="F2587" s="381" t="s">
        <v>505</v>
      </c>
    </row>
    <row r="2588" spans="2:6">
      <c r="B2588" s="365" t="s">
        <v>1092</v>
      </c>
      <c r="C2588" s="365" t="str">
        <f>CONCATENATE("XB",Commodities!C96,OILTrade!$N$71)</f>
        <v>XBINDKERR2</v>
      </c>
      <c r="D2588" s="365" t="str">
        <f>CONCATENATE("Delivery of Barge/Vessel Traded ",Commodities!C96," from ", OILTrade!$N$71)</f>
        <v>Delivery of Barge/Vessel Traded INDKER from R2</v>
      </c>
      <c r="E2588" s="381" t="s">
        <v>384</v>
      </c>
      <c r="F2588" s="381" t="s">
        <v>505</v>
      </c>
    </row>
    <row r="2589" spans="2:6">
      <c r="B2589" s="365" t="s">
        <v>1092</v>
      </c>
      <c r="C2589" s="365" t="str">
        <f>CONCATENATE("XB",Commodities!C97,OILTrade!$N$71)</f>
        <v>XBRESLPGR2</v>
      </c>
      <c r="D2589" s="365" t="str">
        <f>CONCATENATE("Delivery of Barge/Vessel Traded ",Commodities!C97," from ", OILTrade!$N$71)</f>
        <v>Delivery of Barge/Vessel Traded RESLPG from R2</v>
      </c>
      <c r="E2589" s="381" t="s">
        <v>384</v>
      </c>
      <c r="F2589" s="381" t="s">
        <v>505</v>
      </c>
    </row>
    <row r="2590" spans="2:6">
      <c r="B2590" s="365" t="s">
        <v>1092</v>
      </c>
      <c r="C2590" s="365" t="str">
        <f>CONCATENATE("XB",Commodities!C98,OILTrade!$N$71)</f>
        <v>XBCOMLPGR2</v>
      </c>
      <c r="D2590" s="365" t="str">
        <f>CONCATENATE("Delivery of Barge/Vessel Traded ",Commodities!C98," from ", OILTrade!$N$71)</f>
        <v>Delivery of Barge/Vessel Traded COMLPG from R2</v>
      </c>
      <c r="E2590" s="381" t="s">
        <v>384</v>
      </c>
      <c r="F2590" s="381" t="s">
        <v>505</v>
      </c>
    </row>
    <row r="2591" spans="2:6">
      <c r="B2591" s="365" t="s">
        <v>1092</v>
      </c>
      <c r="C2591" s="365" t="str">
        <f>CONCATENATE("XB",Commodities!C99,OILTrade!$N$71)</f>
        <v>XBINDLPGR2</v>
      </c>
      <c r="D2591" s="365" t="str">
        <f>CONCATENATE("Delivery of Barge/Vessel Traded ",Commodities!C99," from ", OILTrade!$N$71)</f>
        <v>Delivery of Barge/Vessel Traded INDLPG from R2</v>
      </c>
      <c r="E2591" s="381" t="s">
        <v>384</v>
      </c>
      <c r="F2591" s="381" t="s">
        <v>505</v>
      </c>
    </row>
    <row r="2592" spans="2:6">
      <c r="B2592" s="365" t="s">
        <v>1092</v>
      </c>
      <c r="C2592" s="365" t="str">
        <f>CONCATENATE("XB",Commodities!C100,OILTrade!$N$71)</f>
        <v>XBTRNLPGR2</v>
      </c>
      <c r="D2592" s="365" t="str">
        <f>CONCATENATE("Delivery of Barge/Vessel Traded ",Commodities!C100," from ", OILTrade!$N$71)</f>
        <v>Delivery of Barge/Vessel Traded TRNLPG from R2</v>
      </c>
      <c r="E2592" s="381" t="s">
        <v>384</v>
      </c>
      <c r="F2592" s="381" t="s">
        <v>505</v>
      </c>
    </row>
    <row r="2593" spans="2:6">
      <c r="B2593" s="365" t="s">
        <v>1092</v>
      </c>
      <c r="C2593" s="365" t="str">
        <f>CONCATENATE("XB",Commodities!C101,OILTrade!$N$71)</f>
        <v>XBTRNMTHR2</v>
      </c>
      <c r="D2593" s="365" t="str">
        <f>CONCATENATE("Delivery of Barge/Vessel Traded ",Commodities!C101," from ", OILTrade!$N$71)</f>
        <v>Delivery of Barge/Vessel Traded TRNMTH from R2</v>
      </c>
      <c r="E2593" s="381" t="s">
        <v>384</v>
      </c>
      <c r="F2593" s="381" t="s">
        <v>505</v>
      </c>
    </row>
    <row r="2594" spans="2:6">
      <c r="B2594" s="365" t="s">
        <v>1092</v>
      </c>
      <c r="C2594" s="365" t="str">
        <f>CONCATENATE("XB",Commodities!C102,OILTrade!$N$71)</f>
        <v>XBINDPFSR2</v>
      </c>
      <c r="D2594" s="365" t="str">
        <f>CONCATENATE("Delivery of Barge/Vessel Traded ",Commodities!C102," from ", OILTrade!$N$71)</f>
        <v>Delivery of Barge/Vessel Traded INDPFS from R2</v>
      </c>
      <c r="E2594" s="381" t="s">
        <v>384</v>
      </c>
      <c r="F2594" s="381" t="s">
        <v>505</v>
      </c>
    </row>
    <row r="2595" spans="2:6">
      <c r="B2595" s="365" t="s">
        <v>1092</v>
      </c>
      <c r="C2595" s="365" t="str">
        <f>CONCATENATE("XB",Commodities!C104,OILTrade!$N$71)</f>
        <v>XBCOMRFLR2</v>
      </c>
      <c r="D2595" s="365" t="str">
        <f>CONCATENATE("Delivery of Barge/Vessel Traded ",Commodities!C104," from ", OILTrade!$N$71)</f>
        <v>Delivery of Barge/Vessel Traded COMRFL from R2</v>
      </c>
      <c r="E2595" s="381" t="s">
        <v>384</v>
      </c>
      <c r="F2595" s="381" t="s">
        <v>505</v>
      </c>
    </row>
    <row r="2596" spans="2:6">
      <c r="B2596" s="365" t="s">
        <v>1092</v>
      </c>
      <c r="C2596" s="365" t="str">
        <f>CONCATENATE("XB",Commodities!C105,OILTrade!$N$71)</f>
        <v>XBINDRFLR2</v>
      </c>
      <c r="D2596" s="365" t="str">
        <f>CONCATENATE("Delivery of Barge/Vessel Traded ",Commodities!C105," from ", OILTrade!$N$71)</f>
        <v>Delivery of Barge/Vessel Traded INDRFL from R2</v>
      </c>
      <c r="E2596" s="381" t="s">
        <v>384</v>
      </c>
      <c r="F2596" s="381" t="s">
        <v>505</v>
      </c>
    </row>
    <row r="2597" spans="2:6">
      <c r="B2597" s="365" t="s">
        <v>1092</v>
      </c>
      <c r="C2597" s="365" t="str">
        <f>CONCATENATE("XB",Commodities!C106,OILTrade!$N$71)</f>
        <v>XBELCRFLR2</v>
      </c>
      <c r="D2597" s="365" t="str">
        <f>CONCATENATE("Delivery of Barge/Vessel Traded ",Commodities!C106," from ", OILTrade!$N$71)</f>
        <v>Delivery of Barge/Vessel Traded ELCRFL from R2</v>
      </c>
      <c r="E2597" s="381" t="s">
        <v>384</v>
      </c>
      <c r="F2597" s="381" t="s">
        <v>505</v>
      </c>
    </row>
    <row r="2598" spans="2:6">
      <c r="B2598" s="365" t="s">
        <v>1092</v>
      </c>
      <c r="C2598" s="365" t="str">
        <f>CONCATENATE("XB",Commodities!C107,OILTrade!$N$71)</f>
        <v>XBTRNRFHR2</v>
      </c>
      <c r="D2598" s="365" t="str">
        <f>CONCATENATE("Delivery of Barge/Vessel Traded ",Commodities!C107," from ", OILTrade!$N$71)</f>
        <v>Delivery of Barge/Vessel Traded TRNRFH from R2</v>
      </c>
      <c r="E2598" s="381" t="s">
        <v>384</v>
      </c>
      <c r="F2598" s="381" t="s">
        <v>505</v>
      </c>
    </row>
    <row r="2599" spans="2:6">
      <c r="B2599" s="365" t="s">
        <v>1092</v>
      </c>
      <c r="C2599" s="365" t="str">
        <f>CONCATENATE("XB",Commodities!C108,OILTrade!$N$71)</f>
        <v>XBELCRFHR2</v>
      </c>
      <c r="D2599" s="365" t="str">
        <f>CONCATENATE("Delivery of Barge/Vessel Traded ",Commodities!C108," from ", OILTrade!$N$71)</f>
        <v>Delivery of Barge/Vessel Traded ELCRFH from R2</v>
      </c>
      <c r="E2599" s="381" t="s">
        <v>384</v>
      </c>
      <c r="F2599" s="381" t="s">
        <v>505</v>
      </c>
    </row>
    <row r="2600" spans="2:6">
      <c r="B2600" s="365" t="s">
        <v>1092</v>
      </c>
      <c r="C2600" s="365" t="str">
        <f>CONCATENATE("XB",Commodities!C109,OILTrade!$N$71)</f>
        <v>XBINDASPR2</v>
      </c>
      <c r="D2600" s="365" t="str">
        <f>CONCATENATE("Delivery of Barge/Vessel Traded ",Commodities!C109," from ", OILTrade!$N$71)</f>
        <v>Delivery of Barge/Vessel Traded INDASP from R2</v>
      </c>
      <c r="E2600" s="381" t="s">
        <v>384</v>
      </c>
      <c r="F2600" s="381" t="s">
        <v>505</v>
      </c>
    </row>
    <row r="2601" spans="2:6">
      <c r="B2601" s="365" t="s">
        <v>1093</v>
      </c>
      <c r="C2601" s="365" t="str">
        <f>CONCATENATE("XB",Commodities!C85,OILTrade!$N$72)</f>
        <v>XBTRGSLCR3</v>
      </c>
      <c r="D2601" s="365" t="str">
        <f>CONCATENATE("Delivery of Barge/Vessel Traded ",Commodities!C85," from ", OILTrade!$N$72)</f>
        <v>Delivery of Barge/Vessel Traded TRGSLC from R3</v>
      </c>
      <c r="E2601" s="381" t="s">
        <v>384</v>
      </c>
      <c r="F2601" s="381" t="s">
        <v>505</v>
      </c>
    </row>
    <row r="2602" spans="2:6">
      <c r="B2602" s="365" t="s">
        <v>1093</v>
      </c>
      <c r="C2602" s="365" t="str">
        <f>CONCATENATE("XB",Commodities!C86,OILTrade!$N$72)</f>
        <v>XBTRGSLRR3</v>
      </c>
      <c r="D2602" s="365" t="str">
        <f>CONCATENATE("Delivery of Barge/Vessel Traded ",Commodities!C86," from ", OILTrade!$N$72)</f>
        <v>Delivery of Barge/Vessel Traded TRGSLR from R3</v>
      </c>
      <c r="E2602" s="381" t="s">
        <v>384</v>
      </c>
      <c r="F2602" s="381" t="s">
        <v>505</v>
      </c>
    </row>
    <row r="2603" spans="2:6">
      <c r="B2603" s="365" t="s">
        <v>1093</v>
      </c>
      <c r="C2603" s="365" t="str">
        <f>CONCATENATE("XB",Commodities!C87,OILTrade!$N$72)</f>
        <v>XBRESDSLR3</v>
      </c>
      <c r="D2603" s="365" t="str">
        <f>CONCATENATE("Delivery of Barge/Vessel Traded ",Commodities!C87," from ", OILTrade!$N$72)</f>
        <v>Delivery of Barge/Vessel Traded RESDSL from R3</v>
      </c>
      <c r="E2603" s="381" t="s">
        <v>384</v>
      </c>
      <c r="F2603" s="381" t="s">
        <v>505</v>
      </c>
    </row>
    <row r="2604" spans="2:6">
      <c r="B2604" s="365" t="s">
        <v>1093</v>
      </c>
      <c r="C2604" s="365" t="str">
        <f>CONCATENATE("XB",Commodities!C88,OILTrade!$N$72)</f>
        <v>XBCOMDSLR3</v>
      </c>
      <c r="D2604" s="365" t="str">
        <f>CONCATENATE("Delivery of Barge/Vessel Traded ",Commodities!C88," from ", OILTrade!$N$72)</f>
        <v>Delivery of Barge/Vessel Traded COMDSL from R3</v>
      </c>
      <c r="E2604" s="381" t="s">
        <v>384</v>
      </c>
      <c r="F2604" s="381" t="s">
        <v>505</v>
      </c>
    </row>
    <row r="2605" spans="2:6">
      <c r="B2605" s="365" t="s">
        <v>1093</v>
      </c>
      <c r="C2605" s="365" t="str">
        <f>CONCATENATE("XB",Commodities!C89,OILTrade!$N$72)</f>
        <v>XBINDDSLR3</v>
      </c>
      <c r="D2605" s="365" t="str">
        <f>CONCATENATE("Delivery of Barge/Vessel Traded ",Commodities!C89," from ", OILTrade!$N$72)</f>
        <v>Delivery of Barge/Vessel Traded INDDSL from R3</v>
      </c>
      <c r="E2605" s="381" t="s">
        <v>384</v>
      </c>
      <c r="F2605" s="381" t="s">
        <v>505</v>
      </c>
    </row>
    <row r="2606" spans="2:6">
      <c r="B2606" s="365" t="s">
        <v>1093</v>
      </c>
      <c r="C2606" s="365" t="str">
        <f>CONCATENATE("XB",Commodities!C90,OILTrade!$N$72)</f>
        <v>XBELCDSLR3</v>
      </c>
      <c r="D2606" s="365" t="str">
        <f>CONCATENATE("Delivery of Barge/Vessel Traded ",Commodities!C90," from ", OILTrade!$N$72)</f>
        <v>Delivery of Barge/Vessel Traded ELCDSL from R3</v>
      </c>
      <c r="E2606" s="381" t="s">
        <v>384</v>
      </c>
      <c r="F2606" s="381" t="s">
        <v>505</v>
      </c>
    </row>
    <row r="2607" spans="2:6">
      <c r="B2607" s="365" t="s">
        <v>1093</v>
      </c>
      <c r="C2607" s="365" t="str">
        <f>CONCATENATE("XB",Commodities!C91,OILTrade!$N$72)</f>
        <v>XBTRDSLLR3</v>
      </c>
      <c r="D2607" s="365" t="str">
        <f>CONCATENATE("Delivery of Barge/Vessel Traded ",Commodities!C91," from ", OILTrade!$N$72)</f>
        <v>Delivery of Barge/Vessel Traded TRDSLL from R3</v>
      </c>
      <c r="E2607" s="381" t="s">
        <v>384</v>
      </c>
      <c r="F2607" s="381" t="s">
        <v>505</v>
      </c>
    </row>
    <row r="2608" spans="2:6">
      <c r="B2608" s="365" t="s">
        <v>1093</v>
      </c>
      <c r="C2608" s="365" t="str">
        <f>CONCATENATE("XB",Commodities!C92,OILTrade!$N$72)</f>
        <v>XBTRDSLUR3</v>
      </c>
      <c r="D2608" s="365" t="str">
        <f>CONCATENATE("Delivery of Barge/Vessel Traded ",Commodities!C92," from ", OILTrade!$N$72)</f>
        <v>Delivery of Barge/Vessel Traded TRDSLU from R3</v>
      </c>
      <c r="E2608" s="381" t="s">
        <v>384</v>
      </c>
      <c r="F2608" s="381" t="s">
        <v>505</v>
      </c>
    </row>
    <row r="2609" spans="2:6">
      <c r="B2609" s="365" t="s">
        <v>1093</v>
      </c>
      <c r="C2609" s="365" t="str">
        <f>CONCATENATE("XB",Commodities!C93,OILTrade!$N$72)</f>
        <v>XBTRNJTFR3</v>
      </c>
      <c r="D2609" s="365" t="str">
        <f>CONCATENATE("Delivery of Barge/Vessel Traded ",Commodities!C93," from ", OILTrade!$N$72)</f>
        <v>Delivery of Barge/Vessel Traded TRNJTF from R3</v>
      </c>
      <c r="E2609" s="381" t="s">
        <v>384</v>
      </c>
      <c r="F2609" s="381" t="s">
        <v>505</v>
      </c>
    </row>
    <row r="2610" spans="2:6">
      <c r="B2610" s="365" t="s">
        <v>1093</v>
      </c>
      <c r="C2610" s="365" t="str">
        <f>CONCATENATE("XB",Commodities!C94,OILTrade!$N$72)</f>
        <v>XBRESKERR3</v>
      </c>
      <c r="D2610" s="365" t="str">
        <f>CONCATENATE("Delivery of Barge/Vessel Traded ",Commodities!C94," from ", OILTrade!$N$72)</f>
        <v>Delivery of Barge/Vessel Traded RESKER from R3</v>
      </c>
      <c r="E2610" s="381" t="s">
        <v>384</v>
      </c>
      <c r="F2610" s="381" t="s">
        <v>505</v>
      </c>
    </row>
    <row r="2611" spans="2:6">
      <c r="B2611" s="365" t="s">
        <v>1093</v>
      </c>
      <c r="C2611" s="365" t="str">
        <f>CONCATENATE("XB",Commodities!C95,OILTrade!$N$72)</f>
        <v>XBCOMKERR3</v>
      </c>
      <c r="D2611" s="365" t="str">
        <f>CONCATENATE("Delivery of Barge/Vessel Traded ",Commodities!C95," from ", OILTrade!$N$72)</f>
        <v>Delivery of Barge/Vessel Traded COMKER from R3</v>
      </c>
      <c r="E2611" s="381" t="s">
        <v>384</v>
      </c>
      <c r="F2611" s="381" t="s">
        <v>505</v>
      </c>
    </row>
    <row r="2612" spans="2:6">
      <c r="B2612" s="365" t="s">
        <v>1093</v>
      </c>
      <c r="C2612" s="365" t="str">
        <f>CONCATENATE("XB",Commodities!C96,OILTrade!$N$72)</f>
        <v>XBINDKERR3</v>
      </c>
      <c r="D2612" s="365" t="str">
        <f>CONCATENATE("Delivery of Barge/Vessel Traded ",Commodities!C96," from ", OILTrade!$N$72)</f>
        <v>Delivery of Barge/Vessel Traded INDKER from R3</v>
      </c>
      <c r="E2612" s="381" t="s">
        <v>384</v>
      </c>
      <c r="F2612" s="381" t="s">
        <v>505</v>
      </c>
    </row>
    <row r="2613" spans="2:6">
      <c r="B2613" s="365" t="s">
        <v>1093</v>
      </c>
      <c r="C2613" s="365" t="str">
        <f>CONCATENATE("XB",Commodities!C97,OILTrade!$N$72)</f>
        <v>XBRESLPGR3</v>
      </c>
      <c r="D2613" s="365" t="str">
        <f>CONCATENATE("Delivery of Barge/Vessel Traded ",Commodities!C97," from ", OILTrade!$N$72)</f>
        <v>Delivery of Barge/Vessel Traded RESLPG from R3</v>
      </c>
      <c r="E2613" s="381" t="s">
        <v>384</v>
      </c>
      <c r="F2613" s="381" t="s">
        <v>505</v>
      </c>
    </row>
    <row r="2614" spans="2:6">
      <c r="B2614" s="365" t="s">
        <v>1093</v>
      </c>
      <c r="C2614" s="365" t="str">
        <f>CONCATENATE("XB",Commodities!C98,OILTrade!$N$72)</f>
        <v>XBCOMLPGR3</v>
      </c>
      <c r="D2614" s="365" t="str">
        <f>CONCATENATE("Delivery of Barge/Vessel Traded ",Commodities!C98," from ", OILTrade!$N$72)</f>
        <v>Delivery of Barge/Vessel Traded COMLPG from R3</v>
      </c>
      <c r="E2614" s="381" t="s">
        <v>384</v>
      </c>
      <c r="F2614" s="381" t="s">
        <v>505</v>
      </c>
    </row>
    <row r="2615" spans="2:6">
      <c r="B2615" s="365" t="s">
        <v>1093</v>
      </c>
      <c r="C2615" s="365" t="str">
        <f>CONCATENATE("XB",Commodities!C99,OILTrade!$N$72)</f>
        <v>XBINDLPGR3</v>
      </c>
      <c r="D2615" s="365" t="str">
        <f>CONCATENATE("Delivery of Barge/Vessel Traded ",Commodities!C99," from ", OILTrade!$N$72)</f>
        <v>Delivery of Barge/Vessel Traded INDLPG from R3</v>
      </c>
      <c r="E2615" s="381" t="s">
        <v>384</v>
      </c>
      <c r="F2615" s="381" t="s">
        <v>505</v>
      </c>
    </row>
    <row r="2616" spans="2:6">
      <c r="B2616" s="365" t="s">
        <v>1093</v>
      </c>
      <c r="C2616" s="365" t="str">
        <f>CONCATENATE("XB",Commodities!C100,OILTrade!$N$72)</f>
        <v>XBTRNLPGR3</v>
      </c>
      <c r="D2616" s="365" t="str">
        <f>CONCATENATE("Delivery of Barge/Vessel Traded ",Commodities!C100," from ", OILTrade!$N$72)</f>
        <v>Delivery of Barge/Vessel Traded TRNLPG from R3</v>
      </c>
      <c r="E2616" s="381" t="s">
        <v>384</v>
      </c>
      <c r="F2616" s="381" t="s">
        <v>505</v>
      </c>
    </row>
    <row r="2617" spans="2:6">
      <c r="B2617" s="365" t="s">
        <v>1093</v>
      </c>
      <c r="C2617" s="365" t="str">
        <f>CONCATENATE("XB",Commodities!C101,OILTrade!$N$72)</f>
        <v>XBTRNMTHR3</v>
      </c>
      <c r="D2617" s="365" t="str">
        <f>CONCATENATE("Delivery of Barge/Vessel Traded ",Commodities!C101," from ", OILTrade!$N$72)</f>
        <v>Delivery of Barge/Vessel Traded TRNMTH from R3</v>
      </c>
      <c r="E2617" s="381" t="s">
        <v>384</v>
      </c>
      <c r="F2617" s="381" t="s">
        <v>505</v>
      </c>
    </row>
    <row r="2618" spans="2:6">
      <c r="B2618" s="365" t="s">
        <v>1093</v>
      </c>
      <c r="C2618" s="365" t="str">
        <f>CONCATENATE("XB",Commodities!C102,OILTrade!$N$72)</f>
        <v>XBINDPFSR3</v>
      </c>
      <c r="D2618" s="365" t="str">
        <f>CONCATENATE("Delivery of Barge/Vessel Traded ",Commodities!C102," from ", OILTrade!$N$72)</f>
        <v>Delivery of Barge/Vessel Traded INDPFS from R3</v>
      </c>
      <c r="E2618" s="381" t="s">
        <v>384</v>
      </c>
      <c r="F2618" s="381" t="s">
        <v>505</v>
      </c>
    </row>
    <row r="2619" spans="2:6">
      <c r="B2619" s="365" t="s">
        <v>1093</v>
      </c>
      <c r="C2619" s="365" t="str">
        <f>CONCATENATE("XB",Commodities!C104,OILTrade!$N$72)</f>
        <v>XBCOMRFLR3</v>
      </c>
      <c r="D2619" s="365" t="str">
        <f>CONCATENATE("Delivery of Barge/Vessel Traded ",Commodities!C104," from ", OILTrade!$N$72)</f>
        <v>Delivery of Barge/Vessel Traded COMRFL from R3</v>
      </c>
      <c r="E2619" s="381" t="s">
        <v>384</v>
      </c>
      <c r="F2619" s="381" t="s">
        <v>505</v>
      </c>
    </row>
    <row r="2620" spans="2:6">
      <c r="B2620" s="365" t="s">
        <v>1093</v>
      </c>
      <c r="C2620" s="365" t="str">
        <f>CONCATENATE("XB",Commodities!C105,OILTrade!$N$72)</f>
        <v>XBINDRFLR3</v>
      </c>
      <c r="D2620" s="365" t="str">
        <f>CONCATENATE("Delivery of Barge/Vessel Traded ",Commodities!C105," from ", OILTrade!$N$72)</f>
        <v>Delivery of Barge/Vessel Traded INDRFL from R3</v>
      </c>
      <c r="E2620" s="381" t="s">
        <v>384</v>
      </c>
      <c r="F2620" s="381" t="s">
        <v>505</v>
      </c>
    </row>
    <row r="2621" spans="2:6">
      <c r="B2621" s="365" t="s">
        <v>1093</v>
      </c>
      <c r="C2621" s="365" t="str">
        <f>CONCATENATE("XB",Commodities!C106,OILTrade!$N$72)</f>
        <v>XBELCRFLR3</v>
      </c>
      <c r="D2621" s="365" t="str">
        <f>CONCATENATE("Delivery of Barge/Vessel Traded ",Commodities!C106," from ", OILTrade!$N$72)</f>
        <v>Delivery of Barge/Vessel Traded ELCRFL from R3</v>
      </c>
      <c r="E2621" s="381" t="s">
        <v>384</v>
      </c>
      <c r="F2621" s="381" t="s">
        <v>505</v>
      </c>
    </row>
    <row r="2622" spans="2:6">
      <c r="B2622" s="365" t="s">
        <v>1093</v>
      </c>
      <c r="C2622" s="365" t="str">
        <f>CONCATENATE("XB",Commodities!C107,OILTrade!$N$72)</f>
        <v>XBTRNRFHR3</v>
      </c>
      <c r="D2622" s="365" t="str">
        <f>CONCATENATE("Delivery of Barge/Vessel Traded ",Commodities!C107," from ", OILTrade!$N$72)</f>
        <v>Delivery of Barge/Vessel Traded TRNRFH from R3</v>
      </c>
      <c r="E2622" s="381" t="s">
        <v>384</v>
      </c>
      <c r="F2622" s="381" t="s">
        <v>505</v>
      </c>
    </row>
    <row r="2623" spans="2:6">
      <c r="B2623" s="365" t="s">
        <v>1093</v>
      </c>
      <c r="C2623" s="365" t="str">
        <f>CONCATENATE("XB",Commodities!C108,OILTrade!$N$72)</f>
        <v>XBELCRFHR3</v>
      </c>
      <c r="D2623" s="365" t="str">
        <f>CONCATENATE("Delivery of Barge/Vessel Traded ",Commodities!C108," from ", OILTrade!$N$72)</f>
        <v>Delivery of Barge/Vessel Traded ELCRFH from R3</v>
      </c>
      <c r="E2623" s="381" t="s">
        <v>384</v>
      </c>
      <c r="F2623" s="381" t="s">
        <v>505</v>
      </c>
    </row>
    <row r="2624" spans="2:6">
      <c r="B2624" s="365" t="s">
        <v>1093</v>
      </c>
      <c r="C2624" s="365" t="str">
        <f>CONCATENATE("XB",Commodities!C109,OILTrade!$N$72)</f>
        <v>XBINDASPR3</v>
      </c>
      <c r="D2624" s="365" t="str">
        <f>CONCATENATE("Delivery of Barge/Vessel Traded ",Commodities!C109," from ", OILTrade!$N$72)</f>
        <v>Delivery of Barge/Vessel Traded INDASP from R3</v>
      </c>
      <c r="E2624" s="381" t="s">
        <v>384</v>
      </c>
      <c r="F2624" s="381" t="s">
        <v>505</v>
      </c>
    </row>
    <row r="2625" spans="2:6">
      <c r="B2625" s="365" t="s">
        <v>1093</v>
      </c>
      <c r="C2625" s="365" t="str">
        <f>CONCATENATE("XB",Commodities!C85,OILTrade!$N$73)</f>
        <v>XBTRGSLCR4</v>
      </c>
      <c r="D2625" s="365" t="str">
        <f>CONCATENATE("Delivery of Barge/Vessel Traded ",Commodities!C85," from ", OILTrade!$N$73)</f>
        <v>Delivery of Barge/Vessel Traded TRGSLC from R4</v>
      </c>
      <c r="E2625" s="381" t="s">
        <v>384</v>
      </c>
      <c r="F2625" s="381" t="s">
        <v>505</v>
      </c>
    </row>
    <row r="2626" spans="2:6">
      <c r="B2626" s="365" t="s">
        <v>1093</v>
      </c>
      <c r="C2626" s="365" t="str">
        <f>CONCATENATE("XB",Commodities!C86,OILTrade!$N$73)</f>
        <v>XBTRGSLRR4</v>
      </c>
      <c r="D2626" s="365" t="str">
        <f>CONCATENATE("Delivery of Barge/Vessel Traded ",Commodities!C86," from ", OILTrade!$N$73)</f>
        <v>Delivery of Barge/Vessel Traded TRGSLR from R4</v>
      </c>
      <c r="E2626" s="381" t="s">
        <v>384</v>
      </c>
      <c r="F2626" s="381" t="s">
        <v>505</v>
      </c>
    </row>
    <row r="2627" spans="2:6">
      <c r="B2627" s="365" t="s">
        <v>1093</v>
      </c>
      <c r="C2627" s="365" t="str">
        <f>CONCATENATE("XB",Commodities!C87,OILTrade!$N$73)</f>
        <v>XBRESDSLR4</v>
      </c>
      <c r="D2627" s="365" t="str">
        <f>CONCATENATE("Delivery of Barge/Vessel Traded ",Commodities!C87," from ", OILTrade!$N$73)</f>
        <v>Delivery of Barge/Vessel Traded RESDSL from R4</v>
      </c>
      <c r="E2627" s="381" t="s">
        <v>384</v>
      </c>
      <c r="F2627" s="381" t="s">
        <v>505</v>
      </c>
    </row>
    <row r="2628" spans="2:6">
      <c r="B2628" s="365" t="s">
        <v>1093</v>
      </c>
      <c r="C2628" s="365" t="str">
        <f>CONCATENATE("XB",Commodities!C88,OILTrade!$N$73)</f>
        <v>XBCOMDSLR4</v>
      </c>
      <c r="D2628" s="365" t="str">
        <f>CONCATENATE("Delivery of Barge/Vessel Traded ",Commodities!C88," from ", OILTrade!$N$73)</f>
        <v>Delivery of Barge/Vessel Traded COMDSL from R4</v>
      </c>
      <c r="E2628" s="381" t="s">
        <v>384</v>
      </c>
      <c r="F2628" s="381" t="s">
        <v>505</v>
      </c>
    </row>
    <row r="2629" spans="2:6">
      <c r="B2629" s="365" t="s">
        <v>1093</v>
      </c>
      <c r="C2629" s="365" t="str">
        <f>CONCATENATE("XB",Commodities!C89,OILTrade!$N$73)</f>
        <v>XBINDDSLR4</v>
      </c>
      <c r="D2629" s="365" t="str">
        <f>CONCATENATE("Delivery of Barge/Vessel Traded ",Commodities!C89," from ", OILTrade!$N$73)</f>
        <v>Delivery of Barge/Vessel Traded INDDSL from R4</v>
      </c>
      <c r="E2629" s="381" t="s">
        <v>384</v>
      </c>
      <c r="F2629" s="381" t="s">
        <v>505</v>
      </c>
    </row>
    <row r="2630" spans="2:6">
      <c r="B2630" s="365" t="s">
        <v>1093</v>
      </c>
      <c r="C2630" s="365" t="str">
        <f>CONCATENATE("XB",Commodities!C90,OILTrade!$N$73)</f>
        <v>XBELCDSLR4</v>
      </c>
      <c r="D2630" s="365" t="str">
        <f>CONCATENATE("Delivery of Barge/Vessel Traded ",Commodities!C90," from ", OILTrade!$N$73)</f>
        <v>Delivery of Barge/Vessel Traded ELCDSL from R4</v>
      </c>
      <c r="E2630" s="381" t="s">
        <v>384</v>
      </c>
      <c r="F2630" s="381" t="s">
        <v>505</v>
      </c>
    </row>
    <row r="2631" spans="2:6">
      <c r="B2631" s="365" t="s">
        <v>1093</v>
      </c>
      <c r="C2631" s="365" t="str">
        <f>CONCATENATE("XB",Commodities!C91,OILTrade!$N$73)</f>
        <v>XBTRDSLLR4</v>
      </c>
      <c r="D2631" s="365" t="str">
        <f>CONCATENATE("Delivery of Barge/Vessel Traded ",Commodities!C91," from ", OILTrade!$N$73)</f>
        <v>Delivery of Barge/Vessel Traded TRDSLL from R4</v>
      </c>
      <c r="E2631" s="381" t="s">
        <v>384</v>
      </c>
      <c r="F2631" s="381" t="s">
        <v>505</v>
      </c>
    </row>
    <row r="2632" spans="2:6">
      <c r="B2632" s="365" t="s">
        <v>1093</v>
      </c>
      <c r="C2632" s="365" t="str">
        <f>CONCATENATE("XB",Commodities!C92,OILTrade!$N$73)</f>
        <v>XBTRDSLUR4</v>
      </c>
      <c r="D2632" s="365" t="str">
        <f>CONCATENATE("Delivery of Barge/Vessel Traded ",Commodities!C92," from ", OILTrade!$N$73)</f>
        <v>Delivery of Barge/Vessel Traded TRDSLU from R4</v>
      </c>
      <c r="E2632" s="381" t="s">
        <v>384</v>
      </c>
      <c r="F2632" s="381" t="s">
        <v>505</v>
      </c>
    </row>
    <row r="2633" spans="2:6">
      <c r="B2633" s="365" t="s">
        <v>1093</v>
      </c>
      <c r="C2633" s="365" t="str">
        <f>CONCATENATE("XB",Commodities!C93,OILTrade!$N$73)</f>
        <v>XBTRNJTFR4</v>
      </c>
      <c r="D2633" s="365" t="str">
        <f>CONCATENATE("Delivery of Barge/Vessel Traded ",Commodities!C93," from ", OILTrade!$N$73)</f>
        <v>Delivery of Barge/Vessel Traded TRNJTF from R4</v>
      </c>
      <c r="E2633" s="381" t="s">
        <v>384</v>
      </c>
      <c r="F2633" s="381" t="s">
        <v>505</v>
      </c>
    </row>
    <row r="2634" spans="2:6">
      <c r="B2634" s="365" t="s">
        <v>1093</v>
      </c>
      <c r="C2634" s="365" t="str">
        <f>CONCATENATE("XB",Commodities!C94,OILTrade!$N$73)</f>
        <v>XBRESKERR4</v>
      </c>
      <c r="D2634" s="365" t="str">
        <f>CONCATENATE("Delivery of Barge/Vessel Traded ",Commodities!C94," from ", OILTrade!$N$73)</f>
        <v>Delivery of Barge/Vessel Traded RESKER from R4</v>
      </c>
      <c r="E2634" s="381" t="s">
        <v>384</v>
      </c>
      <c r="F2634" s="381" t="s">
        <v>505</v>
      </c>
    </row>
    <row r="2635" spans="2:6">
      <c r="B2635" s="365" t="s">
        <v>1093</v>
      </c>
      <c r="C2635" s="365" t="str">
        <f>CONCATENATE("XB",Commodities!C95,OILTrade!$N$73)</f>
        <v>XBCOMKERR4</v>
      </c>
      <c r="D2635" s="365" t="str">
        <f>CONCATENATE("Delivery of Barge/Vessel Traded ",Commodities!C95," from ", OILTrade!$N$73)</f>
        <v>Delivery of Barge/Vessel Traded COMKER from R4</v>
      </c>
      <c r="E2635" s="381" t="s">
        <v>384</v>
      </c>
      <c r="F2635" s="381" t="s">
        <v>505</v>
      </c>
    </row>
    <row r="2636" spans="2:6">
      <c r="B2636" s="365" t="s">
        <v>1093</v>
      </c>
      <c r="C2636" s="365" t="str">
        <f>CONCATENATE("XB",Commodities!C96,OILTrade!$N$73)</f>
        <v>XBINDKERR4</v>
      </c>
      <c r="D2636" s="365" t="str">
        <f>CONCATENATE("Delivery of Barge/Vessel Traded ",Commodities!C96," from ", OILTrade!$N$73)</f>
        <v>Delivery of Barge/Vessel Traded INDKER from R4</v>
      </c>
      <c r="E2636" s="381" t="s">
        <v>384</v>
      </c>
      <c r="F2636" s="381" t="s">
        <v>505</v>
      </c>
    </row>
    <row r="2637" spans="2:6">
      <c r="B2637" s="365" t="s">
        <v>1093</v>
      </c>
      <c r="C2637" s="365" t="str">
        <f>CONCATENATE("XB",Commodities!C97,OILTrade!$N$73)</f>
        <v>XBRESLPGR4</v>
      </c>
      <c r="D2637" s="365" t="str">
        <f>CONCATENATE("Delivery of Barge/Vessel Traded ",Commodities!C97," from ", OILTrade!$N$73)</f>
        <v>Delivery of Barge/Vessel Traded RESLPG from R4</v>
      </c>
      <c r="E2637" s="381" t="s">
        <v>384</v>
      </c>
      <c r="F2637" s="381" t="s">
        <v>505</v>
      </c>
    </row>
    <row r="2638" spans="2:6">
      <c r="B2638" s="365" t="s">
        <v>1093</v>
      </c>
      <c r="C2638" s="365" t="str">
        <f>CONCATENATE("XB",Commodities!C98,OILTrade!$N$73)</f>
        <v>XBCOMLPGR4</v>
      </c>
      <c r="D2638" s="365" t="str">
        <f>CONCATENATE("Delivery of Barge/Vessel Traded ",Commodities!C98," from ", OILTrade!$N$73)</f>
        <v>Delivery of Barge/Vessel Traded COMLPG from R4</v>
      </c>
      <c r="E2638" s="381" t="s">
        <v>384</v>
      </c>
      <c r="F2638" s="381" t="s">
        <v>505</v>
      </c>
    </row>
    <row r="2639" spans="2:6">
      <c r="B2639" s="365" t="s">
        <v>1093</v>
      </c>
      <c r="C2639" s="365" t="str">
        <f>CONCATENATE("XB",Commodities!C99,OILTrade!$N$73)</f>
        <v>XBINDLPGR4</v>
      </c>
      <c r="D2639" s="365" t="str">
        <f>CONCATENATE("Delivery of Barge/Vessel Traded ",Commodities!C99," from ", OILTrade!$N$73)</f>
        <v>Delivery of Barge/Vessel Traded INDLPG from R4</v>
      </c>
      <c r="E2639" s="381" t="s">
        <v>384</v>
      </c>
      <c r="F2639" s="381" t="s">
        <v>505</v>
      </c>
    </row>
    <row r="2640" spans="2:6">
      <c r="B2640" s="365" t="s">
        <v>1093</v>
      </c>
      <c r="C2640" s="365" t="str">
        <f>CONCATENATE("XB",Commodities!C100,OILTrade!$N$73)</f>
        <v>XBTRNLPGR4</v>
      </c>
      <c r="D2640" s="365" t="str">
        <f>CONCATENATE("Delivery of Barge/Vessel Traded ",Commodities!C100," from ", OILTrade!$N$73)</f>
        <v>Delivery of Barge/Vessel Traded TRNLPG from R4</v>
      </c>
      <c r="E2640" s="381" t="s">
        <v>384</v>
      </c>
      <c r="F2640" s="381" t="s">
        <v>505</v>
      </c>
    </row>
    <row r="2641" spans="2:6">
      <c r="B2641" s="365" t="s">
        <v>1093</v>
      </c>
      <c r="C2641" s="365" t="str">
        <f>CONCATENATE("XB",Commodities!C101,OILTrade!$N$73)</f>
        <v>XBTRNMTHR4</v>
      </c>
      <c r="D2641" s="365" t="str">
        <f>CONCATENATE("Delivery of Barge/Vessel Traded ",Commodities!C101," from ", OILTrade!$N$73)</f>
        <v>Delivery of Barge/Vessel Traded TRNMTH from R4</v>
      </c>
      <c r="E2641" s="381" t="s">
        <v>384</v>
      </c>
      <c r="F2641" s="381" t="s">
        <v>505</v>
      </c>
    </row>
    <row r="2642" spans="2:6">
      <c r="B2642" s="365" t="s">
        <v>1093</v>
      </c>
      <c r="C2642" s="365" t="str">
        <f>CONCATENATE("XB",Commodities!C102,OILTrade!$N$73)</f>
        <v>XBINDPFSR4</v>
      </c>
      <c r="D2642" s="365" t="str">
        <f>CONCATENATE("Delivery of Barge/Vessel Traded ",Commodities!C102," from ", OILTrade!$N$73)</f>
        <v>Delivery of Barge/Vessel Traded INDPFS from R4</v>
      </c>
      <c r="E2642" s="381" t="s">
        <v>384</v>
      </c>
      <c r="F2642" s="381" t="s">
        <v>505</v>
      </c>
    </row>
    <row r="2643" spans="2:6">
      <c r="B2643" s="365" t="s">
        <v>1093</v>
      </c>
      <c r="C2643" s="365" t="str">
        <f>CONCATENATE("XB",Commodities!C104,OILTrade!$N$73)</f>
        <v>XBCOMRFLR4</v>
      </c>
      <c r="D2643" s="365" t="str">
        <f>CONCATENATE("Delivery of Barge/Vessel Traded ",Commodities!C104," from ", OILTrade!$N$73)</f>
        <v>Delivery of Barge/Vessel Traded COMRFL from R4</v>
      </c>
      <c r="E2643" s="381" t="s">
        <v>384</v>
      </c>
      <c r="F2643" s="381" t="s">
        <v>505</v>
      </c>
    </row>
    <row r="2644" spans="2:6">
      <c r="B2644" s="365" t="s">
        <v>1093</v>
      </c>
      <c r="C2644" s="365" t="str">
        <f>CONCATENATE("XB",Commodities!C105,OILTrade!$N$73)</f>
        <v>XBINDRFLR4</v>
      </c>
      <c r="D2644" s="365" t="str">
        <f>CONCATENATE("Delivery of Barge/Vessel Traded ",Commodities!C105," from ", OILTrade!$N$73)</f>
        <v>Delivery of Barge/Vessel Traded INDRFL from R4</v>
      </c>
      <c r="E2644" s="381" t="s">
        <v>384</v>
      </c>
      <c r="F2644" s="381" t="s">
        <v>505</v>
      </c>
    </row>
    <row r="2645" spans="2:6">
      <c r="B2645" s="365" t="s">
        <v>1093</v>
      </c>
      <c r="C2645" s="365" t="str">
        <f>CONCATENATE("XB",Commodities!C106,OILTrade!$N$73)</f>
        <v>XBELCRFLR4</v>
      </c>
      <c r="D2645" s="365" t="str">
        <f>CONCATENATE("Delivery of Barge/Vessel Traded ",Commodities!C106," from ", OILTrade!$N$73)</f>
        <v>Delivery of Barge/Vessel Traded ELCRFL from R4</v>
      </c>
      <c r="E2645" s="381" t="s">
        <v>384</v>
      </c>
      <c r="F2645" s="381" t="s">
        <v>505</v>
      </c>
    </row>
    <row r="2646" spans="2:6">
      <c r="B2646" s="365" t="s">
        <v>1093</v>
      </c>
      <c r="C2646" s="365" t="str">
        <f>CONCATENATE("XB",Commodities!C107,OILTrade!$N$73)</f>
        <v>XBTRNRFHR4</v>
      </c>
      <c r="D2646" s="365" t="str">
        <f>CONCATENATE("Delivery of Barge/Vessel Traded ",Commodities!C107," from ", OILTrade!$N$73)</f>
        <v>Delivery of Barge/Vessel Traded TRNRFH from R4</v>
      </c>
      <c r="E2646" s="381" t="s">
        <v>384</v>
      </c>
      <c r="F2646" s="381" t="s">
        <v>505</v>
      </c>
    </row>
    <row r="2647" spans="2:6">
      <c r="B2647" s="365" t="s">
        <v>1093</v>
      </c>
      <c r="C2647" s="365" t="str">
        <f>CONCATENATE("XB",Commodities!C108,OILTrade!$N$73)</f>
        <v>XBELCRFHR4</v>
      </c>
      <c r="D2647" s="365" t="str">
        <f>CONCATENATE("Delivery of Barge/Vessel Traded ",Commodities!C108," from ", OILTrade!$N$73)</f>
        <v>Delivery of Barge/Vessel Traded ELCRFH from R4</v>
      </c>
      <c r="E2647" s="381" t="s">
        <v>384</v>
      </c>
      <c r="F2647" s="381" t="s">
        <v>505</v>
      </c>
    </row>
    <row r="2648" spans="2:6">
      <c r="B2648" s="365" t="s">
        <v>1093</v>
      </c>
      <c r="C2648" s="365" t="str">
        <f>CONCATENATE("XB",Commodities!C109,OILTrade!$N$73)</f>
        <v>XBINDASPR4</v>
      </c>
      <c r="D2648" s="365" t="str">
        <f>CONCATENATE("Delivery of Barge/Vessel Traded ",Commodities!C109," from ", OILTrade!$N$73)</f>
        <v>Delivery of Barge/Vessel Traded INDASP from R4</v>
      </c>
      <c r="E2648" s="381" t="s">
        <v>384</v>
      </c>
      <c r="F2648" s="381" t="s">
        <v>505</v>
      </c>
    </row>
    <row r="2649" spans="2:6">
      <c r="B2649" s="365" t="s">
        <v>1092</v>
      </c>
      <c r="C2649" s="365" t="str">
        <f>CONCATENATE("XB",Commodities!C85,OILTrade!$N$74)</f>
        <v>XBTRGSLCR5</v>
      </c>
      <c r="D2649" s="365" t="str">
        <f>CONCATENATE("Delivery of Barge/Vessel Traded ",Commodities!C85," from ", OILTrade!$N$74)</f>
        <v>Delivery of Barge/Vessel Traded TRGSLC from R5</v>
      </c>
      <c r="E2649" s="381" t="s">
        <v>384</v>
      </c>
      <c r="F2649" s="381" t="s">
        <v>505</v>
      </c>
    </row>
    <row r="2650" spans="2:6">
      <c r="B2650" s="365" t="s">
        <v>1092</v>
      </c>
      <c r="C2650" s="365" t="str">
        <f>CONCATENATE("XB",Commodities!C86,OILTrade!$N$74)</f>
        <v>XBTRGSLRR5</v>
      </c>
      <c r="D2650" s="365" t="str">
        <f>CONCATENATE("Delivery of Barge/Vessel Traded ",Commodities!C86," from ", OILTrade!$N$74)</f>
        <v>Delivery of Barge/Vessel Traded TRGSLR from R5</v>
      </c>
      <c r="E2650" s="381" t="s">
        <v>384</v>
      </c>
      <c r="F2650" s="381" t="s">
        <v>505</v>
      </c>
    </row>
    <row r="2651" spans="2:6">
      <c r="B2651" s="365" t="s">
        <v>1092</v>
      </c>
      <c r="C2651" s="365" t="str">
        <f>CONCATENATE("XB",Commodities!C87,OILTrade!$N$74)</f>
        <v>XBRESDSLR5</v>
      </c>
      <c r="D2651" s="365" t="str">
        <f>CONCATENATE("Delivery of Barge/Vessel Traded ",Commodities!C87," from ", OILTrade!$N$74)</f>
        <v>Delivery of Barge/Vessel Traded RESDSL from R5</v>
      </c>
      <c r="E2651" s="381" t="s">
        <v>384</v>
      </c>
      <c r="F2651" s="381" t="s">
        <v>505</v>
      </c>
    </row>
    <row r="2652" spans="2:6">
      <c r="B2652" s="365" t="s">
        <v>1092</v>
      </c>
      <c r="C2652" s="365" t="str">
        <f>CONCATENATE("XB",Commodities!C88,OILTrade!$N$74)</f>
        <v>XBCOMDSLR5</v>
      </c>
      <c r="D2652" s="365" t="str">
        <f>CONCATENATE("Delivery of Barge/Vessel Traded ",Commodities!C88," from ", OILTrade!$N$74)</f>
        <v>Delivery of Barge/Vessel Traded COMDSL from R5</v>
      </c>
      <c r="E2652" s="381" t="s">
        <v>384</v>
      </c>
      <c r="F2652" s="381" t="s">
        <v>505</v>
      </c>
    </row>
    <row r="2653" spans="2:6">
      <c r="B2653" s="365" t="s">
        <v>1092</v>
      </c>
      <c r="C2653" s="365" t="str">
        <f>CONCATENATE("XB",Commodities!C89,OILTrade!$N$74)</f>
        <v>XBINDDSLR5</v>
      </c>
      <c r="D2653" s="365" t="str">
        <f>CONCATENATE("Delivery of Barge/Vessel Traded ",Commodities!C89," from ", OILTrade!$N$74)</f>
        <v>Delivery of Barge/Vessel Traded INDDSL from R5</v>
      </c>
      <c r="E2653" s="381" t="s">
        <v>384</v>
      </c>
      <c r="F2653" s="381" t="s">
        <v>505</v>
      </c>
    </row>
    <row r="2654" spans="2:6">
      <c r="B2654" s="365" t="s">
        <v>1092</v>
      </c>
      <c r="C2654" s="365" t="str">
        <f>CONCATENATE("XB",Commodities!C90,OILTrade!$N$74)</f>
        <v>XBELCDSLR5</v>
      </c>
      <c r="D2654" s="365" t="str">
        <f>CONCATENATE("Delivery of Barge/Vessel Traded ",Commodities!C90," from ", OILTrade!$N$74)</f>
        <v>Delivery of Barge/Vessel Traded ELCDSL from R5</v>
      </c>
      <c r="E2654" s="381" t="s">
        <v>384</v>
      </c>
      <c r="F2654" s="381" t="s">
        <v>505</v>
      </c>
    </row>
    <row r="2655" spans="2:6">
      <c r="B2655" s="365" t="s">
        <v>1092</v>
      </c>
      <c r="C2655" s="365" t="str">
        <f>CONCATENATE("XB",Commodities!C91,OILTrade!$N$74)</f>
        <v>XBTRDSLLR5</v>
      </c>
      <c r="D2655" s="365" t="str">
        <f>CONCATENATE("Delivery of Barge/Vessel Traded ",Commodities!C91," from ", OILTrade!$N$74)</f>
        <v>Delivery of Barge/Vessel Traded TRDSLL from R5</v>
      </c>
      <c r="E2655" s="381" t="s">
        <v>384</v>
      </c>
      <c r="F2655" s="381" t="s">
        <v>505</v>
      </c>
    </row>
    <row r="2656" spans="2:6">
      <c r="B2656" s="365" t="s">
        <v>1092</v>
      </c>
      <c r="C2656" s="365" t="str">
        <f>CONCATENATE("XB",Commodities!C92,OILTrade!$N$74)</f>
        <v>XBTRDSLUR5</v>
      </c>
      <c r="D2656" s="365" t="str">
        <f>CONCATENATE("Delivery of Barge/Vessel Traded ",Commodities!C92," from ", OILTrade!$N$74)</f>
        <v>Delivery of Barge/Vessel Traded TRDSLU from R5</v>
      </c>
      <c r="E2656" s="381" t="s">
        <v>384</v>
      </c>
      <c r="F2656" s="381" t="s">
        <v>505</v>
      </c>
    </row>
    <row r="2657" spans="2:6">
      <c r="B2657" s="365" t="s">
        <v>1092</v>
      </c>
      <c r="C2657" s="365" t="str">
        <f>CONCATENATE("XB",Commodities!C93,OILTrade!$N$74)</f>
        <v>XBTRNJTFR5</v>
      </c>
      <c r="D2657" s="365" t="str">
        <f>CONCATENATE("Delivery of Barge/Vessel Traded ",Commodities!C93," from ", OILTrade!$N$74)</f>
        <v>Delivery of Barge/Vessel Traded TRNJTF from R5</v>
      </c>
      <c r="E2657" s="381" t="s">
        <v>384</v>
      </c>
      <c r="F2657" s="381" t="s">
        <v>505</v>
      </c>
    </row>
    <row r="2658" spans="2:6">
      <c r="B2658" s="365" t="s">
        <v>1092</v>
      </c>
      <c r="C2658" s="365" t="str">
        <f>CONCATENATE("XB",Commodities!C94,OILTrade!$N$74)</f>
        <v>XBRESKERR5</v>
      </c>
      <c r="D2658" s="365" t="str">
        <f>CONCATENATE("Delivery of Barge/Vessel Traded ",Commodities!C94," from ", OILTrade!$N$74)</f>
        <v>Delivery of Barge/Vessel Traded RESKER from R5</v>
      </c>
      <c r="E2658" s="381" t="s">
        <v>384</v>
      </c>
      <c r="F2658" s="381" t="s">
        <v>505</v>
      </c>
    </row>
    <row r="2659" spans="2:6">
      <c r="B2659" s="365" t="s">
        <v>1092</v>
      </c>
      <c r="C2659" s="365" t="str">
        <f>CONCATENATE("XB",Commodities!C95,OILTrade!$N$74)</f>
        <v>XBCOMKERR5</v>
      </c>
      <c r="D2659" s="365" t="str">
        <f>CONCATENATE("Delivery of Barge/Vessel Traded ",Commodities!C95," from ", OILTrade!$N$74)</f>
        <v>Delivery of Barge/Vessel Traded COMKER from R5</v>
      </c>
      <c r="E2659" s="381" t="s">
        <v>384</v>
      </c>
      <c r="F2659" s="381" t="s">
        <v>505</v>
      </c>
    </row>
    <row r="2660" spans="2:6">
      <c r="B2660" s="365" t="s">
        <v>1092</v>
      </c>
      <c r="C2660" s="365" t="str">
        <f>CONCATENATE("XB",Commodities!C96,OILTrade!$N$74)</f>
        <v>XBINDKERR5</v>
      </c>
      <c r="D2660" s="365" t="str">
        <f>CONCATENATE("Delivery of Barge/Vessel Traded ",Commodities!C96," from ", OILTrade!$N$74)</f>
        <v>Delivery of Barge/Vessel Traded INDKER from R5</v>
      </c>
      <c r="E2660" s="381" t="s">
        <v>384</v>
      </c>
      <c r="F2660" s="381" t="s">
        <v>505</v>
      </c>
    </row>
    <row r="2661" spans="2:6">
      <c r="B2661" s="365" t="s">
        <v>1092</v>
      </c>
      <c r="C2661" s="365" t="str">
        <f>CONCATENATE("XB",Commodities!C97,OILTrade!$N$74)</f>
        <v>XBRESLPGR5</v>
      </c>
      <c r="D2661" s="365" t="str">
        <f>CONCATENATE("Delivery of Barge/Vessel Traded ",Commodities!C97," from ", OILTrade!$N$74)</f>
        <v>Delivery of Barge/Vessel Traded RESLPG from R5</v>
      </c>
      <c r="E2661" s="381" t="s">
        <v>384</v>
      </c>
      <c r="F2661" s="381" t="s">
        <v>505</v>
      </c>
    </row>
    <row r="2662" spans="2:6">
      <c r="B2662" s="365" t="s">
        <v>1092</v>
      </c>
      <c r="C2662" s="365" t="str">
        <f>CONCATENATE("XB",Commodities!C98,OILTrade!$N$74)</f>
        <v>XBCOMLPGR5</v>
      </c>
      <c r="D2662" s="365" t="str">
        <f>CONCATENATE("Delivery of Barge/Vessel Traded ",Commodities!C98," from ", OILTrade!$N$74)</f>
        <v>Delivery of Barge/Vessel Traded COMLPG from R5</v>
      </c>
      <c r="E2662" s="381" t="s">
        <v>384</v>
      </c>
      <c r="F2662" s="381" t="s">
        <v>505</v>
      </c>
    </row>
    <row r="2663" spans="2:6">
      <c r="B2663" s="365" t="s">
        <v>1092</v>
      </c>
      <c r="C2663" s="365" t="str">
        <f>CONCATENATE("XB",Commodities!C99,OILTrade!$N$74)</f>
        <v>XBINDLPGR5</v>
      </c>
      <c r="D2663" s="365" t="str">
        <f>CONCATENATE("Delivery of Barge/Vessel Traded ",Commodities!C99," from ", OILTrade!$N$74)</f>
        <v>Delivery of Barge/Vessel Traded INDLPG from R5</v>
      </c>
      <c r="E2663" s="381" t="s">
        <v>384</v>
      </c>
      <c r="F2663" s="381" t="s">
        <v>505</v>
      </c>
    </row>
    <row r="2664" spans="2:6">
      <c r="B2664" s="365" t="s">
        <v>1092</v>
      </c>
      <c r="C2664" s="365" t="str">
        <f>CONCATENATE("XB",Commodities!C100,OILTrade!$N$74)</f>
        <v>XBTRNLPGR5</v>
      </c>
      <c r="D2664" s="365" t="str">
        <f>CONCATENATE("Delivery of Barge/Vessel Traded ",Commodities!C100," from ", OILTrade!$N$74)</f>
        <v>Delivery of Barge/Vessel Traded TRNLPG from R5</v>
      </c>
      <c r="E2664" s="381" t="s">
        <v>384</v>
      </c>
      <c r="F2664" s="381" t="s">
        <v>505</v>
      </c>
    </row>
    <row r="2665" spans="2:6">
      <c r="B2665" s="365" t="s">
        <v>1092</v>
      </c>
      <c r="C2665" s="365" t="str">
        <f>CONCATENATE("XB",Commodities!C101,OILTrade!$N$74)</f>
        <v>XBTRNMTHR5</v>
      </c>
      <c r="D2665" s="365" t="str">
        <f>CONCATENATE("Delivery of Barge/Vessel Traded ",Commodities!C101," from ", OILTrade!$N$74)</f>
        <v>Delivery of Barge/Vessel Traded TRNMTH from R5</v>
      </c>
      <c r="E2665" s="381" t="s">
        <v>384</v>
      </c>
      <c r="F2665" s="381" t="s">
        <v>505</v>
      </c>
    </row>
    <row r="2666" spans="2:6">
      <c r="B2666" s="365" t="s">
        <v>1092</v>
      </c>
      <c r="C2666" s="365" t="str">
        <f>CONCATENATE("XB",Commodities!C102,OILTrade!$N$74)</f>
        <v>XBINDPFSR5</v>
      </c>
      <c r="D2666" s="365" t="str">
        <f>CONCATENATE("Delivery of Barge/Vessel Traded ",Commodities!C102," from ", OILTrade!$N$74)</f>
        <v>Delivery of Barge/Vessel Traded INDPFS from R5</v>
      </c>
      <c r="E2666" s="381" t="s">
        <v>384</v>
      </c>
      <c r="F2666" s="381" t="s">
        <v>505</v>
      </c>
    </row>
    <row r="2667" spans="2:6">
      <c r="B2667" s="365" t="s">
        <v>1092</v>
      </c>
      <c r="C2667" s="365" t="str">
        <f>CONCATENATE("XB",Commodities!C104,OILTrade!$N$74)</f>
        <v>XBCOMRFLR5</v>
      </c>
      <c r="D2667" s="365" t="str">
        <f>CONCATENATE("Delivery of Barge/Vessel Traded ",Commodities!C104," from ", OILTrade!$N$74)</f>
        <v>Delivery of Barge/Vessel Traded COMRFL from R5</v>
      </c>
      <c r="E2667" s="381" t="s">
        <v>384</v>
      </c>
      <c r="F2667" s="381" t="s">
        <v>505</v>
      </c>
    </row>
    <row r="2668" spans="2:6">
      <c r="B2668" s="365" t="s">
        <v>1092</v>
      </c>
      <c r="C2668" s="365" t="str">
        <f>CONCATENATE("XB",Commodities!C105,OILTrade!$N$74)</f>
        <v>XBINDRFLR5</v>
      </c>
      <c r="D2668" s="365" t="str">
        <f>CONCATENATE("Delivery of Barge/Vessel Traded ",Commodities!C105," from ", OILTrade!$N$74)</f>
        <v>Delivery of Barge/Vessel Traded INDRFL from R5</v>
      </c>
      <c r="E2668" s="381" t="s">
        <v>384</v>
      </c>
      <c r="F2668" s="381" t="s">
        <v>505</v>
      </c>
    </row>
    <row r="2669" spans="2:6">
      <c r="B2669" s="365" t="s">
        <v>1092</v>
      </c>
      <c r="C2669" s="365" t="str">
        <f>CONCATENATE("XB",Commodities!C106,OILTrade!$N$74)</f>
        <v>XBELCRFLR5</v>
      </c>
      <c r="D2669" s="365" t="str">
        <f>CONCATENATE("Delivery of Barge/Vessel Traded ",Commodities!C106," from ", OILTrade!$N$74)</f>
        <v>Delivery of Barge/Vessel Traded ELCRFL from R5</v>
      </c>
      <c r="E2669" s="381" t="s">
        <v>384</v>
      </c>
      <c r="F2669" s="381" t="s">
        <v>505</v>
      </c>
    </row>
    <row r="2670" spans="2:6">
      <c r="B2670" s="365" t="s">
        <v>1092</v>
      </c>
      <c r="C2670" s="365" t="str">
        <f>CONCATENATE("XB",Commodities!C107,OILTrade!$N$74)</f>
        <v>XBTRNRFHR5</v>
      </c>
      <c r="D2670" s="365" t="str">
        <f>CONCATENATE("Delivery of Barge/Vessel Traded ",Commodities!C107," from ", OILTrade!$N$74)</f>
        <v>Delivery of Barge/Vessel Traded TRNRFH from R5</v>
      </c>
      <c r="E2670" s="381" t="s">
        <v>384</v>
      </c>
      <c r="F2670" s="381" t="s">
        <v>505</v>
      </c>
    </row>
    <row r="2671" spans="2:6">
      <c r="B2671" s="365" t="s">
        <v>1092</v>
      </c>
      <c r="C2671" s="365" t="str">
        <f>CONCATENATE("XB",Commodities!C108,OILTrade!$N$74)</f>
        <v>XBELCRFHR5</v>
      </c>
      <c r="D2671" s="365" t="str">
        <f>CONCATENATE("Delivery of Barge/Vessel Traded ",Commodities!C108," from ", OILTrade!$N$74)</f>
        <v>Delivery of Barge/Vessel Traded ELCRFH from R5</v>
      </c>
      <c r="E2671" s="381" t="s">
        <v>384</v>
      </c>
      <c r="F2671" s="381" t="s">
        <v>505</v>
      </c>
    </row>
    <row r="2672" spans="2:6">
      <c r="B2672" s="365" t="s">
        <v>1092</v>
      </c>
      <c r="C2672" s="365" t="str">
        <f>CONCATENATE("XB",Commodities!C109,OILTrade!$N$74)</f>
        <v>XBINDASPR5</v>
      </c>
      <c r="D2672" s="365" t="str">
        <f>CONCATENATE("Delivery of Barge/Vessel Traded ",Commodities!C109," from ", OILTrade!$N$74)</f>
        <v>Delivery of Barge/Vessel Traded INDASP from R5</v>
      </c>
      <c r="E2672" s="381" t="s">
        <v>384</v>
      </c>
      <c r="F2672" s="381" t="s">
        <v>505</v>
      </c>
    </row>
    <row r="2673" spans="2:6">
      <c r="B2673" s="365" t="s">
        <v>1094</v>
      </c>
      <c r="C2673" s="365" t="str">
        <f>CONCATENATE("XB",Commodities!C85,OILTrade!$N$75)</f>
        <v>XBTRGSLCR6</v>
      </c>
      <c r="D2673" s="365" t="str">
        <f>CONCATENATE("Delivery of Barge/Vessel Traded ",Commodities!C85," from ", OILTrade!$N$75)</f>
        <v>Delivery of Barge/Vessel Traded TRGSLC from R6</v>
      </c>
      <c r="E2673" s="381" t="s">
        <v>384</v>
      </c>
      <c r="F2673" s="381" t="s">
        <v>505</v>
      </c>
    </row>
    <row r="2674" spans="2:6">
      <c r="B2674" s="365" t="s">
        <v>1094</v>
      </c>
      <c r="C2674" s="365" t="str">
        <f>CONCATENATE("XB",Commodities!C86,OILTrade!$N$75)</f>
        <v>XBTRGSLRR6</v>
      </c>
      <c r="D2674" s="365" t="str">
        <f>CONCATENATE("Delivery of Barge/Vessel Traded ",Commodities!C86," from ", OILTrade!$N$75)</f>
        <v>Delivery of Barge/Vessel Traded TRGSLR from R6</v>
      </c>
      <c r="E2674" s="381" t="s">
        <v>384</v>
      </c>
      <c r="F2674" s="381" t="s">
        <v>505</v>
      </c>
    </row>
    <row r="2675" spans="2:6">
      <c r="B2675" s="365" t="s">
        <v>1094</v>
      </c>
      <c r="C2675" s="365" t="str">
        <f>CONCATENATE("XB",Commodities!C87,OILTrade!$N$75)</f>
        <v>XBRESDSLR6</v>
      </c>
      <c r="D2675" s="365" t="str">
        <f>CONCATENATE("Delivery of Barge/Vessel Traded ",Commodities!C87," from ", OILTrade!$N$75)</f>
        <v>Delivery of Barge/Vessel Traded RESDSL from R6</v>
      </c>
      <c r="E2675" s="381" t="s">
        <v>384</v>
      </c>
      <c r="F2675" s="381" t="s">
        <v>505</v>
      </c>
    </row>
    <row r="2676" spans="2:6">
      <c r="B2676" s="365" t="s">
        <v>1094</v>
      </c>
      <c r="C2676" s="365" t="str">
        <f>CONCATENATE("XB",Commodities!C88,OILTrade!$N$75)</f>
        <v>XBCOMDSLR6</v>
      </c>
      <c r="D2676" s="365" t="str">
        <f>CONCATENATE("Delivery of Barge/Vessel Traded ",Commodities!C88," from ", OILTrade!$N$75)</f>
        <v>Delivery of Barge/Vessel Traded COMDSL from R6</v>
      </c>
      <c r="E2676" s="381" t="s">
        <v>384</v>
      </c>
      <c r="F2676" s="381" t="s">
        <v>505</v>
      </c>
    </row>
    <row r="2677" spans="2:6">
      <c r="B2677" s="365" t="s">
        <v>1094</v>
      </c>
      <c r="C2677" s="365" t="str">
        <f>CONCATENATE("XB",Commodities!C89,OILTrade!$N$75)</f>
        <v>XBINDDSLR6</v>
      </c>
      <c r="D2677" s="365" t="str">
        <f>CONCATENATE("Delivery of Barge/Vessel Traded ",Commodities!C89," from ", OILTrade!$N$75)</f>
        <v>Delivery of Barge/Vessel Traded INDDSL from R6</v>
      </c>
      <c r="E2677" s="381" t="s">
        <v>384</v>
      </c>
      <c r="F2677" s="381" t="s">
        <v>505</v>
      </c>
    </row>
    <row r="2678" spans="2:6">
      <c r="B2678" s="365" t="s">
        <v>1094</v>
      </c>
      <c r="C2678" s="365" t="str">
        <f>CONCATENATE("XB",Commodities!C90,OILTrade!$N$75)</f>
        <v>XBELCDSLR6</v>
      </c>
      <c r="D2678" s="365" t="str">
        <f>CONCATENATE("Delivery of Barge/Vessel Traded ",Commodities!C90," from ", OILTrade!$N$75)</f>
        <v>Delivery of Barge/Vessel Traded ELCDSL from R6</v>
      </c>
      <c r="E2678" s="381" t="s">
        <v>384</v>
      </c>
      <c r="F2678" s="381" t="s">
        <v>505</v>
      </c>
    </row>
    <row r="2679" spans="2:6">
      <c r="B2679" s="365" t="s">
        <v>1094</v>
      </c>
      <c r="C2679" s="365" t="str">
        <f>CONCATENATE("XB",Commodities!C91,OILTrade!$N$75)</f>
        <v>XBTRDSLLR6</v>
      </c>
      <c r="D2679" s="365" t="str">
        <f>CONCATENATE("Delivery of Barge/Vessel Traded ",Commodities!C91," from ", OILTrade!$N$75)</f>
        <v>Delivery of Barge/Vessel Traded TRDSLL from R6</v>
      </c>
      <c r="E2679" s="381" t="s">
        <v>384</v>
      </c>
      <c r="F2679" s="381" t="s">
        <v>505</v>
      </c>
    </row>
    <row r="2680" spans="2:6">
      <c r="B2680" s="365" t="s">
        <v>1094</v>
      </c>
      <c r="C2680" s="365" t="str">
        <f>CONCATENATE("XB",Commodities!C92,OILTrade!$N$75)</f>
        <v>XBTRDSLUR6</v>
      </c>
      <c r="D2680" s="365" t="str">
        <f>CONCATENATE("Delivery of Barge/Vessel Traded ",Commodities!C92," from ", OILTrade!$N$75)</f>
        <v>Delivery of Barge/Vessel Traded TRDSLU from R6</v>
      </c>
      <c r="E2680" s="381" t="s">
        <v>384</v>
      </c>
      <c r="F2680" s="381" t="s">
        <v>505</v>
      </c>
    </row>
    <row r="2681" spans="2:6">
      <c r="B2681" s="365" t="s">
        <v>1094</v>
      </c>
      <c r="C2681" s="365" t="str">
        <f>CONCATENATE("XB",Commodities!C93,OILTrade!$N$75)</f>
        <v>XBTRNJTFR6</v>
      </c>
      <c r="D2681" s="365" t="str">
        <f>CONCATENATE("Delivery of Barge/Vessel Traded ",Commodities!C93," from ", OILTrade!$N$75)</f>
        <v>Delivery of Barge/Vessel Traded TRNJTF from R6</v>
      </c>
      <c r="E2681" s="381" t="s">
        <v>384</v>
      </c>
      <c r="F2681" s="381" t="s">
        <v>505</v>
      </c>
    </row>
    <row r="2682" spans="2:6">
      <c r="B2682" s="365" t="s">
        <v>1094</v>
      </c>
      <c r="C2682" s="365" t="str">
        <f>CONCATENATE("XB",Commodities!C94,OILTrade!$N$75)</f>
        <v>XBRESKERR6</v>
      </c>
      <c r="D2682" s="365" t="str">
        <f>CONCATENATE("Delivery of Barge/Vessel Traded ",Commodities!C94," from ", OILTrade!$N$75)</f>
        <v>Delivery of Barge/Vessel Traded RESKER from R6</v>
      </c>
      <c r="E2682" s="381" t="s">
        <v>384</v>
      </c>
      <c r="F2682" s="381" t="s">
        <v>505</v>
      </c>
    </row>
    <row r="2683" spans="2:6">
      <c r="B2683" s="365" t="s">
        <v>1094</v>
      </c>
      <c r="C2683" s="365" t="str">
        <f>CONCATENATE("XB",Commodities!C95,OILTrade!$N$75)</f>
        <v>XBCOMKERR6</v>
      </c>
      <c r="D2683" s="365" t="str">
        <f>CONCATENATE("Delivery of Barge/Vessel Traded ",Commodities!C95," from ", OILTrade!$N$75)</f>
        <v>Delivery of Barge/Vessel Traded COMKER from R6</v>
      </c>
      <c r="E2683" s="381" t="s">
        <v>384</v>
      </c>
      <c r="F2683" s="381" t="s">
        <v>505</v>
      </c>
    </row>
    <row r="2684" spans="2:6">
      <c r="B2684" s="365" t="s">
        <v>1094</v>
      </c>
      <c r="C2684" s="365" t="str">
        <f>CONCATENATE("XB",Commodities!C96,OILTrade!$N$75)</f>
        <v>XBINDKERR6</v>
      </c>
      <c r="D2684" s="365" t="str">
        <f>CONCATENATE("Delivery of Barge/Vessel Traded ",Commodities!C96," from ", OILTrade!$N$75)</f>
        <v>Delivery of Barge/Vessel Traded INDKER from R6</v>
      </c>
      <c r="E2684" s="381" t="s">
        <v>384</v>
      </c>
      <c r="F2684" s="381" t="s">
        <v>505</v>
      </c>
    </row>
    <row r="2685" spans="2:6">
      <c r="B2685" s="365" t="s">
        <v>1094</v>
      </c>
      <c r="C2685" s="365" t="str">
        <f>CONCATENATE("XB",Commodities!C97,OILTrade!$N$75)</f>
        <v>XBRESLPGR6</v>
      </c>
      <c r="D2685" s="365" t="str">
        <f>CONCATENATE("Delivery of Barge/Vessel Traded ",Commodities!C97," from ", OILTrade!$N$75)</f>
        <v>Delivery of Barge/Vessel Traded RESLPG from R6</v>
      </c>
      <c r="E2685" s="381" t="s">
        <v>384</v>
      </c>
      <c r="F2685" s="381" t="s">
        <v>505</v>
      </c>
    </row>
    <row r="2686" spans="2:6">
      <c r="B2686" s="365" t="s">
        <v>1094</v>
      </c>
      <c r="C2686" s="365" t="str">
        <f>CONCATENATE("XB",Commodities!C98,OILTrade!$N$75)</f>
        <v>XBCOMLPGR6</v>
      </c>
      <c r="D2686" s="365" t="str">
        <f>CONCATENATE("Delivery of Barge/Vessel Traded ",Commodities!C98," from ", OILTrade!$N$75)</f>
        <v>Delivery of Barge/Vessel Traded COMLPG from R6</v>
      </c>
      <c r="E2686" s="381" t="s">
        <v>384</v>
      </c>
      <c r="F2686" s="381" t="s">
        <v>505</v>
      </c>
    </row>
    <row r="2687" spans="2:6">
      <c r="B2687" s="365" t="s">
        <v>1094</v>
      </c>
      <c r="C2687" s="365" t="str">
        <f>CONCATENATE("XB",Commodities!C99,OILTrade!$N$75)</f>
        <v>XBINDLPGR6</v>
      </c>
      <c r="D2687" s="365" t="str">
        <f>CONCATENATE("Delivery of Barge/Vessel Traded ",Commodities!C99," from ", OILTrade!$N$75)</f>
        <v>Delivery of Barge/Vessel Traded INDLPG from R6</v>
      </c>
      <c r="E2687" s="381" t="s">
        <v>384</v>
      </c>
      <c r="F2687" s="381" t="s">
        <v>505</v>
      </c>
    </row>
    <row r="2688" spans="2:6">
      <c r="B2688" s="365" t="s">
        <v>1094</v>
      </c>
      <c r="C2688" s="365" t="str">
        <f>CONCATENATE("XB",Commodities!C100,OILTrade!$N$75)</f>
        <v>XBTRNLPGR6</v>
      </c>
      <c r="D2688" s="365" t="str">
        <f>CONCATENATE("Delivery of Barge/Vessel Traded ",Commodities!C100," from ", OILTrade!$N$75)</f>
        <v>Delivery of Barge/Vessel Traded TRNLPG from R6</v>
      </c>
      <c r="E2688" s="381" t="s">
        <v>384</v>
      </c>
      <c r="F2688" s="381" t="s">
        <v>505</v>
      </c>
    </row>
    <row r="2689" spans="2:6">
      <c r="B2689" s="365" t="s">
        <v>1094</v>
      </c>
      <c r="C2689" s="365" t="str">
        <f>CONCATENATE("XB",Commodities!C101,OILTrade!$N$75)</f>
        <v>XBTRNMTHR6</v>
      </c>
      <c r="D2689" s="365" t="str">
        <f>CONCATENATE("Delivery of Barge/Vessel Traded ",Commodities!C101," from ", OILTrade!$N$75)</f>
        <v>Delivery of Barge/Vessel Traded TRNMTH from R6</v>
      </c>
      <c r="E2689" s="381" t="s">
        <v>384</v>
      </c>
      <c r="F2689" s="381" t="s">
        <v>505</v>
      </c>
    </row>
    <row r="2690" spans="2:6">
      <c r="B2690" s="365" t="s">
        <v>1094</v>
      </c>
      <c r="C2690" s="365" t="str">
        <f>CONCATENATE("XB",Commodities!C102,OILTrade!$N$75)</f>
        <v>XBINDPFSR6</v>
      </c>
      <c r="D2690" s="365" t="str">
        <f>CONCATENATE("Delivery of Barge/Vessel Traded ",Commodities!C102," from ", OILTrade!$N$75)</f>
        <v>Delivery of Barge/Vessel Traded INDPFS from R6</v>
      </c>
      <c r="E2690" s="381" t="s">
        <v>384</v>
      </c>
      <c r="F2690" s="381" t="s">
        <v>505</v>
      </c>
    </row>
    <row r="2691" spans="2:6">
      <c r="B2691" s="365" t="s">
        <v>1094</v>
      </c>
      <c r="C2691" s="365" t="str">
        <f>CONCATENATE("XB",Commodities!C104,OILTrade!$N$75)</f>
        <v>XBCOMRFLR6</v>
      </c>
      <c r="D2691" s="365" t="str">
        <f>CONCATENATE("Delivery of Barge/Vessel Traded ",Commodities!C104," from ", OILTrade!$N$75)</f>
        <v>Delivery of Barge/Vessel Traded COMRFL from R6</v>
      </c>
      <c r="E2691" s="381" t="s">
        <v>384</v>
      </c>
      <c r="F2691" s="381" t="s">
        <v>505</v>
      </c>
    </row>
    <row r="2692" spans="2:6">
      <c r="B2692" s="365" t="s">
        <v>1094</v>
      </c>
      <c r="C2692" s="365" t="str">
        <f>CONCATENATE("XB",Commodities!C105,OILTrade!$N$75)</f>
        <v>XBINDRFLR6</v>
      </c>
      <c r="D2692" s="365" t="str">
        <f>CONCATENATE("Delivery of Barge/Vessel Traded ",Commodities!C105," from ", OILTrade!$N$75)</f>
        <v>Delivery of Barge/Vessel Traded INDRFL from R6</v>
      </c>
      <c r="E2692" s="381" t="s">
        <v>384</v>
      </c>
      <c r="F2692" s="381" t="s">
        <v>505</v>
      </c>
    </row>
    <row r="2693" spans="2:6">
      <c r="B2693" s="365" t="s">
        <v>1094</v>
      </c>
      <c r="C2693" s="365" t="str">
        <f>CONCATENATE("XB",Commodities!C106,OILTrade!$N$75)</f>
        <v>XBELCRFLR6</v>
      </c>
      <c r="D2693" s="365" t="str">
        <f>CONCATENATE("Delivery of Barge/Vessel Traded ",Commodities!C106," from ", OILTrade!$N$75)</f>
        <v>Delivery of Barge/Vessel Traded ELCRFL from R6</v>
      </c>
      <c r="E2693" s="381" t="s">
        <v>384</v>
      </c>
      <c r="F2693" s="381" t="s">
        <v>505</v>
      </c>
    </row>
    <row r="2694" spans="2:6">
      <c r="B2694" s="365" t="s">
        <v>1094</v>
      </c>
      <c r="C2694" s="365" t="str">
        <f>CONCATENATE("XB",Commodities!C107,OILTrade!$N$75)</f>
        <v>XBTRNRFHR6</v>
      </c>
      <c r="D2694" s="365" t="str">
        <f>CONCATENATE("Delivery of Barge/Vessel Traded ",Commodities!C107," from ", OILTrade!$N$75)</f>
        <v>Delivery of Barge/Vessel Traded TRNRFH from R6</v>
      </c>
      <c r="E2694" s="381" t="s">
        <v>384</v>
      </c>
      <c r="F2694" s="381" t="s">
        <v>505</v>
      </c>
    </row>
    <row r="2695" spans="2:6">
      <c r="B2695" s="365" t="s">
        <v>1094</v>
      </c>
      <c r="C2695" s="365" t="str">
        <f>CONCATENATE("XB",Commodities!C108,OILTrade!$N$75)</f>
        <v>XBELCRFHR6</v>
      </c>
      <c r="D2695" s="365" t="str">
        <f>CONCATENATE("Delivery of Barge/Vessel Traded ",Commodities!C108," from ", OILTrade!$N$75)</f>
        <v>Delivery of Barge/Vessel Traded ELCRFH from R6</v>
      </c>
      <c r="E2695" s="381" t="s">
        <v>384</v>
      </c>
      <c r="F2695" s="381" t="s">
        <v>505</v>
      </c>
    </row>
    <row r="2696" spans="2:6">
      <c r="B2696" s="365" t="s">
        <v>1094</v>
      </c>
      <c r="C2696" s="365" t="str">
        <f>CONCATENATE("XB",Commodities!C109,OILTrade!$N$75)</f>
        <v>XBINDASPR6</v>
      </c>
      <c r="D2696" s="365" t="str">
        <f>CONCATENATE("Delivery of Barge/Vessel Traded ",Commodities!C109," from ", OILTrade!$N$75)</f>
        <v>Delivery of Barge/Vessel Traded INDASP from R6</v>
      </c>
      <c r="E2696" s="381" t="s">
        <v>384</v>
      </c>
      <c r="F2696" s="381" t="s">
        <v>505</v>
      </c>
    </row>
    <row r="2697" spans="2:6">
      <c r="B2697" s="365" t="s">
        <v>1029</v>
      </c>
      <c r="C2697" s="365" t="str">
        <f>CONCATENATE("XB",Commodities!C85,OILTrade!$N$76)</f>
        <v>XBTRGSLCR7</v>
      </c>
      <c r="D2697" s="365" t="str">
        <f>CONCATENATE("Delivery of Barge/Vessel Traded ",Commodities!C85," from ", OILTrade!$N$76)</f>
        <v>Delivery of Barge/Vessel Traded TRGSLC from R7</v>
      </c>
      <c r="E2697" s="381" t="s">
        <v>384</v>
      </c>
      <c r="F2697" s="381" t="s">
        <v>505</v>
      </c>
    </row>
    <row r="2698" spans="2:6">
      <c r="B2698" s="365" t="s">
        <v>1029</v>
      </c>
      <c r="C2698" s="365" t="str">
        <f>CONCATENATE("XB",Commodities!C86,OILTrade!$N$76)</f>
        <v>XBTRGSLRR7</v>
      </c>
      <c r="D2698" s="365" t="str">
        <f>CONCATENATE("Delivery of Barge/Vessel Traded ",Commodities!C86," from ", OILTrade!$N$76)</f>
        <v>Delivery of Barge/Vessel Traded TRGSLR from R7</v>
      </c>
      <c r="E2698" s="381" t="s">
        <v>384</v>
      </c>
      <c r="F2698" s="381" t="s">
        <v>505</v>
      </c>
    </row>
    <row r="2699" spans="2:6">
      <c r="B2699" s="365" t="s">
        <v>1029</v>
      </c>
      <c r="C2699" s="365" t="str">
        <f>CONCATENATE("XB",Commodities!C87,OILTrade!$N$76)</f>
        <v>XBRESDSLR7</v>
      </c>
      <c r="D2699" s="365" t="str">
        <f>CONCATENATE("Delivery of Barge/Vessel Traded ",Commodities!C87," from ", OILTrade!$N$76)</f>
        <v>Delivery of Barge/Vessel Traded RESDSL from R7</v>
      </c>
      <c r="E2699" s="381" t="s">
        <v>384</v>
      </c>
      <c r="F2699" s="381" t="s">
        <v>505</v>
      </c>
    </row>
    <row r="2700" spans="2:6">
      <c r="B2700" s="365" t="s">
        <v>1029</v>
      </c>
      <c r="C2700" s="365" t="str">
        <f>CONCATENATE("XB",Commodities!C88,OILTrade!$N$76)</f>
        <v>XBCOMDSLR7</v>
      </c>
      <c r="D2700" s="365" t="str">
        <f>CONCATENATE("Delivery of Barge/Vessel Traded ",Commodities!C88," from ", OILTrade!$N$76)</f>
        <v>Delivery of Barge/Vessel Traded COMDSL from R7</v>
      </c>
      <c r="E2700" s="381" t="s">
        <v>384</v>
      </c>
      <c r="F2700" s="381" t="s">
        <v>505</v>
      </c>
    </row>
    <row r="2701" spans="2:6">
      <c r="B2701" s="365" t="s">
        <v>1029</v>
      </c>
      <c r="C2701" s="365" t="str">
        <f>CONCATENATE("XB",Commodities!C89,OILTrade!$N$76)</f>
        <v>XBINDDSLR7</v>
      </c>
      <c r="D2701" s="365" t="str">
        <f>CONCATENATE("Delivery of Barge/Vessel Traded ",Commodities!C89," from ", OILTrade!$N$76)</f>
        <v>Delivery of Barge/Vessel Traded INDDSL from R7</v>
      </c>
      <c r="E2701" s="381" t="s">
        <v>384</v>
      </c>
      <c r="F2701" s="381" t="s">
        <v>505</v>
      </c>
    </row>
    <row r="2702" spans="2:6">
      <c r="B2702" s="365" t="s">
        <v>1029</v>
      </c>
      <c r="C2702" s="365" t="str">
        <f>CONCATENATE("XB",Commodities!C90,OILTrade!$N$76)</f>
        <v>XBELCDSLR7</v>
      </c>
      <c r="D2702" s="365" t="str">
        <f>CONCATENATE("Delivery of Barge/Vessel Traded ",Commodities!C90," from ", OILTrade!$N$76)</f>
        <v>Delivery of Barge/Vessel Traded ELCDSL from R7</v>
      </c>
      <c r="E2702" s="381" t="s">
        <v>384</v>
      </c>
      <c r="F2702" s="381" t="s">
        <v>505</v>
      </c>
    </row>
    <row r="2703" spans="2:6">
      <c r="B2703" s="365" t="s">
        <v>1029</v>
      </c>
      <c r="C2703" s="365" t="str">
        <f>CONCATENATE("XB",Commodities!C91,OILTrade!$N$76)</f>
        <v>XBTRDSLLR7</v>
      </c>
      <c r="D2703" s="365" t="str">
        <f>CONCATENATE("Delivery of Barge/Vessel Traded ",Commodities!C91," from ", OILTrade!$N$76)</f>
        <v>Delivery of Barge/Vessel Traded TRDSLL from R7</v>
      </c>
      <c r="E2703" s="381" t="s">
        <v>384</v>
      </c>
      <c r="F2703" s="381" t="s">
        <v>505</v>
      </c>
    </row>
    <row r="2704" spans="2:6">
      <c r="B2704" s="365" t="s">
        <v>1029</v>
      </c>
      <c r="C2704" s="365" t="str">
        <f>CONCATENATE("XB",Commodities!C92,OILTrade!$N$76)</f>
        <v>XBTRDSLUR7</v>
      </c>
      <c r="D2704" s="365" t="str">
        <f>CONCATENATE("Delivery of Barge/Vessel Traded ",Commodities!C92," from ", OILTrade!$N$76)</f>
        <v>Delivery of Barge/Vessel Traded TRDSLU from R7</v>
      </c>
      <c r="E2704" s="381" t="s">
        <v>384</v>
      </c>
      <c r="F2704" s="381" t="s">
        <v>505</v>
      </c>
    </row>
    <row r="2705" spans="2:6">
      <c r="B2705" s="365" t="s">
        <v>1029</v>
      </c>
      <c r="C2705" s="365" t="str">
        <f>CONCATENATE("XB",Commodities!C93,OILTrade!$N$76)</f>
        <v>XBTRNJTFR7</v>
      </c>
      <c r="D2705" s="365" t="str">
        <f>CONCATENATE("Delivery of Barge/Vessel Traded ",Commodities!C93," from ", OILTrade!$N$76)</f>
        <v>Delivery of Barge/Vessel Traded TRNJTF from R7</v>
      </c>
      <c r="E2705" s="381" t="s">
        <v>384</v>
      </c>
      <c r="F2705" s="381" t="s">
        <v>505</v>
      </c>
    </row>
    <row r="2706" spans="2:6">
      <c r="B2706" s="365" t="s">
        <v>1029</v>
      </c>
      <c r="C2706" s="365" t="str">
        <f>CONCATENATE("XB",Commodities!C94,OILTrade!$N$76)</f>
        <v>XBRESKERR7</v>
      </c>
      <c r="D2706" s="365" t="str">
        <f>CONCATENATE("Delivery of Barge/Vessel Traded ",Commodities!C94," from ", OILTrade!$N$76)</f>
        <v>Delivery of Barge/Vessel Traded RESKER from R7</v>
      </c>
      <c r="E2706" s="381" t="s">
        <v>384</v>
      </c>
      <c r="F2706" s="381" t="s">
        <v>505</v>
      </c>
    </row>
    <row r="2707" spans="2:6">
      <c r="B2707" s="365" t="s">
        <v>1029</v>
      </c>
      <c r="C2707" s="365" t="str">
        <f>CONCATENATE("XB",Commodities!C95,OILTrade!$N$76)</f>
        <v>XBCOMKERR7</v>
      </c>
      <c r="D2707" s="365" t="str">
        <f>CONCATENATE("Delivery of Barge/Vessel Traded ",Commodities!C95," from ", OILTrade!$N$76)</f>
        <v>Delivery of Barge/Vessel Traded COMKER from R7</v>
      </c>
      <c r="E2707" s="381" t="s">
        <v>384</v>
      </c>
      <c r="F2707" s="381" t="s">
        <v>505</v>
      </c>
    </row>
    <row r="2708" spans="2:6">
      <c r="B2708" s="365" t="s">
        <v>1029</v>
      </c>
      <c r="C2708" s="365" t="str">
        <f>CONCATENATE("XB",Commodities!C96,OILTrade!$N$76)</f>
        <v>XBINDKERR7</v>
      </c>
      <c r="D2708" s="365" t="str">
        <f>CONCATENATE("Delivery of Barge/Vessel Traded ",Commodities!C96," from ", OILTrade!$N$76)</f>
        <v>Delivery of Barge/Vessel Traded INDKER from R7</v>
      </c>
      <c r="E2708" s="381" t="s">
        <v>384</v>
      </c>
      <c r="F2708" s="381" t="s">
        <v>505</v>
      </c>
    </row>
    <row r="2709" spans="2:6">
      <c r="B2709" s="365" t="s">
        <v>1029</v>
      </c>
      <c r="C2709" s="365" t="str">
        <f>CONCATENATE("XB",Commodities!C97,OILTrade!$N$76)</f>
        <v>XBRESLPGR7</v>
      </c>
      <c r="D2709" s="365" t="str">
        <f>CONCATENATE("Delivery of Barge/Vessel Traded ",Commodities!C97," from ", OILTrade!$N$76)</f>
        <v>Delivery of Barge/Vessel Traded RESLPG from R7</v>
      </c>
      <c r="E2709" s="381" t="s">
        <v>384</v>
      </c>
      <c r="F2709" s="381" t="s">
        <v>505</v>
      </c>
    </row>
    <row r="2710" spans="2:6">
      <c r="B2710" s="365" t="s">
        <v>1029</v>
      </c>
      <c r="C2710" s="365" t="str">
        <f>CONCATENATE("XB",Commodities!C98,OILTrade!$N$76)</f>
        <v>XBCOMLPGR7</v>
      </c>
      <c r="D2710" s="365" t="str">
        <f>CONCATENATE("Delivery of Barge/Vessel Traded ",Commodities!C98," from ", OILTrade!$N$76)</f>
        <v>Delivery of Barge/Vessel Traded COMLPG from R7</v>
      </c>
      <c r="E2710" s="381" t="s">
        <v>384</v>
      </c>
      <c r="F2710" s="381" t="s">
        <v>505</v>
      </c>
    </row>
    <row r="2711" spans="2:6">
      <c r="B2711" s="365" t="s">
        <v>1029</v>
      </c>
      <c r="C2711" s="365" t="str">
        <f>CONCATENATE("XB",Commodities!C99,OILTrade!$N$76)</f>
        <v>XBINDLPGR7</v>
      </c>
      <c r="D2711" s="365" t="str">
        <f>CONCATENATE("Delivery of Barge/Vessel Traded ",Commodities!C99," from ", OILTrade!$N$76)</f>
        <v>Delivery of Barge/Vessel Traded INDLPG from R7</v>
      </c>
      <c r="E2711" s="381" t="s">
        <v>384</v>
      </c>
      <c r="F2711" s="381" t="s">
        <v>505</v>
      </c>
    </row>
    <row r="2712" spans="2:6">
      <c r="B2712" s="365" t="s">
        <v>1029</v>
      </c>
      <c r="C2712" s="365" t="str">
        <f>CONCATENATE("XB",Commodities!C100,OILTrade!$N$76)</f>
        <v>XBTRNLPGR7</v>
      </c>
      <c r="D2712" s="365" t="str">
        <f>CONCATENATE("Delivery of Barge/Vessel Traded ",Commodities!C100," from ", OILTrade!$N$76)</f>
        <v>Delivery of Barge/Vessel Traded TRNLPG from R7</v>
      </c>
      <c r="E2712" s="381" t="s">
        <v>384</v>
      </c>
      <c r="F2712" s="381" t="s">
        <v>505</v>
      </c>
    </row>
    <row r="2713" spans="2:6">
      <c r="B2713" s="365" t="s">
        <v>1029</v>
      </c>
      <c r="C2713" s="365" t="str">
        <f>CONCATENATE("XB",Commodities!C101,OILTrade!$N$76)</f>
        <v>XBTRNMTHR7</v>
      </c>
      <c r="D2713" s="365" t="str">
        <f>CONCATENATE("Delivery of Barge/Vessel Traded ",Commodities!C101," from ", OILTrade!$N$76)</f>
        <v>Delivery of Barge/Vessel Traded TRNMTH from R7</v>
      </c>
      <c r="E2713" s="381" t="s">
        <v>384</v>
      </c>
      <c r="F2713" s="381" t="s">
        <v>505</v>
      </c>
    </row>
    <row r="2714" spans="2:6">
      <c r="B2714" s="365" t="s">
        <v>1029</v>
      </c>
      <c r="C2714" s="365" t="str">
        <f>CONCATENATE("XB",Commodities!C102,OILTrade!$N$76)</f>
        <v>XBINDPFSR7</v>
      </c>
      <c r="D2714" s="365" t="str">
        <f>CONCATENATE("Delivery of Barge/Vessel Traded ",Commodities!C102," from ", OILTrade!$N$76)</f>
        <v>Delivery of Barge/Vessel Traded INDPFS from R7</v>
      </c>
      <c r="E2714" s="381" t="s">
        <v>384</v>
      </c>
      <c r="F2714" s="381" t="s">
        <v>505</v>
      </c>
    </row>
    <row r="2715" spans="2:6">
      <c r="B2715" s="365" t="s">
        <v>1029</v>
      </c>
      <c r="C2715" s="365" t="str">
        <f>CONCATENATE("XB",Commodities!C104,OILTrade!$N$76)</f>
        <v>XBCOMRFLR7</v>
      </c>
      <c r="D2715" s="365" t="str">
        <f>CONCATENATE("Delivery of Barge/Vessel Traded ",Commodities!C104," from ", OILTrade!$N$76)</f>
        <v>Delivery of Barge/Vessel Traded COMRFL from R7</v>
      </c>
      <c r="E2715" s="381" t="s">
        <v>384</v>
      </c>
      <c r="F2715" s="381" t="s">
        <v>505</v>
      </c>
    </row>
    <row r="2716" spans="2:6">
      <c r="B2716" s="365" t="s">
        <v>1029</v>
      </c>
      <c r="C2716" s="365" t="str">
        <f>CONCATENATE("XB",Commodities!C105,OILTrade!$N$76)</f>
        <v>XBINDRFLR7</v>
      </c>
      <c r="D2716" s="365" t="str">
        <f>CONCATENATE("Delivery of Barge/Vessel Traded ",Commodities!C105," from ", OILTrade!$N$76)</f>
        <v>Delivery of Barge/Vessel Traded INDRFL from R7</v>
      </c>
      <c r="E2716" s="381" t="s">
        <v>384</v>
      </c>
      <c r="F2716" s="381" t="s">
        <v>505</v>
      </c>
    </row>
    <row r="2717" spans="2:6">
      <c r="B2717" s="365" t="s">
        <v>1029</v>
      </c>
      <c r="C2717" s="365" t="str">
        <f>CONCATENATE("XB",Commodities!C106,OILTrade!$N$76)</f>
        <v>XBELCRFLR7</v>
      </c>
      <c r="D2717" s="365" t="str">
        <f>CONCATENATE("Delivery of Barge/Vessel Traded ",Commodities!C106," from ", OILTrade!$N$76)</f>
        <v>Delivery of Barge/Vessel Traded ELCRFL from R7</v>
      </c>
      <c r="E2717" s="381" t="s">
        <v>384</v>
      </c>
      <c r="F2717" s="381" t="s">
        <v>505</v>
      </c>
    </row>
    <row r="2718" spans="2:6">
      <c r="B2718" s="365" t="s">
        <v>1029</v>
      </c>
      <c r="C2718" s="365" t="str">
        <f>CONCATENATE("XB",Commodities!C107,OILTrade!$N$76)</f>
        <v>XBTRNRFHR7</v>
      </c>
      <c r="D2718" s="365" t="str">
        <f>CONCATENATE("Delivery of Barge/Vessel Traded ",Commodities!C107," from ", OILTrade!$N$76)</f>
        <v>Delivery of Barge/Vessel Traded TRNRFH from R7</v>
      </c>
      <c r="E2718" s="381" t="s">
        <v>384</v>
      </c>
      <c r="F2718" s="381" t="s">
        <v>505</v>
      </c>
    </row>
    <row r="2719" spans="2:6">
      <c r="B2719" s="365" t="s">
        <v>1029</v>
      </c>
      <c r="C2719" s="365" t="str">
        <f>CONCATENATE("XB",Commodities!C108,OILTrade!$N$76)</f>
        <v>XBELCRFHR7</v>
      </c>
      <c r="D2719" s="365" t="str">
        <f>CONCATENATE("Delivery of Barge/Vessel Traded ",Commodities!C108," from ", OILTrade!$N$76)</f>
        <v>Delivery of Barge/Vessel Traded ELCRFH from R7</v>
      </c>
      <c r="E2719" s="381" t="s">
        <v>384</v>
      </c>
      <c r="F2719" s="381" t="s">
        <v>505</v>
      </c>
    </row>
    <row r="2720" spans="2:6">
      <c r="B2720" s="365" t="s">
        <v>1029</v>
      </c>
      <c r="C2720" s="365" t="str">
        <f>CONCATENATE("XB",Commodities!C109,OILTrade!$N$76)</f>
        <v>XBINDASPR7</v>
      </c>
      <c r="D2720" s="365" t="str">
        <f>CONCATENATE("Delivery of Barge/Vessel Traded ",Commodities!C109," from ", OILTrade!$N$76)</f>
        <v>Delivery of Barge/Vessel Traded INDASP from R7</v>
      </c>
      <c r="E2720" s="381" t="s">
        <v>384</v>
      </c>
      <c r="F2720" s="381" t="s">
        <v>505</v>
      </c>
    </row>
    <row r="2721" spans="4:4">
      <c r="D2721" s="383"/>
    </row>
    <row r="2722" spans="4:4">
      <c r="D2722" s="383"/>
    </row>
    <row r="2723" spans="4:4">
      <c r="D2723" s="383"/>
    </row>
    <row r="2724" spans="4:4">
      <c r="D2724" s="383"/>
    </row>
    <row r="2725" spans="4:4">
      <c r="D2725" s="383"/>
    </row>
    <row r="2726" spans="4:4">
      <c r="D2726" s="383"/>
    </row>
    <row r="2727" spans="4:4">
      <c r="D2727" s="383"/>
    </row>
    <row r="2728" spans="4:4">
      <c r="D2728" s="383"/>
    </row>
    <row r="2729" spans="4:4">
      <c r="D2729" s="383"/>
    </row>
    <row r="2730" spans="4:4">
      <c r="D2730" s="383"/>
    </row>
    <row r="2731" spans="4:4">
      <c r="D2731" s="383"/>
    </row>
    <row r="2732" spans="4:4">
      <c r="D2732" s="383"/>
    </row>
    <row r="2733" spans="4:4">
      <c r="D2733" s="383"/>
    </row>
    <row r="2734" spans="4:4">
      <c r="D2734" s="383"/>
    </row>
    <row r="2735" spans="4:4">
      <c r="D2735" s="383"/>
    </row>
    <row r="2736" spans="4:4">
      <c r="D2736" s="383"/>
    </row>
    <row r="2737" spans="2:4">
      <c r="D2737" s="383"/>
    </row>
    <row r="2738" spans="2:4">
      <c r="D2738" s="383"/>
    </row>
    <row r="2739" spans="2:4">
      <c r="D2739" s="383"/>
    </row>
    <row r="2740" spans="2:4">
      <c r="D2740" s="383"/>
    </row>
    <row r="2741" spans="2:4">
      <c r="D2741" s="383"/>
    </row>
    <row r="2742" spans="2:4">
      <c r="D2742" s="383"/>
    </row>
    <row r="2743" spans="2:4">
      <c r="D2743" s="383"/>
    </row>
    <row r="2744" spans="2:4">
      <c r="D2744" s="383"/>
    </row>
    <row r="2745" spans="2:4">
      <c r="D2745" s="383"/>
    </row>
    <row r="2746" spans="2:4">
      <c r="D2746" s="383"/>
    </row>
    <row r="2747" spans="2:4">
      <c r="D2747" s="383"/>
    </row>
    <row r="2748" spans="2:4">
      <c r="D2748" s="383"/>
    </row>
    <row r="2749" spans="2:4">
      <c r="D2749" s="383"/>
    </row>
    <row r="2750" spans="2:4">
      <c r="D2750" s="383"/>
    </row>
    <row r="2751" spans="2:4">
      <c r="D2751" s="383"/>
    </row>
    <row r="2752" spans="2:4">
      <c r="B2752" s="364"/>
    </row>
    <row r="2759" spans="2:4">
      <c r="D2759" s="383"/>
    </row>
    <row r="2760" spans="2:4">
      <c r="D2760" s="383"/>
    </row>
    <row r="2762" spans="2:4">
      <c r="B2762" s="364"/>
    </row>
    <row r="2763" spans="2:4">
      <c r="D2763" s="383"/>
    </row>
    <row r="2764" spans="2:4">
      <c r="D2764" s="383"/>
    </row>
    <row r="2765" spans="2:4">
      <c r="D2765" s="383"/>
    </row>
    <row r="2766" spans="2:4">
      <c r="D2766" s="383"/>
    </row>
    <row r="2767" spans="2:4">
      <c r="D2767" s="383"/>
    </row>
    <row r="2768" spans="2:4">
      <c r="D2768" s="383"/>
    </row>
    <row r="2769" spans="2:4">
      <c r="D2769" s="383"/>
    </row>
    <row r="2770" spans="2:4">
      <c r="D2770" s="383"/>
    </row>
    <row r="2771" spans="2:4">
      <c r="D2771" s="383"/>
    </row>
    <row r="2772" spans="2:4">
      <c r="D2772" s="383"/>
    </row>
    <row r="2773" spans="2:4">
      <c r="D2773" s="383"/>
    </row>
    <row r="2774" spans="2:4">
      <c r="D2774" s="383"/>
    </row>
    <row r="2775" spans="2:4">
      <c r="D2775" s="383"/>
    </row>
    <row r="2776" spans="2:4">
      <c r="D2776" s="383"/>
    </row>
    <row r="2777" spans="2:4">
      <c r="D2777" s="383"/>
    </row>
    <row r="2778" spans="2:4">
      <c r="D2778" s="383"/>
    </row>
    <row r="2779" spans="2:4">
      <c r="D2779" s="383"/>
    </row>
    <row r="2780" spans="2:4">
      <c r="D2780" s="383"/>
    </row>
    <row r="2781" spans="2:4">
      <c r="B2781" s="364"/>
      <c r="D2781" s="383"/>
    </row>
    <row r="2790" spans="2:4">
      <c r="D2790" s="383"/>
    </row>
    <row r="2791" spans="2:4">
      <c r="D2791" s="383"/>
    </row>
    <row r="2792" spans="2:4">
      <c r="D2792" s="383"/>
    </row>
    <row r="2793" spans="2:4">
      <c r="D2793" s="383"/>
    </row>
    <row r="2794" spans="2:4">
      <c r="D2794" s="383"/>
    </row>
    <row r="2795" spans="2:4">
      <c r="D2795" s="383"/>
    </row>
    <row r="2796" spans="2:4">
      <c r="D2796" s="383"/>
    </row>
    <row r="2797" spans="2:4">
      <c r="D2797" s="383"/>
    </row>
    <row r="2798" spans="2:4">
      <c r="D2798" s="383"/>
    </row>
    <row r="2799" spans="2:4">
      <c r="D2799" s="383"/>
    </row>
    <row r="2800" spans="2:4">
      <c r="B2800" s="364"/>
      <c r="D2800" s="383"/>
    </row>
    <row r="2801" spans="4:4">
      <c r="D2801" s="383"/>
    </row>
    <row r="2802" spans="4:4">
      <c r="D2802" s="383"/>
    </row>
    <row r="2803" spans="4:4">
      <c r="D2803" s="383"/>
    </row>
    <row r="2804" spans="4:4">
      <c r="D2804" s="383"/>
    </row>
    <row r="2805" spans="4:4">
      <c r="D2805" s="383"/>
    </row>
    <row r="2806" spans="4:4">
      <c r="D2806" s="383"/>
    </row>
    <row r="2807" spans="4:4">
      <c r="D2807" s="383"/>
    </row>
    <row r="2808" spans="4:4">
      <c r="D2808" s="383"/>
    </row>
    <row r="2809" spans="4:4">
      <c r="D2809" s="383"/>
    </row>
    <row r="2810" spans="4:4">
      <c r="D2810" s="383"/>
    </row>
    <row r="2811" spans="4:4">
      <c r="D2811" s="383"/>
    </row>
    <row r="2812" spans="4:4">
      <c r="D2812" s="383"/>
    </row>
    <row r="2813" spans="4:4">
      <c r="D2813" s="383"/>
    </row>
    <row r="2814" spans="4:4">
      <c r="D2814" s="383"/>
    </row>
    <row r="2815" spans="4:4">
      <c r="D2815" s="383"/>
    </row>
    <row r="2816" spans="4:4">
      <c r="D2816" s="383"/>
    </row>
    <row r="2817" spans="2:4">
      <c r="D2817" s="383"/>
    </row>
    <row r="2818" spans="2:4">
      <c r="D2818" s="383"/>
    </row>
    <row r="2819" spans="2:4">
      <c r="B2819" s="364"/>
    </row>
    <row r="2820" spans="2:4">
      <c r="D2820" s="383"/>
    </row>
    <row r="2821" spans="2:4">
      <c r="D2821" s="383"/>
    </row>
    <row r="2822" spans="2:4">
      <c r="D2822" s="383"/>
    </row>
    <row r="2823" spans="2:4">
      <c r="D2823" s="383"/>
    </row>
    <row r="2824" spans="2:4">
      <c r="D2824" s="383"/>
    </row>
    <row r="2825" spans="2:4">
      <c r="B2825" s="364"/>
    </row>
    <row r="2826" spans="2:4">
      <c r="D2826" s="383"/>
    </row>
    <row r="2827" spans="2:4">
      <c r="D2827" s="383"/>
    </row>
    <row r="2828" spans="2:4">
      <c r="D2828" s="383"/>
    </row>
    <row r="2829" spans="2:4">
      <c r="D2829" s="383"/>
    </row>
    <row r="2830" spans="2:4">
      <c r="D2830" s="383"/>
    </row>
    <row r="2831" spans="2:4">
      <c r="D2831" s="383"/>
    </row>
    <row r="2832" spans="2:4">
      <c r="D2832" s="383"/>
    </row>
    <row r="2833" spans="4:4">
      <c r="D2833" s="383"/>
    </row>
    <row r="2834" spans="4:4">
      <c r="D2834" s="383"/>
    </row>
    <row r="2835" spans="4:4">
      <c r="D2835" s="383"/>
    </row>
    <row r="2836" spans="4:4">
      <c r="D2836" s="383"/>
    </row>
    <row r="2837" spans="4:4">
      <c r="D2837" s="383"/>
    </row>
    <row r="2838" spans="4:4">
      <c r="D2838" s="383"/>
    </row>
    <row r="2839" spans="4:4">
      <c r="D2839" s="383"/>
    </row>
    <row r="2840" spans="4:4">
      <c r="D2840" s="383"/>
    </row>
    <row r="2841" spans="4:4">
      <c r="D2841" s="383"/>
    </row>
    <row r="2842" spans="4:4">
      <c r="D2842" s="383"/>
    </row>
    <row r="2843" spans="4:4">
      <c r="D2843" s="383"/>
    </row>
    <row r="2844" spans="4:4">
      <c r="D2844" s="383"/>
    </row>
    <row r="2845" spans="4:4">
      <c r="D2845" s="383"/>
    </row>
    <row r="2846" spans="4:4">
      <c r="D2846" s="383"/>
    </row>
    <row r="2847" spans="4:4">
      <c r="D2847" s="383"/>
    </row>
    <row r="2848" spans="4:4">
      <c r="D2848" s="383"/>
    </row>
    <row r="2849" spans="2:4">
      <c r="D2849" s="383"/>
    </row>
    <row r="2850" spans="2:4">
      <c r="D2850" s="383"/>
    </row>
    <row r="2851" spans="2:4">
      <c r="B2851" s="364"/>
    </row>
    <row r="2852" spans="2:4">
      <c r="D2852" s="383"/>
    </row>
    <row r="2853" spans="2:4">
      <c r="D2853" s="383"/>
    </row>
    <row r="2854" spans="2:4">
      <c r="D2854" s="383"/>
    </row>
    <row r="2855" spans="2:4">
      <c r="D2855" s="383"/>
    </row>
    <row r="2856" spans="2:4">
      <c r="D2856" s="383"/>
    </row>
    <row r="2857" spans="2:4">
      <c r="D2857" s="383"/>
    </row>
    <row r="2858" spans="2:4">
      <c r="D2858" s="383"/>
    </row>
    <row r="2859" spans="2:4">
      <c r="D2859" s="383"/>
    </row>
    <row r="2860" spans="2:4">
      <c r="D2860" s="383"/>
    </row>
    <row r="2861" spans="2:4">
      <c r="D2861" s="383"/>
    </row>
    <row r="2862" spans="2:4">
      <c r="D2862" s="383"/>
    </row>
    <row r="2863" spans="2:4">
      <c r="D2863" s="383"/>
    </row>
    <row r="2864" spans="2:4">
      <c r="D2864" s="383"/>
    </row>
    <row r="2865" spans="2:4">
      <c r="D2865" s="383"/>
    </row>
    <row r="2866" spans="2:4">
      <c r="D2866" s="383"/>
    </row>
    <row r="2867" spans="2:4">
      <c r="D2867" s="383"/>
    </row>
    <row r="2868" spans="2:4">
      <c r="D2868" s="383"/>
    </row>
    <row r="2869" spans="2:4">
      <c r="D2869" s="383"/>
    </row>
    <row r="2870" spans="2:4">
      <c r="D2870" s="383"/>
    </row>
    <row r="2871" spans="2:4">
      <c r="D2871" s="383"/>
    </row>
    <row r="2872" spans="2:4">
      <c r="D2872" s="383"/>
    </row>
    <row r="2873" spans="2:4">
      <c r="D2873" s="383"/>
    </row>
    <row r="2874" spans="2:4">
      <c r="D2874" s="383"/>
    </row>
    <row r="2875" spans="2:4">
      <c r="D2875" s="383"/>
    </row>
    <row r="2876" spans="2:4">
      <c r="B2876" s="364"/>
    </row>
    <row r="2877" spans="2:4">
      <c r="D2877" s="383"/>
    </row>
    <row r="2878" spans="2:4">
      <c r="D2878" s="383"/>
    </row>
    <row r="2879" spans="2:4">
      <c r="D2879" s="383"/>
    </row>
    <row r="2880" spans="2:4">
      <c r="D2880" s="383"/>
    </row>
    <row r="2881" spans="4:4">
      <c r="D2881" s="383"/>
    </row>
    <row r="2882" spans="4:4">
      <c r="D2882" s="383"/>
    </row>
    <row r="2883" spans="4:4">
      <c r="D2883" s="383"/>
    </row>
    <row r="2884" spans="4:4">
      <c r="D2884" s="383"/>
    </row>
    <row r="2885" spans="4:4">
      <c r="D2885" s="383"/>
    </row>
    <row r="2886" spans="4:4">
      <c r="D2886" s="383"/>
    </row>
    <row r="2887" spans="4:4">
      <c r="D2887" s="383"/>
    </row>
    <row r="2888" spans="4:4">
      <c r="D2888" s="383"/>
    </row>
    <row r="2889" spans="4:4">
      <c r="D2889" s="383"/>
    </row>
    <row r="2890" spans="4:4">
      <c r="D2890" s="383"/>
    </row>
    <row r="2891" spans="4:4">
      <c r="D2891" s="383"/>
    </row>
    <row r="2892" spans="4:4">
      <c r="D2892" s="383"/>
    </row>
    <row r="2893" spans="4:4">
      <c r="D2893" s="383"/>
    </row>
    <row r="2894" spans="4:4">
      <c r="D2894" s="383"/>
    </row>
    <row r="2895" spans="4:4">
      <c r="D2895" s="383"/>
    </row>
    <row r="2896" spans="4:4">
      <c r="D2896" s="383"/>
    </row>
    <row r="2897" spans="4:4">
      <c r="D2897" s="383"/>
    </row>
    <row r="2898" spans="4:4">
      <c r="D2898" s="383"/>
    </row>
    <row r="2899" spans="4:4">
      <c r="D2899" s="383"/>
    </row>
  </sheetData>
  <phoneticPr fontId="0" type="noConversion"/>
  <pageMargins left="0.75" right="0.75" top="1" bottom="1" header="0.5" footer="0.5"/>
  <pageSetup paperSize="9" orientation="portrait" horizontalDpi="1200"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9">
    <tabColor rgb="FFFFC000"/>
  </sheetPr>
  <dimension ref="B1:BG515"/>
  <sheetViews>
    <sheetView topLeftCell="A86" zoomScale="90" zoomScaleNormal="90" workbookViewId="0">
      <selection activeCell="G92" sqref="G92"/>
    </sheetView>
  </sheetViews>
  <sheetFormatPr defaultColWidth="9.140625" defaultRowHeight="12.75"/>
  <cols>
    <col min="1" max="1" width="9.140625" style="365"/>
    <col min="2" max="2" width="40" style="365" bestFit="1" customWidth="1"/>
    <col min="3" max="3" width="22" style="365" bestFit="1" customWidth="1"/>
    <col min="4" max="4" width="69" style="365" bestFit="1" customWidth="1"/>
    <col min="5" max="5" width="10.7109375" style="365" bestFit="1" customWidth="1"/>
    <col min="6" max="6" width="11" style="381" bestFit="1" customWidth="1"/>
    <col min="7" max="7" width="15" style="381" bestFit="1" customWidth="1"/>
    <col min="8" max="8" width="19.140625" style="381" bestFit="1" customWidth="1"/>
    <col min="9" max="10" width="21.85546875" style="381" bestFit="1" customWidth="1"/>
    <col min="11" max="11" width="19.7109375" style="381" bestFit="1" customWidth="1"/>
    <col min="12" max="19" width="19.140625" style="381" bestFit="1" customWidth="1"/>
    <col min="20" max="20" width="20" style="381" bestFit="1" customWidth="1"/>
    <col min="21" max="34" width="19.140625" style="381" bestFit="1" customWidth="1"/>
    <col min="35" max="35" width="4.7109375" style="381" bestFit="1" customWidth="1"/>
    <col min="36" max="36" width="12.28515625" style="381" bestFit="1" customWidth="1"/>
    <col min="37" max="37" width="1.85546875" style="381" bestFit="1" customWidth="1"/>
    <col min="38" max="38" width="7.140625" style="381" bestFit="1" customWidth="1"/>
    <col min="39" max="39" width="12.28515625" style="381" bestFit="1" customWidth="1"/>
    <col min="40" max="40" width="7.140625" style="381" bestFit="1" customWidth="1"/>
    <col min="41" max="41" width="12.28515625" style="381" bestFit="1" customWidth="1"/>
    <col min="42" max="46" width="9.28515625" style="381" customWidth="1"/>
    <col min="47" max="47" width="14.7109375" style="381" bestFit="1" customWidth="1"/>
    <col min="48" max="48" width="13.42578125" style="381" bestFit="1" customWidth="1"/>
    <col min="49" max="49" width="14.7109375" style="381" bestFit="1" customWidth="1"/>
    <col min="50" max="53" width="15.85546875" style="381" bestFit="1" customWidth="1"/>
    <col min="54" max="57" width="14.5703125" style="381" bestFit="1" customWidth="1"/>
    <col min="58" max="59" width="13.42578125" style="381" bestFit="1" customWidth="1"/>
    <col min="60" max="16384" width="9.140625" style="365"/>
  </cols>
  <sheetData>
    <row r="1" spans="2:59">
      <c r="B1" s="364" t="s">
        <v>587</v>
      </c>
      <c r="C1" s="365" t="s">
        <v>1028</v>
      </c>
      <c r="Z1" s="381" t="s">
        <v>588</v>
      </c>
      <c r="AA1" s="381" t="s">
        <v>588</v>
      </c>
      <c r="AB1" s="381" t="s">
        <v>588</v>
      </c>
      <c r="AC1" s="381" t="str">
        <f t="shared" ref="AC1:AK1" si="0">$AB1</f>
        <v>*</v>
      </c>
      <c r="AD1" s="381" t="str">
        <f t="shared" si="0"/>
        <v>*</v>
      </c>
      <c r="AE1" s="381" t="str">
        <f t="shared" si="0"/>
        <v>*</v>
      </c>
      <c r="AF1" s="381" t="str">
        <f t="shared" si="0"/>
        <v>*</v>
      </c>
      <c r="AG1" s="381" t="str">
        <f t="shared" si="0"/>
        <v>*</v>
      </c>
      <c r="AH1" s="381" t="str">
        <f t="shared" si="0"/>
        <v>*</v>
      </c>
      <c r="AI1" s="381" t="str">
        <f t="shared" si="0"/>
        <v>*</v>
      </c>
      <c r="AJ1" s="381" t="str">
        <f t="shared" si="0"/>
        <v>*</v>
      </c>
      <c r="AK1" s="381" t="str">
        <f t="shared" si="0"/>
        <v>*</v>
      </c>
    </row>
    <row r="4" spans="2:59" ht="17.25" customHeight="1"/>
    <row r="5" spans="2:59" ht="17.25" customHeight="1">
      <c r="AC5" s="427">
        <v>1.5</v>
      </c>
      <c r="AW5" s="387"/>
      <c r="AX5" s="387"/>
      <c r="AY5" s="387"/>
      <c r="AZ5" s="387"/>
      <c r="BA5" s="387"/>
      <c r="BB5" s="387"/>
      <c r="BC5" s="387"/>
      <c r="BD5" s="387"/>
      <c r="BE5" s="387"/>
      <c r="BF5" s="388"/>
      <c r="BG5" s="388"/>
    </row>
    <row r="6" spans="2:59" ht="17.25" customHeight="1">
      <c r="E6" s="410" t="s">
        <v>2532</v>
      </c>
      <c r="AV6" s="387"/>
      <c r="AW6" s="387"/>
      <c r="AX6" s="387"/>
      <c r="AY6" s="387"/>
      <c r="AZ6" s="387"/>
      <c r="BA6" s="387"/>
      <c r="BB6" s="387"/>
      <c r="BC6" s="387"/>
      <c r="BD6" s="387"/>
      <c r="BE6" s="388"/>
      <c r="BF6" s="388"/>
      <c r="BG6" s="365"/>
    </row>
    <row r="7" spans="2:59" ht="15.75" customHeight="1">
      <c r="B7" s="371" t="s">
        <v>739</v>
      </c>
      <c r="C7" s="371" t="s">
        <v>375</v>
      </c>
      <c r="D7" s="371" t="s">
        <v>376</v>
      </c>
      <c r="E7" s="371" t="s">
        <v>379</v>
      </c>
      <c r="F7" s="371" t="s">
        <v>2538</v>
      </c>
      <c r="G7" s="371" t="s">
        <v>2509</v>
      </c>
      <c r="H7" s="371" t="s">
        <v>2510</v>
      </c>
      <c r="I7" s="371" t="s">
        <v>2511</v>
      </c>
      <c r="J7" s="371" t="s">
        <v>2512</v>
      </c>
      <c r="K7" s="371" t="s">
        <v>2513</v>
      </c>
      <c r="L7" s="371" t="s">
        <v>2514</v>
      </c>
      <c r="M7" s="371" t="s">
        <v>2515</v>
      </c>
      <c r="N7" s="371" t="s">
        <v>2516</v>
      </c>
      <c r="O7" s="371" t="s">
        <v>2517</v>
      </c>
      <c r="P7" s="371" t="s">
        <v>2518</v>
      </c>
      <c r="Q7" s="371" t="s">
        <v>592</v>
      </c>
      <c r="R7" s="371" t="s">
        <v>2567</v>
      </c>
      <c r="S7" s="371" t="s">
        <v>2556</v>
      </c>
      <c r="T7" s="371" t="s">
        <v>2557</v>
      </c>
      <c r="U7" s="371" t="s">
        <v>2558</v>
      </c>
      <c r="V7" s="371" t="s">
        <v>2559</v>
      </c>
      <c r="W7" s="371" t="s">
        <v>2560</v>
      </c>
      <c r="X7" s="371" t="s">
        <v>2561</v>
      </c>
      <c r="Y7" s="371" t="s">
        <v>2562</v>
      </c>
      <c r="Z7" s="371" t="s">
        <v>2563</v>
      </c>
      <c r="AA7" s="371" t="s">
        <v>2564</v>
      </c>
      <c r="AB7" s="371" t="s">
        <v>2565</v>
      </c>
      <c r="AC7" s="371" t="s">
        <v>2566</v>
      </c>
      <c r="AD7" s="371" t="s">
        <v>2519</v>
      </c>
      <c r="AE7" s="394"/>
      <c r="AF7" s="394"/>
      <c r="AG7" s="394"/>
      <c r="AH7" s="411" t="s">
        <v>2504</v>
      </c>
      <c r="AI7" s="411" t="s">
        <v>2505</v>
      </c>
      <c r="AJ7" s="411" t="s">
        <v>2506</v>
      </c>
      <c r="AK7" s="411" t="s">
        <v>2507</v>
      </c>
      <c r="AL7" s="411" t="s">
        <v>2508</v>
      </c>
      <c r="AM7" s="394"/>
      <c r="AN7" s="394"/>
      <c r="AO7" s="394"/>
      <c r="AP7" s="365"/>
      <c r="AQ7" s="365"/>
      <c r="AR7" s="365"/>
      <c r="AS7" s="365"/>
      <c r="AT7" s="365"/>
      <c r="AU7" s="365"/>
      <c r="AV7" s="365"/>
      <c r="AW7" s="365"/>
      <c r="AX7" s="365"/>
      <c r="AY7" s="365"/>
      <c r="AZ7" s="365"/>
      <c r="BA7" s="365"/>
      <c r="BB7" s="365"/>
      <c r="BC7" s="365"/>
      <c r="BD7" s="365"/>
      <c r="BE7" s="365"/>
      <c r="BF7" s="365"/>
      <c r="BG7" s="365"/>
    </row>
    <row r="8" spans="2:59">
      <c r="B8" s="372" t="s">
        <v>2537</v>
      </c>
      <c r="C8" s="372"/>
      <c r="D8" s="372"/>
      <c r="E8" s="412"/>
      <c r="F8" s="414"/>
      <c r="G8" s="414"/>
      <c r="H8" s="414"/>
      <c r="I8" s="414"/>
      <c r="J8" s="414"/>
      <c r="K8" s="414"/>
      <c r="L8" s="414"/>
      <c r="M8" s="414"/>
      <c r="N8" s="414"/>
      <c r="O8" s="414"/>
      <c r="P8" s="414"/>
      <c r="Q8" s="414"/>
      <c r="R8" s="414"/>
      <c r="S8" s="414"/>
      <c r="T8" s="414"/>
      <c r="U8" s="414"/>
      <c r="V8" s="414"/>
      <c r="W8" s="414"/>
      <c r="X8" s="414"/>
      <c r="Y8" s="414"/>
      <c r="Z8" s="414"/>
      <c r="AA8" s="414"/>
      <c r="AB8" s="414"/>
      <c r="AC8" s="414"/>
      <c r="AD8" s="414"/>
      <c r="AH8" s="414"/>
      <c r="AI8" s="414"/>
      <c r="AJ8" s="414"/>
      <c r="AK8" s="414"/>
      <c r="AL8" s="414"/>
      <c r="AP8" s="365"/>
      <c r="AQ8" s="365"/>
      <c r="AR8" s="365"/>
      <c r="AS8" s="365"/>
      <c r="AT8" s="365"/>
      <c r="AU8" s="365"/>
      <c r="AV8" s="365"/>
      <c r="AW8" s="365"/>
      <c r="AX8" s="365"/>
      <c r="AY8" s="365"/>
      <c r="AZ8" s="365"/>
      <c r="BA8" s="365"/>
      <c r="BB8" s="365"/>
      <c r="BC8" s="365"/>
      <c r="BD8" s="365"/>
      <c r="BE8" s="365"/>
      <c r="BF8" s="365"/>
      <c r="BG8" s="365"/>
    </row>
    <row r="9" spans="2:59">
      <c r="B9" s="376" t="str">
        <f>Technologies!B9</f>
        <v>R1</v>
      </c>
      <c r="C9" s="376" t="str">
        <f>Technologies!C9</f>
        <v>MINOILD1</v>
      </c>
      <c r="D9" s="376" t="s">
        <v>506</v>
      </c>
      <c r="E9" s="415" t="str">
        <f>Commodities!$C$10</f>
        <v>OILD0</v>
      </c>
      <c r="F9" s="415">
        <v>1</v>
      </c>
      <c r="G9" s="406">
        <f>G11*'Imp Crude'!$C$5</f>
        <v>10.985032901503299</v>
      </c>
      <c r="H9" s="406">
        <f>H11*'Imp Crude'!$C$5</f>
        <v>12.023778767606524</v>
      </c>
      <c r="I9" s="406">
        <f>I11*'Imp Crude'!$C$5</f>
        <v>11.976269618951905</v>
      </c>
      <c r="J9" s="406">
        <f>J11*'Imp Crude'!$C$5</f>
        <v>13.651596890839382</v>
      </c>
      <c r="K9" s="406">
        <f>K11*'Imp Crude'!$C$5</f>
        <v>14.902155011538648</v>
      </c>
      <c r="L9" s="406">
        <f>L11*'Imp Crude'!$C$5</f>
        <v>16.322527629087038</v>
      </c>
      <c r="M9" s="406">
        <f>M11*'Imp Crude'!$C$5</f>
        <v>17.862996923404218</v>
      </c>
      <c r="N9" s="406">
        <f>N11*'Imp Crude'!$C$5</f>
        <v>19.548850909397785</v>
      </c>
      <c r="O9" s="406">
        <f>O11*'Imp Crude'!$C$5</f>
        <v>21.393810541228788</v>
      </c>
      <c r="P9" s="406">
        <f>P11*'Imp Crude'!$C$5</f>
        <v>23.41289171395556</v>
      </c>
      <c r="Q9" s="405" t="e">
        <f>T9/SUM($T$9:$T$13)*'Domestic Crude Oil CUM'!$J$7</f>
        <v>#REF!</v>
      </c>
      <c r="R9" s="404" t="e">
        <f>T9*0.9</f>
        <v>#REF!</v>
      </c>
      <c r="S9" s="413" t="e">
        <f>#REF!</f>
        <v>#REF!</v>
      </c>
      <c r="T9" s="413" t="e">
        <f>#REF!</f>
        <v>#REF!</v>
      </c>
      <c r="U9" s="415"/>
      <c r="V9" s="415"/>
      <c r="W9" s="415"/>
      <c r="X9" s="415"/>
      <c r="Y9" s="415"/>
      <c r="Z9" s="415"/>
      <c r="AA9" s="415"/>
      <c r="AB9" s="415"/>
      <c r="AC9" s="426" t="e">
        <f>T9*AC$5</f>
        <v>#REF!</v>
      </c>
      <c r="AD9" s="415"/>
      <c r="AH9" s="415"/>
      <c r="AI9" s="415"/>
      <c r="AJ9" s="415"/>
      <c r="AK9" s="415">
        <v>1.0049999999999999</v>
      </c>
      <c r="AL9" s="415">
        <v>1.01</v>
      </c>
      <c r="AP9" s="365"/>
      <c r="AQ9" s="365"/>
      <c r="AR9" s="365"/>
      <c r="AS9" s="365"/>
      <c r="AT9" s="365"/>
      <c r="AU9" s="365"/>
      <c r="AV9" s="365"/>
      <c r="AW9" s="365"/>
      <c r="AX9" s="365"/>
      <c r="AY9" s="365"/>
      <c r="AZ9" s="365"/>
      <c r="BA9" s="365"/>
      <c r="BB9" s="365"/>
      <c r="BC9" s="365"/>
      <c r="BD9" s="365"/>
      <c r="BE9" s="365"/>
      <c r="BF9" s="365"/>
      <c r="BG9" s="365"/>
    </row>
    <row r="10" spans="2:59">
      <c r="B10" s="376" t="str">
        <f>Technologies!B10</f>
        <v>R1</v>
      </c>
      <c r="C10" s="376" t="str">
        <f>Technologies!C10</f>
        <v>MINOILD2</v>
      </c>
      <c r="D10" s="376" t="s">
        <v>507</v>
      </c>
      <c r="E10" s="415" t="str">
        <f>Commodities!$C$10</f>
        <v>OILD0</v>
      </c>
      <c r="F10" s="415">
        <v>1</v>
      </c>
      <c r="G10" s="406">
        <f>G11*'Imp Crude'!$C$6</f>
        <v>11.595312507142369</v>
      </c>
      <c r="H10" s="406">
        <f>H11*'Imp Crude'!$C$6</f>
        <v>12.691766476917998</v>
      </c>
      <c r="I10" s="406">
        <f>I11*'Imp Crude'!$C$6</f>
        <v>12.641617931115899</v>
      </c>
      <c r="J10" s="406">
        <f>J11*'Imp Crude'!$C$6</f>
        <v>14.410018940330458</v>
      </c>
      <c r="K10" s="406">
        <f>K11*'Imp Crude'!$C$6</f>
        <v>15.730052512179682</v>
      </c>
      <c r="L10" s="406">
        <f>L11*'Imp Crude'!$C$6</f>
        <v>17.229334719591872</v>
      </c>
      <c r="M10" s="406">
        <f>M11*'Imp Crude'!$C$6</f>
        <v>18.855385641371118</v>
      </c>
      <c r="N10" s="406">
        <f>N11*'Imp Crude'!$C$6</f>
        <v>20.634898182142102</v>
      </c>
      <c r="O10" s="406">
        <f>O11*'Imp Crude'!$C$6</f>
        <v>22.582355571297054</v>
      </c>
      <c r="P10" s="406">
        <f>P11*'Imp Crude'!$C$6</f>
        <v>24.713607920286425</v>
      </c>
      <c r="Q10" s="405" t="e">
        <f>T10/SUM($T$9:$T$13)*'Domestic Crude Oil CUM'!$J$7</f>
        <v>#REF!</v>
      </c>
      <c r="R10" s="404" t="e">
        <f t="shared" ref="R10:R11" si="1">T10*0.9</f>
        <v>#REF!</v>
      </c>
      <c r="S10" s="413" t="e">
        <f>#REF!</f>
        <v>#REF!</v>
      </c>
      <c r="T10" s="413" t="e">
        <f>#REF!</f>
        <v>#REF!</v>
      </c>
      <c r="U10" s="415"/>
      <c r="V10" s="415"/>
      <c r="W10" s="415"/>
      <c r="X10" s="415"/>
      <c r="Y10" s="415"/>
      <c r="Z10" s="415"/>
      <c r="AA10" s="415"/>
      <c r="AB10" s="415"/>
      <c r="AC10" s="426" t="e">
        <f t="shared" ref="AC10:AC13" si="2">T10*AC$5</f>
        <v>#REF!</v>
      </c>
      <c r="AD10" s="415"/>
      <c r="AH10" s="415"/>
      <c r="AI10" s="415"/>
      <c r="AJ10" s="415"/>
      <c r="AK10" s="415">
        <v>1.0049999999999999</v>
      </c>
      <c r="AL10" s="415">
        <v>1.01</v>
      </c>
      <c r="AP10" s="365"/>
      <c r="AQ10" s="365"/>
      <c r="AR10" s="365"/>
      <c r="AS10" s="365"/>
      <c r="AT10" s="365"/>
      <c r="AU10" s="365"/>
      <c r="AV10" s="365"/>
      <c r="AW10" s="365"/>
      <c r="AX10" s="365"/>
      <c r="AY10" s="365"/>
      <c r="AZ10" s="365"/>
      <c r="BA10" s="365"/>
      <c r="BB10" s="365"/>
      <c r="BC10" s="365"/>
      <c r="BD10" s="365"/>
      <c r="BE10" s="365"/>
      <c r="BF10" s="365"/>
      <c r="BG10" s="365"/>
    </row>
    <row r="11" spans="2:59">
      <c r="B11" s="376" t="str">
        <f>Technologies!B11</f>
        <v>R1</v>
      </c>
      <c r="C11" s="376" t="str">
        <f>Technologies!C11</f>
        <v>MINOILD3</v>
      </c>
      <c r="D11" s="376" t="s">
        <v>508</v>
      </c>
      <c r="E11" s="415" t="str">
        <f>Commodities!$C$10</f>
        <v>OILD0</v>
      </c>
      <c r="F11" s="415">
        <v>1</v>
      </c>
      <c r="G11" s="406">
        <f>'Domestic Crude Oil Prices'!M31*'Imp Crude'!$J$5</f>
        <v>12.205592112781442</v>
      </c>
      <c r="H11" s="406">
        <f>'Domestic Crude Oil Prices'!N31*'Imp Crude'!$J$5</f>
        <v>13.359754186229472</v>
      </c>
      <c r="I11" s="406">
        <f>'Domestic Crude Oil Prices'!O31*'Imp Crude'!$J$5</f>
        <v>13.306966243279895</v>
      </c>
      <c r="J11" s="406">
        <f>'Domestic Crude Oil Prices'!P31*'Imp Crude'!$J$5</f>
        <v>15.168440989821535</v>
      </c>
      <c r="K11" s="406">
        <f>'Domestic Crude Oil Prices'!Q31*'Imp Crude'!$J$5</f>
        <v>16.557950012820719</v>
      </c>
      <c r="L11" s="406">
        <f>'Domestic Crude Oil Prices'!R31*'Imp Crude'!$J$5</f>
        <v>18.136141810096706</v>
      </c>
      <c r="M11" s="406">
        <f>'Domestic Crude Oil Prices'!S31*'Imp Crude'!$J$5</f>
        <v>19.847774359338018</v>
      </c>
      <c r="N11" s="406">
        <f>M11*'Domestic Crude Oil Prices'!$T$30</f>
        <v>21.720945454886426</v>
      </c>
      <c r="O11" s="406">
        <f>N11*'Domestic Crude Oil Prices'!$T$30</f>
        <v>23.770900601365319</v>
      </c>
      <c r="P11" s="406">
        <f>O11*'Domestic Crude Oil Prices'!$T$30</f>
        <v>26.014324126617289</v>
      </c>
      <c r="Q11" s="405" t="e">
        <f>T11/SUM($T$9:$T$13)*'Domestic Crude Oil CUM'!$J$7</f>
        <v>#REF!</v>
      </c>
      <c r="R11" s="404" t="e">
        <f t="shared" si="1"/>
        <v>#REF!</v>
      </c>
      <c r="S11" s="413" t="e">
        <f>#REF!</f>
        <v>#REF!</v>
      </c>
      <c r="T11" s="413" t="e">
        <f>#REF!</f>
        <v>#REF!</v>
      </c>
      <c r="U11" s="415"/>
      <c r="V11" s="415"/>
      <c r="W11" s="415"/>
      <c r="X11" s="415"/>
      <c r="Y11" s="415"/>
      <c r="Z11" s="415"/>
      <c r="AA11" s="415"/>
      <c r="AB11" s="415"/>
      <c r="AC11" s="426" t="e">
        <f t="shared" si="2"/>
        <v>#REF!</v>
      </c>
      <c r="AD11" s="415"/>
      <c r="AH11" s="415"/>
      <c r="AI11" s="403"/>
      <c r="AJ11" s="415"/>
      <c r="AK11" s="415">
        <v>1.0049999999999999</v>
      </c>
      <c r="AL11" s="415">
        <v>1.01</v>
      </c>
      <c r="AP11" s="365"/>
      <c r="AQ11" s="365"/>
      <c r="AR11" s="365"/>
      <c r="AS11" s="365"/>
      <c r="AT11" s="365"/>
      <c r="AU11" s="365"/>
      <c r="AV11" s="365"/>
      <c r="AW11" s="365"/>
      <c r="AX11" s="365"/>
      <c r="AY11" s="365"/>
      <c r="AZ11" s="365"/>
      <c r="BA11" s="365"/>
      <c r="BB11" s="365"/>
      <c r="BC11" s="365"/>
      <c r="BD11" s="365"/>
      <c r="BE11" s="365"/>
      <c r="BF11" s="365"/>
      <c r="BG11" s="365"/>
    </row>
    <row r="12" spans="2:59">
      <c r="B12" s="376" t="str">
        <f>Technologies!B12</f>
        <v>R1</v>
      </c>
      <c r="C12" s="376" t="str">
        <f>Technologies!C12</f>
        <v>MINOILD4</v>
      </c>
      <c r="D12" s="376" t="s">
        <v>509</v>
      </c>
      <c r="E12" s="415" t="str">
        <f>Commodities!$C$10</f>
        <v>OILD0</v>
      </c>
      <c r="F12" s="415">
        <v>1</v>
      </c>
      <c r="G12" s="406">
        <f>G11*'Imp Crude'!$C$8</f>
        <v>12.815871718420516</v>
      </c>
      <c r="H12" s="406">
        <f>H11*'Imp Crude'!$C$8</f>
        <v>14.027741895540945</v>
      </c>
      <c r="I12" s="406">
        <f>I11*'Imp Crude'!$C$8</f>
        <v>13.972314555443891</v>
      </c>
      <c r="J12" s="406">
        <f>J11*'Imp Crude'!$C$8</f>
        <v>15.926863039312613</v>
      </c>
      <c r="K12" s="406">
        <f>K11*'Imp Crude'!$C$8</f>
        <v>17.385847513461755</v>
      </c>
      <c r="L12" s="406">
        <f>L11*'Imp Crude'!$C$8</f>
        <v>19.042948900601541</v>
      </c>
      <c r="M12" s="406">
        <f>M11*'Imp Crude'!$C$8</f>
        <v>20.840163077304918</v>
      </c>
      <c r="N12" s="406">
        <f>N11*'Imp Crude'!$C$8</f>
        <v>22.80699272763075</v>
      </c>
      <c r="O12" s="406">
        <f>O11*'Imp Crude'!$C$8</f>
        <v>24.959445631433585</v>
      </c>
      <c r="P12" s="406">
        <f>P11*'Imp Crude'!$C$8</f>
        <v>27.315040332948154</v>
      </c>
      <c r="Q12" s="405" t="e">
        <f>T12/SUM($T$9:$T$13)*'Domestic Crude Oil CUM'!$J$7</f>
        <v>#REF!</v>
      </c>
      <c r="R12" s="404"/>
      <c r="S12" s="413" t="e">
        <f>#REF!</f>
        <v>#REF!</v>
      </c>
      <c r="T12" s="413" t="e">
        <f>#REF!</f>
        <v>#REF!</v>
      </c>
      <c r="U12" s="415"/>
      <c r="V12" s="415"/>
      <c r="W12" s="415"/>
      <c r="X12" s="415"/>
      <c r="Y12" s="415"/>
      <c r="Z12" s="415"/>
      <c r="AA12" s="415"/>
      <c r="AB12" s="415"/>
      <c r="AC12" s="426" t="e">
        <f t="shared" si="2"/>
        <v>#REF!</v>
      </c>
      <c r="AD12" s="415"/>
      <c r="AH12" s="415"/>
      <c r="AI12" s="403" t="e">
        <f>T12*0.1</f>
        <v>#REF!</v>
      </c>
      <c r="AJ12" s="415"/>
      <c r="AK12" s="415">
        <v>1.0049999999999999</v>
      </c>
      <c r="AL12" s="415">
        <v>1.01</v>
      </c>
      <c r="AP12" s="365"/>
      <c r="AQ12" s="365"/>
      <c r="AR12" s="365"/>
      <c r="AS12" s="365"/>
      <c r="AT12" s="365"/>
      <c r="AU12" s="365"/>
      <c r="AV12" s="365"/>
      <c r="AW12" s="365"/>
      <c r="AX12" s="365"/>
      <c r="AY12" s="365"/>
      <c r="AZ12" s="365"/>
      <c r="BA12" s="365"/>
      <c r="BB12" s="365"/>
      <c r="BC12" s="365"/>
      <c r="BD12" s="365"/>
      <c r="BE12" s="365"/>
      <c r="BF12" s="365"/>
      <c r="BG12" s="365"/>
    </row>
    <row r="13" spans="2:59">
      <c r="B13" s="376" t="str">
        <f>Technologies!B13</f>
        <v>R1</v>
      </c>
      <c r="C13" s="376" t="str">
        <f>Technologies!C13</f>
        <v>MINOILD5</v>
      </c>
      <c r="D13" s="376" t="s">
        <v>510</v>
      </c>
      <c r="E13" s="415" t="str">
        <f>Commodities!$C$10</f>
        <v>OILD0</v>
      </c>
      <c r="F13" s="415">
        <v>1</v>
      </c>
      <c r="G13" s="406">
        <f>G12*'Imp Crude'!$C$9</f>
        <v>16.660633233946673</v>
      </c>
      <c r="H13" s="406">
        <f>H12*'Imp Crude'!$C$9</f>
        <v>18.236064464203228</v>
      </c>
      <c r="I13" s="406">
        <f>I12*'Imp Crude'!$C$9</f>
        <v>18.164008922077059</v>
      </c>
      <c r="J13" s="406">
        <f>J12*'Imp Crude'!$C$9</f>
        <v>20.704921951106396</v>
      </c>
      <c r="K13" s="406">
        <f>K12*'Imp Crude'!$C$9</f>
        <v>22.601601767500281</v>
      </c>
      <c r="L13" s="406">
        <f>L12*'Imp Crude'!$C$9</f>
        <v>24.755833570782006</v>
      </c>
      <c r="M13" s="406">
        <f>M12*'Imp Crude'!$C$9</f>
        <v>27.092212000496396</v>
      </c>
      <c r="N13" s="406">
        <f>N12*'Imp Crude'!$C$9</f>
        <v>29.649090545919975</v>
      </c>
      <c r="O13" s="406">
        <f>O12*'Imp Crude'!$C$9</f>
        <v>32.447279320863665</v>
      </c>
      <c r="P13" s="406">
        <f>P12*'Imp Crude'!$C$9</f>
        <v>35.509552432832599</v>
      </c>
      <c r="Q13" s="405" t="e">
        <f>T13/SUM($T$9:$T$13)*'Domestic Crude Oil CUM'!$J$7</f>
        <v>#REF!</v>
      </c>
      <c r="R13" s="404"/>
      <c r="S13" s="413">
        <v>0</v>
      </c>
      <c r="T13" s="413" t="e">
        <f>#REF!</f>
        <v>#REF!</v>
      </c>
      <c r="U13" s="415"/>
      <c r="V13" s="415"/>
      <c r="W13" s="415"/>
      <c r="X13" s="415"/>
      <c r="Y13" s="415"/>
      <c r="Z13" s="415"/>
      <c r="AA13" s="415"/>
      <c r="AB13" s="415"/>
      <c r="AC13" s="426" t="e">
        <f t="shared" si="2"/>
        <v>#REF!</v>
      </c>
      <c r="AD13" s="415"/>
      <c r="AH13" s="415"/>
      <c r="AI13" s="403" t="e">
        <f>T13*0.1</f>
        <v>#REF!</v>
      </c>
      <c r="AJ13" s="415"/>
      <c r="AK13" s="415">
        <v>1.0049999999999999</v>
      </c>
      <c r="AL13" s="415">
        <v>1.01</v>
      </c>
      <c r="AP13" s="365"/>
      <c r="AQ13" s="365"/>
      <c r="AR13" s="365"/>
      <c r="AS13" s="365"/>
      <c r="AT13" s="365"/>
      <c r="AU13" s="365"/>
      <c r="AV13" s="365"/>
      <c r="AW13" s="365"/>
      <c r="AX13" s="365"/>
      <c r="AY13" s="365"/>
      <c r="AZ13" s="365"/>
      <c r="BA13" s="365"/>
      <c r="BB13" s="365"/>
      <c r="BC13" s="365"/>
      <c r="BD13" s="365"/>
      <c r="BE13" s="365"/>
      <c r="BF13" s="365"/>
      <c r="BG13" s="365"/>
    </row>
    <row r="14" spans="2:59">
      <c r="O14" s="389"/>
      <c r="P14" s="389"/>
      <c r="Q14" s="389"/>
      <c r="R14" s="389"/>
      <c r="S14" s="389"/>
      <c r="T14" s="389"/>
      <c r="U14" s="389"/>
      <c r="V14" s="389"/>
      <c r="W14" s="389"/>
      <c r="X14" s="389"/>
      <c r="Y14" s="390"/>
      <c r="Z14" s="391"/>
    </row>
    <row r="15" spans="2:59">
      <c r="O15" s="389"/>
      <c r="P15" s="389"/>
      <c r="Q15" s="389"/>
      <c r="R15" s="389"/>
      <c r="S15" s="389"/>
      <c r="T15" s="389"/>
      <c r="U15" s="389"/>
      <c r="V15" s="389"/>
      <c r="W15" s="389"/>
      <c r="X15" s="389"/>
      <c r="Y15" s="390"/>
      <c r="Z15" s="391"/>
    </row>
    <row r="16" spans="2:59" ht="17.25" customHeight="1">
      <c r="F16" s="410" t="s">
        <v>2532</v>
      </c>
      <c r="AW16" s="387"/>
      <c r="AX16" s="387"/>
      <c r="AY16" s="387"/>
      <c r="AZ16" s="387"/>
      <c r="BA16" s="387"/>
      <c r="BB16" s="387"/>
      <c r="BC16" s="387"/>
      <c r="BD16" s="387"/>
      <c r="BE16" s="387"/>
      <c r="BF16" s="388"/>
      <c r="BG16" s="388"/>
    </row>
    <row r="17" spans="2:59" ht="15.75" customHeight="1">
      <c r="B17" s="371" t="s">
        <v>739</v>
      </c>
      <c r="C17" s="371" t="s">
        <v>375</v>
      </c>
      <c r="D17" s="371" t="s">
        <v>376</v>
      </c>
      <c r="E17" s="371" t="s">
        <v>378</v>
      </c>
      <c r="F17" s="371" t="s">
        <v>379</v>
      </c>
      <c r="G17" s="371" t="s">
        <v>2538</v>
      </c>
      <c r="H17" s="371" t="s">
        <v>2555</v>
      </c>
      <c r="I17" s="371" t="s">
        <v>2556</v>
      </c>
      <c r="J17" s="371" t="s">
        <v>2557</v>
      </c>
      <c r="K17" s="371" t="s">
        <v>2558</v>
      </c>
      <c r="L17" s="371" t="s">
        <v>2559</v>
      </c>
      <c r="M17" s="371" t="s">
        <v>2560</v>
      </c>
      <c r="N17" s="371" t="s">
        <v>2561</v>
      </c>
      <c r="O17" s="371" t="s">
        <v>2562</v>
      </c>
      <c r="P17" s="371" t="s">
        <v>2563</v>
      </c>
      <c r="Q17" s="371" t="s">
        <v>2564</v>
      </c>
      <c r="R17" s="371" t="s">
        <v>2565</v>
      </c>
      <c r="S17" s="371" t="s">
        <v>2566</v>
      </c>
      <c r="T17" s="371" t="s">
        <v>2519</v>
      </c>
      <c r="U17" s="394"/>
      <c r="V17" s="394"/>
      <c r="W17" s="394"/>
      <c r="X17" s="371" t="s">
        <v>2521</v>
      </c>
      <c r="Y17" s="371" t="s">
        <v>2522</v>
      </c>
      <c r="Z17" s="371" t="s">
        <v>2523</v>
      </c>
      <c r="AA17" s="371" t="s">
        <v>2524</v>
      </c>
      <c r="AB17" s="371" t="s">
        <v>2525</v>
      </c>
      <c r="AC17" s="371" t="s">
        <v>2526</v>
      </c>
      <c r="AD17" s="371" t="s">
        <v>2527</v>
      </c>
      <c r="AE17" s="371" t="s">
        <v>2528</v>
      </c>
      <c r="AF17" s="371" t="s">
        <v>2529</v>
      </c>
      <c r="AG17" s="371" t="s">
        <v>2530</v>
      </c>
      <c r="AH17" s="371" t="s">
        <v>2531</v>
      </c>
      <c r="AI17" s="365"/>
      <c r="AJ17" s="365"/>
      <c r="AK17" s="365"/>
      <c r="AL17" s="365"/>
      <c r="AM17" s="365"/>
      <c r="AN17" s="365"/>
      <c r="AO17" s="365"/>
      <c r="AP17" s="365"/>
      <c r="AQ17" s="365"/>
      <c r="AR17" s="365"/>
      <c r="AS17" s="365"/>
      <c r="AT17" s="365"/>
      <c r="AU17" s="365"/>
      <c r="AV17" s="365"/>
      <c r="AW17" s="365"/>
      <c r="AX17" s="365"/>
      <c r="AY17" s="365"/>
      <c r="AZ17" s="365"/>
      <c r="BA17" s="365"/>
      <c r="BB17" s="365"/>
      <c r="BC17" s="365"/>
      <c r="BD17" s="365"/>
      <c r="BE17" s="365"/>
      <c r="BF17" s="365"/>
      <c r="BG17" s="365"/>
    </row>
    <row r="18" spans="2:59" ht="15.75" customHeight="1">
      <c r="B18" s="402" t="s">
        <v>2539</v>
      </c>
      <c r="C18" s="402"/>
      <c r="D18" s="402"/>
      <c r="E18" s="402"/>
      <c r="F18" s="402"/>
      <c r="G18" s="402"/>
      <c r="H18" s="402"/>
      <c r="I18" s="402"/>
      <c r="J18" s="402"/>
      <c r="K18" s="402"/>
      <c r="L18" s="402"/>
      <c r="M18" s="402"/>
      <c r="N18" s="402"/>
      <c r="O18" s="402"/>
      <c r="P18" s="402"/>
      <c r="Q18" s="402"/>
      <c r="R18" s="402"/>
      <c r="S18" s="402"/>
      <c r="T18" s="402"/>
      <c r="U18" s="394"/>
      <c r="V18" s="394"/>
      <c r="W18" s="394"/>
      <c r="X18" s="402"/>
      <c r="Y18" s="402"/>
      <c r="Z18" s="402"/>
      <c r="AA18" s="402"/>
      <c r="AB18" s="402"/>
      <c r="AC18" s="402"/>
      <c r="AD18" s="402"/>
      <c r="AE18" s="402"/>
      <c r="AF18" s="402"/>
      <c r="AG18" s="402"/>
      <c r="AH18" s="402"/>
      <c r="AI18" s="365"/>
      <c r="AJ18" s="365"/>
      <c r="AK18" s="365"/>
      <c r="AL18" s="365"/>
      <c r="AM18" s="365"/>
      <c r="AN18" s="365"/>
      <c r="AO18" s="365"/>
      <c r="AP18" s="365"/>
      <c r="AQ18" s="365"/>
      <c r="AR18" s="365"/>
      <c r="AS18" s="365"/>
      <c r="AT18" s="365"/>
      <c r="AU18" s="365"/>
      <c r="AV18" s="365"/>
      <c r="AW18" s="365"/>
      <c r="AX18" s="365"/>
      <c r="AY18" s="365"/>
      <c r="AZ18" s="365"/>
      <c r="BA18" s="365"/>
      <c r="BB18" s="365"/>
      <c r="BC18" s="365"/>
      <c r="BD18" s="365"/>
      <c r="BE18" s="365"/>
      <c r="BF18" s="365"/>
      <c r="BG18" s="365"/>
    </row>
    <row r="19" spans="2:59">
      <c r="B19" s="376" t="str">
        <f>Technologies!B$18</f>
        <v>R1</v>
      </c>
      <c r="C19" s="376" t="str">
        <f>Technologies!C$18</f>
        <v>SCMINOILD</v>
      </c>
      <c r="D19" s="376" t="s">
        <v>516</v>
      </c>
      <c r="E19" s="376" t="str">
        <f>Commodities!$C$10</f>
        <v>OILD0</v>
      </c>
      <c r="F19" s="415" t="str">
        <f>Commodities!C11</f>
        <v>OILD1</v>
      </c>
      <c r="G19" s="415">
        <v>1</v>
      </c>
      <c r="H19" s="405"/>
      <c r="I19" s="405"/>
      <c r="J19" s="405"/>
      <c r="K19" s="415"/>
      <c r="L19" s="415"/>
      <c r="M19" s="415"/>
      <c r="N19" s="415"/>
      <c r="O19" s="415"/>
      <c r="P19" s="415"/>
      <c r="Q19" s="415"/>
      <c r="R19" s="415"/>
      <c r="S19" s="415"/>
      <c r="T19" s="415"/>
      <c r="AI19" s="365"/>
      <c r="AJ19" s="365"/>
      <c r="AK19" s="365"/>
      <c r="AL19" s="365"/>
      <c r="AM19" s="365"/>
      <c r="AN19" s="365"/>
      <c r="AO19" s="365"/>
      <c r="AP19" s="365"/>
      <c r="AQ19" s="365"/>
      <c r="AR19" s="365"/>
      <c r="AS19" s="365"/>
      <c r="AT19" s="365"/>
      <c r="AU19" s="365"/>
      <c r="AV19" s="365"/>
      <c r="AW19" s="365"/>
      <c r="AX19" s="365"/>
      <c r="AY19" s="365"/>
      <c r="AZ19" s="365"/>
      <c r="BA19" s="365"/>
      <c r="BB19" s="365"/>
      <c r="BC19" s="365"/>
      <c r="BD19" s="365"/>
      <c r="BE19" s="365"/>
      <c r="BF19" s="365"/>
      <c r="BG19" s="365"/>
    </row>
    <row r="20" spans="2:59">
      <c r="B20" s="376" t="s">
        <v>588</v>
      </c>
      <c r="C20" s="376" t="str">
        <f>Technologies!C$18</f>
        <v>SCMINOILD</v>
      </c>
      <c r="D20" s="376" t="s">
        <v>516</v>
      </c>
      <c r="E20" s="376" t="str">
        <f>Commodities!$C$10</f>
        <v>OILD0</v>
      </c>
      <c r="F20" s="415" t="str">
        <f>Commodities!C12</f>
        <v>OILD2</v>
      </c>
      <c r="G20" s="415">
        <v>1</v>
      </c>
      <c r="H20" s="405"/>
      <c r="I20" s="415"/>
      <c r="J20" s="415"/>
      <c r="K20" s="415"/>
      <c r="L20" s="415"/>
      <c r="M20" s="415"/>
      <c r="N20" s="415"/>
      <c r="O20" s="415"/>
      <c r="P20" s="415"/>
      <c r="Q20" s="415"/>
      <c r="R20" s="415"/>
      <c r="S20" s="415"/>
      <c r="T20" s="415"/>
      <c r="X20" s="381">
        <f>Emissions!D6</f>
        <v>1.0994635376187136E-3</v>
      </c>
      <c r="Y20" s="381">
        <f>Emissions!E6</f>
        <v>2.9382215229465623E-3</v>
      </c>
      <c r="Z20" s="381">
        <f>Emissions!F6</f>
        <v>9.2506587303091761E-3</v>
      </c>
      <c r="AA20" s="381">
        <f>Emissions!G6</f>
        <v>1.1184198055086913E-3</v>
      </c>
      <c r="AB20" s="381">
        <f>Emissions!H6</f>
        <v>3.8860349174454526E-4</v>
      </c>
      <c r="AC20" s="381">
        <f>Emissions!I6</f>
        <v>1.9524955926677155E-3</v>
      </c>
      <c r="AD20" s="381">
        <f>Emissions!C75</f>
        <v>8.0620206724657542E-2</v>
      </c>
      <c r="AE20" s="381">
        <f>Emissions!K6</f>
        <v>4.3599416146948987E-5</v>
      </c>
      <c r="AF20" s="381">
        <f>Emissions!B75/1000</f>
        <v>2.213380878401827E-3</v>
      </c>
      <c r="AG20" s="381">
        <f>Emissions!M6</f>
        <v>3.1277842018463403E-5</v>
      </c>
      <c r="AH20" s="381">
        <f>Emissions!N6</f>
        <v>1.2321574128485582E-5</v>
      </c>
      <c r="AI20" s="365"/>
      <c r="AJ20" s="365"/>
      <c r="AK20" s="365"/>
      <c r="AL20" s="365"/>
      <c r="AM20" s="365"/>
      <c r="AN20" s="365"/>
      <c r="AO20" s="365"/>
      <c r="AP20" s="365"/>
      <c r="AQ20" s="365"/>
      <c r="AR20" s="365"/>
      <c r="AS20" s="365"/>
      <c r="AT20" s="365"/>
      <c r="AU20" s="365"/>
      <c r="AV20" s="365"/>
      <c r="AW20" s="365"/>
      <c r="AX20" s="365"/>
      <c r="AY20" s="365"/>
      <c r="AZ20" s="365"/>
      <c r="BA20" s="365"/>
      <c r="BB20" s="365"/>
      <c r="BC20" s="365"/>
      <c r="BD20" s="365"/>
      <c r="BE20" s="365"/>
      <c r="BF20" s="365"/>
      <c r="BG20" s="365"/>
    </row>
    <row r="21" spans="2:59">
      <c r="B21" s="376" t="s">
        <v>588</v>
      </c>
      <c r="C21" s="376" t="str">
        <f>Technologies!C$18</f>
        <v>SCMINOILD</v>
      </c>
      <c r="D21" s="376" t="s">
        <v>516</v>
      </c>
      <c r="E21" s="376" t="str">
        <f>Commodities!$C$10</f>
        <v>OILD0</v>
      </c>
      <c r="F21" s="415" t="str">
        <f>Commodities!C13</f>
        <v>OILD3</v>
      </c>
      <c r="G21" s="415">
        <v>1</v>
      </c>
      <c r="H21" s="405"/>
      <c r="I21" s="415"/>
      <c r="J21" s="415"/>
      <c r="K21" s="415"/>
      <c r="L21" s="415"/>
      <c r="M21" s="415"/>
      <c r="N21" s="415"/>
      <c r="O21" s="415"/>
      <c r="P21" s="415"/>
      <c r="Q21" s="415"/>
      <c r="R21" s="415"/>
      <c r="S21" s="415"/>
      <c r="T21" s="415"/>
      <c r="X21" s="381">
        <f>X20</f>
        <v>1.0994635376187136E-3</v>
      </c>
      <c r="Y21" s="381">
        <f t="shared" ref="Y21:AH21" si="3">Y20</f>
        <v>2.9382215229465623E-3</v>
      </c>
      <c r="Z21" s="381">
        <f t="shared" si="3"/>
        <v>9.2506587303091761E-3</v>
      </c>
      <c r="AA21" s="381">
        <f t="shared" si="3"/>
        <v>1.1184198055086913E-3</v>
      </c>
      <c r="AB21" s="381">
        <f t="shared" si="3"/>
        <v>3.8860349174454526E-4</v>
      </c>
      <c r="AC21" s="381">
        <f t="shared" si="3"/>
        <v>1.9524955926677155E-3</v>
      </c>
      <c r="AD21" s="381">
        <f t="shared" si="3"/>
        <v>8.0620206724657542E-2</v>
      </c>
      <c r="AE21" s="381">
        <f t="shared" si="3"/>
        <v>4.3599416146948987E-5</v>
      </c>
      <c r="AF21" s="381">
        <f t="shared" si="3"/>
        <v>2.213380878401827E-3</v>
      </c>
      <c r="AG21" s="381">
        <f t="shared" si="3"/>
        <v>3.1277842018463403E-5</v>
      </c>
      <c r="AH21" s="381">
        <f t="shared" si="3"/>
        <v>1.2321574128485582E-5</v>
      </c>
      <c r="AI21" s="365"/>
      <c r="AJ21" s="365"/>
      <c r="AK21" s="365"/>
      <c r="AL21" s="365"/>
      <c r="AM21" s="365"/>
      <c r="AN21" s="365"/>
      <c r="AO21" s="365"/>
      <c r="AP21" s="365"/>
      <c r="AQ21" s="365"/>
      <c r="AR21" s="365"/>
      <c r="AS21" s="365"/>
      <c r="AT21" s="365"/>
      <c r="AU21" s="365"/>
      <c r="AV21" s="365"/>
      <c r="AW21" s="365"/>
      <c r="AX21" s="365"/>
      <c r="AY21" s="365"/>
      <c r="AZ21" s="365"/>
      <c r="BA21" s="365"/>
      <c r="BB21" s="365"/>
      <c r="BC21" s="365"/>
      <c r="BD21" s="365"/>
      <c r="BE21" s="365"/>
      <c r="BF21" s="365"/>
      <c r="BG21" s="365"/>
    </row>
    <row r="22" spans="2:59">
      <c r="B22" s="376" t="s">
        <v>588</v>
      </c>
      <c r="C22" s="376" t="str">
        <f>Technologies!C$18</f>
        <v>SCMINOILD</v>
      </c>
      <c r="D22" s="376" t="s">
        <v>516</v>
      </c>
      <c r="E22" s="376" t="str">
        <f>Commodities!$C$10</f>
        <v>OILD0</v>
      </c>
      <c r="F22" s="415" t="str">
        <f>Commodities!C14</f>
        <v>OILD4</v>
      </c>
      <c r="G22" s="415">
        <v>1</v>
      </c>
      <c r="H22" s="405"/>
      <c r="I22" s="415"/>
      <c r="J22" s="415"/>
      <c r="K22" s="415"/>
      <c r="L22" s="415"/>
      <c r="M22" s="415"/>
      <c r="N22" s="415"/>
      <c r="O22" s="415"/>
      <c r="P22" s="415"/>
      <c r="Q22" s="415"/>
      <c r="R22" s="415"/>
      <c r="S22" s="415"/>
      <c r="T22" s="415"/>
      <c r="X22" s="381">
        <f t="shared" ref="X22:X24" si="4">X21</f>
        <v>1.0994635376187136E-3</v>
      </c>
      <c r="Y22" s="381">
        <f t="shared" ref="Y22:Y24" si="5">Y21</f>
        <v>2.9382215229465623E-3</v>
      </c>
      <c r="Z22" s="381">
        <f t="shared" ref="Z22:Z24" si="6">Z21</f>
        <v>9.2506587303091761E-3</v>
      </c>
      <c r="AA22" s="381">
        <f t="shared" ref="AA22:AA24" si="7">AA21</f>
        <v>1.1184198055086913E-3</v>
      </c>
      <c r="AB22" s="381">
        <f t="shared" ref="AB22:AB24" si="8">AB21</f>
        <v>3.8860349174454526E-4</v>
      </c>
      <c r="AC22" s="381">
        <f t="shared" ref="AC22:AC24" si="9">AC21</f>
        <v>1.9524955926677155E-3</v>
      </c>
      <c r="AD22" s="381">
        <f t="shared" ref="AD22:AD24" si="10">AD21</f>
        <v>8.0620206724657542E-2</v>
      </c>
      <c r="AE22" s="381">
        <f t="shared" ref="AE22:AE24" si="11">AE21</f>
        <v>4.3599416146948987E-5</v>
      </c>
      <c r="AF22" s="381">
        <f t="shared" ref="AF22:AF24" si="12">AF21</f>
        <v>2.213380878401827E-3</v>
      </c>
      <c r="AG22" s="381">
        <f t="shared" ref="AG22:AG24" si="13">AG21</f>
        <v>3.1277842018463403E-5</v>
      </c>
      <c r="AH22" s="381">
        <f t="shared" ref="AH22:AH24" si="14">AH21</f>
        <v>1.2321574128485582E-5</v>
      </c>
      <c r="AI22" s="365"/>
      <c r="AJ22" s="365"/>
      <c r="AK22" s="365"/>
      <c r="AL22" s="365"/>
      <c r="AM22" s="365"/>
      <c r="AN22" s="365"/>
      <c r="AO22" s="365"/>
      <c r="AP22" s="365"/>
      <c r="AQ22" s="365"/>
      <c r="AR22" s="365"/>
      <c r="AS22" s="365"/>
      <c r="AT22" s="365"/>
      <c r="AU22" s="365"/>
      <c r="AV22" s="365"/>
      <c r="AW22" s="365"/>
      <c r="AX22" s="365"/>
      <c r="AY22" s="365"/>
      <c r="AZ22" s="365"/>
      <c r="BA22" s="365"/>
      <c r="BB22" s="365"/>
      <c r="BC22" s="365"/>
      <c r="BD22" s="365"/>
      <c r="BE22" s="365"/>
      <c r="BF22" s="365"/>
      <c r="BG22" s="365"/>
    </row>
    <row r="23" spans="2:59">
      <c r="B23" s="376" t="s">
        <v>588</v>
      </c>
      <c r="C23" s="376" t="str">
        <f>Technologies!C$18</f>
        <v>SCMINOILD</v>
      </c>
      <c r="D23" s="376" t="s">
        <v>516</v>
      </c>
      <c r="E23" s="376" t="str">
        <f>Commodities!$C$10</f>
        <v>OILD0</v>
      </c>
      <c r="F23" s="415" t="str">
        <f>Commodities!C15</f>
        <v>OILD5</v>
      </c>
      <c r="G23" s="415">
        <v>1</v>
      </c>
      <c r="H23" s="405"/>
      <c r="I23" s="415"/>
      <c r="J23" s="415"/>
      <c r="K23" s="415"/>
      <c r="L23" s="415"/>
      <c r="M23" s="415"/>
      <c r="N23" s="415"/>
      <c r="O23" s="415"/>
      <c r="P23" s="415"/>
      <c r="Q23" s="415"/>
      <c r="R23" s="415"/>
      <c r="S23" s="415"/>
      <c r="T23" s="415"/>
      <c r="X23" s="381">
        <f t="shared" si="4"/>
        <v>1.0994635376187136E-3</v>
      </c>
      <c r="Y23" s="381">
        <f t="shared" si="5"/>
        <v>2.9382215229465623E-3</v>
      </c>
      <c r="Z23" s="381">
        <f t="shared" si="6"/>
        <v>9.2506587303091761E-3</v>
      </c>
      <c r="AA23" s="381">
        <f t="shared" si="7"/>
        <v>1.1184198055086913E-3</v>
      </c>
      <c r="AB23" s="381">
        <f t="shared" si="8"/>
        <v>3.8860349174454526E-4</v>
      </c>
      <c r="AC23" s="381">
        <f t="shared" si="9"/>
        <v>1.9524955926677155E-3</v>
      </c>
      <c r="AD23" s="381">
        <f t="shared" si="10"/>
        <v>8.0620206724657542E-2</v>
      </c>
      <c r="AE23" s="381">
        <f t="shared" si="11"/>
        <v>4.3599416146948987E-5</v>
      </c>
      <c r="AF23" s="381">
        <f t="shared" si="12"/>
        <v>2.213380878401827E-3</v>
      </c>
      <c r="AG23" s="381">
        <f t="shared" si="13"/>
        <v>3.1277842018463403E-5</v>
      </c>
      <c r="AH23" s="381">
        <f t="shared" si="14"/>
        <v>1.2321574128485582E-5</v>
      </c>
      <c r="AI23" s="365"/>
      <c r="AJ23" s="365"/>
      <c r="AK23" s="365"/>
      <c r="AL23" s="365"/>
      <c r="AM23" s="365"/>
      <c r="AN23" s="365"/>
      <c r="AO23" s="365"/>
      <c r="AP23" s="365"/>
      <c r="AQ23" s="365"/>
      <c r="AR23" s="365"/>
      <c r="AS23" s="365"/>
      <c r="AT23" s="365"/>
      <c r="AU23" s="365"/>
      <c r="AV23" s="365"/>
      <c r="AW23" s="365"/>
      <c r="AX23" s="365"/>
      <c r="AY23" s="365"/>
      <c r="AZ23" s="365"/>
      <c r="BA23" s="365"/>
      <c r="BB23" s="365"/>
      <c r="BC23" s="365"/>
      <c r="BD23" s="365"/>
      <c r="BE23" s="365"/>
      <c r="BF23" s="365"/>
      <c r="BG23" s="365"/>
    </row>
    <row r="24" spans="2:59">
      <c r="B24" s="376" t="s">
        <v>588</v>
      </c>
      <c r="C24" s="376" t="str">
        <f>Technologies!C$18</f>
        <v>SCMINOILD</v>
      </c>
      <c r="D24" s="376" t="s">
        <v>516</v>
      </c>
      <c r="E24" s="376" t="str">
        <f>Commodities!$C$10</f>
        <v>OILD0</v>
      </c>
      <c r="F24" s="415" t="str">
        <f>Commodities!C16</f>
        <v>OILD6</v>
      </c>
      <c r="G24" s="415">
        <v>1</v>
      </c>
      <c r="H24" s="405"/>
      <c r="I24" s="415"/>
      <c r="J24" s="415"/>
      <c r="K24" s="415"/>
      <c r="L24" s="415"/>
      <c r="M24" s="415"/>
      <c r="N24" s="415"/>
      <c r="O24" s="415"/>
      <c r="P24" s="415"/>
      <c r="Q24" s="415"/>
      <c r="R24" s="415"/>
      <c r="S24" s="415"/>
      <c r="T24" s="415"/>
      <c r="X24" s="381">
        <f t="shared" si="4"/>
        <v>1.0994635376187136E-3</v>
      </c>
      <c r="Y24" s="381">
        <f t="shared" si="5"/>
        <v>2.9382215229465623E-3</v>
      </c>
      <c r="Z24" s="381">
        <f t="shared" si="6"/>
        <v>9.2506587303091761E-3</v>
      </c>
      <c r="AA24" s="381">
        <f t="shared" si="7"/>
        <v>1.1184198055086913E-3</v>
      </c>
      <c r="AB24" s="381">
        <f t="shared" si="8"/>
        <v>3.8860349174454526E-4</v>
      </c>
      <c r="AC24" s="381">
        <f t="shared" si="9"/>
        <v>1.9524955926677155E-3</v>
      </c>
      <c r="AD24" s="381">
        <f t="shared" si="10"/>
        <v>8.0620206724657542E-2</v>
      </c>
      <c r="AE24" s="381">
        <f t="shared" si="11"/>
        <v>4.3599416146948987E-5</v>
      </c>
      <c r="AF24" s="381">
        <f t="shared" si="12"/>
        <v>2.213380878401827E-3</v>
      </c>
      <c r="AG24" s="381">
        <f t="shared" si="13"/>
        <v>3.1277842018463403E-5</v>
      </c>
      <c r="AH24" s="381">
        <f t="shared" si="14"/>
        <v>1.2321574128485582E-5</v>
      </c>
      <c r="AI24" s="365"/>
      <c r="AJ24" s="365"/>
      <c r="AK24" s="365"/>
      <c r="AL24" s="365"/>
      <c r="AM24" s="365"/>
      <c r="AN24" s="365"/>
      <c r="AO24" s="365"/>
      <c r="AP24" s="365"/>
      <c r="AQ24" s="365"/>
      <c r="AR24" s="365"/>
      <c r="AS24" s="365"/>
      <c r="AT24" s="365"/>
      <c r="AU24" s="365"/>
      <c r="AV24" s="365"/>
      <c r="AW24" s="365"/>
      <c r="AX24" s="365"/>
      <c r="AY24" s="365"/>
      <c r="AZ24" s="365"/>
      <c r="BA24" s="365"/>
      <c r="BB24" s="365"/>
      <c r="BC24" s="365"/>
      <c r="BD24" s="365"/>
      <c r="BE24" s="365"/>
      <c r="BF24" s="365"/>
      <c r="BG24" s="365"/>
    </row>
    <row r="25" spans="2:59">
      <c r="B25" s="364" t="s">
        <v>588</v>
      </c>
      <c r="C25" s="364"/>
      <c r="D25" s="364"/>
      <c r="E25" s="364"/>
      <c r="F25" s="382"/>
      <c r="G25" s="382"/>
      <c r="H25" s="389"/>
      <c r="I25" s="389"/>
      <c r="J25" s="389"/>
      <c r="K25" s="389"/>
      <c r="L25" s="389"/>
      <c r="M25" s="389"/>
      <c r="N25" s="390"/>
      <c r="O25" s="391"/>
      <c r="AS25" s="365"/>
      <c r="AT25" s="365"/>
      <c r="AU25" s="365"/>
      <c r="AV25" s="365"/>
      <c r="AW25" s="365"/>
      <c r="AX25" s="365"/>
      <c r="AY25" s="365"/>
      <c r="AZ25" s="365"/>
      <c r="BA25" s="365"/>
      <c r="BB25" s="365"/>
      <c r="BC25" s="365"/>
      <c r="BD25" s="365"/>
      <c r="BE25" s="365"/>
      <c r="BF25" s="365"/>
      <c r="BG25" s="365"/>
    </row>
    <row r="26" spans="2:59">
      <c r="O26" s="389"/>
      <c r="P26" s="389"/>
      <c r="Q26" s="389"/>
      <c r="R26" s="389"/>
      <c r="S26" s="389"/>
      <c r="T26" s="389"/>
      <c r="U26" s="389"/>
      <c r="V26" s="389"/>
      <c r="W26" s="389"/>
      <c r="X26" s="389"/>
      <c r="Y26" s="390"/>
      <c r="Z26" s="391"/>
    </row>
    <row r="27" spans="2:59">
      <c r="O27" s="389"/>
      <c r="P27" s="389"/>
      <c r="Q27" s="389"/>
      <c r="R27" s="389"/>
      <c r="S27" s="389"/>
      <c r="T27" s="389"/>
      <c r="U27" s="389"/>
      <c r="V27" s="389"/>
      <c r="W27" s="389"/>
      <c r="X27" s="389"/>
      <c r="Y27" s="390"/>
      <c r="Z27" s="391"/>
    </row>
    <row r="28" spans="2:59">
      <c r="O28" s="389"/>
      <c r="P28" s="389"/>
      <c r="Q28" s="389"/>
      <c r="R28" s="389"/>
      <c r="S28" s="389"/>
      <c r="T28" s="389"/>
      <c r="U28" s="389"/>
      <c r="V28" s="389"/>
      <c r="W28" s="389"/>
      <c r="X28" s="389"/>
      <c r="Y28" s="390"/>
      <c r="Z28" s="391"/>
    </row>
    <row r="29" spans="2:59" ht="17.25" customHeight="1">
      <c r="E29" s="410" t="s">
        <v>2532</v>
      </c>
      <c r="F29" s="365"/>
      <c r="AW29" s="387"/>
      <c r="AX29" s="387"/>
      <c r="AY29" s="387"/>
      <c r="AZ29" s="387"/>
      <c r="BA29" s="387"/>
      <c r="BB29" s="387"/>
      <c r="BC29" s="387"/>
      <c r="BD29" s="387"/>
      <c r="BE29" s="387"/>
      <c r="BF29" s="388"/>
      <c r="BG29" s="388"/>
    </row>
    <row r="30" spans="2:59" ht="15.75" customHeight="1">
      <c r="B30" s="371" t="s">
        <v>739</v>
      </c>
      <c r="C30" s="371" t="s">
        <v>375</v>
      </c>
      <c r="D30" s="371" t="s">
        <v>376</v>
      </c>
      <c r="E30" s="371" t="s">
        <v>379</v>
      </c>
      <c r="F30" s="371" t="s">
        <v>2538</v>
      </c>
      <c r="G30" s="371" t="s">
        <v>2509</v>
      </c>
      <c r="H30" s="371" t="s">
        <v>2510</v>
      </c>
      <c r="I30" s="371" t="s">
        <v>2511</v>
      </c>
      <c r="J30" s="371" t="s">
        <v>2512</v>
      </c>
      <c r="K30" s="371" t="s">
        <v>2513</v>
      </c>
      <c r="L30" s="371" t="s">
        <v>2514</v>
      </c>
      <c r="M30" s="371" t="s">
        <v>2515</v>
      </c>
      <c r="N30" s="371" t="s">
        <v>2516</v>
      </c>
      <c r="O30" s="371" t="s">
        <v>2517</v>
      </c>
      <c r="P30" s="371" t="s">
        <v>2518</v>
      </c>
      <c r="Q30" s="371" t="s">
        <v>592</v>
      </c>
      <c r="R30" s="371" t="s">
        <v>2567</v>
      </c>
      <c r="S30" s="371" t="s">
        <v>2568</v>
      </c>
      <c r="T30" s="371" t="s">
        <v>2569</v>
      </c>
      <c r="U30" s="371" t="s">
        <v>2570</v>
      </c>
      <c r="V30" s="371" t="s">
        <v>2571</v>
      </c>
      <c r="W30" s="371" t="s">
        <v>2572</v>
      </c>
      <c r="X30" s="371" t="s">
        <v>2573</v>
      </c>
      <c r="Y30" s="371" t="s">
        <v>2574</v>
      </c>
      <c r="Z30" s="371" t="s">
        <v>2575</v>
      </c>
      <c r="AA30" s="371" t="s">
        <v>2576</v>
      </c>
      <c r="AB30" s="371" t="s">
        <v>2577</v>
      </c>
      <c r="AC30" s="371" t="s">
        <v>2578</v>
      </c>
      <c r="AD30" s="371" t="s">
        <v>2519</v>
      </c>
      <c r="AE30" s="371" t="s">
        <v>2520</v>
      </c>
      <c r="AF30" s="394"/>
      <c r="AG30" s="394"/>
      <c r="AH30" s="394"/>
      <c r="AI30" s="365"/>
      <c r="AJ30" s="411" t="s">
        <v>2504</v>
      </c>
      <c r="AK30" s="411" t="s">
        <v>2505</v>
      </c>
      <c r="AL30" s="411" t="s">
        <v>2506</v>
      </c>
      <c r="AM30" s="411" t="s">
        <v>2507</v>
      </c>
      <c r="AN30" s="411" t="s">
        <v>2508</v>
      </c>
      <c r="AO30" s="365"/>
      <c r="AP30" s="365"/>
      <c r="AQ30" s="365"/>
      <c r="AR30" s="365"/>
      <c r="AS30" s="365"/>
      <c r="AT30" s="365"/>
      <c r="AU30" s="365"/>
      <c r="AV30" s="365"/>
      <c r="AW30" s="365"/>
      <c r="AX30" s="365"/>
      <c r="AY30" s="365"/>
      <c r="AZ30" s="365"/>
      <c r="BA30" s="365"/>
      <c r="BB30" s="365"/>
      <c r="BC30" s="365"/>
      <c r="BD30" s="365"/>
      <c r="BE30" s="365"/>
      <c r="BF30" s="365"/>
      <c r="BG30" s="365"/>
    </row>
    <row r="31" spans="2:59">
      <c r="B31" s="372" t="s">
        <v>523</v>
      </c>
      <c r="C31" s="372"/>
      <c r="D31" s="372"/>
      <c r="E31" s="412"/>
      <c r="F31" s="414"/>
      <c r="G31" s="417"/>
      <c r="H31" s="417"/>
      <c r="I31" s="417"/>
      <c r="J31" s="417"/>
      <c r="K31" s="417"/>
      <c r="L31" s="417"/>
      <c r="M31" s="417"/>
      <c r="N31" s="417"/>
      <c r="O31" s="417"/>
      <c r="P31" s="417"/>
      <c r="Q31" s="401"/>
      <c r="R31" s="401"/>
      <c r="S31" s="401"/>
      <c r="T31" s="401"/>
      <c r="U31" s="401"/>
      <c r="V31" s="401"/>
      <c r="W31" s="401"/>
      <c r="X31" s="401"/>
      <c r="Y31" s="401"/>
      <c r="Z31" s="417"/>
      <c r="AA31" s="417"/>
      <c r="AB31" s="417"/>
      <c r="AC31" s="417"/>
      <c r="AD31" s="414"/>
      <c r="AE31" s="414"/>
      <c r="AI31" s="365"/>
      <c r="AJ31" s="400"/>
      <c r="AK31" s="400"/>
      <c r="AL31" s="400"/>
      <c r="AM31" s="400"/>
      <c r="AN31" s="400"/>
      <c r="AO31" s="365"/>
      <c r="AP31" s="365"/>
      <c r="AQ31" s="365"/>
      <c r="AR31" s="365"/>
      <c r="AS31" s="365"/>
      <c r="AT31" s="365"/>
      <c r="AU31" s="365"/>
      <c r="AV31" s="365"/>
      <c r="AW31" s="365"/>
      <c r="AX31" s="365"/>
      <c r="AY31" s="365"/>
      <c r="AZ31" s="365"/>
      <c r="BA31" s="365"/>
      <c r="BB31" s="365"/>
      <c r="BC31" s="365"/>
      <c r="BD31" s="365"/>
      <c r="BE31" s="365"/>
      <c r="BF31" s="365"/>
      <c r="BG31" s="365"/>
    </row>
    <row r="32" spans="2:59">
      <c r="B32" s="376" t="str">
        <f>Technologies!B32</f>
        <v>R1</v>
      </c>
      <c r="C32" s="376" t="str">
        <f>'Imp Crude'!B13</f>
        <v>IMPOILHH13</v>
      </c>
      <c r="D32" s="376" t="str">
        <f>'Imp Crude'!C13</f>
        <v>Imported Imported Oil-High Sulfur, Heavy G, PADD 1, Step 3</v>
      </c>
      <c r="E32" s="415" t="str">
        <f>'Imp Crude'!D13</f>
        <v>OILHH1</v>
      </c>
      <c r="F32" s="415">
        <v>1</v>
      </c>
      <c r="G32" s="413">
        <f>'Imp Crude'!L13</f>
        <v>11.163537115571355</v>
      </c>
      <c r="H32" s="413">
        <f>'Imp Crude'!M13</f>
        <v>12.611639314152493</v>
      </c>
      <c r="I32" s="413">
        <f>'Imp Crude'!N13</f>
        <v>12.490189153572638</v>
      </c>
      <c r="J32" s="413">
        <f>'Imp Crude'!O13</f>
        <v>14.183961749966075</v>
      </c>
      <c r="K32" s="413">
        <f>'Imp Crude'!P13</f>
        <v>15.489247085944466</v>
      </c>
      <c r="L32" s="413">
        <f>'Imp Crude'!Q13</f>
        <v>16.990327094377189</v>
      </c>
      <c r="M32" s="413">
        <f>'Imp Crude'!R13</f>
        <v>18.636878421022729</v>
      </c>
      <c r="N32" s="413">
        <f>'Imp Crude'!S13</f>
        <v>20.442998851677775</v>
      </c>
      <c r="O32" s="413">
        <f>'Imp Crude'!T13</f>
        <v>22.424152404100138</v>
      </c>
      <c r="P32" s="413">
        <f>'Imp Crude'!U13</f>
        <v>24.597301731054063</v>
      </c>
      <c r="Q32" s="405"/>
      <c r="R32" s="405"/>
      <c r="S32" s="405">
        <f>'Imp Crude'!AE13</f>
        <v>477.40443985876851</v>
      </c>
      <c r="T32" s="405">
        <f>'Imp Crude'!AF13</f>
        <v>239.79184420201267</v>
      </c>
      <c r="U32" s="405"/>
      <c r="V32" s="405"/>
      <c r="W32" s="405"/>
      <c r="X32" s="405"/>
      <c r="Y32" s="405"/>
      <c r="Z32" s="405"/>
      <c r="AA32" s="405"/>
      <c r="AB32" s="405"/>
      <c r="AC32" s="405"/>
      <c r="AD32" s="415"/>
      <c r="AE32" s="415"/>
      <c r="AI32" s="365"/>
      <c r="AJ32" s="415"/>
      <c r="AK32" s="405"/>
      <c r="AL32" s="415"/>
      <c r="AM32" s="415">
        <v>1.0049999999999999</v>
      </c>
      <c r="AN32" s="415">
        <v>1.0049999999999999</v>
      </c>
      <c r="AO32" s="365"/>
      <c r="AP32" s="365"/>
      <c r="AQ32" s="365"/>
      <c r="AR32" s="365"/>
      <c r="AS32" s="365"/>
      <c r="AT32" s="365"/>
      <c r="AU32" s="365"/>
      <c r="AV32" s="365"/>
      <c r="AW32" s="365"/>
      <c r="AX32" s="365"/>
      <c r="AY32" s="365"/>
      <c r="AZ32" s="365"/>
      <c r="BA32" s="365"/>
      <c r="BB32" s="365"/>
      <c r="BC32" s="365"/>
      <c r="BD32" s="365"/>
      <c r="BE32" s="365"/>
      <c r="BF32" s="365"/>
      <c r="BG32" s="365"/>
    </row>
    <row r="33" spans="2:59">
      <c r="B33" s="376" t="str">
        <f>Technologies!B33</f>
        <v>R1</v>
      </c>
      <c r="C33" s="376" t="str">
        <f>'Imp Crude'!B14</f>
        <v>IMPOILHH11</v>
      </c>
      <c r="D33" s="376" t="str">
        <f>'Imp Crude'!C14</f>
        <v>Imported Imported Oil-High Sulfur, Heavy G, PADD 1, Step 1</v>
      </c>
      <c r="E33" s="415" t="str">
        <f>'Imp Crude'!D14</f>
        <v>OILHH1</v>
      </c>
      <c r="F33" s="415">
        <v>1</v>
      </c>
      <c r="G33" s="413">
        <f>'Imp Crude'!L14</f>
        <v>10.04718340401422</v>
      </c>
      <c r="H33" s="413">
        <f>'Imp Crude'!M14</f>
        <v>11.350475382737244</v>
      </c>
      <c r="I33" s="413">
        <f>'Imp Crude'!N14</f>
        <v>11.241170238215375</v>
      </c>
      <c r="J33" s="413">
        <f>'Imp Crude'!O14</f>
        <v>12.765565574969468</v>
      </c>
      <c r="K33" s="413">
        <f>'Imp Crude'!P14</f>
        <v>13.94032237735002</v>
      </c>
      <c r="L33" s="413">
        <f>'Imp Crude'!Q14</f>
        <v>15.291294384939469</v>
      </c>
      <c r="M33" s="413">
        <f>'Imp Crude'!R14</f>
        <v>16.773190578920456</v>
      </c>
      <c r="N33" s="413">
        <f>'Imp Crude'!S14</f>
        <v>18.398698966509997</v>
      </c>
      <c r="O33" s="413">
        <f>'Imp Crude'!T14</f>
        <v>20.181737163690123</v>
      </c>
      <c r="P33" s="413">
        <f>'Imp Crude'!U14</f>
        <v>22.137571557948657</v>
      </c>
      <c r="Q33" s="405"/>
      <c r="R33" s="405"/>
      <c r="S33" s="405">
        <f>'Imp Crude'!AE14</f>
        <v>59.675554982346078</v>
      </c>
      <c r="T33" s="405">
        <f>'Imp Crude'!AF14</f>
        <v>29.973980525251584</v>
      </c>
      <c r="U33" s="405"/>
      <c r="V33" s="405"/>
      <c r="W33" s="405"/>
      <c r="X33" s="405"/>
      <c r="Y33" s="405"/>
      <c r="Z33" s="405"/>
      <c r="AA33" s="405"/>
      <c r="AB33" s="405"/>
      <c r="AC33" s="405"/>
      <c r="AD33" s="415"/>
      <c r="AE33" s="415"/>
      <c r="AI33" s="365"/>
      <c r="AJ33" s="415"/>
      <c r="AK33" s="405"/>
      <c r="AL33" s="415"/>
      <c r="AM33" s="415">
        <v>1.0049999999999999</v>
      </c>
      <c r="AN33" s="415">
        <v>1.0049999999999999</v>
      </c>
      <c r="AO33" s="365"/>
      <c r="AP33" s="365"/>
      <c r="AQ33" s="365"/>
      <c r="AR33" s="365"/>
      <c r="AS33" s="365"/>
      <c r="AT33" s="365"/>
      <c r="AU33" s="365"/>
      <c r="AV33" s="365"/>
      <c r="AW33" s="365"/>
      <c r="AX33" s="365"/>
      <c r="AY33" s="365"/>
      <c r="AZ33" s="365"/>
      <c r="BA33" s="365"/>
      <c r="BB33" s="365"/>
      <c r="BC33" s="365"/>
      <c r="BD33" s="365"/>
      <c r="BE33" s="365"/>
      <c r="BF33" s="365"/>
      <c r="BG33" s="365"/>
    </row>
    <row r="34" spans="2:59">
      <c r="B34" s="376" t="str">
        <f>Technologies!B34</f>
        <v>R1</v>
      </c>
      <c r="C34" s="376" t="str">
        <f>'Imp Crude'!B15</f>
        <v>IMPOILHH12</v>
      </c>
      <c r="D34" s="376" t="str">
        <f>'Imp Crude'!C15</f>
        <v>Imported Imported Oil-High Sulfur, Heavy G, PADD 1, Step 2</v>
      </c>
      <c r="E34" s="415" t="str">
        <f>'Imp Crude'!D15</f>
        <v>OILHH1</v>
      </c>
      <c r="F34" s="415">
        <v>1</v>
      </c>
      <c r="G34" s="413">
        <f>'Imp Crude'!L15</f>
        <v>10.605360259792784</v>
      </c>
      <c r="H34" s="413">
        <f>'Imp Crude'!M15</f>
        <v>11.981057348444864</v>
      </c>
      <c r="I34" s="413">
        <f>'Imp Crude'!N15</f>
        <v>11.865679695894002</v>
      </c>
      <c r="J34" s="413">
        <f>'Imp Crude'!O15</f>
        <v>13.474763662467767</v>
      </c>
      <c r="K34" s="413">
        <f>'Imp Crude'!P15</f>
        <v>14.714784731647239</v>
      </c>
      <c r="L34" s="413">
        <f>'Imp Crude'!Q15</f>
        <v>16.140810739658324</v>
      </c>
      <c r="M34" s="413">
        <f>'Imp Crude'!R15</f>
        <v>17.705034499971585</v>
      </c>
      <c r="N34" s="413">
        <f>'Imp Crude'!S15</f>
        <v>19.420848909093877</v>
      </c>
      <c r="O34" s="413">
        <f>'Imp Crude'!T15</f>
        <v>21.302944783895121</v>
      </c>
      <c r="P34" s="413">
        <f>'Imp Crude'!U15</f>
        <v>23.36743664450135</v>
      </c>
      <c r="Q34" s="405"/>
      <c r="R34" s="405"/>
      <c r="S34" s="405">
        <f>'Imp Crude'!AE15</f>
        <v>59.675554982346078</v>
      </c>
      <c r="T34" s="405">
        <f>'Imp Crude'!AF15</f>
        <v>29.973980525251584</v>
      </c>
      <c r="U34" s="405"/>
      <c r="V34" s="405"/>
      <c r="W34" s="405"/>
      <c r="X34" s="405"/>
      <c r="Y34" s="405"/>
      <c r="Z34" s="405"/>
      <c r="AA34" s="405"/>
      <c r="AB34" s="405"/>
      <c r="AC34" s="405"/>
      <c r="AD34" s="415"/>
      <c r="AE34" s="415"/>
      <c r="AI34" s="365"/>
      <c r="AJ34" s="415"/>
      <c r="AK34" s="405"/>
      <c r="AL34" s="415"/>
      <c r="AM34" s="415">
        <v>1.0049999999999999</v>
      </c>
      <c r="AN34" s="415">
        <v>1.0049999999999999</v>
      </c>
      <c r="AO34" s="365"/>
      <c r="AP34" s="365"/>
      <c r="AQ34" s="365"/>
      <c r="AR34" s="365"/>
      <c r="AS34" s="365"/>
      <c r="AT34" s="365"/>
      <c r="AU34" s="365"/>
      <c r="AV34" s="365"/>
      <c r="AW34" s="365"/>
      <c r="AX34" s="365"/>
      <c r="AY34" s="365"/>
      <c r="AZ34" s="365"/>
      <c r="BA34" s="365"/>
      <c r="BB34" s="365"/>
      <c r="BC34" s="365"/>
      <c r="BD34" s="365"/>
      <c r="BE34" s="365"/>
      <c r="BF34" s="365"/>
      <c r="BG34" s="365"/>
    </row>
    <row r="35" spans="2:59">
      <c r="B35" s="376" t="str">
        <f>Technologies!B35</f>
        <v>R1</v>
      </c>
      <c r="C35" s="376" t="str">
        <f>'Imp Crude'!B16</f>
        <v>IMPOILHH14</v>
      </c>
      <c r="D35" s="376" t="str">
        <f>'Imp Crude'!C16</f>
        <v>Imported Imported Oil-High Sulfur, Heavy G, PADD 1, Step 4</v>
      </c>
      <c r="E35" s="415" t="str">
        <f>'Imp Crude'!D16</f>
        <v>OILHH1</v>
      </c>
      <c r="F35" s="415">
        <v>1</v>
      </c>
      <c r="G35" s="413">
        <f>'Imp Crude'!L16</f>
        <v>11.721713971349921</v>
      </c>
      <c r="H35" s="413">
        <f>'Imp Crude'!M16</f>
        <v>13.242221279860116</v>
      </c>
      <c r="I35" s="413">
        <f>'Imp Crude'!N16</f>
        <v>13.114698611251269</v>
      </c>
      <c r="J35" s="413">
        <f>'Imp Crude'!O16</f>
        <v>14.893159837464378</v>
      </c>
      <c r="K35" s="413">
        <f>'Imp Crude'!P16</f>
        <v>16.263709440241687</v>
      </c>
      <c r="L35" s="413">
        <f>'Imp Crude'!Q16</f>
        <v>17.839843449096044</v>
      </c>
      <c r="M35" s="413">
        <f>'Imp Crude'!R16</f>
        <v>19.568722342073858</v>
      </c>
      <c r="N35" s="413">
        <f>'Imp Crude'!S16</f>
        <v>21.465148794261655</v>
      </c>
      <c r="O35" s="413">
        <f>'Imp Crude'!T16</f>
        <v>23.545360024305133</v>
      </c>
      <c r="P35" s="413">
        <f>'Imp Crude'!U16</f>
        <v>25.827166817606752</v>
      </c>
      <c r="Q35" s="405"/>
      <c r="R35" s="405"/>
      <c r="S35" s="405">
        <f>'Imp Crude'!AE16</f>
        <v>119.35110996469211</v>
      </c>
      <c r="T35" s="405">
        <f>'Imp Crude'!AF16</f>
        <v>59.947961050503125</v>
      </c>
      <c r="U35" s="405"/>
      <c r="V35" s="405"/>
      <c r="W35" s="405"/>
      <c r="X35" s="405"/>
      <c r="Y35" s="405"/>
      <c r="Z35" s="405"/>
      <c r="AA35" s="405"/>
      <c r="AB35" s="405"/>
      <c r="AC35" s="405"/>
      <c r="AD35" s="415"/>
      <c r="AE35" s="415"/>
      <c r="AI35" s="365"/>
      <c r="AJ35" s="415"/>
      <c r="AK35" s="405"/>
      <c r="AL35" s="415"/>
      <c r="AM35" s="415">
        <v>1.0049999999999999</v>
      </c>
      <c r="AN35" s="415">
        <v>1.0049999999999999</v>
      </c>
      <c r="AO35" s="365"/>
      <c r="AP35" s="365"/>
      <c r="AQ35" s="365"/>
      <c r="AR35" s="365"/>
      <c r="AS35" s="365"/>
      <c r="AT35" s="365"/>
      <c r="AU35" s="365"/>
      <c r="AV35" s="365"/>
      <c r="AW35" s="365"/>
      <c r="AX35" s="365"/>
      <c r="AY35" s="365"/>
      <c r="AZ35" s="365"/>
      <c r="BA35" s="365"/>
      <c r="BB35" s="365"/>
      <c r="BC35" s="365"/>
      <c r="BD35" s="365"/>
      <c r="BE35" s="365"/>
      <c r="BF35" s="365"/>
      <c r="BG35" s="365"/>
    </row>
    <row r="36" spans="2:59">
      <c r="B36" s="376" t="str">
        <f>Technologies!B36</f>
        <v>R1</v>
      </c>
      <c r="C36" s="376" t="str">
        <f>'Imp Crude'!B17</f>
        <v>IMPOILHH15</v>
      </c>
      <c r="D36" s="376" t="str">
        <f>'Imp Crude'!C17</f>
        <v>Imported Imported Oil-High Sulfur, Heavy G, PADD 1, Step 5</v>
      </c>
      <c r="E36" s="415" t="str">
        <f>'Imp Crude'!D17</f>
        <v>OILHH1</v>
      </c>
      <c r="F36" s="415">
        <v>1</v>
      </c>
      <c r="G36" s="413">
        <f>'Imp Crude'!L17</f>
        <v>14.512598250242762</v>
      </c>
      <c r="H36" s="413">
        <f>'Imp Crude'!M17</f>
        <v>16.395131108398243</v>
      </c>
      <c r="I36" s="413">
        <f>'Imp Crude'!N17</f>
        <v>16.237245899644432</v>
      </c>
      <c r="J36" s="413">
        <f>'Imp Crude'!O17</f>
        <v>18.4391502749559</v>
      </c>
      <c r="K36" s="413">
        <f>'Imp Crude'!P17</f>
        <v>20.136021211727808</v>
      </c>
      <c r="L36" s="413">
        <f>'Imp Crude'!Q17</f>
        <v>22.087425222690346</v>
      </c>
      <c r="M36" s="413">
        <f>'Imp Crude'!R17</f>
        <v>24.227941947329548</v>
      </c>
      <c r="N36" s="413">
        <f>'Imp Crude'!S17</f>
        <v>26.575898507181105</v>
      </c>
      <c r="O36" s="413">
        <f>'Imp Crude'!T17</f>
        <v>29.151398125330175</v>
      </c>
      <c r="P36" s="413">
        <f>'Imp Crude'!U17</f>
        <v>31.976492250370278</v>
      </c>
      <c r="Q36" s="405"/>
      <c r="R36" s="405"/>
      <c r="S36" s="405">
        <f>'Imp Crude'!AE17</f>
        <v>59.675554982346057</v>
      </c>
      <c r="T36" s="405">
        <f>'Imp Crude'!AF17</f>
        <v>29.973980525251648</v>
      </c>
      <c r="U36" s="405"/>
      <c r="V36" s="405"/>
      <c r="W36" s="405"/>
      <c r="X36" s="405"/>
      <c r="Y36" s="405"/>
      <c r="Z36" s="405"/>
      <c r="AA36" s="405"/>
      <c r="AB36" s="405"/>
      <c r="AC36" s="405"/>
      <c r="AD36" s="415"/>
      <c r="AE36" s="405"/>
      <c r="AF36" s="390"/>
      <c r="AG36" s="390"/>
      <c r="AH36" s="390"/>
      <c r="AI36" s="390"/>
      <c r="AJ36" s="415"/>
      <c r="AK36" s="405"/>
      <c r="AL36" s="415"/>
      <c r="AM36" s="415">
        <v>1.0049999999999999</v>
      </c>
      <c r="AN36" s="415">
        <v>1.0049999999999999</v>
      </c>
      <c r="AO36" s="390"/>
      <c r="AP36" s="390"/>
      <c r="AQ36" s="390"/>
      <c r="BC36" s="365"/>
      <c r="BD36" s="365"/>
      <c r="BE36" s="365"/>
      <c r="BF36" s="365"/>
      <c r="BG36" s="365"/>
    </row>
    <row r="37" spans="2:59">
      <c r="B37" s="376" t="str">
        <f>Technologies!B37</f>
        <v>R1</v>
      </c>
      <c r="C37" s="376" t="str">
        <f>'Imp Crude'!B18</f>
        <v>IMPOILHL13</v>
      </c>
      <c r="D37" s="376" t="str">
        <f>'Imp Crude'!C18</f>
        <v>Imported Imported Oil-High Sulfur, Low G, PADD 1, Step 3</v>
      </c>
      <c r="E37" s="415" t="str">
        <f>'Imp Crude'!D18</f>
        <v>OILHL1</v>
      </c>
      <c r="F37" s="415">
        <v>1</v>
      </c>
      <c r="G37" s="413">
        <f>'Imp Crude'!L18</f>
        <v>12.073158658321612</v>
      </c>
      <c r="H37" s="413">
        <f>'Imp Crude'!M18</f>
        <v>13.639254369379731</v>
      </c>
      <c r="I37" s="413">
        <f>'Imp Crude'!N18</f>
        <v>13.507908269789667</v>
      </c>
      <c r="J37" s="413">
        <f>'Imp Crude'!O18</f>
        <v>15.339691966629976</v>
      </c>
      <c r="K37" s="413">
        <f>'Imp Crude'!P18</f>
        <v>16.751333885539939</v>
      </c>
      <c r="L37" s="413">
        <f>'Imp Crude'!Q18</f>
        <v>18.374724116881993</v>
      </c>
      <c r="M37" s="413">
        <f>'Imp Crude'!R18</f>
        <v>20.15543888495791</v>
      </c>
      <c r="N37" s="413">
        <f>'Imp Crude'!S18</f>
        <v>22.108724684036698</v>
      </c>
      <c r="O37" s="413">
        <f>'Imp Crude'!T18</f>
        <v>24.251305562952734</v>
      </c>
      <c r="P37" s="413">
        <f>'Imp Crude'!U18</f>
        <v>26.60152631654735</v>
      </c>
      <c r="Q37" s="405"/>
      <c r="R37" s="405"/>
      <c r="S37" s="405">
        <f>'Imp Crude'!AE18</f>
        <v>174.82416107504201</v>
      </c>
      <c r="T37" s="405">
        <f>'Imp Crude'!AF18</f>
        <v>148.71043064384565</v>
      </c>
      <c r="U37" s="405"/>
      <c r="V37" s="405"/>
      <c r="W37" s="405"/>
      <c r="X37" s="405"/>
      <c r="Y37" s="405"/>
      <c r="Z37" s="405"/>
      <c r="AA37" s="405"/>
      <c r="AB37" s="405"/>
      <c r="AC37" s="405"/>
      <c r="AD37" s="415"/>
      <c r="AE37" s="415"/>
      <c r="AJ37" s="415"/>
      <c r="AK37" s="405"/>
      <c r="AL37" s="415"/>
      <c r="AM37" s="415">
        <v>1.0049999999999999</v>
      </c>
      <c r="AN37" s="415">
        <v>1.0049999999999999</v>
      </c>
      <c r="BC37" s="365"/>
      <c r="BD37" s="365"/>
      <c r="BE37" s="365"/>
      <c r="BF37" s="365"/>
      <c r="BG37" s="365"/>
    </row>
    <row r="38" spans="2:59">
      <c r="B38" s="376" t="str">
        <f>Technologies!B38</f>
        <v>R1</v>
      </c>
      <c r="C38" s="376" t="str">
        <f>'Imp Crude'!B19</f>
        <v>IMPOILHL11</v>
      </c>
      <c r="D38" s="376" t="str">
        <f>'Imp Crude'!C19</f>
        <v>Imported Imported Oil-High Sulfur, Low G, PADD 1, Step 1</v>
      </c>
      <c r="E38" s="415" t="str">
        <f>'Imp Crude'!D19</f>
        <v>OILHL1</v>
      </c>
      <c r="F38" s="415">
        <v>1</v>
      </c>
      <c r="G38" s="413">
        <f>'Imp Crude'!L19</f>
        <v>10.865842792489451</v>
      </c>
      <c r="H38" s="413">
        <f>'Imp Crude'!M19</f>
        <v>12.275328932441758</v>
      </c>
      <c r="I38" s="413">
        <f>'Imp Crude'!N19</f>
        <v>12.1571174428107</v>
      </c>
      <c r="J38" s="413">
        <f>'Imp Crude'!O19</f>
        <v>13.805722769966978</v>
      </c>
      <c r="K38" s="413">
        <f>'Imp Crude'!P19</f>
        <v>15.076200496985946</v>
      </c>
      <c r="L38" s="413">
        <f>'Imp Crude'!Q19</f>
        <v>16.537251705193796</v>
      </c>
      <c r="M38" s="413">
        <f>'Imp Crude'!R19</f>
        <v>18.139894996462122</v>
      </c>
      <c r="N38" s="413">
        <f>'Imp Crude'!S19</f>
        <v>19.89785221563303</v>
      </c>
      <c r="O38" s="413">
        <f>'Imp Crude'!T19</f>
        <v>21.826175006657461</v>
      </c>
      <c r="P38" s="413">
        <f>'Imp Crude'!U19</f>
        <v>23.941373684892614</v>
      </c>
      <c r="Q38" s="405"/>
      <c r="R38" s="405"/>
      <c r="S38" s="405">
        <f>'Imp Crude'!AE19</f>
        <v>21.853020134380252</v>
      </c>
      <c r="T38" s="405">
        <f>'Imp Crude'!AF19</f>
        <v>18.58880383048071</v>
      </c>
      <c r="U38" s="405"/>
      <c r="V38" s="405"/>
      <c r="W38" s="405"/>
      <c r="X38" s="405"/>
      <c r="Y38" s="405"/>
      <c r="Z38" s="405"/>
      <c r="AA38" s="405"/>
      <c r="AB38" s="405"/>
      <c r="AC38" s="405"/>
      <c r="AD38" s="415"/>
      <c r="AE38" s="415"/>
      <c r="AJ38" s="415"/>
      <c r="AK38" s="405"/>
      <c r="AL38" s="415"/>
      <c r="AM38" s="415">
        <v>1.0049999999999999</v>
      </c>
      <c r="AN38" s="415">
        <v>1.0049999999999999</v>
      </c>
      <c r="BC38" s="365"/>
      <c r="BD38" s="365"/>
      <c r="BE38" s="365"/>
      <c r="BF38" s="365"/>
      <c r="BG38" s="365"/>
    </row>
    <row r="39" spans="2:59">
      <c r="B39" s="376" t="str">
        <f>Technologies!B39</f>
        <v>R1</v>
      </c>
      <c r="C39" s="376" t="str">
        <f>'Imp Crude'!B20</f>
        <v>IMPOILHL12</v>
      </c>
      <c r="D39" s="376" t="str">
        <f>'Imp Crude'!C20</f>
        <v>Imported Imported Oil-High Sulfur, Low G, PADD 1, Step 2</v>
      </c>
      <c r="E39" s="415" t="str">
        <f>'Imp Crude'!D20</f>
        <v>OILHL1</v>
      </c>
      <c r="F39" s="415">
        <v>1</v>
      </c>
      <c r="G39" s="413">
        <f>'Imp Crude'!L20</f>
        <v>11.469500725405531</v>
      </c>
      <c r="H39" s="413">
        <f>'Imp Crude'!M20</f>
        <v>12.957291650910745</v>
      </c>
      <c r="I39" s="413">
        <f>'Imp Crude'!N20</f>
        <v>12.832512856300184</v>
      </c>
      <c r="J39" s="413">
        <f>'Imp Crude'!O20</f>
        <v>14.572707368298477</v>
      </c>
      <c r="K39" s="413">
        <f>'Imp Crude'!P20</f>
        <v>15.913767191262943</v>
      </c>
      <c r="L39" s="413">
        <f>'Imp Crude'!Q20</f>
        <v>17.455987911037894</v>
      </c>
      <c r="M39" s="413">
        <f>'Imp Crude'!R20</f>
        <v>19.147666940710014</v>
      </c>
      <c r="N39" s="413">
        <f>'Imp Crude'!S20</f>
        <v>21.003288449834862</v>
      </c>
      <c r="O39" s="413">
        <f>'Imp Crude'!T20</f>
        <v>23.038740284805094</v>
      </c>
      <c r="P39" s="413">
        <f>'Imp Crude'!U20</f>
        <v>25.271450000719977</v>
      </c>
      <c r="Q39" s="405"/>
      <c r="R39" s="405"/>
      <c r="S39" s="405">
        <f>'Imp Crude'!AE20</f>
        <v>21.853020134380252</v>
      </c>
      <c r="T39" s="405">
        <f>'Imp Crude'!AF20</f>
        <v>18.58880383048071</v>
      </c>
      <c r="U39" s="405"/>
      <c r="V39" s="405"/>
      <c r="W39" s="405"/>
      <c r="X39" s="405"/>
      <c r="Y39" s="405"/>
      <c r="Z39" s="405"/>
      <c r="AA39" s="405"/>
      <c r="AB39" s="405"/>
      <c r="AC39" s="405"/>
      <c r="AD39" s="415"/>
      <c r="AE39" s="415"/>
      <c r="AJ39" s="415"/>
      <c r="AK39" s="405"/>
      <c r="AL39" s="415"/>
      <c r="AM39" s="415">
        <v>1.0049999999999999</v>
      </c>
      <c r="AN39" s="415">
        <v>1.0049999999999999</v>
      </c>
      <c r="BC39" s="365"/>
      <c r="BD39" s="365"/>
      <c r="BE39" s="365"/>
      <c r="BF39" s="365"/>
      <c r="BG39" s="365"/>
    </row>
    <row r="40" spans="2:59">
      <c r="B40" s="376" t="str">
        <f>Technologies!B40</f>
        <v>R1</v>
      </c>
      <c r="C40" s="376" t="str">
        <f>'Imp Crude'!B21</f>
        <v>IMPOILHL14</v>
      </c>
      <c r="D40" s="376" t="str">
        <f>'Imp Crude'!C21</f>
        <v>Imported Imported Oil-High Sulfur, Low G, PADD 1, Step 4</v>
      </c>
      <c r="E40" s="415" t="str">
        <f>'Imp Crude'!D21</f>
        <v>OILHL1</v>
      </c>
      <c r="F40" s="415">
        <v>1</v>
      </c>
      <c r="G40" s="413">
        <f>'Imp Crude'!L21</f>
        <v>12.676816591237694</v>
      </c>
      <c r="H40" s="413">
        <f>'Imp Crude'!M21</f>
        <v>14.321217087848719</v>
      </c>
      <c r="I40" s="413">
        <f>'Imp Crude'!N21</f>
        <v>14.183303683279151</v>
      </c>
      <c r="J40" s="413">
        <f>'Imp Crude'!O21</f>
        <v>16.106676564961475</v>
      </c>
      <c r="K40" s="413">
        <f>'Imp Crude'!P21</f>
        <v>17.588900579816936</v>
      </c>
      <c r="L40" s="413">
        <f>'Imp Crude'!Q21</f>
        <v>19.293460322726094</v>
      </c>
      <c r="M40" s="413">
        <f>'Imp Crude'!R21</f>
        <v>21.163210829205806</v>
      </c>
      <c r="N40" s="413">
        <f>'Imp Crude'!S21</f>
        <v>23.214160918238534</v>
      </c>
      <c r="O40" s="413">
        <f>'Imp Crude'!T21</f>
        <v>25.46387084110037</v>
      </c>
      <c r="P40" s="413">
        <f>'Imp Crude'!U21</f>
        <v>27.931602632374716</v>
      </c>
      <c r="Q40" s="405"/>
      <c r="R40" s="405"/>
      <c r="S40" s="405">
        <f>'Imp Crude'!AE21</f>
        <v>43.706040268760461</v>
      </c>
      <c r="T40" s="405">
        <f>'Imp Crude'!AF21</f>
        <v>37.177607660961456</v>
      </c>
      <c r="U40" s="405"/>
      <c r="V40" s="405"/>
      <c r="W40" s="405"/>
      <c r="X40" s="405"/>
      <c r="Y40" s="405"/>
      <c r="Z40" s="405"/>
      <c r="AA40" s="405"/>
      <c r="AB40" s="405"/>
      <c r="AC40" s="405"/>
      <c r="AD40" s="415"/>
      <c r="AE40" s="415"/>
      <c r="AJ40" s="415"/>
      <c r="AK40" s="405"/>
      <c r="AL40" s="415"/>
      <c r="AM40" s="415">
        <v>1.0049999999999999</v>
      </c>
      <c r="AN40" s="415">
        <v>1.0049999999999999</v>
      </c>
      <c r="BC40" s="365"/>
      <c r="BD40" s="365"/>
      <c r="BE40" s="365"/>
      <c r="BF40" s="365"/>
      <c r="BG40" s="365"/>
    </row>
    <row r="41" spans="2:59">
      <c r="B41" s="376" t="str">
        <f>Technologies!B41</f>
        <v>R1</v>
      </c>
      <c r="C41" s="376" t="str">
        <f>'Imp Crude'!B22</f>
        <v>IMPOILHL15</v>
      </c>
      <c r="D41" s="376" t="str">
        <f>'Imp Crude'!C22</f>
        <v>Imported Imported Oil-High Sulfur, Low G, PADD 1, Step 5</v>
      </c>
      <c r="E41" s="415" t="str">
        <f>'Imp Crude'!D22</f>
        <v>OILHL1</v>
      </c>
      <c r="F41" s="415">
        <v>1</v>
      </c>
      <c r="G41" s="413">
        <f>'Imp Crude'!L22</f>
        <v>15.695106255818095</v>
      </c>
      <c r="H41" s="413">
        <f>'Imp Crude'!M22</f>
        <v>17.731030680193651</v>
      </c>
      <c r="I41" s="413">
        <f>'Imp Crude'!N22</f>
        <v>17.560280750726566</v>
      </c>
      <c r="J41" s="413">
        <f>'Imp Crude'!O22</f>
        <v>19.941599556618968</v>
      </c>
      <c r="K41" s="413">
        <f>'Imp Crude'!P22</f>
        <v>21.77673405120192</v>
      </c>
      <c r="L41" s="413">
        <f>'Imp Crude'!Q22</f>
        <v>23.887141351946592</v>
      </c>
      <c r="M41" s="413">
        <f>'Imp Crude'!R22</f>
        <v>26.202070550445285</v>
      </c>
      <c r="N41" s="413">
        <f>'Imp Crude'!S22</f>
        <v>28.741342089247709</v>
      </c>
      <c r="O41" s="413">
        <f>'Imp Crude'!T22</f>
        <v>31.526697231838554</v>
      </c>
      <c r="P41" s="413">
        <f>'Imp Crude'!U22</f>
        <v>34.581984211511553</v>
      </c>
      <c r="Q41" s="405"/>
      <c r="R41" s="405"/>
      <c r="S41" s="405">
        <f>'Imp Crude'!AE22</f>
        <v>21.853020134380245</v>
      </c>
      <c r="T41" s="405">
        <f>'Imp Crude'!AF22</f>
        <v>18.588803830480657</v>
      </c>
      <c r="U41" s="405"/>
      <c r="V41" s="405"/>
      <c r="W41" s="405"/>
      <c r="X41" s="405"/>
      <c r="Y41" s="405"/>
      <c r="Z41" s="405"/>
      <c r="AA41" s="405"/>
      <c r="AB41" s="405"/>
      <c r="AC41" s="405"/>
      <c r="AD41" s="415"/>
      <c r="AE41" s="415"/>
      <c r="AJ41" s="415"/>
      <c r="AK41" s="405"/>
      <c r="AL41" s="415"/>
      <c r="AM41" s="415">
        <v>1.0049999999999999</v>
      </c>
      <c r="AN41" s="415">
        <v>1.0049999999999999</v>
      </c>
      <c r="BC41" s="365"/>
      <c r="BD41" s="365"/>
      <c r="BE41" s="365"/>
      <c r="BF41" s="365"/>
      <c r="BG41" s="365"/>
    </row>
    <row r="42" spans="2:59">
      <c r="B42" s="376" t="str">
        <f>Technologies!B42</f>
        <v>R1</v>
      </c>
      <c r="C42" s="376" t="str">
        <f>'Imp Crude'!B23</f>
        <v>IMPOILHV13</v>
      </c>
      <c r="D42" s="376" t="str">
        <f>'Imp Crude'!C23</f>
        <v>Imported Imported Oil-High Sulfur, Very HG, PADD 1, Step 3</v>
      </c>
      <c r="E42" s="415" t="str">
        <f>'Imp Crude'!D23</f>
        <v>OILHV1</v>
      </c>
      <c r="F42" s="415">
        <v>1</v>
      </c>
      <c r="G42" s="413">
        <f>'Imp Crude'!L23</f>
        <v>11.064305674544054</v>
      </c>
      <c r="H42" s="413">
        <f>'Imp Crude'!M23</f>
        <v>12.499535853582248</v>
      </c>
      <c r="I42" s="413">
        <f>'Imp Crude'!N23</f>
        <v>12.379165249985325</v>
      </c>
      <c r="J42" s="413">
        <f>'Imp Crude'!O23</f>
        <v>14.057882089966375</v>
      </c>
      <c r="K42" s="413">
        <f>'Imp Crude'!P23</f>
        <v>15.351564889624958</v>
      </c>
      <c r="L42" s="413">
        <f>'Imp Crude'!Q23</f>
        <v>16.83930196464939</v>
      </c>
      <c r="M42" s="413">
        <f>'Imp Crude'!R23</f>
        <v>18.471217279502525</v>
      </c>
      <c r="N42" s="413">
        <f>'Imp Crude'!S23</f>
        <v>20.261283306329524</v>
      </c>
      <c r="O42" s="413">
        <f>'Imp Crude'!T23</f>
        <v>22.224826604952575</v>
      </c>
      <c r="P42" s="413">
        <f>'Imp Crude'!U23</f>
        <v>24.378659049000245</v>
      </c>
      <c r="Q42" s="405"/>
      <c r="R42" s="405"/>
      <c r="S42" s="405">
        <f>'Imp Crude'!AE23</f>
        <v>229.67789582530821</v>
      </c>
      <c r="T42" s="405">
        <f>'Imp Crude'!AF23</f>
        <v>117.94018622705795</v>
      </c>
      <c r="U42" s="405"/>
      <c r="V42" s="405"/>
      <c r="W42" s="405"/>
      <c r="X42" s="405"/>
      <c r="Y42" s="405"/>
      <c r="Z42" s="405"/>
      <c r="AA42" s="405"/>
      <c r="AB42" s="405"/>
      <c r="AC42" s="405"/>
      <c r="AD42" s="415"/>
      <c r="AE42" s="415"/>
      <c r="AJ42" s="415"/>
      <c r="AK42" s="405"/>
      <c r="AL42" s="415"/>
      <c r="AM42" s="415">
        <v>1.0049999999999999</v>
      </c>
      <c r="AN42" s="415">
        <v>1.0049999999999999</v>
      </c>
      <c r="BC42" s="365"/>
      <c r="BD42" s="365"/>
      <c r="BE42" s="365"/>
      <c r="BF42" s="365"/>
      <c r="BG42" s="365"/>
    </row>
    <row r="43" spans="2:59">
      <c r="B43" s="376" t="str">
        <f>Technologies!B43</f>
        <v>R1</v>
      </c>
      <c r="C43" s="376" t="str">
        <f>'Imp Crude'!B24</f>
        <v>IMPOILHV11</v>
      </c>
      <c r="D43" s="376" t="str">
        <f>'Imp Crude'!C24</f>
        <v>Imported Imported Oil-High Sulfur, Very HG, PADD 1, Step 1</v>
      </c>
      <c r="E43" s="415" t="str">
        <f>'Imp Crude'!D24</f>
        <v>OILHV1</v>
      </c>
      <c r="F43" s="415">
        <v>1</v>
      </c>
      <c r="G43" s="413">
        <f>'Imp Crude'!L24</f>
        <v>9.9578751070896452</v>
      </c>
      <c r="H43" s="413">
        <f>'Imp Crude'!M24</f>
        <v>11.249582268224019</v>
      </c>
      <c r="I43" s="413">
        <f>'Imp Crude'!N24</f>
        <v>11.14124872498679</v>
      </c>
      <c r="J43" s="413">
        <f>'Imp Crude'!O24</f>
        <v>12.652093880969735</v>
      </c>
      <c r="K43" s="413">
        <f>'Imp Crude'!P24</f>
        <v>13.816408400662461</v>
      </c>
      <c r="L43" s="413">
        <f>'Imp Crude'!Q24</f>
        <v>15.155371768184448</v>
      </c>
      <c r="M43" s="413">
        <f>'Imp Crude'!R24</f>
        <v>16.624095551552269</v>
      </c>
      <c r="N43" s="413">
        <f>'Imp Crude'!S24</f>
        <v>18.235154975696567</v>
      </c>
      <c r="O43" s="413">
        <f>'Imp Crude'!T24</f>
        <v>20.002343944457312</v>
      </c>
      <c r="P43" s="413">
        <f>'Imp Crude'!U24</f>
        <v>21.940793144100212</v>
      </c>
      <c r="Q43" s="405"/>
      <c r="R43" s="405"/>
      <c r="S43" s="405">
        <f>'Imp Crude'!AE24</f>
        <v>28.709736978163527</v>
      </c>
      <c r="T43" s="405">
        <f>'Imp Crude'!AF24</f>
        <v>14.742523278382247</v>
      </c>
      <c r="U43" s="405"/>
      <c r="V43" s="405"/>
      <c r="W43" s="405"/>
      <c r="X43" s="405"/>
      <c r="Y43" s="405"/>
      <c r="Z43" s="405"/>
      <c r="AA43" s="405"/>
      <c r="AB43" s="405"/>
      <c r="AC43" s="405"/>
      <c r="AD43" s="415"/>
      <c r="AE43" s="415"/>
      <c r="AJ43" s="415"/>
      <c r="AK43" s="405"/>
      <c r="AL43" s="415"/>
      <c r="AM43" s="415">
        <v>1.0049999999999999</v>
      </c>
      <c r="AN43" s="415">
        <v>1.0049999999999999</v>
      </c>
      <c r="BC43" s="365"/>
      <c r="BD43" s="365"/>
      <c r="BE43" s="365"/>
      <c r="BF43" s="365"/>
      <c r="BG43" s="365"/>
    </row>
    <row r="44" spans="2:59">
      <c r="B44" s="376" t="str">
        <f>Technologies!B44</f>
        <v>R1</v>
      </c>
      <c r="C44" s="376" t="str">
        <f>'Imp Crude'!B25</f>
        <v>IMPOILHV12</v>
      </c>
      <c r="D44" s="376" t="str">
        <f>'Imp Crude'!C25</f>
        <v>Imported Imported Oil-High Sulfur, Very HG, PADD 1, Step 2</v>
      </c>
      <c r="E44" s="415" t="str">
        <f>'Imp Crude'!D25</f>
        <v>OILHV1</v>
      </c>
      <c r="F44" s="415">
        <v>1</v>
      </c>
      <c r="G44" s="413">
        <f>'Imp Crude'!L25</f>
        <v>10.511090390816848</v>
      </c>
      <c r="H44" s="413">
        <f>'Imp Crude'!M25</f>
        <v>11.874559060903133</v>
      </c>
      <c r="I44" s="413">
        <f>'Imp Crude'!N25</f>
        <v>11.760206987486056</v>
      </c>
      <c r="J44" s="413">
        <f>'Imp Crude'!O25</f>
        <v>13.354987985468053</v>
      </c>
      <c r="K44" s="413">
        <f>'Imp Crude'!P25</f>
        <v>14.583986645143707</v>
      </c>
      <c r="L44" s="413">
        <f>'Imp Crude'!Q25</f>
        <v>15.997336866416916</v>
      </c>
      <c r="M44" s="413">
        <f>'Imp Crude'!R25</f>
        <v>17.547656415527392</v>
      </c>
      <c r="N44" s="413">
        <f>'Imp Crude'!S25</f>
        <v>19.248219141013042</v>
      </c>
      <c r="O44" s="413">
        <f>'Imp Crude'!T25</f>
        <v>21.113585274704942</v>
      </c>
      <c r="P44" s="413">
        <f>'Imp Crude'!U25</f>
        <v>23.159726096550227</v>
      </c>
      <c r="Q44" s="405"/>
      <c r="R44" s="405"/>
      <c r="S44" s="405">
        <f>'Imp Crude'!AE25</f>
        <v>28.709736978163527</v>
      </c>
      <c r="T44" s="405">
        <f>'Imp Crude'!AF25</f>
        <v>14.742523278382247</v>
      </c>
      <c r="U44" s="405"/>
      <c r="V44" s="405"/>
      <c r="W44" s="405"/>
      <c r="X44" s="405"/>
      <c r="Y44" s="405"/>
      <c r="Z44" s="405"/>
      <c r="AA44" s="405"/>
      <c r="AB44" s="405"/>
      <c r="AC44" s="405"/>
      <c r="AD44" s="415"/>
      <c r="AE44" s="415"/>
      <c r="AJ44" s="415"/>
      <c r="AK44" s="405"/>
      <c r="AL44" s="415"/>
      <c r="AM44" s="415">
        <v>1.0049999999999999</v>
      </c>
      <c r="AN44" s="415">
        <v>1.0049999999999999</v>
      </c>
      <c r="BC44" s="365"/>
      <c r="BD44" s="365"/>
      <c r="BE44" s="365"/>
      <c r="BF44" s="365"/>
      <c r="BG44" s="365"/>
    </row>
    <row r="45" spans="2:59">
      <c r="B45" s="376" t="str">
        <f>Technologies!B45</f>
        <v>R1</v>
      </c>
      <c r="C45" s="376" t="str">
        <f>'Imp Crude'!B26</f>
        <v>IMPOILHV14</v>
      </c>
      <c r="D45" s="376" t="str">
        <f>'Imp Crude'!C26</f>
        <v>Imported Imported Oil-High Sulfur, Very HG, PADD 1, Step 4</v>
      </c>
      <c r="E45" s="415" t="str">
        <f>'Imp Crude'!D26</f>
        <v>OILHV1</v>
      </c>
      <c r="F45" s="415">
        <v>1</v>
      </c>
      <c r="G45" s="413">
        <f>'Imp Crude'!L26</f>
        <v>11.617520958271253</v>
      </c>
      <c r="H45" s="413">
        <f>'Imp Crude'!M26</f>
        <v>13.124512646261357</v>
      </c>
      <c r="I45" s="413">
        <f>'Imp Crude'!N26</f>
        <v>12.998123512484588</v>
      </c>
      <c r="J45" s="413">
        <f>'Imp Crude'!O26</f>
        <v>14.76077619446469</v>
      </c>
      <c r="K45" s="413">
        <f>'Imp Crude'!P26</f>
        <v>16.119143134106203</v>
      </c>
      <c r="L45" s="413">
        <f>'Imp Crude'!Q26</f>
        <v>17.681267062881854</v>
      </c>
      <c r="M45" s="413">
        <f>'Imp Crude'!R26</f>
        <v>19.394778143477645</v>
      </c>
      <c r="N45" s="413">
        <f>'Imp Crude'!S26</f>
        <v>21.274347471645992</v>
      </c>
      <c r="O45" s="413">
        <f>'Imp Crude'!T26</f>
        <v>23.336067935200195</v>
      </c>
      <c r="P45" s="413">
        <f>'Imp Crude'!U26</f>
        <v>25.597592001450245</v>
      </c>
      <c r="Q45" s="405"/>
      <c r="R45" s="405"/>
      <c r="S45" s="405">
        <f>'Imp Crude'!AE26</f>
        <v>57.419473956327067</v>
      </c>
      <c r="T45" s="405">
        <f>'Imp Crude'!AF26</f>
        <v>29.485046556764473</v>
      </c>
      <c r="U45" s="405"/>
      <c r="V45" s="405"/>
      <c r="W45" s="405"/>
      <c r="X45" s="405"/>
      <c r="Y45" s="405"/>
      <c r="Z45" s="405"/>
      <c r="AA45" s="405"/>
      <c r="AB45" s="405"/>
      <c r="AC45" s="405"/>
      <c r="AD45" s="415"/>
      <c r="AE45" s="415"/>
      <c r="AJ45" s="415"/>
      <c r="AK45" s="405"/>
      <c r="AL45" s="415"/>
      <c r="AM45" s="415">
        <v>1.0049999999999999</v>
      </c>
      <c r="AN45" s="415">
        <v>1.0049999999999999</v>
      </c>
      <c r="BC45" s="365"/>
      <c r="BD45" s="365"/>
      <c r="BE45" s="365"/>
      <c r="BF45" s="365"/>
      <c r="BG45" s="365"/>
    </row>
    <row r="46" spans="2:59">
      <c r="B46" s="376" t="str">
        <f>Technologies!B46</f>
        <v>R1</v>
      </c>
      <c r="C46" s="376" t="str">
        <f>'Imp Crude'!B27</f>
        <v>IMPOILHV15</v>
      </c>
      <c r="D46" s="376" t="str">
        <f>'Imp Crude'!C27</f>
        <v>Imported Imported Oil-High Sulfur, Very HG, PADD 1, Step 5</v>
      </c>
      <c r="E46" s="415" t="str">
        <f>'Imp Crude'!D27</f>
        <v>OILHV1</v>
      </c>
      <c r="F46" s="415">
        <v>1</v>
      </c>
      <c r="G46" s="413">
        <f>'Imp Crude'!L27</f>
        <v>14.383597376907268</v>
      </c>
      <c r="H46" s="413">
        <f>'Imp Crude'!M27</f>
        <v>16.24939660965692</v>
      </c>
      <c r="I46" s="413">
        <f>'Imp Crude'!N27</f>
        <v>16.09291482498092</v>
      </c>
      <c r="J46" s="413">
        <f>'Imp Crude'!O27</f>
        <v>18.275246716956286</v>
      </c>
      <c r="K46" s="413">
        <f>'Imp Crude'!P27</f>
        <v>19.957034356512445</v>
      </c>
      <c r="L46" s="413">
        <f>'Imp Crude'!Q27</f>
        <v>21.891092554044203</v>
      </c>
      <c r="M46" s="413">
        <f>'Imp Crude'!R27</f>
        <v>24.012582463353276</v>
      </c>
      <c r="N46" s="413">
        <f>'Imp Crude'!S27</f>
        <v>26.339668298228375</v>
      </c>
      <c r="O46" s="413">
        <f>'Imp Crude'!T27</f>
        <v>28.89227458643834</v>
      </c>
      <c r="P46" s="413">
        <f>'Imp Crude'!U27</f>
        <v>31.692256763700307</v>
      </c>
      <c r="Q46" s="405"/>
      <c r="R46" s="405"/>
      <c r="S46" s="405">
        <f>'Imp Crude'!AE27</f>
        <v>28.709736978163505</v>
      </c>
      <c r="T46" s="405">
        <f>'Imp Crude'!AF27</f>
        <v>14.742523278382265</v>
      </c>
      <c r="U46" s="405"/>
      <c r="V46" s="405"/>
      <c r="W46" s="405"/>
      <c r="X46" s="405"/>
      <c r="Y46" s="405"/>
      <c r="Z46" s="405"/>
      <c r="AA46" s="405"/>
      <c r="AB46" s="405"/>
      <c r="AC46" s="405"/>
      <c r="AD46" s="415"/>
      <c r="AE46" s="415"/>
      <c r="AJ46" s="415"/>
      <c r="AK46" s="405"/>
      <c r="AL46" s="415"/>
      <c r="AM46" s="415">
        <v>1.0049999999999999</v>
      </c>
      <c r="AN46" s="415">
        <v>1.0049999999999999</v>
      </c>
      <c r="BC46" s="365"/>
      <c r="BD46" s="365"/>
      <c r="BE46" s="365"/>
      <c r="BF46" s="365"/>
      <c r="BG46" s="365"/>
    </row>
    <row r="47" spans="2:59">
      <c r="B47" s="376" t="str">
        <f>Technologies!B47</f>
        <v>R1</v>
      </c>
      <c r="C47" s="376" t="str">
        <f>'Imp Crude'!B28</f>
        <v>IMPOILLL13</v>
      </c>
      <c r="D47" s="376" t="str">
        <f>'Imp Crude'!C28</f>
        <v>Imported Imported Oil-Low Sulfur, Low G, PADD 1, Step 3</v>
      </c>
      <c r="E47" s="415" t="str">
        <f>'Imp Crude'!D28</f>
        <v>OILLL1</v>
      </c>
      <c r="F47" s="415">
        <v>1</v>
      </c>
      <c r="G47" s="413">
        <f>'Imp Crude'!L28</f>
        <v>14.669714698535982</v>
      </c>
      <c r="H47" s="413">
        <f>'Imp Crude'!M28</f>
        <v>16.572628254301122</v>
      </c>
      <c r="I47" s="413">
        <f>'Imp Crude'!N28</f>
        <v>16.413033746991001</v>
      </c>
      <c r="J47" s="413">
        <f>'Imp Crude'!O28</f>
        <v>18.638776403288745</v>
      </c>
      <c r="K47" s="413">
        <f>'Imp Crude'!P28</f>
        <v>20.354018022567015</v>
      </c>
      <c r="L47" s="413">
        <f>'Imp Crude'!Q28</f>
        <v>22.326548344759345</v>
      </c>
      <c r="M47" s="413">
        <f>'Imp Crude'!R28</f>
        <v>24.49023875473652</v>
      </c>
      <c r="N47" s="413">
        <f>'Imp Crude'!S28</f>
        <v>26.863614787315814</v>
      </c>
      <c r="O47" s="413">
        <f>'Imp Crude'!T28</f>
        <v>29.46699730731379</v>
      </c>
      <c r="P47" s="413">
        <f>'Imp Crude'!U28</f>
        <v>32.322676496955467</v>
      </c>
      <c r="Q47" s="405"/>
      <c r="R47" s="405"/>
      <c r="S47" s="405">
        <f>'Imp Crude'!AE28</f>
        <v>1978.4224100861722</v>
      </c>
      <c r="T47" s="405">
        <f>'Imp Crude'!AF28</f>
        <v>1660.717773877245</v>
      </c>
      <c r="U47" s="405"/>
      <c r="V47" s="405"/>
      <c r="W47" s="405"/>
      <c r="X47" s="405"/>
      <c r="Y47" s="405"/>
      <c r="Z47" s="405"/>
      <c r="AA47" s="405"/>
      <c r="AB47" s="405"/>
      <c r="AC47" s="405"/>
      <c r="AD47" s="415"/>
      <c r="AE47" s="415"/>
      <c r="AJ47" s="415"/>
      <c r="AK47" s="405"/>
      <c r="AL47" s="415"/>
      <c r="AM47" s="415">
        <v>1.0049999999999999</v>
      </c>
      <c r="AN47" s="415">
        <v>1.0049999999999999</v>
      </c>
      <c r="BC47" s="365"/>
      <c r="BD47" s="365"/>
      <c r="BE47" s="365"/>
      <c r="BF47" s="365"/>
      <c r="BG47" s="365"/>
    </row>
    <row r="48" spans="2:59">
      <c r="B48" s="376" t="str">
        <f>Technologies!B48</f>
        <v>R1</v>
      </c>
      <c r="C48" s="376" t="str">
        <f>'Imp Crude'!B29</f>
        <v>IMPOILLL11</v>
      </c>
      <c r="D48" s="376" t="str">
        <f>'Imp Crude'!C29</f>
        <v>Imported Imported Oil-Low Sulfur, Low G, PADD 1, Step 1</v>
      </c>
      <c r="E48" s="415" t="str">
        <f>'Imp Crude'!D29</f>
        <v>OILLL1</v>
      </c>
      <c r="F48" s="415">
        <v>1</v>
      </c>
      <c r="G48" s="413">
        <f>'Imp Crude'!L29</f>
        <v>13.202743228682387</v>
      </c>
      <c r="H48" s="413">
        <f>'Imp Crude'!M29</f>
        <v>14.915365428871013</v>
      </c>
      <c r="I48" s="413">
        <f>'Imp Crude'!N29</f>
        <v>14.771730372291906</v>
      </c>
      <c r="J48" s="413">
        <f>'Imp Crude'!O29</f>
        <v>16.774898762959875</v>
      </c>
      <c r="K48" s="413">
        <f>'Imp Crude'!P29</f>
        <v>18.318616220310318</v>
      </c>
      <c r="L48" s="413">
        <f>'Imp Crude'!Q29</f>
        <v>20.093893510283415</v>
      </c>
      <c r="M48" s="413">
        <f>'Imp Crude'!R29</f>
        <v>22.041214879262871</v>
      </c>
      <c r="N48" s="413">
        <f>'Imp Crude'!S29</f>
        <v>24.177253308584234</v>
      </c>
      <c r="O48" s="413">
        <f>'Imp Crude'!T29</f>
        <v>26.520297576582411</v>
      </c>
      <c r="P48" s="413">
        <f>'Imp Crude'!U29</f>
        <v>29.090408847259919</v>
      </c>
      <c r="Q48" s="405"/>
      <c r="R48" s="405"/>
      <c r="S48" s="405">
        <f>'Imp Crude'!AE29</f>
        <v>247.30280126077159</v>
      </c>
      <c r="T48" s="405">
        <f>'Imp Crude'!AF29</f>
        <v>207.58972173465565</v>
      </c>
      <c r="U48" s="405"/>
      <c r="V48" s="405"/>
      <c r="W48" s="405"/>
      <c r="X48" s="405"/>
      <c r="Y48" s="405"/>
      <c r="Z48" s="405"/>
      <c r="AA48" s="405"/>
      <c r="AB48" s="405"/>
      <c r="AC48" s="405"/>
      <c r="AD48" s="415"/>
      <c r="AE48" s="415"/>
      <c r="AJ48" s="415"/>
      <c r="AK48" s="405"/>
      <c r="AL48" s="415"/>
      <c r="AM48" s="415">
        <v>1.0049999999999999</v>
      </c>
      <c r="AN48" s="415">
        <v>1.0049999999999999</v>
      </c>
      <c r="BC48" s="365"/>
      <c r="BD48" s="365"/>
      <c r="BE48" s="365"/>
      <c r="BF48" s="365"/>
      <c r="BG48" s="365"/>
    </row>
    <row r="49" spans="2:59">
      <c r="B49" s="376" t="str">
        <f>Technologies!B49</f>
        <v>R1</v>
      </c>
      <c r="C49" s="376" t="str">
        <f>'Imp Crude'!B30</f>
        <v>IMPOILLL12</v>
      </c>
      <c r="D49" s="376" t="str">
        <f>'Imp Crude'!C30</f>
        <v>Imported Imported Oil-Low Sulfur, Low G, PADD 1, Step 2</v>
      </c>
      <c r="E49" s="415" t="str">
        <f>'Imp Crude'!D30</f>
        <v>OILLL1</v>
      </c>
      <c r="F49" s="415">
        <v>1</v>
      </c>
      <c r="G49" s="413">
        <f>'Imp Crude'!L30</f>
        <v>13.936228963609183</v>
      </c>
      <c r="H49" s="413">
        <f>'Imp Crude'!M30</f>
        <v>15.743996841586066</v>
      </c>
      <c r="I49" s="413">
        <f>'Imp Crude'!N30</f>
        <v>15.592382059641452</v>
      </c>
      <c r="J49" s="413">
        <f>'Imp Crude'!O30</f>
        <v>17.706837583124308</v>
      </c>
      <c r="K49" s="413">
        <f>'Imp Crude'!P30</f>
        <v>19.336317121438665</v>
      </c>
      <c r="L49" s="413">
        <f>'Imp Crude'!Q30</f>
        <v>21.21022092752138</v>
      </c>
      <c r="M49" s="413">
        <f>'Imp Crude'!R30</f>
        <v>23.265726816999695</v>
      </c>
      <c r="N49" s="413">
        <f>'Imp Crude'!S30</f>
        <v>25.520434047950026</v>
      </c>
      <c r="O49" s="413">
        <f>'Imp Crude'!T30</f>
        <v>27.993647441948102</v>
      </c>
      <c r="P49" s="413">
        <f>'Imp Crude'!U30</f>
        <v>30.706542672107695</v>
      </c>
      <c r="Q49" s="405"/>
      <c r="R49" s="405"/>
      <c r="S49" s="405">
        <f>'Imp Crude'!AE30</f>
        <v>247.30280126077159</v>
      </c>
      <c r="T49" s="405">
        <f>'Imp Crude'!AF30</f>
        <v>207.58972173465565</v>
      </c>
      <c r="U49" s="405"/>
      <c r="V49" s="405"/>
      <c r="W49" s="405"/>
      <c r="X49" s="405"/>
      <c r="Y49" s="405"/>
      <c r="Z49" s="405"/>
      <c r="AA49" s="405"/>
      <c r="AB49" s="405"/>
      <c r="AC49" s="405"/>
      <c r="AD49" s="415"/>
      <c r="AE49" s="415"/>
      <c r="AJ49" s="415"/>
      <c r="AK49" s="405"/>
      <c r="AL49" s="415"/>
      <c r="AM49" s="415">
        <v>1.0049999999999999</v>
      </c>
      <c r="AN49" s="415">
        <v>1.0049999999999999</v>
      </c>
      <c r="BC49" s="365"/>
      <c r="BD49" s="365"/>
      <c r="BE49" s="365"/>
      <c r="BF49" s="365"/>
      <c r="BG49" s="365"/>
    </row>
    <row r="50" spans="2:59">
      <c r="B50" s="376" t="str">
        <f>Technologies!B50</f>
        <v>R1</v>
      </c>
      <c r="C50" s="376" t="str">
        <f>'Imp Crude'!B31</f>
        <v>IMPOILLL14</v>
      </c>
      <c r="D50" s="376" t="str">
        <f>'Imp Crude'!C31</f>
        <v>Imported Imported Oil-Low Sulfur, Low G, PADD 1, Step 4</v>
      </c>
      <c r="E50" s="415" t="str">
        <f>'Imp Crude'!D31</f>
        <v>OILLL1</v>
      </c>
      <c r="F50" s="415">
        <v>1</v>
      </c>
      <c r="G50" s="413">
        <f>'Imp Crude'!L31</f>
        <v>15.403200433462786</v>
      </c>
      <c r="H50" s="413">
        <f>'Imp Crude'!M31</f>
        <v>17.401259667016181</v>
      </c>
      <c r="I50" s="413">
        <f>'Imp Crude'!N31</f>
        <v>17.233685434340554</v>
      </c>
      <c r="J50" s="413">
        <f>'Imp Crude'!O31</f>
        <v>19.570715223453185</v>
      </c>
      <c r="K50" s="413">
        <f>'Imp Crude'!P31</f>
        <v>21.371718923695369</v>
      </c>
      <c r="L50" s="413">
        <f>'Imp Crude'!Q31</f>
        <v>23.442875761997318</v>
      </c>
      <c r="M50" s="413">
        <f>'Imp Crude'!R31</f>
        <v>25.714750692473352</v>
      </c>
      <c r="N50" s="413">
        <f>'Imp Crude'!S31</f>
        <v>28.20679552668161</v>
      </c>
      <c r="O50" s="413">
        <f>'Imp Crude'!T31</f>
        <v>30.940347172679484</v>
      </c>
      <c r="P50" s="413">
        <f>'Imp Crude'!U31</f>
        <v>33.938810321803246</v>
      </c>
      <c r="Q50" s="405"/>
      <c r="R50" s="405"/>
      <c r="S50" s="405">
        <f>'Imp Crude'!AE31</f>
        <v>494.60560252154301</v>
      </c>
      <c r="T50" s="405">
        <f>'Imp Crude'!AF31</f>
        <v>415.17944346931108</v>
      </c>
      <c r="U50" s="405"/>
      <c r="V50" s="405"/>
      <c r="W50" s="405"/>
      <c r="X50" s="405"/>
      <c r="Y50" s="405"/>
      <c r="Z50" s="405"/>
      <c r="AA50" s="405"/>
      <c r="AB50" s="405"/>
      <c r="AC50" s="405"/>
      <c r="AD50" s="415"/>
      <c r="AE50" s="415"/>
      <c r="AJ50" s="415"/>
      <c r="AK50" s="405"/>
      <c r="AL50" s="415"/>
      <c r="AM50" s="415">
        <v>1.0049999999999999</v>
      </c>
      <c r="AN50" s="415">
        <v>1.0049999999999999</v>
      </c>
      <c r="BC50" s="365"/>
      <c r="BD50" s="365"/>
      <c r="BE50" s="365"/>
      <c r="BF50" s="365"/>
      <c r="BG50" s="365"/>
    </row>
    <row r="51" spans="2:59">
      <c r="B51" s="376" t="str">
        <f>Technologies!B51</f>
        <v>R1</v>
      </c>
      <c r="C51" s="376" t="str">
        <f>'Imp Crude'!B32</f>
        <v>IMPOILLL15</v>
      </c>
      <c r="D51" s="376" t="str">
        <f>'Imp Crude'!C32</f>
        <v>Imported Imported Oil-Low Sulfur, Low G, PADD 1, Step 5</v>
      </c>
      <c r="E51" s="415" t="str">
        <f>'Imp Crude'!D32</f>
        <v>OILLL1</v>
      </c>
      <c r="F51" s="415">
        <v>1</v>
      </c>
      <c r="G51" s="413">
        <f>'Imp Crude'!L32</f>
        <v>19.070629108096782</v>
      </c>
      <c r="H51" s="413">
        <f>'Imp Crude'!M32</f>
        <v>21.544416730591465</v>
      </c>
      <c r="I51" s="413">
        <f>'Imp Crude'!N32</f>
        <v>21.336943871088309</v>
      </c>
      <c r="J51" s="413">
        <f>'Imp Crude'!O32</f>
        <v>24.230409324275378</v>
      </c>
      <c r="K51" s="413">
        <f>'Imp Crude'!P32</f>
        <v>26.46022342933713</v>
      </c>
      <c r="L51" s="413">
        <f>'Imp Crude'!Q32</f>
        <v>29.024512848187161</v>
      </c>
      <c r="M51" s="413">
        <f>'Imp Crude'!R32</f>
        <v>31.83731038115749</v>
      </c>
      <c r="N51" s="413">
        <f>'Imp Crude'!S32</f>
        <v>34.922699223510577</v>
      </c>
      <c r="O51" s="413">
        <f>'Imp Crude'!T32</f>
        <v>38.307096499507949</v>
      </c>
      <c r="P51" s="413">
        <f>'Imp Crude'!U32</f>
        <v>42.019479446042126</v>
      </c>
      <c r="Q51" s="405"/>
      <c r="R51" s="405"/>
      <c r="S51" s="405">
        <f>'Imp Crude'!AE32</f>
        <v>247.3028012607715</v>
      </c>
      <c r="T51" s="405">
        <f>'Imp Crude'!AF32</f>
        <v>207.58972173465554</v>
      </c>
      <c r="U51" s="405"/>
      <c r="V51" s="405"/>
      <c r="W51" s="405"/>
      <c r="X51" s="405"/>
      <c r="Y51" s="405"/>
      <c r="Z51" s="405"/>
      <c r="AA51" s="405"/>
      <c r="AB51" s="405"/>
      <c r="AC51" s="405"/>
      <c r="AD51" s="415"/>
      <c r="AE51" s="415"/>
      <c r="AJ51" s="415"/>
      <c r="AK51" s="405"/>
      <c r="AL51" s="415"/>
      <c r="AM51" s="415">
        <v>1.0049999999999999</v>
      </c>
      <c r="AN51" s="415">
        <v>1.0049999999999999</v>
      </c>
      <c r="BC51" s="365"/>
      <c r="BD51" s="365"/>
      <c r="BE51" s="365"/>
      <c r="BF51" s="365"/>
      <c r="BG51" s="365"/>
    </row>
    <row r="52" spans="2:59">
      <c r="B52" s="376" t="str">
        <f>Technologies!B52</f>
        <v>R1</v>
      </c>
      <c r="C52" s="376" t="str">
        <f>'Imp Crude'!B33</f>
        <v>IMPOILMH13</v>
      </c>
      <c r="D52" s="376" t="str">
        <f>'Imp Crude'!C33</f>
        <v>Imported Imported Oil-Medium Sulfur, HG, PADD 1, Step 3</v>
      </c>
      <c r="E52" s="415" t="str">
        <f>'Imp Crude'!D33</f>
        <v>OILMH1</v>
      </c>
      <c r="F52" s="415">
        <v>1</v>
      </c>
      <c r="G52" s="413">
        <f>'Imp Crude'!L33</f>
        <v>12.053312370116149</v>
      </c>
      <c r="H52" s="413">
        <f>'Imp Crude'!M33</f>
        <v>13.61683367726568</v>
      </c>
      <c r="I52" s="413">
        <f>'Imp Crude'!N33</f>
        <v>13.485703489072201</v>
      </c>
      <c r="J52" s="413">
        <f>'Imp Crude'!O33</f>
        <v>15.314476034630031</v>
      </c>
      <c r="K52" s="413">
        <f>'Imp Crude'!P33</f>
        <v>16.723797446276034</v>
      </c>
      <c r="L52" s="413">
        <f>'Imp Crude'!Q33</f>
        <v>18.34451909093643</v>
      </c>
      <c r="M52" s="413">
        <f>'Imp Crude'!R33</f>
        <v>20.122306656653866</v>
      </c>
      <c r="N52" s="413">
        <f>'Imp Crude'!S33</f>
        <v>22.072381574967043</v>
      </c>
      <c r="O52" s="413">
        <f>'Imp Crude'!T33</f>
        <v>24.211440403123216</v>
      </c>
      <c r="P52" s="413">
        <f>'Imp Crude'!U33</f>
        <v>26.557797780136578</v>
      </c>
      <c r="Q52" s="405"/>
      <c r="R52" s="405"/>
      <c r="S52" s="405">
        <f>'Imp Crude'!AE33</f>
        <v>98.252445095977691</v>
      </c>
      <c r="T52" s="405">
        <f>'Imp Crude'!AF33</f>
        <v>94.750746578812979</v>
      </c>
      <c r="U52" s="405"/>
      <c r="V52" s="405"/>
      <c r="W52" s="405"/>
      <c r="X52" s="405"/>
      <c r="Y52" s="405"/>
      <c r="Z52" s="405"/>
      <c r="AA52" s="405"/>
      <c r="AB52" s="405"/>
      <c r="AC52" s="405"/>
      <c r="AD52" s="415"/>
      <c r="AE52" s="415"/>
      <c r="AJ52" s="415"/>
      <c r="AK52" s="405"/>
      <c r="AL52" s="415"/>
      <c r="AM52" s="415">
        <v>1.0049999999999999</v>
      </c>
      <c r="AN52" s="415">
        <v>1.0049999999999999</v>
      </c>
      <c r="BC52" s="365"/>
      <c r="BD52" s="365"/>
      <c r="BE52" s="365"/>
      <c r="BF52" s="365"/>
      <c r="BG52" s="365"/>
    </row>
    <row r="53" spans="2:59">
      <c r="B53" s="376" t="str">
        <f>Technologies!B53</f>
        <v>R1</v>
      </c>
      <c r="C53" s="376" t="str">
        <f>'Imp Crude'!B34</f>
        <v>IMPOILMH11</v>
      </c>
      <c r="D53" s="376" t="str">
        <f>'Imp Crude'!C34</f>
        <v>Imported Imported Oil-Medium Sulfur, HG, PADD 1, Step 1</v>
      </c>
      <c r="E53" s="415" t="str">
        <f>'Imp Crude'!D34</f>
        <v>OILMH1</v>
      </c>
      <c r="F53" s="415">
        <v>1</v>
      </c>
      <c r="G53" s="413">
        <f>'Imp Crude'!L34</f>
        <v>10.847981133104536</v>
      </c>
      <c r="H53" s="413">
        <f>'Imp Crude'!M34</f>
        <v>12.255150309539113</v>
      </c>
      <c r="I53" s="413">
        <f>'Imp Crude'!N34</f>
        <v>12.137133140164982</v>
      </c>
      <c r="J53" s="413">
        <f>'Imp Crude'!O34</f>
        <v>13.783028431167031</v>
      </c>
      <c r="K53" s="413">
        <f>'Imp Crude'!P34</f>
        <v>15.051417701648433</v>
      </c>
      <c r="L53" s="413">
        <f>'Imp Crude'!Q34</f>
        <v>16.510067181842789</v>
      </c>
      <c r="M53" s="413">
        <f>'Imp Crude'!R34</f>
        <v>18.110075990988481</v>
      </c>
      <c r="N53" s="413">
        <f>'Imp Crude'!S34</f>
        <v>19.865143417470343</v>
      </c>
      <c r="O53" s="413">
        <f>'Imp Crude'!T34</f>
        <v>21.790296362810899</v>
      </c>
      <c r="P53" s="413">
        <f>'Imp Crude'!U34</f>
        <v>23.902018002122926</v>
      </c>
      <c r="Q53" s="405"/>
      <c r="R53" s="405"/>
      <c r="S53" s="405">
        <f>'Imp Crude'!AE34</f>
        <v>12.281555636997211</v>
      </c>
      <c r="T53" s="405">
        <f>'Imp Crude'!AF34</f>
        <v>11.843843322351622</v>
      </c>
      <c r="U53" s="405"/>
      <c r="V53" s="405"/>
      <c r="W53" s="405"/>
      <c r="X53" s="405"/>
      <c r="Y53" s="405"/>
      <c r="Z53" s="405"/>
      <c r="AA53" s="405"/>
      <c r="AB53" s="405"/>
      <c r="AC53" s="405"/>
      <c r="AD53" s="415"/>
      <c r="AE53" s="415"/>
      <c r="AJ53" s="415"/>
      <c r="AK53" s="405"/>
      <c r="AL53" s="415"/>
      <c r="AM53" s="415">
        <v>1.0049999999999999</v>
      </c>
      <c r="AN53" s="415">
        <v>1.0049999999999999</v>
      </c>
      <c r="BC53" s="365"/>
      <c r="BD53" s="365"/>
      <c r="BE53" s="365"/>
      <c r="BF53" s="365"/>
      <c r="BG53" s="365"/>
    </row>
    <row r="54" spans="2:59">
      <c r="B54" s="376" t="str">
        <f>Technologies!B54</f>
        <v>R1</v>
      </c>
      <c r="C54" s="376" t="str">
        <f>'Imp Crude'!B35</f>
        <v>IMPOILMH12</v>
      </c>
      <c r="D54" s="376" t="str">
        <f>'Imp Crude'!C35</f>
        <v>Imported Imported Oil-Medium Sulfur, HG, PADD 1, Step 2</v>
      </c>
      <c r="E54" s="415" t="str">
        <f>'Imp Crude'!D35</f>
        <v>OILMH1</v>
      </c>
      <c r="F54" s="415">
        <v>1</v>
      </c>
      <c r="G54" s="413">
        <f>'Imp Crude'!L35</f>
        <v>11.450646751610343</v>
      </c>
      <c r="H54" s="413">
        <f>'Imp Crude'!M35</f>
        <v>12.935991993402396</v>
      </c>
      <c r="I54" s="413">
        <f>'Imp Crude'!N35</f>
        <v>12.811418314618592</v>
      </c>
      <c r="J54" s="413">
        <f>'Imp Crude'!O35</f>
        <v>14.548752232898533</v>
      </c>
      <c r="K54" s="413">
        <f>'Imp Crude'!P35</f>
        <v>15.887607573962235</v>
      </c>
      <c r="L54" s="413">
        <f>'Imp Crude'!Q35</f>
        <v>17.427293136389611</v>
      </c>
      <c r="M54" s="413">
        <f>'Imp Crude'!R35</f>
        <v>19.116191323821173</v>
      </c>
      <c r="N54" s="413">
        <f>'Imp Crude'!S35</f>
        <v>20.968762496218694</v>
      </c>
      <c r="O54" s="413">
        <f>'Imp Crude'!T35</f>
        <v>23.000868382967059</v>
      </c>
      <c r="P54" s="413">
        <f>'Imp Crude'!U35</f>
        <v>25.229907891129756</v>
      </c>
      <c r="Q54" s="405"/>
      <c r="R54" s="405"/>
      <c r="S54" s="405">
        <f>'Imp Crude'!AE35</f>
        <v>12.281555636997211</v>
      </c>
      <c r="T54" s="405">
        <f>'Imp Crude'!AF35</f>
        <v>11.843843322351622</v>
      </c>
      <c r="U54" s="405"/>
      <c r="V54" s="405"/>
      <c r="W54" s="405"/>
      <c r="X54" s="405"/>
      <c r="Y54" s="405"/>
      <c r="Z54" s="405"/>
      <c r="AA54" s="405"/>
      <c r="AB54" s="405"/>
      <c r="AC54" s="405"/>
      <c r="AD54" s="415"/>
      <c r="AE54" s="415"/>
      <c r="AJ54" s="415"/>
      <c r="AK54" s="405"/>
      <c r="AL54" s="415"/>
      <c r="AM54" s="415">
        <v>1.0049999999999999</v>
      </c>
      <c r="AN54" s="415">
        <v>1.0049999999999999</v>
      </c>
      <c r="BC54" s="365"/>
      <c r="BD54" s="365"/>
      <c r="BE54" s="365"/>
      <c r="BF54" s="365"/>
      <c r="BG54" s="365"/>
    </row>
    <row r="55" spans="2:59">
      <c r="B55" s="376" t="str">
        <f>Technologies!B55</f>
        <v>R1</v>
      </c>
      <c r="C55" s="376" t="str">
        <f>'Imp Crude'!B36</f>
        <v>IMPOILMH14</v>
      </c>
      <c r="D55" s="376" t="str">
        <f>'Imp Crude'!C36</f>
        <v>Imported Imported Oil-Medium Sulfur, HG, PADD 1, Step 4</v>
      </c>
      <c r="E55" s="415" t="str">
        <f>'Imp Crude'!D36</f>
        <v>OILMH1</v>
      </c>
      <c r="F55" s="415">
        <v>1</v>
      </c>
      <c r="G55" s="413">
        <f>'Imp Crude'!L36</f>
        <v>12.655977988621959</v>
      </c>
      <c r="H55" s="413">
        <f>'Imp Crude'!M36</f>
        <v>14.297675361128967</v>
      </c>
      <c r="I55" s="413">
        <f>'Imp Crude'!N36</f>
        <v>14.159988663525814</v>
      </c>
      <c r="J55" s="413">
        <f>'Imp Crude'!O36</f>
        <v>16.080199836361537</v>
      </c>
      <c r="K55" s="413">
        <f>'Imp Crude'!P36</f>
        <v>17.55998731858984</v>
      </c>
      <c r="L55" s="413">
        <f>'Imp Crude'!Q36</f>
        <v>19.261745045483256</v>
      </c>
      <c r="M55" s="413">
        <f>'Imp Crude'!R36</f>
        <v>21.128421989486561</v>
      </c>
      <c r="N55" s="413">
        <f>'Imp Crude'!S36</f>
        <v>23.176000653715398</v>
      </c>
      <c r="O55" s="413">
        <f>'Imp Crude'!T36</f>
        <v>25.42201242327938</v>
      </c>
      <c r="P55" s="413">
        <f>'Imp Crude'!U36</f>
        <v>27.885687669143412</v>
      </c>
      <c r="Q55" s="405"/>
      <c r="R55" s="405"/>
      <c r="S55" s="405">
        <f>'Imp Crude'!AE36</f>
        <v>24.563111273994394</v>
      </c>
      <c r="T55" s="405">
        <f>'Imp Crude'!AF36</f>
        <v>23.687686644703263</v>
      </c>
      <c r="U55" s="405"/>
      <c r="V55" s="405"/>
      <c r="W55" s="405"/>
      <c r="X55" s="405"/>
      <c r="Y55" s="405"/>
      <c r="Z55" s="405"/>
      <c r="AA55" s="405"/>
      <c r="AB55" s="405"/>
      <c r="AC55" s="405"/>
      <c r="AD55" s="415"/>
      <c r="AE55" s="415"/>
      <c r="AJ55" s="415"/>
      <c r="AK55" s="405"/>
      <c r="AL55" s="415"/>
      <c r="AM55" s="415">
        <v>1.0049999999999999</v>
      </c>
      <c r="AN55" s="415">
        <v>1.0049999999999999</v>
      </c>
      <c r="BC55" s="365"/>
      <c r="BD55" s="365"/>
      <c r="BE55" s="365"/>
      <c r="BF55" s="365"/>
      <c r="BG55" s="365"/>
    </row>
    <row r="56" spans="2:59">
      <c r="B56" s="376" t="str">
        <f>Technologies!B56</f>
        <v>R1</v>
      </c>
      <c r="C56" s="376" t="str">
        <f>'Imp Crude'!B37</f>
        <v>IMPOILMH15</v>
      </c>
      <c r="D56" s="376" t="str">
        <f>'Imp Crude'!C37</f>
        <v>Imported Imported Oil-Medium Sulfur, HG, PADD 1, Step 5</v>
      </c>
      <c r="E56" s="415" t="str">
        <f>'Imp Crude'!D37</f>
        <v>OILMH1</v>
      </c>
      <c r="F56" s="415">
        <v>1</v>
      </c>
      <c r="G56" s="413">
        <f>'Imp Crude'!L37</f>
        <v>15.669306081150996</v>
      </c>
      <c r="H56" s="413">
        <f>'Imp Crude'!M37</f>
        <v>17.701883780445385</v>
      </c>
      <c r="I56" s="413">
        <f>'Imp Crude'!N37</f>
        <v>17.531414535793864</v>
      </c>
      <c r="J56" s="413">
        <f>'Imp Crude'!O37</f>
        <v>19.908818845019045</v>
      </c>
      <c r="K56" s="413">
        <f>'Imp Crude'!P37</f>
        <v>21.740936680158846</v>
      </c>
      <c r="L56" s="413">
        <f>'Imp Crude'!Q37</f>
        <v>23.84787481821736</v>
      </c>
      <c r="M56" s="413">
        <f>'Imp Crude'!R37</f>
        <v>26.158998653650023</v>
      </c>
      <c r="N56" s="413">
        <f>'Imp Crude'!S37</f>
        <v>28.694096047457155</v>
      </c>
      <c r="O56" s="413">
        <f>'Imp Crude'!T37</f>
        <v>31.474872524060178</v>
      </c>
      <c r="P56" s="413">
        <f>'Imp Crude'!U37</f>
        <v>34.525137114177546</v>
      </c>
      <c r="Q56" s="405"/>
      <c r="R56" s="405"/>
      <c r="S56" s="405">
        <f>'Imp Crude'!AE37</f>
        <v>12.28155563699724</v>
      </c>
      <c r="T56" s="405">
        <f>'Imp Crude'!AF37</f>
        <v>11.843843322351631</v>
      </c>
      <c r="U56" s="405"/>
      <c r="V56" s="405"/>
      <c r="W56" s="405"/>
      <c r="X56" s="405"/>
      <c r="Y56" s="405"/>
      <c r="Z56" s="405"/>
      <c r="AA56" s="405"/>
      <c r="AB56" s="405"/>
      <c r="AC56" s="405"/>
      <c r="AD56" s="415"/>
      <c r="AE56" s="415"/>
      <c r="AJ56" s="415"/>
      <c r="AK56" s="405"/>
      <c r="AL56" s="415"/>
      <c r="AM56" s="415">
        <v>1.0049999999999999</v>
      </c>
      <c r="AN56" s="415">
        <v>1.0049999999999999</v>
      </c>
      <c r="BC56" s="365"/>
      <c r="BD56" s="365"/>
      <c r="BE56" s="365"/>
      <c r="BF56" s="365"/>
      <c r="BG56" s="365"/>
    </row>
    <row r="57" spans="2:59">
      <c r="B57" s="376" t="s">
        <v>588</v>
      </c>
      <c r="C57" s="376"/>
      <c r="D57" s="376"/>
      <c r="E57" s="415"/>
      <c r="F57" s="415"/>
      <c r="G57" s="413"/>
      <c r="H57" s="413"/>
      <c r="I57" s="413"/>
      <c r="J57" s="413"/>
      <c r="K57" s="413"/>
      <c r="L57" s="413"/>
      <c r="M57" s="413"/>
      <c r="N57" s="413"/>
      <c r="O57" s="413"/>
      <c r="P57" s="413"/>
      <c r="Q57" s="405"/>
      <c r="R57" s="405"/>
      <c r="S57" s="405"/>
      <c r="T57" s="405"/>
      <c r="U57" s="405"/>
      <c r="V57" s="405"/>
      <c r="W57" s="405"/>
      <c r="X57" s="405"/>
      <c r="Y57" s="405"/>
      <c r="Z57" s="405"/>
      <c r="AA57" s="405"/>
      <c r="AB57" s="405"/>
      <c r="AC57" s="405"/>
      <c r="AD57" s="415"/>
      <c r="AE57" s="415"/>
      <c r="AJ57" s="415"/>
      <c r="AK57" s="405"/>
      <c r="AL57" s="415"/>
      <c r="AM57" s="415"/>
      <c r="AN57" s="415"/>
      <c r="BC57" s="365"/>
      <c r="BD57" s="365"/>
      <c r="BE57" s="365"/>
      <c r="BF57" s="365"/>
      <c r="BG57" s="365"/>
    </row>
    <row r="58" spans="2:59">
      <c r="B58" s="376" t="str">
        <f>Technologies!B58</f>
        <v>R1</v>
      </c>
      <c r="C58" s="376" t="str">
        <f>'Imp Crude'!B39</f>
        <v>IMPOILHH23</v>
      </c>
      <c r="D58" s="376" t="str">
        <f>'Imp Crude'!C39</f>
        <v>Imported Imported Oil-High Sulfur, Heavy G, PADD 2, Step 3</v>
      </c>
      <c r="E58" s="415" t="str">
        <f>'Imp Crude'!D39</f>
        <v>OILHH2</v>
      </c>
      <c r="F58" s="415">
        <v>1</v>
      </c>
      <c r="G58" s="413">
        <f>'Imp Crude'!L39</f>
        <v>11.163537115571355</v>
      </c>
      <c r="H58" s="413">
        <f>'Imp Crude'!M39</f>
        <v>12.611639314152493</v>
      </c>
      <c r="I58" s="413">
        <f>'Imp Crude'!N39</f>
        <v>12.490189153572638</v>
      </c>
      <c r="J58" s="413">
        <f>'Imp Crude'!O39</f>
        <v>14.183961749966075</v>
      </c>
      <c r="K58" s="413">
        <f>'Imp Crude'!P39</f>
        <v>15.489247085944466</v>
      </c>
      <c r="L58" s="413">
        <f>'Imp Crude'!Q39</f>
        <v>16.990327094377189</v>
      </c>
      <c r="M58" s="413">
        <f>'Imp Crude'!R39</f>
        <v>18.636878421022729</v>
      </c>
      <c r="N58" s="413">
        <f>'Imp Crude'!S39</f>
        <v>20.442998851677775</v>
      </c>
      <c r="O58" s="413">
        <f>'Imp Crude'!T39</f>
        <v>22.424152404100138</v>
      </c>
      <c r="P58" s="413">
        <f>'Imp Crude'!U39</f>
        <v>24.597301731054063</v>
      </c>
      <c r="Q58" s="405"/>
      <c r="R58" s="405"/>
      <c r="S58" s="405">
        <f>'Imp Crude'!AE39</f>
        <v>424.26430225520011</v>
      </c>
      <c r="T58" s="405">
        <f>'Imp Crude'!AF39</f>
        <v>454.15912204269654</v>
      </c>
      <c r="U58" s="405"/>
      <c r="V58" s="405"/>
      <c r="W58" s="405"/>
      <c r="X58" s="405"/>
      <c r="Y58" s="405"/>
      <c r="Z58" s="405"/>
      <c r="AA58" s="405"/>
      <c r="AB58" s="405"/>
      <c r="AC58" s="405"/>
      <c r="AD58" s="415"/>
      <c r="AE58" s="415"/>
      <c r="AJ58" s="415"/>
      <c r="AK58" s="405"/>
      <c r="AL58" s="415"/>
      <c r="AM58" s="415">
        <v>1.0049999999999999</v>
      </c>
      <c r="AN58" s="415">
        <v>1.0049999999999999</v>
      </c>
      <c r="BC58" s="365"/>
      <c r="BD58" s="365"/>
      <c r="BE58" s="365"/>
      <c r="BF58" s="365"/>
      <c r="BG58" s="365"/>
    </row>
    <row r="59" spans="2:59">
      <c r="B59" s="376" t="str">
        <f>Technologies!B59</f>
        <v>R1</v>
      </c>
      <c r="C59" s="376" t="str">
        <f>'Imp Crude'!B40</f>
        <v>IMPOILHH21</v>
      </c>
      <c r="D59" s="376" t="str">
        <f>'Imp Crude'!C40</f>
        <v>Imported Imported Oil-High Sulfur, Heavy G, PADD 2, Step 1</v>
      </c>
      <c r="E59" s="415" t="str">
        <f>'Imp Crude'!D40</f>
        <v>OILHH2</v>
      </c>
      <c r="F59" s="415">
        <v>1</v>
      </c>
      <c r="G59" s="413">
        <f>'Imp Crude'!L40</f>
        <v>10.04718340401422</v>
      </c>
      <c r="H59" s="413">
        <f>'Imp Crude'!M40</f>
        <v>11.350475382737244</v>
      </c>
      <c r="I59" s="413">
        <f>'Imp Crude'!N40</f>
        <v>11.241170238215375</v>
      </c>
      <c r="J59" s="413">
        <f>'Imp Crude'!O40</f>
        <v>12.765565574969468</v>
      </c>
      <c r="K59" s="413">
        <f>'Imp Crude'!P40</f>
        <v>13.94032237735002</v>
      </c>
      <c r="L59" s="413">
        <f>'Imp Crude'!Q40</f>
        <v>15.291294384939469</v>
      </c>
      <c r="M59" s="413">
        <f>'Imp Crude'!R40</f>
        <v>16.773190578920456</v>
      </c>
      <c r="N59" s="413">
        <f>'Imp Crude'!S40</f>
        <v>18.398698966509997</v>
      </c>
      <c r="O59" s="413">
        <f>'Imp Crude'!T40</f>
        <v>20.181737163690123</v>
      </c>
      <c r="P59" s="413">
        <f>'Imp Crude'!U40</f>
        <v>22.137571557948657</v>
      </c>
      <c r="Q59" s="405"/>
      <c r="R59" s="405"/>
      <c r="S59" s="405">
        <f>'Imp Crude'!AE40</f>
        <v>53.033037781899999</v>
      </c>
      <c r="T59" s="405">
        <f>'Imp Crude'!AF40</f>
        <v>56.769890255337067</v>
      </c>
      <c r="U59" s="405"/>
      <c r="V59" s="405"/>
      <c r="W59" s="405"/>
      <c r="X59" s="405"/>
      <c r="Y59" s="405"/>
      <c r="Z59" s="405"/>
      <c r="AA59" s="405"/>
      <c r="AB59" s="405"/>
      <c r="AC59" s="405"/>
      <c r="AD59" s="415"/>
      <c r="AE59" s="415"/>
      <c r="AJ59" s="415"/>
      <c r="AK59" s="405"/>
      <c r="AL59" s="415"/>
      <c r="AM59" s="415">
        <v>1.0049999999999999</v>
      </c>
      <c r="AN59" s="415">
        <v>1.0049999999999999</v>
      </c>
      <c r="BC59" s="365"/>
      <c r="BD59" s="365"/>
      <c r="BE59" s="365"/>
      <c r="BF59" s="365"/>
      <c r="BG59" s="365"/>
    </row>
    <row r="60" spans="2:59">
      <c r="B60" s="376" t="str">
        <f>Technologies!B60</f>
        <v>R1</v>
      </c>
      <c r="C60" s="376" t="str">
        <f>'Imp Crude'!B41</f>
        <v>IMPOILHH22</v>
      </c>
      <c r="D60" s="376" t="str">
        <f>'Imp Crude'!C41</f>
        <v>Imported Imported Oil-High Sulfur, Heavy G, PADD 2, Step 2</v>
      </c>
      <c r="E60" s="415" t="str">
        <f>'Imp Crude'!D41</f>
        <v>OILHH2</v>
      </c>
      <c r="F60" s="415">
        <v>1</v>
      </c>
      <c r="G60" s="413">
        <f>'Imp Crude'!L41</f>
        <v>10.605360259792784</v>
      </c>
      <c r="H60" s="413">
        <f>'Imp Crude'!M41</f>
        <v>11.981057348444864</v>
      </c>
      <c r="I60" s="413">
        <f>'Imp Crude'!N41</f>
        <v>11.865679695894002</v>
      </c>
      <c r="J60" s="413">
        <f>'Imp Crude'!O41</f>
        <v>13.474763662467767</v>
      </c>
      <c r="K60" s="413">
        <f>'Imp Crude'!P41</f>
        <v>14.714784731647239</v>
      </c>
      <c r="L60" s="413">
        <f>'Imp Crude'!Q41</f>
        <v>16.140810739658324</v>
      </c>
      <c r="M60" s="413">
        <f>'Imp Crude'!R41</f>
        <v>17.705034499971585</v>
      </c>
      <c r="N60" s="413">
        <f>'Imp Crude'!S41</f>
        <v>19.420848909093877</v>
      </c>
      <c r="O60" s="413">
        <f>'Imp Crude'!T41</f>
        <v>21.302944783895121</v>
      </c>
      <c r="P60" s="413">
        <f>'Imp Crude'!U41</f>
        <v>23.36743664450135</v>
      </c>
      <c r="Q60" s="405"/>
      <c r="R60" s="405"/>
      <c r="S60" s="405">
        <f>'Imp Crude'!AE41</f>
        <v>53.033037781899999</v>
      </c>
      <c r="T60" s="405">
        <f>'Imp Crude'!AF41</f>
        <v>56.769890255337067</v>
      </c>
      <c r="U60" s="405"/>
      <c r="V60" s="405"/>
      <c r="W60" s="405"/>
      <c r="X60" s="405"/>
      <c r="Y60" s="405"/>
      <c r="Z60" s="405"/>
      <c r="AA60" s="405"/>
      <c r="AB60" s="405"/>
      <c r="AC60" s="405"/>
      <c r="AD60" s="415"/>
      <c r="AE60" s="415"/>
      <c r="AJ60" s="415"/>
      <c r="AK60" s="405"/>
      <c r="AL60" s="415"/>
      <c r="AM60" s="415">
        <v>1.0049999999999999</v>
      </c>
      <c r="AN60" s="415">
        <v>1.0049999999999999</v>
      </c>
      <c r="BC60" s="365"/>
      <c r="BD60" s="365"/>
      <c r="BE60" s="365"/>
      <c r="BF60" s="365"/>
      <c r="BG60" s="365"/>
    </row>
    <row r="61" spans="2:59">
      <c r="B61" s="376" t="str">
        <f>Technologies!B61</f>
        <v>R1</v>
      </c>
      <c r="C61" s="376" t="str">
        <f>'Imp Crude'!B42</f>
        <v>IMPOILHH24</v>
      </c>
      <c r="D61" s="376" t="str">
        <f>'Imp Crude'!C42</f>
        <v>Imported Imported Oil-High Sulfur, Heavy G, PADD 2, Step 4</v>
      </c>
      <c r="E61" s="415" t="str">
        <f>'Imp Crude'!D42</f>
        <v>OILHH2</v>
      </c>
      <c r="F61" s="415">
        <v>1</v>
      </c>
      <c r="G61" s="413">
        <f>'Imp Crude'!L42</f>
        <v>11.721713971349921</v>
      </c>
      <c r="H61" s="413">
        <f>'Imp Crude'!M42</f>
        <v>13.242221279860116</v>
      </c>
      <c r="I61" s="413">
        <f>'Imp Crude'!N42</f>
        <v>13.114698611251269</v>
      </c>
      <c r="J61" s="413">
        <f>'Imp Crude'!O42</f>
        <v>14.893159837464378</v>
      </c>
      <c r="K61" s="413">
        <f>'Imp Crude'!P42</f>
        <v>16.263709440241687</v>
      </c>
      <c r="L61" s="413">
        <f>'Imp Crude'!Q42</f>
        <v>17.839843449096044</v>
      </c>
      <c r="M61" s="413">
        <f>'Imp Crude'!R42</f>
        <v>19.568722342073858</v>
      </c>
      <c r="N61" s="413">
        <f>'Imp Crude'!S42</f>
        <v>21.465148794261655</v>
      </c>
      <c r="O61" s="413">
        <f>'Imp Crude'!T42</f>
        <v>23.545360024305133</v>
      </c>
      <c r="P61" s="413">
        <f>'Imp Crude'!U42</f>
        <v>25.827166817606752</v>
      </c>
      <c r="Q61" s="405"/>
      <c r="R61" s="405"/>
      <c r="S61" s="405">
        <f>'Imp Crude'!AE42</f>
        <v>106.06607556379981</v>
      </c>
      <c r="T61" s="405">
        <f>'Imp Crude'!AF42</f>
        <v>113.53978051067418</v>
      </c>
      <c r="U61" s="405"/>
      <c r="V61" s="405"/>
      <c r="W61" s="405"/>
      <c r="X61" s="405"/>
      <c r="Y61" s="405"/>
      <c r="Z61" s="405"/>
      <c r="AA61" s="405"/>
      <c r="AB61" s="405"/>
      <c r="AC61" s="405"/>
      <c r="AD61" s="415"/>
      <c r="AE61" s="415"/>
      <c r="AJ61" s="415"/>
      <c r="AK61" s="405"/>
      <c r="AL61" s="415"/>
      <c r="AM61" s="415">
        <v>1.0049999999999999</v>
      </c>
      <c r="AN61" s="415">
        <v>1.0049999999999999</v>
      </c>
      <c r="BC61" s="365"/>
      <c r="BD61" s="365"/>
      <c r="BE61" s="365"/>
      <c r="BF61" s="365"/>
      <c r="BG61" s="365"/>
    </row>
    <row r="62" spans="2:59">
      <c r="B62" s="376" t="str">
        <f>Technologies!B62</f>
        <v>R1</v>
      </c>
      <c r="C62" s="376" t="str">
        <f>'Imp Crude'!B43</f>
        <v>IMPOILHH25</v>
      </c>
      <c r="D62" s="376" t="str">
        <f>'Imp Crude'!C43</f>
        <v>Imported Imported Oil-High Sulfur, Heavy G, PADD 2, Step 5</v>
      </c>
      <c r="E62" s="415" t="str">
        <f>'Imp Crude'!D43</f>
        <v>OILHH2</v>
      </c>
      <c r="F62" s="415">
        <v>1</v>
      </c>
      <c r="G62" s="413">
        <f>'Imp Crude'!L43</f>
        <v>14.512598250242762</v>
      </c>
      <c r="H62" s="413">
        <f>'Imp Crude'!M43</f>
        <v>16.395131108398243</v>
      </c>
      <c r="I62" s="413">
        <f>'Imp Crude'!N43</f>
        <v>16.237245899644432</v>
      </c>
      <c r="J62" s="413">
        <f>'Imp Crude'!O43</f>
        <v>18.4391502749559</v>
      </c>
      <c r="K62" s="413">
        <f>'Imp Crude'!P43</f>
        <v>20.136021211727808</v>
      </c>
      <c r="L62" s="413">
        <f>'Imp Crude'!Q43</f>
        <v>22.087425222690346</v>
      </c>
      <c r="M62" s="413">
        <f>'Imp Crude'!R43</f>
        <v>24.227941947329548</v>
      </c>
      <c r="N62" s="413">
        <f>'Imp Crude'!S43</f>
        <v>26.575898507181105</v>
      </c>
      <c r="O62" s="413">
        <f>'Imp Crude'!T43</f>
        <v>29.151398125330175</v>
      </c>
      <c r="P62" s="413">
        <f>'Imp Crude'!U43</f>
        <v>31.976492250370278</v>
      </c>
      <c r="Q62" s="405"/>
      <c r="R62" s="405"/>
      <c r="S62" s="405">
        <f>'Imp Crude'!AE43</f>
        <v>53.033037781900134</v>
      </c>
      <c r="T62" s="405">
        <f>'Imp Crude'!AF43</f>
        <v>56.769890255336918</v>
      </c>
      <c r="U62" s="405"/>
      <c r="V62" s="405"/>
      <c r="W62" s="405"/>
      <c r="X62" s="405"/>
      <c r="Y62" s="405"/>
      <c r="Z62" s="405"/>
      <c r="AA62" s="405"/>
      <c r="AB62" s="405"/>
      <c r="AC62" s="405"/>
      <c r="AD62" s="415"/>
      <c r="AE62" s="415"/>
      <c r="AJ62" s="415"/>
      <c r="AK62" s="405"/>
      <c r="AL62" s="415"/>
      <c r="AM62" s="415">
        <v>1.0049999999999999</v>
      </c>
      <c r="AN62" s="415">
        <v>1.0049999999999999</v>
      </c>
      <c r="BC62" s="365"/>
      <c r="BD62" s="365"/>
      <c r="BE62" s="365"/>
      <c r="BF62" s="365"/>
      <c r="BG62" s="365"/>
    </row>
    <row r="63" spans="2:59">
      <c r="B63" s="376" t="str">
        <f>Technologies!B63</f>
        <v>R1</v>
      </c>
      <c r="C63" s="376" t="str">
        <f>'Imp Crude'!B44</f>
        <v>IMPOILHL23</v>
      </c>
      <c r="D63" s="376" t="str">
        <f>'Imp Crude'!C44</f>
        <v>Imported Imported Oil-High Sulfur, Low G, PADD 2, Step 3</v>
      </c>
      <c r="E63" s="415" t="str">
        <f>'Imp Crude'!D44</f>
        <v>OILHL2</v>
      </c>
      <c r="F63" s="415">
        <v>1</v>
      </c>
      <c r="G63" s="413">
        <f>'Imp Crude'!L44</f>
        <v>12.073158658321612</v>
      </c>
      <c r="H63" s="413">
        <f>'Imp Crude'!M44</f>
        <v>13.639254369379731</v>
      </c>
      <c r="I63" s="413">
        <f>'Imp Crude'!N44</f>
        <v>13.507908269789667</v>
      </c>
      <c r="J63" s="413">
        <f>'Imp Crude'!O44</f>
        <v>15.339691966629976</v>
      </c>
      <c r="K63" s="413">
        <f>'Imp Crude'!P44</f>
        <v>16.751333885539939</v>
      </c>
      <c r="L63" s="413">
        <f>'Imp Crude'!Q44</f>
        <v>18.374724116881993</v>
      </c>
      <c r="M63" s="413">
        <f>'Imp Crude'!R44</f>
        <v>20.15543888495791</v>
      </c>
      <c r="N63" s="413">
        <f>'Imp Crude'!S44</f>
        <v>22.108724684036698</v>
      </c>
      <c r="O63" s="413">
        <f>'Imp Crude'!T44</f>
        <v>24.251305562952734</v>
      </c>
      <c r="P63" s="413">
        <f>'Imp Crude'!U44</f>
        <v>26.60152631654735</v>
      </c>
      <c r="Q63" s="405"/>
      <c r="R63" s="405"/>
      <c r="S63" s="405">
        <f>'Imp Crude'!AE44</f>
        <v>276.11265328962531</v>
      </c>
      <c r="T63" s="405">
        <f>'Imp Crude'!AF44</f>
        <v>221.25891853935906</v>
      </c>
      <c r="U63" s="405"/>
      <c r="V63" s="405"/>
      <c r="W63" s="405"/>
      <c r="X63" s="405"/>
      <c r="Y63" s="405"/>
      <c r="Z63" s="405"/>
      <c r="AA63" s="405"/>
      <c r="AB63" s="405"/>
      <c r="AC63" s="405"/>
      <c r="AD63" s="415"/>
      <c r="AE63" s="415"/>
      <c r="AJ63" s="415"/>
      <c r="AK63" s="405"/>
      <c r="AL63" s="415"/>
      <c r="AM63" s="415">
        <v>1.0049999999999999</v>
      </c>
      <c r="AN63" s="415">
        <v>1.0049999999999999</v>
      </c>
      <c r="BC63" s="365"/>
      <c r="BD63" s="365"/>
      <c r="BE63" s="365"/>
      <c r="BF63" s="365"/>
      <c r="BG63" s="365"/>
    </row>
    <row r="64" spans="2:59">
      <c r="B64" s="376" t="str">
        <f>Technologies!B64</f>
        <v>R1</v>
      </c>
      <c r="C64" s="376" t="str">
        <f>'Imp Crude'!B45</f>
        <v>IMPOILHL21</v>
      </c>
      <c r="D64" s="376" t="str">
        <f>'Imp Crude'!C45</f>
        <v>Imported Imported Oil-High Sulfur, Low G, PADD 2, Step 1</v>
      </c>
      <c r="E64" s="415" t="str">
        <f>'Imp Crude'!D45</f>
        <v>OILHL2</v>
      </c>
      <c r="F64" s="415">
        <v>1</v>
      </c>
      <c r="G64" s="413">
        <f>'Imp Crude'!L45</f>
        <v>10.865842792489451</v>
      </c>
      <c r="H64" s="413">
        <f>'Imp Crude'!M45</f>
        <v>12.275328932441758</v>
      </c>
      <c r="I64" s="413">
        <f>'Imp Crude'!N45</f>
        <v>12.1571174428107</v>
      </c>
      <c r="J64" s="413">
        <f>'Imp Crude'!O45</f>
        <v>13.805722769966978</v>
      </c>
      <c r="K64" s="413">
        <f>'Imp Crude'!P45</f>
        <v>15.076200496985946</v>
      </c>
      <c r="L64" s="413">
        <f>'Imp Crude'!Q45</f>
        <v>16.537251705193796</v>
      </c>
      <c r="M64" s="413">
        <f>'Imp Crude'!R45</f>
        <v>18.139894996462122</v>
      </c>
      <c r="N64" s="413">
        <f>'Imp Crude'!S45</f>
        <v>19.89785221563303</v>
      </c>
      <c r="O64" s="413">
        <f>'Imp Crude'!T45</f>
        <v>21.826175006657461</v>
      </c>
      <c r="P64" s="413">
        <f>'Imp Crude'!U45</f>
        <v>23.941373684892614</v>
      </c>
      <c r="Q64" s="405"/>
      <c r="R64" s="405"/>
      <c r="S64" s="405">
        <f>'Imp Crude'!AE45</f>
        <v>34.514081661203164</v>
      </c>
      <c r="T64" s="405">
        <f>'Imp Crude'!AF45</f>
        <v>27.657364817419879</v>
      </c>
      <c r="U64" s="405"/>
      <c r="V64" s="405"/>
      <c r="W64" s="405"/>
      <c r="X64" s="405"/>
      <c r="Y64" s="405"/>
      <c r="Z64" s="405"/>
      <c r="AA64" s="405"/>
      <c r="AB64" s="405"/>
      <c r="AC64" s="405"/>
      <c r="AD64" s="415"/>
      <c r="AE64" s="415"/>
      <c r="AJ64" s="415"/>
      <c r="AK64" s="405"/>
      <c r="AL64" s="415"/>
      <c r="AM64" s="415">
        <v>1.0049999999999999</v>
      </c>
      <c r="AN64" s="415">
        <v>1.0049999999999999</v>
      </c>
      <c r="BC64" s="365"/>
      <c r="BD64" s="365"/>
      <c r="BE64" s="365"/>
      <c r="BF64" s="365"/>
      <c r="BG64" s="365"/>
    </row>
    <row r="65" spans="2:59">
      <c r="B65" s="376" t="str">
        <f>Technologies!B65</f>
        <v>R1</v>
      </c>
      <c r="C65" s="376" t="str">
        <f>'Imp Crude'!B46</f>
        <v>IMPOILHL22</v>
      </c>
      <c r="D65" s="376" t="str">
        <f>'Imp Crude'!C46</f>
        <v>Imported Imported Oil-High Sulfur, Low G, PADD 2, Step 2</v>
      </c>
      <c r="E65" s="415" t="str">
        <f>'Imp Crude'!D46</f>
        <v>OILHL2</v>
      </c>
      <c r="F65" s="415">
        <v>1</v>
      </c>
      <c r="G65" s="413">
        <f>'Imp Crude'!L46</f>
        <v>11.469500725405531</v>
      </c>
      <c r="H65" s="413">
        <f>'Imp Crude'!M46</f>
        <v>12.957291650910745</v>
      </c>
      <c r="I65" s="413">
        <f>'Imp Crude'!N46</f>
        <v>12.832512856300184</v>
      </c>
      <c r="J65" s="413">
        <f>'Imp Crude'!O46</f>
        <v>14.572707368298477</v>
      </c>
      <c r="K65" s="413">
        <f>'Imp Crude'!P46</f>
        <v>15.913767191262943</v>
      </c>
      <c r="L65" s="413">
        <f>'Imp Crude'!Q46</f>
        <v>17.455987911037894</v>
      </c>
      <c r="M65" s="413">
        <f>'Imp Crude'!R46</f>
        <v>19.147666940710014</v>
      </c>
      <c r="N65" s="413">
        <f>'Imp Crude'!S46</f>
        <v>21.003288449834862</v>
      </c>
      <c r="O65" s="413">
        <f>'Imp Crude'!T46</f>
        <v>23.038740284805094</v>
      </c>
      <c r="P65" s="413">
        <f>'Imp Crude'!U46</f>
        <v>25.271450000719977</v>
      </c>
      <c r="Q65" s="405"/>
      <c r="R65" s="405"/>
      <c r="S65" s="405">
        <f>'Imp Crude'!AE46</f>
        <v>34.514081661203164</v>
      </c>
      <c r="T65" s="405">
        <f>'Imp Crude'!AF46</f>
        <v>27.657364817419879</v>
      </c>
      <c r="U65" s="405"/>
      <c r="V65" s="405"/>
      <c r="W65" s="405"/>
      <c r="X65" s="405"/>
      <c r="Y65" s="405"/>
      <c r="Z65" s="405"/>
      <c r="AA65" s="405"/>
      <c r="AB65" s="405"/>
      <c r="AC65" s="405"/>
      <c r="AD65" s="415"/>
      <c r="AE65" s="415"/>
      <c r="AJ65" s="415"/>
      <c r="AK65" s="405"/>
      <c r="AL65" s="415"/>
      <c r="AM65" s="415">
        <v>1.0049999999999999</v>
      </c>
      <c r="AN65" s="415">
        <v>1.0049999999999999</v>
      </c>
      <c r="BC65" s="365"/>
      <c r="BD65" s="365"/>
      <c r="BE65" s="365"/>
      <c r="BF65" s="365"/>
      <c r="BG65" s="365"/>
    </row>
    <row r="66" spans="2:59">
      <c r="B66" s="376" t="str">
        <f>Technologies!B66</f>
        <v>R1</v>
      </c>
      <c r="C66" s="376" t="str">
        <f>'Imp Crude'!B47</f>
        <v>IMPOILHL24</v>
      </c>
      <c r="D66" s="376" t="str">
        <f>'Imp Crude'!C47</f>
        <v>Imported Imported Oil-High Sulfur, Low G, PADD 2, Step 4</v>
      </c>
      <c r="E66" s="415" t="str">
        <f>'Imp Crude'!D47</f>
        <v>OILHL2</v>
      </c>
      <c r="F66" s="415">
        <v>1</v>
      </c>
      <c r="G66" s="413">
        <f>'Imp Crude'!L47</f>
        <v>12.676816591237694</v>
      </c>
      <c r="H66" s="413">
        <f>'Imp Crude'!M47</f>
        <v>14.321217087848719</v>
      </c>
      <c r="I66" s="413">
        <f>'Imp Crude'!N47</f>
        <v>14.183303683279151</v>
      </c>
      <c r="J66" s="413">
        <f>'Imp Crude'!O47</f>
        <v>16.106676564961475</v>
      </c>
      <c r="K66" s="413">
        <f>'Imp Crude'!P47</f>
        <v>17.588900579816936</v>
      </c>
      <c r="L66" s="413">
        <f>'Imp Crude'!Q47</f>
        <v>19.293460322726094</v>
      </c>
      <c r="M66" s="413">
        <f>'Imp Crude'!R47</f>
        <v>21.163210829205806</v>
      </c>
      <c r="N66" s="413">
        <f>'Imp Crude'!S47</f>
        <v>23.214160918238534</v>
      </c>
      <c r="O66" s="413">
        <f>'Imp Crude'!T47</f>
        <v>25.46387084110037</v>
      </c>
      <c r="P66" s="413">
        <f>'Imp Crude'!U47</f>
        <v>27.931602632374716</v>
      </c>
      <c r="Q66" s="405"/>
      <c r="R66" s="405"/>
      <c r="S66" s="405">
        <f>'Imp Crude'!AE47</f>
        <v>69.028163322406328</v>
      </c>
      <c r="T66" s="405">
        <f>'Imp Crude'!AF47</f>
        <v>55.31472963483975</v>
      </c>
      <c r="U66" s="405"/>
      <c r="V66" s="405"/>
      <c r="W66" s="405"/>
      <c r="X66" s="405"/>
      <c r="Y66" s="405"/>
      <c r="Z66" s="405"/>
      <c r="AA66" s="405"/>
      <c r="AB66" s="405"/>
      <c r="AC66" s="405"/>
      <c r="AD66" s="415"/>
      <c r="AE66" s="415"/>
      <c r="AJ66" s="415"/>
      <c r="AK66" s="405"/>
      <c r="AL66" s="415"/>
      <c r="AM66" s="415">
        <v>1.0049999999999999</v>
      </c>
      <c r="AN66" s="415">
        <v>1.0049999999999999</v>
      </c>
      <c r="BC66" s="365"/>
      <c r="BD66" s="365"/>
      <c r="BE66" s="365"/>
      <c r="BF66" s="365"/>
      <c r="BG66" s="365"/>
    </row>
    <row r="67" spans="2:59">
      <c r="B67" s="376" t="str">
        <f>Technologies!B67</f>
        <v>R1</v>
      </c>
      <c r="C67" s="376" t="str">
        <f>'Imp Crude'!B48</f>
        <v>IMPOILHL25</v>
      </c>
      <c r="D67" s="376" t="str">
        <f>'Imp Crude'!C48</f>
        <v>Imported Imported Oil-High Sulfur, Low G, PADD 2, Step 5</v>
      </c>
      <c r="E67" s="415" t="str">
        <f>'Imp Crude'!D48</f>
        <v>OILHL2</v>
      </c>
      <c r="F67" s="415">
        <v>1</v>
      </c>
      <c r="G67" s="413">
        <f>'Imp Crude'!L48</f>
        <v>15.695106255818095</v>
      </c>
      <c r="H67" s="413">
        <f>'Imp Crude'!M48</f>
        <v>17.731030680193651</v>
      </c>
      <c r="I67" s="413">
        <f>'Imp Crude'!N48</f>
        <v>17.560280750726566</v>
      </c>
      <c r="J67" s="413">
        <f>'Imp Crude'!O48</f>
        <v>19.941599556618968</v>
      </c>
      <c r="K67" s="413">
        <f>'Imp Crude'!P48</f>
        <v>21.77673405120192</v>
      </c>
      <c r="L67" s="413">
        <f>'Imp Crude'!Q48</f>
        <v>23.887141351946592</v>
      </c>
      <c r="M67" s="413">
        <f>'Imp Crude'!R48</f>
        <v>26.202070550445285</v>
      </c>
      <c r="N67" s="413">
        <f>'Imp Crude'!S48</f>
        <v>28.741342089247709</v>
      </c>
      <c r="O67" s="413">
        <f>'Imp Crude'!T48</f>
        <v>31.526697231838554</v>
      </c>
      <c r="P67" s="413">
        <f>'Imp Crude'!U48</f>
        <v>34.581984211511553</v>
      </c>
      <c r="Q67" s="405"/>
      <c r="R67" s="405"/>
      <c r="S67" s="405">
        <f>'Imp Crude'!AE48</f>
        <v>34.514081661203079</v>
      </c>
      <c r="T67" s="405">
        <f>'Imp Crude'!AF48</f>
        <v>27.657364817419932</v>
      </c>
      <c r="U67" s="405"/>
      <c r="V67" s="405"/>
      <c r="W67" s="405"/>
      <c r="X67" s="405"/>
      <c r="Y67" s="405"/>
      <c r="Z67" s="405"/>
      <c r="AA67" s="405"/>
      <c r="AB67" s="405"/>
      <c r="AC67" s="405"/>
      <c r="AD67" s="415"/>
      <c r="AE67" s="415"/>
      <c r="AJ67" s="415"/>
      <c r="AK67" s="405"/>
      <c r="AL67" s="415"/>
      <c r="AM67" s="415">
        <v>1.0049999999999999</v>
      </c>
      <c r="AN67" s="415">
        <v>1.0049999999999999</v>
      </c>
      <c r="BC67" s="365"/>
      <c r="BD67" s="365"/>
      <c r="BE67" s="365"/>
      <c r="BF67" s="365"/>
      <c r="BG67" s="365"/>
    </row>
    <row r="68" spans="2:59">
      <c r="B68" s="376" t="str">
        <f>Technologies!B68</f>
        <v>R1</v>
      </c>
      <c r="C68" s="376" t="str">
        <f>'Imp Crude'!B49</f>
        <v>IMPOILHV23</v>
      </c>
      <c r="D68" s="376" t="str">
        <f>'Imp Crude'!C49</f>
        <v>Imported Imported Oil-High Sulfur, Very HG, PADD 2, Step 3</v>
      </c>
      <c r="E68" s="415" t="str">
        <f>'Imp Crude'!D49</f>
        <v>OILHV2</v>
      </c>
      <c r="F68" s="415">
        <v>1</v>
      </c>
      <c r="G68" s="413">
        <f>'Imp Crude'!L49</f>
        <v>11.064305674544054</v>
      </c>
      <c r="H68" s="413">
        <f>'Imp Crude'!M49</f>
        <v>12.499535853582248</v>
      </c>
      <c r="I68" s="413">
        <f>'Imp Crude'!N49</f>
        <v>12.379165249985325</v>
      </c>
      <c r="J68" s="413">
        <f>'Imp Crude'!O49</f>
        <v>14.057882089966375</v>
      </c>
      <c r="K68" s="413">
        <f>'Imp Crude'!P49</f>
        <v>15.351564889624958</v>
      </c>
      <c r="L68" s="413">
        <f>'Imp Crude'!Q49</f>
        <v>16.83930196464939</v>
      </c>
      <c r="M68" s="413">
        <f>'Imp Crude'!R49</f>
        <v>18.471217279502525</v>
      </c>
      <c r="N68" s="413">
        <f>'Imp Crude'!S49</f>
        <v>20.261283306329524</v>
      </c>
      <c r="O68" s="413">
        <f>'Imp Crude'!T49</f>
        <v>22.224826604952575</v>
      </c>
      <c r="P68" s="413">
        <f>'Imp Crude'!U49</f>
        <v>24.378659049000245</v>
      </c>
      <c r="Q68" s="405"/>
      <c r="R68" s="405"/>
      <c r="S68" s="405">
        <f>'Imp Crude'!AE49</f>
        <v>1086.6999818454267</v>
      </c>
      <c r="T68" s="405">
        <f>'Imp Crude'!AF49</f>
        <v>1302.1661969867105</v>
      </c>
      <c r="U68" s="405"/>
      <c r="V68" s="405"/>
      <c r="W68" s="405"/>
      <c r="X68" s="405"/>
      <c r="Y68" s="405"/>
      <c r="Z68" s="405"/>
      <c r="AA68" s="405"/>
      <c r="AB68" s="405"/>
      <c r="AC68" s="405"/>
      <c r="AD68" s="415"/>
      <c r="AE68" s="415"/>
      <c r="AJ68" s="415"/>
      <c r="AK68" s="405"/>
      <c r="AL68" s="415"/>
      <c r="AM68" s="415">
        <v>1.0049999999999999</v>
      </c>
      <c r="AN68" s="415">
        <v>1.0049999999999999</v>
      </c>
      <c r="BC68" s="365"/>
      <c r="BD68" s="365"/>
      <c r="BE68" s="365"/>
      <c r="BF68" s="365"/>
      <c r="BG68" s="365"/>
    </row>
    <row r="69" spans="2:59">
      <c r="B69" s="376" t="str">
        <f>Technologies!B69</f>
        <v>R1</v>
      </c>
      <c r="C69" s="376" t="str">
        <f>'Imp Crude'!B50</f>
        <v>IMPOILHV21</v>
      </c>
      <c r="D69" s="376" t="str">
        <f>'Imp Crude'!C50</f>
        <v>Imported Imported Oil-High Sulfur, Very HG, PADD 2, Step 1</v>
      </c>
      <c r="E69" s="415" t="str">
        <f>'Imp Crude'!D50</f>
        <v>OILHV2</v>
      </c>
      <c r="F69" s="415">
        <v>1</v>
      </c>
      <c r="G69" s="413">
        <f>'Imp Crude'!L50</f>
        <v>9.9578751070896452</v>
      </c>
      <c r="H69" s="413">
        <f>'Imp Crude'!M50</f>
        <v>11.249582268224019</v>
      </c>
      <c r="I69" s="413">
        <f>'Imp Crude'!N50</f>
        <v>11.14124872498679</v>
      </c>
      <c r="J69" s="413">
        <f>'Imp Crude'!O50</f>
        <v>12.652093880969735</v>
      </c>
      <c r="K69" s="413">
        <f>'Imp Crude'!P50</f>
        <v>13.816408400662461</v>
      </c>
      <c r="L69" s="413">
        <f>'Imp Crude'!Q50</f>
        <v>15.155371768184448</v>
      </c>
      <c r="M69" s="413">
        <f>'Imp Crude'!R50</f>
        <v>16.624095551552269</v>
      </c>
      <c r="N69" s="413">
        <f>'Imp Crude'!S50</f>
        <v>18.235154975696567</v>
      </c>
      <c r="O69" s="413">
        <f>'Imp Crude'!T50</f>
        <v>20.002343944457312</v>
      </c>
      <c r="P69" s="413">
        <f>'Imp Crude'!U50</f>
        <v>21.940793144100212</v>
      </c>
      <c r="Q69" s="405"/>
      <c r="R69" s="405"/>
      <c r="S69" s="405">
        <f>'Imp Crude'!AE50</f>
        <v>135.83749773067834</v>
      </c>
      <c r="T69" s="405">
        <f>'Imp Crude'!AF50</f>
        <v>162.77077462333878</v>
      </c>
      <c r="U69" s="405"/>
      <c r="V69" s="405"/>
      <c r="W69" s="405"/>
      <c r="X69" s="405"/>
      <c r="Y69" s="405"/>
      <c r="Z69" s="405"/>
      <c r="AA69" s="405"/>
      <c r="AB69" s="405"/>
      <c r="AC69" s="405"/>
      <c r="AD69" s="415"/>
      <c r="AE69" s="415"/>
      <c r="AJ69" s="415"/>
      <c r="AK69" s="405"/>
      <c r="AL69" s="415"/>
      <c r="AM69" s="415">
        <v>1.0049999999999999</v>
      </c>
      <c r="AN69" s="415">
        <v>1.0049999999999999</v>
      </c>
      <c r="BC69" s="365"/>
      <c r="BD69" s="365"/>
      <c r="BE69" s="365"/>
      <c r="BF69" s="365"/>
      <c r="BG69" s="365"/>
    </row>
    <row r="70" spans="2:59">
      <c r="B70" s="376" t="str">
        <f>Technologies!B70</f>
        <v>R1</v>
      </c>
      <c r="C70" s="376" t="str">
        <f>'Imp Crude'!B51</f>
        <v>IMPOILHV22</v>
      </c>
      <c r="D70" s="376" t="str">
        <f>'Imp Crude'!C51</f>
        <v>Imported Imported Oil-High Sulfur, Very HG, PADD 2, Step 2</v>
      </c>
      <c r="E70" s="415" t="str">
        <f>'Imp Crude'!D51</f>
        <v>OILHV2</v>
      </c>
      <c r="F70" s="415">
        <v>1</v>
      </c>
      <c r="G70" s="413">
        <f>'Imp Crude'!L51</f>
        <v>10.511090390816848</v>
      </c>
      <c r="H70" s="413">
        <f>'Imp Crude'!M51</f>
        <v>11.874559060903133</v>
      </c>
      <c r="I70" s="413">
        <f>'Imp Crude'!N51</f>
        <v>11.760206987486056</v>
      </c>
      <c r="J70" s="413">
        <f>'Imp Crude'!O51</f>
        <v>13.354987985468053</v>
      </c>
      <c r="K70" s="413">
        <f>'Imp Crude'!P51</f>
        <v>14.583986645143707</v>
      </c>
      <c r="L70" s="413">
        <f>'Imp Crude'!Q51</f>
        <v>15.997336866416916</v>
      </c>
      <c r="M70" s="413">
        <f>'Imp Crude'!R51</f>
        <v>17.547656415527392</v>
      </c>
      <c r="N70" s="413">
        <f>'Imp Crude'!S51</f>
        <v>19.248219141013042</v>
      </c>
      <c r="O70" s="413">
        <f>'Imp Crude'!T51</f>
        <v>21.113585274704942</v>
      </c>
      <c r="P70" s="413">
        <f>'Imp Crude'!U51</f>
        <v>23.159726096550227</v>
      </c>
      <c r="Q70" s="405"/>
      <c r="R70" s="405"/>
      <c r="S70" s="405">
        <f>'Imp Crude'!AE51</f>
        <v>135.83749773067834</v>
      </c>
      <c r="T70" s="405">
        <f>'Imp Crude'!AF51</f>
        <v>162.77077462333878</v>
      </c>
      <c r="U70" s="405"/>
      <c r="V70" s="405"/>
      <c r="W70" s="405"/>
      <c r="X70" s="405"/>
      <c r="Y70" s="405"/>
      <c r="Z70" s="405"/>
      <c r="AA70" s="405"/>
      <c r="AB70" s="405"/>
      <c r="AC70" s="405"/>
      <c r="AD70" s="415"/>
      <c r="AE70" s="415"/>
      <c r="AJ70" s="415"/>
      <c r="AK70" s="405"/>
      <c r="AL70" s="415"/>
      <c r="AM70" s="415">
        <v>1.0049999999999999</v>
      </c>
      <c r="AN70" s="415">
        <v>1.0049999999999999</v>
      </c>
      <c r="BC70" s="365"/>
      <c r="BD70" s="365"/>
      <c r="BE70" s="365"/>
      <c r="BF70" s="365"/>
      <c r="BG70" s="365"/>
    </row>
    <row r="71" spans="2:59">
      <c r="B71" s="376" t="str">
        <f>Technologies!B71</f>
        <v>R1</v>
      </c>
      <c r="C71" s="376" t="str">
        <f>'Imp Crude'!B52</f>
        <v>IMPOILHV24</v>
      </c>
      <c r="D71" s="376" t="str">
        <f>'Imp Crude'!C52</f>
        <v>Imported Imported Oil-High Sulfur, Very HG, PADD 2, Step 4</v>
      </c>
      <c r="E71" s="415" t="str">
        <f>'Imp Crude'!D52</f>
        <v>OILHV2</v>
      </c>
      <c r="F71" s="415">
        <v>1</v>
      </c>
      <c r="G71" s="413">
        <f>'Imp Crude'!L52</f>
        <v>11.617520958271253</v>
      </c>
      <c r="H71" s="413">
        <f>'Imp Crude'!M52</f>
        <v>13.124512646261357</v>
      </c>
      <c r="I71" s="413">
        <f>'Imp Crude'!N52</f>
        <v>12.998123512484588</v>
      </c>
      <c r="J71" s="413">
        <f>'Imp Crude'!O52</f>
        <v>14.76077619446469</v>
      </c>
      <c r="K71" s="413">
        <f>'Imp Crude'!P52</f>
        <v>16.119143134106203</v>
      </c>
      <c r="L71" s="413">
        <f>'Imp Crude'!Q52</f>
        <v>17.681267062881854</v>
      </c>
      <c r="M71" s="413">
        <f>'Imp Crude'!R52</f>
        <v>19.394778143477645</v>
      </c>
      <c r="N71" s="413">
        <f>'Imp Crude'!S52</f>
        <v>21.274347471645992</v>
      </c>
      <c r="O71" s="413">
        <f>'Imp Crude'!T52</f>
        <v>23.336067935200195</v>
      </c>
      <c r="P71" s="413">
        <f>'Imp Crude'!U52</f>
        <v>25.597592001450245</v>
      </c>
      <c r="Q71" s="405"/>
      <c r="R71" s="405"/>
      <c r="S71" s="405">
        <f>'Imp Crude'!AE52</f>
        <v>271.67499546135627</v>
      </c>
      <c r="T71" s="405">
        <f>'Imp Crude'!AF52</f>
        <v>325.54154924667773</v>
      </c>
      <c r="U71" s="405"/>
      <c r="V71" s="405"/>
      <c r="W71" s="405"/>
      <c r="X71" s="405"/>
      <c r="Y71" s="405"/>
      <c r="Z71" s="405"/>
      <c r="AA71" s="405"/>
      <c r="AB71" s="405"/>
      <c r="AC71" s="405"/>
      <c r="AD71" s="415"/>
      <c r="AE71" s="415"/>
      <c r="AJ71" s="415"/>
      <c r="AK71" s="405"/>
      <c r="AL71" s="415"/>
      <c r="AM71" s="415">
        <v>1.0049999999999999</v>
      </c>
      <c r="AN71" s="415">
        <v>1.0049999999999999</v>
      </c>
      <c r="BC71" s="365"/>
      <c r="BD71" s="365"/>
      <c r="BE71" s="365"/>
      <c r="BF71" s="365"/>
      <c r="BG71" s="365"/>
    </row>
    <row r="72" spans="2:59">
      <c r="B72" s="376" t="str">
        <f>Technologies!B72</f>
        <v>R1</v>
      </c>
      <c r="C72" s="376" t="str">
        <f>'Imp Crude'!B53</f>
        <v>IMPOILHV25</v>
      </c>
      <c r="D72" s="376" t="str">
        <f>'Imp Crude'!C53</f>
        <v>Imported Imported Oil-High Sulfur, Very HG, PADD 2, Step 5</v>
      </c>
      <c r="E72" s="415" t="str">
        <f>'Imp Crude'!D53</f>
        <v>OILHV2</v>
      </c>
      <c r="F72" s="415">
        <v>1</v>
      </c>
      <c r="G72" s="413">
        <f>'Imp Crude'!L53</f>
        <v>14.383597376907268</v>
      </c>
      <c r="H72" s="413">
        <f>'Imp Crude'!M53</f>
        <v>16.24939660965692</v>
      </c>
      <c r="I72" s="413">
        <f>'Imp Crude'!N53</f>
        <v>16.09291482498092</v>
      </c>
      <c r="J72" s="413">
        <f>'Imp Crude'!O53</f>
        <v>18.275246716956286</v>
      </c>
      <c r="K72" s="413">
        <f>'Imp Crude'!P53</f>
        <v>19.957034356512445</v>
      </c>
      <c r="L72" s="413">
        <f>'Imp Crude'!Q53</f>
        <v>21.891092554044203</v>
      </c>
      <c r="M72" s="413">
        <f>'Imp Crude'!R53</f>
        <v>24.012582463353276</v>
      </c>
      <c r="N72" s="413">
        <f>'Imp Crude'!S53</f>
        <v>26.339668298228375</v>
      </c>
      <c r="O72" s="413">
        <f>'Imp Crude'!T53</f>
        <v>28.89227458643834</v>
      </c>
      <c r="P72" s="413">
        <f>'Imp Crude'!U53</f>
        <v>31.692256763700307</v>
      </c>
      <c r="Q72" s="405"/>
      <c r="R72" s="405"/>
      <c r="S72" s="405">
        <f>'Imp Crude'!AE53</f>
        <v>135.83749773067871</v>
      </c>
      <c r="T72" s="405">
        <f>'Imp Crude'!AF53</f>
        <v>162.77077462333841</v>
      </c>
      <c r="U72" s="405"/>
      <c r="V72" s="405"/>
      <c r="W72" s="405"/>
      <c r="X72" s="405"/>
      <c r="Y72" s="405"/>
      <c r="Z72" s="405"/>
      <c r="AA72" s="405"/>
      <c r="AB72" s="405"/>
      <c r="AC72" s="405"/>
      <c r="AD72" s="415"/>
      <c r="AE72" s="415"/>
      <c r="AJ72" s="415"/>
      <c r="AK72" s="405"/>
      <c r="AL72" s="415"/>
      <c r="AM72" s="415">
        <v>1.0049999999999999</v>
      </c>
      <c r="AN72" s="415">
        <v>1.0049999999999999</v>
      </c>
      <c r="BC72" s="365"/>
      <c r="BD72" s="365"/>
      <c r="BE72" s="365"/>
      <c r="BF72" s="365"/>
      <c r="BG72" s="365"/>
    </row>
    <row r="73" spans="2:59">
      <c r="B73" s="376" t="str">
        <f>Technologies!B73</f>
        <v>R1</v>
      </c>
      <c r="C73" s="376" t="str">
        <f>'Imp Crude'!B54</f>
        <v>IMPOILLL23</v>
      </c>
      <c r="D73" s="376" t="str">
        <f>'Imp Crude'!C54</f>
        <v>Imported Imported Oil-Low Sulfur, Low G, PADD 2, Step 3</v>
      </c>
      <c r="E73" s="415" t="str">
        <f>'Imp Crude'!D54</f>
        <v>OILLL2</v>
      </c>
      <c r="F73" s="415">
        <v>1</v>
      </c>
      <c r="G73" s="413">
        <f>'Imp Crude'!L54</f>
        <v>14.669714698535982</v>
      </c>
      <c r="H73" s="413">
        <f>'Imp Crude'!M54</f>
        <v>16.572628254301122</v>
      </c>
      <c r="I73" s="413">
        <f>'Imp Crude'!N54</f>
        <v>16.413033746991001</v>
      </c>
      <c r="J73" s="413">
        <f>'Imp Crude'!O54</f>
        <v>18.638776403288745</v>
      </c>
      <c r="K73" s="413">
        <f>'Imp Crude'!P54</f>
        <v>20.354018022567015</v>
      </c>
      <c r="L73" s="413">
        <f>'Imp Crude'!Q54</f>
        <v>22.326548344759345</v>
      </c>
      <c r="M73" s="413">
        <f>'Imp Crude'!R54</f>
        <v>24.49023875473652</v>
      </c>
      <c r="N73" s="413">
        <f>'Imp Crude'!S54</f>
        <v>26.863614787315814</v>
      </c>
      <c r="O73" s="413">
        <f>'Imp Crude'!T54</f>
        <v>29.46699730731379</v>
      </c>
      <c r="P73" s="413">
        <f>'Imp Crude'!U54</f>
        <v>32.322676496955467</v>
      </c>
      <c r="Q73" s="405"/>
      <c r="R73" s="405"/>
      <c r="S73" s="405">
        <f>'Imp Crude'!AE54</f>
        <v>698.23495911145324</v>
      </c>
      <c r="T73" s="405">
        <f>'Imp Crude'!AF54</f>
        <v>689.05231353186718</v>
      </c>
      <c r="U73" s="405"/>
      <c r="V73" s="405"/>
      <c r="W73" s="405"/>
      <c r="X73" s="405"/>
      <c r="Y73" s="405"/>
      <c r="Z73" s="405"/>
      <c r="AA73" s="405"/>
      <c r="AB73" s="405"/>
      <c r="AC73" s="405"/>
      <c r="AD73" s="415"/>
      <c r="AE73" s="415"/>
      <c r="AJ73" s="415"/>
      <c r="AK73" s="405"/>
      <c r="AL73" s="415"/>
      <c r="AM73" s="415">
        <v>1.0049999999999999</v>
      </c>
      <c r="AN73" s="415">
        <v>1.0049999999999999</v>
      </c>
      <c r="BC73" s="365"/>
      <c r="BD73" s="365"/>
      <c r="BE73" s="365"/>
      <c r="BF73" s="365"/>
      <c r="BG73" s="365"/>
    </row>
    <row r="74" spans="2:59">
      <c r="B74" s="376" t="str">
        <f>Technologies!B74</f>
        <v>R1</v>
      </c>
      <c r="C74" s="376" t="str">
        <f>'Imp Crude'!B55</f>
        <v>IMPOILLL21</v>
      </c>
      <c r="D74" s="376" t="str">
        <f>'Imp Crude'!C55</f>
        <v>Imported Imported Oil-Low Sulfur, Low G, PADD 2, Step 1</v>
      </c>
      <c r="E74" s="415" t="str">
        <f>'Imp Crude'!D55</f>
        <v>OILLL2</v>
      </c>
      <c r="F74" s="415">
        <v>1</v>
      </c>
      <c r="G74" s="413">
        <f>'Imp Crude'!L55</f>
        <v>13.202743228682387</v>
      </c>
      <c r="H74" s="413">
        <f>'Imp Crude'!M55</f>
        <v>14.915365428871013</v>
      </c>
      <c r="I74" s="413">
        <f>'Imp Crude'!N55</f>
        <v>14.771730372291906</v>
      </c>
      <c r="J74" s="413">
        <f>'Imp Crude'!O55</f>
        <v>16.774898762959875</v>
      </c>
      <c r="K74" s="413">
        <f>'Imp Crude'!P55</f>
        <v>18.318616220310318</v>
      </c>
      <c r="L74" s="413">
        <f>'Imp Crude'!Q55</f>
        <v>20.093893510283415</v>
      </c>
      <c r="M74" s="413">
        <f>'Imp Crude'!R55</f>
        <v>22.041214879262871</v>
      </c>
      <c r="N74" s="413">
        <f>'Imp Crude'!S55</f>
        <v>24.177253308584234</v>
      </c>
      <c r="O74" s="413">
        <f>'Imp Crude'!T55</f>
        <v>26.520297576582411</v>
      </c>
      <c r="P74" s="413">
        <f>'Imp Crude'!U55</f>
        <v>29.090408847259919</v>
      </c>
      <c r="Q74" s="405"/>
      <c r="R74" s="405"/>
      <c r="S74" s="405">
        <f>'Imp Crude'!AE55</f>
        <v>87.279369888931654</v>
      </c>
      <c r="T74" s="405">
        <f>'Imp Crude'!AF55</f>
        <v>86.13153919148337</v>
      </c>
      <c r="U74" s="405"/>
      <c r="V74" s="405"/>
      <c r="W74" s="405"/>
      <c r="X74" s="405"/>
      <c r="Y74" s="405"/>
      <c r="Z74" s="405"/>
      <c r="AA74" s="405"/>
      <c r="AB74" s="405"/>
      <c r="AC74" s="405"/>
      <c r="AD74" s="415"/>
      <c r="AE74" s="415"/>
      <c r="AJ74" s="415"/>
      <c r="AK74" s="405"/>
      <c r="AL74" s="415"/>
      <c r="AM74" s="415">
        <v>1.0049999999999999</v>
      </c>
      <c r="AN74" s="415">
        <v>1.0049999999999999</v>
      </c>
      <c r="BC74" s="365"/>
      <c r="BD74" s="365"/>
      <c r="BE74" s="365"/>
      <c r="BF74" s="365"/>
      <c r="BG74" s="365"/>
    </row>
    <row r="75" spans="2:59">
      <c r="B75" s="376" t="str">
        <f>Technologies!B75</f>
        <v>R1</v>
      </c>
      <c r="C75" s="376" t="str">
        <f>'Imp Crude'!B56</f>
        <v>IMPOILLL22</v>
      </c>
      <c r="D75" s="376" t="str">
        <f>'Imp Crude'!C56</f>
        <v>Imported Imported Oil-Low Sulfur, Low G, PADD 2, Step 2</v>
      </c>
      <c r="E75" s="415" t="str">
        <f>'Imp Crude'!D56</f>
        <v>OILLL2</v>
      </c>
      <c r="F75" s="415">
        <v>1</v>
      </c>
      <c r="G75" s="413">
        <f>'Imp Crude'!L56</f>
        <v>13.936228963609183</v>
      </c>
      <c r="H75" s="413">
        <f>'Imp Crude'!M56</f>
        <v>15.743996841586066</v>
      </c>
      <c r="I75" s="413">
        <f>'Imp Crude'!N56</f>
        <v>15.592382059641452</v>
      </c>
      <c r="J75" s="413">
        <f>'Imp Crude'!O56</f>
        <v>17.706837583124308</v>
      </c>
      <c r="K75" s="413">
        <f>'Imp Crude'!P56</f>
        <v>19.336317121438665</v>
      </c>
      <c r="L75" s="413">
        <f>'Imp Crude'!Q56</f>
        <v>21.21022092752138</v>
      </c>
      <c r="M75" s="413">
        <f>'Imp Crude'!R56</f>
        <v>23.265726816999695</v>
      </c>
      <c r="N75" s="413">
        <f>'Imp Crude'!S56</f>
        <v>25.520434047950026</v>
      </c>
      <c r="O75" s="413">
        <f>'Imp Crude'!T56</f>
        <v>27.993647441948102</v>
      </c>
      <c r="P75" s="413">
        <f>'Imp Crude'!U56</f>
        <v>30.706542672107695</v>
      </c>
      <c r="Q75" s="405"/>
      <c r="R75" s="405"/>
      <c r="S75" s="405">
        <f>'Imp Crude'!AE56</f>
        <v>87.279369888931654</v>
      </c>
      <c r="T75" s="405">
        <f>'Imp Crude'!AF56</f>
        <v>86.13153919148337</v>
      </c>
      <c r="U75" s="405"/>
      <c r="V75" s="405"/>
      <c r="W75" s="405"/>
      <c r="X75" s="405"/>
      <c r="Y75" s="405"/>
      <c r="Z75" s="405"/>
      <c r="AA75" s="405"/>
      <c r="AB75" s="405"/>
      <c r="AC75" s="405"/>
      <c r="AD75" s="415"/>
      <c r="AE75" s="415"/>
      <c r="AJ75" s="415"/>
      <c r="AK75" s="405"/>
      <c r="AL75" s="415"/>
      <c r="AM75" s="415">
        <v>1.0049999999999999</v>
      </c>
      <c r="AN75" s="415">
        <v>1.0049999999999999</v>
      </c>
      <c r="BC75" s="365"/>
      <c r="BD75" s="365"/>
      <c r="BE75" s="365"/>
      <c r="BF75" s="365"/>
      <c r="BG75" s="365"/>
    </row>
    <row r="76" spans="2:59">
      <c r="B76" s="376" t="str">
        <f>Technologies!B76</f>
        <v>R1</v>
      </c>
      <c r="C76" s="376" t="str">
        <f>'Imp Crude'!B57</f>
        <v>IMPOILLL24</v>
      </c>
      <c r="D76" s="376" t="str">
        <f>'Imp Crude'!C57</f>
        <v>Imported Imported Oil-Low Sulfur, Low G, PADD 2, Step 4</v>
      </c>
      <c r="E76" s="415" t="str">
        <f>'Imp Crude'!D57</f>
        <v>OILLL2</v>
      </c>
      <c r="F76" s="415">
        <v>1</v>
      </c>
      <c r="G76" s="413">
        <f>'Imp Crude'!L57</f>
        <v>15.403200433462786</v>
      </c>
      <c r="H76" s="413">
        <f>'Imp Crude'!M57</f>
        <v>17.401259667016181</v>
      </c>
      <c r="I76" s="413">
        <f>'Imp Crude'!N57</f>
        <v>17.233685434340554</v>
      </c>
      <c r="J76" s="413">
        <f>'Imp Crude'!O57</f>
        <v>19.570715223453185</v>
      </c>
      <c r="K76" s="413">
        <f>'Imp Crude'!P57</f>
        <v>21.371718923695369</v>
      </c>
      <c r="L76" s="413">
        <f>'Imp Crude'!Q57</f>
        <v>23.442875761997318</v>
      </c>
      <c r="M76" s="413">
        <f>'Imp Crude'!R57</f>
        <v>25.714750692473352</v>
      </c>
      <c r="N76" s="413">
        <f>'Imp Crude'!S57</f>
        <v>28.20679552668161</v>
      </c>
      <c r="O76" s="413">
        <f>'Imp Crude'!T57</f>
        <v>30.940347172679484</v>
      </c>
      <c r="P76" s="413">
        <f>'Imp Crude'!U57</f>
        <v>33.938810321803246</v>
      </c>
      <c r="Q76" s="405"/>
      <c r="R76" s="405"/>
      <c r="S76" s="405">
        <f>'Imp Crude'!AE57</f>
        <v>174.55873977786325</v>
      </c>
      <c r="T76" s="405">
        <f>'Imp Crude'!AF57</f>
        <v>172.26307838296691</v>
      </c>
      <c r="U76" s="405"/>
      <c r="V76" s="405"/>
      <c r="W76" s="405"/>
      <c r="X76" s="405"/>
      <c r="Y76" s="405"/>
      <c r="Z76" s="405"/>
      <c r="AA76" s="405"/>
      <c r="AB76" s="405"/>
      <c r="AC76" s="405"/>
      <c r="AD76" s="415"/>
      <c r="AE76" s="415"/>
      <c r="AJ76" s="415"/>
      <c r="AK76" s="405"/>
      <c r="AL76" s="415"/>
      <c r="AM76" s="415">
        <v>1.0049999999999999</v>
      </c>
      <c r="AN76" s="415">
        <v>1.0049999999999999</v>
      </c>
      <c r="BC76" s="365"/>
      <c r="BD76" s="365"/>
      <c r="BE76" s="365"/>
      <c r="BF76" s="365"/>
      <c r="BG76" s="365"/>
    </row>
    <row r="77" spans="2:59">
      <c r="B77" s="376" t="str">
        <f>Technologies!B77</f>
        <v>R1</v>
      </c>
      <c r="C77" s="376" t="str">
        <f>'Imp Crude'!B58</f>
        <v>IMPOILLL25</v>
      </c>
      <c r="D77" s="376" t="str">
        <f>'Imp Crude'!C58</f>
        <v>Imported Imported Oil-Low Sulfur, Low G, PADD 2, Step 5</v>
      </c>
      <c r="E77" s="415" t="str">
        <f>'Imp Crude'!D58</f>
        <v>OILLL2</v>
      </c>
      <c r="F77" s="415">
        <v>1</v>
      </c>
      <c r="G77" s="413">
        <f>'Imp Crude'!L58</f>
        <v>19.070629108096782</v>
      </c>
      <c r="H77" s="413">
        <f>'Imp Crude'!M58</f>
        <v>21.544416730591465</v>
      </c>
      <c r="I77" s="413">
        <f>'Imp Crude'!N58</f>
        <v>21.336943871088309</v>
      </c>
      <c r="J77" s="413">
        <f>'Imp Crude'!O58</f>
        <v>24.230409324275378</v>
      </c>
      <c r="K77" s="413">
        <f>'Imp Crude'!P58</f>
        <v>26.46022342933713</v>
      </c>
      <c r="L77" s="413">
        <f>'Imp Crude'!Q58</f>
        <v>29.024512848187161</v>
      </c>
      <c r="M77" s="413">
        <f>'Imp Crude'!R58</f>
        <v>31.83731038115749</v>
      </c>
      <c r="N77" s="413">
        <f>'Imp Crude'!S58</f>
        <v>34.922699223510577</v>
      </c>
      <c r="O77" s="413">
        <f>'Imp Crude'!T58</f>
        <v>38.307096499507949</v>
      </c>
      <c r="P77" s="413">
        <f>'Imp Crude'!U58</f>
        <v>42.019479446042126</v>
      </c>
      <c r="Q77" s="405"/>
      <c r="R77" s="405"/>
      <c r="S77" s="405">
        <f>'Imp Crude'!AE58</f>
        <v>87.279369888931797</v>
      </c>
      <c r="T77" s="405">
        <f>'Imp Crude'!AF58</f>
        <v>86.131539191483171</v>
      </c>
      <c r="U77" s="405"/>
      <c r="V77" s="405"/>
      <c r="W77" s="405"/>
      <c r="X77" s="405"/>
      <c r="Y77" s="405"/>
      <c r="Z77" s="405"/>
      <c r="AA77" s="405"/>
      <c r="AB77" s="405"/>
      <c r="AC77" s="405"/>
      <c r="AD77" s="415"/>
      <c r="AE77" s="415"/>
      <c r="AJ77" s="415"/>
      <c r="AK77" s="405"/>
      <c r="AL77" s="415"/>
      <c r="AM77" s="415">
        <v>1.0049999999999999</v>
      </c>
      <c r="AN77" s="415">
        <v>1.0049999999999999</v>
      </c>
      <c r="BC77" s="365"/>
      <c r="BD77" s="365"/>
      <c r="BE77" s="365"/>
      <c r="BF77" s="365"/>
      <c r="BG77" s="365"/>
    </row>
    <row r="78" spans="2:59">
      <c r="B78" s="376" t="str">
        <f>Technologies!B78</f>
        <v>R1</v>
      </c>
      <c r="C78" s="376" t="str">
        <f>'Imp Crude'!B59</f>
        <v>IMPOILMH23</v>
      </c>
      <c r="D78" s="376" t="str">
        <f>'Imp Crude'!C59</f>
        <v>Imported Imported Oil-Medium Sulfur, HG, PADD 2, Step 3</v>
      </c>
      <c r="E78" s="415" t="str">
        <f>'Imp Crude'!D59</f>
        <v>OILMH2</v>
      </c>
      <c r="F78" s="415">
        <v>1</v>
      </c>
      <c r="G78" s="413">
        <f>'Imp Crude'!L59</f>
        <v>12.053312370116149</v>
      </c>
      <c r="H78" s="413">
        <f>'Imp Crude'!M59</f>
        <v>13.61683367726568</v>
      </c>
      <c r="I78" s="413">
        <f>'Imp Crude'!N59</f>
        <v>13.485703489072201</v>
      </c>
      <c r="J78" s="413">
        <f>'Imp Crude'!O59</f>
        <v>15.314476034630031</v>
      </c>
      <c r="K78" s="413">
        <f>'Imp Crude'!P59</f>
        <v>16.723797446276034</v>
      </c>
      <c r="L78" s="413">
        <f>'Imp Crude'!Q59</f>
        <v>18.34451909093643</v>
      </c>
      <c r="M78" s="413">
        <f>'Imp Crude'!R59</f>
        <v>20.122306656653866</v>
      </c>
      <c r="N78" s="413">
        <f>'Imp Crude'!S59</f>
        <v>22.072381574967043</v>
      </c>
      <c r="O78" s="413">
        <f>'Imp Crude'!T59</f>
        <v>24.211440403123216</v>
      </c>
      <c r="P78" s="413">
        <f>'Imp Crude'!U59</f>
        <v>26.557797780136578</v>
      </c>
      <c r="Q78" s="405"/>
      <c r="R78" s="405"/>
      <c r="S78" s="405">
        <f>'Imp Crude'!AE59</f>
        <v>423.7986508566409</v>
      </c>
      <c r="T78" s="405">
        <f>'Imp Crude'!AF59</f>
        <v>65.023561294797744</v>
      </c>
      <c r="U78" s="405"/>
      <c r="V78" s="405"/>
      <c r="W78" s="405"/>
      <c r="X78" s="405"/>
      <c r="Y78" s="405"/>
      <c r="Z78" s="405"/>
      <c r="AA78" s="405"/>
      <c r="AB78" s="405"/>
      <c r="AC78" s="405"/>
      <c r="AD78" s="415"/>
      <c r="AE78" s="415"/>
      <c r="AJ78" s="415"/>
      <c r="AK78" s="405"/>
      <c r="AL78" s="415"/>
      <c r="AM78" s="415">
        <v>1.0049999999999999</v>
      </c>
      <c r="AN78" s="415">
        <v>1.0049999999999999</v>
      </c>
      <c r="BC78" s="365"/>
      <c r="BD78" s="365"/>
      <c r="BE78" s="365"/>
      <c r="BF78" s="365"/>
      <c r="BG78" s="365"/>
    </row>
    <row r="79" spans="2:59">
      <c r="B79" s="376" t="str">
        <f>Technologies!B79</f>
        <v>R1</v>
      </c>
      <c r="C79" s="376" t="str">
        <f>'Imp Crude'!B60</f>
        <v>IMPOILMH21</v>
      </c>
      <c r="D79" s="376" t="str">
        <f>'Imp Crude'!C60</f>
        <v>Imported Imported Oil-Medium Sulfur, HG, PADD 2, Step 1</v>
      </c>
      <c r="E79" s="415" t="str">
        <f>'Imp Crude'!D60</f>
        <v>OILMH2</v>
      </c>
      <c r="F79" s="415">
        <v>1</v>
      </c>
      <c r="G79" s="413">
        <f>'Imp Crude'!L60</f>
        <v>10.847981133104536</v>
      </c>
      <c r="H79" s="413">
        <f>'Imp Crude'!M60</f>
        <v>12.255150309539113</v>
      </c>
      <c r="I79" s="413">
        <f>'Imp Crude'!N60</f>
        <v>12.137133140164982</v>
      </c>
      <c r="J79" s="413">
        <f>'Imp Crude'!O60</f>
        <v>13.783028431167031</v>
      </c>
      <c r="K79" s="413">
        <f>'Imp Crude'!P60</f>
        <v>15.051417701648433</v>
      </c>
      <c r="L79" s="413">
        <f>'Imp Crude'!Q60</f>
        <v>16.510067181842789</v>
      </c>
      <c r="M79" s="413">
        <f>'Imp Crude'!R60</f>
        <v>18.110075990988481</v>
      </c>
      <c r="N79" s="413">
        <f>'Imp Crude'!S60</f>
        <v>19.865143417470343</v>
      </c>
      <c r="O79" s="413">
        <f>'Imp Crude'!T60</f>
        <v>21.790296362810899</v>
      </c>
      <c r="P79" s="413">
        <f>'Imp Crude'!U60</f>
        <v>23.902018002122926</v>
      </c>
      <c r="Q79" s="405"/>
      <c r="R79" s="405"/>
      <c r="S79" s="405">
        <f>'Imp Crude'!AE60</f>
        <v>52.974831357080099</v>
      </c>
      <c r="T79" s="405">
        <f>'Imp Crude'!AF60</f>
        <v>8.127945161849718</v>
      </c>
      <c r="U79" s="405"/>
      <c r="V79" s="405"/>
      <c r="W79" s="405"/>
      <c r="X79" s="405"/>
      <c r="Y79" s="405"/>
      <c r="Z79" s="405"/>
      <c r="AA79" s="405"/>
      <c r="AB79" s="405"/>
      <c r="AC79" s="405"/>
      <c r="AD79" s="415"/>
      <c r="AE79" s="415"/>
      <c r="AJ79" s="415"/>
      <c r="AK79" s="405"/>
      <c r="AL79" s="415"/>
      <c r="AM79" s="415">
        <v>1.0049999999999999</v>
      </c>
      <c r="AN79" s="415">
        <v>1.0049999999999999</v>
      </c>
      <c r="BC79" s="365"/>
      <c r="BD79" s="365"/>
      <c r="BE79" s="365"/>
      <c r="BF79" s="365"/>
      <c r="BG79" s="365"/>
    </row>
    <row r="80" spans="2:59">
      <c r="B80" s="376" t="str">
        <f>Technologies!B80</f>
        <v>R1</v>
      </c>
      <c r="C80" s="376" t="str">
        <f>'Imp Crude'!B61</f>
        <v>IMPOILMH22</v>
      </c>
      <c r="D80" s="376" t="str">
        <f>'Imp Crude'!C61</f>
        <v>Imported Imported Oil-Medium Sulfur, HG, PADD 2, Step 2</v>
      </c>
      <c r="E80" s="415" t="str">
        <f>'Imp Crude'!D61</f>
        <v>OILMH2</v>
      </c>
      <c r="F80" s="415">
        <v>1</v>
      </c>
      <c r="G80" s="413">
        <f>'Imp Crude'!L61</f>
        <v>11.450646751610343</v>
      </c>
      <c r="H80" s="413">
        <f>'Imp Crude'!M61</f>
        <v>12.935991993402396</v>
      </c>
      <c r="I80" s="413">
        <f>'Imp Crude'!N61</f>
        <v>12.811418314618592</v>
      </c>
      <c r="J80" s="413">
        <f>'Imp Crude'!O61</f>
        <v>14.548752232898533</v>
      </c>
      <c r="K80" s="413">
        <f>'Imp Crude'!P61</f>
        <v>15.887607573962235</v>
      </c>
      <c r="L80" s="413">
        <f>'Imp Crude'!Q61</f>
        <v>17.427293136389611</v>
      </c>
      <c r="M80" s="413">
        <f>'Imp Crude'!R61</f>
        <v>19.116191323821173</v>
      </c>
      <c r="N80" s="413">
        <f>'Imp Crude'!S61</f>
        <v>20.968762496218694</v>
      </c>
      <c r="O80" s="413">
        <f>'Imp Crude'!T61</f>
        <v>23.000868382967059</v>
      </c>
      <c r="P80" s="413">
        <f>'Imp Crude'!U61</f>
        <v>25.229907891129756</v>
      </c>
      <c r="Q80" s="405"/>
      <c r="R80" s="405"/>
      <c r="S80" s="405">
        <f>'Imp Crude'!AE61</f>
        <v>52.974831357080099</v>
      </c>
      <c r="T80" s="405">
        <f>'Imp Crude'!AF61</f>
        <v>8.127945161849718</v>
      </c>
      <c r="U80" s="405"/>
      <c r="V80" s="405"/>
      <c r="W80" s="405"/>
      <c r="X80" s="405"/>
      <c r="Y80" s="405"/>
      <c r="Z80" s="405"/>
      <c r="AA80" s="405"/>
      <c r="AB80" s="405"/>
      <c r="AC80" s="405"/>
      <c r="AD80" s="415"/>
      <c r="AE80" s="415"/>
      <c r="AJ80" s="415"/>
      <c r="AK80" s="405"/>
      <c r="AL80" s="415"/>
      <c r="AM80" s="415">
        <v>1.0049999999999999</v>
      </c>
      <c r="AN80" s="415">
        <v>1.0049999999999999</v>
      </c>
      <c r="BC80" s="365"/>
      <c r="BD80" s="365"/>
      <c r="BE80" s="365"/>
      <c r="BF80" s="365"/>
      <c r="BG80" s="365"/>
    </row>
    <row r="81" spans="2:59">
      <c r="B81" s="376" t="str">
        <f>Technologies!B81</f>
        <v>R1</v>
      </c>
      <c r="C81" s="376" t="str">
        <f>'Imp Crude'!B62</f>
        <v>IMPOILMH24</v>
      </c>
      <c r="D81" s="376" t="str">
        <f>'Imp Crude'!C62</f>
        <v>Imported Imported Oil-Medium Sulfur, HG, PADD 2, Step 4</v>
      </c>
      <c r="E81" s="415" t="str">
        <f>'Imp Crude'!D62</f>
        <v>OILMH2</v>
      </c>
      <c r="F81" s="415">
        <v>1</v>
      </c>
      <c r="G81" s="413">
        <f>'Imp Crude'!L62</f>
        <v>12.655977988621959</v>
      </c>
      <c r="H81" s="413">
        <f>'Imp Crude'!M62</f>
        <v>14.297675361128967</v>
      </c>
      <c r="I81" s="413">
        <f>'Imp Crude'!N62</f>
        <v>14.159988663525814</v>
      </c>
      <c r="J81" s="413">
        <f>'Imp Crude'!O62</f>
        <v>16.080199836361537</v>
      </c>
      <c r="K81" s="413">
        <f>'Imp Crude'!P62</f>
        <v>17.55998731858984</v>
      </c>
      <c r="L81" s="413">
        <f>'Imp Crude'!Q62</f>
        <v>19.261745045483256</v>
      </c>
      <c r="M81" s="413">
        <f>'Imp Crude'!R62</f>
        <v>21.128421989486561</v>
      </c>
      <c r="N81" s="413">
        <f>'Imp Crude'!S62</f>
        <v>23.176000653715398</v>
      </c>
      <c r="O81" s="413">
        <f>'Imp Crude'!T62</f>
        <v>25.42201242327938</v>
      </c>
      <c r="P81" s="413">
        <f>'Imp Crude'!U62</f>
        <v>27.885687669143412</v>
      </c>
      <c r="Q81" s="405"/>
      <c r="R81" s="405"/>
      <c r="S81" s="405">
        <f>'Imp Crude'!AE62</f>
        <v>105.94966271416024</v>
      </c>
      <c r="T81" s="405">
        <f>'Imp Crude'!AF62</f>
        <v>16.255890323699433</v>
      </c>
      <c r="U81" s="405"/>
      <c r="V81" s="405"/>
      <c r="W81" s="405"/>
      <c r="X81" s="405"/>
      <c r="Y81" s="405"/>
      <c r="Z81" s="405"/>
      <c r="AA81" s="405"/>
      <c r="AB81" s="405"/>
      <c r="AC81" s="405"/>
      <c r="AD81" s="415"/>
      <c r="AE81" s="415"/>
      <c r="AJ81" s="415"/>
      <c r="AK81" s="405"/>
      <c r="AL81" s="415"/>
      <c r="AM81" s="415">
        <v>1.0049999999999999</v>
      </c>
      <c r="AN81" s="415">
        <v>1.0049999999999999</v>
      </c>
      <c r="BC81" s="365"/>
      <c r="BD81" s="365"/>
      <c r="BE81" s="365"/>
      <c r="BF81" s="365"/>
      <c r="BG81" s="365"/>
    </row>
    <row r="82" spans="2:59">
      <c r="B82" s="376" t="str">
        <f>Technologies!B82</f>
        <v>R1</v>
      </c>
      <c r="C82" s="376" t="str">
        <f>'Imp Crude'!B63</f>
        <v>IMPOILMH25</v>
      </c>
      <c r="D82" s="376" t="str">
        <f>'Imp Crude'!C63</f>
        <v>Imported Imported Oil-Medium Sulfur, HG, PADD 2, Step 5</v>
      </c>
      <c r="E82" s="415" t="str">
        <f>'Imp Crude'!D63</f>
        <v>OILMH2</v>
      </c>
      <c r="F82" s="415">
        <v>1</v>
      </c>
      <c r="G82" s="413">
        <f>'Imp Crude'!L63</f>
        <v>15.669306081150996</v>
      </c>
      <c r="H82" s="413">
        <f>'Imp Crude'!M63</f>
        <v>17.701883780445385</v>
      </c>
      <c r="I82" s="413">
        <f>'Imp Crude'!N63</f>
        <v>17.531414535793864</v>
      </c>
      <c r="J82" s="413">
        <f>'Imp Crude'!O63</f>
        <v>19.908818845019045</v>
      </c>
      <c r="K82" s="413">
        <f>'Imp Crude'!P63</f>
        <v>21.740936680158846</v>
      </c>
      <c r="L82" s="413">
        <f>'Imp Crude'!Q63</f>
        <v>23.84787481821736</v>
      </c>
      <c r="M82" s="413">
        <f>'Imp Crude'!R63</f>
        <v>26.158998653650023</v>
      </c>
      <c r="N82" s="413">
        <f>'Imp Crude'!S63</f>
        <v>28.694096047457155</v>
      </c>
      <c r="O82" s="413">
        <f>'Imp Crude'!T63</f>
        <v>31.474872524060178</v>
      </c>
      <c r="P82" s="413">
        <f>'Imp Crude'!U63</f>
        <v>34.525137114177546</v>
      </c>
      <c r="Q82" s="405"/>
      <c r="R82" s="405"/>
      <c r="S82" s="405">
        <f>'Imp Crude'!AE63</f>
        <v>52.974831357080006</v>
      </c>
      <c r="T82" s="405">
        <f>'Imp Crude'!AF63</f>
        <v>8.1279451618497092</v>
      </c>
      <c r="U82" s="405"/>
      <c r="V82" s="405"/>
      <c r="W82" s="405"/>
      <c r="X82" s="405"/>
      <c r="Y82" s="405"/>
      <c r="Z82" s="405"/>
      <c r="AA82" s="405"/>
      <c r="AB82" s="405"/>
      <c r="AC82" s="405"/>
      <c r="AD82" s="415"/>
      <c r="AE82" s="415"/>
      <c r="AJ82" s="415"/>
      <c r="AK82" s="405"/>
      <c r="AL82" s="415"/>
      <c r="AM82" s="415">
        <v>1.0049999999999999</v>
      </c>
      <c r="AN82" s="415">
        <v>1.0049999999999999</v>
      </c>
      <c r="BC82" s="365"/>
      <c r="BD82" s="365"/>
      <c r="BE82" s="365"/>
      <c r="BF82" s="365"/>
      <c r="BG82" s="365"/>
    </row>
    <row r="83" spans="2:59">
      <c r="B83" s="376" t="s">
        <v>588</v>
      </c>
      <c r="C83" s="376"/>
      <c r="D83" s="376"/>
      <c r="E83" s="415"/>
      <c r="F83" s="415"/>
      <c r="G83" s="413"/>
      <c r="H83" s="413"/>
      <c r="I83" s="413"/>
      <c r="J83" s="413"/>
      <c r="K83" s="413"/>
      <c r="L83" s="413"/>
      <c r="M83" s="413"/>
      <c r="N83" s="413"/>
      <c r="O83" s="413"/>
      <c r="P83" s="413"/>
      <c r="Q83" s="405"/>
      <c r="R83" s="405"/>
      <c r="S83" s="405"/>
      <c r="T83" s="405"/>
      <c r="U83" s="405"/>
      <c r="V83" s="405"/>
      <c r="W83" s="405"/>
      <c r="X83" s="405"/>
      <c r="Y83" s="405"/>
      <c r="Z83" s="405"/>
      <c r="AA83" s="405"/>
      <c r="AB83" s="405"/>
      <c r="AC83" s="405"/>
      <c r="AD83" s="415"/>
      <c r="AE83" s="415"/>
      <c r="AJ83" s="415"/>
      <c r="AK83" s="405"/>
      <c r="AL83" s="415"/>
      <c r="AM83" s="415"/>
      <c r="AN83" s="415"/>
      <c r="BC83" s="365"/>
      <c r="BD83" s="365"/>
      <c r="BE83" s="365"/>
      <c r="BF83" s="365"/>
      <c r="BG83" s="365"/>
    </row>
    <row r="84" spans="2:59">
      <c r="B84" s="376" t="str">
        <f>Technologies!B84</f>
        <v>R1</v>
      </c>
      <c r="C84" s="376" t="str">
        <f>'Imp Crude'!B65</f>
        <v>IMPOILHH33</v>
      </c>
      <c r="D84" s="376" t="str">
        <f>'Imp Crude'!C65</f>
        <v>Imported Imported Oil-High Sulfur, Heavy G, PADD 3, Step 3</v>
      </c>
      <c r="E84" s="415" t="str">
        <f>'Imp Crude'!D65</f>
        <v>OILHH3</v>
      </c>
      <c r="F84" s="415">
        <v>1</v>
      </c>
      <c r="G84" s="413">
        <f>'Imp Crude'!L65</f>
        <v>11.163537115571355</v>
      </c>
      <c r="H84" s="413">
        <f>'Imp Crude'!M65</f>
        <v>12.611639314152493</v>
      </c>
      <c r="I84" s="413">
        <f>'Imp Crude'!N65</f>
        <v>12.490189153572638</v>
      </c>
      <c r="J84" s="413">
        <f>'Imp Crude'!O65</f>
        <v>14.183961749966075</v>
      </c>
      <c r="K84" s="413">
        <f>'Imp Crude'!P65</f>
        <v>15.489247085944466</v>
      </c>
      <c r="L84" s="413">
        <f>'Imp Crude'!Q65</f>
        <v>16.990327094377189</v>
      </c>
      <c r="M84" s="413">
        <f>'Imp Crude'!R65</f>
        <v>18.636878421022729</v>
      </c>
      <c r="N84" s="413">
        <f>'Imp Crude'!S65</f>
        <v>20.442998851677775</v>
      </c>
      <c r="O84" s="413">
        <f>'Imp Crude'!T65</f>
        <v>22.424152404100138</v>
      </c>
      <c r="P84" s="413">
        <f>'Imp Crude'!U65</f>
        <v>24.597301731054063</v>
      </c>
      <c r="Q84" s="405"/>
      <c r="R84" s="405"/>
      <c r="S84" s="405">
        <f>'Imp Crude'!AE65</f>
        <v>2841.2371995043663</v>
      </c>
      <c r="T84" s="405">
        <f>'Imp Crude'!AF65</f>
        <v>2009.6396798455767</v>
      </c>
      <c r="U84" s="405"/>
      <c r="V84" s="405"/>
      <c r="W84" s="405"/>
      <c r="X84" s="405"/>
      <c r="Y84" s="405"/>
      <c r="Z84" s="405"/>
      <c r="AA84" s="405"/>
      <c r="AB84" s="405"/>
      <c r="AC84" s="405"/>
      <c r="AD84" s="415"/>
      <c r="AE84" s="415"/>
      <c r="AJ84" s="415"/>
      <c r="AK84" s="405"/>
      <c r="AL84" s="415"/>
      <c r="AM84" s="415">
        <v>1.0049999999999999</v>
      </c>
      <c r="AN84" s="415">
        <v>1.0049999999999999</v>
      </c>
      <c r="BC84" s="365"/>
      <c r="BD84" s="365"/>
      <c r="BE84" s="365"/>
      <c r="BF84" s="365"/>
      <c r="BG84" s="365"/>
    </row>
    <row r="85" spans="2:59">
      <c r="B85" s="376" t="str">
        <f>Technologies!B85</f>
        <v>R1</v>
      </c>
      <c r="C85" s="376" t="str">
        <f>'Imp Crude'!B66</f>
        <v>IMPOILHH31</v>
      </c>
      <c r="D85" s="376" t="str">
        <f>'Imp Crude'!C66</f>
        <v>Imported Imported Oil-High Sulfur, Heavy G, PADD 3, Step 1</v>
      </c>
      <c r="E85" s="415" t="str">
        <f>'Imp Crude'!D66</f>
        <v>OILHH3</v>
      </c>
      <c r="F85" s="415">
        <v>1</v>
      </c>
      <c r="G85" s="413">
        <f>'Imp Crude'!L66</f>
        <v>10.04718340401422</v>
      </c>
      <c r="H85" s="413">
        <f>'Imp Crude'!M66</f>
        <v>11.350475382737244</v>
      </c>
      <c r="I85" s="413">
        <f>'Imp Crude'!N66</f>
        <v>11.241170238215375</v>
      </c>
      <c r="J85" s="413">
        <f>'Imp Crude'!O66</f>
        <v>12.765565574969468</v>
      </c>
      <c r="K85" s="413">
        <f>'Imp Crude'!P66</f>
        <v>13.94032237735002</v>
      </c>
      <c r="L85" s="413">
        <f>'Imp Crude'!Q66</f>
        <v>15.291294384939469</v>
      </c>
      <c r="M85" s="413">
        <f>'Imp Crude'!R66</f>
        <v>16.773190578920456</v>
      </c>
      <c r="N85" s="413">
        <f>'Imp Crude'!S66</f>
        <v>18.398698966509997</v>
      </c>
      <c r="O85" s="413">
        <f>'Imp Crude'!T66</f>
        <v>20.181737163690123</v>
      </c>
      <c r="P85" s="413">
        <f>'Imp Crude'!U66</f>
        <v>22.137571557948657</v>
      </c>
      <c r="Q85" s="405"/>
      <c r="R85" s="405"/>
      <c r="S85" s="405">
        <f>'Imp Crude'!AE66</f>
        <v>355.15464993804585</v>
      </c>
      <c r="T85" s="405">
        <f>'Imp Crude'!AF66</f>
        <v>251.20495998069708</v>
      </c>
      <c r="U85" s="405"/>
      <c r="V85" s="405"/>
      <c r="W85" s="405"/>
      <c r="X85" s="405"/>
      <c r="Y85" s="405"/>
      <c r="Z85" s="405"/>
      <c r="AA85" s="405"/>
      <c r="AB85" s="405"/>
      <c r="AC85" s="405"/>
      <c r="AD85" s="415"/>
      <c r="AE85" s="415"/>
      <c r="AJ85" s="415"/>
      <c r="AK85" s="405"/>
      <c r="AL85" s="415"/>
      <c r="AM85" s="415">
        <v>1.0049999999999999</v>
      </c>
      <c r="AN85" s="415">
        <v>1.0049999999999999</v>
      </c>
      <c r="BC85" s="365"/>
      <c r="BD85" s="365"/>
      <c r="BE85" s="365"/>
      <c r="BF85" s="365"/>
      <c r="BG85" s="365"/>
    </row>
    <row r="86" spans="2:59">
      <c r="B86" s="376" t="str">
        <f>Technologies!B86</f>
        <v>R1</v>
      </c>
      <c r="C86" s="376" t="str">
        <f>'Imp Crude'!B67</f>
        <v>IMPOILHH32</v>
      </c>
      <c r="D86" s="376" t="str">
        <f>'Imp Crude'!C67</f>
        <v>Imported Imported Oil-High Sulfur, Heavy G, PADD 3, Step 2</v>
      </c>
      <c r="E86" s="415" t="str">
        <f>'Imp Crude'!D67</f>
        <v>OILHH3</v>
      </c>
      <c r="F86" s="415">
        <v>1</v>
      </c>
      <c r="G86" s="413">
        <f>'Imp Crude'!L67</f>
        <v>10.605360259792784</v>
      </c>
      <c r="H86" s="413">
        <f>'Imp Crude'!M67</f>
        <v>11.981057348444864</v>
      </c>
      <c r="I86" s="413">
        <f>'Imp Crude'!N67</f>
        <v>11.865679695894002</v>
      </c>
      <c r="J86" s="413">
        <f>'Imp Crude'!O67</f>
        <v>13.474763662467767</v>
      </c>
      <c r="K86" s="413">
        <f>'Imp Crude'!P67</f>
        <v>14.714784731647239</v>
      </c>
      <c r="L86" s="413">
        <f>'Imp Crude'!Q67</f>
        <v>16.140810739658324</v>
      </c>
      <c r="M86" s="413">
        <f>'Imp Crude'!R67</f>
        <v>17.705034499971585</v>
      </c>
      <c r="N86" s="413">
        <f>'Imp Crude'!S67</f>
        <v>19.420848909093877</v>
      </c>
      <c r="O86" s="413">
        <f>'Imp Crude'!T67</f>
        <v>21.302944783895121</v>
      </c>
      <c r="P86" s="413">
        <f>'Imp Crude'!U67</f>
        <v>23.36743664450135</v>
      </c>
      <c r="Q86" s="405"/>
      <c r="R86" s="405"/>
      <c r="S86" s="405">
        <f>'Imp Crude'!AE67</f>
        <v>355.15464993804585</v>
      </c>
      <c r="T86" s="405">
        <f>'Imp Crude'!AF67</f>
        <v>251.20495998069708</v>
      </c>
      <c r="U86" s="405"/>
      <c r="V86" s="405"/>
      <c r="W86" s="405"/>
      <c r="X86" s="405"/>
      <c r="Y86" s="405"/>
      <c r="Z86" s="405"/>
      <c r="AA86" s="405"/>
      <c r="AB86" s="405"/>
      <c r="AC86" s="405"/>
      <c r="AD86" s="415"/>
      <c r="AE86" s="415"/>
      <c r="AJ86" s="415"/>
      <c r="AK86" s="405"/>
      <c r="AL86" s="415"/>
      <c r="AM86" s="415">
        <v>1.0049999999999999</v>
      </c>
      <c r="AN86" s="415">
        <v>1.0049999999999999</v>
      </c>
      <c r="BC86" s="365"/>
      <c r="BD86" s="365"/>
      <c r="BE86" s="365"/>
      <c r="BF86" s="365"/>
      <c r="BG86" s="365"/>
    </row>
    <row r="87" spans="2:59">
      <c r="B87" s="376" t="str">
        <f>Technologies!B87</f>
        <v>R1</v>
      </c>
      <c r="C87" s="376" t="str">
        <f>'Imp Crude'!B68</f>
        <v>IMPOILHH34</v>
      </c>
      <c r="D87" s="376" t="str">
        <f>'Imp Crude'!C68</f>
        <v>Imported Imported Oil-High Sulfur, Heavy G, PADD 3, Step 4</v>
      </c>
      <c r="E87" s="415" t="str">
        <f>'Imp Crude'!D68</f>
        <v>OILHH3</v>
      </c>
      <c r="F87" s="415">
        <v>1</v>
      </c>
      <c r="G87" s="413">
        <f>'Imp Crude'!L68</f>
        <v>11.721713971349921</v>
      </c>
      <c r="H87" s="413">
        <f>'Imp Crude'!M68</f>
        <v>13.242221279860116</v>
      </c>
      <c r="I87" s="413">
        <f>'Imp Crude'!N68</f>
        <v>13.114698611251269</v>
      </c>
      <c r="J87" s="413">
        <f>'Imp Crude'!O68</f>
        <v>14.893159837464378</v>
      </c>
      <c r="K87" s="413">
        <f>'Imp Crude'!P68</f>
        <v>16.263709440241687</v>
      </c>
      <c r="L87" s="413">
        <f>'Imp Crude'!Q68</f>
        <v>17.839843449096044</v>
      </c>
      <c r="M87" s="413">
        <f>'Imp Crude'!R68</f>
        <v>19.568722342073858</v>
      </c>
      <c r="N87" s="413">
        <f>'Imp Crude'!S68</f>
        <v>21.465148794261655</v>
      </c>
      <c r="O87" s="413">
        <f>'Imp Crude'!T68</f>
        <v>23.545360024305133</v>
      </c>
      <c r="P87" s="413">
        <f>'Imp Crude'!U68</f>
        <v>25.827166817606752</v>
      </c>
      <c r="Q87" s="405"/>
      <c r="R87" s="405"/>
      <c r="S87" s="405">
        <f>'Imp Crude'!AE68</f>
        <v>710.30929987609215</v>
      </c>
      <c r="T87" s="405">
        <f>'Imp Crude'!AF68</f>
        <v>502.40991996139383</v>
      </c>
      <c r="U87" s="405"/>
      <c r="V87" s="405"/>
      <c r="W87" s="405"/>
      <c r="X87" s="405"/>
      <c r="Y87" s="405"/>
      <c r="Z87" s="405"/>
      <c r="AA87" s="405"/>
      <c r="AB87" s="405"/>
      <c r="AC87" s="405"/>
      <c r="AD87" s="415"/>
      <c r="AE87" s="415"/>
      <c r="AJ87" s="415"/>
      <c r="AK87" s="405"/>
      <c r="AL87" s="415"/>
      <c r="AM87" s="415">
        <v>1.0049999999999999</v>
      </c>
      <c r="AN87" s="415">
        <v>1.0049999999999999</v>
      </c>
      <c r="BC87" s="365"/>
      <c r="BD87" s="365"/>
      <c r="BE87" s="365"/>
      <c r="BF87" s="365"/>
      <c r="BG87" s="365"/>
    </row>
    <row r="88" spans="2:59">
      <c r="B88" s="376" t="str">
        <f>Technologies!B88</f>
        <v>R1</v>
      </c>
      <c r="C88" s="376" t="str">
        <f>'Imp Crude'!B69</f>
        <v>IMPOILHH35</v>
      </c>
      <c r="D88" s="376" t="str">
        <f>'Imp Crude'!C69</f>
        <v>Imported Imported Oil-High Sulfur, Heavy G, PADD 3, Step 5</v>
      </c>
      <c r="E88" s="415" t="str">
        <f>'Imp Crude'!D69</f>
        <v>OILHH3</v>
      </c>
      <c r="F88" s="415">
        <v>1</v>
      </c>
      <c r="G88" s="413">
        <f>'Imp Crude'!L69</f>
        <v>14.512598250242762</v>
      </c>
      <c r="H88" s="413">
        <f>'Imp Crude'!M69</f>
        <v>16.395131108398243</v>
      </c>
      <c r="I88" s="413">
        <f>'Imp Crude'!N69</f>
        <v>16.237245899644432</v>
      </c>
      <c r="J88" s="413">
        <f>'Imp Crude'!O69</f>
        <v>18.4391502749559</v>
      </c>
      <c r="K88" s="413">
        <f>'Imp Crude'!P69</f>
        <v>20.136021211727808</v>
      </c>
      <c r="L88" s="413">
        <f>'Imp Crude'!Q69</f>
        <v>22.087425222690346</v>
      </c>
      <c r="M88" s="413">
        <f>'Imp Crude'!R69</f>
        <v>24.227941947329548</v>
      </c>
      <c r="N88" s="413">
        <f>'Imp Crude'!S69</f>
        <v>26.575898507181105</v>
      </c>
      <c r="O88" s="413">
        <f>'Imp Crude'!T69</f>
        <v>29.151398125330175</v>
      </c>
      <c r="P88" s="413">
        <f>'Imp Crude'!U69</f>
        <v>31.976492250370278</v>
      </c>
      <c r="Q88" s="405"/>
      <c r="R88" s="405"/>
      <c r="S88" s="405">
        <f>'Imp Crude'!AE69</f>
        <v>355.15464993804653</v>
      </c>
      <c r="T88" s="405">
        <f>'Imp Crude'!AF69</f>
        <v>251.20495998069782</v>
      </c>
      <c r="U88" s="405"/>
      <c r="V88" s="405"/>
      <c r="W88" s="405"/>
      <c r="X88" s="405"/>
      <c r="Y88" s="405"/>
      <c r="Z88" s="405"/>
      <c r="AA88" s="405"/>
      <c r="AB88" s="405"/>
      <c r="AC88" s="405"/>
      <c r="AD88" s="415"/>
      <c r="AE88" s="415"/>
      <c r="AJ88" s="415"/>
      <c r="AK88" s="405"/>
      <c r="AL88" s="415"/>
      <c r="AM88" s="415">
        <v>1.0049999999999999</v>
      </c>
      <c r="AN88" s="415">
        <v>1.0049999999999999</v>
      </c>
      <c r="BC88" s="365"/>
      <c r="BD88" s="365"/>
      <c r="BE88" s="365"/>
      <c r="BF88" s="365"/>
      <c r="BG88" s="365"/>
    </row>
    <row r="89" spans="2:59">
      <c r="B89" s="376" t="str">
        <f>Technologies!B89</f>
        <v>R1</v>
      </c>
      <c r="C89" s="376" t="str">
        <f>'Imp Crude'!B70</f>
        <v>IMPOILHL33</v>
      </c>
      <c r="D89" s="376" t="str">
        <f>'Imp Crude'!C70</f>
        <v>Imported Imported Oil-High Sulfur, Low G, PADD 3, Step 3</v>
      </c>
      <c r="E89" s="415" t="str">
        <f>'Imp Crude'!D70</f>
        <v>OILHL3</v>
      </c>
      <c r="F89" s="415">
        <v>1</v>
      </c>
      <c r="G89" s="413">
        <f>'Imp Crude'!L70</f>
        <v>12.073158658321612</v>
      </c>
      <c r="H89" s="413">
        <f>'Imp Crude'!M70</f>
        <v>13.639254369379731</v>
      </c>
      <c r="I89" s="413">
        <f>'Imp Crude'!N70</f>
        <v>13.507908269789667</v>
      </c>
      <c r="J89" s="413">
        <f>'Imp Crude'!O70</f>
        <v>15.339691966629976</v>
      </c>
      <c r="K89" s="413">
        <f>'Imp Crude'!P70</f>
        <v>16.751333885539939</v>
      </c>
      <c r="L89" s="413">
        <f>'Imp Crude'!Q70</f>
        <v>18.374724116881993</v>
      </c>
      <c r="M89" s="413">
        <f>'Imp Crude'!R70</f>
        <v>20.15543888495791</v>
      </c>
      <c r="N89" s="413">
        <f>'Imp Crude'!S70</f>
        <v>22.108724684036698</v>
      </c>
      <c r="O89" s="413">
        <f>'Imp Crude'!T70</f>
        <v>24.251305562952734</v>
      </c>
      <c r="P89" s="413">
        <f>'Imp Crude'!U70</f>
        <v>26.60152631654735</v>
      </c>
      <c r="Q89" s="405"/>
      <c r="R89" s="405"/>
      <c r="S89" s="405">
        <f>'Imp Crude'!AE70</f>
        <v>503.29465761865652</v>
      </c>
      <c r="T89" s="405">
        <f>'Imp Crude'!AF70</f>
        <v>612.21983276960952</v>
      </c>
      <c r="U89" s="405"/>
      <c r="V89" s="405"/>
      <c r="W89" s="405"/>
      <c r="X89" s="405"/>
      <c r="Y89" s="405"/>
      <c r="Z89" s="405"/>
      <c r="AA89" s="405"/>
      <c r="AB89" s="405"/>
      <c r="AC89" s="405"/>
      <c r="AD89" s="415"/>
      <c r="AE89" s="415"/>
      <c r="AJ89" s="415"/>
      <c r="AK89" s="405"/>
      <c r="AL89" s="415"/>
      <c r="AM89" s="415">
        <v>1.0049999999999999</v>
      </c>
      <c r="AN89" s="415">
        <v>1.0049999999999999</v>
      </c>
      <c r="BC89" s="365"/>
      <c r="BD89" s="365"/>
      <c r="BE89" s="365"/>
      <c r="BF89" s="365"/>
      <c r="BG89" s="365"/>
    </row>
    <row r="90" spans="2:59">
      <c r="B90" s="376" t="str">
        <f>Technologies!B90</f>
        <v>R1</v>
      </c>
      <c r="C90" s="376" t="str">
        <f>'Imp Crude'!B71</f>
        <v>IMPOILHL31</v>
      </c>
      <c r="D90" s="376" t="str">
        <f>'Imp Crude'!C71</f>
        <v>Imported Imported Oil-High Sulfur, Low G, PADD 3, Step 1</v>
      </c>
      <c r="E90" s="415" t="str">
        <f>'Imp Crude'!D71</f>
        <v>OILHL3</v>
      </c>
      <c r="F90" s="415">
        <v>1</v>
      </c>
      <c r="G90" s="413">
        <f>'Imp Crude'!L71</f>
        <v>10.865842792489451</v>
      </c>
      <c r="H90" s="413">
        <f>'Imp Crude'!M71</f>
        <v>12.275328932441758</v>
      </c>
      <c r="I90" s="413">
        <f>'Imp Crude'!N71</f>
        <v>12.1571174428107</v>
      </c>
      <c r="J90" s="413">
        <f>'Imp Crude'!O71</f>
        <v>13.805722769966978</v>
      </c>
      <c r="K90" s="413">
        <f>'Imp Crude'!P71</f>
        <v>15.076200496985946</v>
      </c>
      <c r="L90" s="413">
        <f>'Imp Crude'!Q71</f>
        <v>16.537251705193796</v>
      </c>
      <c r="M90" s="413">
        <f>'Imp Crude'!R71</f>
        <v>18.139894996462122</v>
      </c>
      <c r="N90" s="413">
        <f>'Imp Crude'!S71</f>
        <v>19.89785221563303</v>
      </c>
      <c r="O90" s="413">
        <f>'Imp Crude'!T71</f>
        <v>21.826175006657461</v>
      </c>
      <c r="P90" s="413">
        <f>'Imp Crude'!U71</f>
        <v>23.941373684892614</v>
      </c>
      <c r="Q90" s="405"/>
      <c r="R90" s="405"/>
      <c r="S90" s="405">
        <f>'Imp Crude'!AE71</f>
        <v>62.911832202332064</v>
      </c>
      <c r="T90" s="405">
        <f>'Imp Crude'!AF71</f>
        <v>76.527479096201191</v>
      </c>
      <c r="U90" s="405"/>
      <c r="V90" s="405"/>
      <c r="W90" s="405"/>
      <c r="X90" s="405"/>
      <c r="Y90" s="405"/>
      <c r="Z90" s="405"/>
      <c r="AA90" s="405"/>
      <c r="AB90" s="405"/>
      <c r="AC90" s="405"/>
      <c r="AD90" s="415"/>
      <c r="AE90" s="415"/>
      <c r="AJ90" s="415"/>
      <c r="AK90" s="405"/>
      <c r="AL90" s="415"/>
      <c r="AM90" s="415">
        <v>1.0049999999999999</v>
      </c>
      <c r="AN90" s="415">
        <v>1.0049999999999999</v>
      </c>
      <c r="BC90" s="365"/>
      <c r="BD90" s="365"/>
      <c r="BE90" s="365"/>
      <c r="BF90" s="365"/>
      <c r="BG90" s="365"/>
    </row>
    <row r="91" spans="2:59">
      <c r="B91" s="376" t="str">
        <f>Technologies!B91</f>
        <v>R1</v>
      </c>
      <c r="C91" s="376" t="str">
        <f>'Imp Crude'!B72</f>
        <v>IMPOILHL32</v>
      </c>
      <c r="D91" s="376" t="str">
        <f>'Imp Crude'!C72</f>
        <v>Imported Imported Oil-High Sulfur, Low G, PADD 3, Step 2</v>
      </c>
      <c r="E91" s="415" t="str">
        <f>'Imp Crude'!D72</f>
        <v>OILHL3</v>
      </c>
      <c r="F91" s="415">
        <v>1</v>
      </c>
      <c r="G91" s="413">
        <f>'Imp Crude'!L72</f>
        <v>11.469500725405531</v>
      </c>
      <c r="H91" s="413">
        <f>'Imp Crude'!M72</f>
        <v>12.957291650910745</v>
      </c>
      <c r="I91" s="413">
        <f>'Imp Crude'!N72</f>
        <v>12.832512856300184</v>
      </c>
      <c r="J91" s="413">
        <f>'Imp Crude'!O72</f>
        <v>14.572707368298477</v>
      </c>
      <c r="K91" s="413">
        <f>'Imp Crude'!P72</f>
        <v>15.913767191262943</v>
      </c>
      <c r="L91" s="413">
        <f>'Imp Crude'!Q72</f>
        <v>17.455987911037894</v>
      </c>
      <c r="M91" s="413">
        <f>'Imp Crude'!R72</f>
        <v>19.147666940710014</v>
      </c>
      <c r="N91" s="413">
        <f>'Imp Crude'!S72</f>
        <v>21.003288449834862</v>
      </c>
      <c r="O91" s="413">
        <f>'Imp Crude'!T72</f>
        <v>23.038740284805094</v>
      </c>
      <c r="P91" s="413">
        <f>'Imp Crude'!U72</f>
        <v>25.271450000719977</v>
      </c>
      <c r="Q91" s="405"/>
      <c r="R91" s="405"/>
      <c r="S91" s="405">
        <f>'Imp Crude'!AE72</f>
        <v>62.911832202332064</v>
      </c>
      <c r="T91" s="405">
        <f>'Imp Crude'!AF72</f>
        <v>76.527479096201191</v>
      </c>
      <c r="U91" s="405"/>
      <c r="V91" s="405"/>
      <c r="W91" s="405"/>
      <c r="X91" s="405"/>
      <c r="Y91" s="405"/>
      <c r="Z91" s="405"/>
      <c r="AA91" s="405"/>
      <c r="AB91" s="405"/>
      <c r="AC91" s="405"/>
      <c r="AD91" s="415"/>
      <c r="AE91" s="415"/>
      <c r="AJ91" s="415"/>
      <c r="AK91" s="405"/>
      <c r="AL91" s="415"/>
      <c r="AM91" s="415">
        <v>1.0049999999999999</v>
      </c>
      <c r="AN91" s="415">
        <v>1.0049999999999999</v>
      </c>
      <c r="BC91" s="365"/>
      <c r="BD91" s="365"/>
      <c r="BE91" s="365"/>
      <c r="BF91" s="365"/>
      <c r="BG91" s="365"/>
    </row>
    <row r="92" spans="2:59">
      <c r="B92" s="376" t="str">
        <f>Technologies!B92</f>
        <v>R1</v>
      </c>
      <c r="C92" s="376" t="str">
        <f>'Imp Crude'!B73</f>
        <v>IMPOILHL34</v>
      </c>
      <c r="D92" s="376" t="str">
        <f>'Imp Crude'!C73</f>
        <v>Imported Imported Oil-High Sulfur, Low G, PADD 3, Step 4</v>
      </c>
      <c r="E92" s="415" t="str">
        <f>'Imp Crude'!D73</f>
        <v>OILHL3</v>
      </c>
      <c r="F92" s="415">
        <v>1</v>
      </c>
      <c r="G92" s="413">
        <f>'Imp Crude'!L73</f>
        <v>12.676816591237694</v>
      </c>
      <c r="H92" s="413">
        <f>'Imp Crude'!M73</f>
        <v>14.321217087848719</v>
      </c>
      <c r="I92" s="413">
        <f>'Imp Crude'!N73</f>
        <v>14.183303683279151</v>
      </c>
      <c r="J92" s="413">
        <f>'Imp Crude'!O73</f>
        <v>16.106676564961475</v>
      </c>
      <c r="K92" s="413">
        <f>'Imp Crude'!P73</f>
        <v>17.588900579816936</v>
      </c>
      <c r="L92" s="413">
        <f>'Imp Crude'!Q73</f>
        <v>19.293460322726094</v>
      </c>
      <c r="M92" s="413">
        <f>'Imp Crude'!R73</f>
        <v>21.163210829205806</v>
      </c>
      <c r="N92" s="413">
        <f>'Imp Crude'!S73</f>
        <v>23.214160918238534</v>
      </c>
      <c r="O92" s="413">
        <f>'Imp Crude'!T73</f>
        <v>25.46387084110037</v>
      </c>
      <c r="P92" s="413">
        <f>'Imp Crude'!U73</f>
        <v>27.931602632374716</v>
      </c>
      <c r="Q92" s="405"/>
      <c r="R92" s="405"/>
      <c r="S92" s="405">
        <f>'Imp Crude'!AE73</f>
        <v>125.82366440466421</v>
      </c>
      <c r="T92" s="405">
        <f>'Imp Crude'!AF73</f>
        <v>153.05495819240241</v>
      </c>
      <c r="U92" s="405"/>
      <c r="V92" s="405"/>
      <c r="W92" s="405"/>
      <c r="X92" s="405"/>
      <c r="Y92" s="405"/>
      <c r="Z92" s="405"/>
      <c r="AA92" s="405"/>
      <c r="AB92" s="405"/>
      <c r="AC92" s="405"/>
      <c r="AD92" s="415"/>
      <c r="AE92" s="415"/>
      <c r="AJ92" s="415"/>
      <c r="AK92" s="405"/>
      <c r="AL92" s="415"/>
      <c r="AM92" s="415">
        <v>1.0049999999999999</v>
      </c>
      <c r="AN92" s="415">
        <v>1.0049999999999999</v>
      </c>
      <c r="BC92" s="365"/>
      <c r="BD92" s="365"/>
      <c r="BE92" s="365"/>
      <c r="BF92" s="365"/>
      <c r="BG92" s="365"/>
    </row>
    <row r="93" spans="2:59">
      <c r="B93" s="376" t="str">
        <f>Technologies!B93</f>
        <v>R1</v>
      </c>
      <c r="C93" s="376" t="str">
        <f>'Imp Crude'!B74</f>
        <v>IMPOILHL35</v>
      </c>
      <c r="D93" s="376" t="str">
        <f>'Imp Crude'!C74</f>
        <v>Imported Imported Oil-High Sulfur, Low G, PADD 3, Step 5</v>
      </c>
      <c r="E93" s="415" t="str">
        <f>'Imp Crude'!D74</f>
        <v>OILHL3</v>
      </c>
      <c r="F93" s="415">
        <v>1</v>
      </c>
      <c r="G93" s="413">
        <f>'Imp Crude'!L74</f>
        <v>15.695106255818095</v>
      </c>
      <c r="H93" s="413">
        <f>'Imp Crude'!M74</f>
        <v>17.731030680193651</v>
      </c>
      <c r="I93" s="413">
        <f>'Imp Crude'!N74</f>
        <v>17.560280750726566</v>
      </c>
      <c r="J93" s="413">
        <f>'Imp Crude'!O74</f>
        <v>19.941599556618968</v>
      </c>
      <c r="K93" s="413">
        <f>'Imp Crude'!P74</f>
        <v>21.77673405120192</v>
      </c>
      <c r="L93" s="413">
        <f>'Imp Crude'!Q74</f>
        <v>23.887141351946592</v>
      </c>
      <c r="M93" s="413">
        <f>'Imp Crude'!R74</f>
        <v>26.202070550445285</v>
      </c>
      <c r="N93" s="413">
        <f>'Imp Crude'!S74</f>
        <v>28.741342089247709</v>
      </c>
      <c r="O93" s="413">
        <f>'Imp Crude'!T74</f>
        <v>31.526697231838554</v>
      </c>
      <c r="P93" s="413">
        <f>'Imp Crude'!U74</f>
        <v>34.581984211511553</v>
      </c>
      <c r="Q93" s="405"/>
      <c r="R93" s="405"/>
      <c r="S93" s="405">
        <f>'Imp Crude'!AE74</f>
        <v>62.911832202331993</v>
      </c>
      <c r="T93" s="405">
        <f>'Imp Crude'!AF74</f>
        <v>76.527479096201432</v>
      </c>
      <c r="U93" s="405"/>
      <c r="V93" s="405"/>
      <c r="W93" s="405"/>
      <c r="X93" s="405"/>
      <c r="Y93" s="405"/>
      <c r="Z93" s="405"/>
      <c r="AA93" s="405"/>
      <c r="AB93" s="405"/>
      <c r="AC93" s="405"/>
      <c r="AD93" s="415"/>
      <c r="AE93" s="415"/>
      <c r="AJ93" s="415"/>
      <c r="AK93" s="405"/>
      <c r="AL93" s="415"/>
      <c r="AM93" s="415">
        <v>1.0049999999999999</v>
      </c>
      <c r="AN93" s="415">
        <v>1.0049999999999999</v>
      </c>
      <c r="BC93" s="365"/>
      <c r="BD93" s="365"/>
      <c r="BE93" s="365"/>
      <c r="BF93" s="365"/>
      <c r="BG93" s="365"/>
    </row>
    <row r="94" spans="2:59">
      <c r="B94" s="376" t="str">
        <f>Technologies!B94</f>
        <v>R1</v>
      </c>
      <c r="C94" s="376" t="str">
        <f>'Imp Crude'!B75</f>
        <v>IMPOILHV33</v>
      </c>
      <c r="D94" s="376" t="str">
        <f>'Imp Crude'!C75</f>
        <v>Imported Imported Oil-High Sulfur, Very HG, PADD 3, Step 3</v>
      </c>
      <c r="E94" s="415" t="str">
        <f>'Imp Crude'!D75</f>
        <v>OILHV3</v>
      </c>
      <c r="F94" s="415">
        <v>1</v>
      </c>
      <c r="G94" s="413">
        <f>'Imp Crude'!L75</f>
        <v>11.064305674544054</v>
      </c>
      <c r="H94" s="413">
        <f>'Imp Crude'!M75</f>
        <v>12.499535853582248</v>
      </c>
      <c r="I94" s="413">
        <f>'Imp Crude'!N75</f>
        <v>12.379165249985325</v>
      </c>
      <c r="J94" s="413">
        <f>'Imp Crude'!O75</f>
        <v>14.057882089966375</v>
      </c>
      <c r="K94" s="413">
        <f>'Imp Crude'!P75</f>
        <v>15.351564889624958</v>
      </c>
      <c r="L94" s="413">
        <f>'Imp Crude'!Q75</f>
        <v>16.83930196464939</v>
      </c>
      <c r="M94" s="413">
        <f>'Imp Crude'!R75</f>
        <v>18.471217279502525</v>
      </c>
      <c r="N94" s="413">
        <f>'Imp Crude'!S75</f>
        <v>20.261283306329524</v>
      </c>
      <c r="O94" s="413">
        <f>'Imp Crude'!T75</f>
        <v>22.224826604952575</v>
      </c>
      <c r="P94" s="413">
        <f>'Imp Crude'!U75</f>
        <v>24.378659049000245</v>
      </c>
      <c r="Q94" s="405"/>
      <c r="R94" s="405"/>
      <c r="S94" s="405">
        <f>'Imp Crude'!AE75</f>
        <v>3820.5207167301719</v>
      </c>
      <c r="T94" s="405">
        <f>'Imp Crude'!AF75</f>
        <v>3880.6269992561847</v>
      </c>
      <c r="U94" s="405"/>
      <c r="V94" s="405"/>
      <c r="W94" s="405"/>
      <c r="X94" s="405"/>
      <c r="Y94" s="405"/>
      <c r="Z94" s="405"/>
      <c r="AA94" s="405"/>
      <c r="AB94" s="405"/>
      <c r="AC94" s="405"/>
      <c r="AD94" s="415"/>
      <c r="AE94" s="415"/>
      <c r="AJ94" s="415"/>
      <c r="AK94" s="405"/>
      <c r="AL94" s="415"/>
      <c r="AM94" s="415">
        <v>1.0049999999999999</v>
      </c>
      <c r="AN94" s="415">
        <v>1.0049999999999999</v>
      </c>
      <c r="BC94" s="365"/>
      <c r="BD94" s="365"/>
      <c r="BE94" s="365"/>
      <c r="BF94" s="365"/>
      <c r="BG94" s="365"/>
    </row>
    <row r="95" spans="2:59">
      <c r="B95" s="376" t="str">
        <f>Technologies!B95</f>
        <v>R1</v>
      </c>
      <c r="C95" s="376" t="str">
        <f>'Imp Crude'!B76</f>
        <v>IMPOILHV31</v>
      </c>
      <c r="D95" s="376" t="str">
        <f>'Imp Crude'!C76</f>
        <v>Imported Imported Oil-High Sulfur, Very HG, PADD 3, Step 1</v>
      </c>
      <c r="E95" s="415" t="str">
        <f>'Imp Crude'!D76</f>
        <v>OILHV3</v>
      </c>
      <c r="F95" s="415">
        <v>1</v>
      </c>
      <c r="G95" s="413">
        <f>'Imp Crude'!L76</f>
        <v>9.9578751070896452</v>
      </c>
      <c r="H95" s="413">
        <f>'Imp Crude'!M76</f>
        <v>11.249582268224019</v>
      </c>
      <c r="I95" s="413">
        <f>'Imp Crude'!N76</f>
        <v>11.14124872498679</v>
      </c>
      <c r="J95" s="413">
        <f>'Imp Crude'!O76</f>
        <v>12.652093880969735</v>
      </c>
      <c r="K95" s="413">
        <f>'Imp Crude'!P76</f>
        <v>13.816408400662461</v>
      </c>
      <c r="L95" s="413">
        <f>'Imp Crude'!Q76</f>
        <v>15.155371768184448</v>
      </c>
      <c r="M95" s="413">
        <f>'Imp Crude'!R76</f>
        <v>16.624095551552269</v>
      </c>
      <c r="N95" s="413">
        <f>'Imp Crude'!S76</f>
        <v>18.235154975696567</v>
      </c>
      <c r="O95" s="413">
        <f>'Imp Crude'!T76</f>
        <v>20.002343944457312</v>
      </c>
      <c r="P95" s="413">
        <f>'Imp Crude'!U76</f>
        <v>21.940793144100212</v>
      </c>
      <c r="Q95" s="405"/>
      <c r="R95" s="405"/>
      <c r="S95" s="405">
        <f>'Imp Crude'!AE76</f>
        <v>477.56508959127149</v>
      </c>
      <c r="T95" s="405">
        <f>'Imp Crude'!AF76</f>
        <v>485.0783749070232</v>
      </c>
      <c r="U95" s="405"/>
      <c r="V95" s="405"/>
      <c r="W95" s="405"/>
      <c r="X95" s="405"/>
      <c r="Y95" s="405"/>
      <c r="Z95" s="405"/>
      <c r="AA95" s="405"/>
      <c r="AB95" s="405"/>
      <c r="AC95" s="405"/>
      <c r="AD95" s="415"/>
      <c r="AE95" s="415"/>
      <c r="AJ95" s="415"/>
      <c r="AK95" s="405"/>
      <c r="AL95" s="415"/>
      <c r="AM95" s="415">
        <v>1.0049999999999999</v>
      </c>
      <c r="AN95" s="415">
        <v>1.0049999999999999</v>
      </c>
      <c r="BC95" s="365"/>
      <c r="BD95" s="365"/>
      <c r="BE95" s="365"/>
      <c r="BF95" s="365"/>
      <c r="BG95" s="365"/>
    </row>
    <row r="96" spans="2:59">
      <c r="B96" s="376" t="str">
        <f>Technologies!B96</f>
        <v>R1</v>
      </c>
      <c r="C96" s="376" t="str">
        <f>'Imp Crude'!B77</f>
        <v>IMPOILHV32</v>
      </c>
      <c r="D96" s="376" t="str">
        <f>'Imp Crude'!C77</f>
        <v>Imported Imported Oil-High Sulfur, Very HG, PADD 3, Step 2</v>
      </c>
      <c r="E96" s="415" t="str">
        <f>'Imp Crude'!D77</f>
        <v>OILHV3</v>
      </c>
      <c r="F96" s="415">
        <v>1</v>
      </c>
      <c r="G96" s="413">
        <f>'Imp Crude'!L77</f>
        <v>10.511090390816848</v>
      </c>
      <c r="H96" s="413">
        <f>'Imp Crude'!M77</f>
        <v>11.874559060903133</v>
      </c>
      <c r="I96" s="413">
        <f>'Imp Crude'!N77</f>
        <v>11.760206987486056</v>
      </c>
      <c r="J96" s="413">
        <f>'Imp Crude'!O77</f>
        <v>13.354987985468053</v>
      </c>
      <c r="K96" s="413">
        <f>'Imp Crude'!P77</f>
        <v>14.583986645143707</v>
      </c>
      <c r="L96" s="413">
        <f>'Imp Crude'!Q77</f>
        <v>15.997336866416916</v>
      </c>
      <c r="M96" s="413">
        <f>'Imp Crude'!R77</f>
        <v>17.547656415527392</v>
      </c>
      <c r="N96" s="413">
        <f>'Imp Crude'!S77</f>
        <v>19.248219141013042</v>
      </c>
      <c r="O96" s="413">
        <f>'Imp Crude'!T77</f>
        <v>21.113585274704942</v>
      </c>
      <c r="P96" s="413">
        <f>'Imp Crude'!U77</f>
        <v>23.159726096550227</v>
      </c>
      <c r="Q96" s="405"/>
      <c r="R96" s="405"/>
      <c r="S96" s="405">
        <f>'Imp Crude'!AE77</f>
        <v>477.56508959127149</v>
      </c>
      <c r="T96" s="405">
        <f>'Imp Crude'!AF77</f>
        <v>485.0783749070232</v>
      </c>
      <c r="U96" s="405"/>
      <c r="V96" s="405"/>
      <c r="W96" s="405"/>
      <c r="X96" s="405"/>
      <c r="Y96" s="405"/>
      <c r="Z96" s="405"/>
      <c r="AA96" s="405"/>
      <c r="AB96" s="405"/>
      <c r="AC96" s="405"/>
      <c r="AD96" s="415"/>
      <c r="AE96" s="415"/>
      <c r="AJ96" s="415"/>
      <c r="AK96" s="405"/>
      <c r="AL96" s="415"/>
      <c r="AM96" s="415">
        <v>1.0049999999999999</v>
      </c>
      <c r="AN96" s="415">
        <v>1.0049999999999999</v>
      </c>
      <c r="BC96" s="365"/>
      <c r="BD96" s="365"/>
      <c r="BE96" s="365"/>
      <c r="BF96" s="365"/>
      <c r="BG96" s="365"/>
    </row>
    <row r="97" spans="2:59">
      <c r="B97" s="376" t="str">
        <f>Technologies!B97</f>
        <v>R1</v>
      </c>
      <c r="C97" s="376" t="str">
        <f>'Imp Crude'!B78</f>
        <v>IMPOILHV34</v>
      </c>
      <c r="D97" s="376" t="str">
        <f>'Imp Crude'!C78</f>
        <v>Imported Imported Oil-High Sulfur, Very HG, PADD 3, Step 4</v>
      </c>
      <c r="E97" s="415" t="str">
        <f>'Imp Crude'!D78</f>
        <v>OILHV3</v>
      </c>
      <c r="F97" s="415">
        <v>1</v>
      </c>
      <c r="G97" s="413">
        <f>'Imp Crude'!L78</f>
        <v>11.617520958271253</v>
      </c>
      <c r="H97" s="413">
        <f>'Imp Crude'!M78</f>
        <v>13.124512646261357</v>
      </c>
      <c r="I97" s="413">
        <f>'Imp Crude'!N78</f>
        <v>12.998123512484588</v>
      </c>
      <c r="J97" s="413">
        <f>'Imp Crude'!O78</f>
        <v>14.76077619446469</v>
      </c>
      <c r="K97" s="413">
        <f>'Imp Crude'!P78</f>
        <v>16.119143134106203</v>
      </c>
      <c r="L97" s="413">
        <f>'Imp Crude'!Q78</f>
        <v>17.681267062881854</v>
      </c>
      <c r="M97" s="413">
        <f>'Imp Crude'!R78</f>
        <v>19.394778143477645</v>
      </c>
      <c r="N97" s="413">
        <f>'Imp Crude'!S78</f>
        <v>21.274347471645992</v>
      </c>
      <c r="O97" s="413">
        <f>'Imp Crude'!T78</f>
        <v>23.336067935200195</v>
      </c>
      <c r="P97" s="413">
        <f>'Imp Crude'!U78</f>
        <v>25.597592001450245</v>
      </c>
      <c r="Q97" s="405"/>
      <c r="R97" s="405"/>
      <c r="S97" s="405">
        <f>'Imp Crude'!AE78</f>
        <v>955.13017918254263</v>
      </c>
      <c r="T97" s="405">
        <f>'Imp Crude'!AF78</f>
        <v>970.15674981404663</v>
      </c>
      <c r="U97" s="405"/>
      <c r="V97" s="405"/>
      <c r="W97" s="405"/>
      <c r="X97" s="405"/>
      <c r="Y97" s="405"/>
      <c r="Z97" s="405"/>
      <c r="AA97" s="405"/>
      <c r="AB97" s="405"/>
      <c r="AC97" s="405"/>
      <c r="AD97" s="415"/>
      <c r="AE97" s="415"/>
      <c r="AJ97" s="415"/>
      <c r="AK97" s="405"/>
      <c r="AL97" s="415"/>
      <c r="AM97" s="415">
        <v>1.0049999999999999</v>
      </c>
      <c r="AN97" s="415">
        <v>1.0049999999999999</v>
      </c>
      <c r="BC97" s="365"/>
      <c r="BD97" s="365"/>
      <c r="BE97" s="365"/>
      <c r="BF97" s="365"/>
      <c r="BG97" s="365"/>
    </row>
    <row r="98" spans="2:59">
      <c r="B98" s="376" t="str">
        <f>Technologies!B98</f>
        <v>R1</v>
      </c>
      <c r="C98" s="376" t="str">
        <f>'Imp Crude'!B79</f>
        <v>IMPOILHV35</v>
      </c>
      <c r="D98" s="376" t="str">
        <f>'Imp Crude'!C79</f>
        <v>Imported Imported Oil-High Sulfur, Very HG, PADD 3, Step 5</v>
      </c>
      <c r="E98" s="415" t="str">
        <f>'Imp Crude'!D79</f>
        <v>OILHV3</v>
      </c>
      <c r="F98" s="415">
        <v>1</v>
      </c>
      <c r="G98" s="413">
        <f>'Imp Crude'!L79</f>
        <v>14.383597376907268</v>
      </c>
      <c r="H98" s="413">
        <f>'Imp Crude'!M79</f>
        <v>16.24939660965692</v>
      </c>
      <c r="I98" s="413">
        <f>'Imp Crude'!N79</f>
        <v>16.09291482498092</v>
      </c>
      <c r="J98" s="413">
        <f>'Imp Crude'!O79</f>
        <v>18.275246716956286</v>
      </c>
      <c r="K98" s="413">
        <f>'Imp Crude'!P79</f>
        <v>19.957034356512445</v>
      </c>
      <c r="L98" s="413">
        <f>'Imp Crude'!Q79</f>
        <v>21.891092554044203</v>
      </c>
      <c r="M98" s="413">
        <f>'Imp Crude'!R79</f>
        <v>24.012582463353276</v>
      </c>
      <c r="N98" s="413">
        <f>'Imp Crude'!S79</f>
        <v>26.339668298228375</v>
      </c>
      <c r="O98" s="413">
        <f>'Imp Crude'!T79</f>
        <v>28.89227458643834</v>
      </c>
      <c r="P98" s="413">
        <f>'Imp Crude'!U79</f>
        <v>31.692256763700307</v>
      </c>
      <c r="Q98" s="405"/>
      <c r="R98" s="405"/>
      <c r="S98" s="405">
        <f>'Imp Crude'!AE79</f>
        <v>477.56508959127223</v>
      </c>
      <c r="T98" s="405">
        <f>'Imp Crude'!AF79</f>
        <v>485.07837490702241</v>
      </c>
      <c r="U98" s="405"/>
      <c r="V98" s="405"/>
      <c r="W98" s="405"/>
      <c r="X98" s="405"/>
      <c r="Y98" s="405"/>
      <c r="Z98" s="405"/>
      <c r="AA98" s="405"/>
      <c r="AB98" s="405"/>
      <c r="AC98" s="405"/>
      <c r="AD98" s="415"/>
      <c r="AE98" s="415"/>
      <c r="AJ98" s="415"/>
      <c r="AK98" s="405"/>
      <c r="AL98" s="415"/>
      <c r="AM98" s="415">
        <v>1.0049999999999999</v>
      </c>
      <c r="AN98" s="415">
        <v>1.0049999999999999</v>
      </c>
      <c r="BC98" s="365"/>
      <c r="BD98" s="365"/>
      <c r="BE98" s="365"/>
      <c r="BF98" s="365"/>
      <c r="BG98" s="365"/>
    </row>
    <row r="99" spans="2:59">
      <c r="B99" s="376" t="str">
        <f>Technologies!B99</f>
        <v>R1</v>
      </c>
      <c r="C99" s="376" t="str">
        <f>'Imp Crude'!B80</f>
        <v>IMPOILLL33</v>
      </c>
      <c r="D99" s="376" t="str">
        <f>'Imp Crude'!C80</f>
        <v>Imported Imported Oil-Low Sulfur, Low G, PADD 3, Step 3</v>
      </c>
      <c r="E99" s="415" t="str">
        <f>'Imp Crude'!D80</f>
        <v>OILLL3</v>
      </c>
      <c r="F99" s="415">
        <v>1</v>
      </c>
      <c r="G99" s="413">
        <f>'Imp Crude'!L80</f>
        <v>14.669714698535982</v>
      </c>
      <c r="H99" s="413">
        <f>'Imp Crude'!M80</f>
        <v>16.572628254301122</v>
      </c>
      <c r="I99" s="413">
        <f>'Imp Crude'!N80</f>
        <v>16.413033746991001</v>
      </c>
      <c r="J99" s="413">
        <f>'Imp Crude'!O80</f>
        <v>18.638776403288745</v>
      </c>
      <c r="K99" s="413">
        <f>'Imp Crude'!P80</f>
        <v>20.354018022567015</v>
      </c>
      <c r="L99" s="413">
        <f>'Imp Crude'!Q80</f>
        <v>22.326548344759345</v>
      </c>
      <c r="M99" s="413">
        <f>'Imp Crude'!R80</f>
        <v>24.49023875473652</v>
      </c>
      <c r="N99" s="413">
        <f>'Imp Crude'!S80</f>
        <v>26.863614787315814</v>
      </c>
      <c r="O99" s="413">
        <f>'Imp Crude'!T80</f>
        <v>29.46699730731379</v>
      </c>
      <c r="P99" s="413">
        <f>'Imp Crude'!U80</f>
        <v>32.322676496955467</v>
      </c>
      <c r="Q99" s="405"/>
      <c r="R99" s="405"/>
      <c r="S99" s="405">
        <f>'Imp Crude'!AE80</f>
        <v>2472.9069432440897</v>
      </c>
      <c r="T99" s="405">
        <f>'Imp Crude'!AF80</f>
        <v>2440.5534840722007</v>
      </c>
      <c r="U99" s="405"/>
      <c r="V99" s="405"/>
      <c r="W99" s="405"/>
      <c r="X99" s="405"/>
      <c r="Y99" s="405"/>
      <c r="Z99" s="405"/>
      <c r="AA99" s="405"/>
      <c r="AB99" s="405"/>
      <c r="AC99" s="405"/>
      <c r="AD99" s="415"/>
      <c r="AE99" s="415"/>
      <c r="AJ99" s="415"/>
      <c r="AK99" s="405"/>
      <c r="AL99" s="415"/>
      <c r="AM99" s="415">
        <v>1.0049999999999999</v>
      </c>
      <c r="AN99" s="415">
        <v>1.0049999999999999</v>
      </c>
      <c r="BC99" s="365"/>
      <c r="BD99" s="365"/>
      <c r="BE99" s="365"/>
      <c r="BF99" s="365"/>
      <c r="BG99" s="365"/>
    </row>
    <row r="100" spans="2:59">
      <c r="B100" s="376" t="str">
        <f>Technologies!B100</f>
        <v>R1</v>
      </c>
      <c r="C100" s="376" t="str">
        <f>'Imp Crude'!B81</f>
        <v>IMPOILLL31</v>
      </c>
      <c r="D100" s="376" t="str">
        <f>'Imp Crude'!C81</f>
        <v>Imported Imported Oil-Low Sulfur, Low G, PADD 3, Step 1</v>
      </c>
      <c r="E100" s="415" t="str">
        <f>'Imp Crude'!D81</f>
        <v>OILLL3</v>
      </c>
      <c r="F100" s="415">
        <v>1</v>
      </c>
      <c r="G100" s="413">
        <f>'Imp Crude'!L81</f>
        <v>13.202743228682387</v>
      </c>
      <c r="H100" s="413">
        <f>'Imp Crude'!M81</f>
        <v>14.915365428871013</v>
      </c>
      <c r="I100" s="413">
        <f>'Imp Crude'!N81</f>
        <v>14.771730372291906</v>
      </c>
      <c r="J100" s="413">
        <f>'Imp Crude'!O81</f>
        <v>16.774898762959875</v>
      </c>
      <c r="K100" s="413">
        <f>'Imp Crude'!P81</f>
        <v>18.318616220310318</v>
      </c>
      <c r="L100" s="413">
        <f>'Imp Crude'!Q81</f>
        <v>20.093893510283415</v>
      </c>
      <c r="M100" s="413">
        <f>'Imp Crude'!R81</f>
        <v>22.041214879262871</v>
      </c>
      <c r="N100" s="413">
        <f>'Imp Crude'!S81</f>
        <v>24.177253308584234</v>
      </c>
      <c r="O100" s="413">
        <f>'Imp Crude'!T81</f>
        <v>26.520297576582411</v>
      </c>
      <c r="P100" s="413">
        <f>'Imp Crude'!U81</f>
        <v>29.090408847259919</v>
      </c>
      <c r="Q100" s="405"/>
      <c r="R100" s="405"/>
      <c r="S100" s="405">
        <f>'Imp Crude'!AE81</f>
        <v>309.11336790551127</v>
      </c>
      <c r="T100" s="405">
        <f>'Imp Crude'!AF81</f>
        <v>305.06918550902515</v>
      </c>
      <c r="U100" s="405"/>
      <c r="V100" s="405"/>
      <c r="W100" s="405"/>
      <c r="X100" s="405"/>
      <c r="Y100" s="405"/>
      <c r="Z100" s="405"/>
      <c r="AA100" s="405"/>
      <c r="AB100" s="405"/>
      <c r="AC100" s="405"/>
      <c r="AD100" s="415"/>
      <c r="AE100" s="415"/>
      <c r="AJ100" s="415"/>
      <c r="AK100" s="405"/>
      <c r="AL100" s="415"/>
      <c r="AM100" s="415">
        <v>1.0049999999999999</v>
      </c>
      <c r="AN100" s="415">
        <v>1.0049999999999999</v>
      </c>
      <c r="BC100" s="365"/>
      <c r="BD100" s="365"/>
      <c r="BE100" s="365"/>
      <c r="BF100" s="365"/>
      <c r="BG100" s="365"/>
    </row>
    <row r="101" spans="2:59">
      <c r="B101" s="376" t="str">
        <f>Technologies!B101</f>
        <v>R1</v>
      </c>
      <c r="C101" s="376" t="str">
        <f>'Imp Crude'!B82</f>
        <v>IMPOILLL32</v>
      </c>
      <c r="D101" s="376" t="str">
        <f>'Imp Crude'!C82</f>
        <v>Imported Imported Oil-Low Sulfur, Low G, PADD 3, Step 2</v>
      </c>
      <c r="E101" s="415" t="str">
        <f>'Imp Crude'!D82</f>
        <v>OILLL3</v>
      </c>
      <c r="F101" s="415">
        <v>1</v>
      </c>
      <c r="G101" s="413">
        <f>'Imp Crude'!L82</f>
        <v>13.936228963609183</v>
      </c>
      <c r="H101" s="413">
        <f>'Imp Crude'!M82</f>
        <v>15.743996841586066</v>
      </c>
      <c r="I101" s="413">
        <f>'Imp Crude'!N82</f>
        <v>15.592382059641452</v>
      </c>
      <c r="J101" s="413">
        <f>'Imp Crude'!O82</f>
        <v>17.706837583124308</v>
      </c>
      <c r="K101" s="413">
        <f>'Imp Crude'!P82</f>
        <v>19.336317121438665</v>
      </c>
      <c r="L101" s="413">
        <f>'Imp Crude'!Q82</f>
        <v>21.21022092752138</v>
      </c>
      <c r="M101" s="413">
        <f>'Imp Crude'!R82</f>
        <v>23.265726816999695</v>
      </c>
      <c r="N101" s="413">
        <f>'Imp Crude'!S82</f>
        <v>25.520434047950026</v>
      </c>
      <c r="O101" s="413">
        <f>'Imp Crude'!T82</f>
        <v>27.993647441948102</v>
      </c>
      <c r="P101" s="413">
        <f>'Imp Crude'!U82</f>
        <v>30.706542672107695</v>
      </c>
      <c r="Q101" s="405"/>
      <c r="R101" s="405"/>
      <c r="S101" s="405">
        <f>'Imp Crude'!AE82</f>
        <v>309.11336790551127</v>
      </c>
      <c r="T101" s="405">
        <f>'Imp Crude'!AF82</f>
        <v>305.06918550902515</v>
      </c>
      <c r="U101" s="405"/>
      <c r="V101" s="405"/>
      <c r="W101" s="405"/>
      <c r="X101" s="405"/>
      <c r="Y101" s="405"/>
      <c r="Z101" s="405"/>
      <c r="AA101" s="405"/>
      <c r="AB101" s="405"/>
      <c r="AC101" s="405"/>
      <c r="AD101" s="415"/>
      <c r="AE101" s="415"/>
      <c r="AJ101" s="415"/>
      <c r="AK101" s="405"/>
      <c r="AL101" s="415"/>
      <c r="AM101" s="415">
        <v>1.0049999999999999</v>
      </c>
      <c r="AN101" s="415">
        <v>1.0049999999999999</v>
      </c>
      <c r="BC101" s="365"/>
      <c r="BD101" s="365"/>
      <c r="BE101" s="365"/>
      <c r="BF101" s="365"/>
      <c r="BG101" s="365"/>
    </row>
    <row r="102" spans="2:59">
      <c r="B102" s="376" t="str">
        <f>Technologies!B102</f>
        <v>R1</v>
      </c>
      <c r="C102" s="376" t="str">
        <f>'Imp Crude'!B83</f>
        <v>IMPOILLL34</v>
      </c>
      <c r="D102" s="376" t="str">
        <f>'Imp Crude'!C83</f>
        <v>Imported Imported Oil-Low Sulfur, Low G, PADD 3, Step 4</v>
      </c>
      <c r="E102" s="415" t="str">
        <f>'Imp Crude'!D83</f>
        <v>OILLL3</v>
      </c>
      <c r="F102" s="415">
        <v>1</v>
      </c>
      <c r="G102" s="413">
        <f>'Imp Crude'!L83</f>
        <v>15.403200433462786</v>
      </c>
      <c r="H102" s="413">
        <f>'Imp Crude'!M83</f>
        <v>17.401259667016181</v>
      </c>
      <c r="I102" s="413">
        <f>'Imp Crude'!N83</f>
        <v>17.233685434340554</v>
      </c>
      <c r="J102" s="413">
        <f>'Imp Crude'!O83</f>
        <v>19.570715223453185</v>
      </c>
      <c r="K102" s="413">
        <f>'Imp Crude'!P83</f>
        <v>21.371718923695369</v>
      </c>
      <c r="L102" s="413">
        <f>'Imp Crude'!Q83</f>
        <v>23.442875761997318</v>
      </c>
      <c r="M102" s="413">
        <f>'Imp Crude'!R83</f>
        <v>25.714750692473352</v>
      </c>
      <c r="N102" s="413">
        <f>'Imp Crude'!S83</f>
        <v>28.20679552668161</v>
      </c>
      <c r="O102" s="413">
        <f>'Imp Crude'!T83</f>
        <v>30.940347172679484</v>
      </c>
      <c r="P102" s="413">
        <f>'Imp Crude'!U83</f>
        <v>33.938810321803246</v>
      </c>
      <c r="Q102" s="405"/>
      <c r="R102" s="405"/>
      <c r="S102" s="405">
        <f>'Imp Crude'!AE83</f>
        <v>618.22673581102254</v>
      </c>
      <c r="T102" s="405">
        <f>'Imp Crude'!AF83</f>
        <v>610.13837101805029</v>
      </c>
      <c r="U102" s="405"/>
      <c r="V102" s="405"/>
      <c r="W102" s="405"/>
      <c r="X102" s="405"/>
      <c r="Y102" s="405"/>
      <c r="Z102" s="405"/>
      <c r="AA102" s="405"/>
      <c r="AB102" s="405"/>
      <c r="AC102" s="405"/>
      <c r="AD102" s="415"/>
      <c r="AE102" s="415"/>
      <c r="AJ102" s="415"/>
      <c r="AK102" s="405"/>
      <c r="AL102" s="415"/>
      <c r="AM102" s="415">
        <v>1.0049999999999999</v>
      </c>
      <c r="AN102" s="415">
        <v>1.0049999999999999</v>
      </c>
      <c r="BC102" s="365"/>
      <c r="BD102" s="365"/>
      <c r="BE102" s="365"/>
      <c r="BF102" s="365"/>
      <c r="BG102" s="365"/>
    </row>
    <row r="103" spans="2:59">
      <c r="B103" s="376" t="str">
        <f>Technologies!B103</f>
        <v>R1</v>
      </c>
      <c r="C103" s="376" t="str">
        <f>'Imp Crude'!B84</f>
        <v>IMPOILLL35</v>
      </c>
      <c r="D103" s="376" t="str">
        <f>'Imp Crude'!C84</f>
        <v>Imported Imported Oil-Low Sulfur, Low G, PADD 3, Step 5</v>
      </c>
      <c r="E103" s="415" t="str">
        <f>'Imp Crude'!D84</f>
        <v>OILLL3</v>
      </c>
      <c r="F103" s="415">
        <v>1</v>
      </c>
      <c r="G103" s="413">
        <f>'Imp Crude'!L84</f>
        <v>19.070629108096782</v>
      </c>
      <c r="H103" s="413">
        <f>'Imp Crude'!M84</f>
        <v>21.544416730591465</v>
      </c>
      <c r="I103" s="413">
        <f>'Imp Crude'!N84</f>
        <v>21.336943871088309</v>
      </c>
      <c r="J103" s="413">
        <f>'Imp Crude'!O84</f>
        <v>24.230409324275378</v>
      </c>
      <c r="K103" s="413">
        <f>'Imp Crude'!P84</f>
        <v>26.46022342933713</v>
      </c>
      <c r="L103" s="413">
        <f>'Imp Crude'!Q84</f>
        <v>29.024512848187161</v>
      </c>
      <c r="M103" s="413">
        <f>'Imp Crude'!R84</f>
        <v>31.83731038115749</v>
      </c>
      <c r="N103" s="413">
        <f>'Imp Crude'!S84</f>
        <v>34.922699223510577</v>
      </c>
      <c r="O103" s="413">
        <f>'Imp Crude'!T84</f>
        <v>38.307096499507949</v>
      </c>
      <c r="P103" s="413">
        <f>'Imp Crude'!U84</f>
        <v>42.019479446042126</v>
      </c>
      <c r="Q103" s="405"/>
      <c r="R103" s="405"/>
      <c r="S103" s="405">
        <f>'Imp Crude'!AE84</f>
        <v>309.1133679055115</v>
      </c>
      <c r="T103" s="405">
        <f>'Imp Crude'!AF84</f>
        <v>305.06918550902537</v>
      </c>
      <c r="U103" s="405"/>
      <c r="V103" s="405"/>
      <c r="W103" s="405"/>
      <c r="X103" s="405"/>
      <c r="Y103" s="405"/>
      <c r="Z103" s="405"/>
      <c r="AA103" s="405"/>
      <c r="AB103" s="405"/>
      <c r="AC103" s="405"/>
      <c r="AD103" s="415"/>
      <c r="AE103" s="415"/>
      <c r="AJ103" s="415"/>
      <c r="AK103" s="405"/>
      <c r="AL103" s="415"/>
      <c r="AM103" s="415">
        <v>1.0049999999999999</v>
      </c>
      <c r="AN103" s="415">
        <v>1.0049999999999999</v>
      </c>
      <c r="BC103" s="365"/>
      <c r="BD103" s="365"/>
      <c r="BE103" s="365"/>
      <c r="BF103" s="365"/>
      <c r="BG103" s="365"/>
    </row>
    <row r="104" spans="2:59">
      <c r="B104" s="376" t="str">
        <f>Technologies!B104</f>
        <v>R1</v>
      </c>
      <c r="C104" s="376" t="str">
        <f>'Imp Crude'!B85</f>
        <v>IMPOILMH33</v>
      </c>
      <c r="D104" s="376" t="str">
        <f>'Imp Crude'!C85</f>
        <v>Imported Imported Oil-Medium Sulfur, HG, PADD 3, Step 3</v>
      </c>
      <c r="E104" s="415" t="str">
        <f>'Imp Crude'!D85</f>
        <v>OILMH3</v>
      </c>
      <c r="F104" s="415">
        <v>1</v>
      </c>
      <c r="G104" s="413">
        <f>'Imp Crude'!L85</f>
        <v>12.053312370116149</v>
      </c>
      <c r="H104" s="413">
        <f>'Imp Crude'!M85</f>
        <v>13.61683367726568</v>
      </c>
      <c r="I104" s="413">
        <f>'Imp Crude'!N85</f>
        <v>13.485703489072201</v>
      </c>
      <c r="J104" s="413">
        <f>'Imp Crude'!O85</f>
        <v>15.314476034630031</v>
      </c>
      <c r="K104" s="413">
        <f>'Imp Crude'!P85</f>
        <v>16.723797446276034</v>
      </c>
      <c r="L104" s="413">
        <f>'Imp Crude'!Q85</f>
        <v>18.34451909093643</v>
      </c>
      <c r="M104" s="413">
        <f>'Imp Crude'!R85</f>
        <v>20.122306656653866</v>
      </c>
      <c r="N104" s="413">
        <f>'Imp Crude'!S85</f>
        <v>22.072381574967043</v>
      </c>
      <c r="O104" s="413">
        <f>'Imp Crude'!T85</f>
        <v>24.211440403123216</v>
      </c>
      <c r="P104" s="413">
        <f>'Imp Crude'!U85</f>
        <v>26.557797780136578</v>
      </c>
      <c r="Q104" s="405"/>
      <c r="R104" s="405"/>
      <c r="S104" s="405">
        <f>'Imp Crude'!AE85</f>
        <v>1016.4983769986512</v>
      </c>
      <c r="T104" s="405">
        <f>'Imp Crude'!AF85</f>
        <v>791.8308902218397</v>
      </c>
      <c r="U104" s="405"/>
      <c r="V104" s="405"/>
      <c r="W104" s="405"/>
      <c r="X104" s="405"/>
      <c r="Y104" s="405"/>
      <c r="Z104" s="405"/>
      <c r="AA104" s="405"/>
      <c r="AB104" s="405"/>
      <c r="AC104" s="405"/>
      <c r="AD104" s="415"/>
      <c r="AE104" s="415"/>
      <c r="AJ104" s="415"/>
      <c r="AK104" s="405"/>
      <c r="AL104" s="415"/>
      <c r="AM104" s="415">
        <v>1.0049999999999999</v>
      </c>
      <c r="AN104" s="415">
        <v>1.0049999999999999</v>
      </c>
      <c r="BC104" s="365"/>
      <c r="BD104" s="365"/>
      <c r="BE104" s="365"/>
      <c r="BF104" s="365"/>
      <c r="BG104" s="365"/>
    </row>
    <row r="105" spans="2:59">
      <c r="B105" s="376" t="str">
        <f>Technologies!B105</f>
        <v>R1</v>
      </c>
      <c r="C105" s="376" t="str">
        <f>'Imp Crude'!B86</f>
        <v>IMPOILMH31</v>
      </c>
      <c r="D105" s="376" t="str">
        <f>'Imp Crude'!C86</f>
        <v>Imported Imported Oil-Medium Sulfur, HG, PADD 3, Step 1</v>
      </c>
      <c r="E105" s="415" t="str">
        <f>'Imp Crude'!D86</f>
        <v>OILMH3</v>
      </c>
      <c r="F105" s="415">
        <v>1</v>
      </c>
      <c r="G105" s="413">
        <f>'Imp Crude'!L86</f>
        <v>10.847981133104536</v>
      </c>
      <c r="H105" s="413">
        <f>'Imp Crude'!M86</f>
        <v>12.255150309539113</v>
      </c>
      <c r="I105" s="413">
        <f>'Imp Crude'!N86</f>
        <v>12.137133140164982</v>
      </c>
      <c r="J105" s="413">
        <f>'Imp Crude'!O86</f>
        <v>13.783028431167031</v>
      </c>
      <c r="K105" s="413">
        <f>'Imp Crude'!P86</f>
        <v>15.051417701648433</v>
      </c>
      <c r="L105" s="413">
        <f>'Imp Crude'!Q86</f>
        <v>16.510067181842789</v>
      </c>
      <c r="M105" s="413">
        <f>'Imp Crude'!R86</f>
        <v>18.110075990988481</v>
      </c>
      <c r="N105" s="413">
        <f>'Imp Crude'!S86</f>
        <v>19.865143417470343</v>
      </c>
      <c r="O105" s="413">
        <f>'Imp Crude'!T86</f>
        <v>21.790296362810899</v>
      </c>
      <c r="P105" s="413">
        <f>'Imp Crude'!U86</f>
        <v>23.902018002122926</v>
      </c>
      <c r="Q105" s="405"/>
      <c r="R105" s="405"/>
      <c r="S105" s="405">
        <f>'Imp Crude'!AE86</f>
        <v>127.06229712483145</v>
      </c>
      <c r="T105" s="405">
        <f>'Imp Crude'!AF86</f>
        <v>98.978861277729933</v>
      </c>
      <c r="U105" s="405"/>
      <c r="V105" s="405"/>
      <c r="W105" s="405"/>
      <c r="X105" s="405"/>
      <c r="Y105" s="405"/>
      <c r="Z105" s="405"/>
      <c r="AA105" s="405"/>
      <c r="AB105" s="405"/>
      <c r="AC105" s="405"/>
      <c r="AD105" s="415"/>
      <c r="AE105" s="415"/>
      <c r="AJ105" s="415"/>
      <c r="AK105" s="405"/>
      <c r="AL105" s="415"/>
      <c r="AM105" s="415">
        <v>1.0049999999999999</v>
      </c>
      <c r="AN105" s="415">
        <v>1.0049999999999999</v>
      </c>
      <c r="BC105" s="365"/>
      <c r="BD105" s="365"/>
      <c r="BE105" s="365"/>
      <c r="BF105" s="365"/>
      <c r="BG105" s="365"/>
    </row>
    <row r="106" spans="2:59">
      <c r="B106" s="376" t="str">
        <f>Technologies!B106</f>
        <v>R1</v>
      </c>
      <c r="C106" s="376" t="str">
        <f>'Imp Crude'!B87</f>
        <v>IMPOILMH32</v>
      </c>
      <c r="D106" s="376" t="str">
        <f>'Imp Crude'!C87</f>
        <v>Imported Imported Oil-Medium Sulfur, HG, PADD 3, Step 2</v>
      </c>
      <c r="E106" s="415" t="str">
        <f>'Imp Crude'!D87</f>
        <v>OILMH3</v>
      </c>
      <c r="F106" s="415">
        <v>1</v>
      </c>
      <c r="G106" s="413">
        <f>'Imp Crude'!L87</f>
        <v>11.450646751610343</v>
      </c>
      <c r="H106" s="413">
        <f>'Imp Crude'!M87</f>
        <v>12.935991993402396</v>
      </c>
      <c r="I106" s="413">
        <f>'Imp Crude'!N87</f>
        <v>12.811418314618592</v>
      </c>
      <c r="J106" s="413">
        <f>'Imp Crude'!O87</f>
        <v>14.548752232898533</v>
      </c>
      <c r="K106" s="413">
        <f>'Imp Crude'!P87</f>
        <v>15.887607573962235</v>
      </c>
      <c r="L106" s="413">
        <f>'Imp Crude'!Q87</f>
        <v>17.427293136389611</v>
      </c>
      <c r="M106" s="413">
        <f>'Imp Crude'!R87</f>
        <v>19.116191323821173</v>
      </c>
      <c r="N106" s="413">
        <f>'Imp Crude'!S87</f>
        <v>20.968762496218694</v>
      </c>
      <c r="O106" s="413">
        <f>'Imp Crude'!T87</f>
        <v>23.000868382967059</v>
      </c>
      <c r="P106" s="413">
        <f>'Imp Crude'!U87</f>
        <v>25.229907891129756</v>
      </c>
      <c r="Q106" s="405"/>
      <c r="R106" s="405"/>
      <c r="S106" s="405">
        <f>'Imp Crude'!AE87</f>
        <v>127.06229712483145</v>
      </c>
      <c r="T106" s="405">
        <f>'Imp Crude'!AF87</f>
        <v>98.978861277729933</v>
      </c>
      <c r="U106" s="405"/>
      <c r="V106" s="405"/>
      <c r="W106" s="405"/>
      <c r="X106" s="405"/>
      <c r="Y106" s="405"/>
      <c r="Z106" s="405"/>
      <c r="AA106" s="405"/>
      <c r="AB106" s="405"/>
      <c r="AC106" s="405"/>
      <c r="AD106" s="415"/>
      <c r="AE106" s="415"/>
      <c r="AJ106" s="415"/>
      <c r="AK106" s="405"/>
      <c r="AL106" s="415"/>
      <c r="AM106" s="415">
        <v>1.0049999999999999</v>
      </c>
      <c r="AN106" s="415">
        <v>1.0049999999999999</v>
      </c>
      <c r="BC106" s="365"/>
      <c r="BD106" s="365"/>
      <c r="BE106" s="365"/>
      <c r="BF106" s="365"/>
      <c r="BG106" s="365"/>
    </row>
    <row r="107" spans="2:59">
      <c r="B107" s="376" t="str">
        <f>Technologies!B107</f>
        <v>R1</v>
      </c>
      <c r="C107" s="376" t="str">
        <f>'Imp Crude'!B88</f>
        <v>IMPOILMH34</v>
      </c>
      <c r="D107" s="376" t="str">
        <f>'Imp Crude'!C88</f>
        <v>Imported Imported Oil-Medium Sulfur, HG, PADD 3, Step 4</v>
      </c>
      <c r="E107" s="415" t="str">
        <f>'Imp Crude'!D88</f>
        <v>OILMH3</v>
      </c>
      <c r="F107" s="415">
        <v>1</v>
      </c>
      <c r="G107" s="413">
        <f>'Imp Crude'!L88</f>
        <v>12.655977988621959</v>
      </c>
      <c r="H107" s="413">
        <f>'Imp Crude'!M88</f>
        <v>14.297675361128967</v>
      </c>
      <c r="I107" s="413">
        <f>'Imp Crude'!N88</f>
        <v>14.159988663525814</v>
      </c>
      <c r="J107" s="413">
        <f>'Imp Crude'!O88</f>
        <v>16.080199836361537</v>
      </c>
      <c r="K107" s="413">
        <f>'Imp Crude'!P88</f>
        <v>17.55998731858984</v>
      </c>
      <c r="L107" s="413">
        <f>'Imp Crude'!Q88</f>
        <v>19.261745045483256</v>
      </c>
      <c r="M107" s="413">
        <f>'Imp Crude'!R88</f>
        <v>21.128421989486561</v>
      </c>
      <c r="N107" s="413">
        <f>'Imp Crude'!S88</f>
        <v>23.176000653715398</v>
      </c>
      <c r="O107" s="413">
        <f>'Imp Crude'!T88</f>
        <v>25.42201242327938</v>
      </c>
      <c r="P107" s="413">
        <f>'Imp Crude'!U88</f>
        <v>27.885687669143412</v>
      </c>
      <c r="Q107" s="405"/>
      <c r="R107" s="405"/>
      <c r="S107" s="405">
        <f>'Imp Crude'!AE88</f>
        <v>254.12459424966301</v>
      </c>
      <c r="T107" s="405">
        <f>'Imp Crude'!AF88</f>
        <v>197.95772255545978</v>
      </c>
      <c r="U107" s="405"/>
      <c r="V107" s="405"/>
      <c r="W107" s="405"/>
      <c r="X107" s="405"/>
      <c r="Y107" s="405"/>
      <c r="Z107" s="405"/>
      <c r="AA107" s="405"/>
      <c r="AB107" s="405"/>
      <c r="AC107" s="405"/>
      <c r="AD107" s="415"/>
      <c r="AE107" s="415"/>
      <c r="AJ107" s="415"/>
      <c r="AK107" s="405"/>
      <c r="AL107" s="415"/>
      <c r="AM107" s="415">
        <v>1.0049999999999999</v>
      </c>
      <c r="AN107" s="415">
        <v>1.0049999999999999</v>
      </c>
      <c r="BC107" s="365"/>
      <c r="BD107" s="365"/>
      <c r="BE107" s="365"/>
      <c r="BF107" s="365"/>
      <c r="BG107" s="365"/>
    </row>
    <row r="108" spans="2:59">
      <c r="B108" s="376" t="str">
        <f>Technologies!B108</f>
        <v>R1</v>
      </c>
      <c r="C108" s="376" t="str">
        <f>'Imp Crude'!B89</f>
        <v>IMPOILMH35</v>
      </c>
      <c r="D108" s="376" t="str">
        <f>'Imp Crude'!C89</f>
        <v>Imported Imported Oil-Medium Sulfur, HG, PADD 3, Step 5</v>
      </c>
      <c r="E108" s="415" t="str">
        <f>'Imp Crude'!D89</f>
        <v>OILMH3</v>
      </c>
      <c r="F108" s="415">
        <v>1</v>
      </c>
      <c r="G108" s="413">
        <f>'Imp Crude'!L89</f>
        <v>15.669306081150996</v>
      </c>
      <c r="H108" s="413">
        <f>'Imp Crude'!M89</f>
        <v>17.701883780445385</v>
      </c>
      <c r="I108" s="413">
        <f>'Imp Crude'!N89</f>
        <v>17.531414535793864</v>
      </c>
      <c r="J108" s="413">
        <f>'Imp Crude'!O89</f>
        <v>19.908818845019045</v>
      </c>
      <c r="K108" s="413">
        <f>'Imp Crude'!P89</f>
        <v>21.740936680158846</v>
      </c>
      <c r="L108" s="413">
        <f>'Imp Crude'!Q89</f>
        <v>23.84787481821736</v>
      </c>
      <c r="M108" s="413">
        <f>'Imp Crude'!R89</f>
        <v>26.158998653650023</v>
      </c>
      <c r="N108" s="413">
        <f>'Imp Crude'!S89</f>
        <v>28.694096047457155</v>
      </c>
      <c r="O108" s="413">
        <f>'Imp Crude'!T89</f>
        <v>31.474872524060178</v>
      </c>
      <c r="P108" s="413">
        <f>'Imp Crude'!U89</f>
        <v>34.525137114177546</v>
      </c>
      <c r="Q108" s="405"/>
      <c r="R108" s="405"/>
      <c r="S108" s="405">
        <f>'Imp Crude'!AE89</f>
        <v>127.0622971248315</v>
      </c>
      <c r="T108" s="405">
        <f>'Imp Crude'!AF89</f>
        <v>98.978861277729948</v>
      </c>
      <c r="U108" s="405"/>
      <c r="V108" s="405"/>
      <c r="W108" s="405"/>
      <c r="X108" s="405"/>
      <c r="Y108" s="405"/>
      <c r="Z108" s="405"/>
      <c r="AA108" s="405"/>
      <c r="AB108" s="405"/>
      <c r="AC108" s="405"/>
      <c r="AD108" s="415"/>
      <c r="AE108" s="415"/>
      <c r="AJ108" s="415"/>
      <c r="AK108" s="405"/>
      <c r="AL108" s="415"/>
      <c r="AM108" s="415">
        <v>1.0049999999999999</v>
      </c>
      <c r="AN108" s="415">
        <v>1.0049999999999999</v>
      </c>
      <c r="BC108" s="365"/>
      <c r="BD108" s="365"/>
      <c r="BE108" s="365"/>
      <c r="BF108" s="365"/>
      <c r="BG108" s="365"/>
    </row>
    <row r="109" spans="2:59">
      <c r="B109" s="376" t="s">
        <v>588</v>
      </c>
      <c r="C109" s="376"/>
      <c r="D109" s="376"/>
      <c r="E109" s="415"/>
      <c r="F109" s="415"/>
      <c r="G109" s="413"/>
      <c r="H109" s="413"/>
      <c r="I109" s="413"/>
      <c r="J109" s="413"/>
      <c r="K109" s="413"/>
      <c r="L109" s="413"/>
      <c r="M109" s="413"/>
      <c r="N109" s="413"/>
      <c r="O109" s="413"/>
      <c r="P109" s="413"/>
      <c r="Q109" s="405"/>
      <c r="R109" s="405"/>
      <c r="S109" s="405"/>
      <c r="T109" s="405"/>
      <c r="U109" s="405"/>
      <c r="V109" s="405"/>
      <c r="W109" s="405"/>
      <c r="X109" s="405"/>
      <c r="Y109" s="405"/>
      <c r="Z109" s="405"/>
      <c r="AA109" s="405"/>
      <c r="AB109" s="405"/>
      <c r="AC109" s="405"/>
      <c r="AD109" s="415"/>
      <c r="AE109" s="415"/>
      <c r="AJ109" s="415"/>
      <c r="AK109" s="405"/>
      <c r="AL109" s="415"/>
      <c r="AM109" s="415"/>
      <c r="AN109" s="415"/>
      <c r="BC109" s="365"/>
      <c r="BD109" s="365"/>
      <c r="BE109" s="365"/>
      <c r="BF109" s="365"/>
      <c r="BG109" s="365"/>
    </row>
    <row r="110" spans="2:59">
      <c r="B110" s="376" t="s">
        <v>588</v>
      </c>
      <c r="C110" s="376" t="str">
        <f>'Imp Crude'!B91</f>
        <v>IMPOILHH43</v>
      </c>
      <c r="D110" s="376" t="str">
        <f>'Imp Crude'!C91</f>
        <v>Imported Imported Oil-High Sulfur, Heavy G, PADD 4, Step 3</v>
      </c>
      <c r="E110" s="415" t="str">
        <f>'Imp Crude'!D91</f>
        <v>OILHH4</v>
      </c>
      <c r="F110" s="415">
        <v>1</v>
      </c>
      <c r="G110" s="413">
        <f>'Imp Crude'!L91</f>
        <v>11.163537115571355</v>
      </c>
      <c r="H110" s="413">
        <f>'Imp Crude'!M91</f>
        <v>12.611639314152493</v>
      </c>
      <c r="I110" s="413">
        <f>'Imp Crude'!N91</f>
        <v>12.490189153572638</v>
      </c>
      <c r="J110" s="413">
        <f>'Imp Crude'!O91</f>
        <v>14.183961749966075</v>
      </c>
      <c r="K110" s="413">
        <f>'Imp Crude'!P91</f>
        <v>15.489247085944466</v>
      </c>
      <c r="L110" s="413">
        <f>'Imp Crude'!Q91</f>
        <v>16.990327094377189</v>
      </c>
      <c r="M110" s="413">
        <f>'Imp Crude'!R91</f>
        <v>18.636878421022729</v>
      </c>
      <c r="N110" s="413">
        <f>'Imp Crude'!S91</f>
        <v>20.442998851677775</v>
      </c>
      <c r="O110" s="413">
        <f>'Imp Crude'!T91</f>
        <v>22.424152404100138</v>
      </c>
      <c r="P110" s="413">
        <f>'Imp Crude'!U91</f>
        <v>24.597301731054063</v>
      </c>
      <c r="Q110" s="405"/>
      <c r="R110" s="405"/>
      <c r="S110" s="405">
        <f>'Imp Crude'!AE91</f>
        <v>36.674704150517549</v>
      </c>
      <c r="T110" s="405">
        <f>'Imp Crude'!AF91</f>
        <v>80.706700398269462</v>
      </c>
      <c r="U110" s="405"/>
      <c r="V110" s="405"/>
      <c r="W110" s="405"/>
      <c r="X110" s="405"/>
      <c r="Y110" s="405"/>
      <c r="Z110" s="405"/>
      <c r="AA110" s="405"/>
      <c r="AB110" s="405"/>
      <c r="AC110" s="405"/>
      <c r="AD110" s="415"/>
      <c r="AE110" s="415"/>
      <c r="AJ110" s="415"/>
      <c r="AK110" s="405"/>
      <c r="AL110" s="415"/>
      <c r="AM110" s="415">
        <v>1.0049999999999999</v>
      </c>
      <c r="AN110" s="415">
        <v>1.0049999999999999</v>
      </c>
      <c r="BC110" s="365"/>
      <c r="BD110" s="365"/>
      <c r="BE110" s="365"/>
      <c r="BF110" s="365"/>
      <c r="BG110" s="365"/>
    </row>
    <row r="111" spans="2:59">
      <c r="B111" s="376" t="s">
        <v>588</v>
      </c>
      <c r="C111" s="376" t="str">
        <f>'Imp Crude'!B92</f>
        <v>IMPOILHH41</v>
      </c>
      <c r="D111" s="376" t="str">
        <f>'Imp Crude'!C92</f>
        <v>Imported Imported Oil-High Sulfur, Heavy G, PADD 4, Step 1</v>
      </c>
      <c r="E111" s="415" t="str">
        <f>'Imp Crude'!D92</f>
        <v>OILHH4</v>
      </c>
      <c r="F111" s="415">
        <v>1</v>
      </c>
      <c r="G111" s="413">
        <f>'Imp Crude'!L92</f>
        <v>10.04718340401422</v>
      </c>
      <c r="H111" s="413">
        <f>'Imp Crude'!M92</f>
        <v>11.350475382737244</v>
      </c>
      <c r="I111" s="413">
        <f>'Imp Crude'!N92</f>
        <v>11.241170238215375</v>
      </c>
      <c r="J111" s="413">
        <f>'Imp Crude'!O92</f>
        <v>12.765565574969468</v>
      </c>
      <c r="K111" s="413">
        <f>'Imp Crude'!P92</f>
        <v>13.94032237735002</v>
      </c>
      <c r="L111" s="413">
        <f>'Imp Crude'!Q92</f>
        <v>15.291294384939469</v>
      </c>
      <c r="M111" s="413">
        <f>'Imp Crude'!R92</f>
        <v>16.773190578920456</v>
      </c>
      <c r="N111" s="413">
        <f>'Imp Crude'!S92</f>
        <v>18.398698966509997</v>
      </c>
      <c r="O111" s="413">
        <f>'Imp Crude'!T92</f>
        <v>20.181737163690123</v>
      </c>
      <c r="P111" s="413">
        <f>'Imp Crude'!U92</f>
        <v>22.137571557948657</v>
      </c>
      <c r="Q111" s="405"/>
      <c r="R111" s="405"/>
      <c r="S111" s="405">
        <f>'Imp Crude'!AE92</f>
        <v>4.5843380188146945</v>
      </c>
      <c r="T111" s="405">
        <f>'Imp Crude'!AF92</f>
        <v>10.088337549783681</v>
      </c>
      <c r="U111" s="405"/>
      <c r="V111" s="405"/>
      <c r="W111" s="405"/>
      <c r="X111" s="405"/>
      <c r="Y111" s="405"/>
      <c r="Z111" s="405"/>
      <c r="AA111" s="405"/>
      <c r="AB111" s="405"/>
      <c r="AC111" s="405"/>
      <c r="AD111" s="415"/>
      <c r="AE111" s="415"/>
      <c r="AJ111" s="415"/>
      <c r="AK111" s="405"/>
      <c r="AL111" s="415"/>
      <c r="AM111" s="415">
        <v>1.0049999999999999</v>
      </c>
      <c r="AN111" s="415">
        <v>1.0049999999999999</v>
      </c>
      <c r="BC111" s="365"/>
      <c r="BD111" s="365"/>
      <c r="BE111" s="365"/>
      <c r="BF111" s="365"/>
      <c r="BG111" s="365"/>
    </row>
    <row r="112" spans="2:59">
      <c r="B112" s="376" t="s">
        <v>588</v>
      </c>
      <c r="C112" s="376" t="str">
        <f>'Imp Crude'!B93</f>
        <v>IMPOILHH42</v>
      </c>
      <c r="D112" s="376" t="str">
        <f>'Imp Crude'!C93</f>
        <v>Imported Imported Oil-High Sulfur, Heavy G, PADD 4, Step 2</v>
      </c>
      <c r="E112" s="415" t="str">
        <f>'Imp Crude'!D93</f>
        <v>OILHH4</v>
      </c>
      <c r="F112" s="415">
        <v>1</v>
      </c>
      <c r="G112" s="413">
        <f>'Imp Crude'!L93</f>
        <v>10.605360259792784</v>
      </c>
      <c r="H112" s="413">
        <f>'Imp Crude'!M93</f>
        <v>11.981057348444864</v>
      </c>
      <c r="I112" s="413">
        <f>'Imp Crude'!N93</f>
        <v>11.865679695894002</v>
      </c>
      <c r="J112" s="413">
        <f>'Imp Crude'!O93</f>
        <v>13.474763662467767</v>
      </c>
      <c r="K112" s="413">
        <f>'Imp Crude'!P93</f>
        <v>14.714784731647239</v>
      </c>
      <c r="L112" s="413">
        <f>'Imp Crude'!Q93</f>
        <v>16.140810739658324</v>
      </c>
      <c r="M112" s="413">
        <f>'Imp Crude'!R93</f>
        <v>17.705034499971585</v>
      </c>
      <c r="N112" s="413">
        <f>'Imp Crude'!S93</f>
        <v>19.420848909093877</v>
      </c>
      <c r="O112" s="413">
        <f>'Imp Crude'!T93</f>
        <v>21.302944783895121</v>
      </c>
      <c r="P112" s="413">
        <f>'Imp Crude'!U93</f>
        <v>23.36743664450135</v>
      </c>
      <c r="Q112" s="405"/>
      <c r="R112" s="405"/>
      <c r="S112" s="405">
        <f>'Imp Crude'!AE93</f>
        <v>4.5843380188146945</v>
      </c>
      <c r="T112" s="405">
        <f>'Imp Crude'!AF93</f>
        <v>10.088337549783681</v>
      </c>
      <c r="U112" s="405"/>
      <c r="V112" s="405"/>
      <c r="W112" s="405"/>
      <c r="X112" s="405"/>
      <c r="Y112" s="405"/>
      <c r="Z112" s="405"/>
      <c r="AA112" s="405"/>
      <c r="AB112" s="405"/>
      <c r="AC112" s="405"/>
      <c r="AD112" s="415"/>
      <c r="AE112" s="415"/>
      <c r="AJ112" s="415"/>
      <c r="AK112" s="405"/>
      <c r="AL112" s="415"/>
      <c r="AM112" s="415">
        <v>1.0049999999999999</v>
      </c>
      <c r="AN112" s="415">
        <v>1.0049999999999999</v>
      </c>
      <c r="BC112" s="365"/>
      <c r="BD112" s="365"/>
      <c r="BE112" s="365"/>
      <c r="BF112" s="365"/>
      <c r="BG112" s="365"/>
    </row>
    <row r="113" spans="2:59">
      <c r="B113" s="376" t="s">
        <v>588</v>
      </c>
      <c r="C113" s="376" t="str">
        <f>'Imp Crude'!B94</f>
        <v>IMPOILHH44</v>
      </c>
      <c r="D113" s="376" t="str">
        <f>'Imp Crude'!C94</f>
        <v>Imported Imported Oil-High Sulfur, Heavy G, PADD 4, Step 4</v>
      </c>
      <c r="E113" s="415" t="str">
        <f>'Imp Crude'!D94</f>
        <v>OILHH4</v>
      </c>
      <c r="F113" s="415">
        <v>1</v>
      </c>
      <c r="G113" s="413">
        <f>'Imp Crude'!L94</f>
        <v>11.721713971349921</v>
      </c>
      <c r="H113" s="413">
        <f>'Imp Crude'!M94</f>
        <v>13.242221279860116</v>
      </c>
      <c r="I113" s="413">
        <f>'Imp Crude'!N94</f>
        <v>13.114698611251269</v>
      </c>
      <c r="J113" s="413">
        <f>'Imp Crude'!O94</f>
        <v>14.893159837464378</v>
      </c>
      <c r="K113" s="413">
        <f>'Imp Crude'!P94</f>
        <v>16.263709440241687</v>
      </c>
      <c r="L113" s="413">
        <f>'Imp Crude'!Q94</f>
        <v>17.839843449096044</v>
      </c>
      <c r="M113" s="413">
        <f>'Imp Crude'!R94</f>
        <v>19.568722342073858</v>
      </c>
      <c r="N113" s="413">
        <f>'Imp Crude'!S94</f>
        <v>21.465148794261655</v>
      </c>
      <c r="O113" s="413">
        <f>'Imp Crude'!T94</f>
        <v>23.545360024305133</v>
      </c>
      <c r="P113" s="413">
        <f>'Imp Crude'!U94</f>
        <v>25.827166817606752</v>
      </c>
      <c r="Q113" s="405"/>
      <c r="R113" s="405"/>
      <c r="S113" s="405">
        <f>'Imp Crude'!AE94</f>
        <v>9.168676037629389</v>
      </c>
      <c r="T113" s="405">
        <f>'Imp Crude'!AF94</f>
        <v>20.176675099567333</v>
      </c>
      <c r="U113" s="405"/>
      <c r="V113" s="405"/>
      <c r="W113" s="405"/>
      <c r="X113" s="405"/>
      <c r="Y113" s="405"/>
      <c r="Z113" s="405"/>
      <c r="AA113" s="405"/>
      <c r="AB113" s="405"/>
      <c r="AC113" s="405"/>
      <c r="AD113" s="415"/>
      <c r="AE113" s="415"/>
      <c r="AJ113" s="415"/>
      <c r="AK113" s="405"/>
      <c r="AL113" s="415"/>
      <c r="AM113" s="415">
        <v>1.0049999999999999</v>
      </c>
      <c r="AN113" s="415">
        <v>1.0049999999999999</v>
      </c>
      <c r="BC113" s="365"/>
      <c r="BD113" s="365"/>
      <c r="BE113" s="365"/>
      <c r="BF113" s="365"/>
      <c r="BG113" s="365"/>
    </row>
    <row r="114" spans="2:59">
      <c r="B114" s="376" t="s">
        <v>588</v>
      </c>
      <c r="C114" s="376" t="str">
        <f>'Imp Crude'!B95</f>
        <v>IMPOILHH45</v>
      </c>
      <c r="D114" s="376" t="str">
        <f>'Imp Crude'!C95</f>
        <v>Imported Imported Oil-High Sulfur, Heavy G, PADD 4, Step 5</v>
      </c>
      <c r="E114" s="415" t="str">
        <f>'Imp Crude'!D95</f>
        <v>OILHH4</v>
      </c>
      <c r="F114" s="415">
        <v>1</v>
      </c>
      <c r="G114" s="413">
        <f>'Imp Crude'!L95</f>
        <v>14.512598250242762</v>
      </c>
      <c r="H114" s="413">
        <f>'Imp Crude'!M95</f>
        <v>16.395131108398243</v>
      </c>
      <c r="I114" s="413">
        <f>'Imp Crude'!N95</f>
        <v>16.237245899644432</v>
      </c>
      <c r="J114" s="413">
        <f>'Imp Crude'!O95</f>
        <v>18.4391502749559</v>
      </c>
      <c r="K114" s="413">
        <f>'Imp Crude'!P95</f>
        <v>20.136021211727808</v>
      </c>
      <c r="L114" s="413">
        <f>'Imp Crude'!Q95</f>
        <v>22.087425222690346</v>
      </c>
      <c r="M114" s="413">
        <f>'Imp Crude'!R95</f>
        <v>24.227941947329548</v>
      </c>
      <c r="N114" s="413">
        <f>'Imp Crude'!S95</f>
        <v>26.575898507181105</v>
      </c>
      <c r="O114" s="413">
        <f>'Imp Crude'!T95</f>
        <v>29.151398125330175</v>
      </c>
      <c r="P114" s="413">
        <f>'Imp Crude'!U95</f>
        <v>31.976492250370278</v>
      </c>
      <c r="Q114" s="405"/>
      <c r="R114" s="405"/>
      <c r="S114" s="405">
        <f>'Imp Crude'!AE95</f>
        <v>4.5843380188146909</v>
      </c>
      <c r="T114" s="405">
        <f>'Imp Crude'!AF95</f>
        <v>10.088337549783674</v>
      </c>
      <c r="U114" s="405"/>
      <c r="V114" s="405"/>
      <c r="W114" s="405"/>
      <c r="X114" s="405"/>
      <c r="Y114" s="405"/>
      <c r="Z114" s="405"/>
      <c r="AA114" s="405"/>
      <c r="AB114" s="405"/>
      <c r="AC114" s="405"/>
      <c r="AD114" s="415"/>
      <c r="AE114" s="415"/>
      <c r="AJ114" s="415"/>
      <c r="AK114" s="405"/>
      <c r="AL114" s="415"/>
      <c r="AM114" s="415">
        <v>1.0049999999999999</v>
      </c>
      <c r="AN114" s="415">
        <v>1.0049999999999999</v>
      </c>
      <c r="BC114" s="365"/>
      <c r="BD114" s="365"/>
      <c r="BE114" s="365"/>
      <c r="BF114" s="365"/>
      <c r="BG114" s="365"/>
    </row>
    <row r="115" spans="2:59">
      <c r="B115" s="376" t="s">
        <v>588</v>
      </c>
      <c r="C115" s="376" t="str">
        <f>'Imp Crude'!B96</f>
        <v>IMPOILHL43</v>
      </c>
      <c r="D115" s="376" t="str">
        <f>'Imp Crude'!C96</f>
        <v>Imported Imported Oil-High Sulfur, Low G, PADD 4, Step 3</v>
      </c>
      <c r="E115" s="415" t="str">
        <f>'Imp Crude'!D96</f>
        <v>OILHL4</v>
      </c>
      <c r="F115" s="415">
        <v>1</v>
      </c>
      <c r="G115" s="413">
        <f>'Imp Crude'!L96</f>
        <v>12.073158658321612</v>
      </c>
      <c r="H115" s="413">
        <f>'Imp Crude'!M96</f>
        <v>13.639254369379731</v>
      </c>
      <c r="I115" s="413">
        <f>'Imp Crude'!N96</f>
        <v>13.507908269789667</v>
      </c>
      <c r="J115" s="413">
        <f>'Imp Crude'!O96</f>
        <v>15.339691966629976</v>
      </c>
      <c r="K115" s="413">
        <f>'Imp Crude'!P96</f>
        <v>16.751333885539939</v>
      </c>
      <c r="L115" s="413">
        <f>'Imp Crude'!Q96</f>
        <v>18.374724116881993</v>
      </c>
      <c r="M115" s="413">
        <f>'Imp Crude'!R96</f>
        <v>20.15543888495791</v>
      </c>
      <c r="N115" s="413">
        <f>'Imp Crude'!S96</f>
        <v>22.108724684036698</v>
      </c>
      <c r="O115" s="413">
        <f>'Imp Crude'!T96</f>
        <v>24.251305562952734</v>
      </c>
      <c r="P115" s="413">
        <f>'Imp Crude'!U96</f>
        <v>26.60152631654735</v>
      </c>
      <c r="Q115" s="405"/>
      <c r="R115" s="405"/>
      <c r="S115" s="405">
        <f>'Imp Crude'!AE96</f>
        <v>4.5633837058795326</v>
      </c>
      <c r="T115" s="405">
        <f>'Imp Crude'!AF96</f>
        <v>2.4027612165651417</v>
      </c>
      <c r="U115" s="405"/>
      <c r="V115" s="405"/>
      <c r="W115" s="405"/>
      <c r="X115" s="405"/>
      <c r="Y115" s="405"/>
      <c r="Z115" s="405"/>
      <c r="AA115" s="405"/>
      <c r="AB115" s="405"/>
      <c r="AC115" s="405"/>
      <c r="AD115" s="415"/>
      <c r="AE115" s="415"/>
      <c r="AJ115" s="415"/>
      <c r="AK115" s="405"/>
      <c r="AL115" s="415"/>
      <c r="AM115" s="415">
        <v>1.0049999999999999</v>
      </c>
      <c r="AN115" s="415">
        <v>1.0049999999999999</v>
      </c>
      <c r="BC115" s="365"/>
      <c r="BD115" s="365"/>
      <c r="BE115" s="365"/>
      <c r="BF115" s="365"/>
      <c r="BG115" s="365"/>
    </row>
    <row r="116" spans="2:59">
      <c r="B116" s="376" t="s">
        <v>588</v>
      </c>
      <c r="C116" s="376" t="str">
        <f>'Imp Crude'!B97</f>
        <v>IMPOILHL41</v>
      </c>
      <c r="D116" s="376" t="str">
        <f>'Imp Crude'!C97</f>
        <v>Imported Imported Oil-High Sulfur, Low G, PADD 4, Step 1</v>
      </c>
      <c r="E116" s="415" t="str">
        <f>'Imp Crude'!D97</f>
        <v>OILHL4</v>
      </c>
      <c r="F116" s="415">
        <v>1</v>
      </c>
      <c r="G116" s="413">
        <f>'Imp Crude'!L97</f>
        <v>10.865842792489451</v>
      </c>
      <c r="H116" s="413">
        <f>'Imp Crude'!M97</f>
        <v>12.275328932441758</v>
      </c>
      <c r="I116" s="413">
        <f>'Imp Crude'!N97</f>
        <v>12.1571174428107</v>
      </c>
      <c r="J116" s="413">
        <f>'Imp Crude'!O97</f>
        <v>13.805722769966978</v>
      </c>
      <c r="K116" s="413">
        <f>'Imp Crude'!P97</f>
        <v>15.076200496985946</v>
      </c>
      <c r="L116" s="413">
        <f>'Imp Crude'!Q97</f>
        <v>16.537251705193796</v>
      </c>
      <c r="M116" s="413">
        <f>'Imp Crude'!R97</f>
        <v>18.139894996462122</v>
      </c>
      <c r="N116" s="413">
        <f>'Imp Crude'!S97</f>
        <v>19.89785221563303</v>
      </c>
      <c r="O116" s="413">
        <f>'Imp Crude'!T97</f>
        <v>21.826175006657461</v>
      </c>
      <c r="P116" s="413">
        <f>'Imp Crude'!U97</f>
        <v>23.941373684892614</v>
      </c>
      <c r="Q116" s="405"/>
      <c r="R116" s="405"/>
      <c r="S116" s="405">
        <f>'Imp Crude'!AE97</f>
        <v>0.57042296323494157</v>
      </c>
      <c r="T116" s="405">
        <f>'Imp Crude'!AF97</f>
        <v>0.30034515207064266</v>
      </c>
      <c r="U116" s="405"/>
      <c r="V116" s="405"/>
      <c r="W116" s="405"/>
      <c r="X116" s="405"/>
      <c r="Y116" s="405"/>
      <c r="Z116" s="405"/>
      <c r="AA116" s="405"/>
      <c r="AB116" s="405"/>
      <c r="AC116" s="405"/>
      <c r="AD116" s="415"/>
      <c r="AE116" s="415"/>
      <c r="AJ116" s="415"/>
      <c r="AK116" s="405"/>
      <c r="AL116" s="415"/>
      <c r="AM116" s="415">
        <v>1.0049999999999999</v>
      </c>
      <c r="AN116" s="415">
        <v>1.0049999999999999</v>
      </c>
      <c r="BC116" s="365"/>
      <c r="BD116" s="365"/>
      <c r="BE116" s="365"/>
      <c r="BF116" s="365"/>
      <c r="BG116" s="365"/>
    </row>
    <row r="117" spans="2:59">
      <c r="B117" s="376" t="s">
        <v>588</v>
      </c>
      <c r="C117" s="376" t="str">
        <f>'Imp Crude'!B98</f>
        <v>IMPOILHL42</v>
      </c>
      <c r="D117" s="376" t="str">
        <f>'Imp Crude'!C98</f>
        <v>Imported Imported Oil-High Sulfur, Low G, PADD 4, Step 2</v>
      </c>
      <c r="E117" s="415" t="str">
        <f>'Imp Crude'!D98</f>
        <v>OILHL4</v>
      </c>
      <c r="F117" s="415">
        <v>1</v>
      </c>
      <c r="G117" s="413">
        <f>'Imp Crude'!L98</f>
        <v>11.469500725405531</v>
      </c>
      <c r="H117" s="413">
        <f>'Imp Crude'!M98</f>
        <v>12.957291650910745</v>
      </c>
      <c r="I117" s="413">
        <f>'Imp Crude'!N98</f>
        <v>12.832512856300184</v>
      </c>
      <c r="J117" s="413">
        <f>'Imp Crude'!O98</f>
        <v>14.572707368298477</v>
      </c>
      <c r="K117" s="413">
        <f>'Imp Crude'!P98</f>
        <v>15.913767191262943</v>
      </c>
      <c r="L117" s="413">
        <f>'Imp Crude'!Q98</f>
        <v>17.455987911037894</v>
      </c>
      <c r="M117" s="413">
        <f>'Imp Crude'!R98</f>
        <v>19.147666940710014</v>
      </c>
      <c r="N117" s="413">
        <f>'Imp Crude'!S98</f>
        <v>21.003288449834862</v>
      </c>
      <c r="O117" s="413">
        <f>'Imp Crude'!T98</f>
        <v>23.038740284805094</v>
      </c>
      <c r="P117" s="413">
        <f>'Imp Crude'!U98</f>
        <v>25.271450000719977</v>
      </c>
      <c r="Q117" s="405"/>
      <c r="R117" s="405"/>
      <c r="S117" s="405">
        <f>'Imp Crude'!AE98</f>
        <v>0.57042296323494157</v>
      </c>
      <c r="T117" s="405">
        <f>'Imp Crude'!AF98</f>
        <v>0.30034515207064266</v>
      </c>
      <c r="U117" s="405"/>
      <c r="V117" s="405"/>
      <c r="W117" s="405"/>
      <c r="X117" s="405"/>
      <c r="Y117" s="405"/>
      <c r="Z117" s="405"/>
      <c r="AA117" s="405"/>
      <c r="AB117" s="405"/>
      <c r="AC117" s="405"/>
      <c r="AD117" s="415"/>
      <c r="AE117" s="415"/>
      <c r="AJ117" s="415"/>
      <c r="AK117" s="405"/>
      <c r="AL117" s="415"/>
      <c r="AM117" s="415">
        <v>1.0049999999999999</v>
      </c>
      <c r="AN117" s="415">
        <v>1.0049999999999999</v>
      </c>
      <c r="BC117" s="365"/>
      <c r="BD117" s="365"/>
      <c r="BE117" s="365"/>
      <c r="BF117" s="365"/>
      <c r="BG117" s="365"/>
    </row>
    <row r="118" spans="2:59">
      <c r="B118" s="376" t="s">
        <v>588</v>
      </c>
      <c r="C118" s="376" t="str">
        <f>'Imp Crude'!B99</f>
        <v>IMPOILHL44</v>
      </c>
      <c r="D118" s="376" t="str">
        <f>'Imp Crude'!C99</f>
        <v>Imported Imported Oil-High Sulfur, Low G, PADD 4, Step 4</v>
      </c>
      <c r="E118" s="415" t="str">
        <f>'Imp Crude'!D99</f>
        <v>OILHL4</v>
      </c>
      <c r="F118" s="415">
        <v>1</v>
      </c>
      <c r="G118" s="413">
        <f>'Imp Crude'!L99</f>
        <v>12.676816591237694</v>
      </c>
      <c r="H118" s="413">
        <f>'Imp Crude'!M99</f>
        <v>14.321217087848719</v>
      </c>
      <c r="I118" s="413">
        <f>'Imp Crude'!N99</f>
        <v>14.183303683279151</v>
      </c>
      <c r="J118" s="413">
        <f>'Imp Crude'!O99</f>
        <v>16.106676564961475</v>
      </c>
      <c r="K118" s="413">
        <f>'Imp Crude'!P99</f>
        <v>17.588900579816936</v>
      </c>
      <c r="L118" s="413">
        <f>'Imp Crude'!Q99</f>
        <v>19.293460322726094</v>
      </c>
      <c r="M118" s="413">
        <f>'Imp Crude'!R99</f>
        <v>21.163210829205806</v>
      </c>
      <c r="N118" s="413">
        <f>'Imp Crude'!S99</f>
        <v>23.214160918238534</v>
      </c>
      <c r="O118" s="413">
        <f>'Imp Crude'!T99</f>
        <v>25.46387084110037</v>
      </c>
      <c r="P118" s="413">
        <f>'Imp Crude'!U99</f>
        <v>27.931602632374716</v>
      </c>
      <c r="Q118" s="405"/>
      <c r="R118" s="405"/>
      <c r="S118" s="405">
        <f>'Imp Crude'!AE99</f>
        <v>1.1408459264698836</v>
      </c>
      <c r="T118" s="405">
        <f>'Imp Crude'!AF99</f>
        <v>0.60069030414128521</v>
      </c>
      <c r="U118" s="405"/>
      <c r="V118" s="405"/>
      <c r="W118" s="405"/>
      <c r="X118" s="405"/>
      <c r="Y118" s="405"/>
      <c r="Z118" s="405"/>
      <c r="AA118" s="405"/>
      <c r="AB118" s="405"/>
      <c r="AC118" s="405"/>
      <c r="AD118" s="415"/>
      <c r="AE118" s="415"/>
      <c r="AJ118" s="415"/>
      <c r="AK118" s="405"/>
      <c r="AL118" s="415"/>
      <c r="AM118" s="415">
        <v>1.0049999999999999</v>
      </c>
      <c r="AN118" s="415">
        <v>1.0049999999999999</v>
      </c>
      <c r="BC118" s="365"/>
      <c r="BD118" s="365"/>
      <c r="BE118" s="365"/>
      <c r="BF118" s="365"/>
      <c r="BG118" s="365"/>
    </row>
    <row r="119" spans="2:59">
      <c r="B119" s="376" t="s">
        <v>588</v>
      </c>
      <c r="C119" s="376" t="str">
        <f>'Imp Crude'!B100</f>
        <v>IMPOILHL45</v>
      </c>
      <c r="D119" s="376" t="str">
        <f>'Imp Crude'!C100</f>
        <v>Imported Imported Oil-High Sulfur, Low G, PADD 4, Step 5</v>
      </c>
      <c r="E119" s="415" t="str">
        <f>'Imp Crude'!D100</f>
        <v>OILHL4</v>
      </c>
      <c r="F119" s="415">
        <v>1</v>
      </c>
      <c r="G119" s="413">
        <f>'Imp Crude'!L100</f>
        <v>15.695106255818095</v>
      </c>
      <c r="H119" s="413">
        <f>'Imp Crude'!M100</f>
        <v>17.731030680193651</v>
      </c>
      <c r="I119" s="413">
        <f>'Imp Crude'!N100</f>
        <v>17.560280750726566</v>
      </c>
      <c r="J119" s="413">
        <f>'Imp Crude'!O100</f>
        <v>19.941599556618968</v>
      </c>
      <c r="K119" s="413">
        <f>'Imp Crude'!P100</f>
        <v>21.77673405120192</v>
      </c>
      <c r="L119" s="413">
        <f>'Imp Crude'!Q100</f>
        <v>23.887141351946592</v>
      </c>
      <c r="M119" s="413">
        <f>'Imp Crude'!R100</f>
        <v>26.202070550445285</v>
      </c>
      <c r="N119" s="413">
        <f>'Imp Crude'!S100</f>
        <v>28.741342089247709</v>
      </c>
      <c r="O119" s="413">
        <f>'Imp Crude'!T100</f>
        <v>31.526697231838554</v>
      </c>
      <c r="P119" s="413">
        <f>'Imp Crude'!U100</f>
        <v>34.581984211511553</v>
      </c>
      <c r="Q119" s="405"/>
      <c r="R119" s="405"/>
      <c r="S119" s="405">
        <f>'Imp Crude'!AE100</f>
        <v>0.57042296323494224</v>
      </c>
      <c r="T119" s="405">
        <f>'Imp Crude'!AF100</f>
        <v>0.30034515207064283</v>
      </c>
      <c r="U119" s="405"/>
      <c r="V119" s="405"/>
      <c r="W119" s="405"/>
      <c r="X119" s="405"/>
      <c r="Y119" s="405"/>
      <c r="Z119" s="405"/>
      <c r="AA119" s="405"/>
      <c r="AB119" s="405"/>
      <c r="AC119" s="405"/>
      <c r="AD119" s="415"/>
      <c r="AE119" s="415"/>
      <c r="AJ119" s="415"/>
      <c r="AK119" s="405"/>
      <c r="AL119" s="415"/>
      <c r="AM119" s="415">
        <v>1.0049999999999999</v>
      </c>
      <c r="AN119" s="415">
        <v>1.0049999999999999</v>
      </c>
      <c r="BC119" s="365"/>
      <c r="BD119" s="365"/>
      <c r="BE119" s="365"/>
      <c r="BF119" s="365"/>
      <c r="BG119" s="365"/>
    </row>
    <row r="120" spans="2:59">
      <c r="B120" s="376" t="s">
        <v>588</v>
      </c>
      <c r="C120" s="376" t="str">
        <f>'Imp Crude'!B101</f>
        <v>IMPOILHV43</v>
      </c>
      <c r="D120" s="376" t="str">
        <f>'Imp Crude'!C101</f>
        <v>Imported Imported Oil-High Sulfur, Very HG, PADD 4, Step 3</v>
      </c>
      <c r="E120" s="415" t="str">
        <f>'Imp Crude'!D101</f>
        <v>OILHV4</v>
      </c>
      <c r="F120" s="415">
        <v>1</v>
      </c>
      <c r="G120" s="413">
        <f>'Imp Crude'!L101</f>
        <v>11.064305674544054</v>
      </c>
      <c r="H120" s="413">
        <f>'Imp Crude'!M101</f>
        <v>12.499535853582248</v>
      </c>
      <c r="I120" s="413">
        <f>'Imp Crude'!N101</f>
        <v>12.379165249985325</v>
      </c>
      <c r="J120" s="413">
        <f>'Imp Crude'!O101</f>
        <v>14.057882089966375</v>
      </c>
      <c r="K120" s="413">
        <f>'Imp Crude'!P101</f>
        <v>15.351564889624958</v>
      </c>
      <c r="L120" s="413">
        <f>'Imp Crude'!Q101</f>
        <v>16.83930196464939</v>
      </c>
      <c r="M120" s="413">
        <f>'Imp Crude'!R101</f>
        <v>18.471217279502525</v>
      </c>
      <c r="N120" s="413">
        <f>'Imp Crude'!S101</f>
        <v>20.261283306329524</v>
      </c>
      <c r="O120" s="413">
        <f>'Imp Crude'!T101</f>
        <v>22.224826604952575</v>
      </c>
      <c r="P120" s="413">
        <f>'Imp Crude'!U101</f>
        <v>24.378659049000245</v>
      </c>
      <c r="Q120" s="405"/>
      <c r="R120" s="405"/>
      <c r="S120" s="405">
        <f>'Imp Crude'!AE101</f>
        <v>252.02916295614671</v>
      </c>
      <c r="T120" s="405">
        <f>'Imp Crude'!AF101</f>
        <v>215.65247570070704</v>
      </c>
      <c r="U120" s="405"/>
      <c r="V120" s="405"/>
      <c r="W120" s="405"/>
      <c r="X120" s="405"/>
      <c r="Y120" s="405"/>
      <c r="Z120" s="405"/>
      <c r="AA120" s="405"/>
      <c r="AB120" s="405"/>
      <c r="AC120" s="405"/>
      <c r="AD120" s="415"/>
      <c r="AE120" s="415"/>
      <c r="AJ120" s="415"/>
      <c r="AK120" s="405"/>
      <c r="AL120" s="415"/>
      <c r="AM120" s="415">
        <v>1.0049999999999999</v>
      </c>
      <c r="AN120" s="415">
        <v>1.0049999999999999</v>
      </c>
      <c r="BC120" s="365"/>
      <c r="BD120" s="365"/>
      <c r="BE120" s="365"/>
      <c r="BF120" s="365"/>
      <c r="BG120" s="365"/>
    </row>
    <row r="121" spans="2:59">
      <c r="B121" s="376" t="s">
        <v>588</v>
      </c>
      <c r="C121" s="376" t="str">
        <f>'Imp Crude'!B102</f>
        <v>IMPOILHV41</v>
      </c>
      <c r="D121" s="376" t="str">
        <f>'Imp Crude'!C102</f>
        <v>Imported Imported Oil-High Sulfur, Very HG, PADD 4, Step 1</v>
      </c>
      <c r="E121" s="415" t="str">
        <f>'Imp Crude'!D102</f>
        <v>OILHV4</v>
      </c>
      <c r="F121" s="415">
        <v>1</v>
      </c>
      <c r="G121" s="413">
        <f>'Imp Crude'!L102</f>
        <v>9.9578751070896452</v>
      </c>
      <c r="H121" s="413">
        <f>'Imp Crude'!M102</f>
        <v>11.249582268224019</v>
      </c>
      <c r="I121" s="413">
        <f>'Imp Crude'!N102</f>
        <v>11.14124872498679</v>
      </c>
      <c r="J121" s="413">
        <f>'Imp Crude'!O102</f>
        <v>12.652093880969735</v>
      </c>
      <c r="K121" s="413">
        <f>'Imp Crude'!P102</f>
        <v>13.816408400662461</v>
      </c>
      <c r="L121" s="413">
        <f>'Imp Crude'!Q102</f>
        <v>15.155371768184448</v>
      </c>
      <c r="M121" s="413">
        <f>'Imp Crude'!R102</f>
        <v>16.624095551552269</v>
      </c>
      <c r="N121" s="413">
        <f>'Imp Crude'!S102</f>
        <v>18.235154975696567</v>
      </c>
      <c r="O121" s="413">
        <f>'Imp Crude'!T102</f>
        <v>20.002343944457312</v>
      </c>
      <c r="P121" s="413">
        <f>'Imp Crude'!U102</f>
        <v>21.940793144100212</v>
      </c>
      <c r="Q121" s="405"/>
      <c r="R121" s="405"/>
      <c r="S121" s="405">
        <f>'Imp Crude'!AE102</f>
        <v>31.503645369518349</v>
      </c>
      <c r="T121" s="405">
        <f>'Imp Crude'!AF102</f>
        <v>26.95655946258838</v>
      </c>
      <c r="U121" s="405"/>
      <c r="V121" s="405"/>
      <c r="W121" s="405"/>
      <c r="X121" s="405"/>
      <c r="Y121" s="405"/>
      <c r="Z121" s="405"/>
      <c r="AA121" s="405"/>
      <c r="AB121" s="405"/>
      <c r="AC121" s="405"/>
      <c r="AD121" s="415"/>
      <c r="AE121" s="415"/>
      <c r="AJ121" s="415"/>
      <c r="AK121" s="405"/>
      <c r="AL121" s="415"/>
      <c r="AM121" s="415">
        <v>1.0049999999999999</v>
      </c>
      <c r="AN121" s="415">
        <v>1.0049999999999999</v>
      </c>
      <c r="BC121" s="365"/>
      <c r="BD121" s="365"/>
      <c r="BE121" s="365"/>
      <c r="BF121" s="365"/>
      <c r="BG121" s="365"/>
    </row>
    <row r="122" spans="2:59">
      <c r="B122" s="376" t="s">
        <v>588</v>
      </c>
      <c r="C122" s="376" t="str">
        <f>'Imp Crude'!B103</f>
        <v>IMPOILHV42</v>
      </c>
      <c r="D122" s="376" t="str">
        <f>'Imp Crude'!C103</f>
        <v>Imported Imported Oil-High Sulfur, Very HG, PADD 4, Step 2</v>
      </c>
      <c r="E122" s="415" t="str">
        <f>'Imp Crude'!D103</f>
        <v>OILHV4</v>
      </c>
      <c r="F122" s="415">
        <v>1</v>
      </c>
      <c r="G122" s="413">
        <f>'Imp Crude'!L103</f>
        <v>10.511090390816848</v>
      </c>
      <c r="H122" s="413">
        <f>'Imp Crude'!M103</f>
        <v>11.874559060903133</v>
      </c>
      <c r="I122" s="413">
        <f>'Imp Crude'!N103</f>
        <v>11.760206987486056</v>
      </c>
      <c r="J122" s="413">
        <f>'Imp Crude'!O103</f>
        <v>13.354987985468053</v>
      </c>
      <c r="K122" s="413">
        <f>'Imp Crude'!P103</f>
        <v>14.583986645143707</v>
      </c>
      <c r="L122" s="413">
        <f>'Imp Crude'!Q103</f>
        <v>15.997336866416916</v>
      </c>
      <c r="M122" s="413">
        <f>'Imp Crude'!R103</f>
        <v>17.547656415527392</v>
      </c>
      <c r="N122" s="413">
        <f>'Imp Crude'!S103</f>
        <v>19.248219141013042</v>
      </c>
      <c r="O122" s="413">
        <f>'Imp Crude'!T103</f>
        <v>21.113585274704942</v>
      </c>
      <c r="P122" s="413">
        <f>'Imp Crude'!U103</f>
        <v>23.159726096550227</v>
      </c>
      <c r="Q122" s="405"/>
      <c r="R122" s="405"/>
      <c r="S122" s="405">
        <f>'Imp Crude'!AE103</f>
        <v>31.503645369518349</v>
      </c>
      <c r="T122" s="405">
        <f>'Imp Crude'!AF103</f>
        <v>26.95655946258838</v>
      </c>
      <c r="U122" s="405"/>
      <c r="V122" s="405"/>
      <c r="W122" s="405"/>
      <c r="X122" s="405"/>
      <c r="Y122" s="405"/>
      <c r="Z122" s="405"/>
      <c r="AA122" s="405"/>
      <c r="AB122" s="405"/>
      <c r="AC122" s="405"/>
      <c r="AD122" s="415"/>
      <c r="AE122" s="415"/>
      <c r="AJ122" s="415"/>
      <c r="AK122" s="405"/>
      <c r="AL122" s="415"/>
      <c r="AM122" s="415">
        <v>1.0049999999999999</v>
      </c>
      <c r="AN122" s="415">
        <v>1.0049999999999999</v>
      </c>
      <c r="BC122" s="365"/>
      <c r="BD122" s="365"/>
      <c r="BE122" s="365"/>
      <c r="BF122" s="365"/>
      <c r="BG122" s="365"/>
    </row>
    <row r="123" spans="2:59">
      <c r="B123" s="376" t="s">
        <v>588</v>
      </c>
      <c r="C123" s="376" t="str">
        <f>'Imp Crude'!B104</f>
        <v>IMPOILHV44</v>
      </c>
      <c r="D123" s="376" t="str">
        <f>'Imp Crude'!C104</f>
        <v>Imported Imported Oil-High Sulfur, Very HG, PADD 4, Step 4</v>
      </c>
      <c r="E123" s="415" t="str">
        <f>'Imp Crude'!D104</f>
        <v>OILHV4</v>
      </c>
      <c r="F123" s="415">
        <v>1</v>
      </c>
      <c r="G123" s="413">
        <f>'Imp Crude'!L104</f>
        <v>11.617520958271253</v>
      </c>
      <c r="H123" s="413">
        <f>'Imp Crude'!M104</f>
        <v>13.124512646261357</v>
      </c>
      <c r="I123" s="413">
        <f>'Imp Crude'!N104</f>
        <v>12.998123512484588</v>
      </c>
      <c r="J123" s="413">
        <f>'Imp Crude'!O104</f>
        <v>14.76077619446469</v>
      </c>
      <c r="K123" s="413">
        <f>'Imp Crude'!P104</f>
        <v>16.119143134106203</v>
      </c>
      <c r="L123" s="413">
        <f>'Imp Crude'!Q104</f>
        <v>17.681267062881854</v>
      </c>
      <c r="M123" s="413">
        <f>'Imp Crude'!R104</f>
        <v>19.394778143477645</v>
      </c>
      <c r="N123" s="413">
        <f>'Imp Crude'!S104</f>
        <v>21.274347471645992</v>
      </c>
      <c r="O123" s="413">
        <f>'Imp Crude'!T104</f>
        <v>23.336067935200195</v>
      </c>
      <c r="P123" s="413">
        <f>'Imp Crude'!U104</f>
        <v>25.597592001450245</v>
      </c>
      <c r="Q123" s="405"/>
      <c r="R123" s="405"/>
      <c r="S123" s="405">
        <f>'Imp Crude'!AE104</f>
        <v>63.007290739036591</v>
      </c>
      <c r="T123" s="405">
        <f>'Imp Crude'!AF104</f>
        <v>53.913118925176775</v>
      </c>
      <c r="U123" s="405"/>
      <c r="V123" s="405"/>
      <c r="W123" s="405"/>
      <c r="X123" s="405"/>
      <c r="Y123" s="405"/>
      <c r="Z123" s="405"/>
      <c r="AA123" s="405"/>
      <c r="AB123" s="405"/>
      <c r="AC123" s="405"/>
      <c r="AD123" s="415"/>
      <c r="AE123" s="415"/>
      <c r="AJ123" s="415"/>
      <c r="AK123" s="405"/>
      <c r="AL123" s="415"/>
      <c r="AM123" s="415">
        <v>1.0049999999999999</v>
      </c>
      <c r="AN123" s="415">
        <v>1.0049999999999999</v>
      </c>
      <c r="BC123" s="365"/>
      <c r="BD123" s="365"/>
      <c r="BE123" s="365"/>
      <c r="BF123" s="365"/>
      <c r="BG123" s="365"/>
    </row>
    <row r="124" spans="2:59">
      <c r="B124" s="376" t="s">
        <v>588</v>
      </c>
      <c r="C124" s="376" t="str">
        <f>'Imp Crude'!B105</f>
        <v>IMPOILHV45</v>
      </c>
      <c r="D124" s="376" t="str">
        <f>'Imp Crude'!C105</f>
        <v>Imported Imported Oil-High Sulfur, Very HG, PADD 4, Step 5</v>
      </c>
      <c r="E124" s="415" t="str">
        <f>'Imp Crude'!D105</f>
        <v>OILHV4</v>
      </c>
      <c r="F124" s="415">
        <v>1</v>
      </c>
      <c r="G124" s="413">
        <f>'Imp Crude'!L105</f>
        <v>14.383597376907268</v>
      </c>
      <c r="H124" s="413">
        <f>'Imp Crude'!M105</f>
        <v>16.24939660965692</v>
      </c>
      <c r="I124" s="413">
        <f>'Imp Crude'!N105</f>
        <v>16.09291482498092</v>
      </c>
      <c r="J124" s="413">
        <f>'Imp Crude'!O105</f>
        <v>18.275246716956286</v>
      </c>
      <c r="K124" s="413">
        <f>'Imp Crude'!P105</f>
        <v>19.957034356512445</v>
      </c>
      <c r="L124" s="413">
        <f>'Imp Crude'!Q105</f>
        <v>21.891092554044203</v>
      </c>
      <c r="M124" s="413">
        <f>'Imp Crude'!R105</f>
        <v>24.012582463353276</v>
      </c>
      <c r="N124" s="413">
        <f>'Imp Crude'!S105</f>
        <v>26.339668298228375</v>
      </c>
      <c r="O124" s="413">
        <f>'Imp Crude'!T105</f>
        <v>28.89227458643834</v>
      </c>
      <c r="P124" s="413">
        <f>'Imp Crude'!U105</f>
        <v>31.692256763700307</v>
      </c>
      <c r="Q124" s="405"/>
      <c r="R124" s="405"/>
      <c r="S124" s="405">
        <f>'Imp Crude'!AE105</f>
        <v>31.503645369518551</v>
      </c>
      <c r="T124" s="405">
        <f>'Imp Crude'!AF105</f>
        <v>26.956559462588416</v>
      </c>
      <c r="U124" s="405"/>
      <c r="V124" s="405"/>
      <c r="W124" s="405"/>
      <c r="X124" s="405"/>
      <c r="Y124" s="405"/>
      <c r="Z124" s="405"/>
      <c r="AA124" s="405"/>
      <c r="AB124" s="405"/>
      <c r="AC124" s="405"/>
      <c r="AD124" s="415"/>
      <c r="AE124" s="415"/>
      <c r="AJ124" s="415"/>
      <c r="AK124" s="405"/>
      <c r="AL124" s="415"/>
      <c r="AM124" s="415">
        <v>1.0049999999999999</v>
      </c>
      <c r="AN124" s="415">
        <v>1.0049999999999999</v>
      </c>
      <c r="BC124" s="365"/>
      <c r="BD124" s="365"/>
      <c r="BE124" s="365"/>
      <c r="BF124" s="365"/>
      <c r="BG124" s="365"/>
    </row>
    <row r="125" spans="2:59">
      <c r="B125" s="376" t="s">
        <v>588</v>
      </c>
      <c r="C125" s="376" t="str">
        <f>'Imp Crude'!B106</f>
        <v>IMPOILLL43</v>
      </c>
      <c r="D125" s="376" t="str">
        <f>'Imp Crude'!C106</f>
        <v>Imported Imported Oil-Low Sulfur, Low G, PADD 4, Step 3</v>
      </c>
      <c r="E125" s="415" t="str">
        <f>'Imp Crude'!D106</f>
        <v>OILLL4</v>
      </c>
      <c r="F125" s="415">
        <v>1</v>
      </c>
      <c r="G125" s="413">
        <f>'Imp Crude'!L106</f>
        <v>14.669714698535982</v>
      </c>
      <c r="H125" s="413">
        <f>'Imp Crude'!M106</f>
        <v>16.572628254301122</v>
      </c>
      <c r="I125" s="413">
        <f>'Imp Crude'!N106</f>
        <v>16.413033746991001</v>
      </c>
      <c r="J125" s="413">
        <f>'Imp Crude'!O106</f>
        <v>18.638776403288745</v>
      </c>
      <c r="K125" s="413">
        <f>'Imp Crude'!P106</f>
        <v>20.354018022567015</v>
      </c>
      <c r="L125" s="413">
        <f>'Imp Crude'!Q106</f>
        <v>22.326548344759345</v>
      </c>
      <c r="M125" s="413">
        <f>'Imp Crude'!R106</f>
        <v>24.49023875473652</v>
      </c>
      <c r="N125" s="413">
        <f>'Imp Crude'!S106</f>
        <v>26.863614787315814</v>
      </c>
      <c r="O125" s="413">
        <f>'Imp Crude'!T106</f>
        <v>29.46699730731379</v>
      </c>
      <c r="P125" s="413">
        <f>'Imp Crude'!U106</f>
        <v>32.322676496955467</v>
      </c>
      <c r="Q125" s="405"/>
      <c r="R125" s="405"/>
      <c r="S125" s="405">
        <f>'Imp Crude'!AE106</f>
        <v>159.941942377092</v>
      </c>
      <c r="T125" s="405">
        <f>'Imp Crude'!AF106</f>
        <v>72.45535761580156</v>
      </c>
      <c r="U125" s="405"/>
      <c r="V125" s="405"/>
      <c r="W125" s="405"/>
      <c r="X125" s="405"/>
      <c r="Y125" s="405"/>
      <c r="Z125" s="405"/>
      <c r="AA125" s="405"/>
      <c r="AB125" s="405"/>
      <c r="AC125" s="405"/>
      <c r="AD125" s="415"/>
      <c r="AE125" s="415"/>
      <c r="AJ125" s="415"/>
      <c r="AK125" s="405"/>
      <c r="AL125" s="415"/>
      <c r="AM125" s="415">
        <v>1.0049999999999999</v>
      </c>
      <c r="AN125" s="415">
        <v>1.0049999999999999</v>
      </c>
      <c r="BC125" s="365"/>
      <c r="BD125" s="365"/>
      <c r="BE125" s="365"/>
      <c r="BF125" s="365"/>
      <c r="BG125" s="365"/>
    </row>
    <row r="126" spans="2:59">
      <c r="B126" s="376" t="s">
        <v>588</v>
      </c>
      <c r="C126" s="376" t="str">
        <f>'Imp Crude'!B107</f>
        <v>IMPOILLL41</v>
      </c>
      <c r="D126" s="376" t="str">
        <f>'Imp Crude'!C107</f>
        <v>Imported Imported Oil-Low Sulfur, Low G, PADD 4, Step 1</v>
      </c>
      <c r="E126" s="415" t="str">
        <f>'Imp Crude'!D107</f>
        <v>OILLL4</v>
      </c>
      <c r="F126" s="415">
        <v>1</v>
      </c>
      <c r="G126" s="413">
        <f>'Imp Crude'!L107</f>
        <v>13.202743228682387</v>
      </c>
      <c r="H126" s="413">
        <f>'Imp Crude'!M107</f>
        <v>14.915365428871013</v>
      </c>
      <c r="I126" s="413">
        <f>'Imp Crude'!N107</f>
        <v>14.771730372291906</v>
      </c>
      <c r="J126" s="413">
        <f>'Imp Crude'!O107</f>
        <v>16.774898762959875</v>
      </c>
      <c r="K126" s="413">
        <f>'Imp Crude'!P107</f>
        <v>18.318616220310318</v>
      </c>
      <c r="L126" s="413">
        <f>'Imp Crude'!Q107</f>
        <v>20.093893510283415</v>
      </c>
      <c r="M126" s="413">
        <f>'Imp Crude'!R107</f>
        <v>22.041214879262871</v>
      </c>
      <c r="N126" s="413">
        <f>'Imp Crude'!S107</f>
        <v>24.177253308584234</v>
      </c>
      <c r="O126" s="413">
        <f>'Imp Crude'!T107</f>
        <v>26.520297576582411</v>
      </c>
      <c r="P126" s="413">
        <f>'Imp Crude'!U107</f>
        <v>29.090408847259919</v>
      </c>
      <c r="Q126" s="405"/>
      <c r="R126" s="405"/>
      <c r="S126" s="405">
        <f>'Imp Crude'!AE107</f>
        <v>19.992742797136504</v>
      </c>
      <c r="T126" s="405">
        <f>'Imp Crude'!AF107</f>
        <v>9.056919701975195</v>
      </c>
      <c r="U126" s="405"/>
      <c r="V126" s="405"/>
      <c r="W126" s="405"/>
      <c r="X126" s="405"/>
      <c r="Y126" s="405"/>
      <c r="Z126" s="405"/>
      <c r="AA126" s="405"/>
      <c r="AB126" s="405"/>
      <c r="AC126" s="405"/>
      <c r="AD126" s="415"/>
      <c r="AE126" s="415"/>
      <c r="AJ126" s="415"/>
      <c r="AK126" s="405"/>
      <c r="AL126" s="415"/>
      <c r="AM126" s="415">
        <v>1.0049999999999999</v>
      </c>
      <c r="AN126" s="415">
        <v>1.0049999999999999</v>
      </c>
      <c r="BC126" s="365"/>
      <c r="BD126" s="365"/>
      <c r="BE126" s="365"/>
      <c r="BF126" s="365"/>
      <c r="BG126" s="365"/>
    </row>
    <row r="127" spans="2:59">
      <c r="B127" s="376" t="s">
        <v>588</v>
      </c>
      <c r="C127" s="376" t="str">
        <f>'Imp Crude'!B108</f>
        <v>IMPOILLL42</v>
      </c>
      <c r="D127" s="376" t="str">
        <f>'Imp Crude'!C108</f>
        <v>Imported Imported Oil-Low Sulfur, Low G, PADD 4, Step 2</v>
      </c>
      <c r="E127" s="415" t="str">
        <f>'Imp Crude'!D108</f>
        <v>OILLL4</v>
      </c>
      <c r="F127" s="415">
        <v>1</v>
      </c>
      <c r="G127" s="413">
        <f>'Imp Crude'!L108</f>
        <v>13.936228963609183</v>
      </c>
      <c r="H127" s="413">
        <f>'Imp Crude'!M108</f>
        <v>15.743996841586066</v>
      </c>
      <c r="I127" s="413">
        <f>'Imp Crude'!N108</f>
        <v>15.592382059641452</v>
      </c>
      <c r="J127" s="413">
        <f>'Imp Crude'!O108</f>
        <v>17.706837583124308</v>
      </c>
      <c r="K127" s="413">
        <f>'Imp Crude'!P108</f>
        <v>19.336317121438665</v>
      </c>
      <c r="L127" s="413">
        <f>'Imp Crude'!Q108</f>
        <v>21.21022092752138</v>
      </c>
      <c r="M127" s="413">
        <f>'Imp Crude'!R108</f>
        <v>23.265726816999695</v>
      </c>
      <c r="N127" s="413">
        <f>'Imp Crude'!S108</f>
        <v>25.520434047950026</v>
      </c>
      <c r="O127" s="413">
        <f>'Imp Crude'!T108</f>
        <v>27.993647441948102</v>
      </c>
      <c r="P127" s="413">
        <f>'Imp Crude'!U108</f>
        <v>30.706542672107695</v>
      </c>
      <c r="Q127" s="405"/>
      <c r="R127" s="405"/>
      <c r="S127" s="405">
        <f>'Imp Crude'!AE108</f>
        <v>19.992742797136504</v>
      </c>
      <c r="T127" s="405">
        <f>'Imp Crude'!AF108</f>
        <v>9.056919701975195</v>
      </c>
      <c r="U127" s="405"/>
      <c r="V127" s="405"/>
      <c r="W127" s="405"/>
      <c r="X127" s="405"/>
      <c r="Y127" s="405"/>
      <c r="Z127" s="405"/>
      <c r="AA127" s="405"/>
      <c r="AB127" s="405"/>
      <c r="AC127" s="405"/>
      <c r="AD127" s="415"/>
      <c r="AE127" s="415"/>
      <c r="AJ127" s="415"/>
      <c r="AK127" s="405"/>
      <c r="AL127" s="415"/>
      <c r="AM127" s="415">
        <v>1.0049999999999999</v>
      </c>
      <c r="AN127" s="415">
        <v>1.0049999999999999</v>
      </c>
      <c r="BC127" s="365"/>
      <c r="BD127" s="365"/>
      <c r="BE127" s="365"/>
      <c r="BF127" s="365"/>
      <c r="BG127" s="365"/>
    </row>
    <row r="128" spans="2:59">
      <c r="B128" s="376" t="s">
        <v>588</v>
      </c>
      <c r="C128" s="376" t="str">
        <f>'Imp Crude'!B109</f>
        <v>IMPOILLL44</v>
      </c>
      <c r="D128" s="376" t="str">
        <f>'Imp Crude'!C109</f>
        <v>Imported Imported Oil-Low Sulfur, Low G, PADD 4, Step 4</v>
      </c>
      <c r="E128" s="415" t="str">
        <f>'Imp Crude'!D109</f>
        <v>OILLL4</v>
      </c>
      <c r="F128" s="415">
        <v>1</v>
      </c>
      <c r="G128" s="413">
        <f>'Imp Crude'!L109</f>
        <v>15.403200433462786</v>
      </c>
      <c r="H128" s="413">
        <f>'Imp Crude'!M109</f>
        <v>17.401259667016181</v>
      </c>
      <c r="I128" s="413">
        <f>'Imp Crude'!N109</f>
        <v>17.233685434340554</v>
      </c>
      <c r="J128" s="413">
        <f>'Imp Crude'!O109</f>
        <v>19.570715223453185</v>
      </c>
      <c r="K128" s="413">
        <f>'Imp Crude'!P109</f>
        <v>21.371718923695369</v>
      </c>
      <c r="L128" s="413">
        <f>'Imp Crude'!Q109</f>
        <v>23.442875761997318</v>
      </c>
      <c r="M128" s="413">
        <f>'Imp Crude'!R109</f>
        <v>25.714750692473352</v>
      </c>
      <c r="N128" s="413">
        <f>'Imp Crude'!S109</f>
        <v>28.20679552668161</v>
      </c>
      <c r="O128" s="413">
        <f>'Imp Crude'!T109</f>
        <v>30.940347172679484</v>
      </c>
      <c r="P128" s="413">
        <f>'Imp Crude'!U109</f>
        <v>33.938810321803246</v>
      </c>
      <c r="Q128" s="405"/>
      <c r="R128" s="405"/>
      <c r="S128" s="405">
        <f>'Imp Crude'!AE109</f>
        <v>39.985485594273058</v>
      </c>
      <c r="T128" s="405">
        <f>'Imp Crude'!AF109</f>
        <v>18.113839403950379</v>
      </c>
      <c r="U128" s="405"/>
      <c r="V128" s="405"/>
      <c r="W128" s="405"/>
      <c r="X128" s="405"/>
      <c r="Y128" s="405"/>
      <c r="Z128" s="405"/>
      <c r="AA128" s="405"/>
      <c r="AB128" s="405"/>
      <c r="AC128" s="405"/>
      <c r="AD128" s="415"/>
      <c r="AE128" s="415"/>
      <c r="AJ128" s="415"/>
      <c r="AK128" s="405"/>
      <c r="AL128" s="415"/>
      <c r="AM128" s="415">
        <v>1.0049999999999999</v>
      </c>
      <c r="AN128" s="415">
        <v>1.0049999999999999</v>
      </c>
      <c r="BC128" s="365"/>
      <c r="BD128" s="365"/>
      <c r="BE128" s="365"/>
      <c r="BF128" s="365"/>
      <c r="BG128" s="365"/>
    </row>
    <row r="129" spans="2:59">
      <c r="B129" s="376" t="s">
        <v>588</v>
      </c>
      <c r="C129" s="376" t="str">
        <f>'Imp Crude'!B110</f>
        <v>IMPOILLL45</v>
      </c>
      <c r="D129" s="376" t="str">
        <f>'Imp Crude'!C110</f>
        <v>Imported Imported Oil-Low Sulfur, Low G, PADD 4, Step 5</v>
      </c>
      <c r="E129" s="415" t="str">
        <f>'Imp Crude'!D110</f>
        <v>OILLL4</v>
      </c>
      <c r="F129" s="415">
        <v>1</v>
      </c>
      <c r="G129" s="413">
        <f>'Imp Crude'!L110</f>
        <v>19.070629108096782</v>
      </c>
      <c r="H129" s="413">
        <f>'Imp Crude'!M110</f>
        <v>21.544416730591465</v>
      </c>
      <c r="I129" s="413">
        <f>'Imp Crude'!N110</f>
        <v>21.336943871088309</v>
      </c>
      <c r="J129" s="413">
        <f>'Imp Crude'!O110</f>
        <v>24.230409324275378</v>
      </c>
      <c r="K129" s="413">
        <f>'Imp Crude'!P110</f>
        <v>26.46022342933713</v>
      </c>
      <c r="L129" s="413">
        <f>'Imp Crude'!Q110</f>
        <v>29.024512848187161</v>
      </c>
      <c r="M129" s="413">
        <f>'Imp Crude'!R110</f>
        <v>31.83731038115749</v>
      </c>
      <c r="N129" s="413">
        <f>'Imp Crude'!S110</f>
        <v>34.922699223510577</v>
      </c>
      <c r="O129" s="413">
        <f>'Imp Crude'!T110</f>
        <v>38.307096499507949</v>
      </c>
      <c r="P129" s="413">
        <f>'Imp Crude'!U110</f>
        <v>42.019479446042126</v>
      </c>
      <c r="Q129" s="405"/>
      <c r="R129" s="405"/>
      <c r="S129" s="405">
        <f>'Imp Crude'!AE110</f>
        <v>19.992742797136486</v>
      </c>
      <c r="T129" s="405">
        <f>'Imp Crude'!AF110</f>
        <v>9.0569197019751897</v>
      </c>
      <c r="U129" s="405"/>
      <c r="V129" s="405"/>
      <c r="W129" s="405"/>
      <c r="X129" s="405"/>
      <c r="Y129" s="405"/>
      <c r="Z129" s="405"/>
      <c r="AA129" s="405"/>
      <c r="AB129" s="405"/>
      <c r="AC129" s="405"/>
      <c r="AD129" s="415"/>
      <c r="AE129" s="415"/>
      <c r="AJ129" s="415"/>
      <c r="AK129" s="405"/>
      <c r="AL129" s="415"/>
      <c r="AM129" s="415">
        <v>1.0049999999999999</v>
      </c>
      <c r="AN129" s="415">
        <v>1.0049999999999999</v>
      </c>
      <c r="BC129" s="365"/>
      <c r="BD129" s="365"/>
      <c r="BE129" s="365"/>
      <c r="BF129" s="365"/>
      <c r="BG129" s="365"/>
    </row>
    <row r="130" spans="2:59">
      <c r="B130" s="376" t="s">
        <v>588</v>
      </c>
      <c r="C130" s="376" t="str">
        <f>'Imp Crude'!B111</f>
        <v>IMPOILMH43</v>
      </c>
      <c r="D130" s="376" t="str">
        <f>'Imp Crude'!C111</f>
        <v>Imported Imported Oil-Medium Sulfur, HG, PADD 4, Step 3</v>
      </c>
      <c r="E130" s="415" t="str">
        <f>'Imp Crude'!D111</f>
        <v>OILMH4</v>
      </c>
      <c r="F130" s="415">
        <v>1</v>
      </c>
      <c r="G130" s="413">
        <f>'Imp Crude'!L111</f>
        <v>12.053312370116149</v>
      </c>
      <c r="H130" s="413">
        <f>'Imp Crude'!M111</f>
        <v>13.61683367726568</v>
      </c>
      <c r="I130" s="413">
        <f>'Imp Crude'!N111</f>
        <v>13.485703489072201</v>
      </c>
      <c r="J130" s="413">
        <f>'Imp Crude'!O111</f>
        <v>15.314476034630031</v>
      </c>
      <c r="K130" s="413">
        <f>'Imp Crude'!P111</f>
        <v>16.723797446276034</v>
      </c>
      <c r="L130" s="413">
        <f>'Imp Crude'!Q111</f>
        <v>18.34451909093643</v>
      </c>
      <c r="M130" s="413">
        <f>'Imp Crude'!R111</f>
        <v>20.122306656653866</v>
      </c>
      <c r="N130" s="413">
        <f>'Imp Crude'!S111</f>
        <v>22.072381574967043</v>
      </c>
      <c r="O130" s="413">
        <f>'Imp Crude'!T111</f>
        <v>24.211440403123216</v>
      </c>
      <c r="P130" s="413">
        <f>'Imp Crude'!U111</f>
        <v>26.557797780136578</v>
      </c>
      <c r="Q130" s="405"/>
      <c r="R130" s="405"/>
      <c r="S130" s="405">
        <f>'Imp Crude'!AE111</f>
        <v>94.918381082294275</v>
      </c>
      <c r="T130" s="405">
        <f>'Imp Crude'!AF111</f>
        <v>46.788652527221984</v>
      </c>
      <c r="U130" s="405"/>
      <c r="V130" s="405"/>
      <c r="W130" s="405"/>
      <c r="X130" s="405"/>
      <c r="Y130" s="405"/>
      <c r="Z130" s="405"/>
      <c r="AA130" s="405"/>
      <c r="AB130" s="405"/>
      <c r="AC130" s="405"/>
      <c r="AD130" s="415"/>
      <c r="AE130" s="415"/>
      <c r="AJ130" s="415"/>
      <c r="AK130" s="405"/>
      <c r="AL130" s="415"/>
      <c r="AM130" s="415">
        <v>1.0049999999999999</v>
      </c>
      <c r="AN130" s="415">
        <v>1.0049999999999999</v>
      </c>
      <c r="BC130" s="365"/>
      <c r="BD130" s="365"/>
      <c r="BE130" s="365"/>
      <c r="BF130" s="365"/>
      <c r="BG130" s="365"/>
    </row>
    <row r="131" spans="2:59">
      <c r="B131" s="376" t="s">
        <v>588</v>
      </c>
      <c r="C131" s="376" t="str">
        <f>'Imp Crude'!B112</f>
        <v>IMPOILMH41</v>
      </c>
      <c r="D131" s="376" t="str">
        <f>'Imp Crude'!C112</f>
        <v>Imported Imported Oil-Medium Sulfur, HG, PADD 4, Step 1</v>
      </c>
      <c r="E131" s="415" t="str">
        <f>'Imp Crude'!D112</f>
        <v>OILMH4</v>
      </c>
      <c r="F131" s="415">
        <v>1</v>
      </c>
      <c r="G131" s="413">
        <f>'Imp Crude'!L112</f>
        <v>10.847981133104536</v>
      </c>
      <c r="H131" s="413">
        <f>'Imp Crude'!M112</f>
        <v>12.255150309539113</v>
      </c>
      <c r="I131" s="413">
        <f>'Imp Crude'!N112</f>
        <v>12.137133140164982</v>
      </c>
      <c r="J131" s="413">
        <f>'Imp Crude'!O112</f>
        <v>13.783028431167031</v>
      </c>
      <c r="K131" s="413">
        <f>'Imp Crude'!P112</f>
        <v>15.051417701648433</v>
      </c>
      <c r="L131" s="413">
        <f>'Imp Crude'!Q112</f>
        <v>16.510067181842789</v>
      </c>
      <c r="M131" s="413">
        <f>'Imp Crude'!R112</f>
        <v>18.110075990988481</v>
      </c>
      <c r="N131" s="413">
        <f>'Imp Crude'!S112</f>
        <v>19.865143417470343</v>
      </c>
      <c r="O131" s="413">
        <f>'Imp Crude'!T112</f>
        <v>21.790296362810899</v>
      </c>
      <c r="P131" s="413">
        <f>'Imp Crude'!U112</f>
        <v>23.902018002122926</v>
      </c>
      <c r="Q131" s="405"/>
      <c r="R131" s="405"/>
      <c r="S131" s="405">
        <f>'Imp Crude'!AE112</f>
        <v>11.864797635286784</v>
      </c>
      <c r="T131" s="405">
        <f>'Imp Crude'!AF112</f>
        <v>5.8485815659027489</v>
      </c>
      <c r="U131" s="405"/>
      <c r="V131" s="405"/>
      <c r="W131" s="405"/>
      <c r="X131" s="405"/>
      <c r="Y131" s="405"/>
      <c r="Z131" s="405"/>
      <c r="AA131" s="405"/>
      <c r="AB131" s="405"/>
      <c r="AC131" s="405"/>
      <c r="AD131" s="415"/>
      <c r="AE131" s="415"/>
      <c r="AJ131" s="415"/>
      <c r="AK131" s="405"/>
      <c r="AL131" s="415"/>
      <c r="AM131" s="415">
        <v>1.0049999999999999</v>
      </c>
      <c r="AN131" s="415">
        <v>1.0049999999999999</v>
      </c>
      <c r="BC131" s="365"/>
      <c r="BD131" s="365"/>
      <c r="BE131" s="365"/>
      <c r="BF131" s="365"/>
      <c r="BG131" s="365"/>
    </row>
    <row r="132" spans="2:59">
      <c r="B132" s="376" t="s">
        <v>588</v>
      </c>
      <c r="C132" s="376" t="str">
        <f>'Imp Crude'!B113</f>
        <v>IMPOILMH42</v>
      </c>
      <c r="D132" s="376" t="str">
        <f>'Imp Crude'!C113</f>
        <v>Imported Imported Oil-Medium Sulfur, HG, PADD 4, Step 2</v>
      </c>
      <c r="E132" s="415" t="str">
        <f>'Imp Crude'!D113</f>
        <v>OILMH4</v>
      </c>
      <c r="F132" s="415">
        <v>1</v>
      </c>
      <c r="G132" s="413">
        <f>'Imp Crude'!L113</f>
        <v>11.450646751610343</v>
      </c>
      <c r="H132" s="413">
        <f>'Imp Crude'!M113</f>
        <v>12.935991993402396</v>
      </c>
      <c r="I132" s="413">
        <f>'Imp Crude'!N113</f>
        <v>12.811418314618592</v>
      </c>
      <c r="J132" s="413">
        <f>'Imp Crude'!O113</f>
        <v>14.548752232898533</v>
      </c>
      <c r="K132" s="413">
        <f>'Imp Crude'!P113</f>
        <v>15.887607573962235</v>
      </c>
      <c r="L132" s="413">
        <f>'Imp Crude'!Q113</f>
        <v>17.427293136389611</v>
      </c>
      <c r="M132" s="413">
        <f>'Imp Crude'!R113</f>
        <v>19.116191323821173</v>
      </c>
      <c r="N132" s="413">
        <f>'Imp Crude'!S113</f>
        <v>20.968762496218694</v>
      </c>
      <c r="O132" s="413">
        <f>'Imp Crude'!T113</f>
        <v>23.000868382967059</v>
      </c>
      <c r="P132" s="413">
        <f>'Imp Crude'!U113</f>
        <v>25.229907891129756</v>
      </c>
      <c r="Q132" s="405"/>
      <c r="R132" s="405"/>
      <c r="S132" s="405">
        <f>'Imp Crude'!AE113</f>
        <v>11.864797635286784</v>
      </c>
      <c r="T132" s="405">
        <f>'Imp Crude'!AF113</f>
        <v>5.8485815659027489</v>
      </c>
      <c r="U132" s="405"/>
      <c r="V132" s="405"/>
      <c r="W132" s="405"/>
      <c r="X132" s="405"/>
      <c r="Y132" s="405"/>
      <c r="Z132" s="405"/>
      <c r="AA132" s="405"/>
      <c r="AB132" s="405"/>
      <c r="AC132" s="405"/>
      <c r="AD132" s="415"/>
      <c r="AE132" s="415"/>
      <c r="AJ132" s="415"/>
      <c r="AK132" s="405"/>
      <c r="AL132" s="415"/>
      <c r="AM132" s="415">
        <v>1.0049999999999999</v>
      </c>
      <c r="AN132" s="415">
        <v>1.0049999999999999</v>
      </c>
      <c r="BC132" s="365"/>
      <c r="BD132" s="365"/>
      <c r="BE132" s="365"/>
      <c r="BF132" s="365"/>
      <c r="BG132" s="365"/>
    </row>
    <row r="133" spans="2:59">
      <c r="B133" s="376" t="s">
        <v>588</v>
      </c>
      <c r="C133" s="376" t="str">
        <f>'Imp Crude'!B114</f>
        <v>IMPOILMH44</v>
      </c>
      <c r="D133" s="376" t="str">
        <f>'Imp Crude'!C114</f>
        <v>Imported Imported Oil-Medium Sulfur, HG, PADD 4, Step 4</v>
      </c>
      <c r="E133" s="415" t="str">
        <f>'Imp Crude'!D114</f>
        <v>OILMH4</v>
      </c>
      <c r="F133" s="415">
        <v>1</v>
      </c>
      <c r="G133" s="413">
        <f>'Imp Crude'!L114</f>
        <v>12.655977988621959</v>
      </c>
      <c r="H133" s="413">
        <f>'Imp Crude'!M114</f>
        <v>14.297675361128967</v>
      </c>
      <c r="I133" s="413">
        <f>'Imp Crude'!N114</f>
        <v>14.159988663525814</v>
      </c>
      <c r="J133" s="413">
        <f>'Imp Crude'!O114</f>
        <v>16.080199836361537</v>
      </c>
      <c r="K133" s="413">
        <f>'Imp Crude'!P114</f>
        <v>17.55998731858984</v>
      </c>
      <c r="L133" s="413">
        <f>'Imp Crude'!Q114</f>
        <v>19.261745045483256</v>
      </c>
      <c r="M133" s="413">
        <f>'Imp Crude'!R114</f>
        <v>21.128421989486561</v>
      </c>
      <c r="N133" s="413">
        <f>'Imp Crude'!S114</f>
        <v>23.176000653715398</v>
      </c>
      <c r="O133" s="413">
        <f>'Imp Crude'!T114</f>
        <v>25.42201242327938</v>
      </c>
      <c r="P133" s="413">
        <f>'Imp Crude'!U114</f>
        <v>27.885687669143412</v>
      </c>
      <c r="Q133" s="405"/>
      <c r="R133" s="405"/>
      <c r="S133" s="405">
        <f>'Imp Crude'!AE114</f>
        <v>23.729595270573569</v>
      </c>
      <c r="T133" s="405">
        <f>'Imp Crude'!AF114</f>
        <v>11.697163131805496</v>
      </c>
      <c r="U133" s="405"/>
      <c r="V133" s="405"/>
      <c r="W133" s="405"/>
      <c r="X133" s="405"/>
      <c r="Y133" s="405"/>
      <c r="Z133" s="405"/>
      <c r="AA133" s="405"/>
      <c r="AB133" s="405"/>
      <c r="AC133" s="405"/>
      <c r="AD133" s="415"/>
      <c r="AE133" s="415"/>
      <c r="AJ133" s="415"/>
      <c r="AK133" s="405"/>
      <c r="AL133" s="415"/>
      <c r="AM133" s="415">
        <v>1.0049999999999999</v>
      </c>
      <c r="AN133" s="415">
        <v>1.0049999999999999</v>
      </c>
      <c r="BC133" s="365"/>
      <c r="BD133" s="365"/>
      <c r="BE133" s="365"/>
      <c r="BF133" s="365"/>
      <c r="BG133" s="365"/>
    </row>
    <row r="134" spans="2:59">
      <c r="B134" s="376" t="s">
        <v>588</v>
      </c>
      <c r="C134" s="376" t="str">
        <f>'Imp Crude'!B115</f>
        <v>IMPOILMH45</v>
      </c>
      <c r="D134" s="376" t="str">
        <f>'Imp Crude'!C115</f>
        <v>Imported Imported Oil-Medium Sulfur, HG, PADD 4, Step 5</v>
      </c>
      <c r="E134" s="415" t="str">
        <f>'Imp Crude'!D115</f>
        <v>OILMH4</v>
      </c>
      <c r="F134" s="415">
        <v>1</v>
      </c>
      <c r="G134" s="413">
        <f>'Imp Crude'!L115</f>
        <v>15.669306081150996</v>
      </c>
      <c r="H134" s="413">
        <f>'Imp Crude'!M115</f>
        <v>17.701883780445385</v>
      </c>
      <c r="I134" s="413">
        <f>'Imp Crude'!N115</f>
        <v>17.531414535793864</v>
      </c>
      <c r="J134" s="413">
        <f>'Imp Crude'!O115</f>
        <v>19.908818845019045</v>
      </c>
      <c r="K134" s="413">
        <f>'Imp Crude'!P115</f>
        <v>21.740936680158846</v>
      </c>
      <c r="L134" s="413">
        <f>'Imp Crude'!Q115</f>
        <v>23.84787481821736</v>
      </c>
      <c r="M134" s="413">
        <f>'Imp Crude'!R115</f>
        <v>26.158998653650023</v>
      </c>
      <c r="N134" s="413">
        <f>'Imp Crude'!S115</f>
        <v>28.694096047457155</v>
      </c>
      <c r="O134" s="413">
        <f>'Imp Crude'!T115</f>
        <v>31.474872524060178</v>
      </c>
      <c r="P134" s="413">
        <f>'Imp Crude'!U115</f>
        <v>34.525137114177546</v>
      </c>
      <c r="Q134" s="405"/>
      <c r="R134" s="405"/>
      <c r="S134" s="405">
        <f>'Imp Crude'!AE115</f>
        <v>11.864797635286806</v>
      </c>
      <c r="T134" s="405">
        <f>'Imp Crude'!AF115</f>
        <v>5.8485815659027622</v>
      </c>
      <c r="U134" s="405"/>
      <c r="V134" s="405"/>
      <c r="W134" s="405"/>
      <c r="X134" s="405"/>
      <c r="Y134" s="405"/>
      <c r="Z134" s="405"/>
      <c r="AA134" s="405"/>
      <c r="AB134" s="405"/>
      <c r="AC134" s="405"/>
      <c r="AD134" s="415"/>
      <c r="AE134" s="415"/>
      <c r="AJ134" s="415"/>
      <c r="AK134" s="405"/>
      <c r="AL134" s="415"/>
      <c r="AM134" s="415">
        <v>1.0049999999999999</v>
      </c>
      <c r="AN134" s="415">
        <v>1.0049999999999999</v>
      </c>
      <c r="BC134" s="365"/>
      <c r="BD134" s="365"/>
      <c r="BE134" s="365"/>
      <c r="BF134" s="365"/>
      <c r="BG134" s="365"/>
    </row>
    <row r="135" spans="2:59">
      <c r="B135" s="376" t="s">
        <v>588</v>
      </c>
      <c r="C135" s="376"/>
      <c r="D135" s="376"/>
      <c r="E135" s="415"/>
      <c r="F135" s="415"/>
      <c r="G135" s="413"/>
      <c r="H135" s="413"/>
      <c r="I135" s="413"/>
      <c r="J135" s="413"/>
      <c r="K135" s="413"/>
      <c r="L135" s="413"/>
      <c r="M135" s="413"/>
      <c r="N135" s="413"/>
      <c r="O135" s="413"/>
      <c r="P135" s="413"/>
      <c r="Q135" s="405"/>
      <c r="R135" s="405"/>
      <c r="S135" s="405"/>
      <c r="T135" s="405"/>
      <c r="U135" s="405"/>
      <c r="V135" s="405"/>
      <c r="W135" s="405"/>
      <c r="X135" s="405"/>
      <c r="Y135" s="405"/>
      <c r="Z135" s="405"/>
      <c r="AA135" s="405"/>
      <c r="AB135" s="405"/>
      <c r="AC135" s="405"/>
      <c r="AD135" s="415"/>
      <c r="AE135" s="415"/>
      <c r="AJ135" s="415"/>
      <c r="AK135" s="405"/>
      <c r="AL135" s="415"/>
      <c r="AM135" s="415"/>
      <c r="AN135" s="415"/>
      <c r="BC135" s="365"/>
      <c r="BD135" s="365"/>
      <c r="BE135" s="365"/>
      <c r="BF135" s="365"/>
      <c r="BG135" s="365"/>
    </row>
    <row r="136" spans="2:59">
      <c r="B136" s="376" t="s">
        <v>588</v>
      </c>
      <c r="C136" s="376" t="str">
        <f>'Imp Crude'!B117</f>
        <v>IMPOILHH53</v>
      </c>
      <c r="D136" s="376" t="str">
        <f>'Imp Crude'!C117</f>
        <v>Imported Imported Oil-High Sulfur, Heavy G, PADD 5, Step 3</v>
      </c>
      <c r="E136" s="415" t="str">
        <f>'Imp Crude'!D117</f>
        <v>OILHH5</v>
      </c>
      <c r="F136" s="415">
        <v>1</v>
      </c>
      <c r="G136" s="413">
        <f>'Imp Crude'!L117</f>
        <v>11.163537115571355</v>
      </c>
      <c r="H136" s="413">
        <f>'Imp Crude'!M117</f>
        <v>12.611639314152493</v>
      </c>
      <c r="I136" s="413">
        <f>'Imp Crude'!N117</f>
        <v>12.490189153572638</v>
      </c>
      <c r="J136" s="413">
        <f>'Imp Crude'!O117</f>
        <v>14.183961749966075</v>
      </c>
      <c r="K136" s="413">
        <f>'Imp Crude'!P117</f>
        <v>15.489247085944466</v>
      </c>
      <c r="L136" s="413">
        <f>'Imp Crude'!Q117</f>
        <v>16.990327094377189</v>
      </c>
      <c r="M136" s="413">
        <f>'Imp Crude'!R117</f>
        <v>18.636878421022729</v>
      </c>
      <c r="N136" s="413">
        <f>'Imp Crude'!S117</f>
        <v>20.442998851677775</v>
      </c>
      <c r="O136" s="413">
        <f>'Imp Crude'!T117</f>
        <v>22.424152404100138</v>
      </c>
      <c r="P136" s="413">
        <f>'Imp Crude'!U117</f>
        <v>24.597301731054063</v>
      </c>
      <c r="Q136" s="405"/>
      <c r="R136" s="405"/>
      <c r="S136" s="405">
        <f>'Imp Crude'!AE117</f>
        <v>627.38144230669502</v>
      </c>
      <c r="T136" s="405">
        <f>'Imp Crude'!AF117</f>
        <v>457.02753465782081</v>
      </c>
      <c r="U136" s="405"/>
      <c r="V136" s="405"/>
      <c r="W136" s="405"/>
      <c r="X136" s="405"/>
      <c r="Y136" s="405"/>
      <c r="Z136" s="405"/>
      <c r="AA136" s="405"/>
      <c r="AB136" s="405"/>
      <c r="AC136" s="405"/>
      <c r="AD136" s="415"/>
      <c r="AE136" s="415"/>
      <c r="AJ136" s="415"/>
      <c r="AK136" s="405"/>
      <c r="AL136" s="415"/>
      <c r="AM136" s="415">
        <v>1.0049999999999999</v>
      </c>
      <c r="AN136" s="415">
        <v>1.0049999999999999</v>
      </c>
      <c r="BC136" s="365"/>
      <c r="BD136" s="365"/>
      <c r="BE136" s="365"/>
      <c r="BF136" s="365"/>
      <c r="BG136" s="365"/>
    </row>
    <row r="137" spans="2:59">
      <c r="B137" s="376" t="s">
        <v>588</v>
      </c>
      <c r="C137" s="376" t="str">
        <f>'Imp Crude'!B118</f>
        <v>IMPOILHH51</v>
      </c>
      <c r="D137" s="376" t="str">
        <f>'Imp Crude'!C118</f>
        <v>Imported Imported Oil-High Sulfur, Heavy G, PADD 5, Step 1</v>
      </c>
      <c r="E137" s="415" t="str">
        <f>'Imp Crude'!D118</f>
        <v>OILHH5</v>
      </c>
      <c r="F137" s="415">
        <v>1</v>
      </c>
      <c r="G137" s="413">
        <f>'Imp Crude'!L118</f>
        <v>10.04718340401422</v>
      </c>
      <c r="H137" s="413">
        <f>'Imp Crude'!M118</f>
        <v>11.350475382737244</v>
      </c>
      <c r="I137" s="413">
        <f>'Imp Crude'!N118</f>
        <v>11.241170238215375</v>
      </c>
      <c r="J137" s="413">
        <f>'Imp Crude'!O118</f>
        <v>12.765565574969468</v>
      </c>
      <c r="K137" s="413">
        <f>'Imp Crude'!P118</f>
        <v>13.94032237735002</v>
      </c>
      <c r="L137" s="413">
        <f>'Imp Crude'!Q118</f>
        <v>15.291294384939469</v>
      </c>
      <c r="M137" s="413">
        <f>'Imp Crude'!R118</f>
        <v>16.773190578920456</v>
      </c>
      <c r="N137" s="413">
        <f>'Imp Crude'!S118</f>
        <v>18.398698966509997</v>
      </c>
      <c r="O137" s="413">
        <f>'Imp Crude'!T118</f>
        <v>20.181737163690123</v>
      </c>
      <c r="P137" s="413">
        <f>'Imp Crude'!U118</f>
        <v>22.137571557948657</v>
      </c>
      <c r="Q137" s="405"/>
      <c r="R137" s="405"/>
      <c r="S137" s="405">
        <f>'Imp Crude'!AE118</f>
        <v>78.422680288336878</v>
      </c>
      <c r="T137" s="405">
        <f>'Imp Crude'!AF118</f>
        <v>57.128441832227601</v>
      </c>
      <c r="U137" s="405"/>
      <c r="V137" s="405"/>
      <c r="W137" s="405"/>
      <c r="X137" s="405"/>
      <c r="Y137" s="405"/>
      <c r="Z137" s="405"/>
      <c r="AA137" s="405"/>
      <c r="AB137" s="405"/>
      <c r="AC137" s="405"/>
      <c r="AD137" s="415"/>
      <c r="AE137" s="415"/>
      <c r="AJ137" s="415"/>
      <c r="AK137" s="405"/>
      <c r="AL137" s="415"/>
      <c r="AM137" s="415">
        <v>1.0049999999999999</v>
      </c>
      <c r="AN137" s="415">
        <v>1.0049999999999999</v>
      </c>
      <c r="BC137" s="365"/>
      <c r="BD137" s="365"/>
      <c r="BE137" s="365"/>
      <c r="BF137" s="365"/>
      <c r="BG137" s="365"/>
    </row>
    <row r="138" spans="2:59">
      <c r="B138" s="376" t="s">
        <v>588</v>
      </c>
      <c r="C138" s="376" t="str">
        <f>'Imp Crude'!B119</f>
        <v>IMPOILHH52</v>
      </c>
      <c r="D138" s="376" t="str">
        <f>'Imp Crude'!C119</f>
        <v>Imported Imported Oil-High Sulfur, Heavy G, PADD 5, Step 2</v>
      </c>
      <c r="E138" s="415" t="str">
        <f>'Imp Crude'!D119</f>
        <v>OILHH5</v>
      </c>
      <c r="F138" s="415">
        <v>1</v>
      </c>
      <c r="G138" s="413">
        <f>'Imp Crude'!L119</f>
        <v>10.605360259792784</v>
      </c>
      <c r="H138" s="413">
        <f>'Imp Crude'!M119</f>
        <v>11.981057348444864</v>
      </c>
      <c r="I138" s="413">
        <f>'Imp Crude'!N119</f>
        <v>11.865679695894002</v>
      </c>
      <c r="J138" s="413">
        <f>'Imp Crude'!O119</f>
        <v>13.474763662467767</v>
      </c>
      <c r="K138" s="413">
        <f>'Imp Crude'!P119</f>
        <v>14.714784731647239</v>
      </c>
      <c r="L138" s="413">
        <f>'Imp Crude'!Q119</f>
        <v>16.140810739658324</v>
      </c>
      <c r="M138" s="413">
        <f>'Imp Crude'!R119</f>
        <v>17.705034499971585</v>
      </c>
      <c r="N138" s="413">
        <f>'Imp Crude'!S119</f>
        <v>19.420848909093877</v>
      </c>
      <c r="O138" s="413">
        <f>'Imp Crude'!T119</f>
        <v>21.302944783895121</v>
      </c>
      <c r="P138" s="413">
        <f>'Imp Crude'!U119</f>
        <v>23.36743664450135</v>
      </c>
      <c r="Q138" s="405"/>
      <c r="R138" s="405"/>
      <c r="S138" s="405">
        <f>'Imp Crude'!AE119</f>
        <v>78.422680288336878</v>
      </c>
      <c r="T138" s="405">
        <f>'Imp Crude'!AF119</f>
        <v>57.128441832227601</v>
      </c>
      <c r="U138" s="405"/>
      <c r="V138" s="405"/>
      <c r="W138" s="405"/>
      <c r="X138" s="405"/>
      <c r="Y138" s="405"/>
      <c r="Z138" s="405"/>
      <c r="AA138" s="405"/>
      <c r="AB138" s="405"/>
      <c r="AC138" s="405"/>
      <c r="AD138" s="415"/>
      <c r="AE138" s="415"/>
      <c r="AJ138" s="415"/>
      <c r="AK138" s="405"/>
      <c r="AL138" s="415"/>
      <c r="AM138" s="415">
        <v>1.0049999999999999</v>
      </c>
      <c r="AN138" s="415">
        <v>1.0049999999999999</v>
      </c>
      <c r="BC138" s="365"/>
      <c r="BD138" s="365"/>
      <c r="BE138" s="365"/>
      <c r="BF138" s="365"/>
      <c r="BG138" s="365"/>
    </row>
    <row r="139" spans="2:59">
      <c r="B139" s="376" t="s">
        <v>588</v>
      </c>
      <c r="C139" s="376" t="str">
        <f>'Imp Crude'!B120</f>
        <v>IMPOILHH54</v>
      </c>
      <c r="D139" s="376" t="str">
        <f>'Imp Crude'!C120</f>
        <v>Imported Imported Oil-High Sulfur, Heavy G, PADD 5, Step 4</v>
      </c>
      <c r="E139" s="415" t="str">
        <f>'Imp Crude'!D120</f>
        <v>OILHH5</v>
      </c>
      <c r="F139" s="415">
        <v>1</v>
      </c>
      <c r="G139" s="413">
        <f>'Imp Crude'!L120</f>
        <v>11.721713971349921</v>
      </c>
      <c r="H139" s="413">
        <f>'Imp Crude'!M120</f>
        <v>13.242221279860116</v>
      </c>
      <c r="I139" s="413">
        <f>'Imp Crude'!N120</f>
        <v>13.114698611251269</v>
      </c>
      <c r="J139" s="413">
        <f>'Imp Crude'!O120</f>
        <v>14.893159837464378</v>
      </c>
      <c r="K139" s="413">
        <f>'Imp Crude'!P120</f>
        <v>16.263709440241687</v>
      </c>
      <c r="L139" s="413">
        <f>'Imp Crude'!Q120</f>
        <v>17.839843449096044</v>
      </c>
      <c r="M139" s="413">
        <f>'Imp Crude'!R120</f>
        <v>19.568722342073858</v>
      </c>
      <c r="N139" s="413">
        <f>'Imp Crude'!S120</f>
        <v>21.465148794261655</v>
      </c>
      <c r="O139" s="413">
        <f>'Imp Crude'!T120</f>
        <v>23.545360024305133</v>
      </c>
      <c r="P139" s="413">
        <f>'Imp Crude'!U120</f>
        <v>25.827166817606752</v>
      </c>
      <c r="Q139" s="405"/>
      <c r="R139" s="405"/>
      <c r="S139" s="405">
        <f>'Imp Crude'!AE120</f>
        <v>156.84536057667378</v>
      </c>
      <c r="T139" s="405">
        <f>'Imp Crude'!AF120</f>
        <v>114.25688366445513</v>
      </c>
      <c r="U139" s="405"/>
      <c r="V139" s="405"/>
      <c r="W139" s="405"/>
      <c r="X139" s="405"/>
      <c r="Y139" s="405"/>
      <c r="Z139" s="405"/>
      <c r="AA139" s="405"/>
      <c r="AB139" s="405"/>
      <c r="AC139" s="405"/>
      <c r="AD139" s="415"/>
      <c r="AE139" s="415"/>
      <c r="AJ139" s="415"/>
      <c r="AK139" s="405"/>
      <c r="AL139" s="415"/>
      <c r="AM139" s="415">
        <v>1.0049999999999999</v>
      </c>
      <c r="AN139" s="415">
        <v>1.0049999999999999</v>
      </c>
      <c r="BC139" s="365"/>
      <c r="BD139" s="365"/>
      <c r="BE139" s="365"/>
      <c r="BF139" s="365"/>
      <c r="BG139" s="365"/>
    </row>
    <row r="140" spans="2:59">
      <c r="B140" s="376" t="s">
        <v>588</v>
      </c>
      <c r="C140" s="376" t="str">
        <f>'Imp Crude'!B121</f>
        <v>IMPOILHH55</v>
      </c>
      <c r="D140" s="376" t="str">
        <f>'Imp Crude'!C121</f>
        <v>Imported Imported Oil-High Sulfur, Heavy G, PADD 5, Step 5</v>
      </c>
      <c r="E140" s="415" t="str">
        <f>'Imp Crude'!D121</f>
        <v>OILHH5</v>
      </c>
      <c r="F140" s="415">
        <v>1</v>
      </c>
      <c r="G140" s="413">
        <f>'Imp Crude'!L121</f>
        <v>14.512598250242762</v>
      </c>
      <c r="H140" s="413">
        <f>'Imp Crude'!M121</f>
        <v>16.395131108398243</v>
      </c>
      <c r="I140" s="413">
        <f>'Imp Crude'!N121</f>
        <v>16.237245899644432</v>
      </c>
      <c r="J140" s="413">
        <f>'Imp Crude'!O121</f>
        <v>18.4391502749559</v>
      </c>
      <c r="K140" s="413">
        <f>'Imp Crude'!P121</f>
        <v>20.136021211727808</v>
      </c>
      <c r="L140" s="413">
        <f>'Imp Crude'!Q121</f>
        <v>22.087425222690346</v>
      </c>
      <c r="M140" s="413">
        <f>'Imp Crude'!R121</f>
        <v>24.227941947329548</v>
      </c>
      <c r="N140" s="413">
        <f>'Imp Crude'!S121</f>
        <v>26.575898507181105</v>
      </c>
      <c r="O140" s="413">
        <f>'Imp Crude'!T121</f>
        <v>29.151398125330175</v>
      </c>
      <c r="P140" s="413">
        <f>'Imp Crude'!U121</f>
        <v>31.976492250370278</v>
      </c>
      <c r="Q140" s="405"/>
      <c r="R140" s="405"/>
      <c r="S140" s="405">
        <f>'Imp Crude'!AE121</f>
        <v>78.422680288337006</v>
      </c>
      <c r="T140" s="405">
        <f>'Imp Crude'!AF121</f>
        <v>57.128441832227622</v>
      </c>
      <c r="U140" s="405"/>
      <c r="V140" s="405"/>
      <c r="W140" s="405"/>
      <c r="X140" s="405"/>
      <c r="Y140" s="405"/>
      <c r="Z140" s="405"/>
      <c r="AA140" s="405"/>
      <c r="AB140" s="405"/>
      <c r="AC140" s="405"/>
      <c r="AD140" s="415"/>
      <c r="AE140" s="415"/>
      <c r="AJ140" s="415"/>
      <c r="AK140" s="405"/>
      <c r="AL140" s="415"/>
      <c r="AM140" s="415">
        <v>1.0049999999999999</v>
      </c>
      <c r="AN140" s="415">
        <v>1.0049999999999999</v>
      </c>
      <c r="BC140" s="365"/>
      <c r="BD140" s="365"/>
      <c r="BE140" s="365"/>
      <c r="BF140" s="365"/>
      <c r="BG140" s="365"/>
    </row>
    <row r="141" spans="2:59">
      <c r="B141" s="376" t="s">
        <v>588</v>
      </c>
      <c r="C141" s="376" t="str">
        <f>'Imp Crude'!B122</f>
        <v>IMPOILHL53</v>
      </c>
      <c r="D141" s="376" t="str">
        <f>'Imp Crude'!C122</f>
        <v>Imported Imported Oil-High Sulfur, Low G, PADD 5, Step 3</v>
      </c>
      <c r="E141" s="415" t="str">
        <f>'Imp Crude'!D122</f>
        <v>OILHL5</v>
      </c>
      <c r="F141" s="415">
        <v>1</v>
      </c>
      <c r="G141" s="413">
        <f>'Imp Crude'!L122</f>
        <v>12.073158658321612</v>
      </c>
      <c r="H141" s="413">
        <f>'Imp Crude'!M122</f>
        <v>13.639254369379731</v>
      </c>
      <c r="I141" s="413">
        <f>'Imp Crude'!N122</f>
        <v>13.507908269789667</v>
      </c>
      <c r="J141" s="413">
        <f>'Imp Crude'!O122</f>
        <v>15.339691966629976</v>
      </c>
      <c r="K141" s="413">
        <f>'Imp Crude'!P122</f>
        <v>16.751333885539939</v>
      </c>
      <c r="L141" s="413">
        <f>'Imp Crude'!Q122</f>
        <v>18.374724116881993</v>
      </c>
      <c r="M141" s="413">
        <f>'Imp Crude'!R122</f>
        <v>20.15543888495791</v>
      </c>
      <c r="N141" s="413">
        <f>'Imp Crude'!S122</f>
        <v>22.108724684036698</v>
      </c>
      <c r="O141" s="413">
        <f>'Imp Crude'!T122</f>
        <v>24.251305562952734</v>
      </c>
      <c r="P141" s="413">
        <f>'Imp Crude'!U122</f>
        <v>26.60152631654735</v>
      </c>
      <c r="Q141" s="405"/>
      <c r="R141" s="405"/>
      <c r="S141" s="405">
        <f>'Imp Crude'!AE122</f>
        <v>222.04121288893839</v>
      </c>
      <c r="T141" s="405">
        <f>'Imp Crude'!AF122</f>
        <v>381.20086091645106</v>
      </c>
      <c r="U141" s="405"/>
      <c r="V141" s="405"/>
      <c r="W141" s="405"/>
      <c r="X141" s="405"/>
      <c r="Y141" s="405"/>
      <c r="Z141" s="405"/>
      <c r="AA141" s="405"/>
      <c r="AB141" s="405"/>
      <c r="AC141" s="405"/>
      <c r="AD141" s="415"/>
      <c r="AE141" s="415"/>
      <c r="AJ141" s="415"/>
      <c r="AK141" s="405"/>
      <c r="AL141" s="415"/>
      <c r="AM141" s="415">
        <v>1.0049999999999999</v>
      </c>
      <c r="AN141" s="415">
        <v>1.0049999999999999</v>
      </c>
      <c r="BC141" s="365"/>
      <c r="BD141" s="365"/>
      <c r="BE141" s="365"/>
      <c r="BF141" s="365"/>
      <c r="BG141" s="365"/>
    </row>
    <row r="142" spans="2:59">
      <c r="B142" s="376" t="s">
        <v>588</v>
      </c>
      <c r="C142" s="376" t="str">
        <f>'Imp Crude'!B123</f>
        <v>IMPOILHL51</v>
      </c>
      <c r="D142" s="376" t="str">
        <f>'Imp Crude'!C123</f>
        <v>Imported Imported Oil-High Sulfur, Low G, PADD 5, Step 1</v>
      </c>
      <c r="E142" s="415" t="str">
        <f>'Imp Crude'!D123</f>
        <v>OILHL5</v>
      </c>
      <c r="F142" s="415">
        <v>1</v>
      </c>
      <c r="G142" s="413">
        <f>'Imp Crude'!L123</f>
        <v>10.865842792489451</v>
      </c>
      <c r="H142" s="413">
        <f>'Imp Crude'!M123</f>
        <v>12.275328932441758</v>
      </c>
      <c r="I142" s="413">
        <f>'Imp Crude'!N123</f>
        <v>12.1571174428107</v>
      </c>
      <c r="J142" s="413">
        <f>'Imp Crude'!O123</f>
        <v>13.805722769966978</v>
      </c>
      <c r="K142" s="413">
        <f>'Imp Crude'!P123</f>
        <v>15.076200496985946</v>
      </c>
      <c r="L142" s="413">
        <f>'Imp Crude'!Q123</f>
        <v>16.537251705193796</v>
      </c>
      <c r="M142" s="413">
        <f>'Imp Crude'!R123</f>
        <v>18.139894996462122</v>
      </c>
      <c r="N142" s="413">
        <f>'Imp Crude'!S123</f>
        <v>19.89785221563303</v>
      </c>
      <c r="O142" s="413">
        <f>'Imp Crude'!T123</f>
        <v>21.826175006657461</v>
      </c>
      <c r="P142" s="413">
        <f>'Imp Crude'!U123</f>
        <v>23.941373684892614</v>
      </c>
      <c r="Q142" s="405"/>
      <c r="R142" s="405"/>
      <c r="S142" s="405">
        <f>'Imp Crude'!AE123</f>
        <v>27.755151611117295</v>
      </c>
      <c r="T142" s="405">
        <f>'Imp Crude'!AF123</f>
        <v>47.65010761455639</v>
      </c>
      <c r="U142" s="405"/>
      <c r="V142" s="405"/>
      <c r="W142" s="405"/>
      <c r="X142" s="405"/>
      <c r="Y142" s="405"/>
      <c r="Z142" s="405"/>
      <c r="AA142" s="405"/>
      <c r="AB142" s="405"/>
      <c r="AC142" s="405"/>
      <c r="AD142" s="415"/>
      <c r="AE142" s="415"/>
      <c r="AJ142" s="415"/>
      <c r="AK142" s="405"/>
      <c r="AL142" s="415"/>
      <c r="AM142" s="415">
        <v>1.0049999999999999</v>
      </c>
      <c r="AN142" s="415">
        <v>1.0049999999999999</v>
      </c>
      <c r="BC142" s="365"/>
      <c r="BD142" s="365"/>
      <c r="BE142" s="365"/>
      <c r="BF142" s="365"/>
      <c r="BG142" s="365"/>
    </row>
    <row r="143" spans="2:59">
      <c r="B143" s="376" t="s">
        <v>588</v>
      </c>
      <c r="C143" s="376" t="str">
        <f>'Imp Crude'!B124</f>
        <v>IMPOILHL52</v>
      </c>
      <c r="D143" s="376" t="str">
        <f>'Imp Crude'!C124</f>
        <v>Imported Imported Oil-High Sulfur, Low G, PADD 5, Step 2</v>
      </c>
      <c r="E143" s="415" t="str">
        <f>'Imp Crude'!D124</f>
        <v>OILHL5</v>
      </c>
      <c r="F143" s="415">
        <v>1</v>
      </c>
      <c r="G143" s="413">
        <f>'Imp Crude'!L124</f>
        <v>11.469500725405531</v>
      </c>
      <c r="H143" s="413">
        <f>'Imp Crude'!M124</f>
        <v>12.957291650910745</v>
      </c>
      <c r="I143" s="413">
        <f>'Imp Crude'!N124</f>
        <v>12.832512856300184</v>
      </c>
      <c r="J143" s="413">
        <f>'Imp Crude'!O124</f>
        <v>14.572707368298477</v>
      </c>
      <c r="K143" s="413">
        <f>'Imp Crude'!P124</f>
        <v>15.913767191262943</v>
      </c>
      <c r="L143" s="413">
        <f>'Imp Crude'!Q124</f>
        <v>17.455987911037894</v>
      </c>
      <c r="M143" s="413">
        <f>'Imp Crude'!R124</f>
        <v>19.147666940710014</v>
      </c>
      <c r="N143" s="413">
        <f>'Imp Crude'!S124</f>
        <v>21.003288449834862</v>
      </c>
      <c r="O143" s="413">
        <f>'Imp Crude'!T124</f>
        <v>23.038740284805094</v>
      </c>
      <c r="P143" s="413">
        <f>'Imp Crude'!U124</f>
        <v>25.271450000719977</v>
      </c>
      <c r="Q143" s="405"/>
      <c r="R143" s="405"/>
      <c r="S143" s="405">
        <f>'Imp Crude'!AE124</f>
        <v>27.755151611117295</v>
      </c>
      <c r="T143" s="405">
        <f>'Imp Crude'!AF124</f>
        <v>47.65010761455639</v>
      </c>
      <c r="U143" s="405"/>
      <c r="V143" s="405"/>
      <c r="W143" s="405"/>
      <c r="X143" s="405"/>
      <c r="Y143" s="405"/>
      <c r="Z143" s="405"/>
      <c r="AA143" s="405"/>
      <c r="AB143" s="405"/>
      <c r="AC143" s="405"/>
      <c r="AD143" s="415"/>
      <c r="AE143" s="415"/>
      <c r="AJ143" s="415"/>
      <c r="AK143" s="405"/>
      <c r="AL143" s="415"/>
      <c r="AM143" s="415">
        <v>1.0049999999999999</v>
      </c>
      <c r="AN143" s="415">
        <v>1.0049999999999999</v>
      </c>
      <c r="BC143" s="365"/>
      <c r="BD143" s="365"/>
      <c r="BE143" s="365"/>
      <c r="BF143" s="365"/>
      <c r="BG143" s="365"/>
    </row>
    <row r="144" spans="2:59">
      <c r="B144" s="376" t="s">
        <v>588</v>
      </c>
      <c r="C144" s="376" t="str">
        <f>'Imp Crude'!B125</f>
        <v>IMPOILHL54</v>
      </c>
      <c r="D144" s="376" t="str">
        <f>'Imp Crude'!C125</f>
        <v>Imported Imported Oil-High Sulfur, Low G, PADD 5, Step 4</v>
      </c>
      <c r="E144" s="415" t="str">
        <f>'Imp Crude'!D125</f>
        <v>OILHL5</v>
      </c>
      <c r="F144" s="415">
        <v>1</v>
      </c>
      <c r="G144" s="413">
        <f>'Imp Crude'!L125</f>
        <v>12.676816591237694</v>
      </c>
      <c r="H144" s="413">
        <f>'Imp Crude'!M125</f>
        <v>14.321217087848719</v>
      </c>
      <c r="I144" s="413">
        <f>'Imp Crude'!N125</f>
        <v>14.183303683279151</v>
      </c>
      <c r="J144" s="413">
        <f>'Imp Crude'!O125</f>
        <v>16.106676564961475</v>
      </c>
      <c r="K144" s="413">
        <f>'Imp Crude'!P125</f>
        <v>17.588900579816936</v>
      </c>
      <c r="L144" s="413">
        <f>'Imp Crude'!Q125</f>
        <v>19.293460322726094</v>
      </c>
      <c r="M144" s="413">
        <f>'Imp Crude'!R125</f>
        <v>21.163210829205806</v>
      </c>
      <c r="N144" s="413">
        <f>'Imp Crude'!S125</f>
        <v>23.214160918238534</v>
      </c>
      <c r="O144" s="413">
        <f>'Imp Crude'!T125</f>
        <v>25.46387084110037</v>
      </c>
      <c r="P144" s="413">
        <f>'Imp Crude'!U125</f>
        <v>27.931602632374716</v>
      </c>
      <c r="Q144" s="405"/>
      <c r="R144" s="405"/>
      <c r="S144" s="405">
        <f>'Imp Crude'!AE125</f>
        <v>55.510303222234597</v>
      </c>
      <c r="T144" s="405">
        <f>'Imp Crude'!AF125</f>
        <v>95.300215229112723</v>
      </c>
      <c r="U144" s="405"/>
      <c r="V144" s="405"/>
      <c r="W144" s="405"/>
      <c r="X144" s="405"/>
      <c r="Y144" s="405"/>
      <c r="Z144" s="405"/>
      <c r="AA144" s="405"/>
      <c r="AB144" s="405"/>
      <c r="AC144" s="405"/>
      <c r="AD144" s="415"/>
      <c r="AE144" s="415"/>
      <c r="AJ144" s="415"/>
      <c r="AK144" s="405"/>
      <c r="AL144" s="415"/>
      <c r="AM144" s="415">
        <v>1.0049999999999999</v>
      </c>
      <c r="AN144" s="415">
        <v>1.0049999999999999</v>
      </c>
      <c r="BC144" s="365"/>
      <c r="BD144" s="365"/>
      <c r="BE144" s="365"/>
      <c r="BF144" s="365"/>
      <c r="BG144" s="365"/>
    </row>
    <row r="145" spans="2:59">
      <c r="B145" s="376" t="s">
        <v>588</v>
      </c>
      <c r="C145" s="376" t="str">
        <f>'Imp Crude'!B126</f>
        <v>IMPOILHL55</v>
      </c>
      <c r="D145" s="376" t="str">
        <f>'Imp Crude'!C126</f>
        <v>Imported Imported Oil-High Sulfur, Low G, PADD 5, Step 5</v>
      </c>
      <c r="E145" s="415" t="str">
        <f>'Imp Crude'!D126</f>
        <v>OILHL5</v>
      </c>
      <c r="F145" s="415">
        <v>1</v>
      </c>
      <c r="G145" s="413">
        <f>'Imp Crude'!L126</f>
        <v>15.695106255818095</v>
      </c>
      <c r="H145" s="413">
        <f>'Imp Crude'!M126</f>
        <v>17.731030680193651</v>
      </c>
      <c r="I145" s="413">
        <f>'Imp Crude'!N126</f>
        <v>17.560280750726566</v>
      </c>
      <c r="J145" s="413">
        <f>'Imp Crude'!O126</f>
        <v>19.941599556618968</v>
      </c>
      <c r="K145" s="413">
        <f>'Imp Crude'!P126</f>
        <v>21.77673405120192</v>
      </c>
      <c r="L145" s="413">
        <f>'Imp Crude'!Q126</f>
        <v>23.887141351946592</v>
      </c>
      <c r="M145" s="413">
        <f>'Imp Crude'!R126</f>
        <v>26.202070550445285</v>
      </c>
      <c r="N145" s="413">
        <f>'Imp Crude'!S126</f>
        <v>28.741342089247709</v>
      </c>
      <c r="O145" s="413">
        <f>'Imp Crude'!T126</f>
        <v>31.526697231838554</v>
      </c>
      <c r="P145" s="413">
        <f>'Imp Crude'!U126</f>
        <v>34.581984211511553</v>
      </c>
      <c r="Q145" s="405"/>
      <c r="R145" s="405"/>
      <c r="S145" s="405">
        <f>'Imp Crude'!AE126</f>
        <v>27.755151611117242</v>
      </c>
      <c r="T145" s="405">
        <f>'Imp Crude'!AF126</f>
        <v>47.650107614556418</v>
      </c>
      <c r="U145" s="405"/>
      <c r="V145" s="405"/>
      <c r="W145" s="405"/>
      <c r="X145" s="405"/>
      <c r="Y145" s="405"/>
      <c r="Z145" s="405"/>
      <c r="AA145" s="405"/>
      <c r="AB145" s="405"/>
      <c r="AC145" s="405"/>
      <c r="AD145" s="415"/>
      <c r="AE145" s="415"/>
      <c r="AJ145" s="415"/>
      <c r="AK145" s="405"/>
      <c r="AL145" s="415"/>
      <c r="AM145" s="415">
        <v>1.0049999999999999</v>
      </c>
      <c r="AN145" s="415">
        <v>1.0049999999999999</v>
      </c>
      <c r="BC145" s="365"/>
      <c r="BD145" s="365"/>
      <c r="BE145" s="365"/>
      <c r="BF145" s="365"/>
      <c r="BG145" s="365"/>
    </row>
    <row r="146" spans="2:59">
      <c r="B146" s="376" t="s">
        <v>588</v>
      </c>
      <c r="C146" s="376" t="str">
        <f>'Imp Crude'!B127</f>
        <v>IMPOILHV53</v>
      </c>
      <c r="D146" s="376" t="str">
        <f>'Imp Crude'!C127</f>
        <v>Imported Imported Oil-High Sulfur, Very HG, PADD 5, Step 3</v>
      </c>
      <c r="E146" s="415" t="str">
        <f>'Imp Crude'!D127</f>
        <v>OILHV5</v>
      </c>
      <c r="F146" s="415">
        <v>1</v>
      </c>
      <c r="G146" s="413">
        <f>'Imp Crude'!L127</f>
        <v>11.064305674544054</v>
      </c>
      <c r="H146" s="413">
        <f>'Imp Crude'!M127</f>
        <v>12.499535853582248</v>
      </c>
      <c r="I146" s="413">
        <f>'Imp Crude'!N127</f>
        <v>12.379165249985325</v>
      </c>
      <c r="J146" s="413">
        <f>'Imp Crude'!O127</f>
        <v>14.057882089966375</v>
      </c>
      <c r="K146" s="413">
        <f>'Imp Crude'!P127</f>
        <v>15.351564889624958</v>
      </c>
      <c r="L146" s="413">
        <f>'Imp Crude'!Q127</f>
        <v>16.83930196464939</v>
      </c>
      <c r="M146" s="413">
        <f>'Imp Crude'!R127</f>
        <v>18.471217279502525</v>
      </c>
      <c r="N146" s="413">
        <f>'Imp Crude'!S127</f>
        <v>20.261283306329524</v>
      </c>
      <c r="O146" s="413">
        <f>'Imp Crude'!T127</f>
        <v>22.224826604952575</v>
      </c>
      <c r="P146" s="413">
        <f>'Imp Crude'!U127</f>
        <v>24.378659049000245</v>
      </c>
      <c r="Q146" s="405"/>
      <c r="R146" s="405"/>
      <c r="S146" s="405">
        <f>'Imp Crude'!AE127</f>
        <v>335.23175485069311</v>
      </c>
      <c r="T146" s="405">
        <f>'Imp Crude'!AF127</f>
        <v>345.08493844420451</v>
      </c>
      <c r="U146" s="405"/>
      <c r="V146" s="405"/>
      <c r="W146" s="405"/>
      <c r="X146" s="405"/>
      <c r="Y146" s="405"/>
      <c r="Z146" s="405"/>
      <c r="AA146" s="405"/>
      <c r="AB146" s="405"/>
      <c r="AC146" s="405"/>
      <c r="AD146" s="415"/>
      <c r="AE146" s="415"/>
      <c r="AJ146" s="415"/>
      <c r="AK146" s="405"/>
      <c r="AL146" s="415"/>
      <c r="AM146" s="415">
        <v>1.0049999999999999</v>
      </c>
      <c r="AN146" s="415">
        <v>1.0049999999999999</v>
      </c>
      <c r="BC146" s="365"/>
      <c r="BD146" s="365"/>
      <c r="BE146" s="365"/>
      <c r="BF146" s="365"/>
      <c r="BG146" s="365"/>
    </row>
    <row r="147" spans="2:59">
      <c r="B147" s="376" t="s">
        <v>588</v>
      </c>
      <c r="C147" s="376" t="str">
        <f>'Imp Crude'!B128</f>
        <v>IMPOILHV51</v>
      </c>
      <c r="D147" s="376" t="str">
        <f>'Imp Crude'!C128</f>
        <v>Imported Imported Oil-High Sulfur, Very HG, PADD 5, Step 1</v>
      </c>
      <c r="E147" s="415" t="str">
        <f>'Imp Crude'!D128</f>
        <v>OILHV5</v>
      </c>
      <c r="F147" s="415">
        <v>1</v>
      </c>
      <c r="G147" s="413">
        <f>'Imp Crude'!L128</f>
        <v>9.9578751070896452</v>
      </c>
      <c r="H147" s="413">
        <f>'Imp Crude'!M128</f>
        <v>11.249582268224019</v>
      </c>
      <c r="I147" s="413">
        <f>'Imp Crude'!N128</f>
        <v>11.14124872498679</v>
      </c>
      <c r="J147" s="413">
        <f>'Imp Crude'!O128</f>
        <v>12.652093880969735</v>
      </c>
      <c r="K147" s="413">
        <f>'Imp Crude'!P128</f>
        <v>13.816408400662461</v>
      </c>
      <c r="L147" s="413">
        <f>'Imp Crude'!Q128</f>
        <v>15.155371768184448</v>
      </c>
      <c r="M147" s="413">
        <f>'Imp Crude'!R128</f>
        <v>16.624095551552269</v>
      </c>
      <c r="N147" s="413">
        <f>'Imp Crude'!S128</f>
        <v>18.235154975696567</v>
      </c>
      <c r="O147" s="413">
        <f>'Imp Crude'!T128</f>
        <v>20.002343944457312</v>
      </c>
      <c r="P147" s="413">
        <f>'Imp Crude'!U128</f>
        <v>21.940793144100212</v>
      </c>
      <c r="Q147" s="405"/>
      <c r="R147" s="405"/>
      <c r="S147" s="405">
        <f>'Imp Crude'!AE128</f>
        <v>41.903969356336653</v>
      </c>
      <c r="T147" s="405">
        <f>'Imp Crude'!AF128</f>
        <v>43.135617305525564</v>
      </c>
      <c r="U147" s="405"/>
      <c r="V147" s="405"/>
      <c r="W147" s="405"/>
      <c r="X147" s="405"/>
      <c r="Y147" s="405"/>
      <c r="Z147" s="405"/>
      <c r="AA147" s="405"/>
      <c r="AB147" s="405"/>
      <c r="AC147" s="405"/>
      <c r="AD147" s="415"/>
      <c r="AE147" s="415"/>
      <c r="AJ147" s="415"/>
      <c r="AK147" s="405"/>
      <c r="AL147" s="415"/>
      <c r="AM147" s="415">
        <v>1.0049999999999999</v>
      </c>
      <c r="AN147" s="415">
        <v>1.0049999999999999</v>
      </c>
      <c r="BC147" s="365"/>
      <c r="BD147" s="365"/>
      <c r="BE147" s="365"/>
      <c r="BF147" s="365"/>
      <c r="BG147" s="365"/>
    </row>
    <row r="148" spans="2:59">
      <c r="B148" s="376" t="s">
        <v>588</v>
      </c>
      <c r="C148" s="376" t="str">
        <f>'Imp Crude'!B129</f>
        <v>IMPOILHV52</v>
      </c>
      <c r="D148" s="376" t="str">
        <f>'Imp Crude'!C129</f>
        <v>Imported Imported Oil-High Sulfur, Very HG, PADD 5, Step 2</v>
      </c>
      <c r="E148" s="415" t="str">
        <f>'Imp Crude'!D129</f>
        <v>OILHV5</v>
      </c>
      <c r="F148" s="415">
        <v>1</v>
      </c>
      <c r="G148" s="413">
        <f>'Imp Crude'!L129</f>
        <v>10.511090390816848</v>
      </c>
      <c r="H148" s="413">
        <f>'Imp Crude'!M129</f>
        <v>11.874559060903133</v>
      </c>
      <c r="I148" s="413">
        <f>'Imp Crude'!N129</f>
        <v>11.760206987486056</v>
      </c>
      <c r="J148" s="413">
        <f>'Imp Crude'!O129</f>
        <v>13.354987985468053</v>
      </c>
      <c r="K148" s="413">
        <f>'Imp Crude'!P129</f>
        <v>14.583986645143707</v>
      </c>
      <c r="L148" s="413">
        <f>'Imp Crude'!Q129</f>
        <v>15.997336866416916</v>
      </c>
      <c r="M148" s="413">
        <f>'Imp Crude'!R129</f>
        <v>17.547656415527392</v>
      </c>
      <c r="N148" s="413">
        <f>'Imp Crude'!S129</f>
        <v>19.248219141013042</v>
      </c>
      <c r="O148" s="413">
        <f>'Imp Crude'!T129</f>
        <v>21.113585274704942</v>
      </c>
      <c r="P148" s="413">
        <f>'Imp Crude'!U129</f>
        <v>23.159726096550227</v>
      </c>
      <c r="Q148" s="405"/>
      <c r="R148" s="405"/>
      <c r="S148" s="405">
        <f>'Imp Crude'!AE129</f>
        <v>41.903969356336653</v>
      </c>
      <c r="T148" s="405">
        <f>'Imp Crude'!AF129</f>
        <v>43.135617305525564</v>
      </c>
      <c r="U148" s="405"/>
      <c r="V148" s="405"/>
      <c r="W148" s="405"/>
      <c r="X148" s="405"/>
      <c r="Y148" s="405"/>
      <c r="Z148" s="405"/>
      <c r="AA148" s="405"/>
      <c r="AB148" s="405"/>
      <c r="AC148" s="405"/>
      <c r="AD148" s="415"/>
      <c r="AE148" s="415"/>
      <c r="AJ148" s="415"/>
      <c r="AK148" s="405"/>
      <c r="AL148" s="415"/>
      <c r="AM148" s="415">
        <v>1.0049999999999999</v>
      </c>
      <c r="AN148" s="415">
        <v>1.0049999999999999</v>
      </c>
      <c r="BC148" s="365"/>
      <c r="BD148" s="365"/>
      <c r="BE148" s="365"/>
      <c r="BF148" s="365"/>
      <c r="BG148" s="365"/>
    </row>
    <row r="149" spans="2:59">
      <c r="B149" s="376" t="s">
        <v>588</v>
      </c>
      <c r="C149" s="376" t="str">
        <f>'Imp Crude'!B130</f>
        <v>IMPOILHV54</v>
      </c>
      <c r="D149" s="376" t="str">
        <f>'Imp Crude'!C130</f>
        <v>Imported Imported Oil-High Sulfur, Very HG, PADD 5, Step 4</v>
      </c>
      <c r="E149" s="415" t="str">
        <f>'Imp Crude'!D130</f>
        <v>OILHV5</v>
      </c>
      <c r="F149" s="415">
        <v>1</v>
      </c>
      <c r="G149" s="413">
        <f>'Imp Crude'!L130</f>
        <v>11.617520958271253</v>
      </c>
      <c r="H149" s="413">
        <f>'Imp Crude'!M130</f>
        <v>13.124512646261357</v>
      </c>
      <c r="I149" s="413">
        <f>'Imp Crude'!N130</f>
        <v>12.998123512484588</v>
      </c>
      <c r="J149" s="413">
        <f>'Imp Crude'!O130</f>
        <v>14.76077619446469</v>
      </c>
      <c r="K149" s="413">
        <f>'Imp Crude'!P130</f>
        <v>16.119143134106203</v>
      </c>
      <c r="L149" s="413">
        <f>'Imp Crude'!Q130</f>
        <v>17.681267062881854</v>
      </c>
      <c r="M149" s="413">
        <f>'Imp Crude'!R130</f>
        <v>19.394778143477645</v>
      </c>
      <c r="N149" s="413">
        <f>'Imp Crude'!S130</f>
        <v>21.274347471645992</v>
      </c>
      <c r="O149" s="413">
        <f>'Imp Crude'!T130</f>
        <v>23.336067935200195</v>
      </c>
      <c r="P149" s="413">
        <f>'Imp Crude'!U130</f>
        <v>25.597592001450245</v>
      </c>
      <c r="Q149" s="405"/>
      <c r="R149" s="405"/>
      <c r="S149" s="405">
        <f>'Imp Crude'!AE130</f>
        <v>83.807938712673206</v>
      </c>
      <c r="T149" s="405">
        <f>'Imp Crude'!AF130</f>
        <v>86.271234611051057</v>
      </c>
      <c r="U149" s="405"/>
      <c r="V149" s="405"/>
      <c r="W149" s="405"/>
      <c r="X149" s="405"/>
      <c r="Y149" s="405"/>
      <c r="Z149" s="405"/>
      <c r="AA149" s="405"/>
      <c r="AB149" s="405"/>
      <c r="AC149" s="405"/>
      <c r="AD149" s="415"/>
      <c r="AE149" s="415"/>
      <c r="AJ149" s="415"/>
      <c r="AK149" s="405"/>
      <c r="AL149" s="415"/>
      <c r="AM149" s="415">
        <v>1.0049999999999999</v>
      </c>
      <c r="AN149" s="415">
        <v>1.0049999999999999</v>
      </c>
      <c r="BC149" s="365"/>
      <c r="BD149" s="365"/>
      <c r="BE149" s="365"/>
      <c r="BF149" s="365"/>
      <c r="BG149" s="365"/>
    </row>
    <row r="150" spans="2:59">
      <c r="B150" s="376" t="s">
        <v>588</v>
      </c>
      <c r="C150" s="376" t="str">
        <f>'Imp Crude'!B131</f>
        <v>IMPOILHV55</v>
      </c>
      <c r="D150" s="376" t="str">
        <f>'Imp Crude'!C131</f>
        <v>Imported Imported Oil-High Sulfur, Very HG, PADD 5, Step 5</v>
      </c>
      <c r="E150" s="415" t="str">
        <f>'Imp Crude'!D131</f>
        <v>OILHV5</v>
      </c>
      <c r="F150" s="415">
        <v>1</v>
      </c>
      <c r="G150" s="413">
        <f>'Imp Crude'!L131</f>
        <v>14.383597376907268</v>
      </c>
      <c r="H150" s="413">
        <f>'Imp Crude'!M131</f>
        <v>16.24939660965692</v>
      </c>
      <c r="I150" s="413">
        <f>'Imp Crude'!N131</f>
        <v>16.09291482498092</v>
      </c>
      <c r="J150" s="413">
        <f>'Imp Crude'!O131</f>
        <v>18.275246716956286</v>
      </c>
      <c r="K150" s="413">
        <f>'Imp Crude'!P131</f>
        <v>19.957034356512445</v>
      </c>
      <c r="L150" s="413">
        <f>'Imp Crude'!Q131</f>
        <v>21.891092554044203</v>
      </c>
      <c r="M150" s="413">
        <f>'Imp Crude'!R131</f>
        <v>24.012582463353276</v>
      </c>
      <c r="N150" s="413">
        <f>'Imp Crude'!S131</f>
        <v>26.339668298228375</v>
      </c>
      <c r="O150" s="413">
        <f>'Imp Crude'!T131</f>
        <v>28.89227458643834</v>
      </c>
      <c r="P150" s="413">
        <f>'Imp Crude'!U131</f>
        <v>31.692256763700307</v>
      </c>
      <c r="Q150" s="405"/>
      <c r="R150" s="405"/>
      <c r="S150" s="405">
        <f>'Imp Crude'!AE131</f>
        <v>41.903969356336745</v>
      </c>
      <c r="T150" s="405">
        <f>'Imp Crude'!AF131</f>
        <v>43.135617305525557</v>
      </c>
      <c r="U150" s="405"/>
      <c r="V150" s="405"/>
      <c r="W150" s="405"/>
      <c r="X150" s="405"/>
      <c r="Y150" s="405"/>
      <c r="Z150" s="405"/>
      <c r="AA150" s="405"/>
      <c r="AB150" s="405"/>
      <c r="AC150" s="405"/>
      <c r="AD150" s="415"/>
      <c r="AE150" s="415"/>
      <c r="AJ150" s="415"/>
      <c r="AK150" s="405"/>
      <c r="AL150" s="415"/>
      <c r="AM150" s="415">
        <v>1.0049999999999999</v>
      </c>
      <c r="AN150" s="415">
        <v>1.0049999999999999</v>
      </c>
      <c r="BC150" s="365"/>
      <c r="BD150" s="365"/>
      <c r="BE150" s="365"/>
      <c r="BF150" s="365"/>
      <c r="BG150" s="365"/>
    </row>
    <row r="151" spans="2:59">
      <c r="B151" s="376" t="s">
        <v>588</v>
      </c>
      <c r="C151" s="376" t="str">
        <f>'Imp Crude'!B132</f>
        <v>IMPOILLL53</v>
      </c>
      <c r="D151" s="376" t="str">
        <f>'Imp Crude'!C132</f>
        <v>Imported Imported Oil-Low Sulfur, Low G, PADD 5, Step 3</v>
      </c>
      <c r="E151" s="415" t="str">
        <f>'Imp Crude'!D132</f>
        <v>OILLL5</v>
      </c>
      <c r="F151" s="415">
        <v>1</v>
      </c>
      <c r="G151" s="413">
        <f>'Imp Crude'!L132</f>
        <v>14.669714698535982</v>
      </c>
      <c r="H151" s="413">
        <f>'Imp Crude'!M132</f>
        <v>16.572628254301122</v>
      </c>
      <c r="I151" s="413">
        <f>'Imp Crude'!N132</f>
        <v>16.413033746991001</v>
      </c>
      <c r="J151" s="413">
        <f>'Imp Crude'!O132</f>
        <v>18.638776403288745</v>
      </c>
      <c r="K151" s="413">
        <f>'Imp Crude'!P132</f>
        <v>20.354018022567015</v>
      </c>
      <c r="L151" s="413">
        <f>'Imp Crude'!Q132</f>
        <v>22.326548344759345</v>
      </c>
      <c r="M151" s="413">
        <f>'Imp Crude'!R132</f>
        <v>24.49023875473652</v>
      </c>
      <c r="N151" s="413">
        <f>'Imp Crude'!S132</f>
        <v>26.863614787315814</v>
      </c>
      <c r="O151" s="413">
        <f>'Imp Crude'!T132</f>
        <v>29.46699730731379</v>
      </c>
      <c r="P151" s="413">
        <f>'Imp Crude'!U132</f>
        <v>32.322676496955467</v>
      </c>
      <c r="Q151" s="405"/>
      <c r="R151" s="405"/>
      <c r="S151" s="405">
        <f>'Imp Crude'!AE132</f>
        <v>288.6107368269524</v>
      </c>
      <c r="T151" s="405">
        <f>'Imp Crude'!AF132</f>
        <v>491.50436420713913</v>
      </c>
      <c r="U151" s="405"/>
      <c r="V151" s="405"/>
      <c r="W151" s="405"/>
      <c r="X151" s="405"/>
      <c r="Y151" s="405"/>
      <c r="Z151" s="405"/>
      <c r="AA151" s="405"/>
      <c r="AB151" s="405"/>
      <c r="AC151" s="405"/>
      <c r="AD151" s="415"/>
      <c r="AE151" s="415"/>
      <c r="AJ151" s="415"/>
      <c r="AK151" s="405"/>
      <c r="AL151" s="415"/>
      <c r="AM151" s="415">
        <v>1.0049999999999999</v>
      </c>
      <c r="AN151" s="415">
        <v>1.0049999999999999</v>
      </c>
      <c r="BC151" s="365"/>
      <c r="BD151" s="365"/>
      <c r="BE151" s="365"/>
      <c r="BF151" s="365"/>
      <c r="BG151" s="365"/>
    </row>
    <row r="152" spans="2:59">
      <c r="B152" s="376" t="s">
        <v>588</v>
      </c>
      <c r="C152" s="376" t="str">
        <f>'Imp Crude'!B133</f>
        <v>IMPOILLL51</v>
      </c>
      <c r="D152" s="376" t="str">
        <f>'Imp Crude'!C133</f>
        <v>Imported Imported Oil-Low Sulfur, Low G, PADD 5, Step 1</v>
      </c>
      <c r="E152" s="415" t="str">
        <f>'Imp Crude'!D133</f>
        <v>OILLL5</v>
      </c>
      <c r="F152" s="415">
        <v>1</v>
      </c>
      <c r="G152" s="413">
        <f>'Imp Crude'!L133</f>
        <v>13.202743228682387</v>
      </c>
      <c r="H152" s="413">
        <f>'Imp Crude'!M133</f>
        <v>14.915365428871013</v>
      </c>
      <c r="I152" s="413">
        <f>'Imp Crude'!N133</f>
        <v>14.771730372291906</v>
      </c>
      <c r="J152" s="413">
        <f>'Imp Crude'!O133</f>
        <v>16.774898762959875</v>
      </c>
      <c r="K152" s="413">
        <f>'Imp Crude'!P133</f>
        <v>18.318616220310318</v>
      </c>
      <c r="L152" s="413">
        <f>'Imp Crude'!Q133</f>
        <v>20.093893510283415</v>
      </c>
      <c r="M152" s="413">
        <f>'Imp Crude'!R133</f>
        <v>22.041214879262871</v>
      </c>
      <c r="N152" s="413">
        <f>'Imp Crude'!S133</f>
        <v>24.177253308584234</v>
      </c>
      <c r="O152" s="413">
        <f>'Imp Crude'!T133</f>
        <v>26.520297576582411</v>
      </c>
      <c r="P152" s="413">
        <f>'Imp Crude'!U133</f>
        <v>29.090408847259919</v>
      </c>
      <c r="Q152" s="405"/>
      <c r="R152" s="405"/>
      <c r="S152" s="405">
        <f>'Imp Crude'!AE133</f>
        <v>36.076342103369058</v>
      </c>
      <c r="T152" s="405">
        <f>'Imp Crude'!AF133</f>
        <v>61.438045525892406</v>
      </c>
      <c r="U152" s="405"/>
      <c r="V152" s="405"/>
      <c r="W152" s="405"/>
      <c r="X152" s="405"/>
      <c r="Y152" s="405"/>
      <c r="Z152" s="405"/>
      <c r="AA152" s="405"/>
      <c r="AB152" s="405"/>
      <c r="AC152" s="405"/>
      <c r="AD152" s="415"/>
      <c r="AE152" s="415"/>
      <c r="AJ152" s="415"/>
      <c r="AK152" s="405"/>
      <c r="AL152" s="415"/>
      <c r="AM152" s="415">
        <v>1.0049999999999999</v>
      </c>
      <c r="AN152" s="415">
        <v>1.0049999999999999</v>
      </c>
      <c r="BC152" s="365"/>
      <c r="BD152" s="365"/>
      <c r="BE152" s="365"/>
      <c r="BF152" s="365"/>
      <c r="BG152" s="365"/>
    </row>
    <row r="153" spans="2:59">
      <c r="B153" s="376" t="s">
        <v>588</v>
      </c>
      <c r="C153" s="376" t="str">
        <f>'Imp Crude'!B134</f>
        <v>IMPOILLL52</v>
      </c>
      <c r="D153" s="376" t="str">
        <f>'Imp Crude'!C134</f>
        <v>Imported Imported Oil-Low Sulfur, Low G, PADD 5, Step 2</v>
      </c>
      <c r="E153" s="415" t="str">
        <f>'Imp Crude'!D134</f>
        <v>OILLL5</v>
      </c>
      <c r="F153" s="415">
        <v>1</v>
      </c>
      <c r="G153" s="413">
        <f>'Imp Crude'!L134</f>
        <v>13.936228963609183</v>
      </c>
      <c r="H153" s="413">
        <f>'Imp Crude'!M134</f>
        <v>15.743996841586066</v>
      </c>
      <c r="I153" s="413">
        <f>'Imp Crude'!N134</f>
        <v>15.592382059641452</v>
      </c>
      <c r="J153" s="413">
        <f>'Imp Crude'!O134</f>
        <v>17.706837583124308</v>
      </c>
      <c r="K153" s="413">
        <f>'Imp Crude'!P134</f>
        <v>19.336317121438665</v>
      </c>
      <c r="L153" s="413">
        <f>'Imp Crude'!Q134</f>
        <v>21.21022092752138</v>
      </c>
      <c r="M153" s="413">
        <f>'Imp Crude'!R134</f>
        <v>23.265726816999695</v>
      </c>
      <c r="N153" s="413">
        <f>'Imp Crude'!S134</f>
        <v>25.520434047950026</v>
      </c>
      <c r="O153" s="413">
        <f>'Imp Crude'!T134</f>
        <v>27.993647441948102</v>
      </c>
      <c r="P153" s="413">
        <f>'Imp Crude'!U134</f>
        <v>30.706542672107695</v>
      </c>
      <c r="Q153" s="405"/>
      <c r="R153" s="405"/>
      <c r="S153" s="405">
        <f>'Imp Crude'!AE134</f>
        <v>36.076342103369058</v>
      </c>
      <c r="T153" s="405">
        <f>'Imp Crude'!AF134</f>
        <v>61.438045525892406</v>
      </c>
      <c r="U153" s="405"/>
      <c r="V153" s="405"/>
      <c r="W153" s="405"/>
      <c r="X153" s="405"/>
      <c r="Y153" s="405"/>
      <c r="Z153" s="405"/>
      <c r="AA153" s="405"/>
      <c r="AB153" s="405"/>
      <c r="AC153" s="405"/>
      <c r="AD153" s="415"/>
      <c r="AE153" s="415"/>
      <c r="AJ153" s="415"/>
      <c r="AK153" s="405"/>
      <c r="AL153" s="415"/>
      <c r="AM153" s="415">
        <v>1.0049999999999999</v>
      </c>
      <c r="AN153" s="415">
        <v>1.0049999999999999</v>
      </c>
      <c r="BC153" s="365"/>
      <c r="BD153" s="365"/>
      <c r="BE153" s="365"/>
      <c r="BF153" s="365"/>
      <c r="BG153" s="365"/>
    </row>
    <row r="154" spans="2:59">
      <c r="B154" s="376" t="s">
        <v>588</v>
      </c>
      <c r="C154" s="376" t="str">
        <f>'Imp Crude'!B135</f>
        <v>IMPOILLL54</v>
      </c>
      <c r="D154" s="376" t="str">
        <f>'Imp Crude'!C135</f>
        <v>Imported Imported Oil-Low Sulfur, Low G, PADD 5, Step 4</v>
      </c>
      <c r="E154" s="415" t="str">
        <f>'Imp Crude'!D135</f>
        <v>OILLL5</v>
      </c>
      <c r="F154" s="415">
        <v>1</v>
      </c>
      <c r="G154" s="413">
        <f>'Imp Crude'!L135</f>
        <v>15.403200433462786</v>
      </c>
      <c r="H154" s="413">
        <f>'Imp Crude'!M135</f>
        <v>17.401259667016181</v>
      </c>
      <c r="I154" s="413">
        <f>'Imp Crude'!N135</f>
        <v>17.233685434340554</v>
      </c>
      <c r="J154" s="413">
        <f>'Imp Crude'!O135</f>
        <v>19.570715223453185</v>
      </c>
      <c r="K154" s="413">
        <f>'Imp Crude'!P135</f>
        <v>21.371718923695369</v>
      </c>
      <c r="L154" s="413">
        <f>'Imp Crude'!Q135</f>
        <v>23.442875761997318</v>
      </c>
      <c r="M154" s="413">
        <f>'Imp Crude'!R135</f>
        <v>25.714750692473352</v>
      </c>
      <c r="N154" s="413">
        <f>'Imp Crude'!S135</f>
        <v>28.20679552668161</v>
      </c>
      <c r="O154" s="413">
        <f>'Imp Crude'!T135</f>
        <v>30.940347172679484</v>
      </c>
      <c r="P154" s="413">
        <f>'Imp Crude'!U135</f>
        <v>33.938810321803246</v>
      </c>
      <c r="Q154" s="405"/>
      <c r="R154" s="405"/>
      <c r="S154" s="405">
        <f>'Imp Crude'!AE135</f>
        <v>72.152684206738172</v>
      </c>
      <c r="T154" s="405">
        <f>'Imp Crude'!AF135</f>
        <v>122.8760910517849</v>
      </c>
      <c r="U154" s="405"/>
      <c r="V154" s="405"/>
      <c r="W154" s="405"/>
      <c r="X154" s="405"/>
      <c r="Y154" s="405"/>
      <c r="Z154" s="405"/>
      <c r="AA154" s="405"/>
      <c r="AB154" s="405"/>
      <c r="AC154" s="405"/>
      <c r="AD154" s="415"/>
      <c r="AE154" s="415"/>
      <c r="AJ154" s="415"/>
      <c r="AK154" s="405"/>
      <c r="AL154" s="415"/>
      <c r="AM154" s="415">
        <v>1.0049999999999999</v>
      </c>
      <c r="AN154" s="415">
        <v>1.0049999999999999</v>
      </c>
      <c r="BC154" s="365"/>
      <c r="BD154" s="365"/>
      <c r="BE154" s="365"/>
      <c r="BF154" s="365"/>
      <c r="BG154" s="365"/>
    </row>
    <row r="155" spans="2:59">
      <c r="B155" s="376" t="s">
        <v>588</v>
      </c>
      <c r="C155" s="376" t="str">
        <f>'Imp Crude'!B136</f>
        <v>IMPOILLL55</v>
      </c>
      <c r="D155" s="376" t="str">
        <f>'Imp Crude'!C136</f>
        <v>Imported Imported Oil-Low Sulfur, Low G, PADD 5, Step 5</v>
      </c>
      <c r="E155" s="415" t="str">
        <f>'Imp Crude'!D136</f>
        <v>OILLL5</v>
      </c>
      <c r="F155" s="415">
        <v>1</v>
      </c>
      <c r="G155" s="413">
        <f>'Imp Crude'!L136</f>
        <v>19.070629108096782</v>
      </c>
      <c r="H155" s="413">
        <f>'Imp Crude'!M136</f>
        <v>21.544416730591465</v>
      </c>
      <c r="I155" s="413">
        <f>'Imp Crude'!N136</f>
        <v>21.336943871088309</v>
      </c>
      <c r="J155" s="413">
        <f>'Imp Crude'!O136</f>
        <v>24.230409324275378</v>
      </c>
      <c r="K155" s="413">
        <f>'Imp Crude'!P136</f>
        <v>26.46022342933713</v>
      </c>
      <c r="L155" s="413">
        <f>'Imp Crude'!Q136</f>
        <v>29.024512848187161</v>
      </c>
      <c r="M155" s="413">
        <f>'Imp Crude'!R136</f>
        <v>31.83731038115749</v>
      </c>
      <c r="N155" s="413">
        <f>'Imp Crude'!S136</f>
        <v>34.922699223510577</v>
      </c>
      <c r="O155" s="413">
        <f>'Imp Crude'!T136</f>
        <v>38.307096499507949</v>
      </c>
      <c r="P155" s="413">
        <f>'Imp Crude'!U136</f>
        <v>42.019479446042126</v>
      </c>
      <c r="Q155" s="405"/>
      <c r="R155" s="405"/>
      <c r="S155" s="405">
        <f>'Imp Crude'!AE136</f>
        <v>36.076342103369086</v>
      </c>
      <c r="T155" s="405">
        <f>'Imp Crude'!AF136</f>
        <v>61.438045525892107</v>
      </c>
      <c r="U155" s="405"/>
      <c r="V155" s="405"/>
      <c r="W155" s="405"/>
      <c r="X155" s="405"/>
      <c r="Y155" s="405"/>
      <c r="Z155" s="405"/>
      <c r="AA155" s="405"/>
      <c r="AB155" s="405"/>
      <c r="AC155" s="405"/>
      <c r="AD155" s="415"/>
      <c r="AE155" s="415"/>
      <c r="AJ155" s="415"/>
      <c r="AK155" s="405"/>
      <c r="AL155" s="415"/>
      <c r="AM155" s="415">
        <v>1.0049999999999999</v>
      </c>
      <c r="AN155" s="415">
        <v>1.0049999999999999</v>
      </c>
      <c r="BC155" s="365"/>
      <c r="BD155" s="365"/>
      <c r="BE155" s="365"/>
      <c r="BF155" s="365"/>
      <c r="BG155" s="365"/>
    </row>
    <row r="156" spans="2:59">
      <c r="B156" s="376" t="s">
        <v>588</v>
      </c>
      <c r="C156" s="376" t="str">
        <f>'Imp Crude'!B137</f>
        <v>IMPOILMH53</v>
      </c>
      <c r="D156" s="376" t="str">
        <f>'Imp Crude'!C137</f>
        <v>Imported Imported Oil-Medium Sulfur, HG, PADD 5, Step 3</v>
      </c>
      <c r="E156" s="415" t="str">
        <f>'Imp Crude'!D137</f>
        <v>OILMH5</v>
      </c>
      <c r="F156" s="415">
        <v>1</v>
      </c>
      <c r="G156" s="413">
        <f>'Imp Crude'!L137</f>
        <v>12.053312370116149</v>
      </c>
      <c r="H156" s="413">
        <f>'Imp Crude'!M137</f>
        <v>13.61683367726568</v>
      </c>
      <c r="I156" s="413">
        <f>'Imp Crude'!N137</f>
        <v>13.485703489072201</v>
      </c>
      <c r="J156" s="413">
        <f>'Imp Crude'!O137</f>
        <v>15.314476034630031</v>
      </c>
      <c r="K156" s="413">
        <f>'Imp Crude'!P137</f>
        <v>16.723797446276034</v>
      </c>
      <c r="L156" s="413">
        <f>'Imp Crude'!Q137</f>
        <v>18.34451909093643</v>
      </c>
      <c r="M156" s="413">
        <f>'Imp Crude'!R137</f>
        <v>20.122306656653866</v>
      </c>
      <c r="N156" s="413">
        <f>'Imp Crude'!S137</f>
        <v>22.072381574967043</v>
      </c>
      <c r="O156" s="413">
        <f>'Imp Crude'!T137</f>
        <v>24.211440403123216</v>
      </c>
      <c r="P156" s="413">
        <f>'Imp Crude'!U137</f>
        <v>26.557797780136578</v>
      </c>
      <c r="Q156" s="405"/>
      <c r="R156" s="405"/>
      <c r="S156" s="405">
        <f>'Imp Crude'!AE137</f>
        <v>317.2017326984834</v>
      </c>
      <c r="T156" s="405">
        <f>'Imp Crude'!AF137</f>
        <v>229.00735781138303</v>
      </c>
      <c r="U156" s="405"/>
      <c r="V156" s="405"/>
      <c r="W156" s="405"/>
      <c r="X156" s="405"/>
      <c r="Y156" s="405"/>
      <c r="Z156" s="405"/>
      <c r="AA156" s="405"/>
      <c r="AB156" s="405"/>
      <c r="AC156" s="405"/>
      <c r="AD156" s="415"/>
      <c r="AE156" s="415"/>
      <c r="AJ156" s="415"/>
      <c r="AK156" s="405"/>
      <c r="AL156" s="415"/>
      <c r="AM156" s="415">
        <v>1.0049999999999999</v>
      </c>
      <c r="AN156" s="415">
        <v>1.0049999999999999</v>
      </c>
      <c r="BC156" s="365"/>
      <c r="BD156" s="365"/>
      <c r="BE156" s="365"/>
      <c r="BF156" s="365"/>
      <c r="BG156" s="365"/>
    </row>
    <row r="157" spans="2:59">
      <c r="B157" s="376" t="s">
        <v>588</v>
      </c>
      <c r="C157" s="376" t="str">
        <f>'Imp Crude'!B138</f>
        <v>IMPOILMH51</v>
      </c>
      <c r="D157" s="376" t="str">
        <f>'Imp Crude'!C138</f>
        <v>Imported Imported Oil-Medium Sulfur, HG, PADD 5, Step 1</v>
      </c>
      <c r="E157" s="415" t="str">
        <f>'Imp Crude'!D138</f>
        <v>OILMH5</v>
      </c>
      <c r="F157" s="415">
        <v>1</v>
      </c>
      <c r="G157" s="413">
        <f>'Imp Crude'!L138</f>
        <v>10.847981133104536</v>
      </c>
      <c r="H157" s="413">
        <f>'Imp Crude'!M138</f>
        <v>12.255150309539113</v>
      </c>
      <c r="I157" s="413">
        <f>'Imp Crude'!N138</f>
        <v>12.137133140164982</v>
      </c>
      <c r="J157" s="413">
        <f>'Imp Crude'!O138</f>
        <v>13.783028431167031</v>
      </c>
      <c r="K157" s="413">
        <f>'Imp Crude'!P138</f>
        <v>15.051417701648433</v>
      </c>
      <c r="L157" s="413">
        <f>'Imp Crude'!Q138</f>
        <v>16.510067181842789</v>
      </c>
      <c r="M157" s="413">
        <f>'Imp Crude'!R138</f>
        <v>18.110075990988481</v>
      </c>
      <c r="N157" s="413">
        <f>'Imp Crude'!S138</f>
        <v>19.865143417470343</v>
      </c>
      <c r="O157" s="413">
        <f>'Imp Crude'!T138</f>
        <v>21.790296362810899</v>
      </c>
      <c r="P157" s="413">
        <f>'Imp Crude'!U138</f>
        <v>23.902018002122926</v>
      </c>
      <c r="Q157" s="405"/>
      <c r="R157" s="405"/>
      <c r="S157" s="405">
        <f>'Imp Crude'!AE138</f>
        <v>39.650216587310425</v>
      </c>
      <c r="T157" s="405">
        <f>'Imp Crude'!AF138</f>
        <v>28.62591972642289</v>
      </c>
      <c r="U157" s="405"/>
      <c r="V157" s="405"/>
      <c r="W157" s="405"/>
      <c r="X157" s="405"/>
      <c r="Y157" s="405"/>
      <c r="Z157" s="405"/>
      <c r="AA157" s="405"/>
      <c r="AB157" s="405"/>
      <c r="AC157" s="405"/>
      <c r="AD157" s="415"/>
      <c r="AE157" s="415"/>
      <c r="AJ157" s="415"/>
      <c r="AK157" s="405"/>
      <c r="AL157" s="415"/>
      <c r="AM157" s="415">
        <v>1.0049999999999999</v>
      </c>
      <c r="AN157" s="415">
        <v>1.0049999999999999</v>
      </c>
      <c r="BC157" s="365"/>
      <c r="BD157" s="365"/>
      <c r="BE157" s="365"/>
      <c r="BF157" s="365"/>
      <c r="BG157" s="365"/>
    </row>
    <row r="158" spans="2:59">
      <c r="B158" s="376" t="s">
        <v>588</v>
      </c>
      <c r="C158" s="376" t="str">
        <f>'Imp Crude'!B139</f>
        <v>IMPOILMH52</v>
      </c>
      <c r="D158" s="376" t="str">
        <f>'Imp Crude'!C139</f>
        <v>Imported Imported Oil-Medium Sulfur, HG, PADD 5, Step 2</v>
      </c>
      <c r="E158" s="415" t="str">
        <f>'Imp Crude'!D139</f>
        <v>OILMH5</v>
      </c>
      <c r="F158" s="415">
        <v>1</v>
      </c>
      <c r="G158" s="413">
        <f>'Imp Crude'!L139</f>
        <v>11.450646751610343</v>
      </c>
      <c r="H158" s="413">
        <f>'Imp Crude'!M139</f>
        <v>12.935991993402396</v>
      </c>
      <c r="I158" s="413">
        <f>'Imp Crude'!N139</f>
        <v>12.811418314618592</v>
      </c>
      <c r="J158" s="413">
        <f>'Imp Crude'!O139</f>
        <v>14.548752232898533</v>
      </c>
      <c r="K158" s="413">
        <f>'Imp Crude'!P139</f>
        <v>15.887607573962235</v>
      </c>
      <c r="L158" s="413">
        <f>'Imp Crude'!Q139</f>
        <v>17.427293136389611</v>
      </c>
      <c r="M158" s="413">
        <f>'Imp Crude'!R139</f>
        <v>19.116191323821173</v>
      </c>
      <c r="N158" s="413">
        <f>'Imp Crude'!S139</f>
        <v>20.968762496218694</v>
      </c>
      <c r="O158" s="413">
        <f>'Imp Crude'!T139</f>
        <v>23.000868382967059</v>
      </c>
      <c r="P158" s="413">
        <f>'Imp Crude'!U139</f>
        <v>25.229907891129756</v>
      </c>
      <c r="Q158" s="405"/>
      <c r="R158" s="405"/>
      <c r="S158" s="405">
        <f>'Imp Crude'!AE139</f>
        <v>39.650216587310425</v>
      </c>
      <c r="T158" s="405">
        <f>'Imp Crude'!AF139</f>
        <v>28.62591972642289</v>
      </c>
      <c r="U158" s="405"/>
      <c r="V158" s="405"/>
      <c r="W158" s="405"/>
      <c r="X158" s="405"/>
      <c r="Y158" s="405"/>
      <c r="Z158" s="405"/>
      <c r="AA158" s="405"/>
      <c r="AB158" s="405"/>
      <c r="AC158" s="405"/>
      <c r="AD158" s="415"/>
      <c r="AE158" s="415"/>
      <c r="AJ158" s="415"/>
      <c r="AK158" s="405"/>
      <c r="AL158" s="415"/>
      <c r="AM158" s="415">
        <v>1.0049999999999999</v>
      </c>
      <c r="AN158" s="415">
        <v>1.0049999999999999</v>
      </c>
      <c r="BC158" s="365"/>
      <c r="BD158" s="365"/>
      <c r="BE158" s="365"/>
      <c r="BF158" s="365"/>
      <c r="BG158" s="365"/>
    </row>
    <row r="159" spans="2:59">
      <c r="B159" s="376" t="s">
        <v>588</v>
      </c>
      <c r="C159" s="376" t="str">
        <f>'Imp Crude'!B140</f>
        <v>IMPOILMH54</v>
      </c>
      <c r="D159" s="376" t="str">
        <f>'Imp Crude'!C140</f>
        <v>Imported Imported Oil-Medium Sulfur, HG, PADD 5, Step 4</v>
      </c>
      <c r="E159" s="415" t="str">
        <f>'Imp Crude'!D140</f>
        <v>OILMH5</v>
      </c>
      <c r="F159" s="415">
        <v>1</v>
      </c>
      <c r="G159" s="413">
        <f>'Imp Crude'!L140</f>
        <v>12.655977988621959</v>
      </c>
      <c r="H159" s="413">
        <f>'Imp Crude'!M140</f>
        <v>14.297675361128967</v>
      </c>
      <c r="I159" s="413">
        <f>'Imp Crude'!N140</f>
        <v>14.159988663525814</v>
      </c>
      <c r="J159" s="413">
        <f>'Imp Crude'!O140</f>
        <v>16.080199836361537</v>
      </c>
      <c r="K159" s="413">
        <f>'Imp Crude'!P140</f>
        <v>17.55998731858984</v>
      </c>
      <c r="L159" s="413">
        <f>'Imp Crude'!Q140</f>
        <v>19.261745045483256</v>
      </c>
      <c r="M159" s="413">
        <f>'Imp Crude'!R140</f>
        <v>21.128421989486561</v>
      </c>
      <c r="N159" s="413">
        <f>'Imp Crude'!S140</f>
        <v>23.176000653715398</v>
      </c>
      <c r="O159" s="413">
        <f>'Imp Crude'!T140</f>
        <v>25.42201242327938</v>
      </c>
      <c r="P159" s="413">
        <f>'Imp Crude'!U140</f>
        <v>27.885687669143412</v>
      </c>
      <c r="Q159" s="405"/>
      <c r="R159" s="405"/>
      <c r="S159" s="405">
        <f>'Imp Crude'!AE140</f>
        <v>79.300433174620878</v>
      </c>
      <c r="T159" s="405">
        <f>'Imp Crude'!AF140</f>
        <v>57.251839452845786</v>
      </c>
      <c r="U159" s="405"/>
      <c r="V159" s="405"/>
      <c r="W159" s="405"/>
      <c r="X159" s="405"/>
      <c r="Y159" s="405"/>
      <c r="Z159" s="405"/>
      <c r="AA159" s="405"/>
      <c r="AB159" s="405"/>
      <c r="AC159" s="405"/>
      <c r="AD159" s="415"/>
      <c r="AE159" s="415"/>
      <c r="AJ159" s="415"/>
      <c r="AK159" s="405"/>
      <c r="AL159" s="415"/>
      <c r="AM159" s="415">
        <v>1.0049999999999999</v>
      </c>
      <c r="AN159" s="415">
        <v>1.0049999999999999</v>
      </c>
      <c r="BC159" s="365"/>
      <c r="BD159" s="365"/>
      <c r="BE159" s="365"/>
      <c r="BF159" s="365"/>
      <c r="BG159" s="365"/>
    </row>
    <row r="160" spans="2:59">
      <c r="B160" s="376" t="s">
        <v>588</v>
      </c>
      <c r="C160" s="376" t="str">
        <f>'Imp Crude'!B141</f>
        <v>IMPOILMH55</v>
      </c>
      <c r="D160" s="376" t="str">
        <f>'Imp Crude'!C141</f>
        <v>Imported Imported Oil-Medium Sulfur, HG, PADD 5, Step 5</v>
      </c>
      <c r="E160" s="415" t="str">
        <f>'Imp Crude'!D141</f>
        <v>OILMH5</v>
      </c>
      <c r="F160" s="415">
        <v>1</v>
      </c>
      <c r="G160" s="413">
        <f>'Imp Crude'!L141</f>
        <v>15.669306081150996</v>
      </c>
      <c r="H160" s="413">
        <f>'Imp Crude'!M141</f>
        <v>17.701883780445385</v>
      </c>
      <c r="I160" s="413">
        <f>'Imp Crude'!N141</f>
        <v>17.531414535793864</v>
      </c>
      <c r="J160" s="413">
        <f>'Imp Crude'!O141</f>
        <v>19.908818845019045</v>
      </c>
      <c r="K160" s="413">
        <f>'Imp Crude'!P141</f>
        <v>21.740936680158846</v>
      </c>
      <c r="L160" s="413">
        <f>'Imp Crude'!Q141</f>
        <v>23.84787481821736</v>
      </c>
      <c r="M160" s="413">
        <f>'Imp Crude'!R141</f>
        <v>26.158998653650023</v>
      </c>
      <c r="N160" s="413">
        <f>'Imp Crude'!S141</f>
        <v>28.694096047457155</v>
      </c>
      <c r="O160" s="413">
        <f>'Imp Crude'!T141</f>
        <v>31.474872524060178</v>
      </c>
      <c r="P160" s="413">
        <f>'Imp Crude'!U141</f>
        <v>34.525137114177546</v>
      </c>
      <c r="Q160" s="405"/>
      <c r="R160" s="405"/>
      <c r="S160" s="405">
        <f>'Imp Crude'!AE141</f>
        <v>39.65021658731041</v>
      </c>
      <c r="T160" s="405">
        <f>'Imp Crude'!AF141</f>
        <v>28.625919726422865</v>
      </c>
      <c r="U160" s="405"/>
      <c r="V160" s="405"/>
      <c r="W160" s="405"/>
      <c r="X160" s="405"/>
      <c r="Y160" s="405"/>
      <c r="Z160" s="405"/>
      <c r="AA160" s="405"/>
      <c r="AB160" s="405"/>
      <c r="AC160" s="405"/>
      <c r="AD160" s="415"/>
      <c r="AE160" s="415"/>
      <c r="AJ160" s="415"/>
      <c r="AK160" s="405"/>
      <c r="AL160" s="415"/>
      <c r="AM160" s="415">
        <v>1.0049999999999999</v>
      </c>
      <c r="AN160" s="415">
        <v>1.0049999999999999</v>
      </c>
      <c r="BC160" s="365"/>
      <c r="BD160" s="365"/>
      <c r="BE160" s="365"/>
      <c r="BF160" s="365"/>
      <c r="BG160" s="365"/>
    </row>
    <row r="161" spans="2:59">
      <c r="O161" s="389"/>
      <c r="P161" s="389"/>
      <c r="Q161" s="389"/>
      <c r="R161" s="389"/>
      <c r="S161" s="389"/>
      <c r="T161" s="389"/>
      <c r="U161" s="389"/>
      <c r="V161" s="389"/>
      <c r="W161" s="389"/>
      <c r="X161" s="389"/>
      <c r="Y161" s="390"/>
      <c r="Z161" s="391"/>
      <c r="BF161" s="365"/>
      <c r="BG161" s="365"/>
    </row>
    <row r="162" spans="2:59">
      <c r="O162" s="389"/>
      <c r="P162" s="389"/>
      <c r="Q162" s="389"/>
      <c r="R162" s="389"/>
      <c r="S162" s="389"/>
      <c r="T162" s="389"/>
      <c r="U162" s="389"/>
      <c r="V162" s="389"/>
      <c r="W162" s="389"/>
      <c r="X162" s="389"/>
      <c r="Y162" s="390"/>
      <c r="Z162" s="391"/>
      <c r="BF162" s="365"/>
      <c r="BG162" s="365"/>
    </row>
    <row r="163" spans="2:59">
      <c r="O163" s="389"/>
      <c r="P163" s="389"/>
      <c r="Q163" s="389"/>
      <c r="R163" s="389"/>
      <c r="S163" s="389"/>
      <c r="T163" s="389"/>
      <c r="U163" s="389"/>
      <c r="V163" s="389"/>
      <c r="W163" s="389"/>
      <c r="X163" s="389"/>
      <c r="Y163" s="390"/>
      <c r="Z163" s="391"/>
      <c r="BF163" s="365"/>
      <c r="BG163" s="365"/>
    </row>
    <row r="164" spans="2:59" ht="17.25" customHeight="1">
      <c r="F164" s="410" t="s">
        <v>2532</v>
      </c>
      <c r="AW164" s="387"/>
      <c r="AX164" s="387"/>
      <c r="AY164" s="387"/>
      <c r="AZ164" s="387"/>
      <c r="BA164" s="387"/>
      <c r="BB164" s="387"/>
      <c r="BC164" s="387"/>
      <c r="BD164" s="387"/>
      <c r="BE164" s="387"/>
      <c r="BF164" s="388"/>
      <c r="BG164" s="388"/>
    </row>
    <row r="165" spans="2:59" ht="15.75" customHeight="1">
      <c r="B165" s="371" t="s">
        <v>739</v>
      </c>
      <c r="C165" s="371" t="s">
        <v>375</v>
      </c>
      <c r="D165" s="371" t="s">
        <v>376</v>
      </c>
      <c r="E165" s="371" t="s">
        <v>378</v>
      </c>
      <c r="F165" s="371" t="s">
        <v>379</v>
      </c>
      <c r="G165" s="371" t="s">
        <v>2519</v>
      </c>
      <c r="H165" s="371" t="s">
        <v>2538</v>
      </c>
      <c r="I165" s="371" t="s">
        <v>2520</v>
      </c>
      <c r="J165" s="394"/>
      <c r="K165" s="394"/>
      <c r="L165" s="394"/>
      <c r="M165" s="394"/>
      <c r="N165" s="394"/>
      <c r="O165" s="394"/>
      <c r="P165" s="365"/>
      <c r="Q165" s="365"/>
      <c r="R165" s="365"/>
      <c r="S165" s="365"/>
      <c r="T165" s="365"/>
      <c r="U165" s="365"/>
      <c r="V165" s="365"/>
      <c r="W165" s="365"/>
      <c r="X165" s="365"/>
      <c r="Y165" s="365"/>
      <c r="Z165" s="365"/>
      <c r="AA165" s="365"/>
      <c r="AB165" s="365"/>
      <c r="AC165" s="365"/>
      <c r="AD165" s="365"/>
      <c r="AE165" s="365"/>
      <c r="AF165" s="365"/>
      <c r="AG165" s="365"/>
      <c r="AH165" s="365"/>
      <c r="AI165" s="365"/>
      <c r="AJ165" s="365"/>
      <c r="AK165" s="365"/>
      <c r="AL165" s="365"/>
      <c r="AM165" s="365"/>
      <c r="AN165" s="365"/>
      <c r="AO165" s="365"/>
      <c r="AP165" s="365"/>
      <c r="AQ165" s="365"/>
      <c r="AR165" s="365"/>
      <c r="AS165" s="365"/>
      <c r="AT165" s="365"/>
      <c r="AU165" s="365"/>
      <c r="AV165" s="365"/>
      <c r="AW165" s="365"/>
      <c r="AX165" s="365"/>
      <c r="AY165" s="365"/>
      <c r="AZ165" s="365"/>
      <c r="BA165" s="365"/>
      <c r="BB165" s="365"/>
      <c r="BC165" s="365"/>
      <c r="BD165" s="365"/>
      <c r="BE165" s="365"/>
      <c r="BF165" s="365"/>
      <c r="BG165" s="365"/>
    </row>
    <row r="166" spans="2:59">
      <c r="B166" s="372" t="s">
        <v>524</v>
      </c>
      <c r="C166" s="372"/>
      <c r="D166" s="372"/>
      <c r="E166" s="372"/>
      <c r="F166" s="412"/>
      <c r="G166" s="414"/>
      <c r="H166" s="414"/>
      <c r="I166" s="414"/>
      <c r="P166" s="365"/>
      <c r="Q166" s="365"/>
      <c r="R166" s="365"/>
      <c r="S166" s="365"/>
      <c r="T166" s="365"/>
      <c r="U166" s="365"/>
      <c r="V166" s="365"/>
      <c r="W166" s="365"/>
      <c r="X166" s="365"/>
      <c r="Y166" s="365"/>
      <c r="Z166" s="365"/>
      <c r="AA166" s="365"/>
      <c r="AB166" s="365"/>
      <c r="AC166" s="365"/>
      <c r="AD166" s="365"/>
      <c r="AE166" s="365"/>
      <c r="AF166" s="365"/>
      <c r="AG166" s="365"/>
      <c r="AH166" s="365"/>
      <c r="AI166" s="365"/>
      <c r="AJ166" s="365"/>
      <c r="AK166" s="365"/>
      <c r="AL166" s="365"/>
      <c r="AM166" s="365"/>
      <c r="AN166" s="365"/>
      <c r="AO166" s="365"/>
      <c r="AP166" s="365"/>
      <c r="AQ166" s="365"/>
      <c r="AR166" s="365"/>
      <c r="AS166" s="365"/>
      <c r="AT166" s="365"/>
      <c r="AU166" s="365"/>
      <c r="AV166" s="365"/>
      <c r="AW166" s="365"/>
      <c r="AX166" s="365"/>
      <c r="AY166" s="365"/>
      <c r="AZ166" s="365"/>
      <c r="BA166" s="365"/>
      <c r="BB166" s="365"/>
      <c r="BC166" s="365"/>
      <c r="BD166" s="365"/>
      <c r="BE166" s="365"/>
      <c r="BF166" s="365"/>
      <c r="BG166" s="365"/>
    </row>
    <row r="167" spans="2:59">
      <c r="B167" s="376" t="str">
        <f>Technologies!B162</f>
        <v>R1</v>
      </c>
      <c r="C167" s="376" t="str">
        <f>Technologies!C162</f>
        <v>XOILHH1</v>
      </c>
      <c r="D167" s="376" t="str">
        <f>Technologies!D162</f>
        <v>Convert OILHH1 to OILIP1</v>
      </c>
      <c r="E167" s="376" t="str">
        <f>Commodities!C22</f>
        <v>OILHH1</v>
      </c>
      <c r="F167" s="415" t="str">
        <f>Commodities!C17</f>
        <v>OILIP1</v>
      </c>
      <c r="G167" s="415">
        <v>1</v>
      </c>
      <c r="H167" s="415">
        <v>1</v>
      </c>
      <c r="I167" s="415">
        <v>50</v>
      </c>
      <c r="P167" s="365"/>
      <c r="Q167" s="365"/>
      <c r="R167" s="365"/>
      <c r="S167" s="365"/>
      <c r="T167" s="365"/>
      <c r="U167" s="365"/>
      <c r="V167" s="365"/>
      <c r="W167" s="365"/>
      <c r="X167" s="365"/>
      <c r="Y167" s="365"/>
      <c r="Z167" s="365"/>
      <c r="AA167" s="365"/>
      <c r="AB167" s="365"/>
      <c r="AC167" s="365"/>
      <c r="AD167" s="365"/>
      <c r="AE167" s="365"/>
      <c r="AF167" s="365"/>
      <c r="AG167" s="365"/>
      <c r="AH167" s="365"/>
      <c r="AI167" s="365"/>
      <c r="AJ167" s="365"/>
      <c r="AK167" s="365"/>
      <c r="AL167" s="365"/>
      <c r="AM167" s="365"/>
      <c r="AN167" s="365"/>
      <c r="AO167" s="365"/>
      <c r="AP167" s="365"/>
      <c r="AQ167" s="365"/>
      <c r="AR167" s="365"/>
      <c r="AS167" s="365"/>
      <c r="AT167" s="365"/>
      <c r="AU167" s="365"/>
      <c r="AV167" s="365"/>
      <c r="AW167" s="365"/>
      <c r="AX167" s="365"/>
      <c r="AY167" s="365"/>
      <c r="AZ167" s="365"/>
      <c r="BA167" s="365"/>
      <c r="BB167" s="365"/>
      <c r="BC167" s="365"/>
      <c r="BD167" s="365"/>
      <c r="BE167" s="365"/>
      <c r="BF167" s="365"/>
      <c r="BG167" s="365"/>
    </row>
    <row r="168" spans="2:59">
      <c r="B168" s="376" t="str">
        <f>Technologies!B163</f>
        <v>R1</v>
      </c>
      <c r="C168" s="376" t="str">
        <f>Technologies!C163</f>
        <v>XOILHH2</v>
      </c>
      <c r="D168" s="376" t="str">
        <f>Technologies!D163</f>
        <v>Convert OILHH2 to OILIP2</v>
      </c>
      <c r="E168" s="376" t="str">
        <f>Commodities!C23</f>
        <v>OILHH2</v>
      </c>
      <c r="F168" s="415" t="str">
        <f>Commodities!C18</f>
        <v>OILIP2</v>
      </c>
      <c r="G168" s="415">
        <v>1</v>
      </c>
      <c r="H168" s="415">
        <v>1</v>
      </c>
      <c r="I168" s="415">
        <v>50</v>
      </c>
      <c r="P168" s="365"/>
      <c r="Q168" s="365"/>
      <c r="R168" s="365"/>
      <c r="S168" s="365"/>
      <c r="T168" s="365"/>
      <c r="U168" s="365"/>
      <c r="V168" s="365"/>
      <c r="W168" s="365"/>
      <c r="X168" s="365"/>
      <c r="Y168" s="365"/>
      <c r="Z168" s="365"/>
      <c r="AA168" s="365"/>
      <c r="AB168" s="365"/>
      <c r="AC168" s="365"/>
      <c r="AD168" s="365"/>
      <c r="AE168" s="365"/>
      <c r="AF168" s="365"/>
      <c r="AG168" s="365"/>
      <c r="AH168" s="365"/>
      <c r="AI168" s="365"/>
      <c r="AJ168" s="365"/>
      <c r="AK168" s="365"/>
      <c r="AL168" s="365"/>
      <c r="AM168" s="365"/>
      <c r="AN168" s="365"/>
      <c r="AO168" s="365"/>
      <c r="AP168" s="365"/>
      <c r="AQ168" s="365"/>
      <c r="AR168" s="365"/>
      <c r="AS168" s="365"/>
      <c r="AT168" s="365"/>
      <c r="AU168" s="365"/>
      <c r="AV168" s="365"/>
      <c r="AW168" s="365"/>
      <c r="AX168" s="365"/>
      <c r="AY168" s="365"/>
      <c r="AZ168" s="365"/>
      <c r="BA168" s="365"/>
      <c r="BB168" s="365"/>
      <c r="BC168" s="365"/>
      <c r="BD168" s="365"/>
      <c r="BE168" s="365"/>
      <c r="BF168" s="365"/>
      <c r="BG168" s="365"/>
    </row>
    <row r="169" spans="2:59">
      <c r="B169" s="376" t="str">
        <f>Technologies!B164</f>
        <v>R1</v>
      </c>
      <c r="C169" s="376" t="str">
        <f>Technologies!C164</f>
        <v>XOILHH3</v>
      </c>
      <c r="D169" s="376" t="str">
        <f>Technologies!D164</f>
        <v>Convert OILHH3 to OILIP3</v>
      </c>
      <c r="E169" s="376" t="str">
        <f>Commodities!C24</f>
        <v>OILHH3</v>
      </c>
      <c r="F169" s="415" t="str">
        <f>Commodities!C19</f>
        <v>OILIP3</v>
      </c>
      <c r="G169" s="415">
        <v>1</v>
      </c>
      <c r="H169" s="415">
        <v>1</v>
      </c>
      <c r="I169" s="415">
        <v>50</v>
      </c>
      <c r="P169" s="365"/>
      <c r="Q169" s="365"/>
      <c r="R169" s="365"/>
      <c r="S169" s="365"/>
      <c r="T169" s="365"/>
      <c r="U169" s="365"/>
      <c r="V169" s="365"/>
      <c r="W169" s="365"/>
      <c r="X169" s="365"/>
      <c r="Y169" s="365"/>
      <c r="Z169" s="365"/>
      <c r="AA169" s="365"/>
      <c r="AB169" s="365"/>
      <c r="AC169" s="365"/>
      <c r="AD169" s="365"/>
      <c r="AE169" s="365"/>
      <c r="AF169" s="365"/>
      <c r="AG169" s="365"/>
      <c r="AH169" s="365"/>
      <c r="AI169" s="365"/>
      <c r="AJ169" s="365"/>
      <c r="AK169" s="365"/>
      <c r="AL169" s="365"/>
      <c r="AM169" s="365"/>
      <c r="AN169" s="365"/>
      <c r="AO169" s="365"/>
      <c r="AP169" s="365"/>
      <c r="AQ169" s="365"/>
      <c r="AR169" s="365"/>
      <c r="AS169" s="365"/>
      <c r="AT169" s="365"/>
      <c r="AU169" s="365"/>
      <c r="AV169" s="365"/>
      <c r="AW169" s="365"/>
      <c r="AX169" s="365"/>
      <c r="AY169" s="365"/>
      <c r="AZ169" s="365"/>
      <c r="BA169" s="365"/>
      <c r="BB169" s="365"/>
      <c r="BC169" s="365"/>
      <c r="BD169" s="365"/>
      <c r="BE169" s="365"/>
      <c r="BF169" s="365"/>
      <c r="BG169" s="365"/>
    </row>
    <row r="170" spans="2:59">
      <c r="B170" s="376" t="str">
        <f>Technologies!B165</f>
        <v>*</v>
      </c>
      <c r="C170" s="376" t="str">
        <f>Technologies!C165</f>
        <v>XOILHH4</v>
      </c>
      <c r="D170" s="376" t="str">
        <f>Technologies!D165</f>
        <v>Convert OILHH4 to OILIP4</v>
      </c>
      <c r="E170" s="376" t="str">
        <f>Commodities!C25</f>
        <v>OILHH4</v>
      </c>
      <c r="F170" s="415" t="str">
        <f>RIGHT(Technologies!D165,6)</f>
        <v>OILIP4</v>
      </c>
      <c r="G170" s="415">
        <v>1</v>
      </c>
      <c r="H170" s="415">
        <v>1</v>
      </c>
      <c r="I170" s="415">
        <v>50</v>
      </c>
      <c r="P170" s="365"/>
      <c r="Q170" s="365"/>
      <c r="R170" s="365"/>
      <c r="S170" s="365"/>
      <c r="T170" s="365"/>
      <c r="U170" s="365"/>
      <c r="V170" s="365"/>
      <c r="W170" s="365"/>
      <c r="X170" s="365"/>
      <c r="Y170" s="365"/>
      <c r="Z170" s="365"/>
      <c r="AA170" s="365"/>
      <c r="AB170" s="365"/>
      <c r="AC170" s="365"/>
      <c r="AD170" s="365"/>
      <c r="AE170" s="365"/>
      <c r="AF170" s="365"/>
      <c r="AG170" s="365"/>
      <c r="AH170" s="365"/>
      <c r="AI170" s="365"/>
      <c r="AJ170" s="365"/>
      <c r="AK170" s="365"/>
      <c r="AL170" s="365"/>
      <c r="AM170" s="365"/>
      <c r="AN170" s="365"/>
      <c r="AO170" s="365"/>
      <c r="AP170" s="365"/>
      <c r="AQ170" s="365"/>
      <c r="AR170" s="365"/>
      <c r="AS170" s="365"/>
      <c r="AT170" s="365"/>
      <c r="AU170" s="365"/>
      <c r="AV170" s="365"/>
      <c r="AW170" s="365"/>
      <c r="AX170" s="365"/>
      <c r="AY170" s="365"/>
      <c r="AZ170" s="365"/>
      <c r="BA170" s="365"/>
      <c r="BB170" s="365"/>
      <c r="BC170" s="365"/>
      <c r="BD170" s="365"/>
      <c r="BE170" s="365"/>
      <c r="BF170" s="365"/>
      <c r="BG170" s="365"/>
    </row>
    <row r="171" spans="2:59">
      <c r="B171" s="376" t="str">
        <f>Technologies!B166</f>
        <v>*</v>
      </c>
      <c r="C171" s="376" t="str">
        <f>Technologies!C166</f>
        <v>XOILHH5</v>
      </c>
      <c r="D171" s="376" t="str">
        <f>Technologies!D166</f>
        <v>Convert OILHH5 to OILIP5</v>
      </c>
      <c r="E171" s="376" t="str">
        <f>Commodities!C26</f>
        <v>OILHH5</v>
      </c>
      <c r="F171" s="415" t="str">
        <f>RIGHT(Technologies!D166,6)</f>
        <v>OILIP5</v>
      </c>
      <c r="G171" s="415">
        <v>1</v>
      </c>
      <c r="H171" s="415">
        <v>1</v>
      </c>
      <c r="I171" s="415">
        <v>50</v>
      </c>
      <c r="P171" s="365"/>
      <c r="Q171" s="365"/>
      <c r="R171" s="365"/>
      <c r="S171" s="365"/>
      <c r="T171" s="365"/>
      <c r="U171" s="365"/>
      <c r="V171" s="365"/>
      <c r="W171" s="365"/>
      <c r="X171" s="365"/>
      <c r="Y171" s="365"/>
      <c r="Z171" s="365"/>
      <c r="AA171" s="365"/>
      <c r="AB171" s="365"/>
      <c r="AC171" s="365"/>
      <c r="AD171" s="365"/>
      <c r="AE171" s="365"/>
      <c r="AF171" s="365"/>
      <c r="AG171" s="365"/>
      <c r="AH171" s="365"/>
      <c r="AI171" s="365"/>
      <c r="AJ171" s="365"/>
      <c r="AK171" s="365"/>
      <c r="AL171" s="365"/>
      <c r="AM171" s="365"/>
      <c r="AN171" s="365"/>
      <c r="AO171" s="365"/>
      <c r="AP171" s="365"/>
      <c r="AQ171" s="365"/>
      <c r="AR171" s="365"/>
      <c r="AS171" s="365"/>
      <c r="AT171" s="365"/>
      <c r="AU171" s="365"/>
      <c r="AV171" s="365"/>
      <c r="AW171" s="365"/>
      <c r="AX171" s="365"/>
      <c r="AY171" s="365"/>
      <c r="AZ171" s="365"/>
      <c r="BA171" s="365"/>
      <c r="BB171" s="365"/>
      <c r="BC171" s="365"/>
      <c r="BD171" s="365"/>
      <c r="BE171" s="365"/>
      <c r="BF171" s="365"/>
      <c r="BG171" s="365"/>
    </row>
    <row r="172" spans="2:59">
      <c r="B172" s="376" t="str">
        <f>Technologies!B167</f>
        <v>R1</v>
      </c>
      <c r="C172" s="376" t="str">
        <f>Technologies!C167</f>
        <v>XOILHL1</v>
      </c>
      <c r="D172" s="376" t="str">
        <f>Technologies!D167</f>
        <v>Convert OILHL1 to OILIP1</v>
      </c>
      <c r="E172" s="376" t="str">
        <f>Commodities!C27</f>
        <v>OILHL1</v>
      </c>
      <c r="F172" s="415" t="str">
        <f>F167</f>
        <v>OILIP1</v>
      </c>
      <c r="G172" s="415">
        <v>1</v>
      </c>
      <c r="H172" s="415">
        <v>1</v>
      </c>
      <c r="I172" s="415">
        <v>50</v>
      </c>
      <c r="P172" s="365"/>
      <c r="Q172" s="365"/>
      <c r="R172" s="365"/>
      <c r="S172" s="365"/>
      <c r="T172" s="365"/>
      <c r="U172" s="365"/>
      <c r="V172" s="365"/>
      <c r="W172" s="365"/>
      <c r="X172" s="365"/>
      <c r="Y172" s="365"/>
      <c r="Z172" s="365"/>
      <c r="AA172" s="365"/>
      <c r="AB172" s="365"/>
      <c r="AC172" s="365"/>
      <c r="AD172" s="365"/>
      <c r="AE172" s="365"/>
      <c r="AF172" s="365"/>
      <c r="AG172" s="365"/>
      <c r="AH172" s="365"/>
      <c r="AI172" s="365"/>
      <c r="AJ172" s="365"/>
      <c r="AK172" s="365"/>
      <c r="AL172" s="365"/>
      <c r="AM172" s="365"/>
      <c r="AN172" s="365"/>
      <c r="AO172" s="365"/>
      <c r="AP172" s="365"/>
      <c r="AQ172" s="365"/>
      <c r="AR172" s="365"/>
      <c r="AS172" s="365"/>
      <c r="AT172" s="365"/>
      <c r="AU172" s="365"/>
      <c r="AV172" s="365"/>
      <c r="AW172" s="365"/>
      <c r="AX172" s="365"/>
      <c r="AY172" s="365"/>
      <c r="AZ172" s="365"/>
      <c r="BA172" s="365"/>
      <c r="BB172" s="365"/>
      <c r="BC172" s="365"/>
      <c r="BD172" s="365"/>
      <c r="BE172" s="365"/>
      <c r="BF172" s="365"/>
      <c r="BG172" s="365"/>
    </row>
    <row r="173" spans="2:59">
      <c r="B173" s="376" t="str">
        <f>Technologies!B168</f>
        <v>R1</v>
      </c>
      <c r="C173" s="376" t="str">
        <f>Technologies!C168</f>
        <v>XOILHL2</v>
      </c>
      <c r="D173" s="376" t="str">
        <f>Technologies!D168</f>
        <v>Convert OILHL2 to OILIP2</v>
      </c>
      <c r="E173" s="376" t="str">
        <f>Commodities!C28</f>
        <v>OILHL2</v>
      </c>
      <c r="F173" s="415" t="str">
        <f>F168</f>
        <v>OILIP2</v>
      </c>
      <c r="G173" s="415">
        <v>1</v>
      </c>
      <c r="H173" s="415">
        <v>1</v>
      </c>
      <c r="I173" s="415">
        <v>50</v>
      </c>
      <c r="P173" s="365"/>
      <c r="Q173" s="365"/>
      <c r="R173" s="365"/>
      <c r="S173" s="365"/>
      <c r="T173" s="365"/>
      <c r="U173" s="365"/>
      <c r="V173" s="365"/>
      <c r="W173" s="365"/>
      <c r="X173" s="365"/>
      <c r="Y173" s="365"/>
      <c r="Z173" s="365"/>
      <c r="AA173" s="365"/>
      <c r="AB173" s="365"/>
      <c r="AC173" s="365"/>
      <c r="AD173" s="365"/>
      <c r="AE173" s="365"/>
      <c r="AF173" s="365"/>
      <c r="AG173" s="365"/>
      <c r="AH173" s="365"/>
      <c r="AI173" s="365"/>
      <c r="AJ173" s="365"/>
      <c r="AK173" s="365"/>
      <c r="AL173" s="365"/>
      <c r="AM173" s="365"/>
      <c r="AN173" s="365"/>
      <c r="AO173" s="365"/>
      <c r="AP173" s="365"/>
      <c r="AQ173" s="365"/>
      <c r="AR173" s="365"/>
      <c r="AS173" s="365"/>
      <c r="AT173" s="365"/>
      <c r="AU173" s="365"/>
      <c r="AV173" s="365"/>
      <c r="AW173" s="365"/>
      <c r="AX173" s="365"/>
      <c r="AY173" s="365"/>
      <c r="AZ173" s="365"/>
      <c r="BA173" s="365"/>
      <c r="BB173" s="365"/>
      <c r="BC173" s="365"/>
      <c r="BD173" s="365"/>
      <c r="BE173" s="365"/>
      <c r="BF173" s="365"/>
      <c r="BG173" s="365"/>
    </row>
    <row r="174" spans="2:59">
      <c r="B174" s="376" t="str">
        <f>Technologies!B169</f>
        <v>R1</v>
      </c>
      <c r="C174" s="376" t="str">
        <f>Technologies!C169</f>
        <v>XOILHL3</v>
      </c>
      <c r="D174" s="376" t="str">
        <f>Technologies!D169</f>
        <v>Convert OILHL3 to OILIP3</v>
      </c>
      <c r="E174" s="376" t="str">
        <f>Commodities!C29</f>
        <v>OILHL3</v>
      </c>
      <c r="F174" s="415" t="str">
        <f>F169</f>
        <v>OILIP3</v>
      </c>
      <c r="G174" s="415">
        <v>1</v>
      </c>
      <c r="H174" s="415">
        <v>1</v>
      </c>
      <c r="I174" s="415">
        <v>50</v>
      </c>
      <c r="P174" s="365"/>
      <c r="Q174" s="365"/>
      <c r="R174" s="365"/>
      <c r="S174" s="365"/>
      <c r="T174" s="365"/>
      <c r="U174" s="365"/>
      <c r="V174" s="365"/>
      <c r="W174" s="365"/>
      <c r="X174" s="365"/>
      <c r="Y174" s="365"/>
      <c r="Z174" s="365"/>
      <c r="AA174" s="365"/>
      <c r="AB174" s="365"/>
      <c r="AC174" s="365"/>
      <c r="AD174" s="365"/>
      <c r="AE174" s="365"/>
      <c r="AF174" s="365"/>
      <c r="AG174" s="365"/>
      <c r="AH174" s="365"/>
      <c r="AI174" s="365"/>
      <c r="AJ174" s="365"/>
      <c r="AK174" s="365"/>
      <c r="AL174" s="365"/>
      <c r="AM174" s="365"/>
      <c r="AN174" s="365"/>
      <c r="AO174" s="365"/>
      <c r="AP174" s="365"/>
      <c r="AQ174" s="365"/>
      <c r="AR174" s="365"/>
      <c r="AS174" s="365"/>
      <c r="AT174" s="365"/>
      <c r="AU174" s="365"/>
      <c r="AV174" s="365"/>
      <c r="AW174" s="365"/>
      <c r="AX174" s="365"/>
      <c r="AY174" s="365"/>
      <c r="AZ174" s="365"/>
      <c r="BA174" s="365"/>
      <c r="BB174" s="365"/>
      <c r="BC174" s="365"/>
      <c r="BD174" s="365"/>
      <c r="BE174" s="365"/>
      <c r="BF174" s="365"/>
      <c r="BG174" s="365"/>
    </row>
    <row r="175" spans="2:59">
      <c r="B175" s="376" t="str">
        <f>Technologies!B170</f>
        <v>*</v>
      </c>
      <c r="C175" s="376" t="str">
        <f>Technologies!C170</f>
        <v>XOILHL4</v>
      </c>
      <c r="D175" s="376" t="str">
        <f>Technologies!D170</f>
        <v>Convert OILHL4 to OILIP4</v>
      </c>
      <c r="E175" s="376" t="str">
        <f>Commodities!C30</f>
        <v>OILHL4</v>
      </c>
      <c r="F175" s="415" t="str">
        <f>RIGHT(Technologies!D170,6)</f>
        <v>OILIP4</v>
      </c>
      <c r="G175" s="415">
        <v>1</v>
      </c>
      <c r="H175" s="415">
        <v>1</v>
      </c>
      <c r="I175" s="415">
        <v>50</v>
      </c>
      <c r="P175" s="365"/>
      <c r="Q175" s="365"/>
      <c r="R175" s="365"/>
      <c r="S175" s="365"/>
      <c r="T175" s="365"/>
      <c r="U175" s="365"/>
      <c r="V175" s="365"/>
      <c r="W175" s="365"/>
      <c r="X175" s="365"/>
      <c r="Y175" s="365"/>
      <c r="Z175" s="365"/>
      <c r="AA175" s="365"/>
      <c r="AB175" s="365"/>
      <c r="AC175" s="365"/>
      <c r="AD175" s="365"/>
      <c r="AE175" s="365"/>
      <c r="AF175" s="365"/>
      <c r="AG175" s="365"/>
      <c r="AH175" s="365"/>
      <c r="AI175" s="365"/>
      <c r="AJ175" s="365"/>
      <c r="AK175" s="365"/>
      <c r="AL175" s="365"/>
      <c r="AM175" s="365"/>
      <c r="AN175" s="365"/>
      <c r="AO175" s="365"/>
      <c r="AP175" s="365"/>
      <c r="AQ175" s="365"/>
      <c r="AR175" s="365"/>
      <c r="AS175" s="365"/>
      <c r="AT175" s="365"/>
      <c r="AU175" s="365"/>
      <c r="AV175" s="365"/>
      <c r="AW175" s="365"/>
      <c r="AX175" s="365"/>
      <c r="AY175" s="365"/>
      <c r="AZ175" s="365"/>
      <c r="BA175" s="365"/>
      <c r="BB175" s="365"/>
      <c r="BC175" s="365"/>
      <c r="BD175" s="365"/>
      <c r="BE175" s="365"/>
      <c r="BF175" s="365"/>
      <c r="BG175" s="365"/>
    </row>
    <row r="176" spans="2:59">
      <c r="B176" s="376" t="str">
        <f>Technologies!B171</f>
        <v>*</v>
      </c>
      <c r="C176" s="376" t="str">
        <f>Technologies!C171</f>
        <v>XOILHL5</v>
      </c>
      <c r="D176" s="376" t="str">
        <f>Technologies!D171</f>
        <v>Convert OILHL5 to OILIP5</v>
      </c>
      <c r="E176" s="376" t="str">
        <f>Commodities!C31</f>
        <v>OILHL5</v>
      </c>
      <c r="F176" s="415" t="str">
        <f>RIGHT(Technologies!D171,6)</f>
        <v>OILIP5</v>
      </c>
      <c r="G176" s="415">
        <v>1</v>
      </c>
      <c r="H176" s="415">
        <v>1</v>
      </c>
      <c r="I176" s="415">
        <v>50</v>
      </c>
      <c r="P176" s="365"/>
      <c r="Q176" s="365"/>
      <c r="R176" s="365"/>
      <c r="S176" s="365"/>
      <c r="T176" s="365"/>
      <c r="U176" s="365"/>
      <c r="V176" s="365"/>
      <c r="W176" s="365"/>
      <c r="X176" s="365"/>
      <c r="Y176" s="365"/>
      <c r="Z176" s="365"/>
      <c r="AA176" s="365"/>
      <c r="AB176" s="365"/>
      <c r="AC176" s="365"/>
      <c r="AD176" s="365"/>
      <c r="AE176" s="365"/>
      <c r="AF176" s="365"/>
      <c r="AG176" s="365"/>
      <c r="AH176" s="365"/>
      <c r="AI176" s="365"/>
      <c r="AJ176" s="365"/>
      <c r="AK176" s="365"/>
      <c r="AL176" s="365"/>
      <c r="AM176" s="365"/>
      <c r="AN176" s="365"/>
      <c r="AO176" s="365"/>
      <c r="AP176" s="365"/>
      <c r="AQ176" s="365"/>
      <c r="AR176" s="365"/>
      <c r="AS176" s="365"/>
      <c r="AT176" s="365"/>
      <c r="AU176" s="365"/>
      <c r="AV176" s="365"/>
      <c r="AW176" s="365"/>
      <c r="AX176" s="365"/>
      <c r="AY176" s="365"/>
      <c r="AZ176" s="365"/>
      <c r="BA176" s="365"/>
      <c r="BB176" s="365"/>
      <c r="BC176" s="365"/>
      <c r="BD176" s="365"/>
      <c r="BE176" s="365"/>
      <c r="BF176" s="365"/>
      <c r="BG176" s="365"/>
    </row>
    <row r="177" spans="2:59">
      <c r="B177" s="376" t="str">
        <f>Technologies!B172</f>
        <v>R1</v>
      </c>
      <c r="C177" s="376" t="str">
        <f>Technologies!C172</f>
        <v>XOILHV1</v>
      </c>
      <c r="D177" s="376" t="str">
        <f>Technologies!D172</f>
        <v>Convert OILHV1 to OILIP1</v>
      </c>
      <c r="E177" s="376" t="str">
        <f>Commodities!C32</f>
        <v>OILHV1</v>
      </c>
      <c r="F177" s="415" t="str">
        <f>F172</f>
        <v>OILIP1</v>
      </c>
      <c r="G177" s="415">
        <v>1</v>
      </c>
      <c r="H177" s="415">
        <v>1</v>
      </c>
      <c r="I177" s="415">
        <v>50</v>
      </c>
      <c r="P177" s="365"/>
      <c r="Q177" s="365"/>
      <c r="R177" s="365"/>
      <c r="S177" s="365"/>
      <c r="T177" s="365"/>
      <c r="U177" s="365"/>
      <c r="V177" s="365"/>
      <c r="W177" s="365"/>
      <c r="X177" s="365"/>
      <c r="Y177" s="365"/>
      <c r="Z177" s="365"/>
      <c r="AA177" s="365"/>
      <c r="AB177" s="365"/>
      <c r="AC177" s="365"/>
      <c r="AD177" s="365"/>
      <c r="AE177" s="365"/>
      <c r="AF177" s="365"/>
      <c r="AG177" s="365"/>
      <c r="AH177" s="365"/>
      <c r="AI177" s="365"/>
      <c r="AJ177" s="365"/>
      <c r="AK177" s="365"/>
      <c r="AL177" s="365"/>
      <c r="AM177" s="365"/>
      <c r="AN177" s="365"/>
      <c r="AO177" s="365"/>
      <c r="AP177" s="365"/>
      <c r="AQ177" s="365"/>
      <c r="AR177" s="365"/>
      <c r="AS177" s="365"/>
      <c r="AT177" s="365"/>
      <c r="AU177" s="365"/>
      <c r="AV177" s="365"/>
      <c r="AW177" s="365"/>
      <c r="AX177" s="365"/>
      <c r="AY177" s="365"/>
      <c r="AZ177" s="365"/>
      <c r="BA177" s="365"/>
      <c r="BB177" s="365"/>
      <c r="BC177" s="365"/>
      <c r="BD177" s="365"/>
      <c r="BE177" s="365"/>
      <c r="BF177" s="365"/>
      <c r="BG177" s="365"/>
    </row>
    <row r="178" spans="2:59">
      <c r="B178" s="376" t="str">
        <f>Technologies!B173</f>
        <v>R1</v>
      </c>
      <c r="C178" s="376" t="str">
        <f>Technologies!C173</f>
        <v>XOILHV2</v>
      </c>
      <c r="D178" s="376" t="str">
        <f>Technologies!D173</f>
        <v>Convert OILHV2 to OILIP2</v>
      </c>
      <c r="E178" s="376" t="str">
        <f>Commodities!C33</f>
        <v>OILHV2</v>
      </c>
      <c r="F178" s="415" t="str">
        <f>F173</f>
        <v>OILIP2</v>
      </c>
      <c r="G178" s="415">
        <v>1</v>
      </c>
      <c r="H178" s="415">
        <v>1</v>
      </c>
      <c r="I178" s="415">
        <v>50</v>
      </c>
      <c r="P178" s="365"/>
      <c r="Q178" s="365"/>
      <c r="R178" s="365"/>
      <c r="S178" s="365"/>
      <c r="T178" s="365"/>
      <c r="U178" s="365"/>
      <c r="V178" s="365"/>
      <c r="W178" s="365"/>
      <c r="X178" s="365"/>
      <c r="Y178" s="365"/>
      <c r="Z178" s="365"/>
      <c r="AA178" s="365"/>
      <c r="AB178" s="365"/>
      <c r="AC178" s="365"/>
      <c r="AD178" s="365"/>
      <c r="AE178" s="365"/>
      <c r="AF178" s="365"/>
      <c r="AG178" s="365"/>
      <c r="AH178" s="365"/>
      <c r="AI178" s="365"/>
      <c r="AJ178" s="365"/>
      <c r="AK178" s="365"/>
      <c r="AL178" s="365"/>
      <c r="AM178" s="365"/>
      <c r="AN178" s="365"/>
      <c r="AO178" s="365"/>
      <c r="AP178" s="365"/>
      <c r="AQ178" s="365"/>
      <c r="AR178" s="365"/>
      <c r="AS178" s="365"/>
      <c r="AT178" s="365"/>
      <c r="AU178" s="365"/>
      <c r="AV178" s="365"/>
      <c r="AW178" s="365"/>
      <c r="AX178" s="365"/>
      <c r="AY178" s="365"/>
      <c r="AZ178" s="365"/>
      <c r="BA178" s="365"/>
      <c r="BB178" s="365"/>
      <c r="BC178" s="365"/>
      <c r="BD178" s="365"/>
      <c r="BE178" s="365"/>
      <c r="BF178" s="365"/>
      <c r="BG178" s="365"/>
    </row>
    <row r="179" spans="2:59">
      <c r="B179" s="376" t="str">
        <f>Technologies!B174</f>
        <v>R1</v>
      </c>
      <c r="C179" s="376" t="str">
        <f>Technologies!C174</f>
        <v>XOILHV3</v>
      </c>
      <c r="D179" s="376" t="str">
        <f>Technologies!D174</f>
        <v>Convert OILHV3 to OILIP3</v>
      </c>
      <c r="E179" s="376" t="str">
        <f>Commodities!C34</f>
        <v>OILHV3</v>
      </c>
      <c r="F179" s="415" t="str">
        <f>F174</f>
        <v>OILIP3</v>
      </c>
      <c r="G179" s="415">
        <v>1</v>
      </c>
      <c r="H179" s="415">
        <v>1</v>
      </c>
      <c r="I179" s="415">
        <v>50</v>
      </c>
      <c r="P179" s="365"/>
      <c r="Q179" s="365"/>
      <c r="R179" s="365"/>
      <c r="S179" s="365"/>
      <c r="T179" s="365"/>
      <c r="U179" s="365"/>
      <c r="V179" s="365"/>
      <c r="W179" s="365"/>
      <c r="X179" s="365"/>
      <c r="Y179" s="365"/>
      <c r="Z179" s="365"/>
      <c r="AA179" s="365"/>
      <c r="AB179" s="365"/>
      <c r="AC179" s="365"/>
      <c r="AD179" s="365"/>
      <c r="AE179" s="365"/>
      <c r="AF179" s="365"/>
      <c r="AG179" s="365"/>
      <c r="AH179" s="365"/>
      <c r="AI179" s="365"/>
      <c r="AJ179" s="365"/>
      <c r="AK179" s="365"/>
      <c r="AL179" s="365"/>
      <c r="AM179" s="365"/>
      <c r="AN179" s="365"/>
      <c r="AO179" s="365"/>
      <c r="AP179" s="365"/>
      <c r="AQ179" s="365"/>
      <c r="AR179" s="365"/>
      <c r="AS179" s="365"/>
      <c r="AT179" s="365"/>
      <c r="AU179" s="365"/>
      <c r="AV179" s="365"/>
      <c r="AW179" s="365"/>
      <c r="AX179" s="365"/>
      <c r="AY179" s="365"/>
      <c r="AZ179" s="365"/>
      <c r="BA179" s="365"/>
      <c r="BB179" s="365"/>
      <c r="BC179" s="365"/>
      <c r="BD179" s="365"/>
      <c r="BE179" s="365"/>
      <c r="BF179" s="365"/>
      <c r="BG179" s="365"/>
    </row>
    <row r="180" spans="2:59">
      <c r="B180" s="376" t="str">
        <f>Technologies!B175</f>
        <v>*</v>
      </c>
      <c r="C180" s="376" t="str">
        <f>Technologies!C175</f>
        <v>XOILHV4</v>
      </c>
      <c r="D180" s="376" t="str">
        <f>Technologies!D175</f>
        <v>Convert OILHV4 to OILIP4</v>
      </c>
      <c r="E180" s="376" t="str">
        <f>Commodities!C35</f>
        <v>OILHV4</v>
      </c>
      <c r="F180" s="415" t="str">
        <f>RIGHT(Technologies!D175,6)</f>
        <v>OILIP4</v>
      </c>
      <c r="G180" s="415">
        <v>1</v>
      </c>
      <c r="H180" s="415">
        <v>1</v>
      </c>
      <c r="I180" s="415">
        <v>50</v>
      </c>
      <c r="P180" s="365"/>
      <c r="Q180" s="365"/>
      <c r="R180" s="365"/>
      <c r="S180" s="365"/>
      <c r="T180" s="365"/>
      <c r="U180" s="365"/>
      <c r="V180" s="365"/>
      <c r="W180" s="365"/>
      <c r="X180" s="365"/>
      <c r="Y180" s="365"/>
      <c r="Z180" s="365"/>
      <c r="AA180" s="365"/>
      <c r="AB180" s="365"/>
      <c r="AC180" s="365"/>
      <c r="AD180" s="365"/>
      <c r="AE180" s="365"/>
      <c r="AF180" s="365"/>
      <c r="AG180" s="365"/>
      <c r="AH180" s="365"/>
      <c r="AI180" s="365"/>
      <c r="AJ180" s="365"/>
      <c r="AK180" s="365"/>
      <c r="AL180" s="365"/>
      <c r="AM180" s="365"/>
      <c r="AN180" s="365"/>
      <c r="AO180" s="365"/>
      <c r="AP180" s="365"/>
      <c r="AQ180" s="365"/>
      <c r="AR180" s="365"/>
      <c r="AS180" s="365"/>
      <c r="AT180" s="365"/>
      <c r="AU180" s="365"/>
      <c r="AV180" s="365"/>
      <c r="AW180" s="365"/>
      <c r="AX180" s="365"/>
      <c r="AY180" s="365"/>
      <c r="AZ180" s="365"/>
      <c r="BA180" s="365"/>
      <c r="BB180" s="365"/>
      <c r="BC180" s="365"/>
      <c r="BD180" s="365"/>
      <c r="BE180" s="365"/>
      <c r="BF180" s="365"/>
      <c r="BG180" s="365"/>
    </row>
    <row r="181" spans="2:59">
      <c r="B181" s="376" t="str">
        <f>Technologies!B176</f>
        <v>*</v>
      </c>
      <c r="C181" s="376" t="str">
        <f>Technologies!C176</f>
        <v>XOILHV5</v>
      </c>
      <c r="D181" s="376" t="str">
        <f>Technologies!D176</f>
        <v>Convert OILHV5 to OILIP5</v>
      </c>
      <c r="E181" s="376" t="str">
        <f>Commodities!C36</f>
        <v>OILHV5</v>
      </c>
      <c r="F181" s="415" t="str">
        <f>RIGHT(Technologies!D176,6)</f>
        <v>OILIP5</v>
      </c>
      <c r="G181" s="415">
        <v>1</v>
      </c>
      <c r="H181" s="415">
        <v>1</v>
      </c>
      <c r="I181" s="415">
        <v>50</v>
      </c>
      <c r="P181" s="365"/>
      <c r="Q181" s="365"/>
      <c r="R181" s="365"/>
      <c r="S181" s="365"/>
      <c r="T181" s="365"/>
      <c r="U181" s="365"/>
      <c r="V181" s="365"/>
      <c r="W181" s="365"/>
      <c r="X181" s="365"/>
      <c r="Y181" s="365"/>
      <c r="Z181" s="365"/>
      <c r="AA181" s="365"/>
      <c r="AB181" s="365"/>
      <c r="AC181" s="365"/>
      <c r="AD181" s="365"/>
      <c r="AE181" s="365"/>
      <c r="AF181" s="365"/>
      <c r="AG181" s="365"/>
      <c r="AH181" s="365"/>
      <c r="AI181" s="365"/>
      <c r="AJ181" s="365"/>
      <c r="AK181" s="365"/>
      <c r="AL181" s="365"/>
      <c r="AM181" s="365"/>
      <c r="AN181" s="365"/>
      <c r="AO181" s="365"/>
      <c r="AP181" s="365"/>
      <c r="AQ181" s="365"/>
      <c r="AR181" s="365"/>
      <c r="AS181" s="365"/>
      <c r="AT181" s="365"/>
      <c r="AU181" s="365"/>
      <c r="AV181" s="365"/>
      <c r="AW181" s="365"/>
      <c r="AX181" s="365"/>
      <c r="AY181" s="365"/>
      <c r="AZ181" s="365"/>
      <c r="BA181" s="365"/>
      <c r="BB181" s="365"/>
      <c r="BC181" s="365"/>
      <c r="BD181" s="365"/>
      <c r="BE181" s="365"/>
      <c r="BF181" s="365"/>
      <c r="BG181" s="365"/>
    </row>
    <row r="182" spans="2:59" ht="13.5" customHeight="1">
      <c r="B182" s="376" t="str">
        <f>Technologies!B177</f>
        <v>R1</v>
      </c>
      <c r="C182" s="376" t="str">
        <f>Technologies!C177</f>
        <v>XOILLL1</v>
      </c>
      <c r="D182" s="376" t="str">
        <f>Technologies!D177</f>
        <v>Convert OILLL1 to OILIP1</v>
      </c>
      <c r="E182" s="376" t="str">
        <f>Commodities!C37</f>
        <v>OILLL1</v>
      </c>
      <c r="F182" s="415" t="str">
        <f>F177</f>
        <v>OILIP1</v>
      </c>
      <c r="G182" s="415">
        <v>1</v>
      </c>
      <c r="H182" s="415">
        <v>1</v>
      </c>
      <c r="I182" s="415">
        <v>50</v>
      </c>
      <c r="P182" s="365"/>
      <c r="Q182" s="365"/>
      <c r="R182" s="365"/>
      <c r="S182" s="365"/>
      <c r="T182" s="365"/>
      <c r="U182" s="365"/>
      <c r="V182" s="365"/>
      <c r="W182" s="365"/>
      <c r="X182" s="365"/>
      <c r="Y182" s="365"/>
      <c r="Z182" s="365"/>
      <c r="AA182" s="365"/>
      <c r="AB182" s="365"/>
      <c r="AC182" s="365"/>
      <c r="AD182" s="365"/>
      <c r="AE182" s="365"/>
      <c r="AF182" s="365"/>
      <c r="AG182" s="365"/>
      <c r="AH182" s="365"/>
      <c r="AI182" s="365"/>
      <c r="AJ182" s="365"/>
      <c r="AK182" s="365"/>
      <c r="AL182" s="365"/>
      <c r="AM182" s="365"/>
      <c r="AN182" s="365"/>
      <c r="AO182" s="365"/>
      <c r="AP182" s="365"/>
      <c r="AQ182" s="365"/>
      <c r="AR182" s="365"/>
      <c r="AS182" s="365"/>
      <c r="AT182" s="365"/>
      <c r="AU182" s="365"/>
      <c r="AV182" s="365"/>
      <c r="AW182" s="365"/>
      <c r="AX182" s="365"/>
      <c r="AY182" s="365"/>
      <c r="AZ182" s="365"/>
      <c r="BA182" s="365"/>
      <c r="BB182" s="365"/>
      <c r="BC182" s="365"/>
      <c r="BD182" s="365"/>
      <c r="BE182" s="365"/>
      <c r="BF182" s="365"/>
      <c r="BG182" s="365"/>
    </row>
    <row r="183" spans="2:59">
      <c r="B183" s="376" t="str">
        <f>Technologies!B178</f>
        <v>R1</v>
      </c>
      <c r="C183" s="376" t="str">
        <f>Technologies!C178</f>
        <v>XOILLL2</v>
      </c>
      <c r="D183" s="376" t="str">
        <f>Technologies!D178</f>
        <v>Convert OILLL2 to OILIP2</v>
      </c>
      <c r="E183" s="376" t="str">
        <f>Commodities!C38</f>
        <v>OILLL2</v>
      </c>
      <c r="F183" s="415" t="str">
        <f>F178</f>
        <v>OILIP2</v>
      </c>
      <c r="G183" s="415">
        <v>1</v>
      </c>
      <c r="H183" s="415">
        <v>1</v>
      </c>
      <c r="I183" s="415">
        <v>50</v>
      </c>
      <c r="P183" s="365"/>
      <c r="Q183" s="365"/>
      <c r="R183" s="365"/>
      <c r="S183" s="365"/>
      <c r="T183" s="365"/>
      <c r="U183" s="365"/>
      <c r="V183" s="365"/>
      <c r="W183" s="365"/>
      <c r="X183" s="365"/>
      <c r="Y183" s="365"/>
      <c r="Z183" s="365"/>
      <c r="AA183" s="365"/>
      <c r="AB183" s="365"/>
      <c r="AC183" s="365"/>
      <c r="AD183" s="365"/>
      <c r="AE183" s="365"/>
      <c r="AF183" s="365"/>
      <c r="AG183" s="365"/>
      <c r="AH183" s="365"/>
      <c r="AI183" s="365"/>
      <c r="AJ183" s="365"/>
      <c r="AK183" s="365"/>
      <c r="AL183" s="365"/>
      <c r="AM183" s="365"/>
      <c r="AN183" s="365"/>
      <c r="AO183" s="365"/>
      <c r="AP183" s="365"/>
      <c r="AQ183" s="365"/>
      <c r="AR183" s="365"/>
      <c r="AS183" s="365"/>
      <c r="AT183" s="365"/>
      <c r="AU183" s="365"/>
      <c r="AV183" s="365"/>
      <c r="AW183" s="365"/>
      <c r="AX183" s="365"/>
      <c r="AY183" s="365"/>
      <c r="AZ183" s="365"/>
      <c r="BA183" s="365"/>
      <c r="BB183" s="365"/>
      <c r="BC183" s="365"/>
      <c r="BD183" s="365"/>
      <c r="BE183" s="365"/>
      <c r="BF183" s="365"/>
      <c r="BG183" s="365"/>
    </row>
    <row r="184" spans="2:59">
      <c r="B184" s="376" t="str">
        <f>Technologies!B179</f>
        <v>R1</v>
      </c>
      <c r="C184" s="376" t="str">
        <f>Technologies!C179</f>
        <v>XOILLL3</v>
      </c>
      <c r="D184" s="376" t="str">
        <f>Technologies!D179</f>
        <v>Convert OILLL3 to OILIP3</v>
      </c>
      <c r="E184" s="376" t="str">
        <f>Commodities!C39</f>
        <v>OILLL3</v>
      </c>
      <c r="F184" s="415" t="str">
        <f>F179</f>
        <v>OILIP3</v>
      </c>
      <c r="G184" s="415">
        <v>1</v>
      </c>
      <c r="H184" s="415">
        <v>1</v>
      </c>
      <c r="I184" s="415">
        <v>50</v>
      </c>
      <c r="P184" s="365"/>
      <c r="Q184" s="365"/>
      <c r="R184" s="365"/>
      <c r="S184" s="365"/>
      <c r="T184" s="365"/>
      <c r="U184" s="365"/>
      <c r="V184" s="365"/>
      <c r="W184" s="365"/>
      <c r="X184" s="365"/>
      <c r="Y184" s="365"/>
      <c r="Z184" s="365"/>
      <c r="AA184" s="365"/>
      <c r="AB184" s="365"/>
      <c r="AC184" s="365"/>
      <c r="AD184" s="365"/>
      <c r="AE184" s="365"/>
      <c r="AF184" s="365"/>
      <c r="AG184" s="365"/>
      <c r="AH184" s="365"/>
      <c r="AI184" s="365"/>
      <c r="AJ184" s="365"/>
      <c r="AK184" s="365"/>
      <c r="AL184" s="365"/>
      <c r="AM184" s="365"/>
      <c r="AN184" s="365"/>
      <c r="AO184" s="365"/>
      <c r="AP184" s="365"/>
      <c r="AQ184" s="365"/>
      <c r="AR184" s="365"/>
      <c r="AS184" s="365"/>
      <c r="AT184" s="365"/>
      <c r="AU184" s="365"/>
      <c r="AV184" s="365"/>
      <c r="AW184" s="365"/>
      <c r="AX184" s="365"/>
      <c r="AY184" s="365"/>
      <c r="AZ184" s="365"/>
      <c r="BA184" s="365"/>
      <c r="BB184" s="365"/>
      <c r="BC184" s="365"/>
      <c r="BD184" s="365"/>
      <c r="BE184" s="365"/>
      <c r="BF184" s="365"/>
      <c r="BG184" s="365"/>
    </row>
    <row r="185" spans="2:59">
      <c r="B185" s="376" t="str">
        <f>Technologies!B180</f>
        <v>*</v>
      </c>
      <c r="C185" s="376" t="str">
        <f>Technologies!C180</f>
        <v>XOILLL4</v>
      </c>
      <c r="D185" s="376" t="str">
        <f>Technologies!D180</f>
        <v>Convert OILLL4 to OILIP4</v>
      </c>
      <c r="E185" s="376" t="str">
        <f>Commodities!C40</f>
        <v>OILLL4</v>
      </c>
      <c r="F185" s="415" t="str">
        <f>RIGHT(Technologies!D180,6)</f>
        <v>OILIP4</v>
      </c>
      <c r="G185" s="415">
        <v>1</v>
      </c>
      <c r="H185" s="415">
        <v>1</v>
      </c>
      <c r="I185" s="415">
        <v>50</v>
      </c>
      <c r="P185" s="365"/>
      <c r="Q185" s="365"/>
      <c r="R185" s="365"/>
      <c r="S185" s="365"/>
      <c r="T185" s="365"/>
      <c r="U185" s="365"/>
      <c r="V185" s="365"/>
      <c r="W185" s="365"/>
      <c r="X185" s="365"/>
      <c r="Y185" s="365"/>
      <c r="Z185" s="365"/>
      <c r="AA185" s="365"/>
      <c r="AB185" s="365"/>
      <c r="AC185" s="365"/>
      <c r="AD185" s="365"/>
      <c r="AE185" s="365"/>
      <c r="AF185" s="365"/>
      <c r="AG185" s="365"/>
      <c r="AH185" s="365"/>
      <c r="AI185" s="365"/>
      <c r="AJ185" s="365"/>
      <c r="AK185" s="365"/>
      <c r="AL185" s="365"/>
      <c r="AM185" s="365"/>
      <c r="AN185" s="365"/>
      <c r="AO185" s="365"/>
      <c r="AP185" s="365"/>
      <c r="AQ185" s="365"/>
      <c r="AR185" s="365"/>
      <c r="AS185" s="365"/>
      <c r="AT185" s="365"/>
      <c r="AU185" s="365"/>
      <c r="AV185" s="365"/>
      <c r="AW185" s="365"/>
      <c r="AX185" s="365"/>
      <c r="AY185" s="365"/>
      <c r="AZ185" s="365"/>
      <c r="BA185" s="365"/>
      <c r="BB185" s="365"/>
      <c r="BC185" s="365"/>
      <c r="BD185" s="365"/>
      <c r="BE185" s="365"/>
      <c r="BF185" s="365"/>
      <c r="BG185" s="365"/>
    </row>
    <row r="186" spans="2:59">
      <c r="B186" s="376" t="str">
        <f>Technologies!B181</f>
        <v>*</v>
      </c>
      <c r="C186" s="376" t="str">
        <f>Technologies!C181</f>
        <v>XOILLL5</v>
      </c>
      <c r="D186" s="376" t="str">
        <f>Technologies!D181</f>
        <v>Convert OILLL5 to OILIP5</v>
      </c>
      <c r="E186" s="376" t="str">
        <f>Commodities!C41</f>
        <v>OILLL5</v>
      </c>
      <c r="F186" s="415" t="str">
        <f>RIGHT(Technologies!D181,6)</f>
        <v>OILIP5</v>
      </c>
      <c r="G186" s="415">
        <v>1</v>
      </c>
      <c r="H186" s="415">
        <v>1</v>
      </c>
      <c r="I186" s="415">
        <v>50</v>
      </c>
      <c r="P186" s="365"/>
      <c r="Q186" s="365"/>
      <c r="R186" s="365"/>
      <c r="S186" s="365"/>
      <c r="T186" s="365"/>
      <c r="U186" s="365"/>
      <c r="V186" s="365"/>
      <c r="W186" s="365"/>
      <c r="X186" s="365"/>
      <c r="Y186" s="365"/>
      <c r="Z186" s="365"/>
      <c r="AA186" s="365"/>
      <c r="AB186" s="365"/>
      <c r="AC186" s="365"/>
      <c r="AD186" s="365"/>
      <c r="AE186" s="365"/>
      <c r="AF186" s="365"/>
      <c r="AG186" s="365"/>
      <c r="AH186" s="365"/>
      <c r="AI186" s="365"/>
      <c r="AJ186" s="365"/>
      <c r="AK186" s="365"/>
      <c r="AL186" s="365"/>
      <c r="AM186" s="365"/>
      <c r="AN186" s="365"/>
      <c r="AO186" s="365"/>
      <c r="AP186" s="365"/>
      <c r="AQ186" s="365"/>
      <c r="AR186" s="365"/>
      <c r="AS186" s="365"/>
      <c r="AT186" s="365"/>
      <c r="AU186" s="365"/>
      <c r="AV186" s="365"/>
      <c r="AW186" s="365"/>
      <c r="AX186" s="365"/>
      <c r="AY186" s="365"/>
      <c r="AZ186" s="365"/>
      <c r="BA186" s="365"/>
      <c r="BB186" s="365"/>
      <c r="BC186" s="365"/>
      <c r="BD186" s="365"/>
      <c r="BE186" s="365"/>
      <c r="BF186" s="365"/>
      <c r="BG186" s="365"/>
    </row>
    <row r="187" spans="2:59">
      <c r="B187" s="376" t="str">
        <f>Technologies!B182</f>
        <v>R1</v>
      </c>
      <c r="C187" s="376" t="str">
        <f>Technologies!C182</f>
        <v>XOILMH1</v>
      </c>
      <c r="D187" s="376" t="str">
        <f>Technologies!D182</f>
        <v>Convert OILMH1 to OILIP1</v>
      </c>
      <c r="E187" s="376" t="str">
        <f>Commodities!C42</f>
        <v>OILMH1</v>
      </c>
      <c r="F187" s="415" t="str">
        <f>F182</f>
        <v>OILIP1</v>
      </c>
      <c r="G187" s="415">
        <v>1</v>
      </c>
      <c r="H187" s="415">
        <v>1</v>
      </c>
      <c r="I187" s="415">
        <v>50</v>
      </c>
      <c r="P187" s="365"/>
      <c r="Q187" s="365"/>
      <c r="R187" s="365"/>
      <c r="S187" s="365"/>
      <c r="T187" s="365"/>
      <c r="U187" s="365"/>
      <c r="V187" s="365"/>
      <c r="W187" s="365"/>
      <c r="X187" s="365"/>
      <c r="Y187" s="365"/>
      <c r="Z187" s="365"/>
      <c r="AA187" s="365"/>
      <c r="AB187" s="365"/>
      <c r="AC187" s="365"/>
      <c r="AD187" s="365"/>
      <c r="AE187" s="365"/>
      <c r="AF187" s="365"/>
      <c r="AG187" s="365"/>
      <c r="AH187" s="365"/>
      <c r="AI187" s="365"/>
      <c r="AJ187" s="365"/>
      <c r="AK187" s="365"/>
      <c r="AL187" s="365"/>
      <c r="AM187" s="365"/>
      <c r="AN187" s="365"/>
      <c r="AO187" s="365"/>
      <c r="AP187" s="365"/>
      <c r="AQ187" s="365"/>
      <c r="AR187" s="365"/>
      <c r="AS187" s="365"/>
      <c r="AT187" s="365"/>
      <c r="AU187" s="365"/>
      <c r="AV187" s="365"/>
      <c r="AW187" s="365"/>
      <c r="AX187" s="365"/>
      <c r="AY187" s="365"/>
      <c r="AZ187" s="365"/>
      <c r="BA187" s="365"/>
      <c r="BB187" s="365"/>
      <c r="BC187" s="365"/>
      <c r="BD187" s="365"/>
      <c r="BE187" s="365"/>
      <c r="BF187" s="365"/>
      <c r="BG187" s="365"/>
    </row>
    <row r="188" spans="2:59">
      <c r="B188" s="376" t="str">
        <f>Technologies!B183</f>
        <v>R1</v>
      </c>
      <c r="C188" s="376" t="str">
        <f>Technologies!C183</f>
        <v>XOILMH2</v>
      </c>
      <c r="D188" s="376" t="str">
        <f>Technologies!D183</f>
        <v>Convert OILMH2 to OILIP2</v>
      </c>
      <c r="E188" s="376" t="str">
        <f>Commodities!C43</f>
        <v>OILMH2</v>
      </c>
      <c r="F188" s="415" t="str">
        <f>F183</f>
        <v>OILIP2</v>
      </c>
      <c r="G188" s="415">
        <v>1</v>
      </c>
      <c r="H188" s="415">
        <v>1</v>
      </c>
      <c r="I188" s="415">
        <v>50</v>
      </c>
      <c r="P188" s="365"/>
      <c r="Q188" s="365"/>
      <c r="R188" s="365"/>
      <c r="S188" s="365"/>
      <c r="T188" s="365"/>
      <c r="U188" s="365"/>
      <c r="V188" s="365"/>
      <c r="W188" s="365"/>
      <c r="X188" s="365"/>
      <c r="Y188" s="365"/>
      <c r="Z188" s="365"/>
      <c r="AA188" s="365"/>
      <c r="AB188" s="365"/>
      <c r="AC188" s="365"/>
      <c r="AD188" s="365"/>
      <c r="AE188" s="365"/>
      <c r="AF188" s="365"/>
      <c r="AG188" s="365"/>
      <c r="AH188" s="365"/>
      <c r="AI188" s="365"/>
      <c r="AJ188" s="365"/>
      <c r="AK188" s="365"/>
      <c r="AL188" s="365"/>
      <c r="AM188" s="365"/>
      <c r="AN188" s="365"/>
      <c r="AO188" s="365"/>
      <c r="AP188" s="365"/>
      <c r="AQ188" s="365"/>
      <c r="AR188" s="365"/>
      <c r="AS188" s="365"/>
      <c r="AT188" s="365"/>
      <c r="AU188" s="365"/>
      <c r="AV188" s="365"/>
      <c r="AW188" s="365"/>
      <c r="AX188" s="365"/>
      <c r="AY188" s="365"/>
      <c r="AZ188" s="365"/>
      <c r="BA188" s="365"/>
      <c r="BB188" s="365"/>
      <c r="BC188" s="365"/>
      <c r="BD188" s="365"/>
      <c r="BE188" s="365"/>
      <c r="BF188" s="365"/>
      <c r="BG188" s="365"/>
    </row>
    <row r="189" spans="2:59">
      <c r="B189" s="376" t="str">
        <f>Technologies!B184</f>
        <v>R1</v>
      </c>
      <c r="C189" s="376" t="str">
        <f>Technologies!C184</f>
        <v>XOILMH3</v>
      </c>
      <c r="D189" s="376" t="str">
        <f>Technologies!D184</f>
        <v>Convert OILMH3 to OILIP3</v>
      </c>
      <c r="E189" s="376" t="str">
        <f>Commodities!C44</f>
        <v>OILMH3</v>
      </c>
      <c r="F189" s="415" t="str">
        <f>F184</f>
        <v>OILIP3</v>
      </c>
      <c r="G189" s="415">
        <v>1</v>
      </c>
      <c r="H189" s="415">
        <v>1</v>
      </c>
      <c r="I189" s="415">
        <v>50</v>
      </c>
      <c r="P189" s="365"/>
      <c r="Q189" s="365"/>
      <c r="R189" s="365"/>
      <c r="S189" s="365"/>
      <c r="T189" s="365"/>
      <c r="U189" s="365"/>
      <c r="V189" s="365"/>
      <c r="W189" s="365"/>
      <c r="X189" s="365"/>
      <c r="Y189" s="365"/>
      <c r="Z189" s="365"/>
      <c r="AA189" s="365"/>
      <c r="AB189" s="365"/>
      <c r="AC189" s="365"/>
      <c r="AD189" s="365"/>
      <c r="AE189" s="365"/>
      <c r="AF189" s="365"/>
      <c r="AG189" s="365"/>
      <c r="AH189" s="365"/>
      <c r="AI189" s="365"/>
      <c r="AJ189" s="365"/>
      <c r="AK189" s="365"/>
      <c r="AL189" s="365"/>
      <c r="AM189" s="365"/>
      <c r="AN189" s="365"/>
      <c r="AO189" s="365"/>
      <c r="AP189" s="365"/>
      <c r="AQ189" s="365"/>
      <c r="AR189" s="365"/>
      <c r="AS189" s="365"/>
      <c r="AT189" s="365"/>
      <c r="AU189" s="365"/>
      <c r="AV189" s="365"/>
      <c r="AW189" s="365"/>
      <c r="AX189" s="365"/>
      <c r="AY189" s="365"/>
      <c r="AZ189" s="365"/>
      <c r="BA189" s="365"/>
      <c r="BB189" s="365"/>
      <c r="BC189" s="365"/>
      <c r="BD189" s="365"/>
      <c r="BE189" s="365"/>
      <c r="BF189" s="365"/>
      <c r="BG189" s="365"/>
    </row>
    <row r="190" spans="2:59">
      <c r="B190" s="376" t="str">
        <f>Technologies!B185</f>
        <v>*</v>
      </c>
      <c r="C190" s="376" t="str">
        <f>Technologies!C185</f>
        <v>XOILMH4</v>
      </c>
      <c r="D190" s="376" t="str">
        <f>Technologies!D185</f>
        <v>Convert OILMH4 to OILIP4</v>
      </c>
      <c r="E190" s="376" t="str">
        <f>Commodities!C45</f>
        <v>OILMH4</v>
      </c>
      <c r="F190" s="415" t="str">
        <f>RIGHT(Technologies!D185,6)</f>
        <v>OILIP4</v>
      </c>
      <c r="G190" s="415">
        <v>1</v>
      </c>
      <c r="H190" s="415">
        <v>1</v>
      </c>
      <c r="I190" s="415">
        <v>50</v>
      </c>
      <c r="P190" s="365"/>
      <c r="Q190" s="365"/>
      <c r="R190" s="365"/>
      <c r="S190" s="365"/>
      <c r="T190" s="365"/>
      <c r="U190" s="365"/>
      <c r="V190" s="365"/>
      <c r="W190" s="365"/>
      <c r="X190" s="365"/>
      <c r="Y190" s="365"/>
      <c r="Z190" s="365"/>
      <c r="AA190" s="365"/>
      <c r="AB190" s="365"/>
      <c r="AC190" s="365"/>
      <c r="AD190" s="365"/>
      <c r="AE190" s="365"/>
      <c r="AF190" s="365"/>
      <c r="AG190" s="365"/>
      <c r="AH190" s="365"/>
      <c r="AI190" s="365"/>
      <c r="AJ190" s="365"/>
      <c r="AK190" s="365"/>
      <c r="AL190" s="365"/>
      <c r="AM190" s="365"/>
      <c r="AN190" s="365"/>
      <c r="AO190" s="365"/>
      <c r="AP190" s="365"/>
      <c r="AQ190" s="365"/>
      <c r="AR190" s="365"/>
      <c r="AS190" s="365"/>
      <c r="AT190" s="365"/>
      <c r="AU190" s="365"/>
      <c r="AV190" s="365"/>
      <c r="AW190" s="365"/>
      <c r="AX190" s="365"/>
      <c r="AY190" s="365"/>
      <c r="AZ190" s="365"/>
      <c r="BA190" s="365"/>
      <c r="BB190" s="365"/>
      <c r="BC190" s="365"/>
      <c r="BD190" s="365"/>
      <c r="BE190" s="365"/>
      <c r="BF190" s="365"/>
      <c r="BG190" s="365"/>
    </row>
    <row r="191" spans="2:59">
      <c r="B191" s="376" t="str">
        <f>Technologies!B186</f>
        <v>*</v>
      </c>
      <c r="C191" s="376" t="str">
        <f>Technologies!C186</f>
        <v>XOILMH5</v>
      </c>
      <c r="D191" s="376" t="str">
        <f>Technologies!D186</f>
        <v>Convert OILMH5 to OILIP5</v>
      </c>
      <c r="E191" s="376" t="str">
        <f>Commodities!C46</f>
        <v>OILMH5</v>
      </c>
      <c r="F191" s="415" t="str">
        <f>RIGHT(Technologies!D186,6)</f>
        <v>OILIP5</v>
      </c>
      <c r="G191" s="415">
        <v>1</v>
      </c>
      <c r="H191" s="415">
        <v>1</v>
      </c>
      <c r="I191" s="415">
        <v>50</v>
      </c>
      <c r="AB191" s="365"/>
      <c r="AC191" s="365"/>
      <c r="AD191" s="365"/>
      <c r="AE191" s="365"/>
      <c r="AF191" s="365"/>
      <c r="AG191" s="365"/>
      <c r="AH191" s="365"/>
      <c r="AI191" s="365"/>
      <c r="AJ191" s="365"/>
      <c r="AK191" s="365"/>
      <c r="AL191" s="365"/>
      <c r="AM191" s="365"/>
      <c r="AN191" s="365"/>
      <c r="AO191" s="365"/>
      <c r="AP191" s="365"/>
      <c r="AQ191" s="365"/>
      <c r="AR191" s="365"/>
      <c r="AS191" s="365"/>
      <c r="AT191" s="365"/>
      <c r="AU191" s="365"/>
      <c r="AV191" s="365"/>
      <c r="AW191" s="365"/>
      <c r="AX191" s="365"/>
      <c r="AY191" s="365"/>
      <c r="AZ191" s="365"/>
      <c r="BA191" s="365"/>
      <c r="BB191" s="365"/>
      <c r="BC191" s="365"/>
      <c r="BD191" s="365"/>
      <c r="BE191" s="365"/>
      <c r="BF191" s="365"/>
      <c r="BG191" s="365"/>
    </row>
    <row r="192" spans="2:59">
      <c r="N192" s="389"/>
      <c r="O192" s="389"/>
      <c r="P192" s="389"/>
      <c r="Q192" s="389"/>
      <c r="R192" s="389"/>
      <c r="S192" s="389"/>
      <c r="T192" s="389"/>
      <c r="U192" s="389"/>
      <c r="V192" s="389"/>
      <c r="W192" s="389"/>
      <c r="X192" s="390"/>
      <c r="Y192" s="391"/>
      <c r="BG192" s="365"/>
    </row>
    <row r="193" spans="2:59">
      <c r="O193" s="389"/>
      <c r="P193" s="389"/>
      <c r="Q193" s="389"/>
      <c r="R193" s="389"/>
      <c r="S193" s="389"/>
      <c r="T193" s="389"/>
      <c r="U193" s="389"/>
      <c r="V193" s="389"/>
      <c r="W193" s="389"/>
      <c r="X193" s="389"/>
      <c r="Y193" s="390"/>
      <c r="Z193" s="391"/>
    </row>
    <row r="194" spans="2:59">
      <c r="O194" s="389"/>
      <c r="P194" s="389"/>
      <c r="Q194" s="389"/>
      <c r="R194" s="389"/>
      <c r="S194" s="389"/>
      <c r="T194" s="389"/>
      <c r="U194" s="389"/>
      <c r="V194" s="389"/>
      <c r="W194" s="389"/>
      <c r="X194" s="389"/>
      <c r="Y194" s="390"/>
      <c r="Z194" s="391"/>
    </row>
    <row r="195" spans="2:59" ht="17.25" customHeight="1">
      <c r="E195" s="410" t="s">
        <v>2532</v>
      </c>
      <c r="AU195" s="387"/>
      <c r="AV195" s="387"/>
      <c r="AW195" s="387"/>
      <c r="AX195" s="387"/>
      <c r="AY195" s="387"/>
      <c r="AZ195" s="387"/>
      <c r="BA195" s="387"/>
      <c r="BB195" s="387"/>
      <c r="BC195" s="387"/>
      <c r="BD195" s="388"/>
      <c r="BE195" s="388"/>
      <c r="BF195" s="365"/>
      <c r="BG195" s="365"/>
    </row>
    <row r="196" spans="2:59" ht="15.75" customHeight="1">
      <c r="B196" s="371" t="s">
        <v>739</v>
      </c>
      <c r="C196" s="371" t="s">
        <v>375</v>
      </c>
      <c r="D196" s="371" t="s">
        <v>376</v>
      </c>
      <c r="E196" s="371" t="s">
        <v>379</v>
      </c>
      <c r="F196" s="371" t="s">
        <v>2509</v>
      </c>
      <c r="G196" s="371" t="s">
        <v>2510</v>
      </c>
      <c r="H196" s="371" t="s">
        <v>2511</v>
      </c>
      <c r="I196" s="371" t="s">
        <v>2512</v>
      </c>
      <c r="J196" s="371" t="s">
        <v>2513</v>
      </c>
      <c r="K196" s="371" t="s">
        <v>2514</v>
      </c>
      <c r="L196" s="371" t="s">
        <v>2515</v>
      </c>
      <c r="M196" s="371" t="s">
        <v>2516</v>
      </c>
      <c r="N196" s="371" t="s">
        <v>2517</v>
      </c>
      <c r="O196" s="371" t="s">
        <v>2518</v>
      </c>
      <c r="P196" s="371" t="s">
        <v>2555</v>
      </c>
      <c r="Q196" s="371" t="s">
        <v>2556</v>
      </c>
      <c r="R196" s="371" t="s">
        <v>2557</v>
      </c>
      <c r="S196" s="371" t="s">
        <v>2558</v>
      </c>
      <c r="T196" s="371" t="s">
        <v>2559</v>
      </c>
      <c r="U196" s="371" t="s">
        <v>2560</v>
      </c>
      <c r="V196" s="371" t="s">
        <v>2561</v>
      </c>
      <c r="W196" s="371" t="s">
        <v>2562</v>
      </c>
      <c r="X196" s="371" t="s">
        <v>2563</v>
      </c>
      <c r="Y196" s="371" t="s">
        <v>2564</v>
      </c>
      <c r="Z196" s="371" t="s">
        <v>2565</v>
      </c>
      <c r="AA196" s="371" t="s">
        <v>2566</v>
      </c>
      <c r="AB196" s="371" t="s">
        <v>2519</v>
      </c>
      <c r="AC196" s="371" t="s">
        <v>2520</v>
      </c>
      <c r="AD196" s="394"/>
      <c r="AE196" s="394"/>
      <c r="AF196" s="394"/>
      <c r="AG196" s="411" t="s">
        <v>2504</v>
      </c>
      <c r="AH196" s="411" t="s">
        <v>2505</v>
      </c>
      <c r="AI196" s="411" t="s">
        <v>2506</v>
      </c>
      <c r="AJ196" s="411" t="s">
        <v>2507</v>
      </c>
      <c r="AK196" s="411" t="s">
        <v>2508</v>
      </c>
      <c r="AL196" s="394"/>
      <c r="AM196" s="394"/>
      <c r="AN196" s="394"/>
      <c r="AO196" s="394"/>
      <c r="AP196" s="365"/>
      <c r="AQ196" s="365"/>
      <c r="AR196" s="365"/>
      <c r="AS196" s="365"/>
      <c r="AT196" s="365"/>
      <c r="AU196" s="365"/>
      <c r="AV196" s="365"/>
      <c r="AW196" s="365"/>
      <c r="AX196" s="365"/>
      <c r="AY196" s="365"/>
      <c r="AZ196" s="365"/>
      <c r="BA196" s="365"/>
      <c r="BB196" s="365"/>
      <c r="BC196" s="365"/>
      <c r="BD196" s="365"/>
      <c r="BE196" s="365"/>
      <c r="BF196" s="365"/>
      <c r="BG196" s="365"/>
    </row>
    <row r="197" spans="2:59">
      <c r="B197" s="372" t="s">
        <v>536</v>
      </c>
      <c r="C197" s="372"/>
      <c r="D197" s="372"/>
      <c r="E197" s="412"/>
      <c r="F197" s="417"/>
      <c r="G197" s="417"/>
      <c r="H197" s="417"/>
      <c r="I197" s="417"/>
      <c r="J197" s="417"/>
      <c r="K197" s="417"/>
      <c r="L197" s="417"/>
      <c r="M197" s="417"/>
      <c r="N197" s="417"/>
      <c r="O197" s="417"/>
      <c r="P197" s="414"/>
      <c r="Q197" s="414"/>
      <c r="R197" s="414"/>
      <c r="S197" s="414"/>
      <c r="T197" s="414"/>
      <c r="U197" s="414"/>
      <c r="V197" s="414"/>
      <c r="W197" s="414"/>
      <c r="X197" s="414"/>
      <c r="Y197" s="414"/>
      <c r="Z197" s="414"/>
      <c r="AA197" s="414"/>
      <c r="AB197" s="414"/>
      <c r="AC197" s="414"/>
      <c r="AG197" s="400"/>
      <c r="AH197" s="400"/>
      <c r="AI197" s="400"/>
      <c r="AJ197" s="400"/>
      <c r="AK197" s="400"/>
      <c r="AP197" s="365"/>
      <c r="AQ197" s="365"/>
      <c r="AR197" s="365"/>
      <c r="AS197" s="365"/>
      <c r="AT197" s="365"/>
      <c r="AU197" s="365"/>
      <c r="AV197" s="365"/>
      <c r="AW197" s="365"/>
      <c r="AX197" s="365"/>
      <c r="AY197" s="365"/>
      <c r="AZ197" s="365"/>
      <c r="BA197" s="365"/>
      <c r="BB197" s="365"/>
      <c r="BC197" s="365"/>
      <c r="BD197" s="365"/>
      <c r="BE197" s="365"/>
      <c r="BF197" s="365"/>
      <c r="BG197" s="365"/>
    </row>
    <row r="198" spans="2:59">
      <c r="B198" s="376" t="s">
        <v>438</v>
      </c>
      <c r="C198" s="376" t="str">
        <f>'Imp Refined NYC'!E43</f>
        <v>IMPJTFP13</v>
      </c>
      <c r="D198" s="376" t="str">
        <f>'Imp Refined NYC'!F43</f>
        <v>Imported Jet Fuel, PADD 1, Step 3</v>
      </c>
      <c r="E198" s="415" t="str">
        <f>'Imp Refined NYC'!G43</f>
        <v>JTFP1</v>
      </c>
      <c r="F198" s="413">
        <f>'Imp Refined NYC'!M43</f>
        <v>11.128443309395978</v>
      </c>
      <c r="G198" s="413">
        <f>'Imp Refined NYC'!N43</f>
        <v>11.982516366245413</v>
      </c>
      <c r="H198" s="413">
        <f>'Imp Refined NYC'!O43</f>
        <v>11.868585744714753</v>
      </c>
      <c r="I198" s="413">
        <f>'Imp Refined NYC'!P43</f>
        <v>12.807037625568853</v>
      </c>
      <c r="J198" s="413">
        <f>'Imp Refined NYC'!Q43</f>
        <v>13.542704288341133</v>
      </c>
      <c r="K198" s="413">
        <f>'Imp Refined NYC'!R43</f>
        <v>14.55006537441052</v>
      </c>
      <c r="L198" s="413">
        <f>'Imp Refined NYC'!S43</f>
        <v>15.632358049926228</v>
      </c>
      <c r="M198" s="413">
        <f>'Imp Refined NYC'!T43</f>
        <v>16.795156029393013</v>
      </c>
      <c r="N198" s="413">
        <f>'Imp Refined NYC'!U43</f>
        <v>18.044447622730061</v>
      </c>
      <c r="O198" s="413">
        <f>'Imp Refined NYC'!V43</f>
        <v>19.386666574553757</v>
      </c>
      <c r="P198" s="405"/>
      <c r="Q198" s="405">
        <f>'Imp Refined NYC'!AF43</f>
        <v>218348.8961308857</v>
      </c>
      <c r="R198" s="405">
        <f>'Imp Refined NYC'!AG43</f>
        <v>218348.8961308857</v>
      </c>
      <c r="S198" s="405">
        <f>'Imp Refined NYC'!AH43</f>
        <v>218348.8961308857</v>
      </c>
      <c r="T198" s="405">
        <f>'Imp Refined NYC'!AI43</f>
        <v>218348.8961308857</v>
      </c>
      <c r="U198" s="405"/>
      <c r="V198" s="405"/>
      <c r="W198" s="405"/>
      <c r="X198" s="413"/>
      <c r="Y198" s="413"/>
      <c r="Z198" s="413"/>
      <c r="AA198" s="413"/>
      <c r="AB198" s="415"/>
      <c r="AC198" s="415"/>
      <c r="AG198" s="415"/>
      <c r="AH198" s="405"/>
      <c r="AI198" s="415"/>
      <c r="AJ198" s="415">
        <v>1.0049999999999999</v>
      </c>
      <c r="AK198" s="415">
        <v>1.0049999999999999</v>
      </c>
      <c r="BC198" s="365"/>
      <c r="BD198" s="365"/>
      <c r="BE198" s="365"/>
      <c r="BF198" s="365"/>
      <c r="BG198" s="365"/>
    </row>
    <row r="199" spans="2:59">
      <c r="B199" s="376" t="s">
        <v>438</v>
      </c>
      <c r="C199" s="376" t="str">
        <f>'Imp Refined NYC'!E44</f>
        <v>IMPJTFP11</v>
      </c>
      <c r="D199" s="376" t="str">
        <f>'Imp Refined NYC'!F44</f>
        <v>Imported Jet Fuel, PADD 1, Step 1</v>
      </c>
      <c r="E199" s="415" t="str">
        <f>'Imp Refined NYC'!G44</f>
        <v>JTFP1</v>
      </c>
      <c r="F199" s="413">
        <f>'Imp Refined NYC'!M44</f>
        <v>10.572021143926175</v>
      </c>
      <c r="G199" s="413">
        <f>'Imp Refined NYC'!N44</f>
        <v>11.383390547933139</v>
      </c>
      <c r="H199" s="413">
        <f>'Imp Refined NYC'!O44</f>
        <v>11.275156457479014</v>
      </c>
      <c r="I199" s="413">
        <f>'Imp Refined NYC'!P44</f>
        <v>12.166685744290408</v>
      </c>
      <c r="J199" s="413">
        <f>'Imp Refined NYC'!Q44</f>
        <v>12.865569073924073</v>
      </c>
      <c r="K199" s="413">
        <f>'Imp Refined NYC'!R44</f>
        <v>13.822562105689991</v>
      </c>
      <c r="L199" s="413">
        <f>'Imp Refined NYC'!S44</f>
        <v>14.850740147429914</v>
      </c>
      <c r="M199" s="413">
        <f>'Imp Refined NYC'!T44</f>
        <v>15.955398227923359</v>
      </c>
      <c r="N199" s="413">
        <f>'Imp Refined NYC'!U44</f>
        <v>17.142225241593554</v>
      </c>
      <c r="O199" s="413">
        <f>'Imp Refined NYC'!V44</f>
        <v>18.417333245826068</v>
      </c>
      <c r="P199" s="405"/>
      <c r="Q199" s="405">
        <f>'Imp Refined NYC'!AF44</f>
        <v>1746791.1690470844</v>
      </c>
      <c r="R199" s="405">
        <f>'Imp Refined NYC'!AG44</f>
        <v>1746791.1690470844</v>
      </c>
      <c r="S199" s="405">
        <f>'Imp Refined NYC'!AH44</f>
        <v>1746791.1690470844</v>
      </c>
      <c r="T199" s="405">
        <f>'Imp Refined NYC'!AI44</f>
        <v>1746791.1690470844</v>
      </c>
      <c r="U199" s="405"/>
      <c r="V199" s="405"/>
      <c r="W199" s="405"/>
      <c r="X199" s="413"/>
      <c r="Y199" s="413"/>
      <c r="Z199" s="413"/>
      <c r="AA199" s="413"/>
      <c r="AB199" s="415"/>
      <c r="AC199" s="415"/>
      <c r="AG199" s="415"/>
      <c r="AH199" s="405"/>
      <c r="AI199" s="415"/>
      <c r="AJ199" s="415">
        <v>1.0049999999999999</v>
      </c>
      <c r="AK199" s="415">
        <v>1.0049999999999999</v>
      </c>
      <c r="BC199" s="365"/>
      <c r="BD199" s="365"/>
      <c r="BE199" s="365"/>
      <c r="BF199" s="365"/>
      <c r="BG199" s="365"/>
    </row>
    <row r="200" spans="2:59">
      <c r="B200" s="376" t="s">
        <v>438</v>
      </c>
      <c r="C200" s="376" t="str">
        <f>'Imp Refined NYC'!E45</f>
        <v>IMPJTFP12</v>
      </c>
      <c r="D200" s="376" t="str">
        <f>'Imp Refined NYC'!F45</f>
        <v>Imported Jet Fuel, PADD 1, Step 2</v>
      </c>
      <c r="E200" s="415" t="str">
        <f>'Imp Refined NYC'!G45</f>
        <v>JTFP1</v>
      </c>
      <c r="F200" s="413">
        <f>'Imp Refined NYC'!M45</f>
        <v>10.905874443208058</v>
      </c>
      <c r="G200" s="413">
        <f>'Imp Refined NYC'!N45</f>
        <v>11.742866038920504</v>
      </c>
      <c r="H200" s="413">
        <f>'Imp Refined NYC'!O45</f>
        <v>11.631214029820457</v>
      </c>
      <c r="I200" s="413">
        <f>'Imp Refined NYC'!P45</f>
        <v>12.550896873057473</v>
      </c>
      <c r="J200" s="413">
        <f>'Imp Refined NYC'!Q45</f>
        <v>13.271850202574306</v>
      </c>
      <c r="K200" s="413">
        <f>'Imp Refined NYC'!R45</f>
        <v>14.259064066922306</v>
      </c>
      <c r="L200" s="413">
        <f>'Imp Refined NYC'!S45</f>
        <v>15.3197108889277</v>
      </c>
      <c r="M200" s="413">
        <f>'Imp Refined NYC'!T45</f>
        <v>16.459252908805148</v>
      </c>
      <c r="N200" s="413">
        <f>'Imp Refined NYC'!U45</f>
        <v>17.683558670275456</v>
      </c>
      <c r="O200" s="413">
        <f>'Imp Refined NYC'!V45</f>
        <v>18.99893324306268</v>
      </c>
      <c r="P200" s="405"/>
      <c r="Q200" s="405">
        <f>'Imp Refined NYC'!AF45</f>
        <v>218348.896130885</v>
      </c>
      <c r="R200" s="405">
        <f>'Imp Refined NYC'!AG45</f>
        <v>218348.896130885</v>
      </c>
      <c r="S200" s="405">
        <f>'Imp Refined NYC'!AH45</f>
        <v>218348.896130885</v>
      </c>
      <c r="T200" s="405">
        <f>'Imp Refined NYC'!AI45</f>
        <v>218348.896130885</v>
      </c>
      <c r="U200" s="405"/>
      <c r="V200" s="405"/>
      <c r="W200" s="405"/>
      <c r="X200" s="413"/>
      <c r="Y200" s="413"/>
      <c r="Z200" s="413"/>
      <c r="AA200" s="413"/>
      <c r="AB200" s="415"/>
      <c r="AC200" s="415"/>
      <c r="AG200" s="415"/>
      <c r="AH200" s="405"/>
      <c r="AI200" s="415"/>
      <c r="AJ200" s="415">
        <v>1.0049999999999999</v>
      </c>
      <c r="AK200" s="415">
        <v>1.0049999999999999</v>
      </c>
      <c r="BC200" s="365"/>
      <c r="BD200" s="365"/>
      <c r="BE200" s="365"/>
      <c r="BF200" s="365"/>
      <c r="BG200" s="365"/>
    </row>
    <row r="201" spans="2:59">
      <c r="B201" s="376" t="s">
        <v>438</v>
      </c>
      <c r="C201" s="376" t="str">
        <f>'Imp Refined NYC'!E46</f>
        <v>IMPJTFP14</v>
      </c>
      <c r="D201" s="376" t="str">
        <f>'Imp Refined NYC'!F46</f>
        <v>Imported Jet Fuel, PADD 1, Step 4</v>
      </c>
      <c r="E201" s="415" t="str">
        <f>'Imp Refined NYC'!G46</f>
        <v>JTFP1</v>
      </c>
      <c r="F201" s="413">
        <f>'Imp Refined NYC'!M46</f>
        <v>12.130003207241614</v>
      </c>
      <c r="G201" s="413">
        <f>'Imp Refined NYC'!N46</f>
        <v>13.060942839207499</v>
      </c>
      <c r="H201" s="413">
        <f>'Imp Refined NYC'!O46</f>
        <v>12.93675846173908</v>
      </c>
      <c r="I201" s="413">
        <f>'Imp Refined NYC'!P46</f>
        <v>13.959671011870048</v>
      </c>
      <c r="J201" s="413">
        <f>'Imp Refined NYC'!Q46</f>
        <v>14.761547674291833</v>
      </c>
      <c r="K201" s="413">
        <f>'Imp Refined NYC'!R46</f>
        <v>15.859571258107465</v>
      </c>
      <c r="L201" s="413">
        <f>'Imp Refined NYC'!S46</f>
        <v>17.039270274419586</v>
      </c>
      <c r="M201" s="413">
        <f>'Imp Refined NYC'!T46</f>
        <v>18.306720072038381</v>
      </c>
      <c r="N201" s="413">
        <f>'Imp Refined NYC'!U46</f>
        <v>19.668447908775764</v>
      </c>
      <c r="O201" s="413">
        <f>'Imp Refined NYC'!V46</f>
        <v>21.131466566263594</v>
      </c>
      <c r="P201" s="405"/>
      <c r="Q201" s="405">
        <f>'Imp Refined NYC'!AF46</f>
        <v>436697.79226177093</v>
      </c>
      <c r="R201" s="405">
        <f>'Imp Refined NYC'!AG46</f>
        <v>436697.79226177093</v>
      </c>
      <c r="S201" s="405">
        <f>'Imp Refined NYC'!AH46</f>
        <v>436697.79226177093</v>
      </c>
      <c r="T201" s="405">
        <f>'Imp Refined NYC'!AI46</f>
        <v>436697.79226177093</v>
      </c>
      <c r="U201" s="405"/>
      <c r="V201" s="405"/>
      <c r="W201" s="405"/>
      <c r="X201" s="413"/>
      <c r="Y201" s="413"/>
      <c r="Z201" s="413"/>
      <c r="AA201" s="413"/>
      <c r="AB201" s="415"/>
      <c r="AC201" s="415"/>
      <c r="AG201" s="415"/>
      <c r="AH201" s="405"/>
      <c r="AI201" s="415"/>
      <c r="AJ201" s="415">
        <v>1.0049999999999999</v>
      </c>
      <c r="AK201" s="415">
        <v>1.0049999999999999</v>
      </c>
      <c r="BC201" s="365"/>
      <c r="BD201" s="365"/>
      <c r="BE201" s="365"/>
      <c r="BF201" s="365"/>
      <c r="BG201" s="365"/>
    </row>
    <row r="202" spans="2:59">
      <c r="B202" s="376" t="s">
        <v>438</v>
      </c>
      <c r="C202" s="376" t="str">
        <f>'Imp Refined NYC'!E47</f>
        <v>IMPJTFP15</v>
      </c>
      <c r="D202" s="376" t="str">
        <f>'Imp Refined NYC'!F47</f>
        <v>Imported Jet Fuel, PADD 1, Step 5</v>
      </c>
      <c r="E202" s="415" t="str">
        <f>'Imp Refined NYC'!G47</f>
        <v>JTFP1</v>
      </c>
      <c r="F202" s="413">
        <f>'Imp Refined NYC'!M47</f>
        <v>14.466976302214771</v>
      </c>
      <c r="G202" s="413">
        <f>'Imp Refined NYC'!N47</f>
        <v>15.577271276119037</v>
      </c>
      <c r="H202" s="413">
        <f>'Imp Refined NYC'!O47</f>
        <v>15.42916146812918</v>
      </c>
      <c r="I202" s="413">
        <f>'Imp Refined NYC'!P47</f>
        <v>16.649148913239507</v>
      </c>
      <c r="J202" s="413">
        <f>'Imp Refined NYC'!Q47</f>
        <v>17.605515574843469</v>
      </c>
      <c r="K202" s="413">
        <f>'Imp Refined NYC'!R47</f>
        <v>18.915084986733675</v>
      </c>
      <c r="L202" s="413">
        <f>'Imp Refined NYC'!S47</f>
        <v>20.322065464904096</v>
      </c>
      <c r="M202" s="413">
        <f>'Imp Refined NYC'!T47</f>
        <v>21.833702838210915</v>
      </c>
      <c r="N202" s="413">
        <f>'Imp Refined NYC'!U47</f>
        <v>23.457781909549077</v>
      </c>
      <c r="O202" s="413">
        <f>'Imp Refined NYC'!V47</f>
        <v>25.202666546919883</v>
      </c>
      <c r="P202" s="405"/>
      <c r="Q202" s="405">
        <f>'Imp Refined NYC'!AF47</f>
        <v>1746791.1690470842</v>
      </c>
      <c r="R202" s="405">
        <f>'Imp Refined NYC'!AG47</f>
        <v>1746791.1690470842</v>
      </c>
      <c r="S202" s="405">
        <f>'Imp Refined NYC'!AH47</f>
        <v>1746791.1690470842</v>
      </c>
      <c r="T202" s="405">
        <f>'Imp Refined NYC'!AI47</f>
        <v>1746791.1690470842</v>
      </c>
      <c r="U202" s="405"/>
      <c r="V202" s="405"/>
      <c r="W202" s="405"/>
      <c r="X202" s="413"/>
      <c r="Y202" s="413"/>
      <c r="Z202" s="413"/>
      <c r="AA202" s="413"/>
      <c r="AB202" s="415"/>
      <c r="AC202" s="415"/>
      <c r="AG202" s="415"/>
      <c r="AH202" s="405"/>
      <c r="AI202" s="415"/>
      <c r="AJ202" s="415">
        <v>1.0049999999999999</v>
      </c>
      <c r="AK202" s="415">
        <v>1.0049999999999999</v>
      </c>
      <c r="BC202" s="365"/>
      <c r="BD202" s="365"/>
      <c r="BE202" s="365"/>
      <c r="BF202" s="365"/>
      <c r="BG202" s="365"/>
    </row>
    <row r="203" spans="2:59">
      <c r="B203" s="376" t="str">
        <f>Technologies!B$424</f>
        <v>R0,R1,R2,R3,R4,R5,R6</v>
      </c>
      <c r="C203" s="376" t="str">
        <f>'Imp Refined NYC'!E22</f>
        <v>IMPGSCP15</v>
      </c>
      <c r="D203" s="376" t="str">
        <f>'Imp Refined NYC'!F22</f>
        <v>Imported Conventional Gasoline, PADD 1, Step 5</v>
      </c>
      <c r="E203" s="415" t="str">
        <f>'Imp Refined NYC'!G22</f>
        <v>GSCP1</v>
      </c>
      <c r="F203" s="413">
        <f>'Imp Refined NYC'!M22</f>
        <v>19.693472585418988</v>
      </c>
      <c r="G203" s="413">
        <f>'Imp Refined NYC'!N22</f>
        <v>21.204884726666826</v>
      </c>
      <c r="H203" s="413">
        <f>'Imp Refined NYC'!O22</f>
        <v>21.003267168004385</v>
      </c>
      <c r="I203" s="413">
        <f>'Imp Refined NYC'!P22</f>
        <v>22.664000468656674</v>
      </c>
      <c r="J203" s="413">
        <f>'Imp Refined NYC'!Q22</f>
        <v>23.965874491151823</v>
      </c>
      <c r="K203" s="413">
        <f>'Imp Refined NYC'!R22</f>
        <v>25.748553108508428</v>
      </c>
      <c r="L203" s="413">
        <f>'Imp Refined NYC'!S22</f>
        <v>27.663834567207367</v>
      </c>
      <c r="M203" s="413">
        <f>'Imp Refined NYC'!T22</f>
        <v>29.721582402582971</v>
      </c>
      <c r="N203" s="413">
        <f>'Imp Refined NYC'!U22</f>
        <v>31.932393839597243</v>
      </c>
      <c r="O203" s="413">
        <f>'Imp Refined NYC'!V22</f>
        <v>34.307654367640005</v>
      </c>
      <c r="P203" s="405"/>
      <c r="Q203" s="405">
        <f>'Imp Refined NYC'!AF22</f>
        <v>1618323.458730923</v>
      </c>
      <c r="R203" s="405">
        <f>'Imp Refined NYC'!AG22</f>
        <v>1618323.458730923</v>
      </c>
      <c r="S203" s="405">
        <f>'Imp Refined NYC'!AH22</f>
        <v>1618323.458730923</v>
      </c>
      <c r="T203" s="405">
        <f>'Imp Refined NYC'!AI22</f>
        <v>1618323.458730923</v>
      </c>
      <c r="U203" s="405"/>
      <c r="V203" s="405"/>
      <c r="W203" s="405"/>
      <c r="X203" s="413"/>
      <c r="Y203" s="413"/>
      <c r="Z203" s="413"/>
      <c r="AA203" s="413"/>
      <c r="AB203" s="415"/>
      <c r="AC203" s="415"/>
      <c r="AG203" s="415"/>
      <c r="AH203" s="405"/>
      <c r="AI203" s="415"/>
      <c r="AJ203" s="415">
        <v>1.0049999999999999</v>
      </c>
      <c r="AK203" s="415">
        <v>1.0049999999999999</v>
      </c>
      <c r="BA203" s="365"/>
      <c r="BB203" s="365"/>
      <c r="BC203" s="365"/>
      <c r="BD203" s="365"/>
      <c r="BE203" s="365"/>
      <c r="BF203" s="365"/>
      <c r="BG203" s="365"/>
    </row>
    <row r="204" spans="2:59">
      <c r="B204" s="376" t="str">
        <f>Technologies!B$206</f>
        <v>R0,R1,R2,R3,R4,R5,R6</v>
      </c>
      <c r="C204" s="376" t="str">
        <f>'Imp Refined NYC'!E23</f>
        <v>IMPDSHP13</v>
      </c>
      <c r="D204" s="376" t="str">
        <f>'Imp Refined NYC'!F23</f>
        <v>Imported Distillate-Heating Oil No. 2, PADD 1, Step 3</v>
      </c>
      <c r="E204" s="415" t="str">
        <f>'Imp Refined NYC'!G23</f>
        <v>DSHP1</v>
      </c>
      <c r="F204" s="413">
        <f>'Imp Refined NYC'!M23</f>
        <v>12.491226883246286</v>
      </c>
      <c r="G204" s="413">
        <f>'Imp Refined NYC'!N23</f>
        <v>13.449889297329523</v>
      </c>
      <c r="H204" s="413">
        <f>'Imp Refined NYC'!O23</f>
        <v>13.322006789154536</v>
      </c>
      <c r="I204" s="413">
        <f>'Imp Refined NYC'!P23</f>
        <v>14.375381015616226</v>
      </c>
      <c r="J204" s="413">
        <f>'Imp Refined NYC'!Q23</f>
        <v>15.201137048121723</v>
      </c>
      <c r="K204" s="413">
        <f>'Imp Refined NYC'!R23</f>
        <v>16.331859066431495</v>
      </c>
      <c r="L204" s="413">
        <f>'Imp Refined NYC'!S23</f>
        <v>17.546688758966106</v>
      </c>
      <c r="M204" s="413">
        <f>'Imp Refined NYC'!T23</f>
        <v>18.85188239450688</v>
      </c>
      <c r="N204" s="413">
        <f>'Imp Refined NYC'!U23</f>
        <v>20.254161608395631</v>
      </c>
      <c r="O204" s="413">
        <f>'Imp Refined NYC'!V23</f>
        <v>21.760748018380482</v>
      </c>
      <c r="P204" s="405"/>
      <c r="Q204" s="405">
        <f>'Imp Refined NYC'!AF23</f>
        <v>224317.86948190606</v>
      </c>
      <c r="R204" s="405">
        <f>'Imp Refined NYC'!AG23</f>
        <v>224317.86948190606</v>
      </c>
      <c r="S204" s="405">
        <f>'Imp Refined NYC'!AH23</f>
        <v>224317.86948190606</v>
      </c>
      <c r="T204" s="405">
        <f>'Imp Refined NYC'!AI23</f>
        <v>224317.86948190606</v>
      </c>
      <c r="U204" s="405"/>
      <c r="V204" s="405"/>
      <c r="W204" s="405"/>
      <c r="X204" s="413"/>
      <c r="Y204" s="413"/>
      <c r="Z204" s="413"/>
      <c r="AA204" s="413"/>
      <c r="AB204" s="415"/>
      <c r="AC204" s="415"/>
      <c r="AG204" s="415"/>
      <c r="AH204" s="405"/>
      <c r="AI204" s="415"/>
      <c r="AJ204" s="415">
        <v>1.0049999999999999</v>
      </c>
      <c r="AK204" s="415">
        <v>1.0049999999999999</v>
      </c>
      <c r="BC204" s="365"/>
      <c r="BD204" s="365"/>
      <c r="BE204" s="365"/>
      <c r="BF204" s="365"/>
      <c r="BG204" s="365"/>
    </row>
    <row r="205" spans="2:59">
      <c r="B205" s="376" t="str">
        <f>Technologies!B$207</f>
        <v>R0,R1,R2,R3,R4,R5,R6</v>
      </c>
      <c r="C205" s="376" t="str">
        <f>'Imp Refined NYC'!E24</f>
        <v>IMPDSHP11</v>
      </c>
      <c r="D205" s="376" t="str">
        <f>'Imp Refined NYC'!F24</f>
        <v>Imported Distillate-Heating Oil No. 2, PADD 1, Step 1</v>
      </c>
      <c r="E205" s="415" t="str">
        <f>'Imp Refined NYC'!G24</f>
        <v>DSHP1</v>
      </c>
      <c r="F205" s="413">
        <f>'Imp Refined NYC'!M24</f>
        <v>11.86666553908397</v>
      </c>
      <c r="G205" s="413">
        <f>'Imp Refined NYC'!N24</f>
        <v>12.777394832463045</v>
      </c>
      <c r="H205" s="413">
        <f>'Imp Refined NYC'!O24</f>
        <v>12.655906449696806</v>
      </c>
      <c r="I205" s="413">
        <f>'Imp Refined NYC'!P24</f>
        <v>13.656611964835411</v>
      </c>
      <c r="J205" s="413">
        <f>'Imp Refined NYC'!Q24</f>
        <v>14.441080195715633</v>
      </c>
      <c r="K205" s="413">
        <f>'Imp Refined NYC'!R24</f>
        <v>15.515266113109918</v>
      </c>
      <c r="L205" s="413">
        <f>'Imp Refined NYC'!S24</f>
        <v>16.669354321017799</v>
      </c>
      <c r="M205" s="413">
        <f>'Imp Refined NYC'!T24</f>
        <v>17.909288274781535</v>
      </c>
      <c r="N205" s="413">
        <f>'Imp Refined NYC'!U24</f>
        <v>19.241453527975846</v>
      </c>
      <c r="O205" s="413">
        <f>'Imp Refined NYC'!V24</f>
        <v>20.672710617461455</v>
      </c>
      <c r="P205" s="405"/>
      <c r="Q205" s="405">
        <f>'Imp Refined NYC'!AF24</f>
        <v>1794542.9558552499</v>
      </c>
      <c r="R205" s="405">
        <f>'Imp Refined NYC'!AG24</f>
        <v>1794542.9558552499</v>
      </c>
      <c r="S205" s="405">
        <f>'Imp Refined NYC'!AH24</f>
        <v>1794542.9558552499</v>
      </c>
      <c r="T205" s="405">
        <f>'Imp Refined NYC'!AI24</f>
        <v>1794542.9558552499</v>
      </c>
      <c r="U205" s="405"/>
      <c r="V205" s="405"/>
      <c r="W205" s="405"/>
      <c r="X205" s="413"/>
      <c r="Y205" s="413"/>
      <c r="Z205" s="413"/>
      <c r="AA205" s="413"/>
      <c r="AB205" s="415"/>
      <c r="AC205" s="415"/>
      <c r="AG205" s="415"/>
      <c r="AH205" s="405"/>
      <c r="AI205" s="415"/>
      <c r="AJ205" s="415">
        <v>1.0049999999999999</v>
      </c>
      <c r="AK205" s="415">
        <v>1.0049999999999999</v>
      </c>
      <c r="BC205" s="365"/>
      <c r="BD205" s="365"/>
      <c r="BE205" s="365"/>
      <c r="BF205" s="365"/>
      <c r="BG205" s="365"/>
    </row>
    <row r="206" spans="2:59">
      <c r="B206" s="376" t="str">
        <f>Technologies!B$208</f>
        <v>R0,R1,R2,R3,R4,R5,R6</v>
      </c>
      <c r="C206" s="376" t="str">
        <f>'Imp Refined NYC'!E25</f>
        <v>IMPDSHP12</v>
      </c>
      <c r="D206" s="376" t="str">
        <f>'Imp Refined NYC'!F25</f>
        <v>Imported Distillate-Heating Oil No. 2, PADD 1, Step 2</v>
      </c>
      <c r="E206" s="415" t="str">
        <f>'Imp Refined NYC'!G25</f>
        <v>DSHP1</v>
      </c>
      <c r="F206" s="413">
        <f>'Imp Refined NYC'!M25</f>
        <v>12.24140234558136</v>
      </c>
      <c r="G206" s="413">
        <f>'Imp Refined NYC'!N25</f>
        <v>13.180891511382933</v>
      </c>
      <c r="H206" s="413">
        <f>'Imp Refined NYC'!O25</f>
        <v>13.055566653371445</v>
      </c>
      <c r="I206" s="413">
        <f>'Imp Refined NYC'!P25</f>
        <v>14.087873395303902</v>
      </c>
      <c r="J206" s="413">
        <f>'Imp Refined NYC'!Q25</f>
        <v>14.89711430715929</v>
      </c>
      <c r="K206" s="413">
        <f>'Imp Refined NYC'!R25</f>
        <v>16.005221885102866</v>
      </c>
      <c r="L206" s="413">
        <f>'Imp Refined NYC'!S25</f>
        <v>17.195754983786784</v>
      </c>
      <c r="M206" s="413">
        <f>'Imp Refined NYC'!T25</f>
        <v>18.474844746616743</v>
      </c>
      <c r="N206" s="413">
        <f>'Imp Refined NYC'!U25</f>
        <v>19.84907837622772</v>
      </c>
      <c r="O206" s="413">
        <f>'Imp Refined NYC'!V25</f>
        <v>21.325533058012873</v>
      </c>
      <c r="P206" s="405"/>
      <c r="Q206" s="405">
        <f>'Imp Refined NYC'!AF25</f>
        <v>224317.8694819056</v>
      </c>
      <c r="R206" s="405">
        <f>'Imp Refined NYC'!AG25</f>
        <v>224317.8694819056</v>
      </c>
      <c r="S206" s="405">
        <f>'Imp Refined NYC'!AH25</f>
        <v>224317.8694819056</v>
      </c>
      <c r="T206" s="405">
        <f>'Imp Refined NYC'!AI25</f>
        <v>224317.8694819056</v>
      </c>
      <c r="U206" s="405"/>
      <c r="V206" s="405"/>
      <c r="W206" s="405"/>
      <c r="X206" s="413"/>
      <c r="Y206" s="413"/>
      <c r="Z206" s="413"/>
      <c r="AA206" s="413"/>
      <c r="AB206" s="415"/>
      <c r="AC206" s="415"/>
      <c r="AG206" s="415"/>
      <c r="AH206" s="405"/>
      <c r="AI206" s="415"/>
      <c r="AJ206" s="415">
        <v>1.0049999999999999</v>
      </c>
      <c r="AK206" s="415">
        <v>1.0049999999999999</v>
      </c>
      <c r="BC206" s="365"/>
      <c r="BD206" s="365"/>
      <c r="BE206" s="365"/>
      <c r="BF206" s="365"/>
      <c r="BG206" s="365"/>
    </row>
    <row r="207" spans="2:59">
      <c r="B207" s="376" t="str">
        <f>Technologies!B$209</f>
        <v>R0,R1,R2,R3,R4,R5,R6</v>
      </c>
      <c r="C207" s="376" t="str">
        <f>'Imp Refined NYC'!E26</f>
        <v>IMPDSHP14</v>
      </c>
      <c r="D207" s="376" t="str">
        <f>'Imp Refined NYC'!F26</f>
        <v>Imported Distillate-Heating Oil No. 2, PADD 1, Step 4</v>
      </c>
      <c r="E207" s="415" t="str">
        <f>'Imp Refined NYC'!G26</f>
        <v>DSHP1</v>
      </c>
      <c r="F207" s="413">
        <f>'Imp Refined NYC'!M26</f>
        <v>13.615437302738453</v>
      </c>
      <c r="G207" s="413">
        <f>'Imp Refined NYC'!N26</f>
        <v>14.660379334089182</v>
      </c>
      <c r="H207" s="413">
        <f>'Imp Refined NYC'!O26</f>
        <v>14.520987400178445</v>
      </c>
      <c r="I207" s="413">
        <f>'Imp Refined NYC'!P26</f>
        <v>15.669165307021688</v>
      </c>
      <c r="J207" s="413">
        <f>'Imp Refined NYC'!Q26</f>
        <v>16.569239382452679</v>
      </c>
      <c r="K207" s="413">
        <f>'Imp Refined NYC'!R26</f>
        <v>17.801726382410333</v>
      </c>
      <c r="L207" s="413">
        <f>'Imp Refined NYC'!S26</f>
        <v>19.125890747273058</v>
      </c>
      <c r="M207" s="413">
        <f>'Imp Refined NYC'!T26</f>
        <v>20.548551810012501</v>
      </c>
      <c r="N207" s="413">
        <f>'Imp Refined NYC'!U26</f>
        <v>22.077036153151241</v>
      </c>
      <c r="O207" s="413">
        <f>'Imp Refined NYC'!V26</f>
        <v>23.719215340034729</v>
      </c>
      <c r="P207" s="405"/>
      <c r="Q207" s="405">
        <f>'Imp Refined NYC'!AF26</f>
        <v>448635.73896381306</v>
      </c>
      <c r="R207" s="405">
        <f>'Imp Refined NYC'!AG26</f>
        <v>448635.73896381306</v>
      </c>
      <c r="S207" s="405">
        <f>'Imp Refined NYC'!AH26</f>
        <v>448635.73896381306</v>
      </c>
      <c r="T207" s="405">
        <f>'Imp Refined NYC'!AI26</f>
        <v>448635.73896381306</v>
      </c>
      <c r="U207" s="405"/>
      <c r="V207" s="405"/>
      <c r="W207" s="405"/>
      <c r="X207" s="413"/>
      <c r="Y207" s="413"/>
      <c r="Z207" s="413"/>
      <c r="AA207" s="413"/>
      <c r="AB207" s="415"/>
      <c r="AC207" s="415"/>
      <c r="AG207" s="415"/>
      <c r="AH207" s="405"/>
      <c r="AI207" s="415"/>
      <c r="AJ207" s="415">
        <v>1.0049999999999999</v>
      </c>
      <c r="AK207" s="415">
        <v>1.0049999999999999</v>
      </c>
      <c r="BC207" s="365"/>
      <c r="BD207" s="365"/>
      <c r="BE207" s="365"/>
      <c r="BF207" s="365"/>
      <c r="BG207" s="365"/>
    </row>
    <row r="208" spans="2:59">
      <c r="B208" s="376" t="str">
        <f>Technologies!B$210</f>
        <v>R0,R1,R2,R3,R4,R5,R6</v>
      </c>
      <c r="C208" s="376" t="str">
        <f>'Imp Refined NYC'!E27</f>
        <v>IMPDSHP15</v>
      </c>
      <c r="D208" s="376" t="str">
        <f>'Imp Refined NYC'!F27</f>
        <v>Imported Distillate-Heating Oil No. 2, PADD 1, Step 5</v>
      </c>
      <c r="E208" s="415" t="str">
        <f>'Imp Refined NYC'!G27</f>
        <v>DSHP1</v>
      </c>
      <c r="F208" s="413">
        <f>'Imp Refined NYC'!M27</f>
        <v>16.238594948220172</v>
      </c>
      <c r="G208" s="413">
        <f>'Imp Refined NYC'!N27</f>
        <v>17.484856086528382</v>
      </c>
      <c r="H208" s="413">
        <f>'Imp Refined NYC'!O27</f>
        <v>17.318608825900895</v>
      </c>
      <c r="I208" s="413">
        <f>'Imp Refined NYC'!P27</f>
        <v>18.687995320301091</v>
      </c>
      <c r="J208" s="413">
        <f>'Imp Refined NYC'!Q27</f>
        <v>19.761478162558237</v>
      </c>
      <c r="K208" s="413">
        <f>'Imp Refined NYC'!R27</f>
        <v>21.231416786360942</v>
      </c>
      <c r="L208" s="413">
        <f>'Imp Refined NYC'!S27</f>
        <v>22.810695386655937</v>
      </c>
      <c r="M208" s="413">
        <f>'Imp Refined NYC'!T27</f>
        <v>24.507447112858944</v>
      </c>
      <c r="N208" s="413">
        <f>'Imp Refined NYC'!U27</f>
        <v>26.33041009091432</v>
      </c>
      <c r="O208" s="413">
        <f>'Imp Refined NYC'!V27</f>
        <v>28.288972423894627</v>
      </c>
      <c r="P208" s="405"/>
      <c r="Q208" s="405">
        <f>'Imp Refined NYC'!AF27</f>
        <v>1794542.9558552485</v>
      </c>
      <c r="R208" s="405">
        <f>'Imp Refined NYC'!AG27</f>
        <v>1794542.9558552485</v>
      </c>
      <c r="S208" s="405">
        <f>'Imp Refined NYC'!AH27</f>
        <v>1794542.9558552485</v>
      </c>
      <c r="T208" s="405">
        <f>'Imp Refined NYC'!AI27</f>
        <v>1794542.9558552485</v>
      </c>
      <c r="U208" s="405"/>
      <c r="V208" s="405"/>
      <c r="W208" s="405"/>
      <c r="X208" s="413"/>
      <c r="Y208" s="413"/>
      <c r="Z208" s="413"/>
      <c r="AA208" s="413"/>
      <c r="AB208" s="415"/>
      <c r="AC208" s="415"/>
      <c r="AG208" s="415"/>
      <c r="AH208" s="405"/>
      <c r="AI208" s="415"/>
      <c r="AJ208" s="415">
        <v>1.0049999999999999</v>
      </c>
      <c r="AK208" s="415">
        <v>1.0049999999999999</v>
      </c>
      <c r="BC208" s="365"/>
      <c r="BD208" s="365"/>
      <c r="BE208" s="365"/>
      <c r="BF208" s="365"/>
      <c r="BG208" s="365"/>
    </row>
    <row r="209" spans="2:59">
      <c r="B209" s="399" t="s">
        <v>588</v>
      </c>
      <c r="C209" s="399"/>
      <c r="D209" s="399"/>
      <c r="E209" s="398"/>
      <c r="F209" s="413"/>
      <c r="G209" s="413"/>
      <c r="H209" s="413"/>
      <c r="I209" s="413"/>
      <c r="J209" s="413"/>
      <c r="K209" s="413"/>
      <c r="L209" s="413"/>
      <c r="M209" s="413"/>
      <c r="N209" s="413"/>
      <c r="O209" s="413"/>
      <c r="P209" s="405"/>
      <c r="Q209" s="405"/>
      <c r="R209" s="405"/>
      <c r="S209" s="405"/>
      <c r="T209" s="405"/>
      <c r="U209" s="405"/>
      <c r="V209" s="405"/>
      <c r="W209" s="405"/>
      <c r="X209" s="405"/>
      <c r="Y209" s="405"/>
      <c r="Z209" s="405"/>
      <c r="AA209" s="413"/>
      <c r="AB209" s="415"/>
      <c r="AC209" s="415"/>
      <c r="AG209" s="415"/>
      <c r="AH209" s="405"/>
      <c r="AI209" s="415"/>
      <c r="AJ209" s="415"/>
      <c r="AK209" s="415"/>
      <c r="BC209" s="365"/>
      <c r="BD209" s="365"/>
      <c r="BE209" s="365"/>
      <c r="BF209" s="365"/>
      <c r="BG209" s="365"/>
    </row>
    <row r="210" spans="2:59">
      <c r="B210" s="376" t="s">
        <v>438</v>
      </c>
      <c r="C210" s="376" t="str">
        <f>'Imp Refined NYC'!E105</f>
        <v>IMPJTFP23</v>
      </c>
      <c r="D210" s="376" t="str">
        <f>'Imp Refined NYC'!F105</f>
        <v>Imported Jet Fuel, PADD 2, Step 3</v>
      </c>
      <c r="E210" s="415" t="str">
        <f>'Imp Refined NYC'!G105</f>
        <v>JTFP2</v>
      </c>
      <c r="F210" s="413">
        <v>0</v>
      </c>
      <c r="G210" s="413">
        <v>0</v>
      </c>
      <c r="H210" s="413">
        <v>0</v>
      </c>
      <c r="I210" s="413">
        <v>0</v>
      </c>
      <c r="J210" s="413">
        <v>0</v>
      </c>
      <c r="K210" s="413">
        <v>0</v>
      </c>
      <c r="L210" s="413">
        <v>0</v>
      </c>
      <c r="M210" s="413">
        <v>0</v>
      </c>
      <c r="N210" s="413">
        <v>0</v>
      </c>
      <c r="O210" s="413">
        <v>0</v>
      </c>
      <c r="P210" s="405"/>
      <c r="Q210" s="405">
        <f>'Imp Refined NYC'!AF105</f>
        <v>218348.8961308857</v>
      </c>
      <c r="R210" s="405">
        <f>'Imp Refined NYC'!AG105</f>
        <v>218348.8961308857</v>
      </c>
      <c r="S210" s="405">
        <f>'Imp Refined NYC'!AH105</f>
        <v>218348.8961308857</v>
      </c>
      <c r="T210" s="405">
        <f>'Imp Refined NYC'!AI105</f>
        <v>218348.8961308857</v>
      </c>
      <c r="U210" s="405">
        <f>'Imp Refined NYC'!AF105</f>
        <v>218348.8961308857</v>
      </c>
      <c r="V210" s="405">
        <f>'Imp Refined NYC'!AG105</f>
        <v>218348.8961308857</v>
      </c>
      <c r="W210" s="405">
        <f>'Imp Refined NYC'!AH105</f>
        <v>218348.8961308857</v>
      </c>
      <c r="X210" s="405">
        <f>'Imp Refined NYC'!AI105</f>
        <v>218348.8961308857</v>
      </c>
      <c r="Y210" s="405">
        <f>'Imp Refined NYC'!AJ105</f>
        <v>0</v>
      </c>
      <c r="Z210" s="405">
        <f>'Imp Refined NYC'!AK105</f>
        <v>0</v>
      </c>
      <c r="AA210" s="405">
        <f>'Imp Refined NYC'!AL105</f>
        <v>0</v>
      </c>
      <c r="AB210" s="415"/>
      <c r="AC210" s="415"/>
      <c r="AG210" s="415"/>
      <c r="AH210" s="405"/>
      <c r="AI210" s="415"/>
      <c r="AJ210" s="415">
        <v>1.0049999999999999</v>
      </c>
      <c r="AK210" s="415">
        <v>1.0049999999999999</v>
      </c>
      <c r="BC210" s="365"/>
      <c r="BD210" s="365"/>
      <c r="BE210" s="365"/>
      <c r="BF210" s="365"/>
      <c r="BG210" s="365"/>
    </row>
    <row r="211" spans="2:59">
      <c r="B211" s="376" t="s">
        <v>438</v>
      </c>
      <c r="C211" s="376" t="str">
        <f>'Imp Refined NYC'!E106</f>
        <v>IMPJTFP21</v>
      </c>
      <c r="D211" s="376" t="str">
        <f>'Imp Refined NYC'!F106</f>
        <v>Imported Jet Fuel, PADD 2, Step 1</v>
      </c>
      <c r="E211" s="415" t="str">
        <f>'Imp Refined NYC'!G106</f>
        <v>JTFP2</v>
      </c>
      <c r="F211" s="413">
        <v>0</v>
      </c>
      <c r="G211" s="413">
        <v>0</v>
      </c>
      <c r="H211" s="413">
        <v>0</v>
      </c>
      <c r="I211" s="413">
        <v>0</v>
      </c>
      <c r="J211" s="413">
        <v>0</v>
      </c>
      <c r="K211" s="413">
        <v>0</v>
      </c>
      <c r="L211" s="413">
        <v>0</v>
      </c>
      <c r="M211" s="413">
        <v>0</v>
      </c>
      <c r="N211" s="413">
        <v>0</v>
      </c>
      <c r="O211" s="413">
        <v>0</v>
      </c>
      <c r="P211" s="405"/>
      <c r="Q211" s="405">
        <f>'Imp Refined NYC'!AF106</f>
        <v>1746791.1690470844</v>
      </c>
      <c r="R211" s="405">
        <f>'Imp Refined NYC'!AG106</f>
        <v>1746791.1690470844</v>
      </c>
      <c r="S211" s="405">
        <f>'Imp Refined NYC'!AH106</f>
        <v>1746791.1690470844</v>
      </c>
      <c r="T211" s="405">
        <f>'Imp Refined NYC'!AI106</f>
        <v>1746791.1690470844</v>
      </c>
      <c r="U211" s="405">
        <f>'Imp Refined NYC'!AF106</f>
        <v>1746791.1690470844</v>
      </c>
      <c r="V211" s="405">
        <f>'Imp Refined NYC'!AG106</f>
        <v>1746791.1690470844</v>
      </c>
      <c r="W211" s="405">
        <f>'Imp Refined NYC'!AH106</f>
        <v>1746791.1690470844</v>
      </c>
      <c r="X211" s="405">
        <f>'Imp Refined NYC'!AI106</f>
        <v>1746791.1690470844</v>
      </c>
      <c r="Y211" s="405">
        <f>'Imp Refined NYC'!AJ106</f>
        <v>0</v>
      </c>
      <c r="Z211" s="405">
        <f>'Imp Refined NYC'!AK106</f>
        <v>0</v>
      </c>
      <c r="AA211" s="405">
        <f>'Imp Refined NYC'!AL106</f>
        <v>0</v>
      </c>
      <c r="AB211" s="415"/>
      <c r="AC211" s="415"/>
      <c r="AG211" s="415"/>
      <c r="AH211" s="405"/>
      <c r="AI211" s="415"/>
      <c r="AJ211" s="415">
        <v>1.0049999999999999</v>
      </c>
      <c r="AK211" s="415">
        <v>1.0049999999999999</v>
      </c>
      <c r="BC211" s="365"/>
      <c r="BD211" s="365"/>
      <c r="BE211" s="365"/>
      <c r="BF211" s="365"/>
      <c r="BG211" s="365"/>
    </row>
    <row r="212" spans="2:59">
      <c r="B212" s="376" t="s">
        <v>438</v>
      </c>
      <c r="C212" s="376" t="str">
        <f>'Imp Refined NYC'!E107</f>
        <v>IMPJTFP22</v>
      </c>
      <c r="D212" s="376" t="str">
        <f>'Imp Refined NYC'!F107</f>
        <v>Imported Jet Fuel, PADD 2, Step 2</v>
      </c>
      <c r="E212" s="415" t="str">
        <f>'Imp Refined NYC'!G107</f>
        <v>JTFP2</v>
      </c>
      <c r="F212" s="413">
        <v>0</v>
      </c>
      <c r="G212" s="413">
        <v>0</v>
      </c>
      <c r="H212" s="413">
        <v>0</v>
      </c>
      <c r="I212" s="413">
        <v>0</v>
      </c>
      <c r="J212" s="413">
        <v>0</v>
      </c>
      <c r="K212" s="413">
        <v>0</v>
      </c>
      <c r="L212" s="413">
        <v>0</v>
      </c>
      <c r="M212" s="413">
        <v>0</v>
      </c>
      <c r="N212" s="413">
        <v>0</v>
      </c>
      <c r="O212" s="413">
        <v>0</v>
      </c>
      <c r="P212" s="405"/>
      <c r="Q212" s="405">
        <f>'Imp Refined NYC'!AF107</f>
        <v>218348.896130885</v>
      </c>
      <c r="R212" s="405">
        <f>'Imp Refined NYC'!AG107</f>
        <v>218348.896130885</v>
      </c>
      <c r="S212" s="405">
        <f>'Imp Refined NYC'!AH107</f>
        <v>218348.896130885</v>
      </c>
      <c r="T212" s="405">
        <f>'Imp Refined NYC'!AI107</f>
        <v>218348.896130885</v>
      </c>
      <c r="U212" s="405">
        <f>'Imp Refined NYC'!AF107</f>
        <v>218348.896130885</v>
      </c>
      <c r="V212" s="405">
        <f>'Imp Refined NYC'!AG107</f>
        <v>218348.896130885</v>
      </c>
      <c r="W212" s="405">
        <f>'Imp Refined NYC'!AH107</f>
        <v>218348.896130885</v>
      </c>
      <c r="X212" s="405">
        <f>'Imp Refined NYC'!AI107</f>
        <v>218348.896130885</v>
      </c>
      <c r="Y212" s="405">
        <f>'Imp Refined NYC'!AJ107</f>
        <v>0</v>
      </c>
      <c r="Z212" s="405">
        <f>'Imp Refined NYC'!AK107</f>
        <v>0</v>
      </c>
      <c r="AA212" s="405">
        <f>'Imp Refined NYC'!AL107</f>
        <v>0</v>
      </c>
      <c r="AB212" s="415"/>
      <c r="AC212" s="415"/>
      <c r="AG212" s="415"/>
      <c r="AH212" s="405"/>
      <c r="AI212" s="415"/>
      <c r="AJ212" s="415">
        <v>1.0049999999999999</v>
      </c>
      <c r="AK212" s="415">
        <v>1.0049999999999999</v>
      </c>
      <c r="BC212" s="365"/>
      <c r="BD212" s="365"/>
      <c r="BE212" s="365"/>
      <c r="BF212" s="365"/>
      <c r="BG212" s="365"/>
    </row>
    <row r="213" spans="2:59">
      <c r="B213" s="376" t="s">
        <v>438</v>
      </c>
      <c r="C213" s="376" t="str">
        <f>'Imp Refined NYC'!E108</f>
        <v>IMPJTFP24</v>
      </c>
      <c r="D213" s="376" t="str">
        <f>'Imp Refined NYC'!F108</f>
        <v>Imported Jet Fuel, PADD 2, Step 4</v>
      </c>
      <c r="E213" s="415" t="str">
        <f>'Imp Refined NYC'!G108</f>
        <v>JTFP2</v>
      </c>
      <c r="F213" s="413">
        <v>0</v>
      </c>
      <c r="G213" s="413">
        <v>0</v>
      </c>
      <c r="H213" s="413">
        <v>0</v>
      </c>
      <c r="I213" s="413">
        <v>0</v>
      </c>
      <c r="J213" s="413">
        <v>0</v>
      </c>
      <c r="K213" s="413">
        <v>0</v>
      </c>
      <c r="L213" s="413">
        <v>0</v>
      </c>
      <c r="M213" s="413">
        <v>0</v>
      </c>
      <c r="N213" s="413">
        <v>0</v>
      </c>
      <c r="O213" s="413">
        <v>0</v>
      </c>
      <c r="P213" s="405"/>
      <c r="Q213" s="405">
        <f>'Imp Refined NYC'!AF108</f>
        <v>436697.79226177093</v>
      </c>
      <c r="R213" s="405">
        <f>'Imp Refined NYC'!AG108</f>
        <v>436697.79226177093</v>
      </c>
      <c r="S213" s="405">
        <f>'Imp Refined NYC'!AH108</f>
        <v>436697.79226177093</v>
      </c>
      <c r="T213" s="405">
        <f>'Imp Refined NYC'!AI108</f>
        <v>436697.79226177093</v>
      </c>
      <c r="U213" s="405">
        <f>'Imp Refined NYC'!AF108</f>
        <v>436697.79226177093</v>
      </c>
      <c r="V213" s="405">
        <f>'Imp Refined NYC'!AG108</f>
        <v>436697.79226177093</v>
      </c>
      <c r="W213" s="405">
        <f>'Imp Refined NYC'!AH108</f>
        <v>436697.79226177093</v>
      </c>
      <c r="X213" s="405">
        <f>'Imp Refined NYC'!AI108</f>
        <v>436697.79226177093</v>
      </c>
      <c r="Y213" s="405">
        <f>'Imp Refined NYC'!AJ108</f>
        <v>0</v>
      </c>
      <c r="Z213" s="405">
        <f>'Imp Refined NYC'!AK108</f>
        <v>0</v>
      </c>
      <c r="AA213" s="405">
        <f>'Imp Refined NYC'!AL108</f>
        <v>0</v>
      </c>
      <c r="AB213" s="415"/>
      <c r="AC213" s="415"/>
      <c r="AG213" s="415"/>
      <c r="AH213" s="405"/>
      <c r="AI213" s="415"/>
      <c r="AJ213" s="415">
        <v>1.0049999999999999</v>
      </c>
      <c r="AK213" s="415">
        <v>1.0049999999999999</v>
      </c>
      <c r="BC213" s="365"/>
      <c r="BD213" s="365"/>
      <c r="BE213" s="365"/>
      <c r="BF213" s="365"/>
      <c r="BG213" s="365"/>
    </row>
    <row r="214" spans="2:59">
      <c r="B214" s="376" t="s">
        <v>438</v>
      </c>
      <c r="C214" s="376" t="str">
        <f>'Imp Refined NYC'!E109</f>
        <v>IMPJTFP25</v>
      </c>
      <c r="D214" s="376" t="str">
        <f>'Imp Refined NYC'!F109</f>
        <v>Imported Jet Fuel, PADD 2, Step 5</v>
      </c>
      <c r="E214" s="415" t="str">
        <f>'Imp Refined NYC'!G109</f>
        <v>JTFP2</v>
      </c>
      <c r="F214" s="413">
        <v>0</v>
      </c>
      <c r="G214" s="413">
        <v>0</v>
      </c>
      <c r="H214" s="413">
        <v>0</v>
      </c>
      <c r="I214" s="413">
        <v>0</v>
      </c>
      <c r="J214" s="413">
        <v>0</v>
      </c>
      <c r="K214" s="413">
        <v>0</v>
      </c>
      <c r="L214" s="413">
        <v>0</v>
      </c>
      <c r="M214" s="413">
        <v>0</v>
      </c>
      <c r="N214" s="413">
        <v>0</v>
      </c>
      <c r="O214" s="413">
        <v>0</v>
      </c>
      <c r="P214" s="405"/>
      <c r="Q214" s="405">
        <f>'Imp Refined NYC'!AF109</f>
        <v>1746791.1690470842</v>
      </c>
      <c r="R214" s="405">
        <f>'Imp Refined NYC'!AG109</f>
        <v>1746791.1690470842</v>
      </c>
      <c r="S214" s="405">
        <f>'Imp Refined NYC'!AH109</f>
        <v>1746791.1690470842</v>
      </c>
      <c r="T214" s="405">
        <f>'Imp Refined NYC'!AI109</f>
        <v>1746791.1690470842</v>
      </c>
      <c r="U214" s="405">
        <f>'Imp Refined NYC'!AF109</f>
        <v>1746791.1690470842</v>
      </c>
      <c r="V214" s="405">
        <f>'Imp Refined NYC'!AG109</f>
        <v>1746791.1690470842</v>
      </c>
      <c r="W214" s="405">
        <f>'Imp Refined NYC'!AH109</f>
        <v>1746791.1690470842</v>
      </c>
      <c r="X214" s="405">
        <f>'Imp Refined NYC'!AI109</f>
        <v>1746791.1690470842</v>
      </c>
      <c r="Y214" s="405">
        <f>'Imp Refined NYC'!AJ109</f>
        <v>0</v>
      </c>
      <c r="Z214" s="405">
        <f>'Imp Refined NYC'!AK109</f>
        <v>0</v>
      </c>
      <c r="AA214" s="405">
        <f>'Imp Refined NYC'!AL109</f>
        <v>0</v>
      </c>
      <c r="AB214" s="415"/>
      <c r="AC214" s="415"/>
      <c r="AG214" s="415"/>
      <c r="AH214" s="405"/>
      <c r="AI214" s="415"/>
      <c r="AJ214" s="415">
        <v>1.0049999999999999</v>
      </c>
      <c r="AK214" s="415">
        <v>1.0049999999999999</v>
      </c>
      <c r="BC214" s="365"/>
      <c r="BD214" s="365"/>
      <c r="BE214" s="365"/>
      <c r="BF214" s="365"/>
      <c r="BG214" s="365"/>
    </row>
    <row r="215" spans="2:59">
      <c r="B215" s="376" t="str">
        <f>Technologies!B$211</f>
        <v>R0,R1,R2,R3,R4,R5,R6</v>
      </c>
      <c r="C215" s="376" t="str">
        <f>'Imp Refined NYC'!E85</f>
        <v>IMPDSHP23</v>
      </c>
      <c r="D215" s="376" t="str">
        <f>'Imp Refined NYC'!F85</f>
        <v>Imported Distillate-Heating Oil No. 2, PADD 2, Step 3</v>
      </c>
      <c r="E215" s="415" t="str">
        <f>'Imp Refined NYC'!G85</f>
        <v>DSHP2</v>
      </c>
      <c r="F215" s="413">
        <f>'Imp Refined NYC'!M85</f>
        <v>13.633784135539704</v>
      </c>
      <c r="G215" s="413">
        <f>'Imp Refined NYC'!N85</f>
        <v>14.680134228659579</v>
      </c>
      <c r="H215" s="413">
        <f>'Imp Refined NYC'!O85</f>
        <v>14.540554463800159</v>
      </c>
      <c r="I215" s="413">
        <f>'Imp Refined NYC'!P85</f>
        <v>15.690279542990096</v>
      </c>
      <c r="J215" s="413">
        <f>'Imp Refined NYC'!Q85</f>
        <v>16.591566470289411</v>
      </c>
      <c r="K215" s="413">
        <f>'Imp Refined NYC'!R85</f>
        <v>17.825714249288907</v>
      </c>
      <c r="L215" s="413">
        <f>'Imp Refined NYC'!S85</f>
        <v>19.15166292865166</v>
      </c>
      <c r="M215" s="413">
        <f>'Imp Refined NYC'!T85</f>
        <v>20.576241030416043</v>
      </c>
      <c r="N215" s="413">
        <f>'Imp Refined NYC'!U85</f>
        <v>22.106785009691276</v>
      </c>
      <c r="O215" s="413">
        <f>'Imp Refined NYC'!V85</f>
        <v>23.751177036772368</v>
      </c>
      <c r="P215" s="405"/>
      <c r="Q215" s="405">
        <f>'Imp Refined NYC'!AF85</f>
        <v>224317.86948190606</v>
      </c>
      <c r="R215" s="405">
        <f>'Imp Refined NYC'!AG85</f>
        <v>224317.86948190606</v>
      </c>
      <c r="S215" s="405">
        <f>'Imp Refined NYC'!AH85</f>
        <v>224317.86948190606</v>
      </c>
      <c r="T215" s="405">
        <f>'Imp Refined NYC'!AI85</f>
        <v>224317.86948190606</v>
      </c>
      <c r="U215" s="405"/>
      <c r="V215" s="405"/>
      <c r="W215" s="405"/>
      <c r="X215" s="405"/>
      <c r="Y215" s="405"/>
      <c r="Z215" s="405"/>
      <c r="AA215" s="413"/>
      <c r="AB215" s="415"/>
      <c r="AC215" s="415"/>
      <c r="AG215" s="415"/>
      <c r="AH215" s="405"/>
      <c r="AI215" s="415"/>
      <c r="AJ215" s="415">
        <v>1.0049999999999999</v>
      </c>
      <c r="AK215" s="415">
        <v>1.0049999999999999</v>
      </c>
      <c r="BC215" s="365"/>
      <c r="BD215" s="365"/>
      <c r="BE215" s="365"/>
      <c r="BF215" s="365"/>
      <c r="BG215" s="365"/>
    </row>
    <row r="216" spans="2:59">
      <c r="B216" s="376" t="str">
        <f>Technologies!B$212</f>
        <v>R0,R1,R2,R3,R4,R5,R6</v>
      </c>
      <c r="C216" s="376" t="str">
        <f>'Imp Refined NYC'!E86</f>
        <v>IMPDSHP21</v>
      </c>
      <c r="D216" s="376" t="str">
        <f>'Imp Refined NYC'!F86</f>
        <v>Imported Distillate-Heating Oil No. 2, PADD 2, Step 1</v>
      </c>
      <c r="E216" s="415" t="str">
        <f>'Imp Refined NYC'!G86</f>
        <v>DSHP2</v>
      </c>
      <c r="F216" s="413">
        <f>'Imp Refined NYC'!M86</f>
        <v>12.952094928762721</v>
      </c>
      <c r="G216" s="413">
        <f>'Imp Refined NYC'!N86</f>
        <v>13.946127517226602</v>
      </c>
      <c r="H216" s="413">
        <f>'Imp Refined NYC'!O86</f>
        <v>13.813526740610152</v>
      </c>
      <c r="I216" s="413">
        <f>'Imp Refined NYC'!P86</f>
        <v>14.905765565840593</v>
      </c>
      <c r="J216" s="413">
        <f>'Imp Refined NYC'!Q86</f>
        <v>15.761988146774943</v>
      </c>
      <c r="K216" s="413">
        <f>'Imp Refined NYC'!R86</f>
        <v>16.934428536824466</v>
      </c>
      <c r="L216" s="413">
        <f>'Imp Refined NYC'!S86</f>
        <v>18.194079782219085</v>
      </c>
      <c r="M216" s="413">
        <f>'Imp Refined NYC'!T86</f>
        <v>19.547428978895248</v>
      </c>
      <c r="N216" s="413">
        <f>'Imp Refined NYC'!U86</f>
        <v>21.001445759206721</v>
      </c>
      <c r="O216" s="413">
        <f>'Imp Refined NYC'!V86</f>
        <v>22.563618184933759</v>
      </c>
      <c r="P216" s="405"/>
      <c r="Q216" s="405">
        <f>'Imp Refined NYC'!AF86</f>
        <v>1794542.9558552499</v>
      </c>
      <c r="R216" s="405">
        <f>'Imp Refined NYC'!AG86</f>
        <v>1794542.9558552499</v>
      </c>
      <c r="S216" s="405">
        <f>'Imp Refined NYC'!AH86</f>
        <v>1794542.9558552499</v>
      </c>
      <c r="T216" s="405">
        <f>'Imp Refined NYC'!AI86</f>
        <v>1794542.9558552499</v>
      </c>
      <c r="U216" s="405"/>
      <c r="V216" s="405"/>
      <c r="W216" s="405"/>
      <c r="X216" s="405"/>
      <c r="Y216" s="405"/>
      <c r="Z216" s="405"/>
      <c r="AA216" s="413"/>
      <c r="AB216" s="415"/>
      <c r="AC216" s="415"/>
      <c r="AG216" s="415"/>
      <c r="AH216" s="405"/>
      <c r="AI216" s="415"/>
      <c r="AJ216" s="415">
        <v>1.0049999999999999</v>
      </c>
      <c r="AK216" s="415">
        <v>1.0049999999999999</v>
      </c>
      <c r="BC216" s="365"/>
      <c r="BD216" s="365"/>
      <c r="BE216" s="365"/>
      <c r="BF216" s="365"/>
      <c r="BG216" s="365"/>
    </row>
    <row r="217" spans="2:59">
      <c r="B217" s="376" t="str">
        <f>Technologies!B$213</f>
        <v>R0,R1,R2,R3,R4,R5,R6</v>
      </c>
      <c r="C217" s="376" t="str">
        <f>'Imp Refined NYC'!E87</f>
        <v>IMPDSHP22</v>
      </c>
      <c r="D217" s="376" t="str">
        <f>'Imp Refined NYC'!F87</f>
        <v>Imported Distillate-Heating Oil No. 2, PADD 2, Step 2</v>
      </c>
      <c r="E217" s="415" t="str">
        <f>'Imp Refined NYC'!G87</f>
        <v>DSHP2</v>
      </c>
      <c r="F217" s="413">
        <f>'Imp Refined NYC'!M87</f>
        <v>13.361108452828908</v>
      </c>
      <c r="G217" s="413">
        <f>'Imp Refined NYC'!N87</f>
        <v>14.386531544086386</v>
      </c>
      <c r="H217" s="413">
        <f>'Imp Refined NYC'!O87</f>
        <v>14.249743374524154</v>
      </c>
      <c r="I217" s="413">
        <f>'Imp Refined NYC'!P87</f>
        <v>15.376473952130292</v>
      </c>
      <c r="J217" s="413">
        <f>'Imp Refined NYC'!Q87</f>
        <v>16.25973514088362</v>
      </c>
      <c r="K217" s="413">
        <f>'Imp Refined NYC'!R87</f>
        <v>17.469199964303126</v>
      </c>
      <c r="L217" s="413">
        <f>'Imp Refined NYC'!S87</f>
        <v>18.768629670078624</v>
      </c>
      <c r="M217" s="413">
        <f>'Imp Refined NYC'!T87</f>
        <v>20.164716209807718</v>
      </c>
      <c r="N217" s="413">
        <f>'Imp Refined NYC'!U87</f>
        <v>21.664649309497445</v>
      </c>
      <c r="O217" s="413">
        <f>'Imp Refined NYC'!V87</f>
        <v>23.276153496036915</v>
      </c>
      <c r="P217" s="405"/>
      <c r="Q217" s="405">
        <f>'Imp Refined NYC'!AF87</f>
        <v>224317.8694819056</v>
      </c>
      <c r="R217" s="405">
        <f>'Imp Refined NYC'!AG87</f>
        <v>224317.8694819056</v>
      </c>
      <c r="S217" s="405">
        <f>'Imp Refined NYC'!AH87</f>
        <v>224317.8694819056</v>
      </c>
      <c r="T217" s="405">
        <f>'Imp Refined NYC'!AI87</f>
        <v>224317.8694819056</v>
      </c>
      <c r="U217" s="405"/>
      <c r="V217" s="405"/>
      <c r="W217" s="405"/>
      <c r="X217" s="405"/>
      <c r="Y217" s="405"/>
      <c r="Z217" s="405"/>
      <c r="AA217" s="413"/>
      <c r="AB217" s="415"/>
      <c r="AC217" s="415"/>
      <c r="AG217" s="415"/>
      <c r="AH217" s="405"/>
      <c r="AI217" s="415"/>
      <c r="AJ217" s="415">
        <v>1.0049999999999999</v>
      </c>
      <c r="AK217" s="415">
        <v>1.0049999999999999</v>
      </c>
      <c r="BC217" s="365"/>
      <c r="BD217" s="365"/>
      <c r="BE217" s="365"/>
      <c r="BF217" s="365"/>
      <c r="BG217" s="365"/>
    </row>
    <row r="218" spans="2:59">
      <c r="B218" s="376" t="str">
        <f>Technologies!B$214</f>
        <v>R0,R1,R2,R3,R4,R5,R6</v>
      </c>
      <c r="C218" s="376" t="str">
        <f>'Imp Refined NYC'!E88</f>
        <v>IMPDSHP24</v>
      </c>
      <c r="D218" s="376" t="str">
        <f>'Imp Refined NYC'!F88</f>
        <v>Imported Distillate-Heating Oil No. 2, PADD 2, Step 4</v>
      </c>
      <c r="E218" s="415" t="str">
        <f>'Imp Refined NYC'!G88</f>
        <v>DSHP2</v>
      </c>
      <c r="F218" s="413">
        <f>'Imp Refined NYC'!M88</f>
        <v>14.860824707738278</v>
      </c>
      <c r="G218" s="413">
        <f>'Imp Refined NYC'!N88</f>
        <v>16.00134630923894</v>
      </c>
      <c r="H218" s="413">
        <f>'Imp Refined NYC'!O88</f>
        <v>15.849204365542173</v>
      </c>
      <c r="I218" s="413">
        <f>'Imp Refined NYC'!P88</f>
        <v>17.102404701859204</v>
      </c>
      <c r="J218" s="413">
        <f>'Imp Refined NYC'!Q88</f>
        <v>18.084807452615458</v>
      </c>
      <c r="K218" s="413">
        <f>'Imp Refined NYC'!R88</f>
        <v>19.430028531724911</v>
      </c>
      <c r="L218" s="413">
        <f>'Imp Refined NYC'!S88</f>
        <v>20.875312592230312</v>
      </c>
      <c r="M218" s="413">
        <f>'Imp Refined NYC'!T88</f>
        <v>22.42810272315349</v>
      </c>
      <c r="N218" s="413">
        <f>'Imp Refined NYC'!U88</f>
        <v>24.096395660563495</v>
      </c>
      <c r="O218" s="413">
        <f>'Imp Refined NYC'!V88</f>
        <v>25.888782970081884</v>
      </c>
      <c r="P218" s="405"/>
      <c r="Q218" s="405">
        <f>'Imp Refined NYC'!AF88</f>
        <v>448635.73896381306</v>
      </c>
      <c r="R218" s="405">
        <f>'Imp Refined NYC'!AG88</f>
        <v>448635.73896381306</v>
      </c>
      <c r="S218" s="405">
        <f>'Imp Refined NYC'!AH88</f>
        <v>448635.73896381306</v>
      </c>
      <c r="T218" s="405">
        <f>'Imp Refined NYC'!AI88</f>
        <v>448635.73896381306</v>
      </c>
      <c r="U218" s="405"/>
      <c r="V218" s="405"/>
      <c r="W218" s="405"/>
      <c r="X218" s="405"/>
      <c r="Y218" s="405"/>
      <c r="Z218" s="405"/>
      <c r="AA218" s="413"/>
      <c r="AB218" s="415"/>
      <c r="AC218" s="415"/>
      <c r="AG218" s="415"/>
      <c r="AH218" s="405"/>
      <c r="AI218" s="415"/>
      <c r="AJ218" s="415">
        <v>1.0049999999999999</v>
      </c>
      <c r="AK218" s="415">
        <v>1.0049999999999999</v>
      </c>
      <c r="BC218" s="365"/>
      <c r="BD218" s="365"/>
      <c r="BE218" s="365"/>
      <c r="BF218" s="365"/>
      <c r="BG218" s="365"/>
    </row>
    <row r="219" spans="2:59">
      <c r="B219" s="376" t="str">
        <f>Technologies!B$215</f>
        <v>R0,R1,R2,R3,R4,R5,R6</v>
      </c>
      <c r="C219" s="376" t="str">
        <f>'Imp Refined NYC'!E89</f>
        <v>IMPDSHP25</v>
      </c>
      <c r="D219" s="376" t="str">
        <f>'Imp Refined NYC'!F89</f>
        <v>Imported Distillate-Heating Oil No. 2, PADD 2, Step 5</v>
      </c>
      <c r="E219" s="415" t="str">
        <f>'Imp Refined NYC'!G89</f>
        <v>DSHP2</v>
      </c>
      <c r="F219" s="413">
        <f>'Imp Refined NYC'!M89</f>
        <v>17.723919376201614</v>
      </c>
      <c r="G219" s="413">
        <f>'Imp Refined NYC'!N89</f>
        <v>19.08417449725745</v>
      </c>
      <c r="H219" s="413">
        <f>'Imp Refined NYC'!O89</f>
        <v>18.902720802940205</v>
      </c>
      <c r="I219" s="413">
        <f>'Imp Refined NYC'!P89</f>
        <v>20.397363405887123</v>
      </c>
      <c r="J219" s="413">
        <f>'Imp Refined NYC'!Q89</f>
        <v>21.569036411376235</v>
      </c>
      <c r="K219" s="413">
        <f>'Imp Refined NYC'!R89</f>
        <v>23.173428524075582</v>
      </c>
      <c r="L219" s="413">
        <f>'Imp Refined NYC'!S89</f>
        <v>24.897161807247162</v>
      </c>
      <c r="M219" s="413">
        <f>'Imp Refined NYC'!T89</f>
        <v>26.749113339540859</v>
      </c>
      <c r="N219" s="413">
        <f>'Imp Refined NYC'!U89</f>
        <v>28.738820512598661</v>
      </c>
      <c r="O219" s="413">
        <f>'Imp Refined NYC'!V89</f>
        <v>30.876530147804079</v>
      </c>
      <c r="P219" s="405"/>
      <c r="Q219" s="405">
        <f>'Imp Refined NYC'!AF89</f>
        <v>1794542.9558552485</v>
      </c>
      <c r="R219" s="405">
        <f>'Imp Refined NYC'!AG89</f>
        <v>1794542.9558552485</v>
      </c>
      <c r="S219" s="405">
        <f>'Imp Refined NYC'!AH89</f>
        <v>1794542.9558552485</v>
      </c>
      <c r="T219" s="405">
        <f>'Imp Refined NYC'!AI89</f>
        <v>1794542.9558552485</v>
      </c>
      <c r="U219" s="405"/>
      <c r="V219" s="405"/>
      <c r="W219" s="405"/>
      <c r="X219" s="405"/>
      <c r="Y219" s="405"/>
      <c r="Z219" s="405"/>
      <c r="AA219" s="413"/>
      <c r="AB219" s="415"/>
      <c r="AC219" s="415"/>
      <c r="AG219" s="415"/>
      <c r="AH219" s="405"/>
      <c r="AI219" s="415"/>
      <c r="AJ219" s="415">
        <v>1.0049999999999999</v>
      </c>
      <c r="AK219" s="415">
        <v>1.0049999999999999</v>
      </c>
      <c r="BC219" s="365"/>
      <c r="BD219" s="365"/>
      <c r="BE219" s="365"/>
      <c r="BF219" s="365"/>
      <c r="BG219" s="365"/>
    </row>
    <row r="220" spans="2:59">
      <c r="B220" s="399" t="str">
        <f>Technologies!B$517</f>
        <v>*</v>
      </c>
      <c r="C220" s="399"/>
      <c r="D220" s="399"/>
      <c r="E220" s="398"/>
      <c r="F220" s="413"/>
      <c r="G220" s="413"/>
      <c r="H220" s="413"/>
      <c r="I220" s="413"/>
      <c r="J220" s="413"/>
      <c r="K220" s="413"/>
      <c r="L220" s="413"/>
      <c r="M220" s="413"/>
      <c r="N220" s="413"/>
      <c r="O220" s="413"/>
      <c r="P220" s="405"/>
      <c r="Q220" s="405"/>
      <c r="R220" s="405"/>
      <c r="S220" s="405"/>
      <c r="T220" s="405"/>
      <c r="U220" s="405"/>
      <c r="V220" s="405"/>
      <c r="W220" s="405"/>
      <c r="X220" s="405"/>
      <c r="Y220" s="405"/>
      <c r="Z220" s="405"/>
      <c r="AA220" s="413"/>
      <c r="AB220" s="415"/>
      <c r="AC220" s="415"/>
      <c r="AG220" s="415"/>
      <c r="AH220" s="405"/>
      <c r="AI220" s="415"/>
      <c r="AJ220" s="415"/>
      <c r="AK220" s="415"/>
      <c r="BC220" s="365"/>
      <c r="BD220" s="365"/>
      <c r="BE220" s="365"/>
      <c r="BF220" s="365"/>
      <c r="BG220" s="365"/>
    </row>
    <row r="221" spans="2:59">
      <c r="B221" s="376" t="s">
        <v>438</v>
      </c>
      <c r="C221" s="376" t="str">
        <f>'Imp Refined NYC'!E167</f>
        <v>IMPJTFP33</v>
      </c>
      <c r="D221" s="376" t="str">
        <f>'Imp Refined NYC'!F167</f>
        <v>Imported Jet Fuel, PADD 3, Step 3</v>
      </c>
      <c r="E221" s="415" t="str">
        <f>'Imp Refined NYC'!G167</f>
        <v>JTFP3</v>
      </c>
      <c r="F221" s="413">
        <f>'Imp Refined NYC'!M167</f>
        <v>10.922465530089204</v>
      </c>
      <c r="G221" s="413">
        <f>'Imp Refined NYC'!N167</f>
        <v>11.760730439588231</v>
      </c>
      <c r="H221" s="413">
        <f>'Imp Refined NYC'!O167</f>
        <v>11.648908574490569</v>
      </c>
      <c r="I221" s="413">
        <f>'Imp Refined NYC'!P167</f>
        <v>12.569990529558069</v>
      </c>
      <c r="J221" s="413">
        <f>'Imp Refined NYC'!Q167</f>
        <v>13.292040644058954</v>
      </c>
      <c r="K221" s="413">
        <f>'Imp Refined NYC'!R167</f>
        <v>14.280756355056569</v>
      </c>
      <c r="L221" s="413">
        <f>'Imp Refined NYC'!S167</f>
        <v>15.343016737136008</v>
      </c>
      <c r="M221" s="413">
        <f>'Imp Refined NYC'!T167</f>
        <v>16.484292340207997</v>
      </c>
      <c r="N221" s="413">
        <f>'Imp Refined NYC'!U167</f>
        <v>17.710460635798189</v>
      </c>
      <c r="O221" s="413">
        <f>'Imp Refined NYC'!V167</f>
        <v>19.027836285521701</v>
      </c>
      <c r="P221" s="405"/>
      <c r="Q221" s="405">
        <f>'Imp Refined NYC'!AF167</f>
        <v>218348.8961308857</v>
      </c>
      <c r="R221" s="405">
        <f>'Imp Refined NYC'!AG167</f>
        <v>218348.8961308857</v>
      </c>
      <c r="S221" s="405">
        <f>'Imp Refined NYC'!AH167</f>
        <v>218348.8961308857</v>
      </c>
      <c r="T221" s="405">
        <f>'Imp Refined NYC'!AI167</f>
        <v>218348.8961308857</v>
      </c>
      <c r="U221" s="405"/>
      <c r="V221" s="405"/>
      <c r="W221" s="405"/>
      <c r="X221" s="405"/>
      <c r="Y221" s="405"/>
      <c r="Z221" s="405"/>
      <c r="AA221" s="413"/>
      <c r="AB221" s="415"/>
      <c r="AC221" s="415"/>
      <c r="AG221" s="415"/>
      <c r="AH221" s="405"/>
      <c r="AI221" s="415"/>
      <c r="AJ221" s="415">
        <v>1.0049999999999999</v>
      </c>
      <c r="AK221" s="415">
        <v>1.0049999999999999</v>
      </c>
      <c r="BC221" s="365"/>
      <c r="BD221" s="365"/>
      <c r="BE221" s="365"/>
      <c r="BF221" s="365"/>
      <c r="BG221" s="365"/>
    </row>
    <row r="222" spans="2:59">
      <c r="B222" s="376" t="s">
        <v>438</v>
      </c>
      <c r="C222" s="376" t="str">
        <f>'Imp Refined NYC'!E168</f>
        <v>IMPJTFP31</v>
      </c>
      <c r="D222" s="376" t="str">
        <f>'Imp Refined NYC'!F168</f>
        <v>Imported Jet Fuel, PADD 3, Step 1</v>
      </c>
      <c r="E222" s="415" t="str">
        <f>'Imp Refined NYC'!G168</f>
        <v>JTFP3</v>
      </c>
      <c r="F222" s="413">
        <f>'Imp Refined NYC'!M168</f>
        <v>10.376342253584745</v>
      </c>
      <c r="G222" s="413">
        <f>'Imp Refined NYC'!N168</f>
        <v>11.172693917608822</v>
      </c>
      <c r="H222" s="413">
        <f>'Imp Refined NYC'!O168</f>
        <v>11.066463145766042</v>
      </c>
      <c r="I222" s="413">
        <f>'Imp Refined NYC'!P168</f>
        <v>11.941491003080166</v>
      </c>
      <c r="J222" s="413">
        <f>'Imp Refined NYC'!Q168</f>
        <v>12.627438611856007</v>
      </c>
      <c r="K222" s="413">
        <f>'Imp Refined NYC'!R168</f>
        <v>13.566718537303743</v>
      </c>
      <c r="L222" s="413">
        <f>'Imp Refined NYC'!S168</f>
        <v>14.57586590027921</v>
      </c>
      <c r="M222" s="413">
        <f>'Imp Refined NYC'!T168</f>
        <v>15.660077723197599</v>
      </c>
      <c r="N222" s="413">
        <f>'Imp Refined NYC'!U168</f>
        <v>16.82493760400828</v>
      </c>
      <c r="O222" s="413">
        <f>'Imp Refined NYC'!V168</f>
        <v>18.076444471245615</v>
      </c>
      <c r="P222" s="405"/>
      <c r="Q222" s="405">
        <f>'Imp Refined NYC'!AF168</f>
        <v>1746791.1690470844</v>
      </c>
      <c r="R222" s="405">
        <f>'Imp Refined NYC'!AG168</f>
        <v>1746791.1690470844</v>
      </c>
      <c r="S222" s="405">
        <f>'Imp Refined NYC'!AH168</f>
        <v>1746791.1690470844</v>
      </c>
      <c r="T222" s="405">
        <f>'Imp Refined NYC'!AI168</f>
        <v>1746791.1690470844</v>
      </c>
      <c r="U222" s="405"/>
      <c r="V222" s="405"/>
      <c r="W222" s="405"/>
      <c r="X222" s="405"/>
      <c r="Y222" s="405"/>
      <c r="Z222" s="405"/>
      <c r="AA222" s="413"/>
      <c r="AB222" s="415"/>
      <c r="AC222" s="415"/>
      <c r="AG222" s="415"/>
      <c r="AH222" s="405"/>
      <c r="AI222" s="415"/>
      <c r="AJ222" s="415">
        <v>1.0049999999999999</v>
      </c>
      <c r="AK222" s="415">
        <v>1.0049999999999999</v>
      </c>
      <c r="BC222" s="365"/>
      <c r="BD222" s="365"/>
      <c r="BE222" s="365"/>
      <c r="BF222" s="365"/>
      <c r="BG222" s="365"/>
    </row>
    <row r="223" spans="2:59">
      <c r="B223" s="376" t="s">
        <v>438</v>
      </c>
      <c r="C223" s="376" t="str">
        <f>'Imp Refined NYC'!E169</f>
        <v>IMPJTFP32</v>
      </c>
      <c r="D223" s="376" t="str">
        <f>'Imp Refined NYC'!F169</f>
        <v>Imported Jet Fuel, PADD 3, Step 2</v>
      </c>
      <c r="E223" s="415" t="str">
        <f>'Imp Refined NYC'!G169</f>
        <v>JTFP3</v>
      </c>
      <c r="F223" s="413">
        <f>'Imp Refined NYC'!M169</f>
        <v>10.704016219487421</v>
      </c>
      <c r="G223" s="413">
        <f>'Imp Refined NYC'!N169</f>
        <v>11.525515830796468</v>
      </c>
      <c r="H223" s="413">
        <f>'Imp Refined NYC'!O169</f>
        <v>11.415930403000759</v>
      </c>
      <c r="I223" s="413">
        <f>'Imp Refined NYC'!P169</f>
        <v>12.318590718966908</v>
      </c>
      <c r="J223" s="413">
        <f>'Imp Refined NYC'!Q169</f>
        <v>13.026199831177776</v>
      </c>
      <c r="K223" s="413">
        <f>'Imp Refined NYC'!R169</f>
        <v>13.99514122795544</v>
      </c>
      <c r="L223" s="413">
        <f>'Imp Refined NYC'!S169</f>
        <v>15.036156402393289</v>
      </c>
      <c r="M223" s="413">
        <f>'Imp Refined NYC'!T169</f>
        <v>16.154606493403836</v>
      </c>
      <c r="N223" s="413">
        <f>'Imp Refined NYC'!U169</f>
        <v>17.356251423082224</v>
      </c>
      <c r="O223" s="413">
        <f>'Imp Refined NYC'!V169</f>
        <v>18.647279559811267</v>
      </c>
      <c r="P223" s="405"/>
      <c r="Q223" s="405">
        <f>'Imp Refined NYC'!AF169</f>
        <v>218348.896130885</v>
      </c>
      <c r="R223" s="405">
        <f>'Imp Refined NYC'!AG169</f>
        <v>218348.896130885</v>
      </c>
      <c r="S223" s="405">
        <f>'Imp Refined NYC'!AH169</f>
        <v>218348.896130885</v>
      </c>
      <c r="T223" s="405">
        <f>'Imp Refined NYC'!AI169</f>
        <v>218348.896130885</v>
      </c>
      <c r="U223" s="405"/>
      <c r="V223" s="405"/>
      <c r="W223" s="405"/>
      <c r="X223" s="405"/>
      <c r="Y223" s="405"/>
      <c r="Z223" s="405"/>
      <c r="AA223" s="413"/>
      <c r="AB223" s="415"/>
      <c r="AC223" s="415"/>
      <c r="AG223" s="415"/>
      <c r="AH223" s="405"/>
      <c r="AI223" s="415"/>
      <c r="AJ223" s="415">
        <v>1.0049999999999999</v>
      </c>
      <c r="AK223" s="415">
        <v>1.0049999999999999</v>
      </c>
      <c r="BC223" s="365"/>
      <c r="BD223" s="365"/>
      <c r="BE223" s="365"/>
      <c r="BF223" s="365"/>
      <c r="BG223" s="365"/>
    </row>
    <row r="224" spans="2:59">
      <c r="B224" s="376" t="s">
        <v>438</v>
      </c>
      <c r="C224" s="376" t="str">
        <f>'Imp Refined NYC'!E170</f>
        <v>IMPJTFP34</v>
      </c>
      <c r="D224" s="376" t="str">
        <f>'Imp Refined NYC'!F170</f>
        <v>Imported Jet Fuel, PADD 3, Step 4</v>
      </c>
      <c r="E224" s="415" t="str">
        <f>'Imp Refined NYC'!G170</f>
        <v>JTFP3</v>
      </c>
      <c r="F224" s="413">
        <f>'Imp Refined NYC'!M170</f>
        <v>11.905487427797235</v>
      </c>
      <c r="G224" s="413">
        <f>'Imp Refined NYC'!N170</f>
        <v>12.819196179151175</v>
      </c>
      <c r="H224" s="413">
        <f>'Imp Refined NYC'!O170</f>
        <v>12.697310346194723</v>
      </c>
      <c r="I224" s="413">
        <f>'Imp Refined NYC'!P170</f>
        <v>13.701289677218297</v>
      </c>
      <c r="J224" s="413">
        <f>'Imp Refined NYC'!Q170</f>
        <v>14.488324302024262</v>
      </c>
      <c r="K224" s="413">
        <f>'Imp Refined NYC'!R170</f>
        <v>15.566024427011664</v>
      </c>
      <c r="L224" s="413">
        <f>'Imp Refined NYC'!S170</f>
        <v>16.723888243478253</v>
      </c>
      <c r="M224" s="413">
        <f>'Imp Refined NYC'!T170</f>
        <v>17.967878650826719</v>
      </c>
      <c r="N224" s="413">
        <f>'Imp Refined NYC'!U170</f>
        <v>19.304402093020027</v>
      </c>
      <c r="O224" s="413">
        <f>'Imp Refined NYC'!V170</f>
        <v>20.740341551218656</v>
      </c>
      <c r="P224" s="405"/>
      <c r="Q224" s="405">
        <f>'Imp Refined NYC'!AF170</f>
        <v>436697.79226177093</v>
      </c>
      <c r="R224" s="405">
        <f>'Imp Refined NYC'!AG170</f>
        <v>436697.79226177093</v>
      </c>
      <c r="S224" s="405">
        <f>'Imp Refined NYC'!AH170</f>
        <v>436697.79226177093</v>
      </c>
      <c r="T224" s="405">
        <f>'Imp Refined NYC'!AI170</f>
        <v>436697.79226177093</v>
      </c>
      <c r="U224" s="405"/>
      <c r="V224" s="405"/>
      <c r="W224" s="405"/>
      <c r="X224" s="405"/>
      <c r="Y224" s="405"/>
      <c r="Z224" s="405"/>
      <c r="AA224" s="413"/>
      <c r="AB224" s="415"/>
      <c r="AC224" s="415"/>
      <c r="AG224" s="415"/>
      <c r="AH224" s="405"/>
      <c r="AI224" s="415"/>
      <c r="AJ224" s="415">
        <v>1.0049999999999999</v>
      </c>
      <c r="AK224" s="415">
        <v>1.0049999999999999</v>
      </c>
      <c r="BC224" s="365"/>
      <c r="BD224" s="365"/>
      <c r="BE224" s="365"/>
      <c r="BF224" s="365"/>
      <c r="BG224" s="365"/>
    </row>
    <row r="225" spans="2:59">
      <c r="B225" s="376" t="s">
        <v>438</v>
      </c>
      <c r="C225" s="376" t="str">
        <f>'Imp Refined NYC'!E171</f>
        <v>IMPJTFP35</v>
      </c>
      <c r="D225" s="376" t="str">
        <f>'Imp Refined NYC'!F171</f>
        <v>Imported Jet Fuel, PADD 3, Step 5</v>
      </c>
      <c r="E225" s="415" t="str">
        <f>'Imp Refined NYC'!G171</f>
        <v>JTFP3</v>
      </c>
      <c r="F225" s="413">
        <f>'Imp Refined NYC'!M171</f>
        <v>14.199205189115967</v>
      </c>
      <c r="G225" s="413">
        <f>'Imp Refined NYC'!N171</f>
        <v>15.288949571464702</v>
      </c>
      <c r="H225" s="413">
        <f>'Imp Refined NYC'!O171</f>
        <v>15.143581146837741</v>
      </c>
      <c r="I225" s="413">
        <f>'Imp Refined NYC'!P171</f>
        <v>16.340987688425489</v>
      </c>
      <c r="J225" s="413">
        <f>'Imp Refined NYC'!Q171</f>
        <v>17.27965283727664</v>
      </c>
      <c r="K225" s="413">
        <f>'Imp Refined NYC'!R171</f>
        <v>18.564983261573541</v>
      </c>
      <c r="L225" s="413">
        <f>'Imp Refined NYC'!S171</f>
        <v>19.94592175827681</v>
      </c>
      <c r="M225" s="413">
        <f>'Imp Refined NYC'!T171</f>
        <v>21.429580042270395</v>
      </c>
      <c r="N225" s="413">
        <f>'Imp Refined NYC'!U171</f>
        <v>23.023598826537643</v>
      </c>
      <c r="O225" s="413">
        <f>'Imp Refined NYC'!V171</f>
        <v>24.736187171178209</v>
      </c>
      <c r="P225" s="405"/>
      <c r="Q225" s="405">
        <f>'Imp Refined NYC'!AF171</f>
        <v>1746791.1690470842</v>
      </c>
      <c r="R225" s="405">
        <f>'Imp Refined NYC'!AG171</f>
        <v>1746791.1690470842</v>
      </c>
      <c r="S225" s="405">
        <f>'Imp Refined NYC'!AH171</f>
        <v>1746791.1690470842</v>
      </c>
      <c r="T225" s="405">
        <f>'Imp Refined NYC'!AI171</f>
        <v>1746791.1690470842</v>
      </c>
      <c r="U225" s="405"/>
      <c r="V225" s="405"/>
      <c r="W225" s="405"/>
      <c r="X225" s="405"/>
      <c r="Y225" s="405"/>
      <c r="Z225" s="405"/>
      <c r="AA225" s="413"/>
      <c r="AB225" s="415"/>
      <c r="AC225" s="415"/>
      <c r="AG225" s="415"/>
      <c r="AH225" s="405"/>
      <c r="AI225" s="415"/>
      <c r="AJ225" s="415">
        <v>1.0049999999999999</v>
      </c>
      <c r="AK225" s="415">
        <v>1.0049999999999999</v>
      </c>
      <c r="BC225" s="365"/>
      <c r="BD225" s="365"/>
      <c r="BE225" s="365"/>
      <c r="BF225" s="365"/>
      <c r="BG225" s="365"/>
    </row>
    <row r="226" spans="2:59">
      <c r="B226" s="376" t="str">
        <f>Technologies!B$221</f>
        <v>R0,R1,R2,R3,R4,R5,R6</v>
      </c>
      <c r="C226" s="376" t="str">
        <f>'Imp Refined NYC'!E147</f>
        <v>IMPDSHP33</v>
      </c>
      <c r="D226" s="376" t="str">
        <f>'Imp Refined NYC'!F147</f>
        <v>Imported Distillate-Heating Oil No. 2, PADD 3, Step 3</v>
      </c>
      <c r="E226" s="415" t="str">
        <f>'Imp Refined NYC'!G147</f>
        <v>DSHP3</v>
      </c>
      <c r="F226" s="413">
        <f>'Imp Refined NYC'!M147</f>
        <v>13.367370545461673</v>
      </c>
      <c r="G226" s="413">
        <f>'Imp Refined NYC'!N147</f>
        <v>14.393274232652333</v>
      </c>
      <c r="H226" s="413">
        <f>'Imp Refined NYC'!O147</f>
        <v>14.256421953125582</v>
      </c>
      <c r="I226" s="413">
        <f>'Imp Refined NYC'!P147</f>
        <v>15.383680607520711</v>
      </c>
      <c r="J226" s="413">
        <f>'Imp Refined NYC'!Q147</f>
        <v>16.2673557636782</v>
      </c>
      <c r="K226" s="413">
        <f>'Imp Refined NYC'!R147</f>
        <v>17.477387439824565</v>
      </c>
      <c r="L226" s="413">
        <f>'Imp Refined NYC'!S147</f>
        <v>18.777426163124026</v>
      </c>
      <c r="M226" s="413">
        <f>'Imp Refined NYC'!T147</f>
        <v>20.17416702156223</v>
      </c>
      <c r="N226" s="413">
        <f>'Imp Refined NYC'!U147</f>
        <v>21.67480311083148</v>
      </c>
      <c r="O226" s="413">
        <f>'Imp Refined NYC'!V147</f>
        <v>23.287062578156959</v>
      </c>
      <c r="P226" s="405"/>
      <c r="Q226" s="405">
        <f>'Imp Refined NYC'!AF147</f>
        <v>224317.86948190606</v>
      </c>
      <c r="R226" s="405">
        <f>'Imp Refined NYC'!AG147</f>
        <v>224317.86948190606</v>
      </c>
      <c r="S226" s="405">
        <f>'Imp Refined NYC'!AH147</f>
        <v>224317.86948190606</v>
      </c>
      <c r="T226" s="405">
        <f>'Imp Refined NYC'!AI147</f>
        <v>224317.86948190606</v>
      </c>
      <c r="U226" s="405"/>
      <c r="V226" s="405"/>
      <c r="W226" s="405"/>
      <c r="X226" s="405"/>
      <c r="Y226" s="405"/>
      <c r="Z226" s="405"/>
      <c r="AA226" s="413"/>
      <c r="AB226" s="415"/>
      <c r="AC226" s="415"/>
      <c r="AG226" s="415"/>
      <c r="AH226" s="405"/>
      <c r="AI226" s="415"/>
      <c r="AJ226" s="415">
        <v>1.0049999999999999</v>
      </c>
      <c r="AK226" s="415">
        <v>1.0049999999999999</v>
      </c>
      <c r="BC226" s="365"/>
      <c r="BD226" s="365"/>
      <c r="BE226" s="365"/>
      <c r="BF226" s="365"/>
      <c r="BG226" s="365"/>
    </row>
    <row r="227" spans="2:59">
      <c r="B227" s="376" t="str">
        <f>Technologies!B$222</f>
        <v>R0,R1,R2,R3,R4,R5,R6</v>
      </c>
      <c r="C227" s="376" t="str">
        <f>'Imp Refined NYC'!E148</f>
        <v>IMPDSHP31</v>
      </c>
      <c r="D227" s="376" t="str">
        <f>'Imp Refined NYC'!F148</f>
        <v>Imported Distillate-Heating Oil No. 2, PADD 3, Step 1</v>
      </c>
      <c r="E227" s="415" t="str">
        <f>'Imp Refined NYC'!G148</f>
        <v>DSHP3</v>
      </c>
      <c r="F227" s="413">
        <f>'Imp Refined NYC'!M148</f>
        <v>12.699002018188589</v>
      </c>
      <c r="G227" s="413">
        <f>'Imp Refined NYC'!N148</f>
        <v>13.673610521019715</v>
      </c>
      <c r="H227" s="413">
        <f>'Imp Refined NYC'!O148</f>
        <v>13.5436008554693</v>
      </c>
      <c r="I227" s="413">
        <f>'Imp Refined NYC'!P148</f>
        <v>14.614496577144672</v>
      </c>
      <c r="J227" s="413">
        <f>'Imp Refined NYC'!Q148</f>
        <v>15.453987975494286</v>
      </c>
      <c r="K227" s="413">
        <f>'Imp Refined NYC'!R148</f>
        <v>16.603518067833331</v>
      </c>
      <c r="L227" s="413">
        <f>'Imp Refined NYC'!S148</f>
        <v>17.838554854967818</v>
      </c>
      <c r="M227" s="413">
        <f>'Imp Refined NYC'!T148</f>
        <v>19.16545867048411</v>
      </c>
      <c r="N227" s="413">
        <f>'Imp Refined NYC'!U148</f>
        <v>20.591062955289896</v>
      </c>
      <c r="O227" s="413">
        <f>'Imp Refined NYC'!V148</f>
        <v>22.122709449249101</v>
      </c>
      <c r="P227" s="405"/>
      <c r="Q227" s="405">
        <f>'Imp Refined NYC'!AF148</f>
        <v>1794542.9558552499</v>
      </c>
      <c r="R227" s="405">
        <f>'Imp Refined NYC'!AG148</f>
        <v>1794542.9558552499</v>
      </c>
      <c r="S227" s="405">
        <f>'Imp Refined NYC'!AH148</f>
        <v>1794542.9558552499</v>
      </c>
      <c r="T227" s="405">
        <f>'Imp Refined NYC'!AI148</f>
        <v>1794542.9558552499</v>
      </c>
      <c r="U227" s="405"/>
      <c r="V227" s="405"/>
      <c r="W227" s="405"/>
      <c r="X227" s="405"/>
      <c r="Y227" s="405"/>
      <c r="Z227" s="405"/>
      <c r="AA227" s="413"/>
      <c r="AB227" s="415"/>
      <c r="AC227" s="415"/>
      <c r="AG227" s="415"/>
      <c r="AH227" s="405"/>
      <c r="AI227" s="415"/>
      <c r="AJ227" s="415">
        <v>1.0049999999999999</v>
      </c>
      <c r="AK227" s="415">
        <v>1.0049999999999999</v>
      </c>
      <c r="BC227" s="365"/>
      <c r="BD227" s="365"/>
      <c r="BE227" s="365"/>
      <c r="BF227" s="365"/>
      <c r="BG227" s="365"/>
    </row>
    <row r="228" spans="2:59">
      <c r="B228" s="376" t="str">
        <f>Technologies!B$223</f>
        <v>R0,R1,R2,R3,R4,R5,R6</v>
      </c>
      <c r="C228" s="376" t="str">
        <f>'Imp Refined NYC'!E149</f>
        <v>IMPDSHP32</v>
      </c>
      <c r="D228" s="376" t="str">
        <f>'Imp Refined NYC'!F149</f>
        <v>Imported Distillate-Heating Oil No. 2, PADD 3, Step 2</v>
      </c>
      <c r="E228" s="415" t="str">
        <f>'Imp Refined NYC'!G149</f>
        <v>DSHP3</v>
      </c>
      <c r="F228" s="413">
        <f>'Imp Refined NYC'!M149</f>
        <v>13.100023134552437</v>
      </c>
      <c r="G228" s="413">
        <f>'Imp Refined NYC'!N149</f>
        <v>14.105408747999283</v>
      </c>
      <c r="H228" s="413">
        <f>'Imp Refined NYC'!O149</f>
        <v>13.971293514063065</v>
      </c>
      <c r="I228" s="413">
        <f>'Imp Refined NYC'!P149</f>
        <v>15.076006995370292</v>
      </c>
      <c r="J228" s="413">
        <f>'Imp Refined NYC'!Q149</f>
        <v>15.942008648404631</v>
      </c>
      <c r="K228" s="413">
        <f>'Imp Refined NYC'!R149</f>
        <v>17.127839691028068</v>
      </c>
      <c r="L228" s="413">
        <f>'Imp Refined NYC'!S149</f>
        <v>18.401877639861539</v>
      </c>
      <c r="M228" s="413">
        <f>'Imp Refined NYC'!T149</f>
        <v>19.770683681130979</v>
      </c>
      <c r="N228" s="413">
        <f>'Imp Refined NYC'!U149</f>
        <v>21.241307048614846</v>
      </c>
      <c r="O228" s="413">
        <f>'Imp Refined NYC'!V149</f>
        <v>22.821321326593814</v>
      </c>
      <c r="P228" s="405"/>
      <c r="Q228" s="405">
        <f>'Imp Refined NYC'!AF149</f>
        <v>224317.8694819056</v>
      </c>
      <c r="R228" s="405">
        <f>'Imp Refined NYC'!AG149</f>
        <v>224317.8694819056</v>
      </c>
      <c r="S228" s="405">
        <f>'Imp Refined NYC'!AH149</f>
        <v>224317.8694819056</v>
      </c>
      <c r="T228" s="405">
        <f>'Imp Refined NYC'!AI149</f>
        <v>224317.8694819056</v>
      </c>
      <c r="U228" s="405"/>
      <c r="V228" s="405"/>
      <c r="W228" s="405"/>
      <c r="X228" s="405"/>
      <c r="Y228" s="405"/>
      <c r="Z228" s="405"/>
      <c r="AA228" s="413"/>
      <c r="AB228" s="415"/>
      <c r="AC228" s="415"/>
      <c r="AG228" s="415"/>
      <c r="AH228" s="405"/>
      <c r="AI228" s="415"/>
      <c r="AJ228" s="415">
        <v>1.0049999999999999</v>
      </c>
      <c r="AK228" s="415">
        <v>1.0049999999999999</v>
      </c>
      <c r="BC228" s="365"/>
      <c r="BD228" s="365"/>
      <c r="BE228" s="365"/>
      <c r="BF228" s="365"/>
      <c r="BG228" s="365"/>
    </row>
    <row r="229" spans="2:59">
      <c r="B229" s="376" t="str">
        <f>Technologies!B$224</f>
        <v>R0,R1,R2,R3,R4,R5,R6</v>
      </c>
      <c r="C229" s="376" t="str">
        <f>'Imp Refined NYC'!E150</f>
        <v>IMPDSHP34</v>
      </c>
      <c r="D229" s="376" t="str">
        <f>'Imp Refined NYC'!F150</f>
        <v>Imported Distillate-Heating Oil No. 2, PADD 3, Step 4</v>
      </c>
      <c r="E229" s="415" t="str">
        <f>'Imp Refined NYC'!G150</f>
        <v>DSHP3</v>
      </c>
      <c r="F229" s="413">
        <f>'Imp Refined NYC'!M150</f>
        <v>14.570433894553224</v>
      </c>
      <c r="G229" s="413">
        <f>'Imp Refined NYC'!N150</f>
        <v>15.688668913591043</v>
      </c>
      <c r="H229" s="413">
        <f>'Imp Refined NYC'!O150</f>
        <v>15.539499928906883</v>
      </c>
      <c r="I229" s="413">
        <f>'Imp Refined NYC'!P150</f>
        <v>16.768211862197575</v>
      </c>
      <c r="J229" s="413">
        <f>'Imp Refined NYC'!Q150</f>
        <v>17.731417782409238</v>
      </c>
      <c r="K229" s="413">
        <f>'Imp Refined NYC'!R150</f>
        <v>19.050352309408776</v>
      </c>
      <c r="L229" s="413">
        <f>'Imp Refined NYC'!S150</f>
        <v>20.467394517805189</v>
      </c>
      <c r="M229" s="413">
        <f>'Imp Refined NYC'!T150</f>
        <v>21.989842053502834</v>
      </c>
      <c r="N229" s="413">
        <f>'Imp Refined NYC'!U150</f>
        <v>23.625535390806316</v>
      </c>
      <c r="O229" s="413">
        <f>'Imp Refined NYC'!V150</f>
        <v>25.382898210191087</v>
      </c>
      <c r="P229" s="405"/>
      <c r="Q229" s="405">
        <f>'Imp Refined NYC'!AF150</f>
        <v>448635.73896381306</v>
      </c>
      <c r="R229" s="405">
        <f>'Imp Refined NYC'!AG150</f>
        <v>448635.73896381306</v>
      </c>
      <c r="S229" s="405">
        <f>'Imp Refined NYC'!AH150</f>
        <v>448635.73896381306</v>
      </c>
      <c r="T229" s="405">
        <f>'Imp Refined NYC'!AI150</f>
        <v>448635.73896381306</v>
      </c>
      <c r="U229" s="405"/>
      <c r="V229" s="405"/>
      <c r="W229" s="405"/>
      <c r="X229" s="405"/>
      <c r="Y229" s="405"/>
      <c r="Z229" s="405"/>
      <c r="AA229" s="413"/>
      <c r="AB229" s="415"/>
      <c r="AC229" s="415"/>
      <c r="AG229" s="415"/>
      <c r="AH229" s="405"/>
      <c r="AI229" s="415"/>
      <c r="AJ229" s="415">
        <v>1.0049999999999999</v>
      </c>
      <c r="AK229" s="415">
        <v>1.0049999999999999</v>
      </c>
      <c r="BC229" s="365"/>
      <c r="BD229" s="365"/>
      <c r="BE229" s="365"/>
      <c r="BF229" s="365"/>
      <c r="BG229" s="365"/>
    </row>
    <row r="230" spans="2:59">
      <c r="B230" s="376" t="str">
        <f>Technologies!B$225</f>
        <v>R0,R1,R2,R3,R4,R5,R6</v>
      </c>
      <c r="C230" s="376" t="str">
        <f>'Imp Refined NYC'!E151</f>
        <v>IMPDSHP35</v>
      </c>
      <c r="D230" s="376" t="str">
        <f>'Imp Refined NYC'!F151</f>
        <v>Imported Distillate-Heating Oil No. 2, PADD 3, Step 5</v>
      </c>
      <c r="E230" s="415" t="str">
        <f>'Imp Refined NYC'!G151</f>
        <v>DSHP3</v>
      </c>
      <c r="F230" s="413">
        <f>'Imp Refined NYC'!M151</f>
        <v>17.377581709100177</v>
      </c>
      <c r="G230" s="413">
        <f>'Imp Refined NYC'!N151</f>
        <v>18.711256502448034</v>
      </c>
      <c r="H230" s="413">
        <f>'Imp Refined NYC'!O151</f>
        <v>18.533348539063255</v>
      </c>
      <c r="I230" s="413">
        <f>'Imp Refined NYC'!P151</f>
        <v>19.998784789776924</v>
      </c>
      <c r="J230" s="413">
        <f>'Imp Refined NYC'!Q151</f>
        <v>21.14756249278166</v>
      </c>
      <c r="K230" s="413">
        <f>'Imp Refined NYC'!R151</f>
        <v>22.720603671771933</v>
      </c>
      <c r="L230" s="413">
        <f>'Imp Refined NYC'!S151</f>
        <v>24.410654012061233</v>
      </c>
      <c r="M230" s="413">
        <f>'Imp Refined NYC'!T151</f>
        <v>26.226417128030899</v>
      </c>
      <c r="N230" s="413">
        <f>'Imp Refined NYC'!U151</f>
        <v>28.177244044080926</v>
      </c>
      <c r="O230" s="413">
        <f>'Imp Refined NYC'!V151</f>
        <v>30.273181351604048</v>
      </c>
      <c r="P230" s="405"/>
      <c r="Q230" s="405">
        <f>'Imp Refined NYC'!AF151</f>
        <v>1794542.9558552485</v>
      </c>
      <c r="R230" s="405">
        <f>'Imp Refined NYC'!AG151</f>
        <v>1794542.9558552485</v>
      </c>
      <c r="S230" s="405">
        <f>'Imp Refined NYC'!AH151</f>
        <v>1794542.9558552485</v>
      </c>
      <c r="T230" s="405">
        <f>'Imp Refined NYC'!AI151</f>
        <v>1794542.9558552485</v>
      </c>
      <c r="U230" s="405"/>
      <c r="V230" s="405"/>
      <c r="W230" s="405"/>
      <c r="X230" s="405"/>
      <c r="Y230" s="405"/>
      <c r="Z230" s="405"/>
      <c r="AA230" s="413"/>
      <c r="AB230" s="415"/>
      <c r="AC230" s="415"/>
      <c r="AG230" s="415"/>
      <c r="AH230" s="405"/>
      <c r="AI230" s="415"/>
      <c r="AJ230" s="415">
        <v>1.0049999999999999</v>
      </c>
      <c r="AK230" s="415">
        <v>1.0049999999999999</v>
      </c>
      <c r="BC230" s="365"/>
      <c r="BD230" s="365"/>
      <c r="BE230" s="365"/>
      <c r="BF230" s="365"/>
      <c r="BG230" s="365"/>
    </row>
    <row r="231" spans="2:59">
      <c r="E231" s="381"/>
      <c r="F231" s="425"/>
      <c r="G231" s="425"/>
      <c r="H231" s="425"/>
      <c r="I231" s="425"/>
      <c r="J231" s="425"/>
      <c r="K231" s="425"/>
      <c r="L231" s="425"/>
      <c r="M231" s="425"/>
      <c r="N231" s="425"/>
      <c r="O231" s="425"/>
      <c r="P231" s="390"/>
      <c r="Q231" s="390"/>
      <c r="R231" s="390"/>
      <c r="S231" s="390"/>
      <c r="T231" s="390"/>
      <c r="U231" s="390"/>
      <c r="V231" s="390"/>
      <c r="W231" s="390"/>
      <c r="X231" s="425"/>
      <c r="Y231" s="425"/>
      <c r="Z231" s="425"/>
      <c r="AA231" s="425"/>
      <c r="AH231" s="390"/>
      <c r="BC231" s="365"/>
      <c r="BD231" s="365"/>
      <c r="BE231" s="365"/>
      <c r="BF231" s="365"/>
      <c r="BG231" s="365"/>
    </row>
    <row r="232" spans="2:59">
      <c r="E232" s="381"/>
      <c r="F232" s="425"/>
      <c r="G232" s="425"/>
      <c r="H232" s="425"/>
      <c r="I232" s="425"/>
      <c r="J232" s="425"/>
      <c r="K232" s="425"/>
      <c r="L232" s="425"/>
      <c r="M232" s="425"/>
      <c r="N232" s="425"/>
      <c r="O232" s="425"/>
      <c r="P232" s="390"/>
      <c r="Q232" s="390"/>
      <c r="R232" s="390"/>
      <c r="S232" s="390"/>
      <c r="T232" s="390"/>
      <c r="U232" s="390"/>
      <c r="V232" s="390"/>
      <c r="W232" s="390"/>
      <c r="X232" s="425"/>
      <c r="Y232" s="425"/>
      <c r="Z232" s="425"/>
      <c r="AA232" s="425"/>
      <c r="AH232" s="390"/>
      <c r="BC232" s="365"/>
      <c r="BD232" s="365"/>
      <c r="BE232" s="365"/>
      <c r="BF232" s="365"/>
      <c r="BG232" s="365"/>
    </row>
    <row r="233" spans="2:59">
      <c r="B233" s="376" t="str">
        <f>Technologies!B$415</f>
        <v>R0,R1,R2,R3,R4,R5,R6</v>
      </c>
      <c r="C233" s="376" t="str">
        <f>'Imp Refined NYC'!E13</f>
        <v>IMPGSRP13</v>
      </c>
      <c r="D233" s="376" t="str">
        <f>'Imp Refined NYC'!F13</f>
        <v>Imported Reformulated Gasoline, PADD 1, Step 3</v>
      </c>
      <c r="E233" s="415" t="str">
        <f>'Imp Refined NYC'!G13</f>
        <v>GSRP1</v>
      </c>
      <c r="F233" s="413">
        <v>0</v>
      </c>
      <c r="G233" s="413">
        <v>0</v>
      </c>
      <c r="H233" s="413">
        <v>0</v>
      </c>
      <c r="I233" s="413">
        <v>0</v>
      </c>
      <c r="J233" s="413">
        <v>0</v>
      </c>
      <c r="K233" s="413">
        <v>0</v>
      </c>
      <c r="L233" s="413">
        <v>0</v>
      </c>
      <c r="M233" s="413">
        <v>0</v>
      </c>
      <c r="N233" s="413">
        <v>0</v>
      </c>
      <c r="O233" s="413">
        <v>0</v>
      </c>
      <c r="P233" s="405"/>
      <c r="Q233" s="405">
        <f>'Imp Refined NYC'!AF13</f>
        <v>198323.95327584841</v>
      </c>
      <c r="R233" s="405">
        <f>'Imp Refined NYC'!AG13</f>
        <v>198323.95327584841</v>
      </c>
      <c r="S233" s="405">
        <f>'Imp Refined NYC'!AH13</f>
        <v>198323.95327584841</v>
      </c>
      <c r="T233" s="405">
        <f>'Imp Refined NYC'!AI13</f>
        <v>198323.95327584841</v>
      </c>
      <c r="U233" s="405">
        <f>'Imp Refined NYC'!AJ13</f>
        <v>0</v>
      </c>
      <c r="V233" s="405">
        <f>'Imp Refined NYC'!AG13</f>
        <v>198323.95327584841</v>
      </c>
      <c r="W233" s="405">
        <f>'Imp Refined NYC'!AH13</f>
        <v>198323.95327584841</v>
      </c>
      <c r="X233" s="405">
        <f>'Imp Refined NYC'!AI13</f>
        <v>198323.95327584841</v>
      </c>
      <c r="Y233" s="405">
        <f>'Imp Refined NYC'!AJ13</f>
        <v>0</v>
      </c>
      <c r="Z233" s="405">
        <f>'Imp Refined NYC'!AK13</f>
        <v>0</v>
      </c>
      <c r="AA233" s="405">
        <f>'Imp Refined NYC'!AL13</f>
        <v>0</v>
      </c>
      <c r="AB233" s="415"/>
      <c r="AC233" s="415"/>
      <c r="AG233" s="415"/>
      <c r="AH233" s="405"/>
      <c r="AI233" s="415"/>
      <c r="AJ233" s="415">
        <v>1.0049999999999999</v>
      </c>
      <c r="AK233" s="415">
        <v>1.0049999999999999</v>
      </c>
      <c r="AP233" s="365"/>
      <c r="AQ233" s="365"/>
      <c r="AR233" s="365"/>
      <c r="AS233" s="365"/>
      <c r="AT233" s="365"/>
      <c r="AU233" s="365"/>
      <c r="AV233" s="365"/>
      <c r="AW233" s="365"/>
      <c r="AX233" s="365"/>
      <c r="AY233" s="365"/>
      <c r="AZ233" s="365"/>
      <c r="BA233" s="365"/>
      <c r="BB233" s="365"/>
      <c r="BC233" s="365"/>
      <c r="BD233" s="365"/>
      <c r="BE233" s="365"/>
      <c r="BF233" s="365"/>
      <c r="BG233" s="365"/>
    </row>
    <row r="234" spans="2:59">
      <c r="B234" s="376" t="str">
        <f>Technologies!B$416</f>
        <v>R0,R1,R2,R3,R4,R5,R6</v>
      </c>
      <c r="C234" s="376" t="str">
        <f>'Imp Refined NYC'!E14</f>
        <v>IMPGSRP11</v>
      </c>
      <c r="D234" s="376" t="str">
        <f>'Imp Refined NYC'!F14</f>
        <v>Imported Reformulated Gasoline, PADD 1, Step 1</v>
      </c>
      <c r="E234" s="415" t="str">
        <f>'Imp Refined NYC'!G14</f>
        <v>GSRP1</v>
      </c>
      <c r="F234" s="413">
        <v>0</v>
      </c>
      <c r="G234" s="413">
        <v>0</v>
      </c>
      <c r="H234" s="413">
        <v>0</v>
      </c>
      <c r="I234" s="413">
        <v>0</v>
      </c>
      <c r="J234" s="413">
        <v>0</v>
      </c>
      <c r="K234" s="413">
        <v>0</v>
      </c>
      <c r="L234" s="413">
        <v>0</v>
      </c>
      <c r="M234" s="413">
        <v>0</v>
      </c>
      <c r="N234" s="413">
        <v>0</v>
      </c>
      <c r="O234" s="413">
        <v>0</v>
      </c>
      <c r="P234" s="405"/>
      <c r="Q234" s="405">
        <f>'Imp Refined NYC'!AF14</f>
        <v>1586591.6262067873</v>
      </c>
      <c r="R234" s="405">
        <f>'Imp Refined NYC'!AG14</f>
        <v>1586591.6262067873</v>
      </c>
      <c r="S234" s="405">
        <f>'Imp Refined NYC'!AH14</f>
        <v>1586591.6262067873</v>
      </c>
      <c r="T234" s="405">
        <f>'Imp Refined NYC'!AI14</f>
        <v>1586591.6262067873</v>
      </c>
      <c r="U234" s="405">
        <f>'Imp Refined NYC'!AJ14</f>
        <v>0</v>
      </c>
      <c r="V234" s="405">
        <f>'Imp Refined NYC'!AG14</f>
        <v>1586591.6262067873</v>
      </c>
      <c r="W234" s="405">
        <f>'Imp Refined NYC'!AH14</f>
        <v>1586591.6262067873</v>
      </c>
      <c r="X234" s="405">
        <f>'Imp Refined NYC'!AI14</f>
        <v>1586591.6262067873</v>
      </c>
      <c r="Y234" s="405">
        <f>'Imp Refined NYC'!AJ14</f>
        <v>0</v>
      </c>
      <c r="Z234" s="405">
        <f>'Imp Refined NYC'!AK14</f>
        <v>0</v>
      </c>
      <c r="AA234" s="405">
        <f>'Imp Refined NYC'!AL14</f>
        <v>0</v>
      </c>
      <c r="AB234" s="415"/>
      <c r="AC234" s="415"/>
      <c r="AG234" s="415"/>
      <c r="AH234" s="405"/>
      <c r="AI234" s="415"/>
      <c r="AJ234" s="415">
        <v>1.0049999999999999</v>
      </c>
      <c r="AK234" s="415">
        <v>1.0049999999999999</v>
      </c>
      <c r="AP234" s="365"/>
      <c r="AQ234" s="365"/>
      <c r="AR234" s="365"/>
      <c r="AS234" s="365"/>
      <c r="AT234" s="365"/>
      <c r="AU234" s="365"/>
      <c r="AV234" s="365"/>
      <c r="AW234" s="365"/>
      <c r="AX234" s="365"/>
      <c r="AY234" s="365"/>
      <c r="AZ234" s="365"/>
      <c r="BA234" s="365"/>
      <c r="BB234" s="365"/>
      <c r="BC234" s="365"/>
      <c r="BD234" s="365"/>
      <c r="BE234" s="365"/>
      <c r="BF234" s="365"/>
      <c r="BG234" s="365"/>
    </row>
    <row r="235" spans="2:59">
      <c r="B235" s="376" t="str">
        <f>Technologies!B$417</f>
        <v>R0,R1,R2,R3,R4,R5,R6</v>
      </c>
      <c r="C235" s="376" t="str">
        <f>'Imp Refined NYC'!E15</f>
        <v>IMPGSRP12</v>
      </c>
      <c r="D235" s="376" t="str">
        <f>'Imp Refined NYC'!F15</f>
        <v>Imported Reformulated Gasoline, PADD 1, Step 2</v>
      </c>
      <c r="E235" s="415" t="str">
        <f>'Imp Refined NYC'!G15</f>
        <v>GSRP1</v>
      </c>
      <c r="F235" s="413">
        <v>0</v>
      </c>
      <c r="G235" s="413">
        <v>0</v>
      </c>
      <c r="H235" s="413">
        <v>0</v>
      </c>
      <c r="I235" s="413">
        <v>0</v>
      </c>
      <c r="J235" s="413">
        <v>0</v>
      </c>
      <c r="K235" s="413">
        <v>0</v>
      </c>
      <c r="L235" s="413">
        <v>0</v>
      </c>
      <c r="M235" s="413">
        <v>0</v>
      </c>
      <c r="N235" s="413">
        <v>0</v>
      </c>
      <c r="O235" s="413">
        <v>0</v>
      </c>
      <c r="P235" s="405"/>
      <c r="Q235" s="405">
        <f>'Imp Refined NYC'!AF15</f>
        <v>198323.95327584841</v>
      </c>
      <c r="R235" s="405">
        <f>'Imp Refined NYC'!AG15</f>
        <v>198323.95327584841</v>
      </c>
      <c r="S235" s="405">
        <f>'Imp Refined NYC'!AH15</f>
        <v>198323.95327584841</v>
      </c>
      <c r="T235" s="405">
        <f>'Imp Refined NYC'!AI15</f>
        <v>198323.95327584841</v>
      </c>
      <c r="U235" s="405">
        <f>'Imp Refined NYC'!AJ15</f>
        <v>0</v>
      </c>
      <c r="V235" s="405">
        <f>'Imp Refined NYC'!AG15</f>
        <v>198323.95327584841</v>
      </c>
      <c r="W235" s="405">
        <f>'Imp Refined NYC'!AH15</f>
        <v>198323.95327584841</v>
      </c>
      <c r="X235" s="405">
        <f>'Imp Refined NYC'!AI15</f>
        <v>198323.95327584841</v>
      </c>
      <c r="Y235" s="405">
        <f>'Imp Refined NYC'!AJ15</f>
        <v>0</v>
      </c>
      <c r="Z235" s="405">
        <f>'Imp Refined NYC'!AK15</f>
        <v>0</v>
      </c>
      <c r="AA235" s="405">
        <f>'Imp Refined NYC'!AL15</f>
        <v>0</v>
      </c>
      <c r="AB235" s="415"/>
      <c r="AC235" s="415"/>
      <c r="AG235" s="415"/>
      <c r="AH235" s="405"/>
      <c r="AI235" s="415"/>
      <c r="AJ235" s="415">
        <v>1.0049999999999999</v>
      </c>
      <c r="AK235" s="415">
        <v>1.0049999999999999</v>
      </c>
      <c r="AP235" s="365"/>
      <c r="AQ235" s="365"/>
      <c r="AR235" s="365"/>
      <c r="AS235" s="365"/>
      <c r="AT235" s="365"/>
      <c r="AU235" s="365"/>
      <c r="AV235" s="365"/>
      <c r="AW235" s="365"/>
      <c r="AX235" s="365"/>
      <c r="AY235" s="365"/>
      <c r="AZ235" s="365"/>
      <c r="BA235" s="365"/>
      <c r="BB235" s="365"/>
      <c r="BC235" s="365"/>
      <c r="BD235" s="365"/>
      <c r="BE235" s="365"/>
      <c r="BF235" s="365"/>
      <c r="BG235" s="365"/>
    </row>
    <row r="236" spans="2:59">
      <c r="B236" s="376" t="str">
        <f>Technologies!B$418</f>
        <v>R0,R1,R2,R3,R4,R5,R6</v>
      </c>
      <c r="C236" s="376" t="str">
        <f>'Imp Refined NYC'!E16</f>
        <v>IMPGSRP14</v>
      </c>
      <c r="D236" s="376" t="str">
        <f>'Imp Refined NYC'!F16</f>
        <v>Imported Reformulated Gasoline, PADD 1, Step 4</v>
      </c>
      <c r="E236" s="415" t="str">
        <f>'Imp Refined NYC'!G16</f>
        <v>GSRP1</v>
      </c>
      <c r="F236" s="413">
        <v>0</v>
      </c>
      <c r="G236" s="413">
        <v>0</v>
      </c>
      <c r="H236" s="413">
        <v>0</v>
      </c>
      <c r="I236" s="413">
        <v>0</v>
      </c>
      <c r="J236" s="413">
        <v>0</v>
      </c>
      <c r="K236" s="413">
        <v>0</v>
      </c>
      <c r="L236" s="413">
        <v>0</v>
      </c>
      <c r="M236" s="413">
        <v>0</v>
      </c>
      <c r="N236" s="413">
        <v>0</v>
      </c>
      <c r="O236" s="413">
        <v>0</v>
      </c>
      <c r="P236" s="405"/>
      <c r="Q236" s="405">
        <f>'Imp Refined NYC'!AF16</f>
        <v>396647.90655169683</v>
      </c>
      <c r="R236" s="405">
        <f>'Imp Refined NYC'!AG16</f>
        <v>396647.90655169683</v>
      </c>
      <c r="S236" s="405">
        <f>'Imp Refined NYC'!AH16</f>
        <v>396647.90655169683</v>
      </c>
      <c r="T236" s="405">
        <f>'Imp Refined NYC'!AI16</f>
        <v>396647.90655169683</v>
      </c>
      <c r="U236" s="405">
        <f>'Imp Refined NYC'!AJ16</f>
        <v>0</v>
      </c>
      <c r="V236" s="405">
        <f>'Imp Refined NYC'!AG16</f>
        <v>396647.90655169683</v>
      </c>
      <c r="W236" s="405">
        <f>'Imp Refined NYC'!AH16</f>
        <v>396647.90655169683</v>
      </c>
      <c r="X236" s="405">
        <f>'Imp Refined NYC'!AI16</f>
        <v>396647.90655169683</v>
      </c>
      <c r="Y236" s="405">
        <f>'Imp Refined NYC'!AJ16</f>
        <v>0</v>
      </c>
      <c r="Z236" s="405">
        <f>'Imp Refined NYC'!AK16</f>
        <v>0</v>
      </c>
      <c r="AA236" s="405">
        <f>'Imp Refined NYC'!AL16</f>
        <v>0</v>
      </c>
      <c r="AB236" s="415"/>
      <c r="AC236" s="415"/>
      <c r="AG236" s="415"/>
      <c r="AH236" s="405"/>
      <c r="AI236" s="415"/>
      <c r="AJ236" s="415">
        <v>1.0049999999999999</v>
      </c>
      <c r="AK236" s="415">
        <v>1.0049999999999999</v>
      </c>
      <c r="AP236" s="365"/>
      <c r="AQ236" s="365"/>
      <c r="AR236" s="365"/>
      <c r="AS236" s="365"/>
      <c r="AT236" s="365"/>
      <c r="AU236" s="365"/>
      <c r="AV236" s="365"/>
      <c r="AW236" s="365"/>
      <c r="AX236" s="365"/>
      <c r="AY236" s="365"/>
      <c r="AZ236" s="365"/>
      <c r="BA236" s="365"/>
      <c r="BB236" s="365"/>
      <c r="BC236" s="365"/>
      <c r="BD236" s="365"/>
      <c r="BE236" s="365"/>
      <c r="BF236" s="365"/>
      <c r="BG236" s="365"/>
    </row>
    <row r="237" spans="2:59">
      <c r="B237" s="376" t="str">
        <f>Technologies!B$419</f>
        <v>R0,R1,R2,R3,R4,R5,R6</v>
      </c>
      <c r="C237" s="376" t="str">
        <f>'Imp Refined NYC'!E17</f>
        <v>IMPGSRP15</v>
      </c>
      <c r="D237" s="376" t="str">
        <f>'Imp Refined NYC'!F17</f>
        <v>Imported Reformulated Gasoline, PADD 1, Step 5</v>
      </c>
      <c r="E237" s="415" t="str">
        <f>'Imp Refined NYC'!G17</f>
        <v>GSRP1</v>
      </c>
      <c r="F237" s="413">
        <v>0</v>
      </c>
      <c r="G237" s="413">
        <v>0</v>
      </c>
      <c r="H237" s="413">
        <v>0</v>
      </c>
      <c r="I237" s="413">
        <v>0</v>
      </c>
      <c r="J237" s="413">
        <v>0</v>
      </c>
      <c r="K237" s="413">
        <v>0</v>
      </c>
      <c r="L237" s="413">
        <v>0</v>
      </c>
      <c r="M237" s="413">
        <v>0</v>
      </c>
      <c r="N237" s="413">
        <v>0</v>
      </c>
      <c r="O237" s="413">
        <v>0</v>
      </c>
      <c r="P237" s="405"/>
      <c r="Q237" s="405">
        <f>'Imp Refined NYC'!AF17</f>
        <v>1586591.6262067873</v>
      </c>
      <c r="R237" s="405">
        <f>'Imp Refined NYC'!AG17</f>
        <v>1586591.6262067873</v>
      </c>
      <c r="S237" s="405">
        <f>'Imp Refined NYC'!AH17</f>
        <v>1586591.6262067873</v>
      </c>
      <c r="T237" s="405">
        <f>'Imp Refined NYC'!AI17</f>
        <v>1586591.6262067873</v>
      </c>
      <c r="U237" s="405">
        <f>'Imp Refined NYC'!AJ17</f>
        <v>0</v>
      </c>
      <c r="V237" s="405">
        <f>'Imp Refined NYC'!AG17</f>
        <v>1586591.6262067873</v>
      </c>
      <c r="W237" s="405">
        <f>'Imp Refined NYC'!AH17</f>
        <v>1586591.6262067873</v>
      </c>
      <c r="X237" s="405">
        <f>'Imp Refined NYC'!AI17</f>
        <v>1586591.6262067873</v>
      </c>
      <c r="Y237" s="405">
        <f>'Imp Refined NYC'!AJ17</f>
        <v>0</v>
      </c>
      <c r="Z237" s="405">
        <f>'Imp Refined NYC'!AK17</f>
        <v>0</v>
      </c>
      <c r="AA237" s="405">
        <f>'Imp Refined NYC'!AL17</f>
        <v>0</v>
      </c>
      <c r="AB237" s="415"/>
      <c r="AC237" s="415"/>
      <c r="AG237" s="415"/>
      <c r="AH237" s="405"/>
      <c r="AI237" s="415"/>
      <c r="AJ237" s="415">
        <v>1.0049999999999999</v>
      </c>
      <c r="AK237" s="415">
        <v>1.0049999999999999</v>
      </c>
      <c r="AP237" s="365"/>
      <c r="AQ237" s="365"/>
      <c r="AR237" s="365"/>
      <c r="AS237" s="365"/>
      <c r="AT237" s="365"/>
      <c r="AU237" s="365"/>
      <c r="AV237" s="365"/>
      <c r="AW237" s="365"/>
      <c r="AX237" s="365"/>
      <c r="AY237" s="365"/>
      <c r="AZ237" s="365"/>
      <c r="BA237" s="365"/>
      <c r="BB237" s="365"/>
      <c r="BC237" s="365"/>
      <c r="BD237" s="365"/>
      <c r="BE237" s="365"/>
      <c r="BF237" s="365"/>
      <c r="BG237" s="365"/>
    </row>
    <row r="238" spans="2:59">
      <c r="B238" s="376" t="str">
        <f>Technologies!B$420</f>
        <v>R0,R1,R2,R3,R4,R5,R6</v>
      </c>
      <c r="C238" s="376" t="str">
        <f>'Imp Refined NYC'!E18</f>
        <v>IMPGSCP13</v>
      </c>
      <c r="D238" s="376" t="str">
        <f>'Imp Refined NYC'!F18</f>
        <v>Imported Conventional Gasoline, PADD 1, Step 3</v>
      </c>
      <c r="E238" s="415" t="str">
        <f>'Imp Refined NYC'!G18</f>
        <v>GSCP1</v>
      </c>
      <c r="F238" s="413">
        <f>'Imp Refined NYC'!M18</f>
        <v>15.148825065706914</v>
      </c>
      <c r="G238" s="413">
        <f>'Imp Refined NYC'!N18</f>
        <v>16.311449789743712</v>
      </c>
      <c r="H238" s="413">
        <f>'Imp Refined NYC'!O18</f>
        <v>16.156359360003375</v>
      </c>
      <c r="I238" s="413">
        <f>'Imp Refined NYC'!P18</f>
        <v>17.433846514351291</v>
      </c>
      <c r="J238" s="413">
        <f>'Imp Refined NYC'!Q18</f>
        <v>18.43528807011679</v>
      </c>
      <c r="K238" s="413">
        <f>'Imp Refined NYC'!R18</f>
        <v>19.806579314237258</v>
      </c>
      <c r="L238" s="413">
        <f>'Imp Refined NYC'!S18</f>
        <v>21.279872744005672</v>
      </c>
      <c r="M238" s="413">
        <f>'Imp Refined NYC'!T18</f>
        <v>22.862755694294599</v>
      </c>
      <c r="N238" s="413">
        <f>'Imp Refined NYC'!U18</f>
        <v>24.563379876613268</v>
      </c>
      <c r="O238" s="413">
        <f>'Imp Refined NYC'!V18</f>
        <v>26.390503359723084</v>
      </c>
      <c r="P238" s="405"/>
      <c r="Q238" s="405">
        <f>'Imp Refined NYC'!AF18</f>
        <v>202290.43234136514</v>
      </c>
      <c r="R238" s="405">
        <f>'Imp Refined NYC'!AG18</f>
        <v>202290.43234136514</v>
      </c>
      <c r="S238" s="405">
        <f>'Imp Refined NYC'!AH18</f>
        <v>202290.43234136514</v>
      </c>
      <c r="T238" s="405">
        <f>'Imp Refined NYC'!AI18</f>
        <v>202290.43234136514</v>
      </c>
      <c r="U238" s="405"/>
      <c r="V238" s="405"/>
      <c r="W238" s="405"/>
      <c r="X238" s="413"/>
      <c r="Y238" s="413"/>
      <c r="Z238" s="413"/>
      <c r="AA238" s="413"/>
      <c r="AB238" s="415"/>
      <c r="AC238" s="415"/>
      <c r="AG238" s="415"/>
      <c r="AH238" s="405"/>
      <c r="AI238" s="415"/>
      <c r="AJ238" s="415">
        <v>1.0049999999999999</v>
      </c>
      <c r="AK238" s="415">
        <v>1.0049999999999999</v>
      </c>
      <c r="AP238" s="365"/>
      <c r="AQ238" s="365"/>
      <c r="AR238" s="365"/>
      <c r="AS238" s="365"/>
      <c r="AT238" s="365"/>
      <c r="AU238" s="365"/>
      <c r="AV238" s="365"/>
      <c r="AW238" s="365"/>
      <c r="AX238" s="365"/>
      <c r="AY238" s="365"/>
      <c r="AZ238" s="365"/>
      <c r="BA238" s="365"/>
      <c r="BB238" s="365"/>
      <c r="BC238" s="365"/>
      <c r="BD238" s="365"/>
      <c r="BE238" s="365"/>
      <c r="BF238" s="365"/>
      <c r="BG238" s="365"/>
    </row>
    <row r="239" spans="2:59">
      <c r="B239" s="376" t="str">
        <f>Technologies!B$421</f>
        <v>R0,R1,R2,R3,R4,R5,R6</v>
      </c>
      <c r="C239" s="376" t="str">
        <f>'Imp Refined NYC'!E19</f>
        <v>IMPGSCP11</v>
      </c>
      <c r="D239" s="376" t="str">
        <f>'Imp Refined NYC'!F19</f>
        <v>Imported Conventional Gasoline, PADD 1, Step 1</v>
      </c>
      <c r="E239" s="415" t="str">
        <f>'Imp Refined NYC'!G19</f>
        <v>GSCP1</v>
      </c>
      <c r="F239" s="413">
        <f>'Imp Refined NYC'!M19</f>
        <v>14.391383812421568</v>
      </c>
      <c r="G239" s="413">
        <f>'Imp Refined NYC'!N19</f>
        <v>15.495877300256526</v>
      </c>
      <c r="H239" s="413">
        <f>'Imp Refined NYC'!O19</f>
        <v>15.348541392003204</v>
      </c>
      <c r="I239" s="413">
        <f>'Imp Refined NYC'!P19</f>
        <v>16.562154188633723</v>
      </c>
      <c r="J239" s="413">
        <f>'Imp Refined NYC'!Q19</f>
        <v>17.513523666610947</v>
      </c>
      <c r="K239" s="413">
        <f>'Imp Refined NYC'!R19</f>
        <v>18.81625034852539</v>
      </c>
      <c r="L239" s="413">
        <f>'Imp Refined NYC'!S19</f>
        <v>20.215879106805382</v>
      </c>
      <c r="M239" s="413">
        <f>'Imp Refined NYC'!T19</f>
        <v>21.71961790957986</v>
      </c>
      <c r="N239" s="413">
        <f>'Imp Refined NYC'!U19</f>
        <v>23.335210882782597</v>
      </c>
      <c r="O239" s="413">
        <f>'Imp Refined NYC'!V19</f>
        <v>25.07097819173692</v>
      </c>
      <c r="P239" s="405"/>
      <c r="Q239" s="405">
        <f>'Imp Refined NYC'!AF19</f>
        <v>1618323.4587309228</v>
      </c>
      <c r="R239" s="405">
        <f>'Imp Refined NYC'!AG19</f>
        <v>1618323.4587309228</v>
      </c>
      <c r="S239" s="405">
        <f>'Imp Refined NYC'!AH19</f>
        <v>1618323.4587309228</v>
      </c>
      <c r="T239" s="405">
        <f>'Imp Refined NYC'!AI19</f>
        <v>1618323.4587309228</v>
      </c>
      <c r="U239" s="405"/>
      <c r="V239" s="405"/>
      <c r="W239" s="405"/>
      <c r="X239" s="413"/>
      <c r="Y239" s="413"/>
      <c r="Z239" s="413"/>
      <c r="AA239" s="413"/>
      <c r="AB239" s="415"/>
      <c r="AC239" s="415"/>
      <c r="AG239" s="415"/>
      <c r="AH239" s="405"/>
      <c r="AI239" s="415"/>
      <c r="AJ239" s="415">
        <v>1.0049999999999999</v>
      </c>
      <c r="AK239" s="415">
        <v>1.0049999999999999</v>
      </c>
      <c r="AP239" s="365"/>
      <c r="AQ239" s="365"/>
      <c r="AR239" s="365"/>
      <c r="AS239" s="365"/>
      <c r="AT239" s="365"/>
      <c r="AU239" s="365"/>
      <c r="AV239" s="365"/>
      <c r="AW239" s="365"/>
      <c r="AX239" s="365"/>
      <c r="AY239" s="365"/>
      <c r="AZ239" s="365"/>
      <c r="BA239" s="365"/>
      <c r="BB239" s="365"/>
      <c r="BC239" s="365"/>
      <c r="BD239" s="365"/>
      <c r="BE239" s="365"/>
      <c r="BF239" s="365"/>
      <c r="BG239" s="365"/>
    </row>
    <row r="240" spans="2:59">
      <c r="B240" s="376" t="str">
        <f>Technologies!B$422</f>
        <v>R0,R1,R2,R3,R4,R5,R6</v>
      </c>
      <c r="C240" s="376" t="str">
        <f>'Imp Refined NYC'!E20</f>
        <v>IMPGSCP12</v>
      </c>
      <c r="D240" s="376" t="str">
        <f>'Imp Refined NYC'!F20</f>
        <v>Imported Conventional Gasoline, PADD 1, Step 2</v>
      </c>
      <c r="E240" s="415" t="str">
        <f>'Imp Refined NYC'!G20</f>
        <v>GSCP1</v>
      </c>
      <c r="F240" s="413">
        <f>'Imp Refined NYC'!M20</f>
        <v>14.845848564392778</v>
      </c>
      <c r="G240" s="413">
        <f>'Imp Refined NYC'!N20</f>
        <v>15.985220793948841</v>
      </c>
      <c r="H240" s="413">
        <f>'Imp Refined NYC'!O20</f>
        <v>15.83323217280331</v>
      </c>
      <c r="I240" s="413">
        <f>'Imp Refined NYC'!P20</f>
        <v>17.085169584064268</v>
      </c>
      <c r="J240" s="413">
        <f>'Imp Refined NYC'!Q20</f>
        <v>18.066582308714455</v>
      </c>
      <c r="K240" s="413">
        <f>'Imp Refined NYC'!R20</f>
        <v>19.410447727952512</v>
      </c>
      <c r="L240" s="413">
        <f>'Imp Refined NYC'!S20</f>
        <v>20.854275289125557</v>
      </c>
      <c r="M240" s="413">
        <f>'Imp Refined NYC'!T20</f>
        <v>22.405500580408706</v>
      </c>
      <c r="N240" s="413">
        <f>'Imp Refined NYC'!U20</f>
        <v>24.072112279081001</v>
      </c>
      <c r="O240" s="413">
        <f>'Imp Refined NYC'!V20</f>
        <v>25.862693292528618</v>
      </c>
      <c r="P240" s="405"/>
      <c r="Q240" s="405">
        <f>'Imp Refined NYC'!AF20</f>
        <v>202290.43234136584</v>
      </c>
      <c r="R240" s="405">
        <f>'Imp Refined NYC'!AG20</f>
        <v>202290.43234136584</v>
      </c>
      <c r="S240" s="405">
        <f>'Imp Refined NYC'!AH20</f>
        <v>202290.43234136584</v>
      </c>
      <c r="T240" s="405">
        <f>'Imp Refined NYC'!AI20</f>
        <v>202290.43234136584</v>
      </c>
      <c r="U240" s="405"/>
      <c r="V240" s="405"/>
      <c r="W240" s="405"/>
      <c r="X240" s="413"/>
      <c r="Y240" s="413"/>
      <c r="Z240" s="413"/>
      <c r="AA240" s="413"/>
      <c r="AB240" s="415"/>
      <c r="AC240" s="415"/>
      <c r="AG240" s="415"/>
      <c r="AH240" s="405"/>
      <c r="AI240" s="415"/>
      <c r="AJ240" s="415">
        <v>1.0049999999999999</v>
      </c>
      <c r="AK240" s="415">
        <v>1.0049999999999999</v>
      </c>
      <c r="AP240" s="365"/>
      <c r="AQ240" s="365"/>
      <c r="AR240" s="365"/>
      <c r="AS240" s="365"/>
      <c r="AT240" s="365"/>
      <c r="AU240" s="365"/>
      <c r="AV240" s="365"/>
      <c r="AW240" s="365"/>
      <c r="AX240" s="365"/>
      <c r="AY240" s="365"/>
      <c r="AZ240" s="365"/>
      <c r="BA240" s="365"/>
      <c r="BB240" s="365"/>
      <c r="BC240" s="365"/>
      <c r="BD240" s="365"/>
      <c r="BE240" s="365"/>
      <c r="BF240" s="365"/>
      <c r="BG240" s="365"/>
    </row>
    <row r="241" spans="2:59">
      <c r="B241" s="376" t="str">
        <f>Technologies!B$423</f>
        <v>R0,R1,R2,R3,R4,R5,R6</v>
      </c>
      <c r="C241" s="376" t="str">
        <f>'Imp Refined NYC'!E21</f>
        <v>IMPGSCP14</v>
      </c>
      <c r="D241" s="376" t="str">
        <f>'Imp Refined NYC'!F21</f>
        <v>Imported Conventional Gasoline, PADD 1, Step 4</v>
      </c>
      <c r="E241" s="415" t="str">
        <f>'Imp Refined NYC'!G21</f>
        <v>GSCP1</v>
      </c>
      <c r="F241" s="413">
        <f>'Imp Refined NYC'!M21</f>
        <v>16.512219321620538</v>
      </c>
      <c r="G241" s="413">
        <f>'Imp Refined NYC'!N21</f>
        <v>17.779480270820649</v>
      </c>
      <c r="H241" s="413">
        <f>'Imp Refined NYC'!O21</f>
        <v>17.61043170240368</v>
      </c>
      <c r="I241" s="413">
        <f>'Imp Refined NYC'!P21</f>
        <v>19.00289270064291</v>
      </c>
      <c r="J241" s="413">
        <f>'Imp Refined NYC'!Q21</f>
        <v>20.094463996427304</v>
      </c>
      <c r="K241" s="413">
        <f>'Imp Refined NYC'!R21</f>
        <v>21.589171452518613</v>
      </c>
      <c r="L241" s="413">
        <f>'Imp Refined NYC'!S21</f>
        <v>23.195061290966184</v>
      </c>
      <c r="M241" s="413">
        <f>'Imp Refined NYC'!T21</f>
        <v>24.920403706781112</v>
      </c>
      <c r="N241" s="413">
        <f>'Imp Refined NYC'!U21</f>
        <v>26.774084065508461</v>
      </c>
      <c r="O241" s="413">
        <f>'Imp Refined NYC'!V21</f>
        <v>28.765648662098158</v>
      </c>
      <c r="P241" s="405"/>
      <c r="Q241" s="405">
        <f>'Imp Refined NYC'!AF21</f>
        <v>404580.86468273075</v>
      </c>
      <c r="R241" s="405">
        <f>'Imp Refined NYC'!AG21</f>
        <v>404580.86468273075</v>
      </c>
      <c r="S241" s="405">
        <f>'Imp Refined NYC'!AH21</f>
        <v>404580.86468273075</v>
      </c>
      <c r="T241" s="405">
        <f>'Imp Refined NYC'!AI21</f>
        <v>404580.86468273075</v>
      </c>
      <c r="U241" s="405"/>
      <c r="V241" s="405"/>
      <c r="W241" s="405"/>
      <c r="X241" s="413"/>
      <c r="Y241" s="413"/>
      <c r="Z241" s="413"/>
      <c r="AA241" s="413"/>
      <c r="AB241" s="415"/>
      <c r="AC241" s="415"/>
      <c r="AG241" s="415"/>
      <c r="AH241" s="405"/>
      <c r="AI241" s="415"/>
      <c r="AJ241" s="415">
        <v>1.0049999999999999</v>
      </c>
      <c r="AK241" s="415">
        <v>1.0049999999999999</v>
      </c>
      <c r="AP241" s="365"/>
      <c r="AQ241" s="365"/>
      <c r="AR241" s="365"/>
      <c r="AS241" s="365"/>
      <c r="AT241" s="365"/>
      <c r="AU241" s="365"/>
      <c r="AV241" s="365"/>
      <c r="AW241" s="365"/>
      <c r="AX241" s="365"/>
      <c r="AY241" s="365"/>
      <c r="AZ241" s="365"/>
      <c r="BA241" s="365"/>
      <c r="BB241" s="365"/>
      <c r="BC241" s="365"/>
      <c r="BD241" s="365"/>
      <c r="BE241" s="365"/>
      <c r="BF241" s="365"/>
      <c r="BG241" s="365"/>
    </row>
    <row r="242" spans="2:59">
      <c r="B242" s="376" t="str">
        <f>Technologies!B$425</f>
        <v>R0,R1,R2,R3,R4,R5,R6</v>
      </c>
      <c r="C242" s="376" t="str">
        <f>'Imp Refined NYC'!E28</f>
        <v>IMPDSLP13</v>
      </c>
      <c r="D242" s="376" t="str">
        <f>'Imp Refined NYC'!F28</f>
        <v>Imported Distillate-Low Sulfur Highway Diesel (500 ppm), PADD 1, Step 3</v>
      </c>
      <c r="E242" s="415" t="str">
        <f>'Imp Refined NYC'!G28</f>
        <v>DSLP1</v>
      </c>
      <c r="F242" s="413">
        <f>'Imp Refined NYC'!M28</f>
        <v>12.705456368051301</v>
      </c>
      <c r="G242" s="413">
        <f>'Imp Refined NYC'!N28</f>
        <v>13.680560221953908</v>
      </c>
      <c r="H242" s="413">
        <f>'Imp Refined NYC'!O28</f>
        <v>13.550484478150588</v>
      </c>
      <c r="I242" s="413">
        <f>'Imp Refined NYC'!P28</f>
        <v>14.621924489498825</v>
      </c>
      <c r="J242" s="413">
        <f>'Imp Refined NYC'!Q28</f>
        <v>15.461842564778165</v>
      </c>
      <c r="K242" s="413">
        <f>'Imp Refined NYC'!R28</f>
        <v>16.611956913217259</v>
      </c>
      <c r="L242" s="413">
        <f>'Imp Refined NYC'!S28</f>
        <v>17.847621415782147</v>
      </c>
      <c r="M242" s="413">
        <f>'Imp Refined NYC'!T28</f>
        <v>19.175199638739848</v>
      </c>
      <c r="N242" s="413">
        <f>'Imp Refined NYC'!U28</f>
        <v>20.601528496138563</v>
      </c>
      <c r="O242" s="413">
        <f>'Imp Refined NYC'!V28</f>
        <v>22.133953459328961</v>
      </c>
      <c r="P242" s="405"/>
      <c r="Q242" s="405">
        <f>'Imp Refined NYC'!AF28</f>
        <v>224317.86948190606</v>
      </c>
      <c r="R242" s="405">
        <f>'Imp Refined NYC'!AG28</f>
        <v>224317.86948190606</v>
      </c>
      <c r="S242" s="405">
        <f>'Imp Refined NYC'!AH28</f>
        <v>224317.86948190606</v>
      </c>
      <c r="T242" s="405">
        <f>'Imp Refined NYC'!AI28</f>
        <v>224317.86948190606</v>
      </c>
      <c r="U242" s="405"/>
      <c r="V242" s="405"/>
      <c r="W242" s="405"/>
      <c r="X242" s="413"/>
      <c r="Y242" s="413"/>
      <c r="Z242" s="413"/>
      <c r="AA242" s="413"/>
      <c r="AB242" s="415"/>
      <c r="AC242" s="415"/>
      <c r="AG242" s="415"/>
      <c r="AH242" s="405"/>
      <c r="AI242" s="415"/>
      <c r="AJ242" s="415">
        <v>1.0049999999999999</v>
      </c>
      <c r="AK242" s="415">
        <v>1.0049999999999999</v>
      </c>
      <c r="BC242" s="365"/>
      <c r="BD242" s="365"/>
      <c r="BE242" s="365"/>
      <c r="BF242" s="365"/>
      <c r="BG242" s="365"/>
    </row>
    <row r="243" spans="2:59">
      <c r="B243" s="376" t="str">
        <f>Technologies!B$426</f>
        <v>R0,R1,R2,R3,R4,R5,R6</v>
      </c>
      <c r="C243" s="376" t="str">
        <f>'Imp Refined NYC'!E29</f>
        <v>IMPDSLP11</v>
      </c>
      <c r="D243" s="376" t="str">
        <f>'Imp Refined NYC'!F29</f>
        <v>Imported Distillate-Low Sulfur Highway Diesel (500 ppm), PADD 1, Step 1</v>
      </c>
      <c r="E243" s="415" t="str">
        <f>'Imp Refined NYC'!G29</f>
        <v>DSLP1</v>
      </c>
      <c r="F243" s="413">
        <f>'Imp Refined NYC'!M29</f>
        <v>12.070183549648739</v>
      </c>
      <c r="G243" s="413">
        <f>'Imp Refined NYC'!N29</f>
        <v>12.996532210856216</v>
      </c>
      <c r="H243" s="413">
        <f>'Imp Refined NYC'!O29</f>
        <v>12.872960254243063</v>
      </c>
      <c r="I243" s="413">
        <f>'Imp Refined NYC'!P29</f>
        <v>13.890828265023888</v>
      </c>
      <c r="J243" s="413">
        <f>'Imp Refined NYC'!Q29</f>
        <v>14.68875043653926</v>
      </c>
      <c r="K243" s="413">
        <f>'Imp Refined NYC'!R29</f>
        <v>15.781359067556401</v>
      </c>
      <c r="L243" s="413">
        <f>'Imp Refined NYC'!S29</f>
        <v>16.955240344993044</v>
      </c>
      <c r="M243" s="413">
        <f>'Imp Refined NYC'!T29</f>
        <v>18.216439656802862</v>
      </c>
      <c r="N243" s="413">
        <f>'Imp Refined NYC'!U29</f>
        <v>19.571452071331642</v>
      </c>
      <c r="O243" s="413">
        <f>'Imp Refined NYC'!V29</f>
        <v>21.02725578636252</v>
      </c>
      <c r="P243" s="405"/>
      <c r="Q243" s="405">
        <f>'Imp Refined NYC'!AF29</f>
        <v>1794542.9558552499</v>
      </c>
      <c r="R243" s="405">
        <f>'Imp Refined NYC'!AG29</f>
        <v>1794542.9558552499</v>
      </c>
      <c r="S243" s="405">
        <f>'Imp Refined NYC'!AH29</f>
        <v>1794542.9558552499</v>
      </c>
      <c r="T243" s="405">
        <f>'Imp Refined NYC'!AI29</f>
        <v>1794542.9558552499</v>
      </c>
      <c r="U243" s="405"/>
      <c r="V243" s="405"/>
      <c r="W243" s="405"/>
      <c r="X243" s="413"/>
      <c r="Y243" s="413"/>
      <c r="Z243" s="413"/>
      <c r="AA243" s="413"/>
      <c r="AB243" s="415"/>
      <c r="AC243" s="415"/>
      <c r="AG243" s="415"/>
      <c r="AH243" s="405"/>
      <c r="AI243" s="415"/>
      <c r="AJ243" s="415">
        <v>1.0049999999999999</v>
      </c>
      <c r="AK243" s="415">
        <v>1.0049999999999999</v>
      </c>
      <c r="BC243" s="365"/>
      <c r="BD243" s="365"/>
      <c r="BE243" s="365"/>
      <c r="BF243" s="365"/>
      <c r="BG243" s="365"/>
    </row>
    <row r="244" spans="2:59">
      <c r="B244" s="376" t="str">
        <f>Technologies!B$427</f>
        <v>R0,R1,R2,R3,R4,R5,R6</v>
      </c>
      <c r="C244" s="376" t="str">
        <f>'Imp Refined NYC'!E30</f>
        <v>IMPDSLP12</v>
      </c>
      <c r="D244" s="376" t="str">
        <f>'Imp Refined NYC'!F30</f>
        <v>Imported Distillate-Low Sulfur Highway Diesel (500 ppm), PADD 1, Step 2</v>
      </c>
      <c r="E244" s="415" t="str">
        <f>'Imp Refined NYC'!G30</f>
        <v>DSLP1</v>
      </c>
      <c r="F244" s="413">
        <f>'Imp Refined NYC'!M30</f>
        <v>12.451347240690277</v>
      </c>
      <c r="G244" s="413">
        <f>'Imp Refined NYC'!N30</f>
        <v>13.406949017514831</v>
      </c>
      <c r="H244" s="413">
        <f>'Imp Refined NYC'!O30</f>
        <v>13.279474788587578</v>
      </c>
      <c r="I244" s="413">
        <f>'Imp Refined NYC'!P30</f>
        <v>14.329485999708849</v>
      </c>
      <c r="J244" s="413">
        <f>'Imp Refined NYC'!Q30</f>
        <v>15.1526057134826</v>
      </c>
      <c r="K244" s="413">
        <f>'Imp Refined NYC'!R30</f>
        <v>16.279717774952914</v>
      </c>
      <c r="L244" s="413">
        <f>'Imp Refined NYC'!S30</f>
        <v>17.490668987466503</v>
      </c>
      <c r="M244" s="413">
        <f>'Imp Refined NYC'!T30</f>
        <v>18.791695645965049</v>
      </c>
      <c r="N244" s="413">
        <f>'Imp Refined NYC'!U30</f>
        <v>20.18949792621579</v>
      </c>
      <c r="O244" s="413">
        <f>'Imp Refined NYC'!V30</f>
        <v>21.691274390142379</v>
      </c>
      <c r="P244" s="405"/>
      <c r="Q244" s="405">
        <f>'Imp Refined NYC'!AF30</f>
        <v>224317.8694819056</v>
      </c>
      <c r="R244" s="405">
        <f>'Imp Refined NYC'!AG30</f>
        <v>224317.8694819056</v>
      </c>
      <c r="S244" s="405">
        <f>'Imp Refined NYC'!AH30</f>
        <v>224317.8694819056</v>
      </c>
      <c r="T244" s="405">
        <f>'Imp Refined NYC'!AI30</f>
        <v>224317.8694819056</v>
      </c>
      <c r="U244" s="405"/>
      <c r="V244" s="405"/>
      <c r="W244" s="405"/>
      <c r="X244" s="413"/>
      <c r="Y244" s="413"/>
      <c r="Z244" s="413"/>
      <c r="AA244" s="413"/>
      <c r="AB244" s="415"/>
      <c r="AC244" s="415"/>
      <c r="AG244" s="415"/>
      <c r="AH244" s="405"/>
      <c r="AI244" s="415"/>
      <c r="AJ244" s="415">
        <v>1.0049999999999999</v>
      </c>
      <c r="AK244" s="415">
        <v>1.0049999999999999</v>
      </c>
      <c r="BC244" s="365"/>
      <c r="BD244" s="365"/>
      <c r="BE244" s="365"/>
      <c r="BF244" s="365"/>
      <c r="BG244" s="365"/>
    </row>
    <row r="245" spans="2:59">
      <c r="B245" s="376" t="str">
        <f>Technologies!B$428</f>
        <v>R0,R1,R2,R3,R4,R5,R6</v>
      </c>
      <c r="C245" s="376" t="str">
        <f>'Imp Refined NYC'!E31</f>
        <v>IMPDSLP14</v>
      </c>
      <c r="D245" s="376" t="str">
        <f>'Imp Refined NYC'!F31</f>
        <v>Imported Distillate-Low Sulfur Highway Diesel (500 ppm), PADD 1, Step 4</v>
      </c>
      <c r="E245" s="415" t="str">
        <f>'Imp Refined NYC'!G31</f>
        <v>DSLP1</v>
      </c>
      <c r="F245" s="413">
        <f>'Imp Refined NYC'!M31</f>
        <v>13.848947441175921</v>
      </c>
      <c r="G245" s="413">
        <f>'Imp Refined NYC'!N31</f>
        <v>14.911810641929764</v>
      </c>
      <c r="H245" s="413">
        <f>'Imp Refined NYC'!O31</f>
        <v>14.770028081184146</v>
      </c>
      <c r="I245" s="413">
        <f>'Imp Refined NYC'!P31</f>
        <v>15.937897693553724</v>
      </c>
      <c r="J245" s="413">
        <f>'Imp Refined NYC'!Q31</f>
        <v>16.853408395608202</v>
      </c>
      <c r="K245" s="413">
        <f>'Imp Refined NYC'!R31</f>
        <v>18.107033035406818</v>
      </c>
      <c r="L245" s="413">
        <f>'Imp Refined NYC'!S31</f>
        <v>19.453907343202545</v>
      </c>
      <c r="M245" s="413">
        <f>'Imp Refined NYC'!T31</f>
        <v>20.900967606226441</v>
      </c>
      <c r="N245" s="413">
        <f>'Imp Refined NYC'!U31</f>
        <v>22.455666060791042</v>
      </c>
      <c r="O245" s="413">
        <f>'Imp Refined NYC'!V31</f>
        <v>24.126009270668575</v>
      </c>
      <c r="P245" s="405"/>
      <c r="Q245" s="405">
        <f>'Imp Refined NYC'!AF31</f>
        <v>448635.73896381306</v>
      </c>
      <c r="R245" s="405">
        <f>'Imp Refined NYC'!AG31</f>
        <v>448635.73896381306</v>
      </c>
      <c r="S245" s="405">
        <f>'Imp Refined NYC'!AH31</f>
        <v>448635.73896381306</v>
      </c>
      <c r="T245" s="405">
        <f>'Imp Refined NYC'!AI31</f>
        <v>448635.73896381306</v>
      </c>
      <c r="U245" s="405"/>
      <c r="V245" s="405"/>
      <c r="W245" s="405"/>
      <c r="X245" s="413"/>
      <c r="Y245" s="413"/>
      <c r="Z245" s="413"/>
      <c r="AA245" s="413"/>
      <c r="AB245" s="415"/>
      <c r="AC245" s="415"/>
      <c r="AG245" s="415"/>
      <c r="AH245" s="405"/>
      <c r="AI245" s="415"/>
      <c r="AJ245" s="415">
        <v>1.0049999999999999</v>
      </c>
      <c r="AK245" s="415">
        <v>1.0049999999999999</v>
      </c>
      <c r="BC245" s="365"/>
      <c r="BD245" s="365"/>
      <c r="BE245" s="365"/>
      <c r="BF245" s="365"/>
      <c r="BG245" s="365"/>
    </row>
    <row r="246" spans="2:59">
      <c r="B246" s="376" t="str">
        <f>Technologies!B$429</f>
        <v>R0,R1,R2,R3,R4,R5,R6</v>
      </c>
      <c r="C246" s="376" t="str">
        <f>'Imp Refined NYC'!E32</f>
        <v>IMPDSLP15</v>
      </c>
      <c r="D246" s="376" t="str">
        <f>'Imp Refined NYC'!F32</f>
        <v>Imported Distillate-Low Sulfur Highway Diesel (500 ppm), PADD 1, Step 5</v>
      </c>
      <c r="E246" s="415" t="str">
        <f>'Imp Refined NYC'!G32</f>
        <v>DSLP1</v>
      </c>
      <c r="F246" s="413">
        <f>'Imp Refined NYC'!M32</f>
        <v>16.517093278466696</v>
      </c>
      <c r="G246" s="413">
        <f>'Imp Refined NYC'!N32</f>
        <v>17.784728288540084</v>
      </c>
      <c r="H246" s="413">
        <f>'Imp Refined NYC'!O32</f>
        <v>17.615629821595768</v>
      </c>
      <c r="I246" s="413">
        <f>'Imp Refined NYC'!P32</f>
        <v>19.008501836348476</v>
      </c>
      <c r="J246" s="413">
        <f>'Imp Refined NYC'!Q32</f>
        <v>20.100395334211616</v>
      </c>
      <c r="K246" s="413">
        <f>'Imp Refined NYC'!R32</f>
        <v>21.595543987182442</v>
      </c>
      <c r="L246" s="413">
        <f>'Imp Refined NYC'!S32</f>
        <v>23.201907840516796</v>
      </c>
      <c r="M246" s="413">
        <f>'Imp Refined NYC'!T32</f>
        <v>24.927759530361808</v>
      </c>
      <c r="N246" s="413">
        <f>'Imp Refined NYC'!U32</f>
        <v>26.781987044980138</v>
      </c>
      <c r="O246" s="413">
        <f>'Imp Refined NYC'!V32</f>
        <v>28.774139497127653</v>
      </c>
      <c r="P246" s="405"/>
      <c r="Q246" s="405">
        <f>'Imp Refined NYC'!AF32</f>
        <v>1794542.9558552485</v>
      </c>
      <c r="R246" s="405">
        <f>'Imp Refined NYC'!AG32</f>
        <v>1794542.9558552485</v>
      </c>
      <c r="S246" s="405">
        <f>'Imp Refined NYC'!AH32</f>
        <v>1794542.9558552485</v>
      </c>
      <c r="T246" s="405">
        <f>'Imp Refined NYC'!AI32</f>
        <v>1794542.9558552485</v>
      </c>
      <c r="U246" s="405"/>
      <c r="V246" s="405"/>
      <c r="W246" s="405"/>
      <c r="X246" s="413"/>
      <c r="Y246" s="413"/>
      <c r="Z246" s="413"/>
      <c r="AA246" s="413"/>
      <c r="AB246" s="415"/>
      <c r="AC246" s="415"/>
      <c r="AG246" s="415"/>
      <c r="AH246" s="405"/>
      <c r="AI246" s="415"/>
      <c r="AJ246" s="415">
        <v>1.0049999999999999</v>
      </c>
      <c r="AK246" s="415">
        <v>1.0049999999999999</v>
      </c>
      <c r="BC246" s="365"/>
      <c r="BD246" s="365"/>
      <c r="BE246" s="365"/>
      <c r="BF246" s="365"/>
      <c r="BG246" s="365"/>
    </row>
    <row r="247" spans="2:59">
      <c r="B247" s="376" t="str">
        <f>Technologies!B$430</f>
        <v>R0,R1,R2,R3,R4,R5,R6</v>
      </c>
      <c r="C247" s="376" t="str">
        <f>'Imp Refined NYC'!E33</f>
        <v>IMPRFLP13</v>
      </c>
      <c r="D247" s="376" t="str">
        <f>'Imp Refined NYC'!F33</f>
        <v>Imported Low Sulfur Residual Fuel Oil, PADD 1, Step 3</v>
      </c>
      <c r="E247" s="415" t="str">
        <f>'Imp Refined NYC'!G33</f>
        <v>RFLP1</v>
      </c>
      <c r="F247" s="413">
        <f>'Imp Refined NYC'!M33</f>
        <v>8.7232420491919225</v>
      </c>
      <c r="G247" s="413">
        <f>'Imp Refined NYC'!N33</f>
        <v>9.3927234668040729</v>
      </c>
      <c r="H247" s="413">
        <f>'Imp Refined NYC'!O33</f>
        <v>9.3034167811522082</v>
      </c>
      <c r="I247" s="413">
        <f>'Imp Refined NYC'!P33</f>
        <v>10.039040145589697</v>
      </c>
      <c r="J247" s="413">
        <f>'Imp Refined NYC'!Q33</f>
        <v>10.615706458070751</v>
      </c>
      <c r="K247" s="413">
        <f>'Imp Refined NYC'!R33</f>
        <v>11.405345614276964</v>
      </c>
      <c r="L247" s="413">
        <f>'Imp Refined NYC'!S33</f>
        <v>12.25372132273025</v>
      </c>
      <c r="M247" s="413">
        <f>'Imp Refined NYC'!T33</f>
        <v>13.165202645606362</v>
      </c>
      <c r="N247" s="413">
        <f>'Imp Refined NYC'!U33</f>
        <v>14.144483633585912</v>
      </c>
      <c r="O247" s="413">
        <f>'Imp Refined NYC'!V33</f>
        <v>15.196607499813011</v>
      </c>
      <c r="P247" s="405"/>
      <c r="Q247" s="405">
        <f>'Imp Refined NYC'!AF33</f>
        <v>242109.26101849694</v>
      </c>
      <c r="R247" s="405">
        <f>'Imp Refined NYC'!AG33</f>
        <v>242109.26101849694</v>
      </c>
      <c r="S247" s="405">
        <f>'Imp Refined NYC'!AH33</f>
        <v>242109.26101849694</v>
      </c>
      <c r="T247" s="405">
        <f>'Imp Refined NYC'!AI33</f>
        <v>242109.26101849694</v>
      </c>
      <c r="U247" s="405"/>
      <c r="V247" s="405"/>
      <c r="W247" s="405"/>
      <c r="X247" s="413"/>
      <c r="Y247" s="413"/>
      <c r="Z247" s="413"/>
      <c r="AA247" s="413"/>
      <c r="AB247" s="415"/>
      <c r="AC247" s="415"/>
      <c r="AG247" s="415"/>
      <c r="AH247" s="405"/>
      <c r="AI247" s="415"/>
      <c r="AJ247" s="415">
        <v>1.0049999999999999</v>
      </c>
      <c r="AK247" s="415">
        <v>1.0049999999999999</v>
      </c>
      <c r="BC247" s="365"/>
      <c r="BD247" s="365"/>
      <c r="BE247" s="365"/>
      <c r="BF247" s="365"/>
      <c r="BG247" s="365"/>
    </row>
    <row r="248" spans="2:59">
      <c r="B248" s="376" t="str">
        <f>Technologies!B$431</f>
        <v>R0,R1,R2,R3,R4,R5,R6</v>
      </c>
      <c r="C248" s="376" t="str">
        <f>'Imp Refined NYC'!E34</f>
        <v>IMPRFLP11</v>
      </c>
      <c r="D248" s="376" t="str">
        <f>'Imp Refined NYC'!F34</f>
        <v>Imported Low Sulfur Residual Fuel Oil, PADD 1, Step 1</v>
      </c>
      <c r="E248" s="415" t="str">
        <f>'Imp Refined NYC'!G34</f>
        <v>RFLP1</v>
      </c>
      <c r="F248" s="413">
        <f>'Imp Refined NYC'!M34</f>
        <v>8.2870799467323266</v>
      </c>
      <c r="G248" s="413">
        <f>'Imp Refined NYC'!N34</f>
        <v>8.9230872934638708</v>
      </c>
      <c r="H248" s="413">
        <f>'Imp Refined NYC'!O34</f>
        <v>8.8382459420946002</v>
      </c>
      <c r="I248" s="413">
        <f>'Imp Refined NYC'!P34</f>
        <v>9.5370881383102137</v>
      </c>
      <c r="J248" s="413">
        <f>'Imp Refined NYC'!Q34</f>
        <v>10.084921135167216</v>
      </c>
      <c r="K248" s="413">
        <f>'Imp Refined NYC'!R34</f>
        <v>10.83507833356312</v>
      </c>
      <c r="L248" s="413">
        <f>'Imp Refined NYC'!S34</f>
        <v>11.641035256593742</v>
      </c>
      <c r="M248" s="413">
        <f>'Imp Refined NYC'!T34</f>
        <v>12.506942513326049</v>
      </c>
      <c r="N248" s="413">
        <f>'Imp Refined NYC'!U34</f>
        <v>13.437259451906622</v>
      </c>
      <c r="O248" s="413">
        <f>'Imp Refined NYC'!V34</f>
        <v>14.436777124822365</v>
      </c>
      <c r="P248" s="405"/>
      <c r="Q248" s="405">
        <f>'Imp Refined NYC'!AF34</f>
        <v>1936874.088147975</v>
      </c>
      <c r="R248" s="405">
        <f>'Imp Refined NYC'!AG34</f>
        <v>1936874.088147975</v>
      </c>
      <c r="S248" s="405">
        <f>'Imp Refined NYC'!AH34</f>
        <v>1936874.088147975</v>
      </c>
      <c r="T248" s="405">
        <f>'Imp Refined NYC'!AI34</f>
        <v>1936874.088147975</v>
      </c>
      <c r="U248" s="405"/>
      <c r="V248" s="405"/>
      <c r="W248" s="405"/>
      <c r="X248" s="413"/>
      <c r="Y248" s="413"/>
      <c r="Z248" s="413"/>
      <c r="AA248" s="413"/>
      <c r="AB248" s="415"/>
      <c r="AC248" s="415"/>
      <c r="AG248" s="415"/>
      <c r="AH248" s="405"/>
      <c r="AI248" s="415"/>
      <c r="AJ248" s="415">
        <v>1.0049999999999999</v>
      </c>
      <c r="AK248" s="415">
        <v>1.0049999999999999</v>
      </c>
      <c r="BC248" s="365"/>
      <c r="BD248" s="365"/>
      <c r="BE248" s="365"/>
      <c r="BF248" s="365"/>
      <c r="BG248" s="365"/>
    </row>
    <row r="249" spans="2:59">
      <c r="B249" s="376" t="str">
        <f>Technologies!B$432</f>
        <v>R0,R1,R2,R3,R4,R5,R6</v>
      </c>
      <c r="C249" s="376" t="str">
        <f>'Imp Refined NYC'!E35</f>
        <v>IMPRFLP12</v>
      </c>
      <c r="D249" s="376" t="str">
        <f>'Imp Refined NYC'!F35</f>
        <v>Imported Low Sulfur Residual Fuel Oil, PADD 1, Step 2</v>
      </c>
      <c r="E249" s="415" t="str">
        <f>'Imp Refined NYC'!G35</f>
        <v>RFLP1</v>
      </c>
      <c r="F249" s="413">
        <f>'Imp Refined NYC'!M35</f>
        <v>8.5487772082080831</v>
      </c>
      <c r="G249" s="413">
        <f>'Imp Refined NYC'!N35</f>
        <v>9.2048689974679903</v>
      </c>
      <c r="H249" s="413">
        <f>'Imp Refined NYC'!O35</f>
        <v>9.1173484455291636</v>
      </c>
      <c r="I249" s="413">
        <f>'Imp Refined NYC'!P35</f>
        <v>9.838259342677901</v>
      </c>
      <c r="J249" s="413">
        <f>'Imp Refined NYC'!Q35</f>
        <v>10.403392328909334</v>
      </c>
      <c r="K249" s="413">
        <f>'Imp Refined NYC'!R35</f>
        <v>11.177238701991422</v>
      </c>
      <c r="L249" s="413">
        <f>'Imp Refined NYC'!S35</f>
        <v>12.008646896275643</v>
      </c>
      <c r="M249" s="413">
        <f>'Imp Refined NYC'!T35</f>
        <v>12.901898592694231</v>
      </c>
      <c r="N249" s="413">
        <f>'Imp Refined NYC'!U35</f>
        <v>13.86159396091419</v>
      </c>
      <c r="O249" s="413">
        <f>'Imp Refined NYC'!V35</f>
        <v>14.892675349816747</v>
      </c>
      <c r="P249" s="405"/>
      <c r="Q249" s="405">
        <f>'Imp Refined NYC'!AF35</f>
        <v>242109.26101849647</v>
      </c>
      <c r="R249" s="405">
        <f>'Imp Refined NYC'!AG35</f>
        <v>242109.26101849647</v>
      </c>
      <c r="S249" s="405">
        <f>'Imp Refined NYC'!AH35</f>
        <v>242109.26101849647</v>
      </c>
      <c r="T249" s="405">
        <f>'Imp Refined NYC'!AI35</f>
        <v>242109.26101849647</v>
      </c>
      <c r="U249" s="405"/>
      <c r="V249" s="405"/>
      <c r="W249" s="405"/>
      <c r="X249" s="413"/>
      <c r="Y249" s="413"/>
      <c r="Z249" s="413"/>
      <c r="AA249" s="413"/>
      <c r="AB249" s="415"/>
      <c r="AC249" s="415"/>
      <c r="AG249" s="415"/>
      <c r="AH249" s="405"/>
      <c r="AI249" s="415"/>
      <c r="AJ249" s="415">
        <v>1.0049999999999999</v>
      </c>
      <c r="AK249" s="415">
        <v>1.0049999999999999</v>
      </c>
      <c r="BC249" s="365"/>
      <c r="BD249" s="365"/>
      <c r="BE249" s="365"/>
      <c r="BF249" s="365"/>
      <c r="BG249" s="365"/>
    </row>
    <row r="250" spans="2:59">
      <c r="B250" s="376" t="str">
        <f>Technologies!B$433</f>
        <v>R0,R1,R2,R3,R4,R5,R6</v>
      </c>
      <c r="C250" s="376" t="str">
        <f>'Imp Refined NYC'!E36</f>
        <v>IMPRFLP14</v>
      </c>
      <c r="D250" s="376" t="str">
        <f>'Imp Refined NYC'!F36</f>
        <v>Imported Low Sulfur Residual Fuel Oil, PADD 1, Step 4</v>
      </c>
      <c r="E250" s="415" t="str">
        <f>'Imp Refined NYC'!G36</f>
        <v>RFLP1</v>
      </c>
      <c r="F250" s="413">
        <f>'Imp Refined NYC'!M36</f>
        <v>9.5083338336191972</v>
      </c>
      <c r="G250" s="413">
        <f>'Imp Refined NYC'!N36</f>
        <v>10.238068578816442</v>
      </c>
      <c r="H250" s="413">
        <f>'Imp Refined NYC'!O36</f>
        <v>10.140724291455911</v>
      </c>
      <c r="I250" s="413">
        <f>'Imp Refined NYC'!P36</f>
        <v>10.942553758692773</v>
      </c>
      <c r="J250" s="413">
        <f>'Imp Refined NYC'!Q36</f>
        <v>11.571120039297123</v>
      </c>
      <c r="K250" s="413">
        <f>'Imp Refined NYC'!R36</f>
        <v>12.431826719561895</v>
      </c>
      <c r="L250" s="413">
        <f>'Imp Refined NYC'!S36</f>
        <v>13.356556241775978</v>
      </c>
      <c r="M250" s="413">
        <f>'Imp Refined NYC'!T36</f>
        <v>14.35007088371094</v>
      </c>
      <c r="N250" s="413">
        <f>'Imp Refined NYC'!U36</f>
        <v>15.417487160608649</v>
      </c>
      <c r="O250" s="413">
        <f>'Imp Refined NYC'!V36</f>
        <v>16.564302174796186</v>
      </c>
      <c r="P250" s="405"/>
      <c r="Q250" s="405">
        <f>'Imp Refined NYC'!AF36</f>
        <v>484218.52203699341</v>
      </c>
      <c r="R250" s="405">
        <f>'Imp Refined NYC'!AG36</f>
        <v>484218.52203699341</v>
      </c>
      <c r="S250" s="405">
        <f>'Imp Refined NYC'!AH36</f>
        <v>484218.52203699341</v>
      </c>
      <c r="T250" s="405">
        <f>'Imp Refined NYC'!AI36</f>
        <v>484218.52203699341</v>
      </c>
      <c r="U250" s="405"/>
      <c r="V250" s="405"/>
      <c r="W250" s="405"/>
      <c r="X250" s="413"/>
      <c r="Y250" s="413"/>
      <c r="Z250" s="413"/>
      <c r="AA250" s="413"/>
      <c r="AB250" s="415"/>
      <c r="AC250" s="415"/>
      <c r="AG250" s="415"/>
      <c r="AH250" s="405"/>
      <c r="AI250" s="415"/>
      <c r="AJ250" s="415">
        <v>1.0049999999999999</v>
      </c>
      <c r="AK250" s="415">
        <v>1.0049999999999999</v>
      </c>
      <c r="BC250" s="365"/>
      <c r="BD250" s="365"/>
      <c r="BE250" s="365"/>
      <c r="BF250" s="365"/>
      <c r="BG250" s="365"/>
    </row>
    <row r="251" spans="2:59">
      <c r="B251" s="376" t="str">
        <f>Technologies!B$434</f>
        <v>R0,R1,R2,R3,R4,R5,R6</v>
      </c>
      <c r="C251" s="376" t="str">
        <f>'Imp Refined NYC'!E37</f>
        <v>IMPRFLP15</v>
      </c>
      <c r="D251" s="376" t="str">
        <f>'Imp Refined NYC'!F37</f>
        <v>Imported Low Sulfur Residual Fuel Oil, PADD 1, Step 5</v>
      </c>
      <c r="E251" s="415" t="str">
        <f>'Imp Refined NYC'!G37</f>
        <v>RFLP1</v>
      </c>
      <c r="F251" s="413">
        <f>'Imp Refined NYC'!M37</f>
        <v>11.340214663949503</v>
      </c>
      <c r="G251" s="413">
        <f>'Imp Refined NYC'!N37</f>
        <v>12.2105405068453</v>
      </c>
      <c r="H251" s="413">
        <f>'Imp Refined NYC'!O37</f>
        <v>12.094441815497877</v>
      </c>
      <c r="I251" s="413">
        <f>'Imp Refined NYC'!P37</f>
        <v>13.050752189266612</v>
      </c>
      <c r="J251" s="413">
        <f>'Imp Refined NYC'!Q37</f>
        <v>13.800418395491983</v>
      </c>
      <c r="K251" s="413">
        <f>'Imp Refined NYC'!R37</f>
        <v>14.826949298560061</v>
      </c>
      <c r="L251" s="413">
        <f>'Imp Refined NYC'!S37</f>
        <v>15.929837719549335</v>
      </c>
      <c r="M251" s="413">
        <f>'Imp Refined NYC'!T37</f>
        <v>17.114763439288279</v>
      </c>
      <c r="N251" s="413">
        <f>'Imp Refined NYC'!U37</f>
        <v>18.387828723661695</v>
      </c>
      <c r="O251" s="413">
        <f>'Imp Refined NYC'!V37</f>
        <v>19.755589749756925</v>
      </c>
      <c r="P251" s="405"/>
      <c r="Q251" s="405">
        <f>'Imp Refined NYC'!AF37</f>
        <v>1936874.088147975</v>
      </c>
      <c r="R251" s="405">
        <f>'Imp Refined NYC'!AG37</f>
        <v>1936874.088147975</v>
      </c>
      <c r="S251" s="405">
        <f>'Imp Refined NYC'!AH37</f>
        <v>1936874.088147975</v>
      </c>
      <c r="T251" s="405">
        <f>'Imp Refined NYC'!AI37</f>
        <v>1936874.088147975</v>
      </c>
      <c r="U251" s="405"/>
      <c r="V251" s="405"/>
      <c r="W251" s="405"/>
      <c r="X251" s="413"/>
      <c r="Y251" s="413"/>
      <c r="Z251" s="413"/>
      <c r="AA251" s="413"/>
      <c r="AB251" s="415"/>
      <c r="AC251" s="415"/>
      <c r="AG251" s="415"/>
      <c r="AH251" s="405"/>
      <c r="AI251" s="415"/>
      <c r="AJ251" s="415">
        <v>1.0049999999999999</v>
      </c>
      <c r="AK251" s="415">
        <v>1.0049999999999999</v>
      </c>
      <c r="BC251" s="365"/>
      <c r="BD251" s="365"/>
      <c r="BE251" s="365"/>
      <c r="BF251" s="365"/>
      <c r="BG251" s="365"/>
    </row>
    <row r="252" spans="2:59">
      <c r="B252" s="376" t="str">
        <f>Technologies!B$435</f>
        <v>*R0,R1,R2,R3,R4,R5,R6</v>
      </c>
      <c r="C252" s="376" t="str">
        <f>'Imp Refined NYC'!E38</f>
        <v>IMPRFHP13</v>
      </c>
      <c r="D252" s="376" t="str">
        <f>'Imp Refined NYC'!F38</f>
        <v>Imported High Sulfur Residual Fuel Oil, PADD 1, Step 3</v>
      </c>
      <c r="E252" s="415" t="str">
        <f>'Imp Refined NYC'!G38</f>
        <v>RFHP1</v>
      </c>
      <c r="F252" s="413">
        <f>'Imp Refined NYC'!M38</f>
        <v>7.2524036873386741</v>
      </c>
      <c r="G252" s="413">
        <f>'Imp Refined NYC'!N38</f>
        <v>7.8090028822612618</v>
      </c>
      <c r="H252" s="413">
        <f>'Imp Refined NYC'!O38</f>
        <v>7.7347543250536157</v>
      </c>
      <c r="I252" s="413">
        <f>'Imp Refined NYC'!P38</f>
        <v>8.3463431782178041</v>
      </c>
      <c r="J252" s="413">
        <f>'Imp Refined NYC'!Q38</f>
        <v>8.8257769560973269</v>
      </c>
      <c r="K252" s="413">
        <f>'Imp Refined NYC'!R38</f>
        <v>9.482273920854535</v>
      </c>
      <c r="L252" s="413">
        <f>'Imp Refined NYC'!S38</f>
        <v>10.187603783483434</v>
      </c>
      <c r="M252" s="413">
        <f>'Imp Refined NYC'!T38</f>
        <v>10.945398932315673</v>
      </c>
      <c r="N252" s="413">
        <f>'Imp Refined NYC'!U38</f>
        <v>11.759561947409523</v>
      </c>
      <c r="O252" s="413">
        <f>'Imp Refined NYC'!V38</f>
        <v>12.634285698502648</v>
      </c>
      <c r="P252" s="405"/>
      <c r="Q252" s="405">
        <f>'Imp Refined NYC'!AF38</f>
        <v>242109.26101849694</v>
      </c>
      <c r="R252" s="405">
        <f>'Imp Refined NYC'!AG38</f>
        <v>242109.26101849694</v>
      </c>
      <c r="S252" s="405">
        <f>'Imp Refined NYC'!AH38</f>
        <v>242109.26101849694</v>
      </c>
      <c r="T252" s="405">
        <f>'Imp Refined NYC'!AI38</f>
        <v>242109.26101849694</v>
      </c>
      <c r="U252" s="405"/>
      <c r="V252" s="405"/>
      <c r="W252" s="405"/>
      <c r="X252" s="413"/>
      <c r="Y252" s="413"/>
      <c r="Z252" s="413"/>
      <c r="AA252" s="413"/>
      <c r="AB252" s="415"/>
      <c r="AC252" s="415"/>
      <c r="AG252" s="415"/>
      <c r="AH252" s="405"/>
      <c r="AI252" s="415"/>
      <c r="AJ252" s="415">
        <v>1.0049999999999999</v>
      </c>
      <c r="AK252" s="415">
        <v>1.0049999999999999</v>
      </c>
      <c r="BC252" s="365"/>
      <c r="BD252" s="365"/>
      <c r="BE252" s="365"/>
      <c r="BF252" s="365"/>
      <c r="BG252" s="365"/>
    </row>
    <row r="253" spans="2:59">
      <c r="B253" s="376" t="str">
        <f>Technologies!B$436</f>
        <v>*R0,R1,R2,R3,R4,R5,R6</v>
      </c>
      <c r="C253" s="376" t="str">
        <f>'Imp Refined NYC'!E39</f>
        <v>IMPRFHP11</v>
      </c>
      <c r="D253" s="376" t="str">
        <f>'Imp Refined NYC'!F39</f>
        <v>Imported High Sulfur Residual Fuel Oil, PADD 1, Step 1</v>
      </c>
      <c r="E253" s="415" t="str">
        <f>'Imp Refined NYC'!G39</f>
        <v>RFHP1</v>
      </c>
      <c r="F253" s="413">
        <f>'Imp Refined NYC'!M39</f>
        <v>6.8897835029717411</v>
      </c>
      <c r="G253" s="413">
        <f>'Imp Refined NYC'!N39</f>
        <v>7.4185527381481995</v>
      </c>
      <c r="H253" s="413">
        <f>'Imp Refined NYC'!O39</f>
        <v>7.3480166088009353</v>
      </c>
      <c r="I253" s="413">
        <f>'Imp Refined NYC'!P39</f>
        <v>7.9290260193069155</v>
      </c>
      <c r="J253" s="413">
        <f>'Imp Refined NYC'!Q39</f>
        <v>8.3844881082924623</v>
      </c>
      <c r="K253" s="413">
        <f>'Imp Refined NYC'!R39</f>
        <v>9.0081602248118102</v>
      </c>
      <c r="L253" s="413">
        <f>'Imp Refined NYC'!S39</f>
        <v>9.678223594309264</v>
      </c>
      <c r="M253" s="413">
        <f>'Imp Refined NYC'!T39</f>
        <v>10.398128985699891</v>
      </c>
      <c r="N253" s="413">
        <f>'Imp Refined NYC'!U39</f>
        <v>11.171583850039049</v>
      </c>
      <c r="O253" s="413">
        <f>'Imp Refined NYC'!V39</f>
        <v>12.002571413577517</v>
      </c>
      <c r="P253" s="405"/>
      <c r="Q253" s="405">
        <f>'Imp Refined NYC'!AF39</f>
        <v>1936874.088147975</v>
      </c>
      <c r="R253" s="405">
        <f>'Imp Refined NYC'!AG39</f>
        <v>1936874.088147975</v>
      </c>
      <c r="S253" s="405">
        <f>'Imp Refined NYC'!AH39</f>
        <v>1936874.088147975</v>
      </c>
      <c r="T253" s="405">
        <f>'Imp Refined NYC'!AI39</f>
        <v>1936874.088147975</v>
      </c>
      <c r="U253" s="405"/>
      <c r="V253" s="405"/>
      <c r="W253" s="405"/>
      <c r="X253" s="413"/>
      <c r="Y253" s="413"/>
      <c r="Z253" s="413"/>
      <c r="AA253" s="413"/>
      <c r="AB253" s="415"/>
      <c r="AC253" s="415"/>
      <c r="AG253" s="415"/>
      <c r="AH253" s="405"/>
      <c r="AI253" s="415"/>
      <c r="AJ253" s="415">
        <v>1.0049999999999999</v>
      </c>
      <c r="AK253" s="415">
        <v>1.0049999999999999</v>
      </c>
      <c r="BC253" s="365"/>
      <c r="BD253" s="365"/>
      <c r="BE253" s="365"/>
      <c r="BF253" s="365"/>
      <c r="BG253" s="365"/>
    </row>
    <row r="254" spans="2:59">
      <c r="B254" s="376" t="str">
        <f>Technologies!B$437</f>
        <v>*R0,R1,R2,R3,R4,R5,R6</v>
      </c>
      <c r="C254" s="376" t="str">
        <f>'Imp Refined NYC'!E40</f>
        <v>IMPRFHP12</v>
      </c>
      <c r="D254" s="376" t="str">
        <f>'Imp Refined NYC'!F40</f>
        <v>Imported High Sulfur Residual Fuel Oil, PADD 1, Step 2</v>
      </c>
      <c r="E254" s="415" t="str">
        <f>'Imp Refined NYC'!G40</f>
        <v>RFHP1</v>
      </c>
      <c r="F254" s="413">
        <f>'Imp Refined NYC'!M40</f>
        <v>7.1073556135919027</v>
      </c>
      <c r="G254" s="413">
        <f>'Imp Refined NYC'!N40</f>
        <v>7.652822824616039</v>
      </c>
      <c r="H254" s="413">
        <f>'Imp Refined NYC'!O40</f>
        <v>7.5800592385525452</v>
      </c>
      <c r="I254" s="413">
        <f>'Imp Refined NYC'!P40</f>
        <v>8.1794163146534515</v>
      </c>
      <c r="J254" s="413">
        <f>'Imp Refined NYC'!Q40</f>
        <v>8.649261416975385</v>
      </c>
      <c r="K254" s="413">
        <f>'Imp Refined NYC'!R40</f>
        <v>9.292628442437449</v>
      </c>
      <c r="L254" s="413">
        <f>'Imp Refined NYC'!S40</f>
        <v>9.9838517078137698</v>
      </c>
      <c r="M254" s="413">
        <f>'Imp Refined NYC'!T40</f>
        <v>10.726490953669364</v>
      </c>
      <c r="N254" s="413">
        <f>'Imp Refined NYC'!U40</f>
        <v>11.524370708461337</v>
      </c>
      <c r="O254" s="413">
        <f>'Imp Refined NYC'!V40</f>
        <v>12.381599984532599</v>
      </c>
      <c r="P254" s="405"/>
      <c r="Q254" s="405">
        <f>'Imp Refined NYC'!AF40</f>
        <v>242109.26101849647</v>
      </c>
      <c r="R254" s="405">
        <f>'Imp Refined NYC'!AG40</f>
        <v>242109.26101849647</v>
      </c>
      <c r="S254" s="405">
        <f>'Imp Refined NYC'!AH40</f>
        <v>242109.26101849647</v>
      </c>
      <c r="T254" s="405">
        <f>'Imp Refined NYC'!AI40</f>
        <v>242109.26101849647</v>
      </c>
      <c r="U254" s="405"/>
      <c r="V254" s="405"/>
      <c r="W254" s="405"/>
      <c r="X254" s="413"/>
      <c r="Y254" s="413"/>
      <c r="Z254" s="413"/>
      <c r="AA254" s="413"/>
      <c r="AB254" s="415"/>
      <c r="AC254" s="415"/>
      <c r="AG254" s="415"/>
      <c r="AH254" s="405"/>
      <c r="AI254" s="415"/>
      <c r="AJ254" s="415">
        <v>1.0049999999999999</v>
      </c>
      <c r="AK254" s="415">
        <v>1.0049999999999999</v>
      </c>
      <c r="BC254" s="365"/>
      <c r="BD254" s="365"/>
      <c r="BE254" s="365"/>
      <c r="BF254" s="365"/>
      <c r="BG254" s="365"/>
    </row>
    <row r="255" spans="2:59">
      <c r="B255" s="376" t="str">
        <f>Technologies!B$438</f>
        <v>*R0,R1,R2,R3,R4,R5,R6</v>
      </c>
      <c r="C255" s="376" t="str">
        <f>'Imp Refined NYC'!E41</f>
        <v>IMPRFHP14</v>
      </c>
      <c r="D255" s="376" t="str">
        <f>'Imp Refined NYC'!F41</f>
        <v>Imported High Sulfur Residual Fuel Oil, PADD 1, Step 4</v>
      </c>
      <c r="E255" s="415" t="str">
        <f>'Imp Refined NYC'!G41</f>
        <v>RFHP1</v>
      </c>
      <c r="F255" s="413">
        <f>'Imp Refined NYC'!M41</f>
        <v>7.9051200191991562</v>
      </c>
      <c r="G255" s="413">
        <f>'Imp Refined NYC'!N41</f>
        <v>8.511813141664776</v>
      </c>
      <c r="H255" s="413">
        <f>'Imp Refined NYC'!O41</f>
        <v>8.4308822143084416</v>
      </c>
      <c r="I255" s="413">
        <f>'Imp Refined NYC'!P41</f>
        <v>9.0975140642574086</v>
      </c>
      <c r="J255" s="413">
        <f>'Imp Refined NYC'!Q41</f>
        <v>9.6200968821460879</v>
      </c>
      <c r="K255" s="413">
        <f>'Imp Refined NYC'!R41</f>
        <v>10.335678573731444</v>
      </c>
      <c r="L255" s="413">
        <f>'Imp Refined NYC'!S41</f>
        <v>11.104488123996944</v>
      </c>
      <c r="M255" s="413">
        <f>'Imp Refined NYC'!T41</f>
        <v>11.930484836224085</v>
      </c>
      <c r="N255" s="413">
        <f>'Imp Refined NYC'!U41</f>
        <v>12.817922522676382</v>
      </c>
      <c r="O255" s="413">
        <f>'Imp Refined NYC'!V41</f>
        <v>13.771371411367888</v>
      </c>
      <c r="P255" s="405"/>
      <c r="Q255" s="405">
        <f>'Imp Refined NYC'!AF41</f>
        <v>484218.52203699341</v>
      </c>
      <c r="R255" s="405">
        <f>'Imp Refined NYC'!AG41</f>
        <v>484218.52203699341</v>
      </c>
      <c r="S255" s="405">
        <f>'Imp Refined NYC'!AH41</f>
        <v>484218.52203699341</v>
      </c>
      <c r="T255" s="405">
        <f>'Imp Refined NYC'!AI41</f>
        <v>484218.52203699341</v>
      </c>
      <c r="U255" s="405"/>
      <c r="V255" s="405"/>
      <c r="W255" s="405"/>
      <c r="X255" s="413"/>
      <c r="Y255" s="413"/>
      <c r="Z255" s="413"/>
      <c r="AA255" s="413"/>
      <c r="AB255" s="415"/>
      <c r="AC255" s="415"/>
      <c r="AG255" s="415"/>
      <c r="AH255" s="405"/>
      <c r="AI255" s="415"/>
      <c r="AJ255" s="415">
        <v>1.0049999999999999</v>
      </c>
      <c r="AK255" s="415">
        <v>1.0049999999999999</v>
      </c>
      <c r="BC255" s="365"/>
      <c r="BD255" s="365"/>
      <c r="BE255" s="365"/>
      <c r="BF255" s="365"/>
      <c r="BG255" s="365"/>
    </row>
    <row r="256" spans="2:59">
      <c r="B256" s="376" t="str">
        <f>Technologies!B$439</f>
        <v>*R0,R1,R2,R3,R4,R5,R6</v>
      </c>
      <c r="C256" s="376" t="str">
        <f>'Imp Refined NYC'!E42</f>
        <v>IMPRFHP15</v>
      </c>
      <c r="D256" s="376" t="str">
        <f>'Imp Refined NYC'!F42</f>
        <v>Imported High Sulfur Residual Fuel Oil, PADD 1, Step 5</v>
      </c>
      <c r="E256" s="415" t="str">
        <f>'Imp Refined NYC'!G42</f>
        <v>RFHP1</v>
      </c>
      <c r="F256" s="413">
        <f>'Imp Refined NYC'!M42</f>
        <v>9.4281247935402774</v>
      </c>
      <c r="G256" s="413">
        <f>'Imp Refined NYC'!N42</f>
        <v>10.151703746939642</v>
      </c>
      <c r="H256" s="413">
        <f>'Imp Refined NYC'!O42</f>
        <v>10.055180622569701</v>
      </c>
      <c r="I256" s="413">
        <f>'Imp Refined NYC'!P42</f>
        <v>10.850246131683146</v>
      </c>
      <c r="J256" s="413">
        <f>'Imp Refined NYC'!Q42</f>
        <v>11.473510042926526</v>
      </c>
      <c r="K256" s="413">
        <f>'Imp Refined NYC'!R42</f>
        <v>12.326956097110896</v>
      </c>
      <c r="L256" s="413">
        <f>'Imp Refined NYC'!S42</f>
        <v>13.243884918528465</v>
      </c>
      <c r="M256" s="413">
        <f>'Imp Refined NYC'!T42</f>
        <v>14.229018612010377</v>
      </c>
      <c r="N256" s="413">
        <f>'Imp Refined NYC'!U42</f>
        <v>15.287430531632381</v>
      </c>
      <c r="O256" s="413">
        <f>'Imp Refined NYC'!V42</f>
        <v>16.424571408053442</v>
      </c>
      <c r="P256" s="405"/>
      <c r="Q256" s="405">
        <f>'Imp Refined NYC'!AF42</f>
        <v>1936874.088147975</v>
      </c>
      <c r="R256" s="405">
        <f>'Imp Refined NYC'!AG42</f>
        <v>1936874.088147975</v>
      </c>
      <c r="S256" s="405">
        <f>'Imp Refined NYC'!AH42</f>
        <v>1936874.088147975</v>
      </c>
      <c r="T256" s="405">
        <f>'Imp Refined NYC'!AI42</f>
        <v>1936874.088147975</v>
      </c>
      <c r="U256" s="405"/>
      <c r="V256" s="405"/>
      <c r="W256" s="405"/>
      <c r="X256" s="413"/>
      <c r="Y256" s="413"/>
      <c r="Z256" s="413"/>
      <c r="AA256" s="413"/>
      <c r="AB256" s="415"/>
      <c r="AC256" s="415"/>
      <c r="AG256" s="415"/>
      <c r="AH256" s="405"/>
      <c r="AI256" s="415"/>
      <c r="AJ256" s="415">
        <v>1.0049999999999999</v>
      </c>
      <c r="AK256" s="415">
        <v>1.0049999999999999</v>
      </c>
      <c r="BC256" s="365"/>
      <c r="BD256" s="365"/>
      <c r="BE256" s="365"/>
      <c r="BF256" s="365"/>
      <c r="BG256" s="365"/>
    </row>
    <row r="257" spans="2:59">
      <c r="B257" s="376" t="str">
        <f>Technologies!B$440</f>
        <v>*R0,R1,R2,R3,R4,R5,R6</v>
      </c>
      <c r="C257" s="376" t="str">
        <f>'Imp Refined NYC'!E48</f>
        <v>IMPLPGP13</v>
      </c>
      <c r="D257" s="376" t="str">
        <f>'Imp Refined NYC'!F48</f>
        <v>Imported LPG, PADD 1, Step 3</v>
      </c>
      <c r="E257" s="415" t="str">
        <f>'Imp Refined NYC'!G48</f>
        <v>LPGP1</v>
      </c>
      <c r="F257" s="413">
        <f>'Imp Refined NYC'!M48</f>
        <v>12.818628614646682</v>
      </c>
      <c r="G257" s="413">
        <f>'Imp Refined NYC'!N48</f>
        <v>13.80241808287224</v>
      </c>
      <c r="H257" s="413">
        <f>'Imp Refined NYC'!O48</f>
        <v>13.671183705822909</v>
      </c>
      <c r="I257" s="413">
        <f>'Imp Refined NYC'!P48</f>
        <v>14.7521674336394</v>
      </c>
      <c r="J257" s="413">
        <f>'Imp Refined NYC'!Q48</f>
        <v>15.599566973006439</v>
      </c>
      <c r="K257" s="413">
        <f>'Imp Refined NYC'!R48</f>
        <v>16.759925819626783</v>
      </c>
      <c r="L257" s="413">
        <f>'Imp Refined NYC'!S48</f>
        <v>18.006596847557031</v>
      </c>
      <c r="M257" s="413">
        <f>'Imp Refined NYC'!T48</f>
        <v>19.346000305726356</v>
      </c>
      <c r="N257" s="413">
        <f>'Imp Refined NYC'!U48</f>
        <v>20.785034007130641</v>
      </c>
      <c r="O257" s="413">
        <f>'Imp Refined NYC'!V48</f>
        <v>22.331108851978119</v>
      </c>
      <c r="P257" s="405"/>
      <c r="Q257" s="405">
        <f>'Imp Refined NYC'!AF48</f>
        <v>136978.31102955202</v>
      </c>
      <c r="R257" s="405">
        <f>'Imp Refined NYC'!AG48</f>
        <v>136978.31102955202</v>
      </c>
      <c r="S257" s="405">
        <f>'Imp Refined NYC'!AH48</f>
        <v>136978.31102955202</v>
      </c>
      <c r="T257" s="405">
        <f>'Imp Refined NYC'!AI48</f>
        <v>136978.31102955202</v>
      </c>
      <c r="U257" s="405"/>
      <c r="V257" s="405"/>
      <c r="W257" s="405"/>
      <c r="X257" s="413"/>
      <c r="Y257" s="413"/>
      <c r="Z257" s="413"/>
      <c r="AA257" s="413"/>
      <c r="AB257" s="415"/>
      <c r="AC257" s="415"/>
      <c r="AG257" s="415"/>
      <c r="AH257" s="405"/>
      <c r="AI257" s="415"/>
      <c r="AJ257" s="415">
        <v>1.0049999999999999</v>
      </c>
      <c r="AK257" s="415">
        <v>1.0049999999999999</v>
      </c>
      <c r="BC257" s="365"/>
      <c r="BD257" s="365"/>
      <c r="BE257" s="365"/>
      <c r="BF257" s="365"/>
      <c r="BG257" s="365"/>
    </row>
    <row r="258" spans="2:59">
      <c r="B258" s="376" t="str">
        <f>Technologies!B$441</f>
        <v>*R0,R1,R2,R3,R4,R5,R6</v>
      </c>
      <c r="C258" s="376" t="str">
        <f>'Imp Refined NYC'!E49</f>
        <v>IMPLPGP11</v>
      </c>
      <c r="D258" s="376" t="str">
        <f>'Imp Refined NYC'!F49</f>
        <v>Imported LPG, PADD 1, Step 1</v>
      </c>
      <c r="E258" s="415" t="str">
        <f>'Imp Refined NYC'!G49</f>
        <v>LPGP1</v>
      </c>
      <c r="F258" s="413">
        <f>'Imp Refined NYC'!M49</f>
        <v>12.177697183914349</v>
      </c>
      <c r="G258" s="413">
        <f>'Imp Refined NYC'!N49</f>
        <v>13.112297178728628</v>
      </c>
      <c r="H258" s="413">
        <f>'Imp Refined NYC'!O49</f>
        <v>12.987624520531762</v>
      </c>
      <c r="I258" s="413">
        <f>'Imp Refined NYC'!P49</f>
        <v>14.014559061957428</v>
      </c>
      <c r="J258" s="413">
        <f>'Imp Refined NYC'!Q49</f>
        <v>14.819588624356115</v>
      </c>
      <c r="K258" s="413">
        <f>'Imp Refined NYC'!R49</f>
        <v>15.921929528645443</v>
      </c>
      <c r="L258" s="413">
        <f>'Imp Refined NYC'!S49</f>
        <v>17.106267005179177</v>
      </c>
      <c r="M258" s="413">
        <f>'Imp Refined NYC'!T49</f>
        <v>18.378700290440037</v>
      </c>
      <c r="N258" s="413">
        <f>'Imp Refined NYC'!U49</f>
        <v>19.745782306774107</v>
      </c>
      <c r="O258" s="413">
        <f>'Imp Refined NYC'!V49</f>
        <v>21.21455340937921</v>
      </c>
      <c r="P258" s="405"/>
      <c r="Q258" s="405">
        <f>'Imp Refined NYC'!AF49</f>
        <v>1095826.4882364159</v>
      </c>
      <c r="R258" s="405">
        <f>'Imp Refined NYC'!AG49</f>
        <v>1095826.4882364159</v>
      </c>
      <c r="S258" s="405">
        <f>'Imp Refined NYC'!AH49</f>
        <v>1095826.4882364159</v>
      </c>
      <c r="T258" s="405">
        <f>'Imp Refined NYC'!AI49</f>
        <v>1095826.4882364159</v>
      </c>
      <c r="U258" s="405"/>
      <c r="V258" s="405"/>
      <c r="W258" s="405"/>
      <c r="X258" s="413"/>
      <c r="Y258" s="413"/>
      <c r="Z258" s="413"/>
      <c r="AA258" s="413"/>
      <c r="AB258" s="415"/>
      <c r="AC258" s="415"/>
      <c r="AG258" s="415"/>
      <c r="AH258" s="405"/>
      <c r="AI258" s="415"/>
      <c r="AJ258" s="415">
        <v>1.0049999999999999</v>
      </c>
      <c r="AK258" s="415">
        <v>1.0049999999999999</v>
      </c>
      <c r="BC258" s="365"/>
      <c r="BD258" s="365"/>
      <c r="BE258" s="365"/>
      <c r="BF258" s="365"/>
      <c r="BG258" s="365"/>
    </row>
    <row r="259" spans="2:59">
      <c r="B259" s="376" t="str">
        <f>Technologies!B$442</f>
        <v>*R0,R1,R2,R3,R4,R5,R6</v>
      </c>
      <c r="C259" s="376" t="str">
        <f>'Imp Refined NYC'!E50</f>
        <v>IMPLPGP12</v>
      </c>
      <c r="D259" s="376" t="str">
        <f>'Imp Refined NYC'!F50</f>
        <v>Imported LPG, PADD 1, Step 2</v>
      </c>
      <c r="E259" s="415" t="str">
        <f>'Imp Refined NYC'!G50</f>
        <v>LPGP1</v>
      </c>
      <c r="F259" s="413">
        <f>'Imp Refined NYC'!M50</f>
        <v>12.56225604235375</v>
      </c>
      <c r="G259" s="413">
        <f>'Imp Refined NYC'!N50</f>
        <v>13.526369721214797</v>
      </c>
      <c r="H259" s="413">
        <f>'Imp Refined NYC'!O50</f>
        <v>13.397760031706452</v>
      </c>
      <c r="I259" s="413">
        <f>'Imp Refined NYC'!P50</f>
        <v>14.457124084966614</v>
      </c>
      <c r="J259" s="413">
        <f>'Imp Refined NYC'!Q50</f>
        <v>15.287575633546313</v>
      </c>
      <c r="K259" s="413">
        <f>'Imp Refined NYC'!R50</f>
        <v>16.424727303234249</v>
      </c>
      <c r="L259" s="413">
        <f>'Imp Refined NYC'!S50</f>
        <v>17.646464910605893</v>
      </c>
      <c r="M259" s="413">
        <f>'Imp Refined NYC'!T50</f>
        <v>18.959080299611831</v>
      </c>
      <c r="N259" s="413">
        <f>'Imp Refined NYC'!U50</f>
        <v>20.369333326988031</v>
      </c>
      <c r="O259" s="413">
        <f>'Imp Refined NYC'!V50</f>
        <v>21.884486674938557</v>
      </c>
      <c r="P259" s="405"/>
      <c r="Q259" s="405">
        <f>'Imp Refined NYC'!AF50</f>
        <v>136978.31102955178</v>
      </c>
      <c r="R259" s="405">
        <f>'Imp Refined NYC'!AG50</f>
        <v>136978.31102955178</v>
      </c>
      <c r="S259" s="405">
        <f>'Imp Refined NYC'!AH50</f>
        <v>136978.31102955178</v>
      </c>
      <c r="T259" s="405">
        <f>'Imp Refined NYC'!AI50</f>
        <v>136978.31102955178</v>
      </c>
      <c r="U259" s="405"/>
      <c r="V259" s="405"/>
      <c r="W259" s="405"/>
      <c r="X259" s="413"/>
      <c r="Y259" s="413"/>
      <c r="Z259" s="413"/>
      <c r="AA259" s="413"/>
      <c r="AB259" s="415"/>
      <c r="AC259" s="415"/>
      <c r="AG259" s="415"/>
      <c r="AH259" s="405"/>
      <c r="AI259" s="415"/>
      <c r="AJ259" s="415">
        <v>1.0049999999999999</v>
      </c>
      <c r="AK259" s="415">
        <v>1.0049999999999999</v>
      </c>
      <c r="BC259" s="365"/>
      <c r="BD259" s="365"/>
      <c r="BE259" s="365"/>
      <c r="BF259" s="365"/>
      <c r="BG259" s="365"/>
    </row>
    <row r="260" spans="2:59">
      <c r="B260" s="376" t="str">
        <f>Technologies!B$443</f>
        <v>*R0,R1,R2,R3,R4,R5,R6</v>
      </c>
      <c r="C260" s="376" t="str">
        <f>'Imp Refined NYC'!E51</f>
        <v>IMPLPGP14</v>
      </c>
      <c r="D260" s="376" t="str">
        <f>'Imp Refined NYC'!F51</f>
        <v>Imported LPG, PADD 1, Step 4</v>
      </c>
      <c r="E260" s="415" t="str">
        <f>'Imp Refined NYC'!G51</f>
        <v>LPGP1</v>
      </c>
      <c r="F260" s="413">
        <f>'Imp Refined NYC'!M51</f>
        <v>13.972305189964885</v>
      </c>
      <c r="G260" s="413">
        <f>'Imp Refined NYC'!N51</f>
        <v>15.044635710330743</v>
      </c>
      <c r="H260" s="413">
        <f>'Imp Refined NYC'!O51</f>
        <v>14.901590239346971</v>
      </c>
      <c r="I260" s="413">
        <f>'Imp Refined NYC'!P51</f>
        <v>16.079862502666945</v>
      </c>
      <c r="J260" s="413">
        <f>'Imp Refined NYC'!Q51</f>
        <v>17.003528000577017</v>
      </c>
      <c r="K260" s="413">
        <f>'Imp Refined NYC'!R51</f>
        <v>18.268319143393192</v>
      </c>
      <c r="L260" s="413">
        <f>'Imp Refined NYC'!S51</f>
        <v>19.627190563837161</v>
      </c>
      <c r="M260" s="413">
        <f>'Imp Refined NYC'!T51</f>
        <v>21.087140333241724</v>
      </c>
      <c r="N260" s="413">
        <f>'Imp Refined NYC'!U51</f>
        <v>22.655687067772394</v>
      </c>
      <c r="O260" s="413">
        <f>'Imp Refined NYC'!V51</f>
        <v>24.340908648656143</v>
      </c>
      <c r="P260" s="405"/>
      <c r="Q260" s="405">
        <f>'Imp Refined NYC'!AF51</f>
        <v>273956.6220591045</v>
      </c>
      <c r="R260" s="405">
        <f>'Imp Refined NYC'!AG51</f>
        <v>273956.6220591045</v>
      </c>
      <c r="S260" s="405">
        <f>'Imp Refined NYC'!AH51</f>
        <v>273956.6220591045</v>
      </c>
      <c r="T260" s="405">
        <f>'Imp Refined NYC'!AI51</f>
        <v>273956.6220591045</v>
      </c>
      <c r="U260" s="405"/>
      <c r="V260" s="405"/>
      <c r="W260" s="405"/>
      <c r="X260" s="413"/>
      <c r="Y260" s="413"/>
      <c r="Z260" s="413"/>
      <c r="AA260" s="413"/>
      <c r="AB260" s="415"/>
      <c r="AC260" s="415"/>
      <c r="AG260" s="415"/>
      <c r="AH260" s="405"/>
      <c r="AI260" s="415"/>
      <c r="AJ260" s="415">
        <v>1.0049999999999999</v>
      </c>
      <c r="AK260" s="415">
        <v>1.0049999999999999</v>
      </c>
      <c r="BC260" s="365"/>
      <c r="BD260" s="365"/>
      <c r="BE260" s="365"/>
      <c r="BF260" s="365"/>
      <c r="BG260" s="365"/>
    </row>
    <row r="261" spans="2:59">
      <c r="B261" s="376" t="str">
        <f>Technologies!B$444</f>
        <v>*R0,R1,R2,R3,R4,R5,R6</v>
      </c>
      <c r="C261" s="376" t="str">
        <f>'Imp Refined NYC'!E52</f>
        <v>IMPLPGP15</v>
      </c>
      <c r="D261" s="376" t="str">
        <f>'Imp Refined NYC'!F52</f>
        <v>Imported LPG, PADD 1, Step 5</v>
      </c>
      <c r="E261" s="415" t="str">
        <f>'Imp Refined NYC'!G52</f>
        <v>LPGP1</v>
      </c>
      <c r="F261" s="413">
        <f>'Imp Refined NYC'!M52</f>
        <v>16.664217199040689</v>
      </c>
      <c r="G261" s="413">
        <f>'Imp Refined NYC'!N52</f>
        <v>17.943143507733915</v>
      </c>
      <c r="H261" s="413">
        <f>'Imp Refined NYC'!O52</f>
        <v>17.772538817569782</v>
      </c>
      <c r="I261" s="413">
        <f>'Imp Refined NYC'!P52</f>
        <v>19.177817663731219</v>
      </c>
      <c r="J261" s="413">
        <f>'Imp Refined NYC'!Q52</f>
        <v>20.279437064908372</v>
      </c>
      <c r="K261" s="413">
        <f>'Imp Refined NYC'!R52</f>
        <v>21.787903565514821</v>
      </c>
      <c r="L261" s="413">
        <f>'Imp Refined NYC'!S52</f>
        <v>23.408575901824143</v>
      </c>
      <c r="M261" s="413">
        <f>'Imp Refined NYC'!T52</f>
        <v>25.149800397444267</v>
      </c>
      <c r="N261" s="413">
        <f>'Imp Refined NYC'!U52</f>
        <v>27.020544209269836</v>
      </c>
      <c r="O261" s="413">
        <f>'Imp Refined NYC'!V52</f>
        <v>29.030441507571556</v>
      </c>
      <c r="P261" s="405"/>
      <c r="Q261" s="405">
        <f>'Imp Refined NYC'!AF52</f>
        <v>1095826.4882364152</v>
      </c>
      <c r="R261" s="405">
        <f>'Imp Refined NYC'!AG52</f>
        <v>1095826.4882364152</v>
      </c>
      <c r="S261" s="405">
        <f>'Imp Refined NYC'!AH52</f>
        <v>1095826.4882364152</v>
      </c>
      <c r="T261" s="405">
        <f>'Imp Refined NYC'!AI52</f>
        <v>1095826.4882364152</v>
      </c>
      <c r="U261" s="405"/>
      <c r="V261" s="405"/>
      <c r="W261" s="405"/>
      <c r="X261" s="413"/>
      <c r="Y261" s="413"/>
      <c r="Z261" s="413"/>
      <c r="AA261" s="413"/>
      <c r="AB261" s="415"/>
      <c r="AC261" s="415"/>
      <c r="AG261" s="415"/>
      <c r="AH261" s="405"/>
      <c r="AI261" s="415"/>
      <c r="AJ261" s="415">
        <v>1.0049999999999999</v>
      </c>
      <c r="AK261" s="415">
        <v>1.0049999999999999</v>
      </c>
      <c r="BC261" s="365"/>
      <c r="BD261" s="365"/>
      <c r="BE261" s="365"/>
      <c r="BF261" s="365"/>
      <c r="BG261" s="365"/>
    </row>
    <row r="262" spans="2:59">
      <c r="B262" s="376" t="str">
        <f>Technologies!B$445</f>
        <v>*R0,R1,R2,R3,R4,R5,R6</v>
      </c>
      <c r="C262" s="376" t="str">
        <f>'Imp Refined NYC'!E53</f>
        <v>IMPPFSP13</v>
      </c>
      <c r="D262" s="376" t="str">
        <f>'Imp Refined NYC'!F53</f>
        <v>Imported Petrochemical Feedstocks, PADD 1, Step 3</v>
      </c>
      <c r="E262" s="415" t="str">
        <f>'Imp Refined NYC'!G53</f>
        <v>PFSP1</v>
      </c>
      <c r="F262" s="413">
        <f>'Imp Refined NYC'!M53</f>
        <v>6.4601411792285983</v>
      </c>
      <c r="G262" s="413">
        <f>'Imp Refined NYC'!N53</f>
        <v>6.9559367160548682</v>
      </c>
      <c r="H262" s="413">
        <f>'Imp Refined NYC'!O53</f>
        <v>6.8897991728906867</v>
      </c>
      <c r="I262" s="413">
        <f>'Imp Refined NYC'!P53</f>
        <v>7.4345772224056059</v>
      </c>
      <c r="J262" s="413">
        <f>'Imp Refined NYC'!Q53</f>
        <v>7.8616369979941858</v>
      </c>
      <c r="K262" s="413">
        <f>'Imp Refined NYC'!R53</f>
        <v>8.4464173355077641</v>
      </c>
      <c r="L262" s="413">
        <f>'Imp Refined NYC'!S53</f>
        <v>9.0746959982721442</v>
      </c>
      <c r="M262" s="413">
        <f>'Imp Refined NYC'!T53</f>
        <v>9.7497085675445039</v>
      </c>
      <c r="N262" s="413">
        <f>'Imp Refined NYC'!U53</f>
        <v>10.474931300194505</v>
      </c>
      <c r="O262" s="413">
        <f>'Imp Refined NYC'!V53</f>
        <v>11.254099031129188</v>
      </c>
      <c r="P262" s="405"/>
      <c r="Q262" s="405">
        <f>'Imp Refined NYC'!AF53</f>
        <v>219157.59574618516</v>
      </c>
      <c r="R262" s="405">
        <f>'Imp Refined NYC'!AG53</f>
        <v>219157.59574618516</v>
      </c>
      <c r="S262" s="405">
        <f>'Imp Refined NYC'!AH53</f>
        <v>219157.59574618516</v>
      </c>
      <c r="T262" s="405">
        <f>'Imp Refined NYC'!AI53</f>
        <v>219157.59574618516</v>
      </c>
      <c r="U262" s="405"/>
      <c r="V262" s="405"/>
      <c r="W262" s="405"/>
      <c r="X262" s="413"/>
      <c r="Y262" s="413"/>
      <c r="Z262" s="413"/>
      <c r="AA262" s="413"/>
      <c r="AB262" s="415"/>
      <c r="AC262" s="415"/>
      <c r="AG262" s="415"/>
      <c r="AH262" s="405"/>
      <c r="AI262" s="415"/>
      <c r="AJ262" s="415">
        <v>1.0049999999999999</v>
      </c>
      <c r="AK262" s="415">
        <v>1.0049999999999999</v>
      </c>
      <c r="BC262" s="365"/>
      <c r="BD262" s="365"/>
      <c r="BE262" s="365"/>
      <c r="BF262" s="365"/>
      <c r="BG262" s="365"/>
    </row>
    <row r="263" spans="2:59">
      <c r="B263" s="376" t="str">
        <f>Technologies!B$446</f>
        <v>*R0,R1,R2,R3,R4,R5,R6</v>
      </c>
      <c r="C263" s="376" t="str">
        <f>'Imp Refined NYC'!E54</f>
        <v>IMPPFSP11</v>
      </c>
      <c r="D263" s="376" t="str">
        <f>'Imp Refined NYC'!F54</f>
        <v>Imported Petrochemical Feedstocks, PADD 1, Step 1</v>
      </c>
      <c r="E263" s="415" t="str">
        <f>'Imp Refined NYC'!G54</f>
        <v>PFSP1</v>
      </c>
      <c r="F263" s="413">
        <f>'Imp Refined NYC'!M54</f>
        <v>6.1371341202671683</v>
      </c>
      <c r="G263" s="413">
        <f>'Imp Refined NYC'!N54</f>
        <v>6.6081398802521241</v>
      </c>
      <c r="H263" s="413">
        <f>'Imp Refined NYC'!O54</f>
        <v>6.545309214246152</v>
      </c>
      <c r="I263" s="413">
        <f>'Imp Refined NYC'!P54</f>
        <v>7.062848361285325</v>
      </c>
      <c r="J263" s="413">
        <f>'Imp Refined NYC'!Q54</f>
        <v>7.4685551480944756</v>
      </c>
      <c r="K263" s="413">
        <f>'Imp Refined NYC'!R54</f>
        <v>8.0240964687323739</v>
      </c>
      <c r="L263" s="413">
        <f>'Imp Refined NYC'!S54</f>
        <v>8.6209611983585344</v>
      </c>
      <c r="M263" s="413">
        <f>'Imp Refined NYC'!T54</f>
        <v>9.2622231391672756</v>
      </c>
      <c r="N263" s="413">
        <f>'Imp Refined NYC'!U54</f>
        <v>9.9511847351847766</v>
      </c>
      <c r="O263" s="413">
        <f>'Imp Refined NYC'!V54</f>
        <v>10.691394079572724</v>
      </c>
      <c r="P263" s="405"/>
      <c r="Q263" s="405">
        <f>'Imp Refined NYC'!AF54</f>
        <v>1753260.7659694806</v>
      </c>
      <c r="R263" s="405">
        <f>'Imp Refined NYC'!AG54</f>
        <v>1753260.7659694806</v>
      </c>
      <c r="S263" s="405">
        <f>'Imp Refined NYC'!AH54</f>
        <v>1753260.7659694806</v>
      </c>
      <c r="T263" s="405">
        <f>'Imp Refined NYC'!AI54</f>
        <v>1753260.7659694806</v>
      </c>
      <c r="U263" s="405"/>
      <c r="V263" s="405"/>
      <c r="W263" s="405"/>
      <c r="X263" s="413"/>
      <c r="Y263" s="413"/>
      <c r="Z263" s="413"/>
      <c r="AA263" s="413"/>
      <c r="AB263" s="415"/>
      <c r="AC263" s="415"/>
      <c r="AG263" s="415"/>
      <c r="AH263" s="405"/>
      <c r="AI263" s="415"/>
      <c r="AJ263" s="415">
        <v>1.0049999999999999</v>
      </c>
      <c r="AK263" s="415">
        <v>1.0049999999999999</v>
      </c>
      <c r="BC263" s="365"/>
      <c r="BD263" s="365"/>
      <c r="BE263" s="365"/>
      <c r="BF263" s="365"/>
      <c r="BG263" s="365"/>
    </row>
    <row r="264" spans="2:59">
      <c r="B264" s="376" t="str">
        <f>Technologies!B$447</f>
        <v>*R0,R1,R2,R3,R4,R5,R6</v>
      </c>
      <c r="C264" s="376" t="str">
        <f>'Imp Refined NYC'!E55</f>
        <v>IMPPFSP12</v>
      </c>
      <c r="D264" s="376" t="str">
        <f>'Imp Refined NYC'!F55</f>
        <v>Imported Petrochemical Feedstocks, PADD 1, Step 2</v>
      </c>
      <c r="E264" s="415" t="str">
        <f>'Imp Refined NYC'!G55</f>
        <v>PFSP1</v>
      </c>
      <c r="F264" s="413">
        <f>'Imp Refined NYC'!M55</f>
        <v>6.3309383556440268</v>
      </c>
      <c r="G264" s="413">
        <f>'Imp Refined NYC'!N55</f>
        <v>6.8168179817337711</v>
      </c>
      <c r="H264" s="413">
        <f>'Imp Refined NYC'!O55</f>
        <v>6.752003189432874</v>
      </c>
      <c r="I264" s="413">
        <f>'Imp Refined NYC'!P55</f>
        <v>7.285885677957495</v>
      </c>
      <c r="J264" s="413">
        <f>'Imp Refined NYC'!Q55</f>
        <v>7.7044042580343035</v>
      </c>
      <c r="K264" s="413">
        <f>'Imp Refined NYC'!R55</f>
        <v>8.2774889887976091</v>
      </c>
      <c r="L264" s="413">
        <f>'Imp Refined NYC'!S55</f>
        <v>8.8932020783067021</v>
      </c>
      <c r="M264" s="413">
        <f>'Imp Refined NYC'!T55</f>
        <v>9.5547143961936154</v>
      </c>
      <c r="N264" s="413">
        <f>'Imp Refined NYC'!U55</f>
        <v>10.265432674190617</v>
      </c>
      <c r="O264" s="413">
        <f>'Imp Refined NYC'!V55</f>
        <v>11.029017050506607</v>
      </c>
      <c r="P264" s="405"/>
      <c r="Q264" s="405">
        <f>'Imp Refined NYC'!AF55</f>
        <v>219157.59574618493</v>
      </c>
      <c r="R264" s="405">
        <f>'Imp Refined NYC'!AG55</f>
        <v>219157.59574618493</v>
      </c>
      <c r="S264" s="405">
        <f>'Imp Refined NYC'!AH55</f>
        <v>219157.59574618493</v>
      </c>
      <c r="T264" s="405">
        <f>'Imp Refined NYC'!AI55</f>
        <v>219157.59574618493</v>
      </c>
      <c r="U264" s="405"/>
      <c r="V264" s="405"/>
      <c r="W264" s="405"/>
      <c r="X264" s="413"/>
      <c r="Y264" s="413"/>
      <c r="Z264" s="413"/>
      <c r="AA264" s="413"/>
      <c r="AB264" s="415"/>
      <c r="AC264" s="415"/>
      <c r="AG264" s="415"/>
      <c r="AH264" s="405"/>
      <c r="AI264" s="415"/>
      <c r="AJ264" s="415">
        <v>1.0049999999999999</v>
      </c>
      <c r="AK264" s="415">
        <v>1.0049999999999999</v>
      </c>
      <c r="BC264" s="365"/>
      <c r="BD264" s="365"/>
      <c r="BE264" s="365"/>
      <c r="BF264" s="365"/>
      <c r="BG264" s="365"/>
    </row>
    <row r="265" spans="2:59">
      <c r="B265" s="376" t="str">
        <f>Technologies!B$448</f>
        <v>*R0,R1,R2,R3,R4,R5,R6</v>
      </c>
      <c r="C265" s="376" t="str">
        <f>'Imp Refined NYC'!E56</f>
        <v>IMPPFSP14</v>
      </c>
      <c r="D265" s="376" t="str">
        <f>'Imp Refined NYC'!F56</f>
        <v>Imported Petrochemical Feedstocks, PADD 1, Step 4</v>
      </c>
      <c r="E265" s="415" t="str">
        <f>'Imp Refined NYC'!G56</f>
        <v>PFSP1</v>
      </c>
      <c r="F265" s="413">
        <f>'Imp Refined NYC'!M56</f>
        <v>7.041553885359173</v>
      </c>
      <c r="G265" s="413">
        <f>'Imp Refined NYC'!N56</f>
        <v>7.5819710204998065</v>
      </c>
      <c r="H265" s="413">
        <f>'Imp Refined NYC'!O56</f>
        <v>7.5098810984508493</v>
      </c>
      <c r="I265" s="413">
        <f>'Imp Refined NYC'!P56</f>
        <v>8.1036891724221114</v>
      </c>
      <c r="J265" s="413">
        <f>'Imp Refined NYC'!Q56</f>
        <v>8.5691843278136641</v>
      </c>
      <c r="K265" s="413">
        <f>'Imp Refined NYC'!R56</f>
        <v>9.2065948957034642</v>
      </c>
      <c r="L265" s="413">
        <f>'Imp Refined NYC'!S56</f>
        <v>9.8914186381166385</v>
      </c>
      <c r="M265" s="413">
        <f>'Imp Refined NYC'!T56</f>
        <v>10.627182338623511</v>
      </c>
      <c r="N265" s="413">
        <f>'Imp Refined NYC'!U56</f>
        <v>11.417675117212012</v>
      </c>
      <c r="O265" s="413">
        <f>'Imp Refined NYC'!V56</f>
        <v>12.266967943930815</v>
      </c>
      <c r="P265" s="405"/>
      <c r="Q265" s="405">
        <f>'Imp Refined NYC'!AF56</f>
        <v>438315.1914923708</v>
      </c>
      <c r="R265" s="405">
        <f>'Imp Refined NYC'!AG56</f>
        <v>438315.1914923708</v>
      </c>
      <c r="S265" s="405">
        <f>'Imp Refined NYC'!AH56</f>
        <v>438315.1914923708</v>
      </c>
      <c r="T265" s="405">
        <f>'Imp Refined NYC'!AI56</f>
        <v>438315.1914923708</v>
      </c>
      <c r="U265" s="405"/>
      <c r="V265" s="405"/>
      <c r="W265" s="405"/>
      <c r="X265" s="413"/>
      <c r="Y265" s="413"/>
      <c r="Z265" s="413"/>
      <c r="AA265" s="413"/>
      <c r="AB265" s="415"/>
      <c r="AC265" s="415"/>
      <c r="AG265" s="415"/>
      <c r="AH265" s="405"/>
      <c r="AI265" s="415"/>
      <c r="AJ265" s="415">
        <v>1.0049999999999999</v>
      </c>
      <c r="AK265" s="415">
        <v>1.0049999999999999</v>
      </c>
      <c r="BC265" s="365"/>
      <c r="BD265" s="365"/>
      <c r="BE265" s="365"/>
      <c r="BF265" s="365"/>
      <c r="BG265" s="365"/>
    </row>
    <row r="266" spans="2:59">
      <c r="B266" s="376" t="str">
        <f>Technologies!B$449</f>
        <v>*R0,R1,R2,R3,R4,R5,R6</v>
      </c>
      <c r="C266" s="376" t="str">
        <f>'Imp Refined NYC'!E57</f>
        <v>IMPPFSP15</v>
      </c>
      <c r="D266" s="376" t="str">
        <f>'Imp Refined NYC'!F57</f>
        <v>Imported Petrochemical Feedstocks, PADD 1, Step 5</v>
      </c>
      <c r="E266" s="415" t="str">
        <f>'Imp Refined NYC'!G57</f>
        <v>PFSP1</v>
      </c>
      <c r="F266" s="413">
        <f>'Imp Refined NYC'!M57</f>
        <v>8.3981835329971783</v>
      </c>
      <c r="G266" s="413">
        <f>'Imp Refined NYC'!N57</f>
        <v>9.0427177308713294</v>
      </c>
      <c r="H266" s="413">
        <f>'Imp Refined NYC'!O57</f>
        <v>8.9567389247578948</v>
      </c>
      <c r="I266" s="413">
        <f>'Imp Refined NYC'!P57</f>
        <v>9.6649503891272897</v>
      </c>
      <c r="J266" s="413">
        <f>'Imp Refined NYC'!Q57</f>
        <v>10.220128097392443</v>
      </c>
      <c r="K266" s="413">
        <f>'Imp Refined NYC'!R57</f>
        <v>10.980342536160094</v>
      </c>
      <c r="L266" s="413">
        <f>'Imp Refined NYC'!S57</f>
        <v>11.797104797753789</v>
      </c>
      <c r="M266" s="413">
        <f>'Imp Refined NYC'!T57</f>
        <v>12.674621137807858</v>
      </c>
      <c r="N266" s="413">
        <f>'Imp Refined NYC'!U57</f>
        <v>13.617410690252859</v>
      </c>
      <c r="O266" s="413">
        <f>'Imp Refined NYC'!V57</f>
        <v>14.630328740467947</v>
      </c>
      <c r="P266" s="405"/>
      <c r="Q266" s="405">
        <f>'Imp Refined NYC'!AF57</f>
        <v>1753260.7659694799</v>
      </c>
      <c r="R266" s="405">
        <f>'Imp Refined NYC'!AG57</f>
        <v>1753260.7659694799</v>
      </c>
      <c r="S266" s="405">
        <f>'Imp Refined NYC'!AH57</f>
        <v>1753260.7659694799</v>
      </c>
      <c r="T266" s="405">
        <f>'Imp Refined NYC'!AI57</f>
        <v>1753260.7659694799</v>
      </c>
      <c r="U266" s="405"/>
      <c r="V266" s="405"/>
      <c r="W266" s="405"/>
      <c r="X266" s="413"/>
      <c r="Y266" s="413"/>
      <c r="Z266" s="413"/>
      <c r="AA266" s="413"/>
      <c r="AB266" s="415"/>
      <c r="AC266" s="415"/>
      <c r="AG266" s="415"/>
      <c r="AH266" s="405"/>
      <c r="AI266" s="415"/>
      <c r="AJ266" s="415">
        <v>1.0049999999999999</v>
      </c>
      <c r="AK266" s="415">
        <v>1.0049999999999999</v>
      </c>
      <c r="BC266" s="365"/>
      <c r="BD266" s="365"/>
      <c r="BE266" s="365"/>
      <c r="BF266" s="365"/>
      <c r="BG266" s="365"/>
    </row>
    <row r="267" spans="2:59">
      <c r="B267" s="376" t="str">
        <f>Technologies!B$450</f>
        <v>*R0,R1,R2,R3,R4,R5,R6</v>
      </c>
      <c r="C267" s="376" t="str">
        <f>'Imp Refined NYC'!E58</f>
        <v>IMPKERP13</v>
      </c>
      <c r="D267" s="376" t="str">
        <f>'Imp Refined NYC'!F58</f>
        <v>Imported Kerosene and Other Refined Products, PADD 1, Step 3</v>
      </c>
      <c r="E267" s="415" t="str">
        <f>'Imp Refined NYC'!G58</f>
        <v>KERP1</v>
      </c>
      <c r="F267" s="413">
        <f>'Imp Refined NYC'!M58</f>
        <v>10.276316058017279</v>
      </c>
      <c r="G267" s="413">
        <f>'Imp Refined NYC'!N58</f>
        <v>11.064991025828041</v>
      </c>
      <c r="H267" s="413">
        <f>'Imp Refined NYC'!O58</f>
        <v>10.959784300773615</v>
      </c>
      <c r="I267" s="413">
        <f>'Imp Refined NYC'!P58</f>
        <v>11.82637703659274</v>
      </c>
      <c r="J267" s="413">
        <f>'Imp Refined NYC'!Q58</f>
        <v>12.505712225694323</v>
      </c>
      <c r="K267" s="413">
        <f>'Imp Refined NYC'!R58</f>
        <v>13.43593765050789</v>
      </c>
      <c r="L267" s="413">
        <f>'Imp Refined NYC'!S58</f>
        <v>14.435357002492729</v>
      </c>
      <c r="M267" s="413">
        <f>'Imp Refined NYC'!T58</f>
        <v>15.509117205641317</v>
      </c>
      <c r="N267" s="413">
        <f>'Imp Refined NYC'!U58</f>
        <v>16.662748032957122</v>
      </c>
      <c r="O267" s="413">
        <f>'Imp Refined NYC'!V58</f>
        <v>17.902190584311562</v>
      </c>
      <c r="P267" s="405"/>
      <c r="Q267" s="405">
        <f>'Imp Refined NYC'!AF58</f>
        <v>218348.8961308857</v>
      </c>
      <c r="R267" s="405">
        <f>'Imp Refined NYC'!AG58</f>
        <v>218348.8961308857</v>
      </c>
      <c r="S267" s="405">
        <f>'Imp Refined NYC'!AH58</f>
        <v>218348.8961308857</v>
      </c>
      <c r="T267" s="405">
        <f>'Imp Refined NYC'!AI58</f>
        <v>218348.8961308857</v>
      </c>
      <c r="U267" s="405"/>
      <c r="V267" s="405"/>
      <c r="W267" s="405"/>
      <c r="X267" s="413"/>
      <c r="Y267" s="413"/>
      <c r="Z267" s="413"/>
      <c r="AA267" s="413"/>
      <c r="AB267" s="415"/>
      <c r="AC267" s="415"/>
      <c r="AG267" s="415"/>
      <c r="AH267" s="405"/>
      <c r="AI267" s="415"/>
      <c r="AJ267" s="415">
        <v>1.0049999999999999</v>
      </c>
      <c r="AK267" s="415">
        <v>1.0049999999999999</v>
      </c>
      <c r="BC267" s="365"/>
      <c r="BD267" s="365"/>
      <c r="BE267" s="365"/>
      <c r="BF267" s="365"/>
      <c r="BG267" s="365"/>
    </row>
    <row r="268" spans="2:59">
      <c r="B268" s="376" t="str">
        <f>Technologies!B$451</f>
        <v>*R0,R1,R2,R3,R4,R5,R6</v>
      </c>
      <c r="C268" s="376" t="str">
        <f>'Imp Refined NYC'!E59</f>
        <v>IMPKERP11</v>
      </c>
      <c r="D268" s="376" t="str">
        <f>'Imp Refined NYC'!F59</f>
        <v>Imported Kerosene and Other Refined Products, PADD 1, Step 1</v>
      </c>
      <c r="E268" s="415" t="str">
        <f>'Imp Refined NYC'!G59</f>
        <v>KERP1</v>
      </c>
      <c r="F268" s="413">
        <f>'Imp Refined NYC'!M59</f>
        <v>9.7625002551164162</v>
      </c>
      <c r="G268" s="413">
        <f>'Imp Refined NYC'!N59</f>
        <v>10.51174147453664</v>
      </c>
      <c r="H268" s="413">
        <f>'Imp Refined NYC'!O59</f>
        <v>10.411795085734934</v>
      </c>
      <c r="I268" s="413">
        <f>'Imp Refined NYC'!P59</f>
        <v>11.235058184763101</v>
      </c>
      <c r="J268" s="413">
        <f>'Imp Refined NYC'!Q59</f>
        <v>11.880426614409604</v>
      </c>
      <c r="K268" s="413">
        <f>'Imp Refined NYC'!R59</f>
        <v>12.764140767982493</v>
      </c>
      <c r="L268" s="413">
        <f>'Imp Refined NYC'!S59</f>
        <v>13.71358915236809</v>
      </c>
      <c r="M268" s="413">
        <f>'Imp Refined NYC'!T59</f>
        <v>14.733661345359248</v>
      </c>
      <c r="N268" s="413">
        <f>'Imp Refined NYC'!U59</f>
        <v>15.829610631309261</v>
      </c>
      <c r="O268" s="413">
        <f>'Imp Refined NYC'!V59</f>
        <v>17.007081055095977</v>
      </c>
      <c r="P268" s="405"/>
      <c r="Q268" s="405">
        <f>'Imp Refined NYC'!AF59</f>
        <v>1746791.1690470844</v>
      </c>
      <c r="R268" s="405">
        <f>'Imp Refined NYC'!AG59</f>
        <v>1746791.1690470844</v>
      </c>
      <c r="S268" s="405">
        <f>'Imp Refined NYC'!AH59</f>
        <v>1746791.1690470844</v>
      </c>
      <c r="T268" s="405">
        <f>'Imp Refined NYC'!AI59</f>
        <v>1746791.1690470844</v>
      </c>
      <c r="U268" s="405"/>
      <c r="V268" s="405"/>
      <c r="W268" s="405"/>
      <c r="X268" s="413"/>
      <c r="Y268" s="413"/>
      <c r="Z268" s="413"/>
      <c r="AA268" s="413"/>
      <c r="AB268" s="415"/>
      <c r="AC268" s="415"/>
      <c r="AG268" s="415"/>
      <c r="AH268" s="405"/>
      <c r="AI268" s="415"/>
      <c r="AJ268" s="415">
        <v>1.0049999999999999</v>
      </c>
      <c r="AK268" s="415">
        <v>1.0049999999999999</v>
      </c>
      <c r="BC268" s="365"/>
      <c r="BD268" s="365"/>
      <c r="BE268" s="365"/>
      <c r="BF268" s="365"/>
      <c r="BG268" s="365"/>
    </row>
    <row r="269" spans="2:59">
      <c r="B269" s="376" t="str">
        <f>Technologies!B$452</f>
        <v>*R0,R1,R2,R3,R4,R5,R6</v>
      </c>
      <c r="C269" s="376" t="str">
        <f>'Imp Refined NYC'!E60</f>
        <v>IMPKERP12</v>
      </c>
      <c r="D269" s="376" t="str">
        <f>'Imp Refined NYC'!F60</f>
        <v>Imported Kerosene and Other Refined Products, PADD 1, Step 2</v>
      </c>
      <c r="E269" s="415" t="str">
        <f>'Imp Refined NYC'!G60</f>
        <v>KERP1</v>
      </c>
      <c r="F269" s="413">
        <f>'Imp Refined NYC'!M60</f>
        <v>10.070789736856934</v>
      </c>
      <c r="G269" s="413">
        <f>'Imp Refined NYC'!N60</f>
        <v>10.843691205311481</v>
      </c>
      <c r="H269" s="413">
        <f>'Imp Refined NYC'!O60</f>
        <v>10.740588614758142</v>
      </c>
      <c r="I269" s="413">
        <f>'Imp Refined NYC'!P60</f>
        <v>11.589849495860884</v>
      </c>
      <c r="J269" s="413">
        <f>'Imp Refined NYC'!Q60</f>
        <v>12.255597981180435</v>
      </c>
      <c r="K269" s="413">
        <f>'Imp Refined NYC'!R60</f>
        <v>13.167218897497731</v>
      </c>
      <c r="L269" s="413">
        <f>'Imp Refined NYC'!S60</f>
        <v>14.146649862442874</v>
      </c>
      <c r="M269" s="413">
        <f>'Imp Refined NYC'!T60</f>
        <v>15.198934861528489</v>
      </c>
      <c r="N269" s="413">
        <f>'Imp Refined NYC'!U60</f>
        <v>16.329493072297975</v>
      </c>
      <c r="O269" s="413">
        <f>'Imp Refined NYC'!V60</f>
        <v>17.544146772625325</v>
      </c>
      <c r="P269" s="405"/>
      <c r="Q269" s="405">
        <f>'Imp Refined NYC'!AF60</f>
        <v>218348.896130885</v>
      </c>
      <c r="R269" s="405">
        <f>'Imp Refined NYC'!AG60</f>
        <v>218348.896130885</v>
      </c>
      <c r="S269" s="405">
        <f>'Imp Refined NYC'!AH60</f>
        <v>218348.896130885</v>
      </c>
      <c r="T269" s="405">
        <f>'Imp Refined NYC'!AI60</f>
        <v>218348.896130885</v>
      </c>
      <c r="U269" s="405"/>
      <c r="V269" s="405"/>
      <c r="W269" s="405"/>
      <c r="X269" s="413"/>
      <c r="Y269" s="413"/>
      <c r="Z269" s="413"/>
      <c r="AA269" s="413"/>
      <c r="AB269" s="415"/>
      <c r="AC269" s="415"/>
      <c r="AG269" s="415"/>
      <c r="AH269" s="405"/>
      <c r="AI269" s="415"/>
      <c r="AJ269" s="415">
        <v>1.0049999999999999</v>
      </c>
      <c r="AK269" s="415">
        <v>1.0049999999999999</v>
      </c>
      <c r="BC269" s="365"/>
      <c r="BD269" s="365"/>
      <c r="BE269" s="365"/>
      <c r="BF269" s="365"/>
      <c r="BG269" s="365"/>
    </row>
    <row r="270" spans="2:59">
      <c r="B270" s="376" t="str">
        <f>Technologies!B$453</f>
        <v>*R0,R1,R2,R3,R4,R5,R6</v>
      </c>
      <c r="C270" s="376" t="str">
        <f>'Imp Refined NYC'!E61</f>
        <v>IMPKERP14</v>
      </c>
      <c r="D270" s="376" t="str">
        <f>'Imp Refined NYC'!F61</f>
        <v>Imported Kerosene and Other Refined Products, PADD 1, Step 4</v>
      </c>
      <c r="E270" s="415" t="str">
        <f>'Imp Refined NYC'!G61</f>
        <v>KERP1</v>
      </c>
      <c r="F270" s="413">
        <f>'Imp Refined NYC'!M61</f>
        <v>11.201184503238837</v>
      </c>
      <c r="G270" s="413">
        <f>'Imp Refined NYC'!N61</f>
        <v>12.060840218152567</v>
      </c>
      <c r="H270" s="413">
        <f>'Imp Refined NYC'!O61</f>
        <v>11.946164887843242</v>
      </c>
      <c r="I270" s="413">
        <f>'Imp Refined NYC'!P61</f>
        <v>12.890750969886088</v>
      </c>
      <c r="J270" s="413">
        <f>'Imp Refined NYC'!Q61</f>
        <v>13.631226326006812</v>
      </c>
      <c r="K270" s="413">
        <f>'Imp Refined NYC'!R61</f>
        <v>14.645172039053602</v>
      </c>
      <c r="L270" s="413">
        <f>'Imp Refined NYC'!S61</f>
        <v>15.734539132717076</v>
      </c>
      <c r="M270" s="413">
        <f>'Imp Refined NYC'!T61</f>
        <v>16.904937754149035</v>
      </c>
      <c r="N270" s="413">
        <f>'Imp Refined NYC'!U61</f>
        <v>18.162395355923262</v>
      </c>
      <c r="O270" s="413">
        <f>'Imp Refined NYC'!V61</f>
        <v>19.513387736899602</v>
      </c>
      <c r="P270" s="405"/>
      <c r="Q270" s="405">
        <f>'Imp Refined NYC'!AF61</f>
        <v>436697.79226177093</v>
      </c>
      <c r="R270" s="405">
        <f>'Imp Refined NYC'!AG61</f>
        <v>436697.79226177093</v>
      </c>
      <c r="S270" s="405">
        <f>'Imp Refined NYC'!AH61</f>
        <v>436697.79226177093</v>
      </c>
      <c r="T270" s="405">
        <f>'Imp Refined NYC'!AI61</f>
        <v>436697.79226177093</v>
      </c>
      <c r="U270" s="405"/>
      <c r="V270" s="405"/>
      <c r="W270" s="405"/>
      <c r="X270" s="413"/>
      <c r="Y270" s="413"/>
      <c r="Z270" s="413"/>
      <c r="AA270" s="413"/>
      <c r="AB270" s="415"/>
      <c r="AC270" s="415"/>
      <c r="AG270" s="415"/>
      <c r="AH270" s="405"/>
      <c r="AI270" s="415"/>
      <c r="AJ270" s="415">
        <v>1.0049999999999999</v>
      </c>
      <c r="AK270" s="415">
        <v>1.0049999999999999</v>
      </c>
      <c r="BC270" s="365"/>
      <c r="BD270" s="365"/>
      <c r="BE270" s="365"/>
      <c r="BF270" s="365"/>
      <c r="BG270" s="365"/>
    </row>
    <row r="271" spans="2:59">
      <c r="B271" s="376" t="str">
        <f>Technologies!B$454</f>
        <v>*R0,R1,R2,R3,R4,R5,R6</v>
      </c>
      <c r="C271" s="376" t="str">
        <f>'Imp Refined NYC'!E62</f>
        <v>IMPKERP15</v>
      </c>
      <c r="D271" s="376" t="str">
        <f>'Imp Refined NYC'!F62</f>
        <v>Imported Kerosene and Other Refined Products, PADD 1, Step 5</v>
      </c>
      <c r="E271" s="415" t="str">
        <f>'Imp Refined NYC'!G62</f>
        <v>KERP1</v>
      </c>
      <c r="F271" s="413">
        <f>'Imp Refined NYC'!M62</f>
        <v>13.359210875422464</v>
      </c>
      <c r="G271" s="413">
        <f>'Imp Refined NYC'!N62</f>
        <v>14.384488333576455</v>
      </c>
      <c r="H271" s="413">
        <f>'Imp Refined NYC'!O62</f>
        <v>14.2477195910057</v>
      </c>
      <c r="I271" s="413">
        <f>'Imp Refined NYC'!P62</f>
        <v>15.374290147570562</v>
      </c>
      <c r="J271" s="413">
        <f>'Imp Refined NYC'!Q62</f>
        <v>16.257425893402619</v>
      </c>
      <c r="K271" s="413">
        <f>'Imp Refined NYC'!R62</f>
        <v>17.466718945660258</v>
      </c>
      <c r="L271" s="413">
        <f>'Imp Refined NYC'!S62</f>
        <v>18.765964103240549</v>
      </c>
      <c r="M271" s="413">
        <f>'Imp Refined NYC'!T62</f>
        <v>20.161852367333712</v>
      </c>
      <c r="N271" s="413">
        <f>'Imp Refined NYC'!U62</f>
        <v>21.661572442844257</v>
      </c>
      <c r="O271" s="413">
        <f>'Imp Refined NYC'!V62</f>
        <v>23.272847759605028</v>
      </c>
      <c r="P271" s="405"/>
      <c r="Q271" s="405">
        <f>'Imp Refined NYC'!AF62</f>
        <v>1746791.1690470842</v>
      </c>
      <c r="R271" s="405">
        <f>'Imp Refined NYC'!AG62</f>
        <v>1746791.1690470842</v>
      </c>
      <c r="S271" s="405">
        <f>'Imp Refined NYC'!AH62</f>
        <v>1746791.1690470842</v>
      </c>
      <c r="T271" s="405">
        <f>'Imp Refined NYC'!AI62</f>
        <v>1746791.1690470842</v>
      </c>
      <c r="U271" s="405"/>
      <c r="V271" s="405"/>
      <c r="W271" s="405"/>
      <c r="X271" s="413"/>
      <c r="Y271" s="413"/>
      <c r="Z271" s="413"/>
      <c r="AA271" s="413"/>
      <c r="AB271" s="415"/>
      <c r="AC271" s="415"/>
      <c r="AG271" s="415"/>
      <c r="AH271" s="405"/>
      <c r="AI271" s="415"/>
      <c r="AJ271" s="415">
        <v>1.0049999999999999</v>
      </c>
      <c r="AK271" s="415">
        <v>1.0049999999999999</v>
      </c>
      <c r="BC271" s="365"/>
      <c r="BD271" s="365"/>
      <c r="BE271" s="365"/>
      <c r="BF271" s="365"/>
      <c r="BG271" s="365"/>
    </row>
    <row r="272" spans="2:59">
      <c r="B272" s="376" t="str">
        <f>Technologies!B$455</f>
        <v>*R0,R1,R2,R3,R4,R5,R6</v>
      </c>
      <c r="C272" s="376" t="str">
        <f>'Imp Refined NYC'!E63</f>
        <v>IMPMTHP13</v>
      </c>
      <c r="D272" s="376" t="str">
        <f>'Imp Refined NYC'!F63</f>
        <v>Imported Methanol, PADD 1, Step 3</v>
      </c>
      <c r="E272" s="415" t="str">
        <f>'Imp Refined NYC'!G63</f>
        <v>MTHP1</v>
      </c>
      <c r="F272" s="413">
        <f>'Imp Refined NYC'!M63</f>
        <v>27.817484182864966</v>
      </c>
      <c r="G272" s="413">
        <f>'Imp Refined NYC'!N63</f>
        <v>29.952388687420495</v>
      </c>
      <c r="H272" s="413">
        <f>'Imp Refined NYC'!O63</f>
        <v>29.667599236258244</v>
      </c>
      <c r="I272" s="413">
        <f>'Imp Refined NYC'!P63</f>
        <v>32.01342332200413</v>
      </c>
      <c r="J272" s="413">
        <f>'Imp Refined NYC'!Q63</f>
        <v>33.852350401611965</v>
      </c>
      <c r="K272" s="413">
        <f>'Imp Refined NYC'!R63</f>
        <v>36.3704250594133</v>
      </c>
      <c r="L272" s="413">
        <f>'Imp Refined NYC'!S63</f>
        <v>39.075804288597055</v>
      </c>
      <c r="M272" s="413">
        <f>'Imp Refined NYC'!T63</f>
        <v>41.982420560288361</v>
      </c>
      <c r="N272" s="413">
        <f>'Imp Refined NYC'!U63</f>
        <v>45.105242699131225</v>
      </c>
      <c r="O272" s="413">
        <f>'Imp Refined NYC'!V63</f>
        <v>48.460352971452309</v>
      </c>
      <c r="P272" s="405"/>
      <c r="Q272" s="405">
        <f>'Imp Refined NYC'!AF63</f>
        <v>105777.90968118445</v>
      </c>
      <c r="R272" s="405">
        <f>'Imp Refined NYC'!AG63</f>
        <v>105777.90968118445</v>
      </c>
      <c r="S272" s="405">
        <f>'Imp Refined NYC'!AH63</f>
        <v>105777.90968118445</v>
      </c>
      <c r="T272" s="405">
        <f>'Imp Refined NYC'!AI63</f>
        <v>105777.90968118445</v>
      </c>
      <c r="U272" s="405"/>
      <c r="V272" s="405"/>
      <c r="W272" s="405"/>
      <c r="X272" s="413"/>
      <c r="Y272" s="413"/>
      <c r="Z272" s="413"/>
      <c r="AA272" s="413"/>
      <c r="AB272" s="415"/>
      <c r="AC272" s="415"/>
      <c r="AG272" s="415"/>
      <c r="AH272" s="405"/>
      <c r="AI272" s="415"/>
      <c r="AJ272" s="415">
        <v>1.0049999999999999</v>
      </c>
      <c r="AK272" s="415">
        <v>1.0049999999999999</v>
      </c>
      <c r="BC272" s="365"/>
      <c r="BD272" s="365"/>
      <c r="BE272" s="365"/>
      <c r="BF272" s="365"/>
      <c r="BG272" s="365"/>
    </row>
    <row r="273" spans="2:59">
      <c r="B273" s="376" t="str">
        <f>Technologies!B$456</f>
        <v>*R0,R1,R2,R3,R4,R5,R6</v>
      </c>
      <c r="C273" s="376" t="str">
        <f>'Imp Refined NYC'!E64</f>
        <v>IMPMTHP11</v>
      </c>
      <c r="D273" s="376" t="str">
        <f>'Imp Refined NYC'!F64</f>
        <v>Imported Methanol, PADD 1, Step 1</v>
      </c>
      <c r="E273" s="415" t="str">
        <f>'Imp Refined NYC'!G64</f>
        <v>MTHP1</v>
      </c>
      <c r="F273" s="413">
        <f>'Imp Refined NYC'!M64</f>
        <v>26.426609973721717</v>
      </c>
      <c r="G273" s="413">
        <f>'Imp Refined NYC'!N64</f>
        <v>28.45476925304947</v>
      </c>
      <c r="H273" s="413">
        <f>'Imp Refined NYC'!O64</f>
        <v>28.184219274445333</v>
      </c>
      <c r="I273" s="413">
        <f>'Imp Refined NYC'!P64</f>
        <v>30.412752155903927</v>
      </c>
      <c r="J273" s="413">
        <f>'Imp Refined NYC'!Q64</f>
        <v>32.159732881531376</v>
      </c>
      <c r="K273" s="413">
        <f>'Imp Refined NYC'!R64</f>
        <v>34.551903806442645</v>
      </c>
      <c r="L273" s="413">
        <f>'Imp Refined NYC'!S64</f>
        <v>37.122014074167211</v>
      </c>
      <c r="M273" s="413">
        <f>'Imp Refined NYC'!T64</f>
        <v>39.883299532273952</v>
      </c>
      <c r="N273" s="413">
        <f>'Imp Refined NYC'!U64</f>
        <v>42.849980564174672</v>
      </c>
      <c r="O273" s="413">
        <f>'Imp Refined NYC'!V64</f>
        <v>46.037335322879706</v>
      </c>
      <c r="P273" s="405"/>
      <c r="Q273" s="405">
        <f>'Imp Refined NYC'!AF64</f>
        <v>846223.27744947642</v>
      </c>
      <c r="R273" s="405">
        <f>'Imp Refined NYC'!AG64</f>
        <v>846223.27744947642</v>
      </c>
      <c r="S273" s="405">
        <f>'Imp Refined NYC'!AH64</f>
        <v>846223.27744947642</v>
      </c>
      <c r="T273" s="405">
        <f>'Imp Refined NYC'!AI64</f>
        <v>846223.27744947642</v>
      </c>
      <c r="U273" s="405"/>
      <c r="V273" s="405"/>
      <c r="W273" s="405"/>
      <c r="X273" s="413"/>
      <c r="Y273" s="413"/>
      <c r="Z273" s="413"/>
      <c r="AA273" s="413"/>
      <c r="AB273" s="415"/>
      <c r="AC273" s="415"/>
      <c r="AG273" s="415"/>
      <c r="AH273" s="405"/>
      <c r="AI273" s="415"/>
      <c r="AJ273" s="415">
        <v>1.0049999999999999</v>
      </c>
      <c r="AK273" s="415">
        <v>1.0049999999999999</v>
      </c>
      <c r="BC273" s="365"/>
      <c r="BD273" s="365"/>
      <c r="BE273" s="365"/>
      <c r="BF273" s="365"/>
      <c r="BG273" s="365"/>
    </row>
    <row r="274" spans="2:59">
      <c r="B274" s="376" t="str">
        <f>Technologies!B$457</f>
        <v>*R0,R1,R2,R3,R4,R5,R6</v>
      </c>
      <c r="C274" s="376" t="str">
        <f>'Imp Refined NYC'!E65</f>
        <v>IMPMTHP12</v>
      </c>
      <c r="D274" s="376" t="str">
        <f>'Imp Refined NYC'!F65</f>
        <v>Imported Methanol, PADD 1, Step 2</v>
      </c>
      <c r="E274" s="415" t="str">
        <f>'Imp Refined NYC'!G65</f>
        <v>MTHP1</v>
      </c>
      <c r="F274" s="413">
        <f>'Imp Refined NYC'!M65</f>
        <v>27.261134499207664</v>
      </c>
      <c r="G274" s="413">
        <f>'Imp Refined NYC'!N65</f>
        <v>29.353340913672081</v>
      </c>
      <c r="H274" s="413">
        <f>'Imp Refined NYC'!O65</f>
        <v>29.074247251533077</v>
      </c>
      <c r="I274" s="413">
        <f>'Imp Refined NYC'!P65</f>
        <v>31.373154855564046</v>
      </c>
      <c r="J274" s="413">
        <f>'Imp Refined NYC'!Q65</f>
        <v>33.175303393579725</v>
      </c>
      <c r="K274" s="413">
        <f>'Imp Refined NYC'!R65</f>
        <v>35.643016558225035</v>
      </c>
      <c r="L274" s="413">
        <f>'Imp Refined NYC'!S65</f>
        <v>38.294288202825115</v>
      </c>
      <c r="M274" s="413">
        <f>'Imp Refined NYC'!T65</f>
        <v>41.142772149082596</v>
      </c>
      <c r="N274" s="413">
        <f>'Imp Refined NYC'!U65</f>
        <v>44.203137845148603</v>
      </c>
      <c r="O274" s="413">
        <f>'Imp Refined NYC'!V65</f>
        <v>47.491145912023271</v>
      </c>
      <c r="P274" s="405"/>
      <c r="Q274" s="405">
        <f>'Imp Refined NYC'!AF65</f>
        <v>105777.90968118433</v>
      </c>
      <c r="R274" s="405">
        <f>'Imp Refined NYC'!AG65</f>
        <v>105777.90968118433</v>
      </c>
      <c r="S274" s="405">
        <f>'Imp Refined NYC'!AH65</f>
        <v>105777.90968118433</v>
      </c>
      <c r="T274" s="405">
        <f>'Imp Refined NYC'!AI65</f>
        <v>105777.90968118433</v>
      </c>
      <c r="U274" s="405"/>
      <c r="V274" s="405"/>
      <c r="W274" s="405"/>
      <c r="X274" s="413"/>
      <c r="Y274" s="413"/>
      <c r="Z274" s="413"/>
      <c r="AA274" s="413"/>
      <c r="AB274" s="415"/>
      <c r="AC274" s="415"/>
      <c r="AG274" s="415"/>
      <c r="AH274" s="405"/>
      <c r="AI274" s="415"/>
      <c r="AJ274" s="415">
        <v>1.0049999999999999</v>
      </c>
      <c r="AK274" s="415">
        <v>1.0049999999999999</v>
      </c>
      <c r="BC274" s="365"/>
      <c r="BD274" s="365"/>
      <c r="BE274" s="365"/>
      <c r="BF274" s="365"/>
      <c r="BG274" s="365"/>
    </row>
    <row r="275" spans="2:59">
      <c r="B275" s="376" t="str">
        <f>Technologies!B$458</f>
        <v>*R0,R1,R2,R3,R4,R5,R6</v>
      </c>
      <c r="C275" s="376" t="str">
        <f>'Imp Refined NYC'!E66</f>
        <v>IMPMTHP14</v>
      </c>
      <c r="D275" s="376" t="str">
        <f>'Imp Refined NYC'!F66</f>
        <v>Imported Methanol, PADD 1, Step 4</v>
      </c>
      <c r="E275" s="415" t="str">
        <f>'Imp Refined NYC'!G66</f>
        <v>MTHP1</v>
      </c>
      <c r="F275" s="413">
        <f>'Imp Refined NYC'!M66</f>
        <v>30.321057759322819</v>
      </c>
      <c r="G275" s="413">
        <f>'Imp Refined NYC'!N66</f>
        <v>32.648103669288346</v>
      </c>
      <c r="H275" s="413">
        <f>'Imp Refined NYC'!O66</f>
        <v>32.337683167521497</v>
      </c>
      <c r="I275" s="413">
        <f>'Imp Refined NYC'!P66</f>
        <v>34.894631420984517</v>
      </c>
      <c r="J275" s="413">
        <f>'Imp Refined NYC'!Q66</f>
        <v>36.899061937757061</v>
      </c>
      <c r="K275" s="413">
        <f>'Imp Refined NYC'!R66</f>
        <v>39.64376331476052</v>
      </c>
      <c r="L275" s="413">
        <f>'Imp Refined NYC'!S66</f>
        <v>42.592626674570816</v>
      </c>
      <c r="M275" s="413">
        <f>'Imp Refined NYC'!T66</f>
        <v>45.760838410714342</v>
      </c>
      <c r="N275" s="413">
        <f>'Imp Refined NYC'!U66</f>
        <v>49.164714542053062</v>
      </c>
      <c r="O275" s="413">
        <f>'Imp Refined NYC'!V66</f>
        <v>52.821784738883046</v>
      </c>
      <c r="P275" s="405"/>
      <c r="Q275" s="405">
        <f>'Imp Refined NYC'!AF66</f>
        <v>211555.81936236937</v>
      </c>
      <c r="R275" s="405">
        <f>'Imp Refined NYC'!AG66</f>
        <v>211555.81936236937</v>
      </c>
      <c r="S275" s="405">
        <f>'Imp Refined NYC'!AH66</f>
        <v>211555.81936236937</v>
      </c>
      <c r="T275" s="405">
        <f>'Imp Refined NYC'!AI66</f>
        <v>211555.81936236937</v>
      </c>
      <c r="U275" s="405"/>
      <c r="V275" s="405"/>
      <c r="W275" s="405"/>
      <c r="X275" s="413"/>
      <c r="Y275" s="413"/>
      <c r="Z275" s="413"/>
      <c r="AA275" s="413"/>
      <c r="AB275" s="415"/>
      <c r="AC275" s="415"/>
      <c r="AG275" s="415"/>
      <c r="AH275" s="405"/>
      <c r="AI275" s="415"/>
      <c r="AJ275" s="415">
        <v>1.0049999999999999</v>
      </c>
      <c r="AK275" s="415">
        <v>1.0049999999999999</v>
      </c>
      <c r="BC275" s="365"/>
      <c r="BD275" s="365"/>
      <c r="BE275" s="365"/>
      <c r="BF275" s="365"/>
      <c r="BG275" s="365"/>
    </row>
    <row r="276" spans="2:59">
      <c r="B276" s="376" t="str">
        <f>Technologies!B$459</f>
        <v>*R0,R1,R2,R3,R4,R5,R6</v>
      </c>
      <c r="C276" s="376" t="str">
        <f>'Imp Refined NYC'!E67</f>
        <v>IMPMTHP15</v>
      </c>
      <c r="D276" s="376" t="str">
        <f>'Imp Refined NYC'!F67</f>
        <v>Imported Methanol, PADD 1, Step 5</v>
      </c>
      <c r="E276" s="415" t="str">
        <f>'Imp Refined NYC'!G67</f>
        <v>MTHP1</v>
      </c>
      <c r="F276" s="413">
        <f>'Imp Refined NYC'!M67</f>
        <v>36.162729437724451</v>
      </c>
      <c r="G276" s="413">
        <f>'Imp Refined NYC'!N67</f>
        <v>38.938105293646636</v>
      </c>
      <c r="H276" s="413">
        <f>'Imp Refined NYC'!O67</f>
        <v>38.567879007135716</v>
      </c>
      <c r="I276" s="413">
        <f>'Imp Refined NYC'!P67</f>
        <v>41.617450318605371</v>
      </c>
      <c r="J276" s="413">
        <f>'Imp Refined NYC'!Q67</f>
        <v>44.00805552209556</v>
      </c>
      <c r="K276" s="413">
        <f>'Imp Refined NYC'!R67</f>
        <v>47.281552577237299</v>
      </c>
      <c r="L276" s="413">
        <f>'Imp Refined NYC'!S67</f>
        <v>50.798545575176178</v>
      </c>
      <c r="M276" s="413">
        <f>'Imp Refined NYC'!T67</f>
        <v>54.577146728374878</v>
      </c>
      <c r="N276" s="413">
        <f>'Imp Refined NYC'!U67</f>
        <v>58.636815508870598</v>
      </c>
      <c r="O276" s="413">
        <f>'Imp Refined NYC'!V67</f>
        <v>62.998458862888008</v>
      </c>
      <c r="P276" s="405"/>
      <c r="Q276" s="405">
        <f>'Imp Refined NYC'!AF67</f>
        <v>846223.27744947583</v>
      </c>
      <c r="R276" s="405">
        <f>'Imp Refined NYC'!AG67</f>
        <v>846223.27744947583</v>
      </c>
      <c r="S276" s="405">
        <f>'Imp Refined NYC'!AH67</f>
        <v>846223.27744947583</v>
      </c>
      <c r="T276" s="405">
        <f>'Imp Refined NYC'!AI67</f>
        <v>846223.27744947583</v>
      </c>
      <c r="U276" s="405"/>
      <c r="V276" s="405"/>
      <c r="W276" s="405"/>
      <c r="X276" s="413"/>
      <c r="Y276" s="413"/>
      <c r="Z276" s="413"/>
      <c r="AA276" s="413"/>
      <c r="AB276" s="415"/>
      <c r="AC276" s="415"/>
      <c r="AG276" s="415"/>
      <c r="AH276" s="405"/>
      <c r="AI276" s="415"/>
      <c r="AJ276" s="415">
        <v>1.0049999999999999</v>
      </c>
      <c r="AK276" s="415">
        <v>1.0049999999999999</v>
      </c>
      <c r="BC276" s="365"/>
      <c r="BD276" s="365"/>
      <c r="BE276" s="365"/>
      <c r="BF276" s="365"/>
      <c r="BG276" s="365"/>
    </row>
    <row r="277" spans="2:59">
      <c r="B277" s="376" t="str">
        <f>Technologies!B$460</f>
        <v>R0,R1,R2,R3,R4,R5,R6</v>
      </c>
      <c r="C277" s="376" t="str">
        <f>'Imp Refined NYC'!E68</f>
        <v>IMPDSUP13</v>
      </c>
      <c r="D277" s="376" t="str">
        <f>'Imp Refined NYC'!F68</f>
        <v>Imported Distillate-Ultralow Sulfur Highway Diesel (15 ppm), PADD 1, Step 3</v>
      </c>
      <c r="E277" s="415" t="str">
        <f>'Imp Refined NYC'!G68</f>
        <v>DSUP1</v>
      </c>
      <c r="F277" s="413">
        <f>'Imp Refined NYC'!M68</f>
        <v>13.562374307271364</v>
      </c>
      <c r="G277" s="413">
        <f>'Imp Refined NYC'!N68</f>
        <v>14.603243920451449</v>
      </c>
      <c r="H277" s="413">
        <f>'Imp Refined NYC'!O68</f>
        <v>14.464395234134805</v>
      </c>
      <c r="I277" s="413">
        <f>'Imp Refined NYC'!P68</f>
        <v>15.608098385029226</v>
      </c>
      <c r="J277" s="413">
        <f>'Imp Refined NYC'!Q68</f>
        <v>16.50466463140393</v>
      </c>
      <c r="K277" s="413">
        <f>'Imp Refined NYC'!R68</f>
        <v>17.732348300360318</v>
      </c>
      <c r="L277" s="413">
        <f>'Imp Refined NYC'!S68</f>
        <v>19.051352043046315</v>
      </c>
      <c r="M277" s="413">
        <f>'Imp Refined NYC'!T68</f>
        <v>20.468468615671721</v>
      </c>
      <c r="N277" s="413">
        <f>'Imp Refined NYC'!U68</f>
        <v>21.990996047110301</v>
      </c>
      <c r="O277" s="413">
        <f>'Imp Refined NYC'!V68</f>
        <v>23.626775223122877</v>
      </c>
      <c r="P277" s="405"/>
      <c r="Q277" s="405">
        <f>'Imp Refined NYC'!AF68</f>
        <v>224317.86948190606</v>
      </c>
      <c r="R277" s="405">
        <f>'Imp Refined NYC'!AG68</f>
        <v>224317.86948190606</v>
      </c>
      <c r="S277" s="405">
        <f>'Imp Refined NYC'!AH68</f>
        <v>224317.86948190606</v>
      </c>
      <c r="T277" s="405">
        <f>'Imp Refined NYC'!AI68</f>
        <v>224317.86948190606</v>
      </c>
      <c r="U277" s="405"/>
      <c r="V277" s="405"/>
      <c r="W277" s="405"/>
      <c r="X277" s="413"/>
      <c r="Y277" s="413"/>
      <c r="Z277" s="413"/>
      <c r="AA277" s="413"/>
      <c r="AB277" s="415"/>
      <c r="AC277" s="415"/>
      <c r="AG277" s="415"/>
      <c r="AH277" s="405"/>
      <c r="AI277" s="415"/>
      <c r="AJ277" s="415">
        <v>1.0049999999999999</v>
      </c>
      <c r="AK277" s="415">
        <v>1.0049999999999999</v>
      </c>
      <c r="BC277" s="365"/>
      <c r="BD277" s="365"/>
      <c r="BE277" s="365"/>
      <c r="BF277" s="365"/>
      <c r="BG277" s="365"/>
    </row>
    <row r="278" spans="2:59">
      <c r="B278" s="376" t="str">
        <f>Technologies!B$461</f>
        <v>R0,R1,R2,R3,R4,R5,R6</v>
      </c>
      <c r="C278" s="376" t="str">
        <f>'Imp Refined NYC'!E69</f>
        <v>IMPDSUP11</v>
      </c>
      <c r="D278" s="376" t="str">
        <f>'Imp Refined NYC'!F69</f>
        <v>Imported Distillate-Ultralow Sulfur Highway Diesel (15 ppm), PADD 1, Step 1</v>
      </c>
      <c r="E278" s="415" t="str">
        <f>'Imp Refined NYC'!G69</f>
        <v>DSUP1</v>
      </c>
      <c r="F278" s="413">
        <f>'Imp Refined NYC'!M69</f>
        <v>12.884255591907797</v>
      </c>
      <c r="G278" s="413">
        <f>'Imp Refined NYC'!N69</f>
        <v>13.873081724428879</v>
      </c>
      <c r="H278" s="413">
        <f>'Imp Refined NYC'!O69</f>
        <v>13.741175472428068</v>
      </c>
      <c r="I278" s="413">
        <f>'Imp Refined NYC'!P69</f>
        <v>14.827693465777768</v>
      </c>
      <c r="J278" s="413">
        <f>'Imp Refined NYC'!Q69</f>
        <v>15.679431399833737</v>
      </c>
      <c r="K278" s="413">
        <f>'Imp Refined NYC'!R69</f>
        <v>16.845730885342306</v>
      </c>
      <c r="L278" s="413">
        <f>'Imp Refined NYC'!S69</f>
        <v>18.098784440894001</v>
      </c>
      <c r="M278" s="413">
        <f>'Imp Refined NYC'!T69</f>
        <v>19.445045184888137</v>
      </c>
      <c r="N278" s="413">
        <f>'Imp Refined NYC'!U69</f>
        <v>20.891446244754786</v>
      </c>
      <c r="O278" s="413">
        <f>'Imp Refined NYC'!V69</f>
        <v>22.445436461966732</v>
      </c>
      <c r="P278" s="405"/>
      <c r="Q278" s="405">
        <f>'Imp Refined NYC'!AF69</f>
        <v>1794542.9558552499</v>
      </c>
      <c r="R278" s="405">
        <f>'Imp Refined NYC'!AG69</f>
        <v>1794542.9558552499</v>
      </c>
      <c r="S278" s="405">
        <f>'Imp Refined NYC'!AH69</f>
        <v>1794542.9558552499</v>
      </c>
      <c r="T278" s="405">
        <f>'Imp Refined NYC'!AI69</f>
        <v>1794542.9558552499</v>
      </c>
      <c r="U278" s="405"/>
      <c r="V278" s="405"/>
      <c r="W278" s="405"/>
      <c r="X278" s="413"/>
      <c r="Y278" s="413"/>
      <c r="Z278" s="413"/>
      <c r="AA278" s="413"/>
      <c r="AB278" s="415"/>
      <c r="AC278" s="415"/>
      <c r="AG278" s="415"/>
      <c r="AH278" s="405"/>
      <c r="AI278" s="415"/>
      <c r="AJ278" s="415">
        <v>1.0049999999999999</v>
      </c>
      <c r="AK278" s="415">
        <v>1.0049999999999999</v>
      </c>
      <c r="BC278" s="365"/>
      <c r="BD278" s="365"/>
      <c r="BE278" s="365"/>
      <c r="BF278" s="365"/>
      <c r="BG278" s="365"/>
    </row>
    <row r="279" spans="2:59">
      <c r="B279" s="376" t="str">
        <f>Technologies!B$462</f>
        <v>R0,R1,R2,R3,R4,R5,R6</v>
      </c>
      <c r="C279" s="376" t="str">
        <f>'Imp Refined NYC'!E70</f>
        <v>IMPDSUP12</v>
      </c>
      <c r="D279" s="376" t="str">
        <f>'Imp Refined NYC'!F70</f>
        <v>Imported Distillate-Ultralow Sulfur Highway Diesel (15 ppm), PADD 1, Step 2</v>
      </c>
      <c r="E279" s="415" t="str">
        <f>'Imp Refined NYC'!G70</f>
        <v>DSUP1</v>
      </c>
      <c r="F279" s="413">
        <f>'Imp Refined NYC'!M70</f>
        <v>13.291126821125939</v>
      </c>
      <c r="G279" s="413">
        <f>'Imp Refined NYC'!N70</f>
        <v>14.311179042042422</v>
      </c>
      <c r="H279" s="413">
        <f>'Imp Refined NYC'!O70</f>
        <v>14.175107329452112</v>
      </c>
      <c r="I279" s="413">
        <f>'Imp Refined NYC'!P70</f>
        <v>15.295936417328646</v>
      </c>
      <c r="J279" s="413">
        <f>'Imp Refined NYC'!Q70</f>
        <v>16.174571338775856</v>
      </c>
      <c r="K279" s="413">
        <f>'Imp Refined NYC'!R70</f>
        <v>17.377701334353116</v>
      </c>
      <c r="L279" s="413">
        <f>'Imp Refined NYC'!S70</f>
        <v>18.67032500218539</v>
      </c>
      <c r="M279" s="413">
        <f>'Imp Refined NYC'!T70</f>
        <v>20.05909924335829</v>
      </c>
      <c r="N279" s="413">
        <f>'Imp Refined NYC'!U70</f>
        <v>21.551176126168098</v>
      </c>
      <c r="O279" s="413">
        <f>'Imp Refined NYC'!V70</f>
        <v>23.154239718660424</v>
      </c>
      <c r="P279" s="405"/>
      <c r="Q279" s="405">
        <f>'Imp Refined NYC'!AF70</f>
        <v>224317.8694819056</v>
      </c>
      <c r="R279" s="405">
        <f>'Imp Refined NYC'!AG70</f>
        <v>224317.8694819056</v>
      </c>
      <c r="S279" s="405">
        <f>'Imp Refined NYC'!AH70</f>
        <v>224317.8694819056</v>
      </c>
      <c r="T279" s="405">
        <f>'Imp Refined NYC'!AI70</f>
        <v>224317.8694819056</v>
      </c>
      <c r="U279" s="405"/>
      <c r="V279" s="405"/>
      <c r="W279" s="405"/>
      <c r="X279" s="413"/>
      <c r="Y279" s="413"/>
      <c r="Z279" s="413"/>
      <c r="AA279" s="413"/>
      <c r="AB279" s="415"/>
      <c r="AC279" s="415"/>
      <c r="AG279" s="415"/>
      <c r="AH279" s="405"/>
      <c r="AI279" s="415"/>
      <c r="AJ279" s="415">
        <v>1.0049999999999999</v>
      </c>
      <c r="AK279" s="415">
        <v>1.0049999999999999</v>
      </c>
      <c r="BC279" s="365"/>
      <c r="BD279" s="365"/>
      <c r="BE279" s="365"/>
      <c r="BF279" s="365"/>
      <c r="BG279" s="365"/>
    </row>
    <row r="280" spans="2:59">
      <c r="B280" s="376" t="str">
        <f>Technologies!B$463</f>
        <v>R0,R1,R2,R3,R4,R5,R6</v>
      </c>
      <c r="C280" s="376" t="str">
        <f>'Imp Refined NYC'!E71</f>
        <v>IMPDSUP14</v>
      </c>
      <c r="D280" s="376" t="str">
        <f>'Imp Refined NYC'!F71</f>
        <v>Imported Distillate-Ultralow Sulfur Highway Diesel (15 ppm), PADD 1, Step 4</v>
      </c>
      <c r="E280" s="415" t="str">
        <f>'Imp Refined NYC'!G71</f>
        <v>DSUP1</v>
      </c>
      <c r="F280" s="413">
        <f>'Imp Refined NYC'!M71</f>
        <v>14.782987994925788</v>
      </c>
      <c r="G280" s="413">
        <f>'Imp Refined NYC'!N71</f>
        <v>15.917535873292081</v>
      </c>
      <c r="H280" s="413">
        <f>'Imp Refined NYC'!O71</f>
        <v>15.766190805206941</v>
      </c>
      <c r="I280" s="413">
        <f>'Imp Refined NYC'!P71</f>
        <v>17.012827239681862</v>
      </c>
      <c r="J280" s="413">
        <f>'Imp Refined NYC'!Q71</f>
        <v>17.990084448230288</v>
      </c>
      <c r="K280" s="413">
        <f>'Imp Refined NYC'!R71</f>
        <v>19.328259647392752</v>
      </c>
      <c r="L280" s="413">
        <f>'Imp Refined NYC'!S71</f>
        <v>20.765973726920485</v>
      </c>
      <c r="M280" s="413">
        <f>'Imp Refined NYC'!T71</f>
        <v>22.310630791082179</v>
      </c>
      <c r="N280" s="413">
        <f>'Imp Refined NYC'!U71</f>
        <v>23.970185691350228</v>
      </c>
      <c r="O280" s="413">
        <f>'Imp Refined NYC'!V71</f>
        <v>25.753184993203934</v>
      </c>
      <c r="P280" s="405"/>
      <c r="Q280" s="405">
        <f>'Imp Refined NYC'!AF71</f>
        <v>448635.73896381306</v>
      </c>
      <c r="R280" s="405">
        <f>'Imp Refined NYC'!AG71</f>
        <v>448635.73896381306</v>
      </c>
      <c r="S280" s="405">
        <f>'Imp Refined NYC'!AH71</f>
        <v>448635.73896381306</v>
      </c>
      <c r="T280" s="405">
        <f>'Imp Refined NYC'!AI71</f>
        <v>448635.73896381306</v>
      </c>
      <c r="U280" s="405"/>
      <c r="V280" s="405"/>
      <c r="W280" s="405"/>
      <c r="X280" s="413"/>
      <c r="Y280" s="413"/>
      <c r="Z280" s="413"/>
      <c r="AA280" s="413"/>
      <c r="AB280" s="415"/>
      <c r="AC280" s="415"/>
      <c r="AG280" s="415"/>
      <c r="AH280" s="405"/>
      <c r="AI280" s="415"/>
      <c r="AJ280" s="415">
        <v>1.0049999999999999</v>
      </c>
      <c r="AK280" s="415">
        <v>1.0049999999999999</v>
      </c>
      <c r="BC280" s="365"/>
      <c r="BD280" s="365"/>
      <c r="BE280" s="365"/>
      <c r="BF280" s="365"/>
      <c r="BG280" s="365"/>
    </row>
    <row r="281" spans="2:59">
      <c r="B281" s="376" t="str">
        <f>Technologies!B$464</f>
        <v>R0,R1,R2,R3,R4,R5,R6</v>
      </c>
      <c r="C281" s="376" t="str">
        <f>'Imp Refined NYC'!E72</f>
        <v>IMPDSUP15</v>
      </c>
      <c r="D281" s="376" t="str">
        <f>'Imp Refined NYC'!F72</f>
        <v>Imported Distillate-Ultralow Sulfur Highway Diesel (15 ppm), PADD 1, Step 5</v>
      </c>
      <c r="E281" s="415" t="str">
        <f>'Imp Refined NYC'!G72</f>
        <v>DSUP1</v>
      </c>
      <c r="F281" s="413">
        <f>'Imp Refined NYC'!M72</f>
        <v>17.631086599452779</v>
      </c>
      <c r="G281" s="413">
        <f>'Imp Refined NYC'!N72</f>
        <v>18.984217096586889</v>
      </c>
      <c r="H281" s="413">
        <f>'Imp Refined NYC'!O72</f>
        <v>18.803713804375253</v>
      </c>
      <c r="I281" s="413">
        <f>'Imp Refined NYC'!P72</f>
        <v>20.290527900537999</v>
      </c>
      <c r="J281" s="413">
        <f>'Imp Refined NYC'!Q72</f>
        <v>21.456064020825114</v>
      </c>
      <c r="K281" s="413">
        <f>'Imp Refined NYC'!R72</f>
        <v>23.052052790468419</v>
      </c>
      <c r="L281" s="413">
        <f>'Imp Refined NYC'!S72</f>
        <v>24.766757655960213</v>
      </c>
      <c r="M281" s="413">
        <f>'Imp Refined NYC'!T72</f>
        <v>26.60900920037324</v>
      </c>
      <c r="N281" s="413">
        <f>'Imp Refined NYC'!U72</f>
        <v>28.588294861243391</v>
      </c>
      <c r="O281" s="413">
        <f>'Imp Refined NYC'!V72</f>
        <v>30.714807790059741</v>
      </c>
      <c r="P281" s="405"/>
      <c r="Q281" s="405">
        <f>'Imp Refined NYC'!AF72</f>
        <v>1794542.9558552485</v>
      </c>
      <c r="R281" s="405">
        <f>'Imp Refined NYC'!AG72</f>
        <v>1794542.9558552485</v>
      </c>
      <c r="S281" s="405">
        <f>'Imp Refined NYC'!AH72</f>
        <v>1794542.9558552485</v>
      </c>
      <c r="T281" s="405">
        <f>'Imp Refined NYC'!AI72</f>
        <v>1794542.9558552485</v>
      </c>
      <c r="U281" s="405"/>
      <c r="V281" s="405"/>
      <c r="W281" s="405"/>
      <c r="X281" s="413"/>
      <c r="Y281" s="413"/>
      <c r="Z281" s="413"/>
      <c r="AA281" s="413"/>
      <c r="AB281" s="415"/>
      <c r="AC281" s="415"/>
      <c r="AG281" s="415"/>
      <c r="AH281" s="405"/>
      <c r="AI281" s="415"/>
      <c r="AJ281" s="415">
        <v>1.0049999999999999</v>
      </c>
      <c r="AK281" s="415">
        <v>1.0049999999999999</v>
      </c>
      <c r="BC281" s="365"/>
      <c r="BD281" s="365"/>
      <c r="BE281" s="365"/>
      <c r="BF281" s="365"/>
      <c r="BG281" s="365"/>
    </row>
    <row r="282" spans="2:59">
      <c r="B282" s="399" t="s">
        <v>588</v>
      </c>
      <c r="C282" s="399"/>
      <c r="D282" s="399"/>
      <c r="E282" s="398"/>
      <c r="F282" s="413"/>
      <c r="G282" s="413"/>
      <c r="H282" s="413"/>
      <c r="I282" s="413"/>
      <c r="J282" s="413"/>
      <c r="K282" s="413"/>
      <c r="L282" s="413"/>
      <c r="M282" s="413"/>
      <c r="N282" s="413"/>
      <c r="O282" s="413"/>
      <c r="P282" s="405"/>
      <c r="Q282" s="405"/>
      <c r="R282" s="405"/>
      <c r="S282" s="405"/>
      <c r="T282" s="405"/>
      <c r="U282" s="405"/>
      <c r="V282" s="405"/>
      <c r="W282" s="405"/>
      <c r="X282" s="405"/>
      <c r="Y282" s="405"/>
      <c r="Z282" s="405"/>
      <c r="AA282" s="413"/>
      <c r="AB282" s="415"/>
      <c r="AC282" s="415"/>
      <c r="AG282" s="415"/>
      <c r="AH282" s="405"/>
      <c r="AI282" s="415"/>
      <c r="AJ282" s="415"/>
      <c r="AK282" s="415"/>
      <c r="BC282" s="365"/>
      <c r="BD282" s="365"/>
      <c r="BE282" s="365"/>
      <c r="BF282" s="365"/>
      <c r="BG282" s="365"/>
    </row>
    <row r="283" spans="2:59">
      <c r="B283" s="399" t="s">
        <v>588</v>
      </c>
      <c r="C283" s="399"/>
      <c r="D283" s="399"/>
      <c r="E283" s="398"/>
      <c r="F283" s="413"/>
      <c r="G283" s="413"/>
      <c r="H283" s="413"/>
      <c r="I283" s="413"/>
      <c r="J283" s="413"/>
      <c r="K283" s="413"/>
      <c r="L283" s="413"/>
      <c r="M283" s="413"/>
      <c r="N283" s="413"/>
      <c r="O283" s="413"/>
      <c r="P283" s="405"/>
      <c r="Q283" s="405"/>
      <c r="R283" s="405"/>
      <c r="S283" s="405"/>
      <c r="T283" s="405"/>
      <c r="U283" s="405"/>
      <c r="V283" s="405"/>
      <c r="W283" s="405"/>
      <c r="X283" s="405"/>
      <c r="Y283" s="405"/>
      <c r="Z283" s="405"/>
      <c r="AA283" s="413"/>
      <c r="AB283" s="415"/>
      <c r="AC283" s="415"/>
      <c r="AG283" s="415"/>
      <c r="AH283" s="405"/>
      <c r="AI283" s="415"/>
      <c r="AJ283" s="415"/>
      <c r="AK283" s="415"/>
      <c r="BC283" s="365"/>
      <c r="BD283" s="365"/>
      <c r="BE283" s="365"/>
      <c r="BF283" s="365"/>
      <c r="BG283" s="365"/>
    </row>
    <row r="284" spans="2:59">
      <c r="B284" s="376" t="str">
        <f>Technologies!B$467</f>
        <v>R0,R1,R2,R3,R4,R5,R6</v>
      </c>
      <c r="C284" s="376" t="str">
        <f>'Imp Refined NYC'!E75</f>
        <v>IMPGSRP23</v>
      </c>
      <c r="D284" s="376" t="str">
        <f>'Imp Refined NYC'!F75</f>
        <v>Imported Reformulated Gasoline, PADD 2, Step 3</v>
      </c>
      <c r="E284" s="415" t="str">
        <f>'Imp Refined NYC'!G75</f>
        <v>GSRP2</v>
      </c>
      <c r="F284" s="413">
        <f>'Imp Refined NYC'!M75</f>
        <v>35.258936024465008</v>
      </c>
      <c r="G284" s="413">
        <f>'Imp Refined NYC'!N75</f>
        <v>37.964948575766577</v>
      </c>
      <c r="H284" s="413">
        <f>'Imp Refined NYC'!O75</f>
        <v>37.603975132842592</v>
      </c>
      <c r="I284" s="413">
        <f>'Imp Refined NYC'!P75</f>
        <v>40.577330337081797</v>
      </c>
      <c r="J284" s="413">
        <f>'Imp Refined NYC'!Q75</f>
        <v>42.908188578154814</v>
      </c>
      <c r="K284" s="413">
        <f>'Imp Refined NYC'!R75</f>
        <v>46.099873084222892</v>
      </c>
      <c r="L284" s="413">
        <f>'Imp Refined NYC'!S75</f>
        <v>49.528967984992676</v>
      </c>
      <c r="M284" s="413">
        <f>'Imp Refined NYC'!T75</f>
        <v>53.213132825261049</v>
      </c>
      <c r="N284" s="413">
        <f>'Imp Refined NYC'!U75</f>
        <v>57.171340738148714</v>
      </c>
      <c r="O284" s="413">
        <f>'Imp Refined NYC'!V75</f>
        <v>61.423976155109372</v>
      </c>
      <c r="P284" s="405"/>
      <c r="Q284" s="405">
        <f>'Imp Refined NYC'!AF75</f>
        <v>198323.95327584841</v>
      </c>
      <c r="R284" s="405">
        <f>'Imp Refined NYC'!AG75</f>
        <v>198323.95327584841</v>
      </c>
      <c r="S284" s="405">
        <f>'Imp Refined NYC'!AH75</f>
        <v>198323.95327584841</v>
      </c>
      <c r="T284" s="405">
        <f>'Imp Refined NYC'!AI75</f>
        <v>198323.95327584841</v>
      </c>
      <c r="U284" s="405"/>
      <c r="V284" s="405"/>
      <c r="W284" s="405"/>
      <c r="X284" s="405"/>
      <c r="Y284" s="405"/>
      <c r="Z284" s="405"/>
      <c r="AA284" s="413"/>
      <c r="AB284" s="415"/>
      <c r="AC284" s="415"/>
      <c r="AG284" s="415"/>
      <c r="AH284" s="405"/>
      <c r="AI284" s="415"/>
      <c r="AJ284" s="415">
        <v>1.0049999999999999</v>
      </c>
      <c r="AK284" s="415">
        <v>1.0049999999999999</v>
      </c>
      <c r="BC284" s="365"/>
      <c r="BD284" s="365"/>
      <c r="BE284" s="365"/>
      <c r="BF284" s="365"/>
      <c r="BG284" s="365"/>
    </row>
    <row r="285" spans="2:59">
      <c r="B285" s="376" t="str">
        <f>Technologies!B$468</f>
        <v>R0,R1,R2,R3,R4,R5,R6</v>
      </c>
      <c r="C285" s="376" t="str">
        <f>'Imp Refined NYC'!E76</f>
        <v>IMPGSRP21</v>
      </c>
      <c r="D285" s="376" t="str">
        <f>'Imp Refined NYC'!F76</f>
        <v>Imported Reformulated Gasoline, PADD 2, Step 1</v>
      </c>
      <c r="E285" s="415" t="str">
        <f>'Imp Refined NYC'!G76</f>
        <v>GSRP2</v>
      </c>
      <c r="F285" s="413">
        <f>'Imp Refined NYC'!M76</f>
        <v>33.495989223241757</v>
      </c>
      <c r="G285" s="413">
        <f>'Imp Refined NYC'!N76</f>
        <v>36.066701146978247</v>
      </c>
      <c r="H285" s="413">
        <f>'Imp Refined NYC'!O76</f>
        <v>35.723776376200462</v>
      </c>
      <c r="I285" s="413">
        <f>'Imp Refined NYC'!P76</f>
        <v>38.54846382022771</v>
      </c>
      <c r="J285" s="413">
        <f>'Imp Refined NYC'!Q76</f>
        <v>40.762779149247073</v>
      </c>
      <c r="K285" s="413">
        <f>'Imp Refined NYC'!R76</f>
        <v>43.794879430011747</v>
      </c>
      <c r="L285" s="413">
        <f>'Imp Refined NYC'!S76</f>
        <v>47.052519585743042</v>
      </c>
      <c r="M285" s="413">
        <f>'Imp Refined NYC'!T76</f>
        <v>50.552476183997996</v>
      </c>
      <c r="N285" s="413">
        <f>'Imp Refined NYC'!U76</f>
        <v>54.312773701241277</v>
      </c>
      <c r="O285" s="413">
        <f>'Imp Refined NYC'!V76</f>
        <v>58.3527773473539</v>
      </c>
      <c r="P285" s="405"/>
      <c r="Q285" s="405">
        <f>'Imp Refined NYC'!AF76</f>
        <v>1586591.6262067873</v>
      </c>
      <c r="R285" s="405">
        <f>'Imp Refined NYC'!AG76</f>
        <v>1586591.6262067873</v>
      </c>
      <c r="S285" s="405">
        <f>'Imp Refined NYC'!AH76</f>
        <v>1586591.6262067873</v>
      </c>
      <c r="T285" s="405">
        <f>'Imp Refined NYC'!AI76</f>
        <v>1586591.6262067873</v>
      </c>
      <c r="U285" s="405"/>
      <c r="V285" s="405"/>
      <c r="W285" s="405"/>
      <c r="X285" s="405"/>
      <c r="Y285" s="405"/>
      <c r="Z285" s="405"/>
      <c r="AA285" s="413"/>
      <c r="AB285" s="415"/>
      <c r="AC285" s="415"/>
      <c r="AG285" s="415"/>
      <c r="AH285" s="405"/>
      <c r="AI285" s="415"/>
      <c r="AJ285" s="415">
        <v>1.0049999999999999</v>
      </c>
      <c r="AK285" s="415">
        <v>1.0049999999999999</v>
      </c>
      <c r="BC285" s="365"/>
      <c r="BD285" s="365"/>
      <c r="BE285" s="365"/>
      <c r="BF285" s="365"/>
      <c r="BG285" s="365"/>
    </row>
    <row r="286" spans="2:59">
      <c r="B286" s="376" t="str">
        <f>Technologies!B$469</f>
        <v>R0,R1,R2,R3,R4,R5,R6</v>
      </c>
      <c r="C286" s="376" t="str">
        <f>'Imp Refined NYC'!E77</f>
        <v>IMPGSRP22</v>
      </c>
      <c r="D286" s="376" t="str">
        <f>'Imp Refined NYC'!F77</f>
        <v>Imported Reformulated Gasoline, PADD 2, Step 2</v>
      </c>
      <c r="E286" s="415" t="str">
        <f>'Imp Refined NYC'!G77</f>
        <v>GSRP2</v>
      </c>
      <c r="F286" s="413">
        <f>'Imp Refined NYC'!M77</f>
        <v>34.553757303975701</v>
      </c>
      <c r="G286" s="413">
        <f>'Imp Refined NYC'!N77</f>
        <v>37.205649604251242</v>
      </c>
      <c r="H286" s="413">
        <f>'Imp Refined NYC'!O77</f>
        <v>36.851895630185737</v>
      </c>
      <c r="I286" s="413">
        <f>'Imp Refined NYC'!P77</f>
        <v>39.765783730340161</v>
      </c>
      <c r="J286" s="413">
        <f>'Imp Refined NYC'!Q77</f>
        <v>42.050024806591715</v>
      </c>
      <c r="K286" s="413">
        <f>'Imp Refined NYC'!R77</f>
        <v>45.17787562253843</v>
      </c>
      <c r="L286" s="413">
        <f>'Imp Refined NYC'!S77</f>
        <v>48.538388625292818</v>
      </c>
      <c r="M286" s="413">
        <f>'Imp Refined NYC'!T77</f>
        <v>52.148870168755828</v>
      </c>
      <c r="N286" s="413">
        <f>'Imp Refined NYC'!U77</f>
        <v>56.027913923385739</v>
      </c>
      <c r="O286" s="413">
        <f>'Imp Refined NYC'!V77</f>
        <v>60.195496632007185</v>
      </c>
      <c r="P286" s="405"/>
      <c r="Q286" s="405">
        <f>'Imp Refined NYC'!AF77</f>
        <v>198323.95327584841</v>
      </c>
      <c r="R286" s="405">
        <f>'Imp Refined NYC'!AG77</f>
        <v>198323.95327584841</v>
      </c>
      <c r="S286" s="405">
        <f>'Imp Refined NYC'!AH77</f>
        <v>198323.95327584841</v>
      </c>
      <c r="T286" s="405">
        <f>'Imp Refined NYC'!AI77</f>
        <v>198323.95327584841</v>
      </c>
      <c r="U286" s="405"/>
      <c r="V286" s="405"/>
      <c r="W286" s="405"/>
      <c r="X286" s="405"/>
      <c r="Y286" s="405"/>
      <c r="Z286" s="405"/>
      <c r="AA286" s="413"/>
      <c r="AB286" s="415"/>
      <c r="AC286" s="415"/>
      <c r="AG286" s="415"/>
      <c r="AH286" s="405"/>
      <c r="AI286" s="415"/>
      <c r="AJ286" s="415">
        <v>1.0049999999999999</v>
      </c>
      <c r="AK286" s="415">
        <v>1.0049999999999999</v>
      </c>
      <c r="BC286" s="365"/>
      <c r="BD286" s="365"/>
      <c r="BE286" s="365"/>
      <c r="BF286" s="365"/>
      <c r="BG286" s="365"/>
    </row>
    <row r="287" spans="2:59">
      <c r="B287" s="376" t="str">
        <f>Technologies!B$470</f>
        <v>R0,R1,R2,R3,R4,R5,R6</v>
      </c>
      <c r="C287" s="376" t="str">
        <f>'Imp Refined NYC'!E78</f>
        <v>IMPGSRP24</v>
      </c>
      <c r="D287" s="376" t="str">
        <f>'Imp Refined NYC'!F78</f>
        <v>Imported Reformulated Gasoline, PADD 2, Step 4</v>
      </c>
      <c r="E287" s="415" t="str">
        <f>'Imp Refined NYC'!G78</f>
        <v>GSRP2</v>
      </c>
      <c r="F287" s="413">
        <f>'Imp Refined NYC'!M78</f>
        <v>38.432240266666867</v>
      </c>
      <c r="G287" s="413">
        <f>'Imp Refined NYC'!N78</f>
        <v>41.381793947585578</v>
      </c>
      <c r="H287" s="413">
        <f>'Imp Refined NYC'!O78</f>
        <v>40.988332894798432</v>
      </c>
      <c r="I287" s="413">
        <f>'Imp Refined NYC'!P78</f>
        <v>44.229290067419171</v>
      </c>
      <c r="J287" s="413">
        <f>'Imp Refined NYC'!Q78</f>
        <v>46.769925550188759</v>
      </c>
      <c r="K287" s="413">
        <f>'Imp Refined NYC'!R78</f>
        <v>50.24886166180297</v>
      </c>
      <c r="L287" s="413">
        <f>'Imp Refined NYC'!S78</f>
        <v>53.986575103642039</v>
      </c>
      <c r="M287" s="413">
        <f>'Imp Refined NYC'!T78</f>
        <v>58.002314779534572</v>
      </c>
      <c r="N287" s="413">
        <f>'Imp Refined NYC'!U78</f>
        <v>62.316761404582124</v>
      </c>
      <c r="O287" s="413">
        <f>'Imp Refined NYC'!V78</f>
        <v>66.952134009069241</v>
      </c>
      <c r="P287" s="405"/>
      <c r="Q287" s="405">
        <f>'Imp Refined NYC'!AF78</f>
        <v>396647.90655169683</v>
      </c>
      <c r="R287" s="405">
        <f>'Imp Refined NYC'!AG78</f>
        <v>396647.90655169683</v>
      </c>
      <c r="S287" s="405">
        <f>'Imp Refined NYC'!AH78</f>
        <v>396647.90655169683</v>
      </c>
      <c r="T287" s="405">
        <f>'Imp Refined NYC'!AI78</f>
        <v>396647.90655169683</v>
      </c>
      <c r="U287" s="405"/>
      <c r="V287" s="405"/>
      <c r="W287" s="405"/>
      <c r="X287" s="405"/>
      <c r="Y287" s="405"/>
      <c r="Z287" s="405"/>
      <c r="AA287" s="413"/>
      <c r="AB287" s="415"/>
      <c r="AC287" s="415"/>
      <c r="AG287" s="415"/>
      <c r="AH287" s="405"/>
      <c r="AI287" s="415"/>
      <c r="AJ287" s="415">
        <v>1.0049999999999999</v>
      </c>
      <c r="AK287" s="415">
        <v>1.0049999999999999</v>
      </c>
      <c r="BC287" s="365"/>
      <c r="BD287" s="365"/>
      <c r="BE287" s="365"/>
      <c r="BF287" s="365"/>
      <c r="BG287" s="365"/>
    </row>
    <row r="288" spans="2:59">
      <c r="B288" s="376" t="str">
        <f>Technologies!B$471</f>
        <v>R0,R1,R2,R3,R4,R5,R6</v>
      </c>
      <c r="C288" s="376" t="str">
        <f>'Imp Refined NYC'!E79</f>
        <v>IMPGSRP25</v>
      </c>
      <c r="D288" s="376" t="str">
        <f>'Imp Refined NYC'!F79</f>
        <v>Imported Reformulated Gasoline, PADD 2, Step 5</v>
      </c>
      <c r="E288" s="415" t="str">
        <f>'Imp Refined NYC'!G79</f>
        <v>GSRP2</v>
      </c>
      <c r="F288" s="413">
        <f>'Imp Refined NYC'!M79</f>
        <v>45.836616831804506</v>
      </c>
      <c r="G288" s="413">
        <f>'Imp Refined NYC'!N79</f>
        <v>49.354433148496547</v>
      </c>
      <c r="H288" s="413">
        <f>'Imp Refined NYC'!O79</f>
        <v>48.885167672695367</v>
      </c>
      <c r="I288" s="413">
        <f>'Imp Refined NYC'!P79</f>
        <v>52.750529438206335</v>
      </c>
      <c r="J288" s="413">
        <f>'Imp Refined NYC'!Q79</f>
        <v>55.780645151601256</v>
      </c>
      <c r="K288" s="413">
        <f>'Imp Refined NYC'!R79</f>
        <v>59.929835009489757</v>
      </c>
      <c r="L288" s="413">
        <f>'Imp Refined NYC'!S79</f>
        <v>64.387658380490478</v>
      </c>
      <c r="M288" s="413">
        <f>'Imp Refined NYC'!T79</f>
        <v>69.177072672839373</v>
      </c>
      <c r="N288" s="413">
        <f>'Imp Refined NYC'!U79</f>
        <v>74.322742959593327</v>
      </c>
      <c r="O288" s="413">
        <f>'Imp Refined NYC'!V79</f>
        <v>79.851169001642191</v>
      </c>
      <c r="P288" s="405"/>
      <c r="Q288" s="405">
        <f>'Imp Refined NYC'!AF79</f>
        <v>1586591.6262067873</v>
      </c>
      <c r="R288" s="405">
        <f>'Imp Refined NYC'!AG79</f>
        <v>1586591.6262067873</v>
      </c>
      <c r="S288" s="405">
        <f>'Imp Refined NYC'!AH79</f>
        <v>1586591.6262067873</v>
      </c>
      <c r="T288" s="405">
        <f>'Imp Refined NYC'!AI79</f>
        <v>1586591.6262067873</v>
      </c>
      <c r="U288" s="405"/>
      <c r="V288" s="405"/>
      <c r="W288" s="405"/>
      <c r="X288" s="405"/>
      <c r="Y288" s="405"/>
      <c r="Z288" s="405"/>
      <c r="AA288" s="413"/>
      <c r="AB288" s="415"/>
      <c r="AC288" s="415"/>
      <c r="AG288" s="415"/>
      <c r="AH288" s="405"/>
      <c r="AI288" s="415"/>
      <c r="AJ288" s="415">
        <v>1.0049999999999999</v>
      </c>
      <c r="AK288" s="415">
        <v>1.0049999999999999</v>
      </c>
      <c r="BC288" s="365"/>
      <c r="BD288" s="365"/>
      <c r="BE288" s="365"/>
      <c r="BF288" s="365"/>
      <c r="BG288" s="365"/>
    </row>
    <row r="289" spans="2:59">
      <c r="B289" s="376" t="str">
        <f>Technologies!B$472</f>
        <v>R0,R1,R2,R3,R4,R5,R6</v>
      </c>
      <c r="C289" s="376" t="str">
        <f>'Imp Refined NYC'!E80</f>
        <v>IMPGSCP23</v>
      </c>
      <c r="D289" s="376" t="str">
        <f>'Imp Refined NYC'!F80</f>
        <v>Imported Conventional Gasoline, PADD 2, Step 3</v>
      </c>
      <c r="E289" s="415" t="str">
        <f>'Imp Refined NYC'!G80</f>
        <v>GSCP2</v>
      </c>
      <c r="F289" s="413">
        <f>'Imp Refined NYC'!M80</f>
        <v>15.419883656548874</v>
      </c>
      <c r="G289" s="413">
        <f>'Imp Refined NYC'!N80</f>
        <v>16.60331127572827</v>
      </c>
      <c r="H289" s="413">
        <f>'Imp Refined NYC'!O80</f>
        <v>16.4454458061313</v>
      </c>
      <c r="I289" s="413">
        <f>'Imp Refined NYC'!P80</f>
        <v>17.74579109412155</v>
      </c>
      <c r="J289" s="413">
        <f>'Imp Refined NYC'!Q80</f>
        <v>18.765151487535444</v>
      </c>
      <c r="K289" s="413">
        <f>'Imp Refined NYC'!R80</f>
        <v>20.16097930598778</v>
      </c>
      <c r="L289" s="413">
        <f>'Imp Refined NYC'!S80</f>
        <v>21.660634439666403</v>
      </c>
      <c r="M289" s="413">
        <f>'Imp Refined NYC'!T80</f>
        <v>23.271839983959293</v>
      </c>
      <c r="N289" s="413">
        <f>'Imp Refined NYC'!U80</f>
        <v>25.002893509306986</v>
      </c>
      <c r="O289" s="413">
        <f>'Imp Refined NYC'!V80</f>
        <v>26.862709792979079</v>
      </c>
      <c r="P289" s="405"/>
      <c r="Q289" s="405">
        <f>'Imp Refined NYC'!AF80</f>
        <v>202290.43234136514</v>
      </c>
      <c r="R289" s="405">
        <f>'Imp Refined NYC'!AG80</f>
        <v>202290.43234136514</v>
      </c>
      <c r="S289" s="405">
        <f>'Imp Refined NYC'!AH80</f>
        <v>202290.43234136514</v>
      </c>
      <c r="T289" s="405">
        <f>'Imp Refined NYC'!AI80</f>
        <v>202290.43234136514</v>
      </c>
      <c r="U289" s="405"/>
      <c r="V289" s="405"/>
      <c r="W289" s="405"/>
      <c r="X289" s="405"/>
      <c r="Y289" s="405"/>
      <c r="Z289" s="405"/>
      <c r="AA289" s="413"/>
      <c r="AB289" s="415"/>
      <c r="AC289" s="415"/>
      <c r="AG289" s="415"/>
      <c r="AH289" s="405"/>
      <c r="AI289" s="415"/>
      <c r="AJ289" s="415">
        <v>1.0049999999999999</v>
      </c>
      <c r="AK289" s="415">
        <v>1.0049999999999999</v>
      </c>
      <c r="BC289" s="365"/>
      <c r="BD289" s="365"/>
      <c r="BE289" s="365"/>
      <c r="BF289" s="365"/>
      <c r="BG289" s="365"/>
    </row>
    <row r="290" spans="2:59">
      <c r="B290" s="376" t="str">
        <f>Technologies!B$473</f>
        <v>R0,R1,R2,R3,R4,R5,R6</v>
      </c>
      <c r="C290" s="376" t="str">
        <f>'Imp Refined NYC'!E81</f>
        <v>IMPGSCP21</v>
      </c>
      <c r="D290" s="376" t="str">
        <f>'Imp Refined NYC'!F81</f>
        <v>Imported Conventional Gasoline, PADD 2, Step 1</v>
      </c>
      <c r="E290" s="415" t="str">
        <f>'Imp Refined NYC'!G81</f>
        <v>GSCP2</v>
      </c>
      <c r="F290" s="413">
        <f>'Imp Refined NYC'!M81</f>
        <v>14.648889473721432</v>
      </c>
      <c r="G290" s="413">
        <f>'Imp Refined NYC'!N81</f>
        <v>15.773145711941858</v>
      </c>
      <c r="H290" s="413">
        <f>'Imp Refined NYC'!O81</f>
        <v>15.623173515824735</v>
      </c>
      <c r="I290" s="413">
        <f>'Imp Refined NYC'!P81</f>
        <v>16.858501539415471</v>
      </c>
      <c r="J290" s="413">
        <f>'Imp Refined NYC'!Q81</f>
        <v>17.826893913158671</v>
      </c>
      <c r="K290" s="413">
        <f>'Imp Refined NYC'!R81</f>
        <v>19.152930340688389</v>
      </c>
      <c r="L290" s="413">
        <f>'Imp Refined NYC'!S81</f>
        <v>20.577602717683082</v>
      </c>
      <c r="M290" s="413">
        <f>'Imp Refined NYC'!T81</f>
        <v>22.108247984761327</v>
      </c>
      <c r="N290" s="413">
        <f>'Imp Refined NYC'!U81</f>
        <v>23.752748833841636</v>
      </c>
      <c r="O290" s="413">
        <f>'Imp Refined NYC'!V81</f>
        <v>25.519574303330124</v>
      </c>
      <c r="P290" s="405"/>
      <c r="Q290" s="405">
        <f>'Imp Refined NYC'!AF81</f>
        <v>1618323.4587309228</v>
      </c>
      <c r="R290" s="405">
        <f>'Imp Refined NYC'!AG81</f>
        <v>1618323.4587309228</v>
      </c>
      <c r="S290" s="405">
        <f>'Imp Refined NYC'!AH81</f>
        <v>1618323.4587309228</v>
      </c>
      <c r="T290" s="405">
        <f>'Imp Refined NYC'!AI81</f>
        <v>1618323.4587309228</v>
      </c>
      <c r="U290" s="405"/>
      <c r="V290" s="405"/>
      <c r="W290" s="405"/>
      <c r="X290" s="405"/>
      <c r="Y290" s="405"/>
      <c r="Z290" s="405"/>
      <c r="AA290" s="413"/>
      <c r="AB290" s="415"/>
      <c r="AC290" s="415"/>
      <c r="AG290" s="415"/>
      <c r="AH290" s="405"/>
      <c r="AI290" s="415"/>
      <c r="AJ290" s="415">
        <v>1.0049999999999999</v>
      </c>
      <c r="AK290" s="415">
        <v>1.0049999999999999</v>
      </c>
      <c r="BC290" s="365"/>
      <c r="BD290" s="365"/>
      <c r="BE290" s="365"/>
      <c r="BF290" s="365"/>
      <c r="BG290" s="365"/>
    </row>
    <row r="291" spans="2:59">
      <c r="B291" s="376" t="str">
        <f>Technologies!B$474</f>
        <v>R0,R1,R2,R3,R4,R5,R6</v>
      </c>
      <c r="C291" s="376" t="str">
        <f>'Imp Refined NYC'!E82</f>
        <v>IMPGSCP22</v>
      </c>
      <c r="D291" s="376" t="str">
        <f>'Imp Refined NYC'!F82</f>
        <v>Imported Conventional Gasoline, PADD 2, Step 2</v>
      </c>
      <c r="E291" s="415" t="str">
        <f>'Imp Refined NYC'!G82</f>
        <v>GSCP2</v>
      </c>
      <c r="F291" s="413">
        <f>'Imp Refined NYC'!M82</f>
        <v>15.111485983417895</v>
      </c>
      <c r="G291" s="413">
        <f>'Imp Refined NYC'!N82</f>
        <v>16.2712450502137</v>
      </c>
      <c r="H291" s="413">
        <f>'Imp Refined NYC'!O82</f>
        <v>16.116536890008668</v>
      </c>
      <c r="I291" s="413">
        <f>'Imp Refined NYC'!P82</f>
        <v>17.390875272239111</v>
      </c>
      <c r="J291" s="413">
        <f>'Imp Refined NYC'!Q82</f>
        <v>18.38984845778473</v>
      </c>
      <c r="K291" s="413">
        <f>'Imp Refined NYC'!R82</f>
        <v>19.757759719868019</v>
      </c>
      <c r="L291" s="413">
        <f>'Imp Refined NYC'!S82</f>
        <v>21.22742175087307</v>
      </c>
      <c r="M291" s="413">
        <f>'Imp Refined NYC'!T82</f>
        <v>22.8064031842801</v>
      </c>
      <c r="N291" s="413">
        <f>'Imp Refined NYC'!U82</f>
        <v>24.502835639120839</v>
      </c>
      <c r="O291" s="413">
        <f>'Imp Refined NYC'!V82</f>
        <v>26.32545559711949</v>
      </c>
      <c r="P291" s="405"/>
      <c r="Q291" s="405">
        <f>'Imp Refined NYC'!AF82</f>
        <v>202290.43234136584</v>
      </c>
      <c r="R291" s="405">
        <f>'Imp Refined NYC'!AG82</f>
        <v>202290.43234136584</v>
      </c>
      <c r="S291" s="405">
        <f>'Imp Refined NYC'!AH82</f>
        <v>202290.43234136584</v>
      </c>
      <c r="T291" s="405">
        <f>'Imp Refined NYC'!AI82</f>
        <v>202290.43234136584</v>
      </c>
      <c r="U291" s="405"/>
      <c r="V291" s="405"/>
      <c r="W291" s="405"/>
      <c r="X291" s="405"/>
      <c r="Y291" s="405"/>
      <c r="Z291" s="405"/>
      <c r="AA291" s="413"/>
      <c r="AB291" s="415"/>
      <c r="AC291" s="415"/>
      <c r="AG291" s="415"/>
      <c r="AH291" s="405"/>
      <c r="AI291" s="415"/>
      <c r="AJ291" s="415">
        <v>1.0049999999999999</v>
      </c>
      <c r="AK291" s="415">
        <v>1.0049999999999999</v>
      </c>
      <c r="BC291" s="365"/>
      <c r="BD291" s="365"/>
      <c r="BE291" s="365"/>
      <c r="BF291" s="365"/>
      <c r="BG291" s="365"/>
    </row>
    <row r="292" spans="2:59">
      <c r="B292" s="376" t="str">
        <f>Technologies!B$475</f>
        <v>R0,R1,R2,R3,R4,R5,R6</v>
      </c>
      <c r="C292" s="376" t="str">
        <f>'Imp Refined NYC'!E83</f>
        <v>IMPGSCP24</v>
      </c>
      <c r="D292" s="376" t="str">
        <f>'Imp Refined NYC'!F83</f>
        <v>Imported Conventional Gasoline, PADD 2, Step 4</v>
      </c>
      <c r="E292" s="415" t="str">
        <f>'Imp Refined NYC'!G83</f>
        <v>GSCP2</v>
      </c>
      <c r="F292" s="413">
        <f>'Imp Refined NYC'!M83</f>
        <v>16.807673185638272</v>
      </c>
      <c r="G292" s="413">
        <f>'Imp Refined NYC'!N83</f>
        <v>18.097609290543812</v>
      </c>
      <c r="H292" s="413">
        <f>'Imp Refined NYC'!O83</f>
        <v>17.925535928683114</v>
      </c>
      <c r="I292" s="413">
        <f>'Imp Refined NYC'!P83</f>
        <v>19.342912292592487</v>
      </c>
      <c r="J292" s="413">
        <f>'Imp Refined NYC'!Q83</f>
        <v>20.454015121413633</v>
      </c>
      <c r="K292" s="413">
        <f>'Imp Refined NYC'!R83</f>
        <v>21.975467443526679</v>
      </c>
      <c r="L292" s="413">
        <f>'Imp Refined NYC'!S83</f>
        <v>23.610091539236379</v>
      </c>
      <c r="M292" s="413">
        <f>'Imp Refined NYC'!T83</f>
        <v>25.366305582515629</v>
      </c>
      <c r="N292" s="413">
        <f>'Imp Refined NYC'!U83</f>
        <v>27.253153925144613</v>
      </c>
      <c r="O292" s="413">
        <f>'Imp Refined NYC'!V83</f>
        <v>29.280353674347193</v>
      </c>
      <c r="P292" s="405"/>
      <c r="Q292" s="405">
        <f>'Imp Refined NYC'!AF83</f>
        <v>404580.86468273075</v>
      </c>
      <c r="R292" s="405">
        <f>'Imp Refined NYC'!AG83</f>
        <v>404580.86468273075</v>
      </c>
      <c r="S292" s="405">
        <f>'Imp Refined NYC'!AH83</f>
        <v>404580.86468273075</v>
      </c>
      <c r="T292" s="405">
        <f>'Imp Refined NYC'!AI83</f>
        <v>404580.86468273075</v>
      </c>
      <c r="U292" s="405"/>
      <c r="V292" s="405"/>
      <c r="W292" s="405"/>
      <c r="X292" s="405"/>
      <c r="Y292" s="405"/>
      <c r="Z292" s="405"/>
      <c r="AA292" s="413"/>
      <c r="AB292" s="415"/>
      <c r="AC292" s="415"/>
      <c r="AG292" s="415"/>
      <c r="AH292" s="405"/>
      <c r="AI292" s="415"/>
      <c r="AJ292" s="415">
        <v>1.0049999999999999</v>
      </c>
      <c r="AK292" s="415">
        <v>1.0049999999999999</v>
      </c>
      <c r="BC292" s="365"/>
      <c r="BD292" s="365"/>
      <c r="BE292" s="365"/>
      <c r="BF292" s="365"/>
      <c r="BG292" s="365"/>
    </row>
    <row r="293" spans="2:59">
      <c r="B293" s="376" t="str">
        <f>Technologies!B$476</f>
        <v>R0,R1,R2,R3,R4,R5,R6</v>
      </c>
      <c r="C293" s="376" t="str">
        <f>'Imp Refined NYC'!E84</f>
        <v>IMPGSCP25</v>
      </c>
      <c r="D293" s="376" t="str">
        <f>'Imp Refined NYC'!F84</f>
        <v>Imported Conventional Gasoline, PADD 2, Step 5</v>
      </c>
      <c r="E293" s="415" t="str">
        <f>'Imp Refined NYC'!G84</f>
        <v>GSCP2</v>
      </c>
      <c r="F293" s="413">
        <f>'Imp Refined NYC'!M84</f>
        <v>20.045848753513535</v>
      </c>
      <c r="G293" s="413">
        <f>'Imp Refined NYC'!N84</f>
        <v>21.584304658446747</v>
      </c>
      <c r="H293" s="413">
        <f>'Imp Refined NYC'!O84</f>
        <v>21.379079547970687</v>
      </c>
      <c r="I293" s="413">
        <f>'Imp Refined NYC'!P84</f>
        <v>23.069528422358012</v>
      </c>
      <c r="J293" s="413">
        <f>'Imp Refined NYC'!Q84</f>
        <v>24.394696933796077</v>
      </c>
      <c r="K293" s="413">
        <f>'Imp Refined NYC'!R84</f>
        <v>26.209273097784113</v>
      </c>
      <c r="L293" s="413">
        <f>'Imp Refined NYC'!S84</f>
        <v>28.158824771566323</v>
      </c>
      <c r="M293" s="413">
        <f>'Imp Refined NYC'!T84</f>
        <v>30.253391979147079</v>
      </c>
      <c r="N293" s="413">
        <f>'Imp Refined NYC'!U84</f>
        <v>32.503761562099079</v>
      </c>
      <c r="O293" s="413">
        <f>'Imp Refined NYC'!V84</f>
        <v>34.921522730872802</v>
      </c>
      <c r="P293" s="405"/>
      <c r="Q293" s="405">
        <f>'Imp Refined NYC'!AF84</f>
        <v>1618323.458730923</v>
      </c>
      <c r="R293" s="405">
        <f>'Imp Refined NYC'!AG84</f>
        <v>1618323.458730923</v>
      </c>
      <c r="S293" s="405">
        <f>'Imp Refined NYC'!AH84</f>
        <v>1618323.458730923</v>
      </c>
      <c r="T293" s="405">
        <f>'Imp Refined NYC'!AI84</f>
        <v>1618323.458730923</v>
      </c>
      <c r="U293" s="405"/>
      <c r="V293" s="405"/>
      <c r="W293" s="405"/>
      <c r="X293" s="405"/>
      <c r="Y293" s="405"/>
      <c r="Z293" s="405"/>
      <c r="AA293" s="413"/>
      <c r="AB293" s="415"/>
      <c r="AC293" s="415"/>
      <c r="AG293" s="415"/>
      <c r="AH293" s="405"/>
      <c r="AI293" s="415"/>
      <c r="AJ293" s="415">
        <v>1.0049999999999999</v>
      </c>
      <c r="AK293" s="415">
        <v>1.0049999999999999</v>
      </c>
      <c r="BC293" s="365"/>
      <c r="BD293" s="365"/>
      <c r="BE293" s="365"/>
      <c r="BF293" s="365"/>
      <c r="BG293" s="365"/>
    </row>
    <row r="294" spans="2:59">
      <c r="B294" s="376" t="str">
        <f>Technologies!B$477</f>
        <v>R0,R1,R2,R3,R4,R5,R6</v>
      </c>
      <c r="C294" s="376" t="str">
        <f>'Imp Refined NYC'!E90</f>
        <v>IMPDSLP23</v>
      </c>
      <c r="D294" s="376" t="str">
        <f>'Imp Refined NYC'!F90</f>
        <v>Imported Distillate-Low Sulfur Highway Diesel (500 ppm), PADD 2, Step 3</v>
      </c>
      <c r="E294" s="415" t="str">
        <f>'Imp Refined NYC'!G90</f>
        <v>DSLP2</v>
      </c>
      <c r="F294" s="413">
        <f>'Imp Refined NYC'!M90</f>
        <v>12.246785548020053</v>
      </c>
      <c r="G294" s="413">
        <f>'Imp Refined NYC'!N90</f>
        <v>13.186687857694011</v>
      </c>
      <c r="H294" s="413">
        <f>'Imp Refined NYC'!O90</f>
        <v>13.061307887607759</v>
      </c>
      <c r="I294" s="413">
        <f>'Imp Refined NYC'!P90</f>
        <v>14.094068590288646</v>
      </c>
      <c r="J294" s="413">
        <f>'Imp Refined NYC'!Q90</f>
        <v>14.90366536885989</v>
      </c>
      <c r="K294" s="413">
        <f>'Imp Refined NYC'!R90</f>
        <v>16.012260241252871</v>
      </c>
      <c r="L294" s="413">
        <f>'Imp Refined NYC'!S90</f>
        <v>17.203316881317036</v>
      </c>
      <c r="M294" s="413">
        <f>'Imp Refined NYC'!T90</f>
        <v>18.48296912865132</v>
      </c>
      <c r="N294" s="413">
        <f>'Imp Refined NYC'!U90</f>
        <v>19.857807082637674</v>
      </c>
      <c r="O294" s="413">
        <f>'Imp Refined NYC'!V90</f>
        <v>21.334911040887992</v>
      </c>
      <c r="P294" s="405"/>
      <c r="Q294" s="405">
        <f>'Imp Refined NYC'!AF90</f>
        <v>224317.86948190606</v>
      </c>
      <c r="R294" s="405">
        <f>'Imp Refined NYC'!AG90</f>
        <v>224317.86948190606</v>
      </c>
      <c r="S294" s="405">
        <f>'Imp Refined NYC'!AH90</f>
        <v>224317.86948190606</v>
      </c>
      <c r="T294" s="405">
        <f>'Imp Refined NYC'!AI90</f>
        <v>224317.86948190606</v>
      </c>
      <c r="U294" s="405"/>
      <c r="V294" s="405"/>
      <c r="W294" s="405"/>
      <c r="X294" s="405"/>
      <c r="Y294" s="405"/>
      <c r="Z294" s="405"/>
      <c r="AA294" s="413"/>
      <c r="AB294" s="415"/>
      <c r="AC294" s="415"/>
      <c r="AG294" s="415"/>
      <c r="AH294" s="405"/>
      <c r="AI294" s="415"/>
      <c r="AJ294" s="415">
        <v>1.0049999999999999</v>
      </c>
      <c r="AK294" s="415">
        <v>1.0049999999999999</v>
      </c>
      <c r="BC294" s="365"/>
      <c r="BD294" s="365"/>
      <c r="BE294" s="365"/>
      <c r="BF294" s="365"/>
      <c r="BG294" s="365"/>
    </row>
    <row r="295" spans="2:59">
      <c r="B295" s="376" t="str">
        <f>Technologies!B$478</f>
        <v>R0,R1,R2,R3,R4,R5,R6</v>
      </c>
      <c r="C295" s="376" t="str">
        <f>'Imp Refined NYC'!E91</f>
        <v>IMPDSLP21</v>
      </c>
      <c r="D295" s="376" t="str">
        <f>'Imp Refined NYC'!F91</f>
        <v>Imported Distillate-Low Sulfur Highway Diesel (500 ppm), PADD 2, Step 1</v>
      </c>
      <c r="E295" s="415" t="str">
        <f>'Imp Refined NYC'!G91</f>
        <v>DSLP2</v>
      </c>
      <c r="F295" s="413">
        <f>'Imp Refined NYC'!M91</f>
        <v>11.634446270619048</v>
      </c>
      <c r="G295" s="413">
        <f>'Imp Refined NYC'!N91</f>
        <v>12.527353464809307</v>
      </c>
      <c r="H295" s="413">
        <f>'Imp Refined NYC'!O91</f>
        <v>12.408242493227368</v>
      </c>
      <c r="I295" s="413">
        <f>'Imp Refined NYC'!P91</f>
        <v>13.389365160774211</v>
      </c>
      <c r="J295" s="413">
        <f>'Imp Refined NYC'!Q91</f>
        <v>14.158482100416892</v>
      </c>
      <c r="K295" s="413">
        <f>'Imp Refined NYC'!R91</f>
        <v>15.211647229190223</v>
      </c>
      <c r="L295" s="413">
        <f>'Imp Refined NYC'!S91</f>
        <v>16.343151037251182</v>
      </c>
      <c r="M295" s="413">
        <f>'Imp Refined NYC'!T91</f>
        <v>17.558820672218751</v>
      </c>
      <c r="N295" s="413">
        <f>'Imp Refined NYC'!U91</f>
        <v>18.864916728505786</v>
      </c>
      <c r="O295" s="413">
        <f>'Imp Refined NYC'!V91</f>
        <v>20.268165488843589</v>
      </c>
      <c r="P295" s="405"/>
      <c r="Q295" s="405">
        <f>'Imp Refined NYC'!AF91</f>
        <v>1794542.9558552499</v>
      </c>
      <c r="R295" s="405">
        <f>'Imp Refined NYC'!AG91</f>
        <v>1794542.9558552499</v>
      </c>
      <c r="S295" s="405">
        <f>'Imp Refined NYC'!AH91</f>
        <v>1794542.9558552499</v>
      </c>
      <c r="T295" s="405">
        <f>'Imp Refined NYC'!AI91</f>
        <v>1794542.9558552499</v>
      </c>
      <c r="U295" s="405"/>
      <c r="V295" s="405"/>
      <c r="W295" s="405"/>
      <c r="X295" s="405"/>
      <c r="Y295" s="405"/>
      <c r="Z295" s="405"/>
      <c r="AA295" s="413"/>
      <c r="AB295" s="415"/>
      <c r="AC295" s="415"/>
      <c r="AG295" s="415"/>
      <c r="AH295" s="405"/>
      <c r="AI295" s="415"/>
      <c r="AJ295" s="415">
        <v>1.0049999999999999</v>
      </c>
      <c r="AK295" s="415">
        <v>1.0049999999999999</v>
      </c>
      <c r="BC295" s="365"/>
      <c r="BD295" s="365"/>
      <c r="BE295" s="365"/>
      <c r="BF295" s="365"/>
      <c r="BG295" s="365"/>
    </row>
    <row r="296" spans="2:59">
      <c r="B296" s="376" t="str">
        <f>Technologies!B$479</f>
        <v>R0,R1,R2,R3,R4,R5,R6</v>
      </c>
      <c r="C296" s="376" t="str">
        <f>'Imp Refined NYC'!E92</f>
        <v>IMPDSLP22</v>
      </c>
      <c r="D296" s="376" t="str">
        <f>'Imp Refined NYC'!F92</f>
        <v>Imported Distillate-Low Sulfur Highway Diesel (500 ppm), PADD 2, Step 2</v>
      </c>
      <c r="E296" s="415" t="str">
        <f>'Imp Refined NYC'!G92</f>
        <v>DSLP2</v>
      </c>
      <c r="F296" s="413">
        <f>'Imp Refined NYC'!M92</f>
        <v>12.001849837059652</v>
      </c>
      <c r="G296" s="413">
        <f>'Imp Refined NYC'!N92</f>
        <v>12.92295410054013</v>
      </c>
      <c r="H296" s="413">
        <f>'Imp Refined NYC'!O92</f>
        <v>12.800081729855602</v>
      </c>
      <c r="I296" s="413">
        <f>'Imp Refined NYC'!P92</f>
        <v>13.812187218482872</v>
      </c>
      <c r="J296" s="413">
        <f>'Imp Refined NYC'!Q92</f>
        <v>14.605592061482691</v>
      </c>
      <c r="K296" s="413">
        <f>'Imp Refined NYC'!R92</f>
        <v>15.692015036427811</v>
      </c>
      <c r="L296" s="413">
        <f>'Imp Refined NYC'!S92</f>
        <v>16.859250543690695</v>
      </c>
      <c r="M296" s="413">
        <f>'Imp Refined NYC'!T92</f>
        <v>18.113309746078293</v>
      </c>
      <c r="N296" s="413">
        <f>'Imp Refined NYC'!U92</f>
        <v>19.46065094098492</v>
      </c>
      <c r="O296" s="413">
        <f>'Imp Refined NYC'!V92</f>
        <v>20.908212820070233</v>
      </c>
      <c r="P296" s="405"/>
      <c r="Q296" s="405">
        <f>'Imp Refined NYC'!AF92</f>
        <v>224317.8694819056</v>
      </c>
      <c r="R296" s="405">
        <f>'Imp Refined NYC'!AG92</f>
        <v>224317.8694819056</v>
      </c>
      <c r="S296" s="405">
        <f>'Imp Refined NYC'!AH92</f>
        <v>224317.8694819056</v>
      </c>
      <c r="T296" s="405">
        <f>'Imp Refined NYC'!AI92</f>
        <v>224317.8694819056</v>
      </c>
      <c r="U296" s="405"/>
      <c r="V296" s="405"/>
      <c r="W296" s="405"/>
      <c r="X296" s="405"/>
      <c r="Y296" s="405"/>
      <c r="Z296" s="405"/>
      <c r="AA296" s="413"/>
      <c r="AB296" s="415"/>
      <c r="AC296" s="415"/>
      <c r="AG296" s="415"/>
      <c r="AH296" s="405"/>
      <c r="AI296" s="415"/>
      <c r="AJ296" s="415">
        <v>1.0049999999999999</v>
      </c>
      <c r="AK296" s="415">
        <v>1.0049999999999999</v>
      </c>
      <c r="BC296" s="365"/>
      <c r="BD296" s="365"/>
      <c r="BE296" s="365"/>
      <c r="BF296" s="365"/>
      <c r="BG296" s="365"/>
    </row>
    <row r="297" spans="2:59">
      <c r="B297" s="376" t="str">
        <f>Technologies!B$480</f>
        <v>R0,R1,R2,R3,R4,R5,R6</v>
      </c>
      <c r="C297" s="376" t="str">
        <f>'Imp Refined NYC'!E93</f>
        <v>IMPDSLP24</v>
      </c>
      <c r="D297" s="376" t="str">
        <f>'Imp Refined NYC'!F93</f>
        <v>Imported Distillate-Low Sulfur Highway Diesel (500 ppm), PADD 2, Step 4</v>
      </c>
      <c r="E297" s="415" t="str">
        <f>'Imp Refined NYC'!G93</f>
        <v>DSLP2</v>
      </c>
      <c r="F297" s="413">
        <f>'Imp Refined NYC'!M93</f>
        <v>13.34899624734186</v>
      </c>
      <c r="G297" s="413">
        <f>'Imp Refined NYC'!N93</f>
        <v>14.373489764886473</v>
      </c>
      <c r="H297" s="413">
        <f>'Imp Refined NYC'!O93</f>
        <v>14.236825597492459</v>
      </c>
      <c r="I297" s="413">
        <f>'Imp Refined NYC'!P93</f>
        <v>15.362534763414626</v>
      </c>
      <c r="J297" s="413">
        <f>'Imp Refined NYC'!Q93</f>
        <v>16.244995252057283</v>
      </c>
      <c r="K297" s="413">
        <f>'Imp Refined NYC'!R93</f>
        <v>17.453363662965632</v>
      </c>
      <c r="L297" s="413">
        <f>'Imp Refined NYC'!S93</f>
        <v>18.751615400635572</v>
      </c>
      <c r="M297" s="413">
        <f>'Imp Refined NYC'!T93</f>
        <v>20.146436350229941</v>
      </c>
      <c r="N297" s="413">
        <f>'Imp Refined NYC'!U93</f>
        <v>21.645009720075066</v>
      </c>
      <c r="O297" s="413">
        <f>'Imp Refined NYC'!V93</f>
        <v>23.255053034567915</v>
      </c>
      <c r="P297" s="405"/>
      <c r="Q297" s="405">
        <f>'Imp Refined NYC'!AF93</f>
        <v>448635.73896381306</v>
      </c>
      <c r="R297" s="405">
        <f>'Imp Refined NYC'!AG93</f>
        <v>448635.73896381306</v>
      </c>
      <c r="S297" s="405">
        <f>'Imp Refined NYC'!AH93</f>
        <v>448635.73896381306</v>
      </c>
      <c r="T297" s="405">
        <f>'Imp Refined NYC'!AI93</f>
        <v>448635.73896381306</v>
      </c>
      <c r="U297" s="405"/>
      <c r="V297" s="405"/>
      <c r="W297" s="405"/>
      <c r="X297" s="405"/>
      <c r="Y297" s="405"/>
      <c r="Z297" s="405"/>
      <c r="AA297" s="413"/>
      <c r="AB297" s="415"/>
      <c r="AC297" s="415"/>
      <c r="AG297" s="415"/>
      <c r="AH297" s="405"/>
      <c r="AI297" s="415"/>
      <c r="AJ297" s="415">
        <v>1.0049999999999999</v>
      </c>
      <c r="AK297" s="415">
        <v>1.0049999999999999</v>
      </c>
      <c r="BC297" s="365"/>
      <c r="BD297" s="365"/>
      <c r="BE297" s="365"/>
      <c r="BF297" s="365"/>
      <c r="BG297" s="365"/>
    </row>
    <row r="298" spans="2:59">
      <c r="B298" s="376" t="str">
        <f>Technologies!B$481</f>
        <v>R0,R1,R2,R3,R4,R5,R6</v>
      </c>
      <c r="C298" s="376" t="str">
        <f>'Imp Refined NYC'!E94</f>
        <v>IMPDSLP25</v>
      </c>
      <c r="D298" s="376" t="str">
        <f>'Imp Refined NYC'!F94</f>
        <v>Imported Distillate-Low Sulfur Highway Diesel (500 ppm), PADD 2, Step 5</v>
      </c>
      <c r="E298" s="415" t="str">
        <f>'Imp Refined NYC'!G94</f>
        <v>DSLP2</v>
      </c>
      <c r="F298" s="413">
        <f>'Imp Refined NYC'!M94</f>
        <v>15.920821212426068</v>
      </c>
      <c r="G298" s="413">
        <f>'Imp Refined NYC'!N94</f>
        <v>17.142694215002212</v>
      </c>
      <c r="H298" s="413">
        <f>'Imp Refined NYC'!O94</f>
        <v>16.979700253890083</v>
      </c>
      <c r="I298" s="413">
        <f>'Imp Refined NYC'!P94</f>
        <v>18.322289167375239</v>
      </c>
      <c r="J298" s="413">
        <f>'Imp Refined NYC'!Q94</f>
        <v>19.374764979517856</v>
      </c>
      <c r="K298" s="413">
        <f>'Imp Refined NYC'!R94</f>
        <v>20.815938313628731</v>
      </c>
      <c r="L298" s="413">
        <f>'Imp Refined NYC'!S94</f>
        <v>22.364311945712146</v>
      </c>
      <c r="M298" s="413">
        <f>'Imp Refined NYC'!T94</f>
        <v>24.027859867246715</v>
      </c>
      <c r="N298" s="413">
        <f>'Imp Refined NYC'!U94</f>
        <v>25.815149207428977</v>
      </c>
      <c r="O298" s="413">
        <f>'Imp Refined NYC'!V94</f>
        <v>27.735384353154391</v>
      </c>
      <c r="P298" s="405"/>
      <c r="Q298" s="405">
        <f>'Imp Refined NYC'!AF94</f>
        <v>1794542.9558552485</v>
      </c>
      <c r="R298" s="405">
        <f>'Imp Refined NYC'!AG94</f>
        <v>1794542.9558552485</v>
      </c>
      <c r="S298" s="405">
        <f>'Imp Refined NYC'!AH94</f>
        <v>1794542.9558552485</v>
      </c>
      <c r="T298" s="405">
        <f>'Imp Refined NYC'!AI94</f>
        <v>1794542.9558552485</v>
      </c>
      <c r="U298" s="405"/>
      <c r="V298" s="405"/>
      <c r="W298" s="405"/>
      <c r="X298" s="405"/>
      <c r="Y298" s="405"/>
      <c r="Z298" s="405"/>
      <c r="AA298" s="413"/>
      <c r="AB298" s="415"/>
      <c r="AC298" s="415"/>
      <c r="AG298" s="415"/>
      <c r="AH298" s="405"/>
      <c r="AI298" s="415"/>
      <c r="AJ298" s="415">
        <v>1.0049999999999999</v>
      </c>
      <c r="AK298" s="415">
        <v>1.0049999999999999</v>
      </c>
      <c r="BC298" s="365"/>
      <c r="BD298" s="365"/>
      <c r="BE298" s="365"/>
      <c r="BF298" s="365"/>
      <c r="BG298" s="365"/>
    </row>
    <row r="299" spans="2:59">
      <c r="B299" s="376" t="str">
        <f>Technologies!B$482</f>
        <v>R0,R1,R2,R3,R4,R5,R6</v>
      </c>
      <c r="C299" s="376" t="str">
        <f>'Imp Refined NYC'!E95</f>
        <v>IMPRFLP23</v>
      </c>
      <c r="D299" s="376" t="str">
        <f>'Imp Refined NYC'!F95</f>
        <v>Imported Low Sulfur Residual Fuel Oil, PADD 2, Step 3</v>
      </c>
      <c r="E299" s="415" t="str">
        <f>'Imp Refined NYC'!G95</f>
        <v>RFLP2</v>
      </c>
      <c r="F299" s="413">
        <f>'Imp Refined NYC'!M95</f>
        <v>8.5018528839994776</v>
      </c>
      <c r="G299" s="413">
        <f>'Imp Refined NYC'!N95</f>
        <v>9.1543433788192541</v>
      </c>
      <c r="H299" s="413">
        <f>'Imp Refined NYC'!O95</f>
        <v>9.0673032280716228</v>
      </c>
      <c r="I299" s="413">
        <f>'Imp Refined NYC'!P95</f>
        <v>9.7842570380440979</v>
      </c>
      <c r="J299" s="413">
        <f>'Imp Refined NYC'!Q95</f>
        <v>10.346288003621462</v>
      </c>
      <c r="K299" s="413">
        <f>'Imp Refined NYC'!R95</f>
        <v>11.115886726166666</v>
      </c>
      <c r="L299" s="413">
        <f>'Imp Refined NYC'!S95</f>
        <v>11.942731312497596</v>
      </c>
      <c r="M299" s="413">
        <f>'Imp Refined NYC'!T95</f>
        <v>12.831079941356723</v>
      </c>
      <c r="N299" s="413">
        <f>'Imp Refined NYC'!U95</f>
        <v>13.785507532033408</v>
      </c>
      <c r="O299" s="413">
        <f>'Imp Refined NYC'!V95</f>
        <v>14.810929304806086</v>
      </c>
      <c r="P299" s="405"/>
      <c r="Q299" s="405">
        <f>'Imp Refined NYC'!AF95</f>
        <v>242109.26101849694</v>
      </c>
      <c r="R299" s="405">
        <f>'Imp Refined NYC'!AG95</f>
        <v>242109.26101849694</v>
      </c>
      <c r="S299" s="405">
        <f>'Imp Refined NYC'!AH95</f>
        <v>242109.26101849694</v>
      </c>
      <c r="T299" s="405">
        <f>'Imp Refined NYC'!AI95</f>
        <v>242109.26101849694</v>
      </c>
      <c r="U299" s="405"/>
      <c r="V299" s="405"/>
      <c r="W299" s="405"/>
      <c r="X299" s="405"/>
      <c r="Y299" s="405"/>
      <c r="Z299" s="405"/>
      <c r="AA299" s="413"/>
      <c r="AB299" s="415"/>
      <c r="AC299" s="415"/>
      <c r="AG299" s="415"/>
      <c r="AH299" s="405"/>
      <c r="AI299" s="415"/>
      <c r="AJ299" s="415">
        <v>1.0049999999999999</v>
      </c>
      <c r="AK299" s="415">
        <v>1.0049999999999999</v>
      </c>
      <c r="BC299" s="365"/>
      <c r="BD299" s="365"/>
      <c r="BE299" s="365"/>
      <c r="BF299" s="365"/>
      <c r="BG299" s="365"/>
    </row>
    <row r="300" spans="2:59">
      <c r="B300" s="376" t="str">
        <f>Technologies!B$483</f>
        <v>R0,R1,R2,R3,R4,R5,R6</v>
      </c>
      <c r="C300" s="376" t="str">
        <f>'Imp Refined NYC'!E96</f>
        <v>IMPRFLP21</v>
      </c>
      <c r="D300" s="376" t="str">
        <f>'Imp Refined NYC'!F96</f>
        <v>Imported Low Sulfur Residual Fuel Oil, PADD 2, Step 1</v>
      </c>
      <c r="E300" s="415" t="str">
        <f>'Imp Refined NYC'!G96</f>
        <v>RFLP2</v>
      </c>
      <c r="F300" s="413">
        <f>'Imp Refined NYC'!M96</f>
        <v>8.0767602397995031</v>
      </c>
      <c r="G300" s="413">
        <f>'Imp Refined NYC'!N96</f>
        <v>8.6966262098782909</v>
      </c>
      <c r="H300" s="413">
        <f>'Imp Refined NYC'!O96</f>
        <v>8.6139380666680427</v>
      </c>
      <c r="I300" s="413">
        <f>'Imp Refined NYC'!P96</f>
        <v>9.2950441861418955</v>
      </c>
      <c r="J300" s="413">
        <f>'Imp Refined NYC'!Q96</f>
        <v>9.8289736034403905</v>
      </c>
      <c r="K300" s="413">
        <f>'Imp Refined NYC'!R96</f>
        <v>10.560092389858335</v>
      </c>
      <c r="L300" s="413">
        <f>'Imp Refined NYC'!S96</f>
        <v>11.345594746872719</v>
      </c>
      <c r="M300" s="413">
        <f>'Imp Refined NYC'!T96</f>
        <v>12.189525944288889</v>
      </c>
      <c r="N300" s="413">
        <f>'Imp Refined NYC'!U96</f>
        <v>13.096232155431739</v>
      </c>
      <c r="O300" s="413">
        <f>'Imp Refined NYC'!V96</f>
        <v>14.070382839565783</v>
      </c>
      <c r="P300" s="405"/>
      <c r="Q300" s="405">
        <f>'Imp Refined NYC'!AF96</f>
        <v>1936874.088147975</v>
      </c>
      <c r="R300" s="405">
        <f>'Imp Refined NYC'!AG96</f>
        <v>1936874.088147975</v>
      </c>
      <c r="S300" s="405">
        <f>'Imp Refined NYC'!AH96</f>
        <v>1936874.088147975</v>
      </c>
      <c r="T300" s="405">
        <f>'Imp Refined NYC'!AI96</f>
        <v>1936874.088147975</v>
      </c>
      <c r="U300" s="405"/>
      <c r="V300" s="405"/>
      <c r="W300" s="405"/>
      <c r="X300" s="405"/>
      <c r="Y300" s="405"/>
      <c r="Z300" s="405"/>
      <c r="AA300" s="413"/>
      <c r="AB300" s="415"/>
      <c r="AC300" s="415"/>
      <c r="AG300" s="415"/>
      <c r="AH300" s="405"/>
      <c r="AI300" s="415"/>
      <c r="AJ300" s="415">
        <v>1.0049999999999999</v>
      </c>
      <c r="AK300" s="415">
        <v>1.0049999999999999</v>
      </c>
      <c r="BC300" s="365"/>
      <c r="BD300" s="365"/>
      <c r="BE300" s="365"/>
      <c r="BF300" s="365"/>
      <c r="BG300" s="365"/>
    </row>
    <row r="301" spans="2:59">
      <c r="B301" s="376" t="str">
        <f>Technologies!B$484</f>
        <v>R0,R1,R2,R3,R4,R5,R6</v>
      </c>
      <c r="C301" s="376" t="str">
        <f>'Imp Refined NYC'!E97</f>
        <v>IMPRFLP22</v>
      </c>
      <c r="D301" s="376" t="str">
        <f>'Imp Refined NYC'!F97</f>
        <v>Imported Low Sulfur Residual Fuel Oil, PADD 2, Step 2</v>
      </c>
      <c r="E301" s="415" t="str">
        <f>'Imp Refined NYC'!G97</f>
        <v>RFLP2</v>
      </c>
      <c r="F301" s="413">
        <f>'Imp Refined NYC'!M97</f>
        <v>8.3318158263194881</v>
      </c>
      <c r="G301" s="413">
        <f>'Imp Refined NYC'!N97</f>
        <v>8.9712565112428706</v>
      </c>
      <c r="H301" s="413">
        <f>'Imp Refined NYC'!O97</f>
        <v>8.8859571635101933</v>
      </c>
      <c r="I301" s="413">
        <f>'Imp Refined NYC'!P97</f>
        <v>9.5885718972832201</v>
      </c>
      <c r="J301" s="413">
        <f>'Imp Refined NYC'!Q97</f>
        <v>10.139362243549037</v>
      </c>
      <c r="K301" s="413">
        <f>'Imp Refined NYC'!R97</f>
        <v>10.893568991643338</v>
      </c>
      <c r="L301" s="413">
        <f>'Imp Refined NYC'!S97</f>
        <v>11.70387668624765</v>
      </c>
      <c r="M301" s="413">
        <f>'Imp Refined NYC'!T97</f>
        <v>12.574458342529594</v>
      </c>
      <c r="N301" s="413">
        <f>'Imp Refined NYC'!U97</f>
        <v>13.509797381392746</v>
      </c>
      <c r="O301" s="413">
        <f>'Imp Refined NYC'!V97</f>
        <v>14.514710718709969</v>
      </c>
      <c r="P301" s="405"/>
      <c r="Q301" s="405">
        <f>'Imp Refined NYC'!AF97</f>
        <v>242109.26101849647</v>
      </c>
      <c r="R301" s="405">
        <f>'Imp Refined NYC'!AG97</f>
        <v>242109.26101849647</v>
      </c>
      <c r="S301" s="405">
        <f>'Imp Refined NYC'!AH97</f>
        <v>242109.26101849647</v>
      </c>
      <c r="T301" s="405">
        <f>'Imp Refined NYC'!AI97</f>
        <v>242109.26101849647</v>
      </c>
      <c r="U301" s="405"/>
      <c r="V301" s="405"/>
      <c r="W301" s="405"/>
      <c r="X301" s="405"/>
      <c r="Y301" s="405"/>
      <c r="Z301" s="405"/>
      <c r="AA301" s="413"/>
      <c r="AB301" s="415"/>
      <c r="AC301" s="415"/>
      <c r="AG301" s="415"/>
      <c r="AH301" s="405"/>
      <c r="AI301" s="415"/>
      <c r="AJ301" s="415">
        <v>1.0049999999999999</v>
      </c>
      <c r="AK301" s="415">
        <v>1.0049999999999999</v>
      </c>
      <c r="BC301" s="365"/>
      <c r="BD301" s="365"/>
      <c r="BE301" s="365"/>
      <c r="BF301" s="365"/>
      <c r="BG301" s="365"/>
    </row>
    <row r="302" spans="2:59">
      <c r="B302" s="376" t="str">
        <f>Technologies!B$485</f>
        <v>R0,R1,R2,R3,R4,R5,R6</v>
      </c>
      <c r="C302" s="376" t="str">
        <f>'Imp Refined NYC'!E98</f>
        <v>IMPRFLP24</v>
      </c>
      <c r="D302" s="376" t="str">
        <f>'Imp Refined NYC'!F98</f>
        <v>Imported Low Sulfur Residual Fuel Oil, PADD 2, Step 4</v>
      </c>
      <c r="E302" s="415" t="str">
        <f>'Imp Refined NYC'!G98</f>
        <v>RFLP2</v>
      </c>
      <c r="F302" s="413">
        <f>'Imp Refined NYC'!M98</f>
        <v>9.267019643559431</v>
      </c>
      <c r="G302" s="413">
        <f>'Imp Refined NYC'!N98</f>
        <v>9.9782342829129878</v>
      </c>
      <c r="H302" s="413">
        <f>'Imp Refined NYC'!O98</f>
        <v>9.8833605185980709</v>
      </c>
      <c r="I302" s="413">
        <f>'Imp Refined NYC'!P98</f>
        <v>10.66484017146807</v>
      </c>
      <c r="J302" s="413">
        <f>'Imp Refined NYC'!Q98</f>
        <v>11.277453923947396</v>
      </c>
      <c r="K302" s="413">
        <f>'Imp Refined NYC'!R98</f>
        <v>12.116316531521669</v>
      </c>
      <c r="L302" s="413">
        <f>'Imp Refined NYC'!S98</f>
        <v>13.017577130622383</v>
      </c>
      <c r="M302" s="413">
        <f>'Imp Refined NYC'!T98</f>
        <v>13.985877136078832</v>
      </c>
      <c r="N302" s="413">
        <f>'Imp Refined NYC'!U98</f>
        <v>15.026203209916419</v>
      </c>
      <c r="O302" s="413">
        <f>'Imp Refined NYC'!V98</f>
        <v>16.143912942238636</v>
      </c>
      <c r="P302" s="405"/>
      <c r="Q302" s="405">
        <f>'Imp Refined NYC'!AF98</f>
        <v>484218.52203699341</v>
      </c>
      <c r="R302" s="405">
        <f>'Imp Refined NYC'!AG98</f>
        <v>484218.52203699341</v>
      </c>
      <c r="S302" s="405">
        <f>'Imp Refined NYC'!AH98</f>
        <v>484218.52203699341</v>
      </c>
      <c r="T302" s="405">
        <f>'Imp Refined NYC'!AI98</f>
        <v>484218.52203699341</v>
      </c>
      <c r="U302" s="405"/>
      <c r="V302" s="405"/>
      <c r="W302" s="405"/>
      <c r="X302" s="405"/>
      <c r="Y302" s="405"/>
      <c r="Z302" s="405"/>
      <c r="AA302" s="413"/>
      <c r="AB302" s="415"/>
      <c r="AC302" s="415"/>
      <c r="AG302" s="415"/>
      <c r="AH302" s="405"/>
      <c r="AI302" s="415"/>
      <c r="AJ302" s="415">
        <v>1.0049999999999999</v>
      </c>
      <c r="AK302" s="415">
        <v>1.0049999999999999</v>
      </c>
      <c r="BC302" s="365"/>
      <c r="BD302" s="365"/>
      <c r="BE302" s="365"/>
      <c r="BF302" s="365"/>
      <c r="BG302" s="365"/>
    </row>
    <row r="303" spans="2:59">
      <c r="B303" s="376" t="str">
        <f>Technologies!B$486</f>
        <v>R0,R1,R2,R3,R4,R5,R6</v>
      </c>
      <c r="C303" s="376" t="str">
        <f>'Imp Refined NYC'!E99</f>
        <v>IMPRFLP25</v>
      </c>
      <c r="D303" s="376" t="str">
        <f>'Imp Refined NYC'!F99</f>
        <v>Imported Low Sulfur Residual Fuel Oil, PADD 2, Step 5</v>
      </c>
      <c r="E303" s="415" t="str">
        <f>'Imp Refined NYC'!G99</f>
        <v>RFLP2</v>
      </c>
      <c r="F303" s="413">
        <f>'Imp Refined NYC'!M99</f>
        <v>11.052408749199319</v>
      </c>
      <c r="G303" s="413">
        <f>'Imp Refined NYC'!N99</f>
        <v>11.900646392465029</v>
      </c>
      <c r="H303" s="413">
        <f>'Imp Refined NYC'!O99</f>
        <v>11.78749419649311</v>
      </c>
      <c r="I303" s="413">
        <f>'Imp Refined NYC'!P99</f>
        <v>12.71953414945733</v>
      </c>
      <c r="J303" s="413">
        <f>'Imp Refined NYC'!Q99</f>
        <v>13.450174404707901</v>
      </c>
      <c r="K303" s="413">
        <f>'Imp Refined NYC'!R99</f>
        <v>14.450652744016667</v>
      </c>
      <c r="L303" s="413">
        <f>'Imp Refined NYC'!S99</f>
        <v>15.525550706246877</v>
      </c>
      <c r="M303" s="413">
        <f>'Imp Refined NYC'!T99</f>
        <v>16.680403923763741</v>
      </c>
      <c r="N303" s="413">
        <f>'Imp Refined NYC'!U99</f>
        <v>17.921159791643433</v>
      </c>
      <c r="O303" s="413">
        <f>'Imp Refined NYC'!V99</f>
        <v>19.254208096247911</v>
      </c>
      <c r="P303" s="405"/>
      <c r="Q303" s="405">
        <f>'Imp Refined NYC'!AF99</f>
        <v>1936874.088147975</v>
      </c>
      <c r="R303" s="405">
        <f>'Imp Refined NYC'!AG99</f>
        <v>1936874.088147975</v>
      </c>
      <c r="S303" s="405">
        <f>'Imp Refined NYC'!AH99</f>
        <v>1936874.088147975</v>
      </c>
      <c r="T303" s="405">
        <f>'Imp Refined NYC'!AI99</f>
        <v>1936874.088147975</v>
      </c>
      <c r="U303" s="405"/>
      <c r="V303" s="405"/>
      <c r="W303" s="405"/>
      <c r="X303" s="405"/>
      <c r="Y303" s="405"/>
      <c r="Z303" s="405"/>
      <c r="AA303" s="413"/>
      <c r="AB303" s="415"/>
      <c r="AC303" s="415"/>
      <c r="AG303" s="415"/>
      <c r="AH303" s="405"/>
      <c r="AI303" s="415"/>
      <c r="AJ303" s="415">
        <v>1.0049999999999999</v>
      </c>
      <c r="AK303" s="415">
        <v>1.0049999999999999</v>
      </c>
      <c r="BC303" s="365"/>
      <c r="BD303" s="365"/>
      <c r="BE303" s="365"/>
      <c r="BF303" s="365"/>
      <c r="BG303" s="365"/>
    </row>
    <row r="304" spans="2:59">
      <c r="B304" s="376" t="str">
        <f>Technologies!B$487</f>
        <v>*R0,R1,R2,R3,R4,R5,R6</v>
      </c>
      <c r="C304" s="376" t="str">
        <f>'Imp Refined NYC'!E100</f>
        <v>IMPRFHP23</v>
      </c>
      <c r="D304" s="376" t="str">
        <f>'Imp Refined NYC'!F100</f>
        <v>Imported High Sulfur Residual Fuel Oil, PADD 2, Step 3</v>
      </c>
      <c r="E304" s="415" t="str">
        <f>'Imp Refined NYC'!G100</f>
        <v>RFHP2</v>
      </c>
      <c r="F304" s="413">
        <f>'Imp Refined NYC'!M100</f>
        <v>8.3797071376864061</v>
      </c>
      <c r="G304" s="413">
        <f>'Imp Refined NYC'!N100</f>
        <v>9.0228233302759087</v>
      </c>
      <c r="H304" s="413">
        <f>'Imp Refined NYC'!O100</f>
        <v>8.9370336815444062</v>
      </c>
      <c r="I304" s="413">
        <f>'Imp Refined NYC'!P100</f>
        <v>9.643687047674117</v>
      </c>
      <c r="J304" s="413">
        <f>'Imp Refined NYC'!Q100</f>
        <v>10.19764333909772</v>
      </c>
      <c r="K304" s="413">
        <f>'Imp Refined NYC'!R100</f>
        <v>10.956185270657539</v>
      </c>
      <c r="L304" s="413">
        <f>'Imp Refined NYC'!S100</f>
        <v>11.771150617196824</v>
      </c>
      <c r="M304" s="413">
        <f>'Imp Refined NYC'!T100</f>
        <v>12.646736380391408</v>
      </c>
      <c r="N304" s="413">
        <f>'Imp Refined NYC'!U100</f>
        <v>13.587451751866514</v>
      </c>
      <c r="O304" s="413">
        <f>'Imp Refined NYC'!V100</f>
        <v>14.598141335147096</v>
      </c>
      <c r="P304" s="405"/>
      <c r="Q304" s="405">
        <f>'Imp Refined NYC'!AF100</f>
        <v>242109.26101849694</v>
      </c>
      <c r="R304" s="405">
        <f>'Imp Refined NYC'!AG100</f>
        <v>242109.26101849694</v>
      </c>
      <c r="S304" s="405">
        <f>'Imp Refined NYC'!AH100</f>
        <v>242109.26101849694</v>
      </c>
      <c r="T304" s="405">
        <f>'Imp Refined NYC'!AI100</f>
        <v>242109.26101849694</v>
      </c>
      <c r="U304" s="405"/>
      <c r="V304" s="405"/>
      <c r="W304" s="405"/>
      <c r="X304" s="405"/>
      <c r="Y304" s="405"/>
      <c r="Z304" s="405"/>
      <c r="AA304" s="413"/>
      <c r="AB304" s="415"/>
      <c r="AC304" s="415"/>
      <c r="AG304" s="415"/>
      <c r="AH304" s="405"/>
      <c r="AI304" s="415"/>
      <c r="AJ304" s="415">
        <v>1.0049999999999999</v>
      </c>
      <c r="AK304" s="415">
        <v>1.0049999999999999</v>
      </c>
      <c r="BC304" s="365"/>
      <c r="BD304" s="365"/>
      <c r="BE304" s="365"/>
      <c r="BF304" s="365"/>
      <c r="BG304" s="365"/>
    </row>
    <row r="305" spans="2:59">
      <c r="B305" s="376" t="str">
        <f>Technologies!B$488</f>
        <v>*R0,R1,R2,R3,R4,R5,R6</v>
      </c>
      <c r="C305" s="376" t="str">
        <f>'Imp Refined NYC'!E101</f>
        <v>IMPRFHP21</v>
      </c>
      <c r="D305" s="376" t="str">
        <f>'Imp Refined NYC'!F101</f>
        <v>Imported High Sulfur Residual Fuel Oil, PADD 2, Step 1</v>
      </c>
      <c r="E305" s="415" t="str">
        <f>'Imp Refined NYC'!G101</f>
        <v>RFHP2</v>
      </c>
      <c r="F305" s="413">
        <f>'Imp Refined NYC'!M101</f>
        <v>7.9607217808020856</v>
      </c>
      <c r="G305" s="413">
        <f>'Imp Refined NYC'!N101</f>
        <v>8.5716821637621123</v>
      </c>
      <c r="H305" s="413">
        <f>'Imp Refined NYC'!O101</f>
        <v>8.4901819974671859</v>
      </c>
      <c r="I305" s="413">
        <f>'Imp Refined NYC'!P101</f>
        <v>9.1615026952904106</v>
      </c>
      <c r="J305" s="413">
        <f>'Imp Refined NYC'!Q101</f>
        <v>9.6877611721428334</v>
      </c>
      <c r="K305" s="413">
        <f>'Imp Refined NYC'!R101</f>
        <v>10.408376007124662</v>
      </c>
      <c r="L305" s="413">
        <f>'Imp Refined NYC'!S101</f>
        <v>11.182593086336984</v>
      </c>
      <c r="M305" s="413">
        <f>'Imp Refined NYC'!T101</f>
        <v>12.014399561371839</v>
      </c>
      <c r="N305" s="413">
        <f>'Imp Refined NYC'!U101</f>
        <v>12.908079164273188</v>
      </c>
      <c r="O305" s="413">
        <f>'Imp Refined NYC'!V101</f>
        <v>13.868234268389742</v>
      </c>
      <c r="P305" s="405"/>
      <c r="Q305" s="405">
        <f>'Imp Refined NYC'!AF101</f>
        <v>1936874.088147975</v>
      </c>
      <c r="R305" s="405">
        <f>'Imp Refined NYC'!AG101</f>
        <v>1936874.088147975</v>
      </c>
      <c r="S305" s="405">
        <f>'Imp Refined NYC'!AH101</f>
        <v>1936874.088147975</v>
      </c>
      <c r="T305" s="405">
        <f>'Imp Refined NYC'!AI101</f>
        <v>1936874.088147975</v>
      </c>
      <c r="U305" s="405"/>
      <c r="V305" s="405"/>
      <c r="W305" s="405"/>
      <c r="X305" s="405"/>
      <c r="Y305" s="405"/>
      <c r="Z305" s="405"/>
      <c r="AA305" s="413"/>
      <c r="AB305" s="415"/>
      <c r="AC305" s="415"/>
      <c r="AG305" s="415"/>
      <c r="AH305" s="405"/>
      <c r="AI305" s="415"/>
      <c r="AJ305" s="415">
        <v>1.0049999999999999</v>
      </c>
      <c r="AK305" s="415">
        <v>1.0049999999999999</v>
      </c>
      <c r="BC305" s="365"/>
      <c r="BD305" s="365"/>
      <c r="BE305" s="365"/>
      <c r="BF305" s="365"/>
      <c r="BG305" s="365"/>
    </row>
    <row r="306" spans="2:59">
      <c r="B306" s="376" t="str">
        <f>Technologies!B$489</f>
        <v>*R0,R1,R2,R3,R4,R5,R6</v>
      </c>
      <c r="C306" s="376" t="str">
        <f>'Imp Refined NYC'!E102</f>
        <v>IMPRFHP22</v>
      </c>
      <c r="D306" s="376" t="str">
        <f>'Imp Refined NYC'!F102</f>
        <v>Imported High Sulfur Residual Fuel Oil, PADD 2, Step 2</v>
      </c>
      <c r="E306" s="415" t="str">
        <f>'Imp Refined NYC'!G102</f>
        <v>RFHP2</v>
      </c>
      <c r="F306" s="413">
        <f>'Imp Refined NYC'!M102</f>
        <v>8.2121129949326779</v>
      </c>
      <c r="G306" s="413">
        <f>'Imp Refined NYC'!N102</f>
        <v>8.8423668636703905</v>
      </c>
      <c r="H306" s="413">
        <f>'Imp Refined NYC'!O102</f>
        <v>8.7582930079135188</v>
      </c>
      <c r="I306" s="413">
        <f>'Imp Refined NYC'!P102</f>
        <v>9.4508133067206348</v>
      </c>
      <c r="J306" s="413">
        <f>'Imp Refined NYC'!Q102</f>
        <v>9.993690472315766</v>
      </c>
      <c r="K306" s="413">
        <f>'Imp Refined NYC'!R102</f>
        <v>10.737061565244389</v>
      </c>
      <c r="L306" s="413">
        <f>'Imp Refined NYC'!S102</f>
        <v>11.535727604852889</v>
      </c>
      <c r="M306" s="413">
        <f>'Imp Refined NYC'!T102</f>
        <v>12.393801652783582</v>
      </c>
      <c r="N306" s="413">
        <f>'Imp Refined NYC'!U102</f>
        <v>13.315702716829184</v>
      </c>
      <c r="O306" s="413">
        <f>'Imp Refined NYC'!V102</f>
        <v>14.306178508444155</v>
      </c>
      <c r="P306" s="405"/>
      <c r="Q306" s="405">
        <f>'Imp Refined NYC'!AF102</f>
        <v>242109.26101849647</v>
      </c>
      <c r="R306" s="405">
        <f>'Imp Refined NYC'!AG102</f>
        <v>242109.26101849647</v>
      </c>
      <c r="S306" s="405">
        <f>'Imp Refined NYC'!AH102</f>
        <v>242109.26101849647</v>
      </c>
      <c r="T306" s="405">
        <f>'Imp Refined NYC'!AI102</f>
        <v>242109.26101849647</v>
      </c>
      <c r="U306" s="405"/>
      <c r="V306" s="405"/>
      <c r="W306" s="405"/>
      <c r="X306" s="405"/>
      <c r="Y306" s="405"/>
      <c r="Z306" s="405"/>
      <c r="AA306" s="413"/>
      <c r="AB306" s="415"/>
      <c r="AC306" s="415"/>
      <c r="AG306" s="415"/>
      <c r="AH306" s="405"/>
      <c r="AI306" s="415"/>
      <c r="AJ306" s="415">
        <v>1.0049999999999999</v>
      </c>
      <c r="AK306" s="415">
        <v>1.0049999999999999</v>
      </c>
      <c r="BC306" s="365"/>
      <c r="BD306" s="365"/>
      <c r="BE306" s="365"/>
      <c r="BF306" s="365"/>
      <c r="BG306" s="365"/>
    </row>
    <row r="307" spans="2:59">
      <c r="B307" s="376" t="str">
        <f>Technologies!B$490</f>
        <v>*R0,R1,R2,R3,R4,R5,R6</v>
      </c>
      <c r="C307" s="376" t="str">
        <f>'Imp Refined NYC'!E103</f>
        <v>IMPRFHP24</v>
      </c>
      <c r="D307" s="376" t="str">
        <f>'Imp Refined NYC'!F103</f>
        <v>Imported High Sulfur Residual Fuel Oil, PADD 2, Step 4</v>
      </c>
      <c r="E307" s="415" t="str">
        <f>'Imp Refined NYC'!G103</f>
        <v>RFHP2</v>
      </c>
      <c r="F307" s="413">
        <f>'Imp Refined NYC'!M103</f>
        <v>9.1338807800781847</v>
      </c>
      <c r="G307" s="413">
        <f>'Imp Refined NYC'!N103</f>
        <v>9.8348774300007431</v>
      </c>
      <c r="H307" s="413">
        <f>'Imp Refined NYC'!O103</f>
        <v>9.7413667128834067</v>
      </c>
      <c r="I307" s="413">
        <f>'Imp Refined NYC'!P103</f>
        <v>10.511618881964791</v>
      </c>
      <c r="J307" s="413">
        <f>'Imp Refined NYC'!Q103</f>
        <v>11.11543123961652</v>
      </c>
      <c r="K307" s="413">
        <f>'Imp Refined NYC'!R103</f>
        <v>11.942241945016724</v>
      </c>
      <c r="L307" s="413">
        <f>'Imp Refined NYC'!S103</f>
        <v>12.830554172744545</v>
      </c>
      <c r="M307" s="413">
        <f>'Imp Refined NYC'!T103</f>
        <v>13.784942654626642</v>
      </c>
      <c r="N307" s="413">
        <f>'Imp Refined NYC'!U103</f>
        <v>14.810322409534507</v>
      </c>
      <c r="O307" s="413">
        <f>'Imp Refined NYC'!V103</f>
        <v>15.911974055310342</v>
      </c>
      <c r="P307" s="405"/>
      <c r="Q307" s="405">
        <f>'Imp Refined NYC'!AF103</f>
        <v>484218.52203699341</v>
      </c>
      <c r="R307" s="405">
        <f>'Imp Refined NYC'!AG103</f>
        <v>484218.52203699341</v>
      </c>
      <c r="S307" s="405">
        <f>'Imp Refined NYC'!AH103</f>
        <v>484218.52203699341</v>
      </c>
      <c r="T307" s="405">
        <f>'Imp Refined NYC'!AI103</f>
        <v>484218.52203699341</v>
      </c>
      <c r="U307" s="405"/>
      <c r="V307" s="405"/>
      <c r="W307" s="405"/>
      <c r="X307" s="405"/>
      <c r="Y307" s="405"/>
      <c r="Z307" s="405"/>
      <c r="AA307" s="413"/>
      <c r="AB307" s="415"/>
      <c r="AC307" s="415"/>
      <c r="AG307" s="415"/>
      <c r="AH307" s="405"/>
      <c r="AI307" s="415"/>
      <c r="AJ307" s="415">
        <v>1.0049999999999999</v>
      </c>
      <c r="AK307" s="415">
        <v>1.0049999999999999</v>
      </c>
      <c r="BC307" s="365"/>
      <c r="BD307" s="365"/>
      <c r="BE307" s="365"/>
      <c r="BF307" s="365"/>
      <c r="BG307" s="365"/>
    </row>
    <row r="308" spans="2:59">
      <c r="B308" s="376" t="str">
        <f>Technologies!B$491</f>
        <v>*R0,R1,R2,R3,R4,R5,R6</v>
      </c>
      <c r="C308" s="376" t="str">
        <f>'Imp Refined NYC'!E104</f>
        <v>IMPRFHP25</v>
      </c>
      <c r="D308" s="376" t="str">
        <f>'Imp Refined NYC'!F104</f>
        <v>Imported High Sulfur Residual Fuel Oil, PADD 2, Step 5</v>
      </c>
      <c r="E308" s="415" t="str">
        <f>'Imp Refined NYC'!G104</f>
        <v>RFHP2</v>
      </c>
      <c r="F308" s="413">
        <f>'Imp Refined NYC'!M104</f>
        <v>10.893619278992327</v>
      </c>
      <c r="G308" s="413">
        <f>'Imp Refined NYC'!N104</f>
        <v>11.729670329358679</v>
      </c>
      <c r="H308" s="413">
        <f>'Imp Refined NYC'!O104</f>
        <v>11.618143786007726</v>
      </c>
      <c r="I308" s="413">
        <f>'Imp Refined NYC'!P104</f>
        <v>12.53679316197635</v>
      </c>
      <c r="J308" s="413">
        <f>'Imp Refined NYC'!Q104</f>
        <v>13.256936340827034</v>
      </c>
      <c r="K308" s="413">
        <f>'Imp Refined NYC'!R104</f>
        <v>14.243040851854799</v>
      </c>
      <c r="L308" s="413">
        <f>'Imp Refined NYC'!S104</f>
        <v>15.302495802355871</v>
      </c>
      <c r="M308" s="413">
        <f>'Imp Refined NYC'!T104</f>
        <v>16.440757294508831</v>
      </c>
      <c r="N308" s="413">
        <f>'Imp Refined NYC'!U104</f>
        <v>17.663687277426469</v>
      </c>
      <c r="O308" s="413">
        <f>'Imp Refined NYC'!V104</f>
        <v>18.977583735691226</v>
      </c>
      <c r="P308" s="405"/>
      <c r="Q308" s="405">
        <f>'Imp Refined NYC'!AF104</f>
        <v>1936874.088147975</v>
      </c>
      <c r="R308" s="405">
        <f>'Imp Refined NYC'!AG104</f>
        <v>1936874.088147975</v>
      </c>
      <c r="S308" s="405">
        <f>'Imp Refined NYC'!AH104</f>
        <v>1936874.088147975</v>
      </c>
      <c r="T308" s="405">
        <f>'Imp Refined NYC'!AI104</f>
        <v>1936874.088147975</v>
      </c>
      <c r="U308" s="405"/>
      <c r="V308" s="405"/>
      <c r="W308" s="405"/>
      <c r="X308" s="405"/>
      <c r="Y308" s="405"/>
      <c r="Z308" s="405"/>
      <c r="AA308" s="413"/>
      <c r="AB308" s="415"/>
      <c r="AC308" s="415"/>
      <c r="AG308" s="415"/>
      <c r="AH308" s="405"/>
      <c r="AI308" s="415"/>
      <c r="AJ308" s="415">
        <v>1.0049999999999999</v>
      </c>
      <c r="AK308" s="415">
        <v>1.0049999999999999</v>
      </c>
      <c r="BC308" s="365"/>
      <c r="BD308" s="365"/>
      <c r="BE308" s="365"/>
      <c r="BF308" s="365"/>
      <c r="BG308" s="365"/>
    </row>
    <row r="309" spans="2:59">
      <c r="B309" s="376" t="str">
        <f>Technologies!B$492</f>
        <v>*R0,R1,R2,R3,R4,R5,R6</v>
      </c>
      <c r="C309" s="376" t="str">
        <f>'Imp Refined NYC'!E110</f>
        <v>IMPLPGP23</v>
      </c>
      <c r="D309" s="376" t="str">
        <f>'Imp Refined NYC'!F110</f>
        <v>Imported LPG, PADD 2, Step 3</v>
      </c>
      <c r="E309" s="415" t="str">
        <f>'Imp Refined NYC'!G110</f>
        <v>LPGP2</v>
      </c>
      <c r="F309" s="413">
        <f>'Imp Refined NYC'!M110</f>
        <v>12.818628614646682</v>
      </c>
      <c r="G309" s="413">
        <f>'Imp Refined NYC'!N110</f>
        <v>13.80241808287224</v>
      </c>
      <c r="H309" s="413">
        <f>'Imp Refined NYC'!O110</f>
        <v>13.671183705822909</v>
      </c>
      <c r="I309" s="413">
        <f>'Imp Refined NYC'!P110</f>
        <v>14.7521674336394</v>
      </c>
      <c r="J309" s="413">
        <f>'Imp Refined NYC'!Q110</f>
        <v>15.599566973006439</v>
      </c>
      <c r="K309" s="413">
        <f>'Imp Refined NYC'!R110</f>
        <v>16.759925819626783</v>
      </c>
      <c r="L309" s="413">
        <f>'Imp Refined NYC'!S110</f>
        <v>18.006596847557031</v>
      </c>
      <c r="M309" s="413">
        <f>'Imp Refined NYC'!T110</f>
        <v>19.346000305726356</v>
      </c>
      <c r="N309" s="413">
        <f>'Imp Refined NYC'!U110</f>
        <v>20.785034007130641</v>
      </c>
      <c r="O309" s="413">
        <f>'Imp Refined NYC'!V110</f>
        <v>22.331108851978119</v>
      </c>
      <c r="P309" s="405"/>
      <c r="Q309" s="405">
        <f>'Imp Refined NYC'!AF110</f>
        <v>136978.31102955202</v>
      </c>
      <c r="R309" s="405">
        <f>'Imp Refined NYC'!AG110</f>
        <v>136978.31102955202</v>
      </c>
      <c r="S309" s="405">
        <f>'Imp Refined NYC'!AH110</f>
        <v>136978.31102955202</v>
      </c>
      <c r="T309" s="405">
        <f>'Imp Refined NYC'!AI110</f>
        <v>136978.31102955202</v>
      </c>
      <c r="U309" s="405"/>
      <c r="V309" s="405"/>
      <c r="W309" s="405"/>
      <c r="X309" s="405"/>
      <c r="Y309" s="405"/>
      <c r="Z309" s="405"/>
      <c r="AA309" s="413"/>
      <c r="AB309" s="415"/>
      <c r="AC309" s="415"/>
      <c r="AG309" s="415"/>
      <c r="AH309" s="405"/>
      <c r="AI309" s="415"/>
      <c r="AJ309" s="415">
        <v>1.0049999999999999</v>
      </c>
      <c r="AK309" s="415">
        <v>1.0049999999999999</v>
      </c>
      <c r="BC309" s="365"/>
      <c r="BD309" s="365"/>
      <c r="BE309" s="365"/>
      <c r="BF309" s="365"/>
      <c r="BG309" s="365"/>
    </row>
    <row r="310" spans="2:59">
      <c r="B310" s="376" t="str">
        <f>Technologies!B$493</f>
        <v>*R0,R1,R2,R3,R4,R5,R6</v>
      </c>
      <c r="C310" s="376" t="str">
        <f>'Imp Refined NYC'!E111</f>
        <v>IMPLPGP21</v>
      </c>
      <c r="D310" s="376" t="str">
        <f>'Imp Refined NYC'!F111</f>
        <v>Imported LPG, PADD 2, Step 1</v>
      </c>
      <c r="E310" s="415" t="str">
        <f>'Imp Refined NYC'!G111</f>
        <v>LPGP2</v>
      </c>
      <c r="F310" s="413">
        <f>'Imp Refined NYC'!M111</f>
        <v>12.177697183914349</v>
      </c>
      <c r="G310" s="413">
        <f>'Imp Refined NYC'!N111</f>
        <v>13.112297178728628</v>
      </c>
      <c r="H310" s="413">
        <f>'Imp Refined NYC'!O111</f>
        <v>12.987624520531762</v>
      </c>
      <c r="I310" s="413">
        <f>'Imp Refined NYC'!P111</f>
        <v>14.014559061957428</v>
      </c>
      <c r="J310" s="413">
        <f>'Imp Refined NYC'!Q111</f>
        <v>14.819588624356115</v>
      </c>
      <c r="K310" s="413">
        <f>'Imp Refined NYC'!R111</f>
        <v>15.921929528645443</v>
      </c>
      <c r="L310" s="413">
        <f>'Imp Refined NYC'!S111</f>
        <v>17.106267005179177</v>
      </c>
      <c r="M310" s="413">
        <f>'Imp Refined NYC'!T111</f>
        <v>18.378700290440037</v>
      </c>
      <c r="N310" s="413">
        <f>'Imp Refined NYC'!U111</f>
        <v>19.745782306774107</v>
      </c>
      <c r="O310" s="413">
        <f>'Imp Refined NYC'!V111</f>
        <v>21.21455340937921</v>
      </c>
      <c r="P310" s="405"/>
      <c r="Q310" s="405">
        <f>'Imp Refined NYC'!AF111</f>
        <v>1095826.4882364159</v>
      </c>
      <c r="R310" s="405">
        <f>'Imp Refined NYC'!AG111</f>
        <v>1095826.4882364159</v>
      </c>
      <c r="S310" s="405">
        <f>'Imp Refined NYC'!AH111</f>
        <v>1095826.4882364159</v>
      </c>
      <c r="T310" s="405">
        <f>'Imp Refined NYC'!AI111</f>
        <v>1095826.4882364159</v>
      </c>
      <c r="U310" s="405"/>
      <c r="V310" s="405"/>
      <c r="W310" s="405"/>
      <c r="X310" s="405"/>
      <c r="Y310" s="405"/>
      <c r="Z310" s="405"/>
      <c r="AA310" s="413"/>
      <c r="AB310" s="415"/>
      <c r="AC310" s="415"/>
      <c r="AG310" s="415"/>
      <c r="AH310" s="405"/>
      <c r="AI310" s="415"/>
      <c r="AJ310" s="415">
        <v>1.0049999999999999</v>
      </c>
      <c r="AK310" s="415">
        <v>1.0049999999999999</v>
      </c>
      <c r="BC310" s="365"/>
      <c r="BD310" s="365"/>
      <c r="BE310" s="365"/>
      <c r="BF310" s="365"/>
      <c r="BG310" s="365"/>
    </row>
    <row r="311" spans="2:59">
      <c r="B311" s="376" t="str">
        <f>Technologies!B$494</f>
        <v>*R0,R1,R2,R3,R4,R5,R6</v>
      </c>
      <c r="C311" s="376" t="str">
        <f>'Imp Refined NYC'!E112</f>
        <v>IMPLPGP22</v>
      </c>
      <c r="D311" s="376" t="str">
        <f>'Imp Refined NYC'!F112</f>
        <v>Imported LPG, PADD 2, Step 2</v>
      </c>
      <c r="E311" s="415" t="str">
        <f>'Imp Refined NYC'!G112</f>
        <v>LPGP2</v>
      </c>
      <c r="F311" s="413">
        <f>'Imp Refined NYC'!M112</f>
        <v>12.56225604235375</v>
      </c>
      <c r="G311" s="413">
        <f>'Imp Refined NYC'!N112</f>
        <v>13.526369721214797</v>
      </c>
      <c r="H311" s="413">
        <f>'Imp Refined NYC'!O112</f>
        <v>13.397760031706452</v>
      </c>
      <c r="I311" s="413">
        <f>'Imp Refined NYC'!P112</f>
        <v>14.457124084966614</v>
      </c>
      <c r="J311" s="413">
        <f>'Imp Refined NYC'!Q112</f>
        <v>15.287575633546313</v>
      </c>
      <c r="K311" s="413">
        <f>'Imp Refined NYC'!R112</f>
        <v>16.424727303234249</v>
      </c>
      <c r="L311" s="413">
        <f>'Imp Refined NYC'!S112</f>
        <v>17.646464910605893</v>
      </c>
      <c r="M311" s="413">
        <f>'Imp Refined NYC'!T112</f>
        <v>18.959080299611831</v>
      </c>
      <c r="N311" s="413">
        <f>'Imp Refined NYC'!U112</f>
        <v>20.369333326988031</v>
      </c>
      <c r="O311" s="413">
        <f>'Imp Refined NYC'!V112</f>
        <v>21.884486674938557</v>
      </c>
      <c r="P311" s="405"/>
      <c r="Q311" s="405">
        <f>'Imp Refined NYC'!AF112</f>
        <v>136978.31102955178</v>
      </c>
      <c r="R311" s="405">
        <f>'Imp Refined NYC'!AG112</f>
        <v>136978.31102955178</v>
      </c>
      <c r="S311" s="405">
        <f>'Imp Refined NYC'!AH112</f>
        <v>136978.31102955178</v>
      </c>
      <c r="T311" s="405">
        <f>'Imp Refined NYC'!AI112</f>
        <v>136978.31102955178</v>
      </c>
      <c r="U311" s="405"/>
      <c r="V311" s="405"/>
      <c r="W311" s="405"/>
      <c r="X311" s="405"/>
      <c r="Y311" s="405"/>
      <c r="Z311" s="405"/>
      <c r="AA311" s="413"/>
      <c r="AB311" s="415"/>
      <c r="AC311" s="415"/>
      <c r="AG311" s="415"/>
      <c r="AH311" s="405"/>
      <c r="AI311" s="415"/>
      <c r="AJ311" s="415">
        <v>1.0049999999999999</v>
      </c>
      <c r="AK311" s="415">
        <v>1.0049999999999999</v>
      </c>
      <c r="BC311" s="365"/>
      <c r="BD311" s="365"/>
      <c r="BE311" s="365"/>
      <c r="BF311" s="365"/>
      <c r="BG311" s="365"/>
    </row>
    <row r="312" spans="2:59">
      <c r="B312" s="376" t="str">
        <f>Technologies!B$495</f>
        <v>*R0,R1,R2,R3,R4,R5,R6</v>
      </c>
      <c r="C312" s="376" t="str">
        <f>'Imp Refined NYC'!E113</f>
        <v>IMPLPGP24</v>
      </c>
      <c r="D312" s="376" t="str">
        <f>'Imp Refined NYC'!F113</f>
        <v>Imported LPG, PADD 2, Step 4</v>
      </c>
      <c r="E312" s="415" t="str">
        <f>'Imp Refined NYC'!G113</f>
        <v>LPGP2</v>
      </c>
      <c r="F312" s="413">
        <f>'Imp Refined NYC'!M113</f>
        <v>13.972305189964885</v>
      </c>
      <c r="G312" s="413">
        <f>'Imp Refined NYC'!N113</f>
        <v>15.044635710330743</v>
      </c>
      <c r="H312" s="413">
        <f>'Imp Refined NYC'!O113</f>
        <v>14.901590239346971</v>
      </c>
      <c r="I312" s="413">
        <f>'Imp Refined NYC'!P113</f>
        <v>16.079862502666945</v>
      </c>
      <c r="J312" s="413">
        <f>'Imp Refined NYC'!Q113</f>
        <v>17.003528000577017</v>
      </c>
      <c r="K312" s="413">
        <f>'Imp Refined NYC'!R113</f>
        <v>18.268319143393192</v>
      </c>
      <c r="L312" s="413">
        <f>'Imp Refined NYC'!S113</f>
        <v>19.627190563837161</v>
      </c>
      <c r="M312" s="413">
        <f>'Imp Refined NYC'!T113</f>
        <v>21.087140333241724</v>
      </c>
      <c r="N312" s="413">
        <f>'Imp Refined NYC'!U113</f>
        <v>22.655687067772394</v>
      </c>
      <c r="O312" s="413">
        <f>'Imp Refined NYC'!V113</f>
        <v>24.340908648656143</v>
      </c>
      <c r="P312" s="405"/>
      <c r="Q312" s="405">
        <f>'Imp Refined NYC'!AF113</f>
        <v>273956.6220591045</v>
      </c>
      <c r="R312" s="405">
        <f>'Imp Refined NYC'!AG113</f>
        <v>273956.6220591045</v>
      </c>
      <c r="S312" s="405">
        <f>'Imp Refined NYC'!AH113</f>
        <v>273956.6220591045</v>
      </c>
      <c r="T312" s="405">
        <f>'Imp Refined NYC'!AI113</f>
        <v>273956.6220591045</v>
      </c>
      <c r="U312" s="405"/>
      <c r="V312" s="405"/>
      <c r="W312" s="405"/>
      <c r="X312" s="405"/>
      <c r="Y312" s="405"/>
      <c r="Z312" s="405"/>
      <c r="AA312" s="413"/>
      <c r="AB312" s="415"/>
      <c r="AC312" s="415"/>
      <c r="AG312" s="415"/>
      <c r="AH312" s="405"/>
      <c r="AI312" s="415"/>
      <c r="AJ312" s="415">
        <v>1.0049999999999999</v>
      </c>
      <c r="AK312" s="415">
        <v>1.0049999999999999</v>
      </c>
      <c r="BC312" s="365"/>
      <c r="BD312" s="365"/>
      <c r="BE312" s="365"/>
      <c r="BF312" s="365"/>
      <c r="BG312" s="365"/>
    </row>
    <row r="313" spans="2:59">
      <c r="B313" s="376" t="str">
        <f>Technologies!B$496</f>
        <v>*R0,R1,R2,R3,R4,R5,R6</v>
      </c>
      <c r="C313" s="376" t="str">
        <f>'Imp Refined NYC'!E114</f>
        <v>IMPLPGP25</v>
      </c>
      <c r="D313" s="376" t="str">
        <f>'Imp Refined NYC'!F114</f>
        <v>Imported LPG, PADD 2, Step 5</v>
      </c>
      <c r="E313" s="415" t="str">
        <f>'Imp Refined NYC'!G114</f>
        <v>LPGP2</v>
      </c>
      <c r="F313" s="413">
        <f>'Imp Refined NYC'!M114</f>
        <v>16.664217199040689</v>
      </c>
      <c r="G313" s="413">
        <f>'Imp Refined NYC'!N114</f>
        <v>17.943143507733915</v>
      </c>
      <c r="H313" s="413">
        <f>'Imp Refined NYC'!O114</f>
        <v>17.772538817569782</v>
      </c>
      <c r="I313" s="413">
        <f>'Imp Refined NYC'!P114</f>
        <v>19.177817663731219</v>
      </c>
      <c r="J313" s="413">
        <f>'Imp Refined NYC'!Q114</f>
        <v>20.279437064908372</v>
      </c>
      <c r="K313" s="413">
        <f>'Imp Refined NYC'!R114</f>
        <v>21.787903565514821</v>
      </c>
      <c r="L313" s="413">
        <f>'Imp Refined NYC'!S114</f>
        <v>23.408575901824143</v>
      </c>
      <c r="M313" s="413">
        <f>'Imp Refined NYC'!T114</f>
        <v>25.149800397444267</v>
      </c>
      <c r="N313" s="413">
        <f>'Imp Refined NYC'!U114</f>
        <v>27.020544209269836</v>
      </c>
      <c r="O313" s="413">
        <f>'Imp Refined NYC'!V114</f>
        <v>29.030441507571556</v>
      </c>
      <c r="P313" s="405"/>
      <c r="Q313" s="405">
        <f>'Imp Refined NYC'!AF114</f>
        <v>1095826.4882364152</v>
      </c>
      <c r="R313" s="405">
        <f>'Imp Refined NYC'!AG114</f>
        <v>1095826.4882364152</v>
      </c>
      <c r="S313" s="405">
        <f>'Imp Refined NYC'!AH114</f>
        <v>1095826.4882364152</v>
      </c>
      <c r="T313" s="405">
        <f>'Imp Refined NYC'!AI114</f>
        <v>1095826.4882364152</v>
      </c>
      <c r="U313" s="405"/>
      <c r="V313" s="405"/>
      <c r="W313" s="405"/>
      <c r="X313" s="405"/>
      <c r="Y313" s="405"/>
      <c r="Z313" s="405"/>
      <c r="AA313" s="413"/>
      <c r="AB313" s="415"/>
      <c r="AC313" s="415"/>
      <c r="AG313" s="415"/>
      <c r="AH313" s="405"/>
      <c r="AI313" s="415"/>
      <c r="AJ313" s="415">
        <v>1.0049999999999999</v>
      </c>
      <c r="AK313" s="415">
        <v>1.0049999999999999</v>
      </c>
      <c r="BC313" s="365"/>
      <c r="BD313" s="365"/>
      <c r="BE313" s="365"/>
      <c r="BF313" s="365"/>
      <c r="BG313" s="365"/>
    </row>
    <row r="314" spans="2:59">
      <c r="B314" s="376" t="str">
        <f>Technologies!B$497</f>
        <v>*R0,R1,R2,R3,R4,R5,R6</v>
      </c>
      <c r="C314" s="376" t="str">
        <f>'Imp Refined NYC'!E115</f>
        <v>IMPPFSP23</v>
      </c>
      <c r="D314" s="376" t="str">
        <f>'Imp Refined NYC'!F115</f>
        <v>Imported Petrochemical Feedstocks, PADD 2, Step 3</v>
      </c>
      <c r="E314" s="415" t="str">
        <f>'Imp Refined NYC'!G115</f>
        <v>PFSP2</v>
      </c>
      <c r="F314" s="413">
        <f>'Imp Refined NYC'!M115</f>
        <v>7.7814059112727412</v>
      </c>
      <c r="G314" s="413">
        <f>'Imp Refined NYC'!N115</f>
        <v>8.3786043646822765</v>
      </c>
      <c r="H314" s="413">
        <f>'Imp Refined NYC'!O115</f>
        <v>8.298939995892697</v>
      </c>
      <c r="I314" s="413">
        <f>'Imp Refined NYC'!P115</f>
        <v>8.9551391434372132</v>
      </c>
      <c r="J314" s="413">
        <f>'Imp Refined NYC'!Q115</f>
        <v>9.4695436076796806</v>
      </c>
      <c r="K314" s="413">
        <f>'Imp Refined NYC'!R115</f>
        <v>10.173926538157305</v>
      </c>
      <c r="L314" s="413">
        <f>'Imp Refined NYC'!S115</f>
        <v>10.930704318197256</v>
      </c>
      <c r="M314" s="413">
        <f>'Imp Refined NYC'!T115</f>
        <v>11.743774288495729</v>
      </c>
      <c r="N314" s="413">
        <f>'Imp Refined NYC'!U115</f>
        <v>12.617323689703388</v>
      </c>
      <c r="O314" s="413">
        <f>'Imp Refined NYC'!V115</f>
        <v>13.555851226355783</v>
      </c>
      <c r="P314" s="405"/>
      <c r="Q314" s="405">
        <f>'Imp Refined NYC'!AF115</f>
        <v>219157.59574618516</v>
      </c>
      <c r="R314" s="405">
        <f>'Imp Refined NYC'!AG115</f>
        <v>219157.59574618516</v>
      </c>
      <c r="S314" s="405">
        <f>'Imp Refined NYC'!AH115</f>
        <v>219157.59574618516</v>
      </c>
      <c r="T314" s="405">
        <f>'Imp Refined NYC'!AI115</f>
        <v>219157.59574618516</v>
      </c>
      <c r="U314" s="405"/>
      <c r="V314" s="405"/>
      <c r="W314" s="405"/>
      <c r="X314" s="405"/>
      <c r="Y314" s="405"/>
      <c r="Z314" s="405"/>
      <c r="AA314" s="413"/>
      <c r="AB314" s="415"/>
      <c r="AC314" s="415"/>
      <c r="AG314" s="415"/>
      <c r="AH314" s="405"/>
      <c r="AI314" s="415"/>
      <c r="AJ314" s="415">
        <v>1.0049999999999999</v>
      </c>
      <c r="AK314" s="415">
        <v>1.0049999999999999</v>
      </c>
      <c r="BC314" s="365"/>
      <c r="BD314" s="365"/>
      <c r="BE314" s="365"/>
      <c r="BF314" s="365"/>
      <c r="BG314" s="365"/>
    </row>
    <row r="315" spans="2:59">
      <c r="B315" s="376" t="str">
        <f>Technologies!B$498</f>
        <v>*R0,R1,R2,R3,R4,R5,R6</v>
      </c>
      <c r="C315" s="376" t="str">
        <f>'Imp Refined NYC'!E116</f>
        <v>IMPPFSP21</v>
      </c>
      <c r="D315" s="376" t="str">
        <f>'Imp Refined NYC'!F116</f>
        <v>Imported Petrochemical Feedstocks, PADD 2, Step 1</v>
      </c>
      <c r="E315" s="415" t="str">
        <f>'Imp Refined NYC'!G116</f>
        <v>PFSP2</v>
      </c>
      <c r="F315" s="413">
        <f>'Imp Refined NYC'!M116</f>
        <v>7.3923356157091042</v>
      </c>
      <c r="G315" s="413">
        <f>'Imp Refined NYC'!N116</f>
        <v>7.9596741464481635</v>
      </c>
      <c r="H315" s="413">
        <f>'Imp Refined NYC'!O116</f>
        <v>7.8839929960980628</v>
      </c>
      <c r="I315" s="413">
        <f>'Imp Refined NYC'!P116</f>
        <v>8.5073821862653531</v>
      </c>
      <c r="J315" s="413">
        <f>'Imp Refined NYC'!Q116</f>
        <v>8.9960664272956965</v>
      </c>
      <c r="K315" s="413">
        <f>'Imp Refined NYC'!R116</f>
        <v>9.6652302112494404</v>
      </c>
      <c r="L315" s="413">
        <f>'Imp Refined NYC'!S116</f>
        <v>10.384169102287393</v>
      </c>
      <c r="M315" s="413">
        <f>'Imp Refined NYC'!T116</f>
        <v>11.156585574070942</v>
      </c>
      <c r="N315" s="413">
        <f>'Imp Refined NYC'!U116</f>
        <v>11.986457505218219</v>
      </c>
      <c r="O315" s="413">
        <f>'Imp Refined NYC'!V116</f>
        <v>12.878058665037994</v>
      </c>
      <c r="P315" s="405"/>
      <c r="Q315" s="405">
        <f>'Imp Refined NYC'!AF116</f>
        <v>1753260.7659694806</v>
      </c>
      <c r="R315" s="405">
        <f>'Imp Refined NYC'!AG116</f>
        <v>1753260.7659694806</v>
      </c>
      <c r="S315" s="405">
        <f>'Imp Refined NYC'!AH116</f>
        <v>1753260.7659694806</v>
      </c>
      <c r="T315" s="405">
        <f>'Imp Refined NYC'!AI116</f>
        <v>1753260.7659694806</v>
      </c>
      <c r="U315" s="405"/>
      <c r="V315" s="405"/>
      <c r="W315" s="405"/>
      <c r="X315" s="405"/>
      <c r="Y315" s="405"/>
      <c r="Z315" s="405"/>
      <c r="AA315" s="413"/>
      <c r="AB315" s="415"/>
      <c r="AC315" s="415"/>
      <c r="AG315" s="415"/>
      <c r="AH315" s="405"/>
      <c r="AI315" s="415"/>
      <c r="AJ315" s="415">
        <v>1.0049999999999999</v>
      </c>
      <c r="AK315" s="415">
        <v>1.0049999999999999</v>
      </c>
      <c r="BC315" s="365"/>
      <c r="BD315" s="365"/>
      <c r="BE315" s="365"/>
      <c r="BF315" s="365"/>
      <c r="BG315" s="365"/>
    </row>
    <row r="316" spans="2:59">
      <c r="B316" s="376" t="str">
        <f>Technologies!B$499</f>
        <v>*R0,R1,R2,R3,R4,R5,R6</v>
      </c>
      <c r="C316" s="376" t="str">
        <f>'Imp Refined NYC'!E117</f>
        <v>IMPPFSP22</v>
      </c>
      <c r="D316" s="376" t="str">
        <f>'Imp Refined NYC'!F117</f>
        <v>Imported Petrochemical Feedstocks, PADD 2, Step 2</v>
      </c>
      <c r="E316" s="415" t="str">
        <f>'Imp Refined NYC'!G117</f>
        <v>PFSP2</v>
      </c>
      <c r="F316" s="413">
        <f>'Imp Refined NYC'!M117</f>
        <v>7.6257777930472876</v>
      </c>
      <c r="G316" s="413">
        <f>'Imp Refined NYC'!N117</f>
        <v>8.2110322773886324</v>
      </c>
      <c r="H316" s="413">
        <f>'Imp Refined NYC'!O117</f>
        <v>8.1329611959748451</v>
      </c>
      <c r="I316" s="413">
        <f>'Imp Refined NYC'!P117</f>
        <v>8.7760363605684706</v>
      </c>
      <c r="J316" s="413">
        <f>'Imp Refined NYC'!Q117</f>
        <v>9.2801527355260873</v>
      </c>
      <c r="K316" s="413">
        <f>'Imp Refined NYC'!R117</f>
        <v>9.9704480073941593</v>
      </c>
      <c r="L316" s="413">
        <f>'Imp Refined NYC'!S117</f>
        <v>10.71209023183331</v>
      </c>
      <c r="M316" s="413">
        <f>'Imp Refined NYC'!T117</f>
        <v>11.508898802725813</v>
      </c>
      <c r="N316" s="413">
        <f>'Imp Refined NYC'!U117</f>
        <v>12.36497721590932</v>
      </c>
      <c r="O316" s="413">
        <f>'Imp Refined NYC'!V117</f>
        <v>13.284734201828666</v>
      </c>
      <c r="P316" s="405"/>
      <c r="Q316" s="405">
        <f>'Imp Refined NYC'!AF117</f>
        <v>219157.59574618493</v>
      </c>
      <c r="R316" s="405">
        <f>'Imp Refined NYC'!AG117</f>
        <v>219157.59574618493</v>
      </c>
      <c r="S316" s="405">
        <f>'Imp Refined NYC'!AH117</f>
        <v>219157.59574618493</v>
      </c>
      <c r="T316" s="405">
        <f>'Imp Refined NYC'!AI117</f>
        <v>219157.59574618493</v>
      </c>
      <c r="U316" s="405"/>
      <c r="V316" s="405"/>
      <c r="W316" s="405"/>
      <c r="X316" s="405"/>
      <c r="Y316" s="405"/>
      <c r="Z316" s="405"/>
      <c r="AA316" s="413"/>
      <c r="AB316" s="415"/>
      <c r="AC316" s="415"/>
      <c r="AG316" s="415"/>
      <c r="AH316" s="405"/>
      <c r="AI316" s="415"/>
      <c r="AJ316" s="415">
        <v>1.0049999999999999</v>
      </c>
      <c r="AK316" s="415">
        <v>1.0049999999999999</v>
      </c>
      <c r="BC316" s="365"/>
      <c r="BD316" s="365"/>
      <c r="BE316" s="365"/>
      <c r="BF316" s="365"/>
      <c r="BG316" s="365"/>
    </row>
    <row r="317" spans="2:59">
      <c r="B317" s="376" t="str">
        <f>Technologies!B$500</f>
        <v>*R0,R1,R2,R3,R4,R5,R6</v>
      </c>
      <c r="C317" s="376" t="str">
        <f>'Imp Refined NYC'!E118</f>
        <v>IMPPFSP24</v>
      </c>
      <c r="D317" s="376" t="str">
        <f>'Imp Refined NYC'!F118</f>
        <v>Imported Petrochemical Feedstocks, PADD 2, Step 4</v>
      </c>
      <c r="E317" s="415" t="str">
        <f>'Imp Refined NYC'!G118</f>
        <v>PFSP2</v>
      </c>
      <c r="F317" s="413">
        <f>'Imp Refined NYC'!M118</f>
        <v>8.4817324432872905</v>
      </c>
      <c r="G317" s="413">
        <f>'Imp Refined NYC'!N118</f>
        <v>9.132678757503685</v>
      </c>
      <c r="H317" s="413">
        <f>'Imp Refined NYC'!O118</f>
        <v>9.0458445955230431</v>
      </c>
      <c r="I317" s="413">
        <f>'Imp Refined NYC'!P118</f>
        <v>9.7611016663465655</v>
      </c>
      <c r="J317" s="413">
        <f>'Imp Refined NYC'!Q118</f>
        <v>10.321802532370855</v>
      </c>
      <c r="K317" s="413">
        <f>'Imp Refined NYC'!R118</f>
        <v>11.089579926591467</v>
      </c>
      <c r="L317" s="413">
        <f>'Imp Refined NYC'!S118</f>
        <v>11.914467706835012</v>
      </c>
      <c r="M317" s="413">
        <f>'Imp Refined NYC'!T118</f>
        <v>12.800713974460349</v>
      </c>
      <c r="N317" s="413">
        <f>'Imp Refined NYC'!U118</f>
        <v>13.752882821776698</v>
      </c>
      <c r="O317" s="413">
        <f>'Imp Refined NYC'!V118</f>
        <v>14.775877836727808</v>
      </c>
      <c r="P317" s="405"/>
      <c r="Q317" s="405">
        <f>'Imp Refined NYC'!AF118</f>
        <v>438315.1914923708</v>
      </c>
      <c r="R317" s="405">
        <f>'Imp Refined NYC'!AG118</f>
        <v>438315.1914923708</v>
      </c>
      <c r="S317" s="405">
        <f>'Imp Refined NYC'!AH118</f>
        <v>438315.1914923708</v>
      </c>
      <c r="T317" s="405">
        <f>'Imp Refined NYC'!AI118</f>
        <v>438315.1914923708</v>
      </c>
      <c r="U317" s="405"/>
      <c r="V317" s="405"/>
      <c r="W317" s="405"/>
      <c r="X317" s="405"/>
      <c r="Y317" s="405"/>
      <c r="Z317" s="405"/>
      <c r="AA317" s="413"/>
      <c r="AB317" s="415"/>
      <c r="AC317" s="415"/>
      <c r="AG317" s="415"/>
      <c r="AH317" s="405"/>
      <c r="AI317" s="415"/>
      <c r="AJ317" s="415">
        <v>1.0049999999999999</v>
      </c>
      <c r="AK317" s="415">
        <v>1.0049999999999999</v>
      </c>
      <c r="BC317" s="365"/>
      <c r="BD317" s="365"/>
      <c r="BE317" s="365"/>
      <c r="BF317" s="365"/>
      <c r="BG317" s="365"/>
    </row>
    <row r="318" spans="2:59">
      <c r="B318" s="376" t="str">
        <f>Technologies!B$501</f>
        <v>*R0,R1,R2,R3,R4,R5,R6</v>
      </c>
      <c r="C318" s="376" t="str">
        <f>'Imp Refined NYC'!E119</f>
        <v>IMPPFSP25</v>
      </c>
      <c r="D318" s="376" t="str">
        <f>'Imp Refined NYC'!F119</f>
        <v>Imported Petrochemical Feedstocks, PADD 2, Step 5</v>
      </c>
      <c r="E318" s="415" t="str">
        <f>'Imp Refined NYC'!G119</f>
        <v>PFSP2</v>
      </c>
      <c r="F318" s="413">
        <f>'Imp Refined NYC'!M119</f>
        <v>10.115827684654564</v>
      </c>
      <c r="G318" s="413">
        <f>'Imp Refined NYC'!N119</f>
        <v>10.89218567408696</v>
      </c>
      <c r="H318" s="413">
        <f>'Imp Refined NYC'!O119</f>
        <v>10.788621994660508</v>
      </c>
      <c r="I318" s="413">
        <f>'Imp Refined NYC'!P119</f>
        <v>11.641680886468379</v>
      </c>
      <c r="J318" s="413">
        <f>'Imp Refined NYC'!Q119</f>
        <v>12.310406689983585</v>
      </c>
      <c r="K318" s="413">
        <f>'Imp Refined NYC'!R119</f>
        <v>13.226104499604498</v>
      </c>
      <c r="L318" s="413">
        <f>'Imp Refined NYC'!S119</f>
        <v>14.209915613656433</v>
      </c>
      <c r="M318" s="413">
        <f>'Imp Refined NYC'!T119</f>
        <v>15.266906575044448</v>
      </c>
      <c r="N318" s="413">
        <f>'Imp Refined NYC'!U119</f>
        <v>16.402520796614407</v>
      </c>
      <c r="O318" s="413">
        <f>'Imp Refined NYC'!V119</f>
        <v>17.622606594262521</v>
      </c>
      <c r="P318" s="405"/>
      <c r="Q318" s="405">
        <f>'Imp Refined NYC'!AF119</f>
        <v>1753260.7659694799</v>
      </c>
      <c r="R318" s="405">
        <f>'Imp Refined NYC'!AG119</f>
        <v>1753260.7659694799</v>
      </c>
      <c r="S318" s="405">
        <f>'Imp Refined NYC'!AH119</f>
        <v>1753260.7659694799</v>
      </c>
      <c r="T318" s="405">
        <f>'Imp Refined NYC'!AI119</f>
        <v>1753260.7659694799</v>
      </c>
      <c r="U318" s="405"/>
      <c r="V318" s="405"/>
      <c r="W318" s="405"/>
      <c r="X318" s="405"/>
      <c r="Y318" s="405"/>
      <c r="Z318" s="405"/>
      <c r="AA318" s="413"/>
      <c r="AB318" s="415"/>
      <c r="AC318" s="415"/>
      <c r="AG318" s="415"/>
      <c r="AH318" s="405"/>
      <c r="AI318" s="415"/>
      <c r="AJ318" s="415">
        <v>1.0049999999999999</v>
      </c>
      <c r="AK318" s="415">
        <v>1.0049999999999999</v>
      </c>
      <c r="BC318" s="365"/>
      <c r="BD318" s="365"/>
      <c r="BE318" s="365"/>
      <c r="BF318" s="365"/>
      <c r="BG318" s="365"/>
    </row>
    <row r="319" spans="2:59">
      <c r="B319" s="376" t="str">
        <f>Technologies!B$502</f>
        <v>*R0,R1,R2,R3,R4,R5,R6</v>
      </c>
      <c r="C319" s="376" t="str">
        <f>'Imp Refined NYC'!E120</f>
        <v>IMPKERP23</v>
      </c>
      <c r="D319" s="376" t="str">
        <f>'Imp Refined NYC'!F120</f>
        <v>Imported Kerosene and Other Refined Products, PADD 2, Step 3</v>
      </c>
      <c r="E319" s="415" t="str">
        <f>'Imp Refined NYC'!G120</f>
        <v>KERP2</v>
      </c>
      <c r="F319" s="413">
        <f>'Imp Refined NYC'!M120</f>
        <v>10.276316058017279</v>
      </c>
      <c r="G319" s="413">
        <f>'Imp Refined NYC'!N120</f>
        <v>11.064991025828041</v>
      </c>
      <c r="H319" s="413">
        <f>'Imp Refined NYC'!O120</f>
        <v>10.959784300773615</v>
      </c>
      <c r="I319" s="413">
        <f>'Imp Refined NYC'!P120</f>
        <v>11.82637703659274</v>
      </c>
      <c r="J319" s="413">
        <f>'Imp Refined NYC'!Q120</f>
        <v>12.505712225694323</v>
      </c>
      <c r="K319" s="413">
        <f>'Imp Refined NYC'!R120</f>
        <v>13.43593765050789</v>
      </c>
      <c r="L319" s="413">
        <f>'Imp Refined NYC'!S120</f>
        <v>14.435357002492729</v>
      </c>
      <c r="M319" s="413">
        <f>'Imp Refined NYC'!T120</f>
        <v>15.509117205641317</v>
      </c>
      <c r="N319" s="413">
        <f>'Imp Refined NYC'!U120</f>
        <v>16.662748032957122</v>
      </c>
      <c r="O319" s="413">
        <f>'Imp Refined NYC'!V120</f>
        <v>17.902190584311562</v>
      </c>
      <c r="P319" s="405"/>
      <c r="Q319" s="405">
        <f>'Imp Refined NYC'!AF120</f>
        <v>218348.8961308857</v>
      </c>
      <c r="R319" s="405">
        <f>'Imp Refined NYC'!AG120</f>
        <v>218348.8961308857</v>
      </c>
      <c r="S319" s="405">
        <f>'Imp Refined NYC'!AH120</f>
        <v>218348.8961308857</v>
      </c>
      <c r="T319" s="405">
        <f>'Imp Refined NYC'!AI120</f>
        <v>218348.8961308857</v>
      </c>
      <c r="U319" s="405"/>
      <c r="V319" s="405"/>
      <c r="W319" s="405"/>
      <c r="X319" s="405"/>
      <c r="Y319" s="405"/>
      <c r="Z319" s="405"/>
      <c r="AA319" s="413"/>
      <c r="AB319" s="415"/>
      <c r="AC319" s="415"/>
      <c r="AG319" s="415"/>
      <c r="AH319" s="405"/>
      <c r="AI319" s="415"/>
      <c r="AJ319" s="415">
        <v>1.0049999999999999</v>
      </c>
      <c r="AK319" s="415">
        <v>1.0049999999999999</v>
      </c>
      <c r="BC319" s="365"/>
      <c r="BD319" s="365"/>
      <c r="BE319" s="365"/>
      <c r="BF319" s="365"/>
      <c r="BG319" s="365"/>
    </row>
    <row r="320" spans="2:59">
      <c r="B320" s="376" t="str">
        <f>Technologies!B$503</f>
        <v>*R0,R1,R2,R3,R4,R5,R6</v>
      </c>
      <c r="C320" s="376" t="str">
        <f>'Imp Refined NYC'!E121</f>
        <v>IMPKERP21</v>
      </c>
      <c r="D320" s="376" t="str">
        <f>'Imp Refined NYC'!F121</f>
        <v>Imported Kerosene and Other Refined Products, PADD 2, Step 1</v>
      </c>
      <c r="E320" s="415" t="str">
        <f>'Imp Refined NYC'!G121</f>
        <v>KERP2</v>
      </c>
      <c r="F320" s="413">
        <f>'Imp Refined NYC'!M121</f>
        <v>9.7625002551164162</v>
      </c>
      <c r="G320" s="413">
        <f>'Imp Refined NYC'!N121</f>
        <v>10.51174147453664</v>
      </c>
      <c r="H320" s="413">
        <f>'Imp Refined NYC'!O121</f>
        <v>10.411795085734934</v>
      </c>
      <c r="I320" s="413">
        <f>'Imp Refined NYC'!P121</f>
        <v>11.235058184763101</v>
      </c>
      <c r="J320" s="413">
        <f>'Imp Refined NYC'!Q121</f>
        <v>11.880426614409604</v>
      </c>
      <c r="K320" s="413">
        <f>'Imp Refined NYC'!R121</f>
        <v>12.764140767982493</v>
      </c>
      <c r="L320" s="413">
        <f>'Imp Refined NYC'!S121</f>
        <v>13.71358915236809</v>
      </c>
      <c r="M320" s="413">
        <f>'Imp Refined NYC'!T121</f>
        <v>14.733661345359248</v>
      </c>
      <c r="N320" s="413">
        <f>'Imp Refined NYC'!U121</f>
        <v>15.829610631309261</v>
      </c>
      <c r="O320" s="413">
        <f>'Imp Refined NYC'!V121</f>
        <v>17.007081055095977</v>
      </c>
      <c r="P320" s="405"/>
      <c r="Q320" s="405">
        <f>'Imp Refined NYC'!AF121</f>
        <v>1746791.1690470844</v>
      </c>
      <c r="R320" s="405">
        <f>'Imp Refined NYC'!AG121</f>
        <v>1746791.1690470844</v>
      </c>
      <c r="S320" s="405">
        <f>'Imp Refined NYC'!AH121</f>
        <v>1746791.1690470844</v>
      </c>
      <c r="T320" s="405">
        <f>'Imp Refined NYC'!AI121</f>
        <v>1746791.1690470844</v>
      </c>
      <c r="U320" s="405"/>
      <c r="V320" s="405"/>
      <c r="W320" s="405"/>
      <c r="X320" s="405"/>
      <c r="Y320" s="405"/>
      <c r="Z320" s="405"/>
      <c r="AA320" s="413"/>
      <c r="AB320" s="415"/>
      <c r="AC320" s="415"/>
      <c r="AG320" s="415"/>
      <c r="AH320" s="405"/>
      <c r="AI320" s="415"/>
      <c r="AJ320" s="415">
        <v>1.0049999999999999</v>
      </c>
      <c r="AK320" s="415">
        <v>1.0049999999999999</v>
      </c>
      <c r="BC320" s="365"/>
      <c r="BD320" s="365"/>
      <c r="BE320" s="365"/>
      <c r="BF320" s="365"/>
      <c r="BG320" s="365"/>
    </row>
    <row r="321" spans="2:59">
      <c r="B321" s="376" t="str">
        <f>Technologies!B$504</f>
        <v>*R0,R1,R2,R3,R4,R5,R6</v>
      </c>
      <c r="C321" s="376" t="str">
        <f>'Imp Refined NYC'!E122</f>
        <v>IMPKERP22</v>
      </c>
      <c r="D321" s="376" t="str">
        <f>'Imp Refined NYC'!F122</f>
        <v>Imported Kerosene and Other Refined Products, PADD 2, Step 2</v>
      </c>
      <c r="E321" s="415" t="str">
        <f>'Imp Refined NYC'!G122</f>
        <v>KERP2</v>
      </c>
      <c r="F321" s="413">
        <f>'Imp Refined NYC'!M122</f>
        <v>10.070789736856934</v>
      </c>
      <c r="G321" s="413">
        <f>'Imp Refined NYC'!N122</f>
        <v>10.843691205311481</v>
      </c>
      <c r="H321" s="413">
        <f>'Imp Refined NYC'!O122</f>
        <v>10.740588614758142</v>
      </c>
      <c r="I321" s="413">
        <f>'Imp Refined NYC'!P122</f>
        <v>11.589849495860884</v>
      </c>
      <c r="J321" s="413">
        <f>'Imp Refined NYC'!Q122</f>
        <v>12.255597981180435</v>
      </c>
      <c r="K321" s="413">
        <f>'Imp Refined NYC'!R122</f>
        <v>13.167218897497731</v>
      </c>
      <c r="L321" s="413">
        <f>'Imp Refined NYC'!S122</f>
        <v>14.146649862442874</v>
      </c>
      <c r="M321" s="413">
        <f>'Imp Refined NYC'!T122</f>
        <v>15.198934861528489</v>
      </c>
      <c r="N321" s="413">
        <f>'Imp Refined NYC'!U122</f>
        <v>16.329493072297975</v>
      </c>
      <c r="O321" s="413">
        <f>'Imp Refined NYC'!V122</f>
        <v>17.544146772625325</v>
      </c>
      <c r="P321" s="405"/>
      <c r="Q321" s="405">
        <f>'Imp Refined NYC'!AF122</f>
        <v>218348.896130885</v>
      </c>
      <c r="R321" s="405">
        <f>'Imp Refined NYC'!AG122</f>
        <v>218348.896130885</v>
      </c>
      <c r="S321" s="405">
        <f>'Imp Refined NYC'!AH122</f>
        <v>218348.896130885</v>
      </c>
      <c r="T321" s="405">
        <f>'Imp Refined NYC'!AI122</f>
        <v>218348.896130885</v>
      </c>
      <c r="U321" s="405"/>
      <c r="V321" s="405"/>
      <c r="W321" s="405"/>
      <c r="X321" s="405"/>
      <c r="Y321" s="405"/>
      <c r="Z321" s="405"/>
      <c r="AA321" s="413"/>
      <c r="AB321" s="415"/>
      <c r="AC321" s="415"/>
      <c r="AG321" s="415"/>
      <c r="AH321" s="405"/>
      <c r="AI321" s="415"/>
      <c r="AJ321" s="415">
        <v>1.0049999999999999</v>
      </c>
      <c r="AK321" s="415">
        <v>1.0049999999999999</v>
      </c>
      <c r="BC321" s="365"/>
      <c r="BD321" s="365"/>
      <c r="BE321" s="365"/>
      <c r="BF321" s="365"/>
      <c r="BG321" s="365"/>
    </row>
    <row r="322" spans="2:59">
      <c r="B322" s="376" t="str">
        <f>Technologies!B$505</f>
        <v>*R0,R1,R2,R3,R4,R5,R6</v>
      </c>
      <c r="C322" s="376" t="str">
        <f>'Imp Refined NYC'!E123</f>
        <v>IMPKERP24</v>
      </c>
      <c r="D322" s="376" t="str">
        <f>'Imp Refined NYC'!F123</f>
        <v>Imported Kerosene and Other Refined Products, PADD 2, Step 4</v>
      </c>
      <c r="E322" s="415" t="str">
        <f>'Imp Refined NYC'!G123</f>
        <v>KERP2</v>
      </c>
      <c r="F322" s="413">
        <f>'Imp Refined NYC'!M123</f>
        <v>11.201184503238837</v>
      </c>
      <c r="G322" s="413">
        <f>'Imp Refined NYC'!N123</f>
        <v>12.060840218152567</v>
      </c>
      <c r="H322" s="413">
        <f>'Imp Refined NYC'!O123</f>
        <v>11.946164887843242</v>
      </c>
      <c r="I322" s="413">
        <f>'Imp Refined NYC'!P123</f>
        <v>12.890750969886088</v>
      </c>
      <c r="J322" s="413">
        <f>'Imp Refined NYC'!Q123</f>
        <v>13.631226326006812</v>
      </c>
      <c r="K322" s="413">
        <f>'Imp Refined NYC'!R123</f>
        <v>14.645172039053602</v>
      </c>
      <c r="L322" s="413">
        <f>'Imp Refined NYC'!S123</f>
        <v>15.734539132717076</v>
      </c>
      <c r="M322" s="413">
        <f>'Imp Refined NYC'!T123</f>
        <v>16.904937754149035</v>
      </c>
      <c r="N322" s="413">
        <f>'Imp Refined NYC'!U123</f>
        <v>18.162395355923262</v>
      </c>
      <c r="O322" s="413">
        <f>'Imp Refined NYC'!V123</f>
        <v>19.513387736899602</v>
      </c>
      <c r="P322" s="405"/>
      <c r="Q322" s="405">
        <f>'Imp Refined NYC'!AF123</f>
        <v>436697.79226177093</v>
      </c>
      <c r="R322" s="405">
        <f>'Imp Refined NYC'!AG123</f>
        <v>436697.79226177093</v>
      </c>
      <c r="S322" s="405">
        <f>'Imp Refined NYC'!AH123</f>
        <v>436697.79226177093</v>
      </c>
      <c r="T322" s="405">
        <f>'Imp Refined NYC'!AI123</f>
        <v>436697.79226177093</v>
      </c>
      <c r="U322" s="405"/>
      <c r="V322" s="405"/>
      <c r="W322" s="405"/>
      <c r="X322" s="405"/>
      <c r="Y322" s="405"/>
      <c r="Z322" s="405"/>
      <c r="AA322" s="413"/>
      <c r="AB322" s="415"/>
      <c r="AC322" s="415"/>
      <c r="AG322" s="415"/>
      <c r="AH322" s="405"/>
      <c r="AI322" s="415"/>
      <c r="AJ322" s="415">
        <v>1.0049999999999999</v>
      </c>
      <c r="AK322" s="415">
        <v>1.0049999999999999</v>
      </c>
      <c r="BC322" s="365"/>
      <c r="BD322" s="365"/>
      <c r="BE322" s="365"/>
      <c r="BF322" s="365"/>
      <c r="BG322" s="365"/>
    </row>
    <row r="323" spans="2:59">
      <c r="B323" s="376" t="str">
        <f>Technologies!B$506</f>
        <v>*R0,R1,R2,R3,R4,R5,R6</v>
      </c>
      <c r="C323" s="376" t="str">
        <f>'Imp Refined NYC'!E124</f>
        <v>IMPKERP25</v>
      </c>
      <c r="D323" s="376" t="str">
        <f>'Imp Refined NYC'!F124</f>
        <v>Imported Kerosene and Other Refined Products, PADD 2, Step 5</v>
      </c>
      <c r="E323" s="415" t="str">
        <f>'Imp Refined NYC'!G124</f>
        <v>KERP2</v>
      </c>
      <c r="F323" s="413">
        <f>'Imp Refined NYC'!M124</f>
        <v>13.359210875422464</v>
      </c>
      <c r="G323" s="413">
        <f>'Imp Refined NYC'!N124</f>
        <v>14.384488333576455</v>
      </c>
      <c r="H323" s="413">
        <f>'Imp Refined NYC'!O124</f>
        <v>14.2477195910057</v>
      </c>
      <c r="I323" s="413">
        <f>'Imp Refined NYC'!P124</f>
        <v>15.374290147570562</v>
      </c>
      <c r="J323" s="413">
        <f>'Imp Refined NYC'!Q124</f>
        <v>16.257425893402619</v>
      </c>
      <c r="K323" s="413">
        <f>'Imp Refined NYC'!R124</f>
        <v>17.466718945660258</v>
      </c>
      <c r="L323" s="413">
        <f>'Imp Refined NYC'!S124</f>
        <v>18.765964103240549</v>
      </c>
      <c r="M323" s="413">
        <f>'Imp Refined NYC'!T124</f>
        <v>20.161852367333712</v>
      </c>
      <c r="N323" s="413">
        <f>'Imp Refined NYC'!U124</f>
        <v>21.661572442844257</v>
      </c>
      <c r="O323" s="413">
        <f>'Imp Refined NYC'!V124</f>
        <v>23.272847759605028</v>
      </c>
      <c r="P323" s="405"/>
      <c r="Q323" s="405">
        <f>'Imp Refined NYC'!AF124</f>
        <v>1746791.1690470842</v>
      </c>
      <c r="R323" s="405">
        <f>'Imp Refined NYC'!AG124</f>
        <v>1746791.1690470842</v>
      </c>
      <c r="S323" s="405">
        <f>'Imp Refined NYC'!AH124</f>
        <v>1746791.1690470842</v>
      </c>
      <c r="T323" s="405">
        <f>'Imp Refined NYC'!AI124</f>
        <v>1746791.1690470842</v>
      </c>
      <c r="U323" s="405"/>
      <c r="V323" s="405"/>
      <c r="W323" s="405"/>
      <c r="X323" s="405"/>
      <c r="Y323" s="405"/>
      <c r="Z323" s="405"/>
      <c r="AA323" s="413"/>
      <c r="AB323" s="415"/>
      <c r="AC323" s="415"/>
      <c r="AG323" s="415"/>
      <c r="AH323" s="405"/>
      <c r="AI323" s="415"/>
      <c r="AJ323" s="415">
        <v>1.0049999999999999</v>
      </c>
      <c r="AK323" s="415">
        <v>1.0049999999999999</v>
      </c>
      <c r="BC323" s="365"/>
      <c r="BD323" s="365"/>
      <c r="BE323" s="365"/>
      <c r="BF323" s="365"/>
      <c r="BG323" s="365"/>
    </row>
    <row r="324" spans="2:59">
      <c r="B324" s="376" t="str">
        <f>Technologies!B$507</f>
        <v>*R0,R1,R2,R3,R4,R5,R6</v>
      </c>
      <c r="C324" s="376" t="str">
        <f>'Imp Refined NYC'!E125</f>
        <v>IMPMTHP23</v>
      </c>
      <c r="D324" s="376" t="str">
        <f>'Imp Refined NYC'!F125</f>
        <v>Imported Methanol, PADD 2, Step 3</v>
      </c>
      <c r="E324" s="415" t="str">
        <f>'Imp Refined NYC'!G125</f>
        <v>MTHP2</v>
      </c>
      <c r="F324" s="413">
        <f>'Imp Refined NYC'!M125</f>
        <v>27.339880811216108</v>
      </c>
      <c r="G324" s="413">
        <f>'Imp Refined NYC'!N125</f>
        <v>29.438130757695095</v>
      </c>
      <c r="H324" s="413">
        <f>'Imp Refined NYC'!O125</f>
        <v>29.158230907662517</v>
      </c>
      <c r="I324" s="413">
        <f>'Imp Refined NYC'!P125</f>
        <v>31.463779119239401</v>
      </c>
      <c r="J324" s="413">
        <f>'Imp Refined NYC'!Q125</f>
        <v>33.271133330227507</v>
      </c>
      <c r="K324" s="413">
        <f>'Imp Refined NYC'!R125</f>
        <v>35.745974712915839</v>
      </c>
      <c r="L324" s="413">
        <f>'Imp Refined NYC'!S125</f>
        <v>38.404904801230025</v>
      </c>
      <c r="M324" s="413">
        <f>'Imp Refined NYC'!T125</f>
        <v>41.261616857201339</v>
      </c>
      <c r="N324" s="413">
        <f>'Imp Refined NYC'!U125</f>
        <v>44.330822703040617</v>
      </c>
      <c r="O324" s="413">
        <f>'Imp Refined NYC'!V125</f>
        <v>47.62832848576155</v>
      </c>
      <c r="P324" s="405"/>
      <c r="Q324" s="405">
        <f>'Imp Refined NYC'!AF125</f>
        <v>105777.90968118445</v>
      </c>
      <c r="R324" s="405">
        <f>'Imp Refined NYC'!AG125</f>
        <v>105777.90968118445</v>
      </c>
      <c r="S324" s="405">
        <f>'Imp Refined NYC'!AH125</f>
        <v>105777.90968118445</v>
      </c>
      <c r="T324" s="405">
        <f>'Imp Refined NYC'!AI125</f>
        <v>105777.90968118445</v>
      </c>
      <c r="U324" s="405"/>
      <c r="V324" s="405"/>
      <c r="W324" s="405"/>
      <c r="X324" s="405"/>
      <c r="Y324" s="405"/>
      <c r="Z324" s="405"/>
      <c r="AA324" s="413"/>
      <c r="AB324" s="415"/>
      <c r="AC324" s="415"/>
      <c r="AG324" s="415"/>
      <c r="AH324" s="405"/>
      <c r="AI324" s="415"/>
      <c r="AJ324" s="415">
        <v>1.0049999999999999</v>
      </c>
      <c r="AK324" s="415">
        <v>1.0049999999999999</v>
      </c>
      <c r="BC324" s="365"/>
      <c r="BD324" s="365"/>
      <c r="BE324" s="365"/>
      <c r="BF324" s="365"/>
      <c r="BG324" s="365"/>
    </row>
    <row r="325" spans="2:59">
      <c r="B325" s="376" t="str">
        <f>Technologies!B$508</f>
        <v>*R0,R1,R2,R3,R4,R5,R6</v>
      </c>
      <c r="C325" s="376" t="str">
        <f>'Imp Refined NYC'!E126</f>
        <v>IMPMTHP21</v>
      </c>
      <c r="D325" s="376" t="str">
        <f>'Imp Refined NYC'!F126</f>
        <v>Imported Methanol, PADD 2, Step 1</v>
      </c>
      <c r="E325" s="415" t="str">
        <f>'Imp Refined NYC'!G126</f>
        <v>MTHP2</v>
      </c>
      <c r="F325" s="413">
        <f>'Imp Refined NYC'!M126</f>
        <v>25.972886770655304</v>
      </c>
      <c r="G325" s="413">
        <f>'Imp Refined NYC'!N126</f>
        <v>27.966224219810343</v>
      </c>
      <c r="H325" s="413">
        <f>'Imp Refined NYC'!O126</f>
        <v>27.700319362279394</v>
      </c>
      <c r="I325" s="413">
        <f>'Imp Refined NYC'!P126</f>
        <v>29.890590163277434</v>
      </c>
      <c r="J325" s="413">
        <f>'Imp Refined NYC'!Q126</f>
        <v>31.607576663716134</v>
      </c>
      <c r="K325" s="413">
        <f>'Imp Refined NYC'!R126</f>
        <v>33.958675977270047</v>
      </c>
      <c r="L325" s="413">
        <f>'Imp Refined NYC'!S126</f>
        <v>36.48465956116852</v>
      </c>
      <c r="M325" s="413">
        <f>'Imp Refined NYC'!T126</f>
        <v>39.198536014341265</v>
      </c>
      <c r="N325" s="413">
        <f>'Imp Refined NYC'!U126</f>
        <v>42.114281567888582</v>
      </c>
      <c r="O325" s="413">
        <f>'Imp Refined NYC'!V126</f>
        <v>45.246912061473466</v>
      </c>
      <c r="P325" s="405"/>
      <c r="Q325" s="405">
        <f>'Imp Refined NYC'!AF126</f>
        <v>846223.27744947642</v>
      </c>
      <c r="R325" s="405">
        <f>'Imp Refined NYC'!AG126</f>
        <v>846223.27744947642</v>
      </c>
      <c r="S325" s="405">
        <f>'Imp Refined NYC'!AH126</f>
        <v>846223.27744947642</v>
      </c>
      <c r="T325" s="405">
        <f>'Imp Refined NYC'!AI126</f>
        <v>846223.27744947642</v>
      </c>
      <c r="U325" s="405"/>
      <c r="V325" s="405"/>
      <c r="W325" s="405"/>
      <c r="X325" s="405"/>
      <c r="Y325" s="405"/>
      <c r="Z325" s="405"/>
      <c r="AA325" s="413"/>
      <c r="AB325" s="415"/>
      <c r="AC325" s="415"/>
      <c r="AG325" s="415"/>
      <c r="AH325" s="405"/>
      <c r="AI325" s="415"/>
      <c r="AJ325" s="415">
        <v>1.0049999999999999</v>
      </c>
      <c r="AK325" s="415">
        <v>1.0049999999999999</v>
      </c>
      <c r="BC325" s="365"/>
      <c r="BD325" s="365"/>
      <c r="BE325" s="365"/>
      <c r="BF325" s="365"/>
      <c r="BG325" s="365"/>
    </row>
    <row r="326" spans="2:59">
      <c r="B326" s="376" t="str">
        <f>Technologies!B$509</f>
        <v>*R0,R1,R2,R3,R4,R5,R6</v>
      </c>
      <c r="C326" s="376" t="str">
        <f>'Imp Refined NYC'!E127</f>
        <v>IMPMTHP22</v>
      </c>
      <c r="D326" s="376" t="str">
        <f>'Imp Refined NYC'!F127</f>
        <v>Imported Methanol, PADD 2, Step 2</v>
      </c>
      <c r="E326" s="415" t="str">
        <f>'Imp Refined NYC'!G127</f>
        <v>MTHP2</v>
      </c>
      <c r="F326" s="413">
        <f>'Imp Refined NYC'!M127</f>
        <v>26.793083194991791</v>
      </c>
      <c r="G326" s="413">
        <f>'Imp Refined NYC'!N127</f>
        <v>28.849368142541199</v>
      </c>
      <c r="H326" s="413">
        <f>'Imp Refined NYC'!O127</f>
        <v>28.57506628950927</v>
      </c>
      <c r="I326" s="413">
        <f>'Imp Refined NYC'!P127</f>
        <v>30.834503536854616</v>
      </c>
      <c r="J326" s="413">
        <f>'Imp Refined NYC'!Q127</f>
        <v>32.605710663622958</v>
      </c>
      <c r="K326" s="413">
        <f>'Imp Refined NYC'!R127</f>
        <v>35.031055218657521</v>
      </c>
      <c r="L326" s="413">
        <f>'Imp Refined NYC'!S127</f>
        <v>37.636806705205423</v>
      </c>
      <c r="M326" s="413">
        <f>'Imp Refined NYC'!T127</f>
        <v>40.43638452005731</v>
      </c>
      <c r="N326" s="413">
        <f>'Imp Refined NYC'!U127</f>
        <v>43.444206248979803</v>
      </c>
      <c r="O326" s="413">
        <f>'Imp Refined NYC'!V127</f>
        <v>46.675761916046319</v>
      </c>
      <c r="P326" s="405"/>
      <c r="Q326" s="405">
        <f>'Imp Refined NYC'!AF127</f>
        <v>105777.90968118433</v>
      </c>
      <c r="R326" s="405">
        <f>'Imp Refined NYC'!AG127</f>
        <v>105777.90968118433</v>
      </c>
      <c r="S326" s="405">
        <f>'Imp Refined NYC'!AH127</f>
        <v>105777.90968118433</v>
      </c>
      <c r="T326" s="405">
        <f>'Imp Refined NYC'!AI127</f>
        <v>105777.90968118433</v>
      </c>
      <c r="U326" s="405"/>
      <c r="V326" s="405"/>
      <c r="W326" s="405"/>
      <c r="X326" s="405"/>
      <c r="Y326" s="405"/>
      <c r="Z326" s="405"/>
      <c r="AA326" s="413"/>
      <c r="AB326" s="415"/>
      <c r="AC326" s="415"/>
      <c r="AG326" s="415"/>
      <c r="AH326" s="405"/>
      <c r="AI326" s="415"/>
      <c r="AJ326" s="415">
        <v>1.0049999999999999</v>
      </c>
      <c r="AK326" s="415">
        <v>1.0049999999999999</v>
      </c>
      <c r="BC326" s="365"/>
      <c r="BD326" s="365"/>
      <c r="BE326" s="365"/>
      <c r="BF326" s="365"/>
      <c r="BG326" s="365"/>
    </row>
    <row r="327" spans="2:59">
      <c r="B327" s="376" t="str">
        <f>Technologies!B$510</f>
        <v>*R0,R1,R2,R3,R4,R5,R6</v>
      </c>
      <c r="C327" s="376" t="str">
        <f>'Imp Refined NYC'!E128</f>
        <v>IMPMTHP24</v>
      </c>
      <c r="D327" s="376" t="str">
        <f>'Imp Refined NYC'!F128</f>
        <v>Imported Methanol, PADD 2, Step 4</v>
      </c>
      <c r="E327" s="415" t="str">
        <f>'Imp Refined NYC'!G128</f>
        <v>MTHP2</v>
      </c>
      <c r="F327" s="413">
        <f>'Imp Refined NYC'!M128</f>
        <v>29.800470084225566</v>
      </c>
      <c r="G327" s="413">
        <f>'Imp Refined NYC'!N128</f>
        <v>32.087562525887662</v>
      </c>
      <c r="H327" s="413">
        <f>'Imp Refined NYC'!O128</f>
        <v>31.78247168935215</v>
      </c>
      <c r="I327" s="413">
        <f>'Imp Refined NYC'!P128</f>
        <v>34.295519239970957</v>
      </c>
      <c r="J327" s="413">
        <f>'Imp Refined NYC'!Q128</f>
        <v>36.265535329947994</v>
      </c>
      <c r="K327" s="413">
        <f>'Imp Refined NYC'!R128</f>
        <v>38.96311243707828</v>
      </c>
      <c r="L327" s="413">
        <f>'Imp Refined NYC'!S128</f>
        <v>41.86134623334074</v>
      </c>
      <c r="M327" s="413">
        <f>'Imp Refined NYC'!T128</f>
        <v>44.975162374349473</v>
      </c>
      <c r="N327" s="413">
        <f>'Imp Refined NYC'!U128</f>
        <v>48.320596746314287</v>
      </c>
      <c r="O327" s="413">
        <f>'Imp Refined NYC'!V128</f>
        <v>51.914878049480102</v>
      </c>
      <c r="P327" s="405"/>
      <c r="Q327" s="405">
        <f>'Imp Refined NYC'!AF128</f>
        <v>211555.81936236937</v>
      </c>
      <c r="R327" s="405">
        <f>'Imp Refined NYC'!AG128</f>
        <v>211555.81936236937</v>
      </c>
      <c r="S327" s="405">
        <f>'Imp Refined NYC'!AH128</f>
        <v>211555.81936236937</v>
      </c>
      <c r="T327" s="405">
        <f>'Imp Refined NYC'!AI128</f>
        <v>211555.81936236937</v>
      </c>
      <c r="U327" s="405"/>
      <c r="V327" s="405"/>
      <c r="W327" s="405"/>
      <c r="X327" s="405"/>
      <c r="Y327" s="405"/>
      <c r="Z327" s="405"/>
      <c r="AA327" s="413"/>
      <c r="AB327" s="415"/>
      <c r="AC327" s="415"/>
      <c r="AG327" s="415"/>
      <c r="AH327" s="405"/>
      <c r="AI327" s="415"/>
      <c r="AJ327" s="415">
        <v>1.0049999999999999</v>
      </c>
      <c r="AK327" s="415">
        <v>1.0049999999999999</v>
      </c>
      <c r="BC327" s="365"/>
      <c r="BD327" s="365"/>
      <c r="BE327" s="365"/>
      <c r="BF327" s="365"/>
      <c r="BG327" s="365"/>
    </row>
    <row r="328" spans="2:59">
      <c r="B328" s="376" t="str">
        <f>Technologies!B$511</f>
        <v>*R0,R1,R2,R3,R4,R5,R6</v>
      </c>
      <c r="C328" s="376" t="str">
        <f>'Imp Refined NYC'!E129</f>
        <v>IMPMTHP25</v>
      </c>
      <c r="D328" s="376" t="str">
        <f>'Imp Refined NYC'!F129</f>
        <v>Imported Methanol, PADD 2, Step 5</v>
      </c>
      <c r="E328" s="415" t="str">
        <f>'Imp Refined NYC'!G129</f>
        <v>MTHP2</v>
      </c>
      <c r="F328" s="413">
        <f>'Imp Refined NYC'!M129</f>
        <v>35.541845054580939</v>
      </c>
      <c r="G328" s="413">
        <f>'Imp Refined NYC'!N129</f>
        <v>38.269569985003621</v>
      </c>
      <c r="H328" s="413">
        <f>'Imp Refined NYC'!O129</f>
        <v>37.905700179961265</v>
      </c>
      <c r="I328" s="413">
        <f>'Imp Refined NYC'!P129</f>
        <v>40.902912855011216</v>
      </c>
      <c r="J328" s="413">
        <f>'Imp Refined NYC'!Q129</f>
        <v>43.252473329295754</v>
      </c>
      <c r="K328" s="413">
        <f>'Imp Refined NYC'!R129</f>
        <v>46.469767126790586</v>
      </c>
      <c r="L328" s="413">
        <f>'Imp Refined NYC'!S129</f>
        <v>49.926376241599023</v>
      </c>
      <c r="M328" s="413">
        <f>'Imp Refined NYC'!T129</f>
        <v>53.640101914361729</v>
      </c>
      <c r="N328" s="413">
        <f>'Imp Refined NYC'!U129</f>
        <v>57.63006951395279</v>
      </c>
      <c r="O328" s="413">
        <f>'Imp Refined NYC'!V129</f>
        <v>61.916827031490001</v>
      </c>
      <c r="P328" s="405"/>
      <c r="Q328" s="405">
        <f>'Imp Refined NYC'!AF129</f>
        <v>846223.27744947583</v>
      </c>
      <c r="R328" s="405">
        <f>'Imp Refined NYC'!AG129</f>
        <v>846223.27744947583</v>
      </c>
      <c r="S328" s="405">
        <f>'Imp Refined NYC'!AH129</f>
        <v>846223.27744947583</v>
      </c>
      <c r="T328" s="405">
        <f>'Imp Refined NYC'!AI129</f>
        <v>846223.27744947583</v>
      </c>
      <c r="U328" s="405"/>
      <c r="V328" s="405"/>
      <c r="W328" s="405"/>
      <c r="X328" s="405"/>
      <c r="Y328" s="405"/>
      <c r="Z328" s="405"/>
      <c r="AA328" s="413"/>
      <c r="AB328" s="415"/>
      <c r="AC328" s="415"/>
      <c r="AG328" s="415"/>
      <c r="AH328" s="405"/>
      <c r="AI328" s="415"/>
      <c r="AJ328" s="415">
        <v>1.0049999999999999</v>
      </c>
      <c r="AK328" s="415">
        <v>1.0049999999999999</v>
      </c>
      <c r="BC328" s="365"/>
      <c r="BD328" s="365"/>
      <c r="BE328" s="365"/>
      <c r="BF328" s="365"/>
      <c r="BG328" s="365"/>
    </row>
    <row r="329" spans="2:59">
      <c r="B329" s="376" t="str">
        <f>Technologies!B$512</f>
        <v>R0,R1,R2,R3,R4,R5,R6</v>
      </c>
      <c r="C329" s="376" t="str">
        <f>'Imp Refined NYC'!E130</f>
        <v>IMPDSUP23</v>
      </c>
      <c r="D329" s="376" t="str">
        <f>'Imp Refined NYC'!F130</f>
        <v>Imported Distillate-Ultralow Sulfur Highway Diesel (15 ppm), PADD 2, Step 3</v>
      </c>
      <c r="E329" s="415" t="str">
        <f>'Imp Refined NYC'!G130</f>
        <v>DSUP2</v>
      </c>
      <c r="F329" s="413">
        <f>'Imp Refined NYC'!M130</f>
        <v>13.295960717193331</v>
      </c>
      <c r="G329" s="413">
        <f>'Imp Refined NYC'!N130</f>
        <v>14.316383924444201</v>
      </c>
      <c r="H329" s="413">
        <f>'Imp Refined NYC'!O130</f>
        <v>14.180262723460226</v>
      </c>
      <c r="I329" s="413">
        <f>'Imp Refined NYC'!P130</f>
        <v>15.30149944955984</v>
      </c>
      <c r="J329" s="413">
        <f>'Imp Refined NYC'!Q130</f>
        <v>16.180453924792715</v>
      </c>
      <c r="K329" s="413">
        <f>'Imp Refined NYC'!R130</f>
        <v>17.384021490895972</v>
      </c>
      <c r="L329" s="413">
        <f>'Imp Refined NYC'!S130</f>
        <v>18.677115277518674</v>
      </c>
      <c r="M329" s="413">
        <f>'Imp Refined NYC'!T130</f>
        <v>20.066394606817902</v>
      </c>
      <c r="N329" s="413">
        <f>'Imp Refined NYC'!U130</f>
        <v>21.559014148250498</v>
      </c>
      <c r="O329" s="413">
        <f>'Imp Refined NYC'!V130</f>
        <v>23.162660764507461</v>
      </c>
      <c r="P329" s="405"/>
      <c r="Q329" s="405">
        <f>'Imp Refined NYC'!AF130</f>
        <v>224317.86948190606</v>
      </c>
      <c r="R329" s="405">
        <f>'Imp Refined NYC'!AG130</f>
        <v>224317.86948190606</v>
      </c>
      <c r="S329" s="405">
        <f>'Imp Refined NYC'!AH130</f>
        <v>224317.86948190606</v>
      </c>
      <c r="T329" s="405">
        <f>'Imp Refined NYC'!AI130</f>
        <v>224317.86948190606</v>
      </c>
      <c r="U329" s="405"/>
      <c r="V329" s="405"/>
      <c r="W329" s="405"/>
      <c r="X329" s="405"/>
      <c r="Y329" s="405"/>
      <c r="Z329" s="405"/>
      <c r="AA329" s="413"/>
      <c r="AB329" s="415"/>
      <c r="AC329" s="415"/>
      <c r="AG329" s="415"/>
      <c r="AH329" s="405"/>
      <c r="AI329" s="415"/>
      <c r="AJ329" s="415">
        <v>1.0049999999999999</v>
      </c>
      <c r="AK329" s="415">
        <v>1.0049999999999999</v>
      </c>
      <c r="BC329" s="365"/>
      <c r="BD329" s="365"/>
      <c r="BE329" s="365"/>
      <c r="BF329" s="365"/>
      <c r="BG329" s="365"/>
    </row>
    <row r="330" spans="2:59">
      <c r="B330" s="376" t="str">
        <f>Technologies!B$513</f>
        <v>R0,R1,R2,R3,R4,R5,R6</v>
      </c>
      <c r="C330" s="376" t="str">
        <f>'Imp Refined NYC'!E131</f>
        <v>IMPDSUP21</v>
      </c>
      <c r="D330" s="376" t="str">
        <f>'Imp Refined NYC'!F131</f>
        <v>Imported Distillate-Ultralow Sulfur Highway Diesel (15 ppm), PADD 2, Step 1</v>
      </c>
      <c r="E330" s="415" t="str">
        <f>'Imp Refined NYC'!G131</f>
        <v>DSUP2</v>
      </c>
      <c r="F330" s="413">
        <f>'Imp Refined NYC'!M131</f>
        <v>12.631162681333663</v>
      </c>
      <c r="G330" s="413">
        <f>'Imp Refined NYC'!N131</f>
        <v>13.600564728221988</v>
      </c>
      <c r="H330" s="413">
        <f>'Imp Refined NYC'!O131</f>
        <v>13.471249587287211</v>
      </c>
      <c r="I330" s="413">
        <f>'Imp Refined NYC'!P131</f>
        <v>14.536424477081844</v>
      </c>
      <c r="J330" s="413">
        <f>'Imp Refined NYC'!Q131</f>
        <v>15.371431228553075</v>
      </c>
      <c r="K330" s="413">
        <f>'Imp Refined NYC'!R131</f>
        <v>16.514820416351167</v>
      </c>
      <c r="L330" s="413">
        <f>'Imp Refined NYC'!S131</f>
        <v>17.743259513642734</v>
      </c>
      <c r="M330" s="413">
        <f>'Imp Refined NYC'!T131</f>
        <v>19.063074876477</v>
      </c>
      <c r="N330" s="413">
        <f>'Imp Refined NYC'!U131</f>
        <v>20.481063440837964</v>
      </c>
      <c r="O330" s="413">
        <f>'Imp Refined NYC'!V131</f>
        <v>22.004527726282078</v>
      </c>
      <c r="P330" s="405"/>
      <c r="Q330" s="405">
        <f>'Imp Refined NYC'!AF131</f>
        <v>1794542.9558552499</v>
      </c>
      <c r="R330" s="405">
        <f>'Imp Refined NYC'!AG131</f>
        <v>1794542.9558552499</v>
      </c>
      <c r="S330" s="405">
        <f>'Imp Refined NYC'!AH131</f>
        <v>1794542.9558552499</v>
      </c>
      <c r="T330" s="405">
        <f>'Imp Refined NYC'!AI131</f>
        <v>1794542.9558552499</v>
      </c>
      <c r="U330" s="405"/>
      <c r="V330" s="405"/>
      <c r="W330" s="405"/>
      <c r="X330" s="405"/>
      <c r="Y330" s="405"/>
      <c r="Z330" s="405"/>
      <c r="AA330" s="413"/>
      <c r="AB330" s="415"/>
      <c r="AC330" s="415"/>
      <c r="AG330" s="415"/>
      <c r="AH330" s="405"/>
      <c r="AI330" s="415"/>
      <c r="AJ330" s="415">
        <v>1.0049999999999999</v>
      </c>
      <c r="AK330" s="415">
        <v>1.0049999999999999</v>
      </c>
      <c r="BC330" s="365"/>
      <c r="BD330" s="365"/>
      <c r="BE330" s="365"/>
      <c r="BF330" s="365"/>
      <c r="BG330" s="365"/>
    </row>
    <row r="331" spans="2:59">
      <c r="B331" s="376" t="str">
        <f>Technologies!B$514</f>
        <v>R0,R1,R2,R3,R4,R5,R6</v>
      </c>
      <c r="C331" s="376" t="str">
        <f>'Imp Refined NYC'!E132</f>
        <v>IMPDSUP22</v>
      </c>
      <c r="D331" s="376" t="str">
        <f>'Imp Refined NYC'!F132</f>
        <v>Imported Distillate-Ultralow Sulfur Highway Diesel (15 ppm), PADD 2, Step 2</v>
      </c>
      <c r="E331" s="415" t="str">
        <f>'Imp Refined NYC'!G132</f>
        <v>DSUP2</v>
      </c>
      <c r="F331" s="413">
        <f>'Imp Refined NYC'!M132</f>
        <v>13.030041502849462</v>
      </c>
      <c r="G331" s="413">
        <f>'Imp Refined NYC'!N132</f>
        <v>14.030056245955313</v>
      </c>
      <c r="H331" s="413">
        <f>'Imp Refined NYC'!O132</f>
        <v>13.896657468991018</v>
      </c>
      <c r="I331" s="413">
        <f>'Imp Refined NYC'!P132</f>
        <v>14.995469460568639</v>
      </c>
      <c r="J331" s="413">
        <f>'Imp Refined NYC'!Q132</f>
        <v>15.856844846296855</v>
      </c>
      <c r="K331" s="413">
        <f>'Imp Refined NYC'!R132</f>
        <v>17.036341061078048</v>
      </c>
      <c r="L331" s="413">
        <f>'Imp Refined NYC'!S132</f>
        <v>18.303572971968297</v>
      </c>
      <c r="M331" s="413">
        <f>'Imp Refined NYC'!T132</f>
        <v>19.66506671468154</v>
      </c>
      <c r="N331" s="413">
        <f>'Imp Refined NYC'!U132</f>
        <v>21.127833865285485</v>
      </c>
      <c r="O331" s="413">
        <f>'Imp Refined NYC'!V132</f>
        <v>22.699407549217309</v>
      </c>
      <c r="P331" s="405"/>
      <c r="Q331" s="405">
        <f>'Imp Refined NYC'!AF132</f>
        <v>224317.8694819056</v>
      </c>
      <c r="R331" s="405">
        <f>'Imp Refined NYC'!AG132</f>
        <v>224317.8694819056</v>
      </c>
      <c r="S331" s="405">
        <f>'Imp Refined NYC'!AH132</f>
        <v>224317.8694819056</v>
      </c>
      <c r="T331" s="405">
        <f>'Imp Refined NYC'!AI132</f>
        <v>224317.8694819056</v>
      </c>
      <c r="U331" s="405"/>
      <c r="V331" s="405"/>
      <c r="W331" s="405"/>
      <c r="X331" s="405"/>
      <c r="Y331" s="405"/>
      <c r="Z331" s="405"/>
      <c r="AA331" s="413"/>
      <c r="AB331" s="415"/>
      <c r="AC331" s="415"/>
      <c r="AG331" s="415"/>
      <c r="AH331" s="405"/>
      <c r="AI331" s="415"/>
      <c r="AJ331" s="415">
        <v>1.0049999999999999</v>
      </c>
      <c r="AK331" s="415">
        <v>1.0049999999999999</v>
      </c>
      <c r="BC331" s="365"/>
      <c r="BD331" s="365"/>
      <c r="BE331" s="365"/>
      <c r="BF331" s="365"/>
      <c r="BG331" s="365"/>
    </row>
    <row r="332" spans="2:59">
      <c r="B332" s="376" t="str">
        <f>Technologies!B$515</f>
        <v>R0,R1,R2,R3,R4,R5,R6</v>
      </c>
      <c r="C332" s="376" t="str">
        <f>'Imp Refined NYC'!E133</f>
        <v>IMPDSUP24</v>
      </c>
      <c r="D332" s="376" t="str">
        <f>'Imp Refined NYC'!F133</f>
        <v>Imported Distillate-Ultralow Sulfur Highway Diesel (15 ppm), PADD 2, Step 4</v>
      </c>
      <c r="E332" s="415" t="str">
        <f>'Imp Refined NYC'!G133</f>
        <v>DSUP2</v>
      </c>
      <c r="F332" s="413">
        <f>'Imp Refined NYC'!M133</f>
        <v>14.492597181740731</v>
      </c>
      <c r="G332" s="413">
        <f>'Imp Refined NYC'!N133</f>
        <v>15.604858477644179</v>
      </c>
      <c r="H332" s="413">
        <f>'Imp Refined NYC'!O133</f>
        <v>15.456486368571646</v>
      </c>
      <c r="I332" s="413">
        <f>'Imp Refined NYC'!P133</f>
        <v>16.678634400020226</v>
      </c>
      <c r="J332" s="413">
        <f>'Imp Refined NYC'!Q133</f>
        <v>17.636694778024058</v>
      </c>
      <c r="K332" s="413">
        <f>'Imp Refined NYC'!R133</f>
        <v>18.948583425076606</v>
      </c>
      <c r="L332" s="413">
        <f>'Imp Refined NYC'!S133</f>
        <v>20.358055652495352</v>
      </c>
      <c r="M332" s="413">
        <f>'Imp Refined NYC'!T133</f>
        <v>21.872370121431512</v>
      </c>
      <c r="N332" s="413">
        <f>'Imp Refined NYC'!U133</f>
        <v>23.499325421593042</v>
      </c>
      <c r="O332" s="413">
        <f>'Imp Refined NYC'!V133</f>
        <v>25.24730023331313</v>
      </c>
      <c r="P332" s="405"/>
      <c r="Q332" s="405">
        <f>'Imp Refined NYC'!AF133</f>
        <v>448635.73896381306</v>
      </c>
      <c r="R332" s="405">
        <f>'Imp Refined NYC'!AG133</f>
        <v>448635.73896381306</v>
      </c>
      <c r="S332" s="405">
        <f>'Imp Refined NYC'!AH133</f>
        <v>448635.73896381306</v>
      </c>
      <c r="T332" s="405">
        <f>'Imp Refined NYC'!AI133</f>
        <v>448635.73896381306</v>
      </c>
      <c r="U332" s="405"/>
      <c r="V332" s="405"/>
      <c r="W332" s="405"/>
      <c r="X332" s="405"/>
      <c r="Y332" s="405"/>
      <c r="Z332" s="405"/>
      <c r="AA332" s="413"/>
      <c r="AB332" s="415"/>
      <c r="AC332" s="415"/>
      <c r="AG332" s="415"/>
      <c r="AH332" s="405"/>
      <c r="AI332" s="415"/>
      <c r="AJ332" s="415">
        <v>1.0049999999999999</v>
      </c>
      <c r="AK332" s="415">
        <v>1.0049999999999999</v>
      </c>
      <c r="BC332" s="365"/>
      <c r="BD332" s="365"/>
      <c r="BE332" s="365"/>
      <c r="BF332" s="365"/>
      <c r="BG332" s="365"/>
    </row>
    <row r="333" spans="2:59">
      <c r="B333" s="376" t="str">
        <f>Technologies!B$516</f>
        <v>R0,R1,R2,R3,R4,R5,R6</v>
      </c>
      <c r="C333" s="376" t="str">
        <f>'Imp Refined NYC'!E134</f>
        <v>IMPDSUP25</v>
      </c>
      <c r="D333" s="376" t="str">
        <f>'Imp Refined NYC'!F134</f>
        <v>Imported Distillate-Ultralow Sulfur Highway Diesel (15 ppm), PADD 2, Step 5</v>
      </c>
      <c r="E333" s="415" t="str">
        <f>'Imp Refined NYC'!G134</f>
        <v>DSUP2</v>
      </c>
      <c r="F333" s="413">
        <f>'Imp Refined NYC'!M134</f>
        <v>17.284748932351331</v>
      </c>
      <c r="G333" s="413">
        <f>'Imp Refined NYC'!N134</f>
        <v>18.611299101777462</v>
      </c>
      <c r="H333" s="413">
        <f>'Imp Refined NYC'!O134</f>
        <v>18.434341540498295</v>
      </c>
      <c r="I333" s="413">
        <f>'Imp Refined NYC'!P134</f>
        <v>19.891949284427792</v>
      </c>
      <c r="J333" s="413">
        <f>'Imp Refined NYC'!Q134</f>
        <v>21.034590102230528</v>
      </c>
      <c r="K333" s="413">
        <f>'Imp Refined NYC'!R134</f>
        <v>22.599227938164763</v>
      </c>
      <c r="L333" s="413">
        <f>'Imp Refined NYC'!S134</f>
        <v>24.280249860774276</v>
      </c>
      <c r="M333" s="413">
        <f>'Imp Refined NYC'!T134</f>
        <v>26.086312988863273</v>
      </c>
      <c r="N333" s="413">
        <f>'Imp Refined NYC'!U134</f>
        <v>28.026718392725648</v>
      </c>
      <c r="O333" s="413">
        <f>'Imp Refined NYC'!V134</f>
        <v>30.111458993859699</v>
      </c>
      <c r="P333" s="405"/>
      <c r="Q333" s="405">
        <f>'Imp Refined NYC'!AF134</f>
        <v>1794542.9558552485</v>
      </c>
      <c r="R333" s="405">
        <f>'Imp Refined NYC'!AG134</f>
        <v>1794542.9558552485</v>
      </c>
      <c r="S333" s="405">
        <f>'Imp Refined NYC'!AH134</f>
        <v>1794542.9558552485</v>
      </c>
      <c r="T333" s="405">
        <f>'Imp Refined NYC'!AI134</f>
        <v>1794542.9558552485</v>
      </c>
      <c r="U333" s="405"/>
      <c r="V333" s="405"/>
      <c r="W333" s="405"/>
      <c r="X333" s="405"/>
      <c r="Y333" s="405"/>
      <c r="Z333" s="405"/>
      <c r="AA333" s="413"/>
      <c r="AB333" s="415"/>
      <c r="AC333" s="415"/>
      <c r="AG333" s="415"/>
      <c r="AH333" s="405"/>
      <c r="AI333" s="415"/>
      <c r="AJ333" s="415">
        <v>1.0049999999999999</v>
      </c>
      <c r="AK333" s="415">
        <v>1.0049999999999999</v>
      </c>
      <c r="BC333" s="365"/>
      <c r="BD333" s="365"/>
      <c r="BE333" s="365"/>
      <c r="BF333" s="365"/>
      <c r="BG333" s="365"/>
    </row>
    <row r="334" spans="2:59">
      <c r="B334" s="399" t="str">
        <f>Technologies!B$517</f>
        <v>*</v>
      </c>
      <c r="C334" s="399"/>
      <c r="D334" s="399"/>
      <c r="E334" s="398"/>
      <c r="F334" s="413"/>
      <c r="G334" s="413"/>
      <c r="H334" s="413"/>
      <c r="I334" s="413"/>
      <c r="J334" s="413"/>
      <c r="K334" s="413"/>
      <c r="L334" s="413"/>
      <c r="M334" s="413"/>
      <c r="N334" s="413"/>
      <c r="O334" s="413"/>
      <c r="P334" s="405"/>
      <c r="Q334" s="405"/>
      <c r="R334" s="405"/>
      <c r="S334" s="405"/>
      <c r="T334" s="405"/>
      <c r="U334" s="405"/>
      <c r="V334" s="405"/>
      <c r="W334" s="405"/>
      <c r="X334" s="405"/>
      <c r="Y334" s="405"/>
      <c r="Z334" s="405"/>
      <c r="AA334" s="413"/>
      <c r="AB334" s="415"/>
      <c r="AC334" s="415"/>
      <c r="AG334" s="415"/>
      <c r="AH334" s="405"/>
      <c r="AI334" s="415"/>
      <c r="AJ334" s="415"/>
      <c r="AK334" s="415"/>
      <c r="BC334" s="365"/>
      <c r="BD334" s="365"/>
      <c r="BE334" s="365"/>
      <c r="BF334" s="365"/>
      <c r="BG334" s="365"/>
    </row>
    <row r="335" spans="2:59">
      <c r="B335" s="399" t="str">
        <f>Technologies!B$518</f>
        <v>*</v>
      </c>
      <c r="C335" s="399"/>
      <c r="D335" s="399"/>
      <c r="E335" s="398"/>
      <c r="F335" s="413"/>
      <c r="G335" s="413"/>
      <c r="H335" s="413"/>
      <c r="I335" s="413"/>
      <c r="J335" s="413"/>
      <c r="K335" s="413"/>
      <c r="L335" s="413"/>
      <c r="M335" s="413"/>
      <c r="N335" s="413"/>
      <c r="O335" s="413"/>
      <c r="P335" s="405"/>
      <c r="Q335" s="405"/>
      <c r="R335" s="405"/>
      <c r="S335" s="405"/>
      <c r="T335" s="405"/>
      <c r="U335" s="405"/>
      <c r="V335" s="405"/>
      <c r="W335" s="405"/>
      <c r="X335" s="405"/>
      <c r="Y335" s="405"/>
      <c r="Z335" s="405"/>
      <c r="AA335" s="413"/>
      <c r="AB335" s="415"/>
      <c r="AC335" s="415"/>
      <c r="AG335" s="415"/>
      <c r="AH335" s="405"/>
      <c r="AI335" s="415"/>
      <c r="AJ335" s="415"/>
      <c r="AK335" s="415"/>
      <c r="BC335" s="365"/>
      <c r="BD335" s="365"/>
      <c r="BE335" s="365"/>
      <c r="BF335" s="365"/>
      <c r="BG335" s="365"/>
    </row>
    <row r="336" spans="2:59">
      <c r="B336" s="376" t="str">
        <f>Technologies!B$519</f>
        <v>R0,R1,R2,R3,R4,R5,R6</v>
      </c>
      <c r="C336" s="376" t="str">
        <f>'Imp Refined NYC'!E137</f>
        <v>IMPGSRP33</v>
      </c>
      <c r="D336" s="376" t="str">
        <f>'Imp Refined NYC'!F137</f>
        <v>Imported Reformulated Gasoline, PADD 3, Step 3</v>
      </c>
      <c r="E336" s="415" t="str">
        <f>'Imp Refined NYC'!G137</f>
        <v>GSRP3</v>
      </c>
      <c r="F336" s="413">
        <v>0</v>
      </c>
      <c r="G336" s="413">
        <v>0</v>
      </c>
      <c r="H336" s="413">
        <v>0</v>
      </c>
      <c r="I336" s="413">
        <v>0</v>
      </c>
      <c r="J336" s="413">
        <v>0</v>
      </c>
      <c r="K336" s="413">
        <v>0</v>
      </c>
      <c r="L336" s="413">
        <v>0</v>
      </c>
      <c r="M336" s="413">
        <v>0</v>
      </c>
      <c r="N336" s="413">
        <v>0</v>
      </c>
      <c r="O336" s="413">
        <v>0</v>
      </c>
      <c r="P336" s="405"/>
      <c r="Q336" s="405">
        <f>'Imp Refined NYC'!AF137</f>
        <v>198323.95327584841</v>
      </c>
      <c r="R336" s="405">
        <f>'Imp Refined NYC'!AG137</f>
        <v>198323.95327584841</v>
      </c>
      <c r="S336" s="405">
        <f>'Imp Refined NYC'!AH137</f>
        <v>198323.95327584841</v>
      </c>
      <c r="T336" s="405">
        <f>'Imp Refined NYC'!AI137</f>
        <v>198323.95327584841</v>
      </c>
      <c r="U336" s="405">
        <f>'Imp Refined NYC'!AF137</f>
        <v>198323.95327584841</v>
      </c>
      <c r="V336" s="405">
        <f>'Imp Refined NYC'!AG137</f>
        <v>198323.95327584841</v>
      </c>
      <c r="W336" s="405">
        <f>'Imp Refined NYC'!AH137</f>
        <v>198323.95327584841</v>
      </c>
      <c r="X336" s="405">
        <f>'Imp Refined NYC'!AI137</f>
        <v>198323.95327584841</v>
      </c>
      <c r="Y336" s="405">
        <f>'Imp Refined NYC'!AJ137</f>
        <v>0</v>
      </c>
      <c r="Z336" s="405">
        <f>'Imp Refined NYC'!AK137</f>
        <v>0</v>
      </c>
      <c r="AA336" s="405">
        <f>'Imp Refined NYC'!AL137</f>
        <v>0</v>
      </c>
      <c r="AB336" s="415"/>
      <c r="AC336" s="415"/>
      <c r="AG336" s="415"/>
      <c r="AH336" s="405"/>
      <c r="AI336" s="415"/>
      <c r="AJ336" s="415">
        <v>1.0049999999999999</v>
      </c>
      <c r="AK336" s="415">
        <v>1.0049999999999999</v>
      </c>
      <c r="BC336" s="365"/>
      <c r="BD336" s="365"/>
      <c r="BE336" s="365"/>
      <c r="BF336" s="365"/>
      <c r="BG336" s="365"/>
    </row>
    <row r="337" spans="2:59">
      <c r="B337" s="376" t="str">
        <f>Technologies!B$520</f>
        <v>R0,R1,R2,R3,R4,R5,R6</v>
      </c>
      <c r="C337" s="376" t="str">
        <f>'Imp Refined NYC'!E138</f>
        <v>IMPGSRP31</v>
      </c>
      <c r="D337" s="376" t="str">
        <f>'Imp Refined NYC'!F138</f>
        <v>Imported Reformulated Gasoline, PADD 3, Step 1</v>
      </c>
      <c r="E337" s="415" t="str">
        <f>'Imp Refined NYC'!G138</f>
        <v>GSRP3</v>
      </c>
      <c r="F337" s="413">
        <v>0</v>
      </c>
      <c r="G337" s="413">
        <v>0</v>
      </c>
      <c r="H337" s="413">
        <v>0</v>
      </c>
      <c r="I337" s="413">
        <v>0</v>
      </c>
      <c r="J337" s="413">
        <v>0</v>
      </c>
      <c r="K337" s="413">
        <v>0</v>
      </c>
      <c r="L337" s="413">
        <v>0</v>
      </c>
      <c r="M337" s="413">
        <v>0</v>
      </c>
      <c r="N337" s="413">
        <v>0</v>
      </c>
      <c r="O337" s="413">
        <v>0</v>
      </c>
      <c r="P337" s="405"/>
      <c r="Q337" s="405">
        <f>'Imp Refined NYC'!AF138</f>
        <v>1586591.6262067873</v>
      </c>
      <c r="R337" s="405">
        <f>'Imp Refined NYC'!AG138</f>
        <v>1586591.6262067873</v>
      </c>
      <c r="S337" s="405">
        <f>'Imp Refined NYC'!AH138</f>
        <v>1586591.6262067873</v>
      </c>
      <c r="T337" s="405">
        <f>'Imp Refined NYC'!AI138</f>
        <v>1586591.6262067873</v>
      </c>
      <c r="U337" s="405">
        <f>'Imp Refined NYC'!AF138</f>
        <v>1586591.6262067873</v>
      </c>
      <c r="V337" s="405">
        <f>'Imp Refined NYC'!AG138</f>
        <v>1586591.6262067873</v>
      </c>
      <c r="W337" s="405">
        <f>'Imp Refined NYC'!AH138</f>
        <v>1586591.6262067873</v>
      </c>
      <c r="X337" s="405">
        <f>'Imp Refined NYC'!AI138</f>
        <v>1586591.6262067873</v>
      </c>
      <c r="Y337" s="405">
        <f>'Imp Refined NYC'!AJ138</f>
        <v>0</v>
      </c>
      <c r="Z337" s="405">
        <f>'Imp Refined NYC'!AK138</f>
        <v>0</v>
      </c>
      <c r="AA337" s="405">
        <f>'Imp Refined NYC'!AL138</f>
        <v>0</v>
      </c>
      <c r="AB337" s="415"/>
      <c r="AC337" s="415"/>
      <c r="AG337" s="415"/>
      <c r="AH337" s="405"/>
      <c r="AI337" s="415"/>
      <c r="AJ337" s="415">
        <v>1.0049999999999999</v>
      </c>
      <c r="AK337" s="415">
        <v>1.0049999999999999</v>
      </c>
      <c r="BC337" s="365"/>
      <c r="BD337" s="365"/>
      <c r="BE337" s="365"/>
      <c r="BF337" s="365"/>
      <c r="BG337" s="365"/>
    </row>
    <row r="338" spans="2:59">
      <c r="B338" s="376" t="str">
        <f>Technologies!B$521</f>
        <v>R0,R1,R2,R3,R4,R5,R6</v>
      </c>
      <c r="C338" s="376" t="str">
        <f>'Imp Refined NYC'!E139</f>
        <v>IMPGSRP32</v>
      </c>
      <c r="D338" s="376" t="str">
        <f>'Imp Refined NYC'!F139</f>
        <v>Imported Reformulated Gasoline, PADD 3, Step 2</v>
      </c>
      <c r="E338" s="415" t="str">
        <f>'Imp Refined NYC'!G139</f>
        <v>GSRP3</v>
      </c>
      <c r="F338" s="413">
        <v>0</v>
      </c>
      <c r="G338" s="413">
        <v>0</v>
      </c>
      <c r="H338" s="413">
        <v>0</v>
      </c>
      <c r="I338" s="413">
        <v>0</v>
      </c>
      <c r="J338" s="413">
        <v>0</v>
      </c>
      <c r="K338" s="413">
        <v>0</v>
      </c>
      <c r="L338" s="413">
        <v>0</v>
      </c>
      <c r="M338" s="413">
        <v>0</v>
      </c>
      <c r="N338" s="413">
        <v>0</v>
      </c>
      <c r="O338" s="413">
        <v>0</v>
      </c>
      <c r="P338" s="405"/>
      <c r="Q338" s="405">
        <f>'Imp Refined NYC'!AF139</f>
        <v>198323.95327584841</v>
      </c>
      <c r="R338" s="405">
        <f>'Imp Refined NYC'!AG139</f>
        <v>198323.95327584841</v>
      </c>
      <c r="S338" s="405">
        <f>'Imp Refined NYC'!AH139</f>
        <v>198323.95327584841</v>
      </c>
      <c r="T338" s="405">
        <f>'Imp Refined NYC'!AI139</f>
        <v>198323.95327584841</v>
      </c>
      <c r="U338" s="405">
        <f>'Imp Refined NYC'!AF139</f>
        <v>198323.95327584841</v>
      </c>
      <c r="V338" s="405">
        <f>'Imp Refined NYC'!AG139</f>
        <v>198323.95327584841</v>
      </c>
      <c r="W338" s="405">
        <f>'Imp Refined NYC'!AH139</f>
        <v>198323.95327584841</v>
      </c>
      <c r="X338" s="405">
        <f>'Imp Refined NYC'!AI139</f>
        <v>198323.95327584841</v>
      </c>
      <c r="Y338" s="405">
        <f>'Imp Refined NYC'!AJ139</f>
        <v>0</v>
      </c>
      <c r="Z338" s="405">
        <f>'Imp Refined NYC'!AK139</f>
        <v>0</v>
      </c>
      <c r="AA338" s="405">
        <f>'Imp Refined NYC'!AL139</f>
        <v>0</v>
      </c>
      <c r="AB338" s="415"/>
      <c r="AC338" s="415"/>
      <c r="AG338" s="415"/>
      <c r="AH338" s="405"/>
      <c r="AI338" s="415"/>
      <c r="AJ338" s="415">
        <v>1.0049999999999999</v>
      </c>
      <c r="AK338" s="415">
        <v>1.0049999999999999</v>
      </c>
      <c r="BC338" s="365"/>
      <c r="BD338" s="365"/>
      <c r="BE338" s="365"/>
      <c r="BF338" s="365"/>
      <c r="BG338" s="365"/>
    </row>
    <row r="339" spans="2:59">
      <c r="B339" s="376" t="str">
        <f>Technologies!B$522</f>
        <v>R0,R1,R2,R3,R4,R5,R6</v>
      </c>
      <c r="C339" s="376" t="str">
        <f>'Imp Refined NYC'!E140</f>
        <v>IMPGSRP34</v>
      </c>
      <c r="D339" s="376" t="str">
        <f>'Imp Refined NYC'!F140</f>
        <v>Imported Reformulated Gasoline, PADD 3, Step 4</v>
      </c>
      <c r="E339" s="415" t="str">
        <f>'Imp Refined NYC'!G140</f>
        <v>GSRP3</v>
      </c>
      <c r="F339" s="413">
        <v>0</v>
      </c>
      <c r="G339" s="413">
        <v>0</v>
      </c>
      <c r="H339" s="413">
        <v>0</v>
      </c>
      <c r="I339" s="413">
        <v>0</v>
      </c>
      <c r="J339" s="413">
        <v>0</v>
      </c>
      <c r="K339" s="413">
        <v>0</v>
      </c>
      <c r="L339" s="413">
        <v>0</v>
      </c>
      <c r="M339" s="413">
        <v>0</v>
      </c>
      <c r="N339" s="413">
        <v>0</v>
      </c>
      <c r="O339" s="413">
        <v>0</v>
      </c>
      <c r="P339" s="405"/>
      <c r="Q339" s="405">
        <f>'Imp Refined NYC'!AF140</f>
        <v>396647.90655169683</v>
      </c>
      <c r="R339" s="405">
        <f>'Imp Refined NYC'!AG140</f>
        <v>396647.90655169683</v>
      </c>
      <c r="S339" s="405">
        <f>'Imp Refined NYC'!AH140</f>
        <v>396647.90655169683</v>
      </c>
      <c r="T339" s="405">
        <f>'Imp Refined NYC'!AI140</f>
        <v>396647.90655169683</v>
      </c>
      <c r="U339" s="405">
        <f>'Imp Refined NYC'!AF140</f>
        <v>396647.90655169683</v>
      </c>
      <c r="V339" s="405">
        <f>'Imp Refined NYC'!AG140</f>
        <v>396647.90655169683</v>
      </c>
      <c r="W339" s="405">
        <f>'Imp Refined NYC'!AH140</f>
        <v>396647.90655169683</v>
      </c>
      <c r="X339" s="405">
        <f>'Imp Refined NYC'!AI140</f>
        <v>396647.90655169683</v>
      </c>
      <c r="Y339" s="405">
        <f>'Imp Refined NYC'!AJ140</f>
        <v>0</v>
      </c>
      <c r="Z339" s="405">
        <f>'Imp Refined NYC'!AK140</f>
        <v>0</v>
      </c>
      <c r="AA339" s="405">
        <f>'Imp Refined NYC'!AL140</f>
        <v>0</v>
      </c>
      <c r="AB339" s="415"/>
      <c r="AC339" s="415"/>
      <c r="AG339" s="415"/>
      <c r="AH339" s="405"/>
      <c r="AI339" s="415"/>
      <c r="AJ339" s="415">
        <v>1.0049999999999999</v>
      </c>
      <c r="AK339" s="415">
        <v>1.0049999999999999</v>
      </c>
      <c r="BC339" s="365"/>
      <c r="BD339" s="365"/>
      <c r="BE339" s="365"/>
      <c r="BF339" s="365"/>
      <c r="BG339" s="365"/>
    </row>
    <row r="340" spans="2:59">
      <c r="B340" s="376" t="str">
        <f>Technologies!B$523</f>
        <v>R0,R1,R2,R3,R4,R5,R6</v>
      </c>
      <c r="C340" s="376" t="str">
        <f>'Imp Refined NYC'!E141</f>
        <v>IMPGSRP35</v>
      </c>
      <c r="D340" s="376" t="str">
        <f>'Imp Refined NYC'!F141</f>
        <v>Imported Reformulated Gasoline, PADD 3, Step 5</v>
      </c>
      <c r="E340" s="415" t="str">
        <f>'Imp Refined NYC'!G141</f>
        <v>GSRP3</v>
      </c>
      <c r="F340" s="413">
        <v>0</v>
      </c>
      <c r="G340" s="413">
        <v>0</v>
      </c>
      <c r="H340" s="413">
        <v>0</v>
      </c>
      <c r="I340" s="413">
        <v>0</v>
      </c>
      <c r="J340" s="413">
        <v>0</v>
      </c>
      <c r="K340" s="413">
        <v>0</v>
      </c>
      <c r="L340" s="413">
        <v>0</v>
      </c>
      <c r="M340" s="413">
        <v>0</v>
      </c>
      <c r="N340" s="413">
        <v>0</v>
      </c>
      <c r="O340" s="413">
        <v>0</v>
      </c>
      <c r="P340" s="405"/>
      <c r="Q340" s="405">
        <f>'Imp Refined NYC'!AF141</f>
        <v>1586591.6262067873</v>
      </c>
      <c r="R340" s="405">
        <f>'Imp Refined NYC'!AG141</f>
        <v>1586591.6262067873</v>
      </c>
      <c r="S340" s="405">
        <f>'Imp Refined NYC'!AH141</f>
        <v>1586591.6262067873</v>
      </c>
      <c r="T340" s="405">
        <f>'Imp Refined NYC'!AI141</f>
        <v>1586591.6262067873</v>
      </c>
      <c r="U340" s="405">
        <f>'Imp Refined NYC'!AF141</f>
        <v>1586591.6262067873</v>
      </c>
      <c r="V340" s="405">
        <f>'Imp Refined NYC'!AG141</f>
        <v>1586591.6262067873</v>
      </c>
      <c r="W340" s="405">
        <f>'Imp Refined NYC'!AH141</f>
        <v>1586591.6262067873</v>
      </c>
      <c r="X340" s="405">
        <f>'Imp Refined NYC'!AI141</f>
        <v>1586591.6262067873</v>
      </c>
      <c r="Y340" s="405">
        <f>'Imp Refined NYC'!AJ141</f>
        <v>0</v>
      </c>
      <c r="Z340" s="405">
        <f>'Imp Refined NYC'!AK141</f>
        <v>0</v>
      </c>
      <c r="AA340" s="405">
        <f>'Imp Refined NYC'!AL141</f>
        <v>0</v>
      </c>
      <c r="AB340" s="415"/>
      <c r="AC340" s="415"/>
      <c r="AG340" s="415"/>
      <c r="AH340" s="405"/>
      <c r="AI340" s="415"/>
      <c r="AJ340" s="415">
        <v>1.0049999999999999</v>
      </c>
      <c r="AK340" s="415">
        <v>1.0049999999999999</v>
      </c>
      <c r="BC340" s="365"/>
      <c r="BD340" s="365"/>
      <c r="BE340" s="365"/>
      <c r="BF340" s="365"/>
      <c r="BG340" s="365"/>
    </row>
    <row r="341" spans="2:59">
      <c r="B341" s="376" t="str">
        <f>Technologies!B$524</f>
        <v>R0,R1,R2,R3,R4,R5,R6</v>
      </c>
      <c r="C341" s="376" t="str">
        <f>'Imp Refined NYC'!E142</f>
        <v>IMPGSCP33</v>
      </c>
      <c r="D341" s="376" t="str">
        <f>'Imp Refined NYC'!F142</f>
        <v>Imported Conventional Gasoline, PADD 3, Step 3</v>
      </c>
      <c r="E341" s="415" t="str">
        <f>'Imp Refined NYC'!G142</f>
        <v>GSCP3</v>
      </c>
      <c r="F341" s="413">
        <f>'Imp Refined NYC'!M142</f>
        <v>15.167098678572664</v>
      </c>
      <c r="G341" s="413">
        <f>'Imp Refined NYC'!N142</f>
        <v>16.331125844978626</v>
      </c>
      <c r="H341" s="413">
        <f>'Imp Refined NYC'!O142</f>
        <v>16.175848333899637</v>
      </c>
      <c r="I341" s="413">
        <f>'Imp Refined NYC'!P142</f>
        <v>17.454876486021192</v>
      </c>
      <c r="J341" s="413">
        <f>'Imp Refined NYC'!Q142</f>
        <v>18.457526053313547</v>
      </c>
      <c r="K341" s="413">
        <f>'Imp Refined NYC'!R142</f>
        <v>19.830471448512565</v>
      </c>
      <c r="L341" s="413">
        <f>'Imp Refined NYC'!S142</f>
        <v>21.305542071803014</v>
      </c>
      <c r="M341" s="413">
        <f>'Imp Refined NYC'!T142</f>
        <v>22.890334410451757</v>
      </c>
      <c r="N341" s="413">
        <f>'Imp Refined NYC'!U142</f>
        <v>24.593010009154405</v>
      </c>
      <c r="O341" s="413">
        <f>'Imp Refined NYC'!V142</f>
        <v>26.42233750129089</v>
      </c>
      <c r="P341" s="405"/>
      <c r="Q341" s="405">
        <f>'Imp Refined NYC'!AF142</f>
        <v>202290.43234136514</v>
      </c>
      <c r="R341" s="405">
        <f>'Imp Refined NYC'!AG142</f>
        <v>202290.43234136514</v>
      </c>
      <c r="S341" s="405">
        <f>'Imp Refined NYC'!AH142</f>
        <v>202290.43234136514</v>
      </c>
      <c r="T341" s="405">
        <f>'Imp Refined NYC'!AI142</f>
        <v>202290.43234136514</v>
      </c>
      <c r="U341" s="405"/>
      <c r="V341" s="405"/>
      <c r="W341" s="405"/>
      <c r="X341" s="405"/>
      <c r="Y341" s="405"/>
      <c r="Z341" s="405"/>
      <c r="AA341" s="413"/>
      <c r="AB341" s="415"/>
      <c r="AC341" s="415"/>
      <c r="AG341" s="415"/>
      <c r="AH341" s="405"/>
      <c r="AI341" s="415"/>
      <c r="AJ341" s="415">
        <v>1.0049999999999999</v>
      </c>
      <c r="AK341" s="415">
        <v>1.0049999999999999</v>
      </c>
      <c r="BC341" s="365"/>
      <c r="BD341" s="365"/>
      <c r="BE341" s="365"/>
      <c r="BF341" s="365"/>
      <c r="BG341" s="365"/>
    </row>
    <row r="342" spans="2:59">
      <c r="B342" s="376" t="str">
        <f>Technologies!B$525</f>
        <v>R0,R1,R2,R3,R4,R5,R6</v>
      </c>
      <c r="C342" s="376" t="str">
        <f>'Imp Refined NYC'!E143</f>
        <v>IMPGSCP31</v>
      </c>
      <c r="D342" s="376" t="str">
        <f>'Imp Refined NYC'!F143</f>
        <v>Imported Conventional Gasoline, PADD 3, Step 1</v>
      </c>
      <c r="E342" s="415" t="str">
        <f>'Imp Refined NYC'!G143</f>
        <v>GSCP3</v>
      </c>
      <c r="F342" s="413">
        <f>'Imp Refined NYC'!M143</f>
        <v>14.408743744644029</v>
      </c>
      <c r="G342" s="413">
        <f>'Imp Refined NYC'!N143</f>
        <v>15.514569552729693</v>
      </c>
      <c r="H342" s="413">
        <f>'Imp Refined NYC'!O143</f>
        <v>15.367055917204654</v>
      </c>
      <c r="I342" s="413">
        <f>'Imp Refined NYC'!P143</f>
        <v>16.582132661720131</v>
      </c>
      <c r="J342" s="413">
        <f>'Imp Refined NYC'!Q143</f>
        <v>17.534649750647869</v>
      </c>
      <c r="K342" s="413">
        <f>'Imp Refined NYC'!R143</f>
        <v>18.838947876086937</v>
      </c>
      <c r="L342" s="413">
        <f>'Imp Refined NYC'!S143</f>
        <v>20.240264968212866</v>
      </c>
      <c r="M342" s="413">
        <f>'Imp Refined NYC'!T143</f>
        <v>21.745817689929172</v>
      </c>
      <c r="N342" s="413">
        <f>'Imp Refined NYC'!U143</f>
        <v>23.363359508696689</v>
      </c>
      <c r="O342" s="413">
        <f>'Imp Refined NYC'!V143</f>
        <v>25.10122062622635</v>
      </c>
      <c r="P342" s="405"/>
      <c r="Q342" s="405">
        <f>'Imp Refined NYC'!AF143</f>
        <v>1618323.4587309228</v>
      </c>
      <c r="R342" s="405">
        <f>'Imp Refined NYC'!AG143</f>
        <v>1618323.4587309228</v>
      </c>
      <c r="S342" s="405">
        <f>'Imp Refined NYC'!AH143</f>
        <v>1618323.4587309228</v>
      </c>
      <c r="T342" s="405">
        <f>'Imp Refined NYC'!AI143</f>
        <v>1618323.4587309228</v>
      </c>
      <c r="U342" s="405"/>
      <c r="V342" s="405"/>
      <c r="W342" s="405"/>
      <c r="X342" s="405"/>
      <c r="Y342" s="405"/>
      <c r="Z342" s="405"/>
      <c r="AA342" s="413"/>
      <c r="AB342" s="415"/>
      <c r="AC342" s="415"/>
      <c r="AG342" s="415"/>
      <c r="AH342" s="405"/>
      <c r="AI342" s="415"/>
      <c r="AJ342" s="415">
        <v>1.0049999999999999</v>
      </c>
      <c r="AK342" s="415">
        <v>1.0049999999999999</v>
      </c>
      <c r="BC342" s="365"/>
      <c r="BD342" s="365"/>
      <c r="BE342" s="365"/>
      <c r="BF342" s="365"/>
      <c r="BG342" s="365"/>
    </row>
    <row r="343" spans="2:59">
      <c r="B343" s="376" t="str">
        <f>Technologies!B$526</f>
        <v>R0,R1,R2,R3,R4,R5,R6</v>
      </c>
      <c r="C343" s="376" t="str">
        <f>'Imp Refined NYC'!E144</f>
        <v>IMPGSCP32</v>
      </c>
      <c r="D343" s="376" t="str">
        <f>'Imp Refined NYC'!F144</f>
        <v>Imported Conventional Gasoline, PADD 3, Step 2</v>
      </c>
      <c r="E343" s="415" t="str">
        <f>'Imp Refined NYC'!G144</f>
        <v>GSCP3</v>
      </c>
      <c r="F343" s="413">
        <f>'Imp Refined NYC'!M144</f>
        <v>14.863756705001212</v>
      </c>
      <c r="G343" s="413">
        <f>'Imp Refined NYC'!N144</f>
        <v>16.004503328079053</v>
      </c>
      <c r="H343" s="413">
        <f>'Imp Refined NYC'!O144</f>
        <v>15.852331367221645</v>
      </c>
      <c r="I343" s="413">
        <f>'Imp Refined NYC'!P144</f>
        <v>17.105778956300771</v>
      </c>
      <c r="J343" s="413">
        <f>'Imp Refined NYC'!Q144</f>
        <v>18.08837553224728</v>
      </c>
      <c r="K343" s="413">
        <f>'Imp Refined NYC'!R144</f>
        <v>19.433862019542318</v>
      </c>
      <c r="L343" s="413">
        <f>'Imp Refined NYC'!S144</f>
        <v>20.879431230366958</v>
      </c>
      <c r="M343" s="413">
        <f>'Imp Refined NYC'!T144</f>
        <v>22.432527722242728</v>
      </c>
      <c r="N343" s="413">
        <f>'Imp Refined NYC'!U144</f>
        <v>24.101149808971325</v>
      </c>
      <c r="O343" s="413">
        <f>'Imp Refined NYC'!V144</f>
        <v>25.893890751265079</v>
      </c>
      <c r="P343" s="405"/>
      <c r="Q343" s="405">
        <f>'Imp Refined NYC'!AF144</f>
        <v>202290.43234136584</v>
      </c>
      <c r="R343" s="405">
        <f>'Imp Refined NYC'!AG144</f>
        <v>202290.43234136584</v>
      </c>
      <c r="S343" s="405">
        <f>'Imp Refined NYC'!AH144</f>
        <v>202290.43234136584</v>
      </c>
      <c r="T343" s="405">
        <f>'Imp Refined NYC'!AI144</f>
        <v>202290.43234136584</v>
      </c>
      <c r="U343" s="405"/>
      <c r="V343" s="405"/>
      <c r="W343" s="405"/>
      <c r="X343" s="405"/>
      <c r="Y343" s="405"/>
      <c r="Z343" s="405"/>
      <c r="AA343" s="413"/>
      <c r="AB343" s="415"/>
      <c r="AC343" s="415"/>
      <c r="AG343" s="415"/>
      <c r="AH343" s="405"/>
      <c r="AI343" s="415"/>
      <c r="AJ343" s="415">
        <v>1.0049999999999999</v>
      </c>
      <c r="AK343" s="415">
        <v>1.0049999999999999</v>
      </c>
      <c r="BC343" s="365"/>
      <c r="BD343" s="365"/>
      <c r="BE343" s="365"/>
      <c r="BF343" s="365"/>
      <c r="BG343" s="365"/>
    </row>
    <row r="344" spans="2:59">
      <c r="B344" s="376" t="str">
        <f>Technologies!B$527</f>
        <v>R0,R1,R2,R3,R4,R5,R6</v>
      </c>
      <c r="C344" s="376" t="str">
        <f>'Imp Refined NYC'!E145</f>
        <v>IMPGSCP34</v>
      </c>
      <c r="D344" s="376" t="str">
        <f>'Imp Refined NYC'!F145</f>
        <v>Imported Conventional Gasoline, PADD 3, Step 4</v>
      </c>
      <c r="E344" s="415" t="str">
        <f>'Imp Refined NYC'!G145</f>
        <v>GSCP3</v>
      </c>
      <c r="F344" s="413">
        <f>'Imp Refined NYC'!M145</f>
        <v>16.532137559644205</v>
      </c>
      <c r="G344" s="413">
        <f>'Imp Refined NYC'!N145</f>
        <v>17.800927171026704</v>
      </c>
      <c r="H344" s="413">
        <f>'Imp Refined NYC'!O145</f>
        <v>17.631674683950607</v>
      </c>
      <c r="I344" s="413">
        <f>'Imp Refined NYC'!P145</f>
        <v>19.025815369763102</v>
      </c>
      <c r="J344" s="413">
        <f>'Imp Refined NYC'!Q145</f>
        <v>20.118703398111769</v>
      </c>
      <c r="K344" s="413">
        <f>'Imp Refined NYC'!R145</f>
        <v>21.615213878878698</v>
      </c>
      <c r="L344" s="413">
        <f>'Imp Refined NYC'!S145</f>
        <v>23.223040858265289</v>
      </c>
      <c r="M344" s="413">
        <f>'Imp Refined NYC'!T145</f>
        <v>24.950464507392422</v>
      </c>
      <c r="N344" s="413">
        <f>'Imp Refined NYC'!U145</f>
        <v>26.806380909978309</v>
      </c>
      <c r="O344" s="413">
        <f>'Imp Refined NYC'!V145</f>
        <v>28.800347876407077</v>
      </c>
      <c r="P344" s="405"/>
      <c r="Q344" s="405">
        <f>'Imp Refined NYC'!AF145</f>
        <v>404580.86468273075</v>
      </c>
      <c r="R344" s="405">
        <f>'Imp Refined NYC'!AG145</f>
        <v>404580.86468273075</v>
      </c>
      <c r="S344" s="405">
        <f>'Imp Refined NYC'!AH145</f>
        <v>404580.86468273075</v>
      </c>
      <c r="T344" s="405">
        <f>'Imp Refined NYC'!AI145</f>
        <v>404580.86468273075</v>
      </c>
      <c r="U344" s="405"/>
      <c r="V344" s="405"/>
      <c r="W344" s="405"/>
      <c r="X344" s="405"/>
      <c r="Y344" s="405"/>
      <c r="Z344" s="405"/>
      <c r="AA344" s="413"/>
      <c r="AB344" s="415"/>
      <c r="AC344" s="415"/>
      <c r="AG344" s="415"/>
      <c r="AH344" s="405"/>
      <c r="AI344" s="415"/>
      <c r="AJ344" s="415">
        <v>1.0049999999999999</v>
      </c>
      <c r="AK344" s="415">
        <v>1.0049999999999999</v>
      </c>
      <c r="BC344" s="365"/>
      <c r="BD344" s="365"/>
      <c r="BE344" s="365"/>
      <c r="BF344" s="365"/>
      <c r="BG344" s="365"/>
    </row>
    <row r="345" spans="2:59">
      <c r="B345" s="376" t="str">
        <f>Technologies!B$528</f>
        <v>R0,R1,R2,R3,R4,R5,R6</v>
      </c>
      <c r="C345" s="376" t="str">
        <f>'Imp Refined NYC'!E146</f>
        <v>IMPGSCP35</v>
      </c>
      <c r="D345" s="376" t="str">
        <f>'Imp Refined NYC'!F146</f>
        <v>Imported Conventional Gasoline, PADD 3, Step 5</v>
      </c>
      <c r="E345" s="415" t="str">
        <f>'Imp Refined NYC'!G146</f>
        <v>GSCP3</v>
      </c>
      <c r="F345" s="413">
        <f>'Imp Refined NYC'!M146</f>
        <v>19.717228282144461</v>
      </c>
      <c r="G345" s="413">
        <f>'Imp Refined NYC'!N146</f>
        <v>21.230463598472213</v>
      </c>
      <c r="H345" s="413">
        <f>'Imp Refined NYC'!O146</f>
        <v>21.028602834069527</v>
      </c>
      <c r="I345" s="413">
        <f>'Imp Refined NYC'!P146</f>
        <v>22.691339431827551</v>
      </c>
      <c r="J345" s="413">
        <f>'Imp Refined NYC'!Q146</f>
        <v>23.994783869307614</v>
      </c>
      <c r="K345" s="413">
        <f>'Imp Refined NYC'!R146</f>
        <v>25.779612883066338</v>
      </c>
      <c r="L345" s="413">
        <f>'Imp Refined NYC'!S146</f>
        <v>27.697204693343924</v>
      </c>
      <c r="M345" s="413">
        <f>'Imp Refined NYC'!T146</f>
        <v>29.757434733587292</v>
      </c>
      <c r="N345" s="413">
        <f>'Imp Refined NYC'!U146</f>
        <v>31.970913011900734</v>
      </c>
      <c r="O345" s="413">
        <f>'Imp Refined NYC'!V146</f>
        <v>34.349038751678165</v>
      </c>
      <c r="P345" s="405"/>
      <c r="Q345" s="405">
        <f>'Imp Refined NYC'!AF146</f>
        <v>1618323.458730923</v>
      </c>
      <c r="R345" s="405">
        <f>'Imp Refined NYC'!AG146</f>
        <v>1618323.458730923</v>
      </c>
      <c r="S345" s="405">
        <f>'Imp Refined NYC'!AH146</f>
        <v>1618323.458730923</v>
      </c>
      <c r="T345" s="405">
        <f>'Imp Refined NYC'!AI146</f>
        <v>1618323.458730923</v>
      </c>
      <c r="U345" s="405"/>
      <c r="V345" s="405"/>
      <c r="W345" s="405"/>
      <c r="X345" s="405"/>
      <c r="Y345" s="405"/>
      <c r="Z345" s="405"/>
      <c r="AA345" s="413"/>
      <c r="AB345" s="415"/>
      <c r="AC345" s="415"/>
      <c r="AG345" s="415"/>
      <c r="AH345" s="405"/>
      <c r="AI345" s="415"/>
      <c r="AJ345" s="415">
        <v>1.0049999999999999</v>
      </c>
      <c r="AK345" s="415">
        <v>1.0049999999999999</v>
      </c>
      <c r="BC345" s="365"/>
      <c r="BD345" s="365"/>
      <c r="BE345" s="365"/>
      <c r="BF345" s="365"/>
      <c r="BG345" s="365"/>
    </row>
    <row r="346" spans="2:59">
      <c r="B346" s="376" t="str">
        <f>Technologies!B$529</f>
        <v>R0,R1,R2,R3,R4,R5,R6</v>
      </c>
      <c r="C346" s="376" t="str">
        <f>'Imp Refined NYC'!E152</f>
        <v>IMPDSLP33</v>
      </c>
      <c r="D346" s="376" t="str">
        <f>'Imp Refined NYC'!F152</f>
        <v>Imported Distillate-Low Sulfur Highway Diesel (500 ppm), PADD 3, Step 3</v>
      </c>
      <c r="E346" s="415" t="str">
        <f>'Imp Refined NYC'!G152</f>
        <v>DSLP3</v>
      </c>
      <c r="F346" s="413">
        <f>'Imp Refined NYC'!M152</f>
        <v>12.334674567427236</v>
      </c>
      <c r="G346" s="413">
        <f>'Imp Refined NYC'!N152</f>
        <v>13.281322083180934</v>
      </c>
      <c r="H346" s="413">
        <f>'Imp Refined NYC'!O152</f>
        <v>13.155042324118956</v>
      </c>
      <c r="I346" s="413">
        <f>'Imp Refined NYC'!P152</f>
        <v>14.195214630855862</v>
      </c>
      <c r="J346" s="413">
        <f>'Imp Refined NYC'!Q152</f>
        <v>15.010621478257399</v>
      </c>
      <c r="K346" s="413">
        <f>'Imp Refined NYC'!R152</f>
        <v>16.127172178395742</v>
      </c>
      <c r="L346" s="413">
        <f>'Imp Refined NYC'!S152</f>
        <v>17.326776432831306</v>
      </c>
      <c r="M346" s="413">
        <f>'Imp Refined NYC'!T152</f>
        <v>18.615612100644327</v>
      </c>
      <c r="N346" s="413">
        <f>'Imp Refined NYC'!U152</f>
        <v>20.000316575045026</v>
      </c>
      <c r="O346" s="413">
        <f>'Imp Refined NYC'!V152</f>
        <v>21.488020965379672</v>
      </c>
      <c r="P346" s="405"/>
      <c r="Q346" s="405">
        <f>'Imp Refined NYC'!AF152</f>
        <v>224317.86948190606</v>
      </c>
      <c r="R346" s="405">
        <f>'Imp Refined NYC'!AG152</f>
        <v>224317.86948190606</v>
      </c>
      <c r="S346" s="405">
        <f>'Imp Refined NYC'!AH152</f>
        <v>224317.86948190606</v>
      </c>
      <c r="T346" s="405">
        <f>'Imp Refined NYC'!AI152</f>
        <v>224317.86948190606</v>
      </c>
      <c r="U346" s="405"/>
      <c r="V346" s="405"/>
      <c r="W346" s="405"/>
      <c r="X346" s="405"/>
      <c r="Y346" s="405"/>
      <c r="Z346" s="405"/>
      <c r="AA346" s="413"/>
      <c r="AB346" s="415"/>
      <c r="AC346" s="415"/>
      <c r="AG346" s="415"/>
      <c r="AH346" s="405"/>
      <c r="AI346" s="415"/>
      <c r="AJ346" s="415">
        <v>1.0049999999999999</v>
      </c>
      <c r="AK346" s="415">
        <v>1.0049999999999999</v>
      </c>
      <c r="BC346" s="365"/>
      <c r="BD346" s="365"/>
      <c r="BE346" s="365"/>
      <c r="BF346" s="365"/>
      <c r="BG346" s="365"/>
    </row>
    <row r="347" spans="2:59">
      <c r="B347" s="376" t="str">
        <f>Technologies!B$530</f>
        <v>R0,R1,R2,R3,R4,R5,R6</v>
      </c>
      <c r="C347" s="376" t="str">
        <f>'Imp Refined NYC'!E153</f>
        <v>IMPDSLP31</v>
      </c>
      <c r="D347" s="376" t="str">
        <f>'Imp Refined NYC'!F153</f>
        <v>Imported Distillate-Low Sulfur Highway Diesel (500 ppm), PADD 3, Step 1</v>
      </c>
      <c r="E347" s="415" t="str">
        <f>'Imp Refined NYC'!G153</f>
        <v>DSLP3</v>
      </c>
      <c r="F347" s="413">
        <f>'Imp Refined NYC'!M153</f>
        <v>11.717940839055876</v>
      </c>
      <c r="G347" s="413">
        <f>'Imp Refined NYC'!N153</f>
        <v>12.617255979021889</v>
      </c>
      <c r="H347" s="413">
        <f>'Imp Refined NYC'!O153</f>
        <v>12.497290207913011</v>
      </c>
      <c r="I347" s="413">
        <f>'Imp Refined NYC'!P153</f>
        <v>13.485453899313072</v>
      </c>
      <c r="J347" s="413">
        <f>'Imp Refined NYC'!Q153</f>
        <v>14.260090404344531</v>
      </c>
      <c r="K347" s="413">
        <f>'Imp Refined NYC'!R153</f>
        <v>15.320813569475959</v>
      </c>
      <c r="L347" s="413">
        <f>'Imp Refined NYC'!S153</f>
        <v>16.460437611189743</v>
      </c>
      <c r="M347" s="413">
        <f>'Imp Refined NYC'!T153</f>
        <v>17.684831495612112</v>
      </c>
      <c r="N347" s="413">
        <f>'Imp Refined NYC'!U153</f>
        <v>19.000300746292776</v>
      </c>
      <c r="O347" s="413">
        <f>'Imp Refined NYC'!V153</f>
        <v>20.41361991711069</v>
      </c>
      <c r="P347" s="405"/>
      <c r="Q347" s="405">
        <f>'Imp Refined NYC'!AF153</f>
        <v>1794542.9558552499</v>
      </c>
      <c r="R347" s="405">
        <f>'Imp Refined NYC'!AG153</f>
        <v>1794542.9558552499</v>
      </c>
      <c r="S347" s="405">
        <f>'Imp Refined NYC'!AH153</f>
        <v>1794542.9558552499</v>
      </c>
      <c r="T347" s="405">
        <f>'Imp Refined NYC'!AI153</f>
        <v>1794542.9558552499</v>
      </c>
      <c r="U347" s="405"/>
      <c r="V347" s="405"/>
      <c r="W347" s="405"/>
      <c r="X347" s="405"/>
      <c r="Y347" s="405"/>
      <c r="Z347" s="405"/>
      <c r="AA347" s="413"/>
      <c r="AB347" s="415"/>
      <c r="AC347" s="415"/>
      <c r="AG347" s="415"/>
      <c r="AH347" s="405"/>
      <c r="AI347" s="415"/>
      <c r="AJ347" s="415">
        <v>1.0049999999999999</v>
      </c>
      <c r="AK347" s="415">
        <v>1.0049999999999999</v>
      </c>
      <c r="BC347" s="365"/>
      <c r="BD347" s="365"/>
      <c r="BE347" s="365"/>
      <c r="BF347" s="365"/>
      <c r="BG347" s="365"/>
    </row>
    <row r="348" spans="2:59">
      <c r="B348" s="376" t="str">
        <f>Technologies!B$531</f>
        <v>R0,R1,R2,R3,R4,R5,R6</v>
      </c>
      <c r="C348" s="376" t="str">
        <f>'Imp Refined NYC'!E154</f>
        <v>IMPDSLP32</v>
      </c>
      <c r="D348" s="376" t="str">
        <f>'Imp Refined NYC'!F154</f>
        <v>Imported Distillate-Low Sulfur Highway Diesel (500 ppm), PADD 3, Step 2</v>
      </c>
      <c r="E348" s="415" t="str">
        <f>'Imp Refined NYC'!G154</f>
        <v>DSLP3</v>
      </c>
      <c r="F348" s="413">
        <f>'Imp Refined NYC'!M154</f>
        <v>12.087981076078693</v>
      </c>
      <c r="G348" s="413">
        <f>'Imp Refined NYC'!N154</f>
        <v>13.015695641517317</v>
      </c>
      <c r="H348" s="413">
        <f>'Imp Refined NYC'!O154</f>
        <v>12.891941477636578</v>
      </c>
      <c r="I348" s="413">
        <f>'Imp Refined NYC'!P154</f>
        <v>13.911310338238748</v>
      </c>
      <c r="J348" s="413">
        <f>'Imp Refined NYC'!Q154</f>
        <v>14.710409048692254</v>
      </c>
      <c r="K348" s="413">
        <f>'Imp Refined NYC'!R154</f>
        <v>15.804628734827832</v>
      </c>
      <c r="L348" s="413">
        <f>'Imp Refined NYC'!S154</f>
        <v>16.980240904174682</v>
      </c>
      <c r="M348" s="413">
        <f>'Imp Refined NYC'!T154</f>
        <v>18.243299858631442</v>
      </c>
      <c r="N348" s="413">
        <f>'Imp Refined NYC'!U154</f>
        <v>19.600310243544126</v>
      </c>
      <c r="O348" s="413">
        <f>'Imp Refined NYC'!V154</f>
        <v>21.058260546072077</v>
      </c>
      <c r="P348" s="405"/>
      <c r="Q348" s="405">
        <f>'Imp Refined NYC'!AF154</f>
        <v>224317.8694819056</v>
      </c>
      <c r="R348" s="405">
        <f>'Imp Refined NYC'!AG154</f>
        <v>224317.8694819056</v>
      </c>
      <c r="S348" s="405">
        <f>'Imp Refined NYC'!AH154</f>
        <v>224317.8694819056</v>
      </c>
      <c r="T348" s="405">
        <f>'Imp Refined NYC'!AI154</f>
        <v>224317.8694819056</v>
      </c>
      <c r="U348" s="405"/>
      <c r="V348" s="405"/>
      <c r="W348" s="405"/>
      <c r="X348" s="405"/>
      <c r="Y348" s="405"/>
      <c r="Z348" s="405"/>
      <c r="AA348" s="413"/>
      <c r="AB348" s="415"/>
      <c r="AC348" s="415"/>
      <c r="AG348" s="415"/>
      <c r="AH348" s="405"/>
      <c r="AI348" s="415"/>
      <c r="AJ348" s="415">
        <v>1.0049999999999999</v>
      </c>
      <c r="AK348" s="415">
        <v>1.0049999999999999</v>
      </c>
      <c r="BC348" s="365"/>
      <c r="BD348" s="365"/>
      <c r="BE348" s="365"/>
      <c r="BF348" s="365"/>
      <c r="BG348" s="365"/>
    </row>
    <row r="349" spans="2:59">
      <c r="B349" s="376" t="str">
        <f>Technologies!B$532</f>
        <v>R0,R1,R2,R3,R4,R5,R6</v>
      </c>
      <c r="C349" s="376" t="str">
        <f>'Imp Refined NYC'!E155</f>
        <v>IMPDSLP34</v>
      </c>
      <c r="D349" s="376" t="str">
        <f>'Imp Refined NYC'!F155</f>
        <v>Imported Distillate-Low Sulfur Highway Diesel (500 ppm), PADD 3, Step 4</v>
      </c>
      <c r="E349" s="415" t="str">
        <f>'Imp Refined NYC'!G155</f>
        <v>DSLP3</v>
      </c>
      <c r="F349" s="413">
        <f>'Imp Refined NYC'!M155</f>
        <v>13.44479527849569</v>
      </c>
      <c r="G349" s="413">
        <f>'Imp Refined NYC'!N155</f>
        <v>14.47664107066722</v>
      </c>
      <c r="H349" s="413">
        <f>'Imp Refined NYC'!O155</f>
        <v>14.338996133289665</v>
      </c>
      <c r="I349" s="413">
        <f>'Imp Refined NYC'!P155</f>
        <v>15.472783947632893</v>
      </c>
      <c r="J349" s="413">
        <f>'Imp Refined NYC'!Q155</f>
        <v>16.361577411300569</v>
      </c>
      <c r="K349" s="413">
        <f>'Imp Refined NYC'!R155</f>
        <v>17.578617674451365</v>
      </c>
      <c r="L349" s="413">
        <f>'Imp Refined NYC'!S155</f>
        <v>18.886186311786126</v>
      </c>
      <c r="M349" s="413">
        <f>'Imp Refined NYC'!T155</f>
        <v>20.29101718970232</v>
      </c>
      <c r="N349" s="413">
        <f>'Imp Refined NYC'!U155</f>
        <v>21.800345066799082</v>
      </c>
      <c r="O349" s="413">
        <f>'Imp Refined NYC'!V155</f>
        <v>23.421942852263847</v>
      </c>
      <c r="P349" s="405"/>
      <c r="Q349" s="405">
        <f>'Imp Refined NYC'!AF155</f>
        <v>448635.73896381306</v>
      </c>
      <c r="R349" s="405">
        <f>'Imp Refined NYC'!AG155</f>
        <v>448635.73896381306</v>
      </c>
      <c r="S349" s="405">
        <f>'Imp Refined NYC'!AH155</f>
        <v>448635.73896381306</v>
      </c>
      <c r="T349" s="405">
        <f>'Imp Refined NYC'!AI155</f>
        <v>448635.73896381306</v>
      </c>
      <c r="U349" s="405"/>
      <c r="V349" s="405"/>
      <c r="W349" s="405"/>
      <c r="X349" s="405"/>
      <c r="Y349" s="405"/>
      <c r="Z349" s="405"/>
      <c r="AA349" s="413"/>
      <c r="AB349" s="415"/>
      <c r="AC349" s="415"/>
      <c r="AG349" s="415"/>
      <c r="AH349" s="405"/>
      <c r="AI349" s="415"/>
      <c r="AJ349" s="415">
        <v>1.0049999999999999</v>
      </c>
      <c r="AK349" s="415">
        <v>1.0049999999999999</v>
      </c>
      <c r="BC349" s="365"/>
      <c r="BD349" s="365"/>
      <c r="BE349" s="365"/>
      <c r="BF349" s="365"/>
      <c r="BG349" s="365"/>
    </row>
    <row r="350" spans="2:59">
      <c r="B350" s="376" t="str">
        <f>Technologies!B$533</f>
        <v>R0,R1,R2,R3,R4,R5,R6</v>
      </c>
      <c r="C350" s="376" t="str">
        <f>'Imp Refined NYC'!E156</f>
        <v>IMPDSLP35</v>
      </c>
      <c r="D350" s="376" t="str">
        <f>'Imp Refined NYC'!F156</f>
        <v>Imported Distillate-Low Sulfur Highway Diesel (500 ppm), PADD 3, Step 5</v>
      </c>
      <c r="E350" s="415" t="str">
        <f>'Imp Refined NYC'!G156</f>
        <v>DSLP3</v>
      </c>
      <c r="F350" s="413">
        <f>'Imp Refined NYC'!M156</f>
        <v>16.035076937655411</v>
      </c>
      <c r="G350" s="413">
        <f>'Imp Refined NYC'!N156</f>
        <v>17.265718708135218</v>
      </c>
      <c r="H350" s="413">
        <f>'Imp Refined NYC'!O156</f>
        <v>17.101555021354645</v>
      </c>
      <c r="I350" s="413">
        <f>'Imp Refined NYC'!P156</f>
        <v>18.453779020112623</v>
      </c>
      <c r="J350" s="413">
        <f>'Imp Refined NYC'!Q156</f>
        <v>19.513807921734621</v>
      </c>
      <c r="K350" s="413">
        <f>'Imp Refined NYC'!R156</f>
        <v>20.965323831914468</v>
      </c>
      <c r="L350" s="413">
        <f>'Imp Refined NYC'!S156</f>
        <v>22.524809362680699</v>
      </c>
      <c r="M350" s="413">
        <f>'Imp Refined NYC'!T156</f>
        <v>24.200295730837627</v>
      </c>
      <c r="N350" s="413">
        <f>'Imp Refined NYC'!U156</f>
        <v>26.000411547558535</v>
      </c>
      <c r="O350" s="413">
        <f>'Imp Refined NYC'!V156</f>
        <v>27.934427254993576</v>
      </c>
      <c r="P350" s="405"/>
      <c r="Q350" s="405">
        <f>'Imp Refined NYC'!AF156</f>
        <v>1794542.9558552485</v>
      </c>
      <c r="R350" s="405">
        <f>'Imp Refined NYC'!AG156</f>
        <v>1794542.9558552485</v>
      </c>
      <c r="S350" s="405">
        <f>'Imp Refined NYC'!AH156</f>
        <v>1794542.9558552485</v>
      </c>
      <c r="T350" s="405">
        <f>'Imp Refined NYC'!AI156</f>
        <v>1794542.9558552485</v>
      </c>
      <c r="U350" s="405"/>
      <c r="V350" s="405"/>
      <c r="W350" s="405"/>
      <c r="X350" s="405"/>
      <c r="Y350" s="405"/>
      <c r="Z350" s="405"/>
      <c r="AA350" s="413"/>
      <c r="AB350" s="415"/>
      <c r="AC350" s="415"/>
      <c r="AG350" s="415"/>
      <c r="AH350" s="405"/>
      <c r="AI350" s="415"/>
      <c r="AJ350" s="415">
        <v>1.0049999999999999</v>
      </c>
      <c r="AK350" s="415">
        <v>1.0049999999999999</v>
      </c>
      <c r="BC350" s="365"/>
      <c r="BD350" s="365"/>
      <c r="BE350" s="365"/>
      <c r="BF350" s="365"/>
      <c r="BG350" s="365"/>
    </row>
    <row r="351" spans="2:59">
      <c r="B351" s="376" t="str">
        <f>Technologies!B$534</f>
        <v>R0,R1,R2,R3,R4,R5,R6</v>
      </c>
      <c r="C351" s="376" t="str">
        <f>'Imp Refined NYC'!E157</f>
        <v>IMPRFLP33</v>
      </c>
      <c r="D351" s="376" t="str">
        <f>'Imp Refined NYC'!F157</f>
        <v>Imported Low Sulfur Residual Fuel Oil, PADD 3, Step 3</v>
      </c>
      <c r="E351" s="415" t="str">
        <f>'Imp Refined NYC'!G157</f>
        <v>RFLP3</v>
      </c>
      <c r="F351" s="413">
        <f>'Imp Refined NYC'!M157</f>
        <v>8.5425681327705032</v>
      </c>
      <c r="G351" s="413">
        <f>'Imp Refined NYC'!N157</f>
        <v>9.1981833950003722</v>
      </c>
      <c r="H351" s="413">
        <f>'Imp Refined NYC'!O157</f>
        <v>9.1107264102473646</v>
      </c>
      <c r="I351" s="413">
        <f>'Imp Refined NYC'!P157</f>
        <v>9.8311137015007617</v>
      </c>
      <c r="J351" s="413">
        <f>'Imp Refined NYC'!Q157</f>
        <v>10.395836225129379</v>
      </c>
      <c r="K351" s="413">
        <f>'Imp Refined NYC'!R157</f>
        <v>11.169120544669711</v>
      </c>
      <c r="L351" s="413">
        <f>'Imp Refined NYC'!S157</f>
        <v>11.999924877597858</v>
      </c>
      <c r="M351" s="413">
        <f>'Imp Refined NYC'!T157</f>
        <v>12.892527795011832</v>
      </c>
      <c r="N351" s="413">
        <f>'Imp Refined NYC'!U157</f>
        <v>13.851526125422378</v>
      </c>
      <c r="O351" s="413">
        <f>'Imp Refined NYC'!V157</f>
        <v>14.881858628025753</v>
      </c>
      <c r="P351" s="405"/>
      <c r="Q351" s="405">
        <f>'Imp Refined NYC'!AF157</f>
        <v>242109.26101849694</v>
      </c>
      <c r="R351" s="405">
        <f>'Imp Refined NYC'!AG157</f>
        <v>242109.26101849694</v>
      </c>
      <c r="S351" s="405">
        <f>'Imp Refined NYC'!AH157</f>
        <v>242109.26101849694</v>
      </c>
      <c r="T351" s="405">
        <f>'Imp Refined NYC'!AI157</f>
        <v>242109.26101849694</v>
      </c>
      <c r="U351" s="405"/>
      <c r="V351" s="405"/>
      <c r="W351" s="405"/>
      <c r="X351" s="405"/>
      <c r="Y351" s="405"/>
      <c r="Z351" s="405"/>
      <c r="AA351" s="413"/>
      <c r="AB351" s="415"/>
      <c r="AC351" s="415"/>
      <c r="AG351" s="415"/>
      <c r="AH351" s="405"/>
      <c r="AI351" s="415"/>
      <c r="AJ351" s="415">
        <v>1.0049999999999999</v>
      </c>
      <c r="AK351" s="415">
        <v>1.0049999999999999</v>
      </c>
      <c r="BC351" s="365"/>
      <c r="BD351" s="365"/>
      <c r="BE351" s="365"/>
      <c r="BF351" s="365"/>
      <c r="BG351" s="365"/>
    </row>
    <row r="352" spans="2:59">
      <c r="B352" s="376" t="str">
        <f>Technologies!B$535</f>
        <v>R0,R1,R2,R3,R4,R5,R6</v>
      </c>
      <c r="C352" s="376" t="str">
        <f>'Imp Refined NYC'!E158</f>
        <v>IMPRFLP31</v>
      </c>
      <c r="D352" s="376" t="str">
        <f>'Imp Refined NYC'!F158</f>
        <v>Imported Low Sulfur Residual Fuel Oil, PADD 3, Step 1</v>
      </c>
      <c r="E352" s="415" t="str">
        <f>'Imp Refined NYC'!G158</f>
        <v>RFLP3</v>
      </c>
      <c r="F352" s="413">
        <f>'Imp Refined NYC'!M158</f>
        <v>8.1154397261319779</v>
      </c>
      <c r="G352" s="413">
        <f>'Imp Refined NYC'!N158</f>
        <v>8.738274225250354</v>
      </c>
      <c r="H352" s="413">
        <f>'Imp Refined NYC'!O158</f>
        <v>8.6551900897349974</v>
      </c>
      <c r="I352" s="413">
        <f>'Imp Refined NYC'!P158</f>
        <v>9.339558016425725</v>
      </c>
      <c r="J352" s="413">
        <f>'Imp Refined NYC'!Q158</f>
        <v>9.8760444138729113</v>
      </c>
      <c r="K352" s="413">
        <f>'Imp Refined NYC'!R158</f>
        <v>10.610664517436227</v>
      </c>
      <c r="L352" s="413">
        <f>'Imp Refined NYC'!S158</f>
        <v>11.399928633717966</v>
      </c>
      <c r="M352" s="413">
        <f>'Imp Refined NYC'!T158</f>
        <v>12.247901405261242</v>
      </c>
      <c r="N352" s="413">
        <f>'Imp Refined NYC'!U158</f>
        <v>13.15894981915126</v>
      </c>
      <c r="O352" s="413">
        <f>'Imp Refined NYC'!V158</f>
        <v>14.137765696624466</v>
      </c>
      <c r="P352" s="405"/>
      <c r="Q352" s="405">
        <f>'Imp Refined NYC'!AF158</f>
        <v>1936874.088147975</v>
      </c>
      <c r="R352" s="405">
        <f>'Imp Refined NYC'!AG158</f>
        <v>1936874.088147975</v>
      </c>
      <c r="S352" s="405">
        <f>'Imp Refined NYC'!AH158</f>
        <v>1936874.088147975</v>
      </c>
      <c r="T352" s="405">
        <f>'Imp Refined NYC'!AI158</f>
        <v>1936874.088147975</v>
      </c>
      <c r="U352" s="405"/>
      <c r="V352" s="405"/>
      <c r="W352" s="405"/>
      <c r="X352" s="405"/>
      <c r="Y352" s="405"/>
      <c r="Z352" s="405"/>
      <c r="AA352" s="413"/>
      <c r="AB352" s="415"/>
      <c r="AC352" s="415"/>
      <c r="AG352" s="415"/>
      <c r="AH352" s="405"/>
      <c r="AI352" s="415"/>
      <c r="AJ352" s="415">
        <v>1.0049999999999999</v>
      </c>
      <c r="AK352" s="415">
        <v>1.0049999999999999</v>
      </c>
      <c r="BC352" s="365"/>
      <c r="BD352" s="365"/>
      <c r="BE352" s="365"/>
      <c r="BF352" s="365"/>
      <c r="BG352" s="365"/>
    </row>
    <row r="353" spans="2:59">
      <c r="B353" s="376" t="str">
        <f>Technologies!B$536</f>
        <v>R0,R1,R2,R3,R4,R5,R6</v>
      </c>
      <c r="C353" s="376" t="str">
        <f>'Imp Refined NYC'!E159</f>
        <v>IMPRFLP32</v>
      </c>
      <c r="D353" s="376" t="str">
        <f>'Imp Refined NYC'!F159</f>
        <v>Imported Low Sulfur Residual Fuel Oil, PADD 3, Step 2</v>
      </c>
      <c r="E353" s="415" t="str">
        <f>'Imp Refined NYC'!G159</f>
        <v>RFLP3</v>
      </c>
      <c r="F353" s="413">
        <f>'Imp Refined NYC'!M159</f>
        <v>8.3717167701150927</v>
      </c>
      <c r="G353" s="413">
        <f>'Imp Refined NYC'!N159</f>
        <v>9.0142197271003646</v>
      </c>
      <c r="H353" s="413">
        <f>'Imp Refined NYC'!O159</f>
        <v>8.9285118820424181</v>
      </c>
      <c r="I353" s="413">
        <f>'Imp Refined NYC'!P159</f>
        <v>9.6344914274707474</v>
      </c>
      <c r="J353" s="413">
        <f>'Imp Refined NYC'!Q159</f>
        <v>10.187919500626792</v>
      </c>
      <c r="K353" s="413">
        <f>'Imp Refined NYC'!R159</f>
        <v>10.945738133776318</v>
      </c>
      <c r="L353" s="413">
        <f>'Imp Refined NYC'!S159</f>
        <v>11.759926380045901</v>
      </c>
      <c r="M353" s="413">
        <f>'Imp Refined NYC'!T159</f>
        <v>12.634677239111596</v>
      </c>
      <c r="N353" s="413">
        <f>'Imp Refined NYC'!U159</f>
        <v>13.574495602913931</v>
      </c>
      <c r="O353" s="413">
        <f>'Imp Refined NYC'!V159</f>
        <v>14.584221455465238</v>
      </c>
      <c r="P353" s="405"/>
      <c r="Q353" s="405">
        <f>'Imp Refined NYC'!AF159</f>
        <v>242109.26101849647</v>
      </c>
      <c r="R353" s="405">
        <f>'Imp Refined NYC'!AG159</f>
        <v>242109.26101849647</v>
      </c>
      <c r="S353" s="405">
        <f>'Imp Refined NYC'!AH159</f>
        <v>242109.26101849647</v>
      </c>
      <c r="T353" s="405">
        <f>'Imp Refined NYC'!AI159</f>
        <v>242109.26101849647</v>
      </c>
      <c r="U353" s="405"/>
      <c r="V353" s="405"/>
      <c r="W353" s="405"/>
      <c r="X353" s="405"/>
      <c r="Y353" s="405"/>
      <c r="Z353" s="405"/>
      <c r="AA353" s="413"/>
      <c r="AB353" s="415"/>
      <c r="AC353" s="415"/>
      <c r="AG353" s="415"/>
      <c r="AH353" s="405"/>
      <c r="AI353" s="415"/>
      <c r="AJ353" s="415">
        <v>1.0049999999999999</v>
      </c>
      <c r="AK353" s="415">
        <v>1.0049999999999999</v>
      </c>
      <c r="BC353" s="365"/>
      <c r="BD353" s="365"/>
      <c r="BE353" s="365"/>
      <c r="BF353" s="365"/>
      <c r="BG353" s="365"/>
    </row>
    <row r="354" spans="2:59">
      <c r="B354" s="376" t="str">
        <f>Technologies!B$537</f>
        <v>R0,R1,R2,R3,R4,R5,R6</v>
      </c>
      <c r="C354" s="376" t="str">
        <f>'Imp Refined NYC'!E160</f>
        <v>IMPRFLP34</v>
      </c>
      <c r="D354" s="376" t="str">
        <f>'Imp Refined NYC'!F160</f>
        <v>Imported Low Sulfur Residual Fuel Oil, PADD 3, Step 4</v>
      </c>
      <c r="E354" s="415" t="str">
        <f>'Imp Refined NYC'!G160</f>
        <v>RFLP3</v>
      </c>
      <c r="F354" s="413">
        <f>'Imp Refined NYC'!M160</f>
        <v>9.3113992647198476</v>
      </c>
      <c r="G354" s="413">
        <f>'Imp Refined NYC'!N160</f>
        <v>10.026019900550406</v>
      </c>
      <c r="H354" s="413">
        <f>'Imp Refined NYC'!O160</f>
        <v>9.9306917871696285</v>
      </c>
      <c r="I354" s="413">
        <f>'Imp Refined NYC'!P160</f>
        <v>10.715913934635832</v>
      </c>
      <c r="J354" s="413">
        <f>'Imp Refined NYC'!Q160</f>
        <v>11.331461485391024</v>
      </c>
      <c r="K354" s="413">
        <f>'Imp Refined NYC'!R160</f>
        <v>12.174341393689987</v>
      </c>
      <c r="L354" s="413">
        <f>'Imp Refined NYC'!S160</f>
        <v>13.079918116581666</v>
      </c>
      <c r="M354" s="413">
        <f>'Imp Refined NYC'!T160</f>
        <v>14.052855296562898</v>
      </c>
      <c r="N354" s="413">
        <f>'Imp Refined NYC'!U160</f>
        <v>15.098163476710393</v>
      </c>
      <c r="O354" s="413">
        <f>'Imp Refined NYC'!V160</f>
        <v>16.221225904548074</v>
      </c>
      <c r="P354" s="405"/>
      <c r="Q354" s="405">
        <f>'Imp Refined NYC'!AF160</f>
        <v>484218.52203699341</v>
      </c>
      <c r="R354" s="405">
        <f>'Imp Refined NYC'!AG160</f>
        <v>484218.52203699341</v>
      </c>
      <c r="S354" s="405">
        <f>'Imp Refined NYC'!AH160</f>
        <v>484218.52203699341</v>
      </c>
      <c r="T354" s="405">
        <f>'Imp Refined NYC'!AI160</f>
        <v>484218.52203699341</v>
      </c>
      <c r="U354" s="405"/>
      <c r="V354" s="405"/>
      <c r="W354" s="405"/>
      <c r="X354" s="405"/>
      <c r="Y354" s="405"/>
      <c r="Z354" s="405"/>
      <c r="AA354" s="413"/>
      <c r="AB354" s="415"/>
      <c r="AC354" s="415"/>
      <c r="AG354" s="415"/>
      <c r="AH354" s="405"/>
      <c r="AI354" s="415"/>
      <c r="AJ354" s="415">
        <v>1.0049999999999999</v>
      </c>
      <c r="AK354" s="415">
        <v>1.0049999999999999</v>
      </c>
      <c r="BC354" s="365"/>
      <c r="BD354" s="365"/>
      <c r="BE354" s="365"/>
      <c r="BF354" s="365"/>
      <c r="BG354" s="365"/>
    </row>
    <row r="355" spans="2:59">
      <c r="B355" s="376" t="str">
        <f>Technologies!B$538</f>
        <v>R0,R1,R2,R3,R4,R5,R6</v>
      </c>
      <c r="C355" s="376" t="str">
        <f>'Imp Refined NYC'!E161</f>
        <v>IMPRFLP35</v>
      </c>
      <c r="D355" s="376" t="str">
        <f>'Imp Refined NYC'!F161</f>
        <v>Imported Low Sulfur Residual Fuel Oil, PADD 3, Step 5</v>
      </c>
      <c r="E355" s="415" t="str">
        <f>'Imp Refined NYC'!G161</f>
        <v>RFLP3</v>
      </c>
      <c r="F355" s="413">
        <f>'Imp Refined NYC'!M161</f>
        <v>11.105338572601656</v>
      </c>
      <c r="G355" s="413">
        <f>'Imp Refined NYC'!N161</f>
        <v>11.957638413500487</v>
      </c>
      <c r="H355" s="413">
        <f>'Imp Refined NYC'!O161</f>
        <v>11.843944333321577</v>
      </c>
      <c r="I355" s="413">
        <f>'Imp Refined NYC'!P161</f>
        <v>12.780447811950994</v>
      </c>
      <c r="J355" s="413">
        <f>'Imp Refined NYC'!Q161</f>
        <v>13.514587092668197</v>
      </c>
      <c r="K355" s="413">
        <f>'Imp Refined NYC'!R161</f>
        <v>14.51985670807063</v>
      </c>
      <c r="L355" s="413">
        <f>'Imp Refined NYC'!S161</f>
        <v>15.59990234087722</v>
      </c>
      <c r="M355" s="413">
        <f>'Imp Refined NYC'!T161</f>
        <v>16.760286133515386</v>
      </c>
      <c r="N355" s="413">
        <f>'Imp Refined NYC'!U161</f>
        <v>18.006983963049095</v>
      </c>
      <c r="O355" s="413">
        <f>'Imp Refined NYC'!V161</f>
        <v>19.346416216433482</v>
      </c>
      <c r="P355" s="405"/>
      <c r="Q355" s="405">
        <f>'Imp Refined NYC'!AF161</f>
        <v>1936874.088147975</v>
      </c>
      <c r="R355" s="405">
        <f>'Imp Refined NYC'!AG161</f>
        <v>1936874.088147975</v>
      </c>
      <c r="S355" s="405">
        <f>'Imp Refined NYC'!AH161</f>
        <v>1936874.088147975</v>
      </c>
      <c r="T355" s="405">
        <f>'Imp Refined NYC'!AI161</f>
        <v>1936874.088147975</v>
      </c>
      <c r="U355" s="405"/>
      <c r="V355" s="405"/>
      <c r="W355" s="405"/>
      <c r="X355" s="405"/>
      <c r="Y355" s="405"/>
      <c r="Z355" s="405"/>
      <c r="AA355" s="413"/>
      <c r="AB355" s="415"/>
      <c r="AC355" s="415"/>
      <c r="AG355" s="415"/>
      <c r="AH355" s="405"/>
      <c r="AI355" s="415"/>
      <c r="AJ355" s="415">
        <v>1.0049999999999999</v>
      </c>
      <c r="AK355" s="415">
        <v>1.0049999999999999</v>
      </c>
      <c r="BC355" s="365"/>
      <c r="BD355" s="365"/>
      <c r="BE355" s="365"/>
      <c r="BF355" s="365"/>
      <c r="BG355" s="365"/>
    </row>
    <row r="356" spans="2:59">
      <c r="B356" s="376" t="str">
        <f>Technologies!B$539</f>
        <v>*R0,R1,R2,R3,R4,R5,R6</v>
      </c>
      <c r="C356" s="376" t="str">
        <f>'Imp Refined NYC'!E162</f>
        <v>IMPRFHP33</v>
      </c>
      <c r="D356" s="376" t="str">
        <f>'Imp Refined NYC'!F162</f>
        <v>Imported High Sulfur Residual Fuel Oil, PADD 3, Step 3</v>
      </c>
      <c r="E356" s="415" t="str">
        <f>'Imp Refined NYC'!G162</f>
        <v>RFHP3</v>
      </c>
      <c r="F356" s="413">
        <f>'Imp Refined NYC'!M162</f>
        <v>8.5018528839994776</v>
      </c>
      <c r="G356" s="413">
        <f>'Imp Refined NYC'!N162</f>
        <v>9.1543433788192541</v>
      </c>
      <c r="H356" s="413">
        <f>'Imp Refined NYC'!O162</f>
        <v>9.0673032280716228</v>
      </c>
      <c r="I356" s="413">
        <f>'Imp Refined NYC'!P162</f>
        <v>9.7842570380440979</v>
      </c>
      <c r="J356" s="413">
        <f>'Imp Refined NYC'!Q162</f>
        <v>10.346288003621462</v>
      </c>
      <c r="K356" s="413">
        <f>'Imp Refined NYC'!R162</f>
        <v>11.115886726166666</v>
      </c>
      <c r="L356" s="413">
        <f>'Imp Refined NYC'!S162</f>
        <v>11.942731312497596</v>
      </c>
      <c r="M356" s="413">
        <f>'Imp Refined NYC'!T162</f>
        <v>12.831079941356723</v>
      </c>
      <c r="N356" s="413">
        <f>'Imp Refined NYC'!U162</f>
        <v>13.785507532033408</v>
      </c>
      <c r="O356" s="413">
        <f>'Imp Refined NYC'!V162</f>
        <v>14.810929304806086</v>
      </c>
      <c r="P356" s="405"/>
      <c r="Q356" s="405">
        <f>'Imp Refined NYC'!AF162</f>
        <v>242109.26101849694</v>
      </c>
      <c r="R356" s="405">
        <f>'Imp Refined NYC'!AG162</f>
        <v>242109.26101849694</v>
      </c>
      <c r="S356" s="405">
        <f>'Imp Refined NYC'!AH162</f>
        <v>242109.26101849694</v>
      </c>
      <c r="T356" s="405">
        <f>'Imp Refined NYC'!AI162</f>
        <v>242109.26101849694</v>
      </c>
      <c r="U356" s="405"/>
      <c r="V356" s="405"/>
      <c r="W356" s="405"/>
      <c r="X356" s="405"/>
      <c r="Y356" s="405"/>
      <c r="Z356" s="405"/>
      <c r="AA356" s="413"/>
      <c r="AB356" s="415"/>
      <c r="AC356" s="415"/>
      <c r="AG356" s="415"/>
      <c r="AH356" s="405"/>
      <c r="AI356" s="415"/>
      <c r="AJ356" s="415">
        <v>1.0049999999999999</v>
      </c>
      <c r="AK356" s="415">
        <v>1.0049999999999999</v>
      </c>
      <c r="BC356" s="365"/>
      <c r="BD356" s="365"/>
      <c r="BE356" s="365"/>
      <c r="BF356" s="365"/>
      <c r="BG356" s="365"/>
    </row>
    <row r="357" spans="2:59">
      <c r="B357" s="376" t="str">
        <f>Technologies!B$540</f>
        <v>*R0,R1,R2,R3,R4,R5,R6</v>
      </c>
      <c r="C357" s="376" t="str">
        <f>'Imp Refined NYC'!E163</f>
        <v>IMPRFHP31</v>
      </c>
      <c r="D357" s="376" t="str">
        <f>'Imp Refined NYC'!F163</f>
        <v>Imported High Sulfur Residual Fuel Oil, PADD 3, Step 1</v>
      </c>
      <c r="E357" s="415" t="str">
        <f>'Imp Refined NYC'!G163</f>
        <v>RFHP3</v>
      </c>
      <c r="F357" s="413">
        <f>'Imp Refined NYC'!M163</f>
        <v>8.0767602397995031</v>
      </c>
      <c r="G357" s="413">
        <f>'Imp Refined NYC'!N163</f>
        <v>8.6966262098782909</v>
      </c>
      <c r="H357" s="413">
        <f>'Imp Refined NYC'!O163</f>
        <v>8.6139380666680427</v>
      </c>
      <c r="I357" s="413">
        <f>'Imp Refined NYC'!P163</f>
        <v>9.2950441861418955</v>
      </c>
      <c r="J357" s="413">
        <f>'Imp Refined NYC'!Q163</f>
        <v>9.8289736034403905</v>
      </c>
      <c r="K357" s="413">
        <f>'Imp Refined NYC'!R163</f>
        <v>10.560092389858335</v>
      </c>
      <c r="L357" s="413">
        <f>'Imp Refined NYC'!S163</f>
        <v>11.345594746872719</v>
      </c>
      <c r="M357" s="413">
        <f>'Imp Refined NYC'!T163</f>
        <v>12.189525944288889</v>
      </c>
      <c r="N357" s="413">
        <f>'Imp Refined NYC'!U163</f>
        <v>13.096232155431739</v>
      </c>
      <c r="O357" s="413">
        <f>'Imp Refined NYC'!V163</f>
        <v>14.070382839565783</v>
      </c>
      <c r="P357" s="405"/>
      <c r="Q357" s="405">
        <f>'Imp Refined NYC'!AF163</f>
        <v>1936874.088147975</v>
      </c>
      <c r="R357" s="405">
        <f>'Imp Refined NYC'!AG163</f>
        <v>1936874.088147975</v>
      </c>
      <c r="S357" s="405">
        <f>'Imp Refined NYC'!AH163</f>
        <v>1936874.088147975</v>
      </c>
      <c r="T357" s="405">
        <f>'Imp Refined NYC'!AI163</f>
        <v>1936874.088147975</v>
      </c>
      <c r="U357" s="405"/>
      <c r="V357" s="405"/>
      <c r="W357" s="405"/>
      <c r="X357" s="405"/>
      <c r="Y357" s="405"/>
      <c r="Z357" s="405"/>
      <c r="AA357" s="413"/>
      <c r="AB357" s="415"/>
      <c r="AC357" s="415"/>
      <c r="AG357" s="415"/>
      <c r="AH357" s="405"/>
      <c r="AI357" s="415"/>
      <c r="AJ357" s="415">
        <v>1.0049999999999999</v>
      </c>
      <c r="AK357" s="415">
        <v>1.0049999999999999</v>
      </c>
      <c r="BC357" s="365"/>
      <c r="BD357" s="365"/>
      <c r="BE357" s="365"/>
      <c r="BF357" s="365"/>
      <c r="BG357" s="365"/>
    </row>
    <row r="358" spans="2:59">
      <c r="B358" s="376" t="str">
        <f>Technologies!B$541</f>
        <v>*R0,R1,R2,R3,R4,R5,R6</v>
      </c>
      <c r="C358" s="376" t="str">
        <f>'Imp Refined NYC'!E164</f>
        <v>IMPRFHP32</v>
      </c>
      <c r="D358" s="376" t="str">
        <f>'Imp Refined NYC'!F164</f>
        <v>Imported High Sulfur Residual Fuel Oil, PADD 3, Step 2</v>
      </c>
      <c r="E358" s="415" t="str">
        <f>'Imp Refined NYC'!G164</f>
        <v>RFHP3</v>
      </c>
      <c r="F358" s="413">
        <f>'Imp Refined NYC'!M164</f>
        <v>8.3318158263194881</v>
      </c>
      <c r="G358" s="413">
        <f>'Imp Refined NYC'!N164</f>
        <v>8.9712565112428706</v>
      </c>
      <c r="H358" s="413">
        <f>'Imp Refined NYC'!O164</f>
        <v>8.8859571635101933</v>
      </c>
      <c r="I358" s="413">
        <f>'Imp Refined NYC'!P164</f>
        <v>9.5885718972832201</v>
      </c>
      <c r="J358" s="413">
        <f>'Imp Refined NYC'!Q164</f>
        <v>10.139362243549037</v>
      </c>
      <c r="K358" s="413">
        <f>'Imp Refined NYC'!R164</f>
        <v>10.893568991643338</v>
      </c>
      <c r="L358" s="413">
        <f>'Imp Refined NYC'!S164</f>
        <v>11.70387668624765</v>
      </c>
      <c r="M358" s="413">
        <f>'Imp Refined NYC'!T164</f>
        <v>12.574458342529594</v>
      </c>
      <c r="N358" s="413">
        <f>'Imp Refined NYC'!U164</f>
        <v>13.509797381392746</v>
      </c>
      <c r="O358" s="413">
        <f>'Imp Refined NYC'!V164</f>
        <v>14.514710718709969</v>
      </c>
      <c r="P358" s="405"/>
      <c r="Q358" s="405">
        <f>'Imp Refined NYC'!AF164</f>
        <v>242109.26101849647</v>
      </c>
      <c r="R358" s="405">
        <f>'Imp Refined NYC'!AG164</f>
        <v>242109.26101849647</v>
      </c>
      <c r="S358" s="405">
        <f>'Imp Refined NYC'!AH164</f>
        <v>242109.26101849647</v>
      </c>
      <c r="T358" s="405">
        <f>'Imp Refined NYC'!AI164</f>
        <v>242109.26101849647</v>
      </c>
      <c r="U358" s="405"/>
      <c r="V358" s="405"/>
      <c r="W358" s="405"/>
      <c r="X358" s="405"/>
      <c r="Y358" s="405"/>
      <c r="Z358" s="405"/>
      <c r="AA358" s="413"/>
      <c r="AB358" s="415"/>
      <c r="AC358" s="415"/>
      <c r="AG358" s="415"/>
      <c r="AH358" s="405"/>
      <c r="AI358" s="415"/>
      <c r="AJ358" s="415">
        <v>1.0049999999999999</v>
      </c>
      <c r="AK358" s="415">
        <v>1.0049999999999999</v>
      </c>
      <c r="BC358" s="365"/>
      <c r="BD358" s="365"/>
      <c r="BE358" s="365"/>
      <c r="BF358" s="365"/>
      <c r="BG358" s="365"/>
    </row>
    <row r="359" spans="2:59">
      <c r="B359" s="376" t="str">
        <f>Technologies!B$542</f>
        <v>*R0,R1,R2,R3,R4,R5,R6</v>
      </c>
      <c r="C359" s="376" t="str">
        <f>'Imp Refined NYC'!E165</f>
        <v>IMPRFHP34</v>
      </c>
      <c r="D359" s="376" t="str">
        <f>'Imp Refined NYC'!F165</f>
        <v>Imported High Sulfur Residual Fuel Oil, PADD 3, Step 4</v>
      </c>
      <c r="E359" s="415" t="str">
        <f>'Imp Refined NYC'!G165</f>
        <v>RFHP3</v>
      </c>
      <c r="F359" s="413">
        <f>'Imp Refined NYC'!M165</f>
        <v>9.267019643559431</v>
      </c>
      <c r="G359" s="413">
        <f>'Imp Refined NYC'!N165</f>
        <v>9.9782342829129878</v>
      </c>
      <c r="H359" s="413">
        <f>'Imp Refined NYC'!O165</f>
        <v>9.8833605185980709</v>
      </c>
      <c r="I359" s="413">
        <f>'Imp Refined NYC'!P165</f>
        <v>10.66484017146807</v>
      </c>
      <c r="J359" s="413">
        <f>'Imp Refined NYC'!Q165</f>
        <v>11.277453923947396</v>
      </c>
      <c r="K359" s="413">
        <f>'Imp Refined NYC'!R165</f>
        <v>12.116316531521669</v>
      </c>
      <c r="L359" s="413">
        <f>'Imp Refined NYC'!S165</f>
        <v>13.017577130622383</v>
      </c>
      <c r="M359" s="413">
        <f>'Imp Refined NYC'!T165</f>
        <v>13.985877136078832</v>
      </c>
      <c r="N359" s="413">
        <f>'Imp Refined NYC'!U165</f>
        <v>15.026203209916419</v>
      </c>
      <c r="O359" s="413">
        <f>'Imp Refined NYC'!V165</f>
        <v>16.143912942238636</v>
      </c>
      <c r="P359" s="405"/>
      <c r="Q359" s="405">
        <f>'Imp Refined NYC'!AF165</f>
        <v>484218.52203699341</v>
      </c>
      <c r="R359" s="405">
        <f>'Imp Refined NYC'!AG165</f>
        <v>484218.52203699341</v>
      </c>
      <c r="S359" s="405">
        <f>'Imp Refined NYC'!AH165</f>
        <v>484218.52203699341</v>
      </c>
      <c r="T359" s="405">
        <f>'Imp Refined NYC'!AI165</f>
        <v>484218.52203699341</v>
      </c>
      <c r="U359" s="405"/>
      <c r="V359" s="405"/>
      <c r="W359" s="405"/>
      <c r="X359" s="405"/>
      <c r="Y359" s="405"/>
      <c r="Z359" s="405"/>
      <c r="AA359" s="413"/>
      <c r="AB359" s="415"/>
      <c r="AC359" s="415"/>
      <c r="AG359" s="415"/>
      <c r="AH359" s="405"/>
      <c r="AI359" s="415"/>
      <c r="AJ359" s="415">
        <v>1.0049999999999999</v>
      </c>
      <c r="AK359" s="415">
        <v>1.0049999999999999</v>
      </c>
      <c r="BC359" s="365"/>
      <c r="BD359" s="365"/>
      <c r="BE359" s="365"/>
      <c r="BF359" s="365"/>
      <c r="BG359" s="365"/>
    </row>
    <row r="360" spans="2:59">
      <c r="B360" s="376" t="str">
        <f>Technologies!B$543</f>
        <v>*R0,R1,R2,R3,R4,R5,R6</v>
      </c>
      <c r="C360" s="376" t="str">
        <f>'Imp Refined NYC'!E166</f>
        <v>IMPRFHP35</v>
      </c>
      <c r="D360" s="376" t="str">
        <f>'Imp Refined NYC'!F166</f>
        <v>Imported High Sulfur Residual Fuel Oil, PADD 3, Step 5</v>
      </c>
      <c r="E360" s="415" t="str">
        <f>'Imp Refined NYC'!G166</f>
        <v>RFHP3</v>
      </c>
      <c r="F360" s="413">
        <f>'Imp Refined NYC'!M166</f>
        <v>11.052408749199319</v>
      </c>
      <c r="G360" s="413">
        <f>'Imp Refined NYC'!N166</f>
        <v>11.900646392465029</v>
      </c>
      <c r="H360" s="413">
        <f>'Imp Refined NYC'!O166</f>
        <v>11.78749419649311</v>
      </c>
      <c r="I360" s="413">
        <f>'Imp Refined NYC'!P166</f>
        <v>12.71953414945733</v>
      </c>
      <c r="J360" s="413">
        <f>'Imp Refined NYC'!Q166</f>
        <v>13.450174404707901</v>
      </c>
      <c r="K360" s="413">
        <f>'Imp Refined NYC'!R166</f>
        <v>14.450652744016667</v>
      </c>
      <c r="L360" s="413">
        <f>'Imp Refined NYC'!S166</f>
        <v>15.525550706246877</v>
      </c>
      <c r="M360" s="413">
        <f>'Imp Refined NYC'!T166</f>
        <v>16.680403923763741</v>
      </c>
      <c r="N360" s="413">
        <f>'Imp Refined NYC'!U166</f>
        <v>17.921159791643433</v>
      </c>
      <c r="O360" s="413">
        <f>'Imp Refined NYC'!V166</f>
        <v>19.254208096247911</v>
      </c>
      <c r="P360" s="405"/>
      <c r="Q360" s="405">
        <f>'Imp Refined NYC'!AF166</f>
        <v>1936874.088147975</v>
      </c>
      <c r="R360" s="405">
        <f>'Imp Refined NYC'!AG166</f>
        <v>1936874.088147975</v>
      </c>
      <c r="S360" s="405">
        <f>'Imp Refined NYC'!AH166</f>
        <v>1936874.088147975</v>
      </c>
      <c r="T360" s="405">
        <f>'Imp Refined NYC'!AI166</f>
        <v>1936874.088147975</v>
      </c>
      <c r="U360" s="405"/>
      <c r="V360" s="405"/>
      <c r="W360" s="405"/>
      <c r="X360" s="405"/>
      <c r="Y360" s="405"/>
      <c r="Z360" s="405"/>
      <c r="AA360" s="413"/>
      <c r="AB360" s="415"/>
      <c r="AC360" s="415"/>
      <c r="AG360" s="415"/>
      <c r="AH360" s="405"/>
      <c r="AI360" s="415"/>
      <c r="AJ360" s="415">
        <v>1.0049999999999999</v>
      </c>
      <c r="AK360" s="415">
        <v>1.0049999999999999</v>
      </c>
      <c r="BC360" s="365"/>
      <c r="BD360" s="365"/>
      <c r="BE360" s="365"/>
      <c r="BF360" s="365"/>
      <c r="BG360" s="365"/>
    </row>
    <row r="361" spans="2:59">
      <c r="B361" s="376" t="str">
        <f>Technologies!B$544</f>
        <v>*R0,R1,R2,R3,R4,R5,R6</v>
      </c>
      <c r="C361" s="376" t="str">
        <f>'Imp Refined NYC'!E172</f>
        <v>IMPLPGP33</v>
      </c>
      <c r="D361" s="376" t="str">
        <f>'Imp Refined NYC'!F172</f>
        <v>Imported LPG, PADD 3, Step 3</v>
      </c>
      <c r="E361" s="415" t="str">
        <f>'Imp Refined NYC'!G172</f>
        <v>LPGP3</v>
      </c>
      <c r="F361" s="413">
        <f>'Imp Refined NYC'!M172</f>
        <v>12.818628614646682</v>
      </c>
      <c r="G361" s="413">
        <f>'Imp Refined NYC'!N172</f>
        <v>13.80241808287224</v>
      </c>
      <c r="H361" s="413">
        <f>'Imp Refined NYC'!O172</f>
        <v>13.671183705822909</v>
      </c>
      <c r="I361" s="413">
        <f>'Imp Refined NYC'!P172</f>
        <v>14.7521674336394</v>
      </c>
      <c r="J361" s="413">
        <f>'Imp Refined NYC'!Q172</f>
        <v>15.599566973006439</v>
      </c>
      <c r="K361" s="413">
        <f>'Imp Refined NYC'!R172</f>
        <v>16.759925819626783</v>
      </c>
      <c r="L361" s="413">
        <f>'Imp Refined NYC'!S172</f>
        <v>18.006596847557031</v>
      </c>
      <c r="M361" s="413">
        <f>'Imp Refined NYC'!T172</f>
        <v>19.346000305726356</v>
      </c>
      <c r="N361" s="413">
        <f>'Imp Refined NYC'!U172</f>
        <v>20.785034007130641</v>
      </c>
      <c r="O361" s="413">
        <f>'Imp Refined NYC'!V172</f>
        <v>22.331108851978119</v>
      </c>
      <c r="P361" s="405"/>
      <c r="Q361" s="405">
        <f>'Imp Refined NYC'!AF172</f>
        <v>136978.31102955202</v>
      </c>
      <c r="R361" s="405">
        <f>'Imp Refined NYC'!AG172</f>
        <v>136978.31102955202</v>
      </c>
      <c r="S361" s="405">
        <f>'Imp Refined NYC'!AH172</f>
        <v>136978.31102955202</v>
      </c>
      <c r="T361" s="405">
        <f>'Imp Refined NYC'!AI172</f>
        <v>136978.31102955202</v>
      </c>
      <c r="U361" s="405"/>
      <c r="V361" s="405"/>
      <c r="W361" s="405"/>
      <c r="X361" s="405"/>
      <c r="Y361" s="405"/>
      <c r="Z361" s="405"/>
      <c r="AA361" s="413"/>
      <c r="AB361" s="415"/>
      <c r="AC361" s="415"/>
      <c r="AG361" s="415"/>
      <c r="AH361" s="405"/>
      <c r="AI361" s="415"/>
      <c r="AJ361" s="415">
        <v>1.0049999999999999</v>
      </c>
      <c r="AK361" s="415">
        <v>1.0049999999999999</v>
      </c>
      <c r="BC361" s="365"/>
      <c r="BD361" s="365"/>
      <c r="BE361" s="365"/>
      <c r="BF361" s="365"/>
      <c r="BG361" s="365"/>
    </row>
    <row r="362" spans="2:59">
      <c r="B362" s="376" t="str">
        <f>Technologies!B$545</f>
        <v>*R0,R1,R2,R3,R4,R5,R6</v>
      </c>
      <c r="C362" s="376" t="str">
        <f>'Imp Refined NYC'!E173</f>
        <v>IMPLPGP31</v>
      </c>
      <c r="D362" s="376" t="str">
        <f>'Imp Refined NYC'!F173</f>
        <v>Imported LPG, PADD 3, Step 1</v>
      </c>
      <c r="E362" s="415" t="str">
        <f>'Imp Refined NYC'!G173</f>
        <v>LPGP3</v>
      </c>
      <c r="F362" s="413">
        <f>'Imp Refined NYC'!M173</f>
        <v>12.177697183914349</v>
      </c>
      <c r="G362" s="413">
        <f>'Imp Refined NYC'!N173</f>
        <v>13.112297178728628</v>
      </c>
      <c r="H362" s="413">
        <f>'Imp Refined NYC'!O173</f>
        <v>12.987624520531762</v>
      </c>
      <c r="I362" s="413">
        <f>'Imp Refined NYC'!P173</f>
        <v>14.014559061957428</v>
      </c>
      <c r="J362" s="413">
        <f>'Imp Refined NYC'!Q173</f>
        <v>14.819588624356115</v>
      </c>
      <c r="K362" s="413">
        <f>'Imp Refined NYC'!R173</f>
        <v>15.921929528645443</v>
      </c>
      <c r="L362" s="413">
        <f>'Imp Refined NYC'!S173</f>
        <v>17.106267005179177</v>
      </c>
      <c r="M362" s="413">
        <f>'Imp Refined NYC'!T173</f>
        <v>18.378700290440037</v>
      </c>
      <c r="N362" s="413">
        <f>'Imp Refined NYC'!U173</f>
        <v>19.745782306774107</v>
      </c>
      <c r="O362" s="413">
        <f>'Imp Refined NYC'!V173</f>
        <v>21.21455340937921</v>
      </c>
      <c r="P362" s="405"/>
      <c r="Q362" s="405">
        <f>'Imp Refined NYC'!AF173</f>
        <v>1095826.4882364159</v>
      </c>
      <c r="R362" s="405">
        <f>'Imp Refined NYC'!AG173</f>
        <v>1095826.4882364159</v>
      </c>
      <c r="S362" s="405">
        <f>'Imp Refined NYC'!AH173</f>
        <v>1095826.4882364159</v>
      </c>
      <c r="T362" s="405">
        <f>'Imp Refined NYC'!AI173</f>
        <v>1095826.4882364159</v>
      </c>
      <c r="U362" s="405"/>
      <c r="V362" s="405"/>
      <c r="W362" s="405"/>
      <c r="X362" s="405"/>
      <c r="Y362" s="405"/>
      <c r="Z362" s="405"/>
      <c r="AA362" s="413"/>
      <c r="AB362" s="415"/>
      <c r="AC362" s="415"/>
      <c r="AG362" s="415"/>
      <c r="AH362" s="405"/>
      <c r="AI362" s="415"/>
      <c r="AJ362" s="415">
        <v>1.0049999999999999</v>
      </c>
      <c r="AK362" s="415">
        <v>1.0049999999999999</v>
      </c>
      <c r="BC362" s="365"/>
      <c r="BD362" s="365"/>
      <c r="BE362" s="365"/>
      <c r="BF362" s="365"/>
      <c r="BG362" s="365"/>
    </row>
    <row r="363" spans="2:59">
      <c r="B363" s="376" t="str">
        <f>Technologies!B$546</f>
        <v>*R0,R1,R2,R3,R4,R5,R6</v>
      </c>
      <c r="C363" s="376" t="str">
        <f>'Imp Refined NYC'!E174</f>
        <v>IMPLPGP32</v>
      </c>
      <c r="D363" s="376" t="str">
        <f>'Imp Refined NYC'!F174</f>
        <v>Imported LPG, PADD 3, Step 2</v>
      </c>
      <c r="E363" s="415" t="str">
        <f>'Imp Refined NYC'!G174</f>
        <v>LPGP3</v>
      </c>
      <c r="F363" s="413">
        <f>'Imp Refined NYC'!M174</f>
        <v>12.56225604235375</v>
      </c>
      <c r="G363" s="413">
        <f>'Imp Refined NYC'!N174</f>
        <v>13.526369721214797</v>
      </c>
      <c r="H363" s="413">
        <f>'Imp Refined NYC'!O174</f>
        <v>13.397760031706452</v>
      </c>
      <c r="I363" s="413">
        <f>'Imp Refined NYC'!P174</f>
        <v>14.457124084966614</v>
      </c>
      <c r="J363" s="413">
        <f>'Imp Refined NYC'!Q174</f>
        <v>15.287575633546313</v>
      </c>
      <c r="K363" s="413">
        <f>'Imp Refined NYC'!R174</f>
        <v>16.424727303234249</v>
      </c>
      <c r="L363" s="413">
        <f>'Imp Refined NYC'!S174</f>
        <v>17.646464910605893</v>
      </c>
      <c r="M363" s="413">
        <f>'Imp Refined NYC'!T174</f>
        <v>18.959080299611831</v>
      </c>
      <c r="N363" s="413">
        <f>'Imp Refined NYC'!U174</f>
        <v>20.369333326988031</v>
      </c>
      <c r="O363" s="413">
        <f>'Imp Refined NYC'!V174</f>
        <v>21.884486674938557</v>
      </c>
      <c r="P363" s="405"/>
      <c r="Q363" s="405">
        <f>'Imp Refined NYC'!AF174</f>
        <v>136978.31102955178</v>
      </c>
      <c r="R363" s="405">
        <f>'Imp Refined NYC'!AG174</f>
        <v>136978.31102955178</v>
      </c>
      <c r="S363" s="405">
        <f>'Imp Refined NYC'!AH174</f>
        <v>136978.31102955178</v>
      </c>
      <c r="T363" s="405">
        <f>'Imp Refined NYC'!AI174</f>
        <v>136978.31102955178</v>
      </c>
      <c r="U363" s="405"/>
      <c r="V363" s="405"/>
      <c r="W363" s="405"/>
      <c r="X363" s="405"/>
      <c r="Y363" s="405"/>
      <c r="Z363" s="405"/>
      <c r="AA363" s="413"/>
      <c r="AB363" s="415"/>
      <c r="AC363" s="415"/>
      <c r="AG363" s="415"/>
      <c r="AH363" s="405"/>
      <c r="AI363" s="415"/>
      <c r="AJ363" s="415">
        <v>1.0049999999999999</v>
      </c>
      <c r="AK363" s="415">
        <v>1.0049999999999999</v>
      </c>
      <c r="BC363" s="365"/>
      <c r="BD363" s="365"/>
      <c r="BE363" s="365"/>
      <c r="BF363" s="365"/>
      <c r="BG363" s="365"/>
    </row>
    <row r="364" spans="2:59">
      <c r="B364" s="376" t="str">
        <f>Technologies!B$547</f>
        <v>*R0,R1,R2,R3,R4,R5,R6</v>
      </c>
      <c r="C364" s="376" t="str">
        <f>'Imp Refined NYC'!E175</f>
        <v>IMPLPGP34</v>
      </c>
      <c r="D364" s="376" t="str">
        <f>'Imp Refined NYC'!F175</f>
        <v>Imported LPG, PADD 3, Step 4</v>
      </c>
      <c r="E364" s="415" t="str">
        <f>'Imp Refined NYC'!G175</f>
        <v>LPGP3</v>
      </c>
      <c r="F364" s="413">
        <f>'Imp Refined NYC'!M175</f>
        <v>13.972305189964885</v>
      </c>
      <c r="G364" s="413">
        <f>'Imp Refined NYC'!N175</f>
        <v>15.044635710330743</v>
      </c>
      <c r="H364" s="413">
        <f>'Imp Refined NYC'!O175</f>
        <v>14.901590239346971</v>
      </c>
      <c r="I364" s="413">
        <f>'Imp Refined NYC'!P175</f>
        <v>16.079862502666945</v>
      </c>
      <c r="J364" s="413">
        <f>'Imp Refined NYC'!Q175</f>
        <v>17.003528000577017</v>
      </c>
      <c r="K364" s="413">
        <f>'Imp Refined NYC'!R175</f>
        <v>18.268319143393192</v>
      </c>
      <c r="L364" s="413">
        <f>'Imp Refined NYC'!S175</f>
        <v>19.627190563837161</v>
      </c>
      <c r="M364" s="413">
        <f>'Imp Refined NYC'!T175</f>
        <v>21.087140333241724</v>
      </c>
      <c r="N364" s="413">
        <f>'Imp Refined NYC'!U175</f>
        <v>22.655687067772394</v>
      </c>
      <c r="O364" s="413">
        <f>'Imp Refined NYC'!V175</f>
        <v>24.340908648656143</v>
      </c>
      <c r="P364" s="405"/>
      <c r="Q364" s="405">
        <f>'Imp Refined NYC'!AF175</f>
        <v>273956.6220591045</v>
      </c>
      <c r="R364" s="405">
        <f>'Imp Refined NYC'!AG175</f>
        <v>273956.6220591045</v>
      </c>
      <c r="S364" s="405">
        <f>'Imp Refined NYC'!AH175</f>
        <v>273956.6220591045</v>
      </c>
      <c r="T364" s="405">
        <f>'Imp Refined NYC'!AI175</f>
        <v>273956.6220591045</v>
      </c>
      <c r="U364" s="405"/>
      <c r="V364" s="405"/>
      <c r="W364" s="405"/>
      <c r="X364" s="405"/>
      <c r="Y364" s="405"/>
      <c r="Z364" s="405"/>
      <c r="AA364" s="413"/>
      <c r="AB364" s="415"/>
      <c r="AC364" s="415"/>
      <c r="AG364" s="415"/>
      <c r="AH364" s="405"/>
      <c r="AI364" s="415"/>
      <c r="AJ364" s="415">
        <v>1.0049999999999999</v>
      </c>
      <c r="AK364" s="415">
        <v>1.0049999999999999</v>
      </c>
      <c r="BC364" s="365"/>
      <c r="BD364" s="365"/>
      <c r="BE364" s="365"/>
      <c r="BF364" s="365"/>
      <c r="BG364" s="365"/>
    </row>
    <row r="365" spans="2:59">
      <c r="B365" s="376" t="str">
        <f>Technologies!B$548</f>
        <v>*R0,R1,R2,R3,R4,R5,R6</v>
      </c>
      <c r="C365" s="376" t="str">
        <f>'Imp Refined NYC'!E176</f>
        <v>IMPLPGP35</v>
      </c>
      <c r="D365" s="376" t="str">
        <f>'Imp Refined NYC'!F176</f>
        <v>Imported LPG, PADD 3, Step 5</v>
      </c>
      <c r="E365" s="415" t="str">
        <f>'Imp Refined NYC'!G176</f>
        <v>LPGP3</v>
      </c>
      <c r="F365" s="413">
        <f>'Imp Refined NYC'!M176</f>
        <v>16.664217199040689</v>
      </c>
      <c r="G365" s="413">
        <f>'Imp Refined NYC'!N176</f>
        <v>17.943143507733915</v>
      </c>
      <c r="H365" s="413">
        <f>'Imp Refined NYC'!O176</f>
        <v>17.772538817569782</v>
      </c>
      <c r="I365" s="413">
        <f>'Imp Refined NYC'!P176</f>
        <v>19.177817663731219</v>
      </c>
      <c r="J365" s="413">
        <f>'Imp Refined NYC'!Q176</f>
        <v>20.279437064908372</v>
      </c>
      <c r="K365" s="413">
        <f>'Imp Refined NYC'!R176</f>
        <v>21.787903565514821</v>
      </c>
      <c r="L365" s="413">
        <f>'Imp Refined NYC'!S176</f>
        <v>23.408575901824143</v>
      </c>
      <c r="M365" s="413">
        <f>'Imp Refined NYC'!T176</f>
        <v>25.149800397444267</v>
      </c>
      <c r="N365" s="413">
        <f>'Imp Refined NYC'!U176</f>
        <v>27.020544209269836</v>
      </c>
      <c r="O365" s="413">
        <f>'Imp Refined NYC'!V176</f>
        <v>29.030441507571556</v>
      </c>
      <c r="P365" s="405"/>
      <c r="Q365" s="405">
        <f>'Imp Refined NYC'!AF176</f>
        <v>1095826.4882364152</v>
      </c>
      <c r="R365" s="405">
        <f>'Imp Refined NYC'!AG176</f>
        <v>1095826.4882364152</v>
      </c>
      <c r="S365" s="405">
        <f>'Imp Refined NYC'!AH176</f>
        <v>1095826.4882364152</v>
      </c>
      <c r="T365" s="405">
        <f>'Imp Refined NYC'!AI176</f>
        <v>1095826.4882364152</v>
      </c>
      <c r="U365" s="405"/>
      <c r="V365" s="405"/>
      <c r="W365" s="405"/>
      <c r="X365" s="405"/>
      <c r="Y365" s="405"/>
      <c r="Z365" s="405"/>
      <c r="AA365" s="413"/>
      <c r="AB365" s="415"/>
      <c r="AC365" s="415"/>
      <c r="AG365" s="415"/>
      <c r="AH365" s="405"/>
      <c r="AI365" s="415"/>
      <c r="AJ365" s="415">
        <v>1.0049999999999999</v>
      </c>
      <c r="AK365" s="415">
        <v>1.0049999999999999</v>
      </c>
      <c r="BC365" s="365"/>
      <c r="BD365" s="365"/>
      <c r="BE365" s="365"/>
      <c r="BF365" s="365"/>
      <c r="BG365" s="365"/>
    </row>
    <row r="366" spans="2:59">
      <c r="B366" s="376" t="str">
        <f>Technologies!B$549</f>
        <v>*R0,R1,R2,R3,R4,R5,R6</v>
      </c>
      <c r="C366" s="376" t="str">
        <f>'Imp Refined NYC'!E177</f>
        <v>IMPPFSP33</v>
      </c>
      <c r="D366" s="376" t="str">
        <f>'Imp Refined NYC'!F177</f>
        <v>Imported Petrochemical Feedstocks, PADD 3, Step 3</v>
      </c>
      <c r="E366" s="415" t="str">
        <f>'Imp Refined NYC'!G177</f>
        <v>PFSP3</v>
      </c>
      <c r="F366" s="413">
        <f>'Imp Refined NYC'!M177</f>
        <v>7.7982731206179858</v>
      </c>
      <c r="G366" s="413">
        <f>'Imp Refined NYC'!N177</f>
        <v>8.3967660793456069</v>
      </c>
      <c r="H366" s="413">
        <f>'Imp Refined NYC'!O177</f>
        <v>8.3169290276757035</v>
      </c>
      <c r="I366" s="413">
        <f>'Imp Refined NYC'!P177</f>
        <v>8.9745505722163408</v>
      </c>
      <c r="J366" s="413">
        <f>'Imp Refined NYC'!Q177</f>
        <v>9.4900700750373677</v>
      </c>
      <c r="K366" s="413">
        <f>'Imp Refined NYC'!R177</f>
        <v>10.195979847127299</v>
      </c>
      <c r="L366" s="413">
        <f>'Imp Refined NYC'!S177</f>
        <v>10.954398041430341</v>
      </c>
      <c r="M366" s="413">
        <f>'Imp Refined NYC'!T177</f>
        <v>11.769230446635531</v>
      </c>
      <c r="N366" s="413">
        <f>'Imp Refined NYC'!U177</f>
        <v>12.644673379782224</v>
      </c>
      <c r="O366" s="413">
        <f>'Imp Refined NYC'!V177</f>
        <v>13.585235296933142</v>
      </c>
      <c r="P366" s="405"/>
      <c r="Q366" s="405">
        <f>'Imp Refined NYC'!AF177</f>
        <v>219157.59574618516</v>
      </c>
      <c r="R366" s="405">
        <f>'Imp Refined NYC'!AG177</f>
        <v>219157.59574618516</v>
      </c>
      <c r="S366" s="405">
        <f>'Imp Refined NYC'!AH177</f>
        <v>219157.59574618516</v>
      </c>
      <c r="T366" s="405">
        <f>'Imp Refined NYC'!AI177</f>
        <v>219157.59574618516</v>
      </c>
      <c r="U366" s="405"/>
      <c r="V366" s="405"/>
      <c r="W366" s="405"/>
      <c r="X366" s="405"/>
      <c r="Y366" s="405"/>
      <c r="Z366" s="405"/>
      <c r="AA366" s="413"/>
      <c r="AB366" s="415"/>
      <c r="AC366" s="415"/>
      <c r="AG366" s="415"/>
      <c r="AH366" s="405"/>
      <c r="AI366" s="415"/>
      <c r="AJ366" s="415">
        <v>1.0049999999999999</v>
      </c>
      <c r="AK366" s="415">
        <v>1.0049999999999999</v>
      </c>
      <c r="BC366" s="365"/>
      <c r="BD366" s="365"/>
      <c r="BE366" s="365"/>
      <c r="BF366" s="365"/>
      <c r="BG366" s="365"/>
    </row>
    <row r="367" spans="2:59">
      <c r="B367" s="376" t="str">
        <f>Technologies!B$550</f>
        <v>*R0,R1,R2,R3,R4,R5,R6</v>
      </c>
      <c r="C367" s="376" t="str">
        <f>'Imp Refined NYC'!E178</f>
        <v>IMPPFSP31</v>
      </c>
      <c r="D367" s="376" t="str">
        <f>'Imp Refined NYC'!F178</f>
        <v>Imported Petrochemical Feedstocks, PADD 3, Step 1</v>
      </c>
      <c r="E367" s="415" t="str">
        <f>'Imp Refined NYC'!G178</f>
        <v>PFSP3</v>
      </c>
      <c r="F367" s="413">
        <f>'Imp Refined NYC'!M178</f>
        <v>7.4083594645870861</v>
      </c>
      <c r="G367" s="413">
        <f>'Imp Refined NYC'!N178</f>
        <v>7.976927775378325</v>
      </c>
      <c r="H367" s="413">
        <f>'Imp Refined NYC'!O178</f>
        <v>7.901082576291917</v>
      </c>
      <c r="I367" s="413">
        <f>'Imp Refined NYC'!P178</f>
        <v>8.5258230436055236</v>
      </c>
      <c r="J367" s="413">
        <f>'Imp Refined NYC'!Q178</f>
        <v>9.0155665712854987</v>
      </c>
      <c r="K367" s="413">
        <f>'Imp Refined NYC'!R178</f>
        <v>9.6861808547709334</v>
      </c>
      <c r="L367" s="413">
        <f>'Imp Refined NYC'!S178</f>
        <v>10.406678139358823</v>
      </c>
      <c r="M367" s="413">
        <f>'Imp Refined NYC'!T178</f>
        <v>11.180768924303752</v>
      </c>
      <c r="N367" s="413">
        <f>'Imp Refined NYC'!U178</f>
        <v>12.012439710793112</v>
      </c>
      <c r="O367" s="413">
        <f>'Imp Refined NYC'!V178</f>
        <v>12.905973532086485</v>
      </c>
      <c r="P367" s="405"/>
      <c r="Q367" s="405">
        <f>'Imp Refined NYC'!AF178</f>
        <v>1753260.7659694806</v>
      </c>
      <c r="R367" s="405">
        <f>'Imp Refined NYC'!AG178</f>
        <v>1753260.7659694806</v>
      </c>
      <c r="S367" s="405">
        <f>'Imp Refined NYC'!AH178</f>
        <v>1753260.7659694806</v>
      </c>
      <c r="T367" s="405">
        <f>'Imp Refined NYC'!AI178</f>
        <v>1753260.7659694806</v>
      </c>
      <c r="U367" s="405"/>
      <c r="V367" s="405"/>
      <c r="W367" s="405"/>
      <c r="X367" s="405"/>
      <c r="Y367" s="405"/>
      <c r="Z367" s="405"/>
      <c r="AA367" s="413"/>
      <c r="AB367" s="415"/>
      <c r="AC367" s="415"/>
      <c r="AG367" s="415"/>
      <c r="AH367" s="405"/>
      <c r="AI367" s="415"/>
      <c r="AJ367" s="415">
        <v>1.0049999999999999</v>
      </c>
      <c r="AK367" s="415">
        <v>1.0049999999999999</v>
      </c>
      <c r="BC367" s="365"/>
      <c r="BD367" s="365"/>
      <c r="BE367" s="365"/>
      <c r="BF367" s="365"/>
      <c r="BG367" s="365"/>
    </row>
    <row r="368" spans="2:59">
      <c r="B368" s="376" t="str">
        <f>Technologies!B$551</f>
        <v>*R0,R1,R2,R3,R4,R5,R6</v>
      </c>
      <c r="C368" s="376" t="str">
        <f>'Imp Refined NYC'!E179</f>
        <v>IMPPFSP32</v>
      </c>
      <c r="D368" s="376" t="str">
        <f>'Imp Refined NYC'!F179</f>
        <v>Imported Petrochemical Feedstocks, PADD 3, Step 2</v>
      </c>
      <c r="E368" s="415" t="str">
        <f>'Imp Refined NYC'!G179</f>
        <v>PFSP3</v>
      </c>
      <c r="F368" s="413">
        <f>'Imp Refined NYC'!M179</f>
        <v>7.6423076582056266</v>
      </c>
      <c r="G368" s="413">
        <f>'Imp Refined NYC'!N179</f>
        <v>8.2288307577586952</v>
      </c>
      <c r="H368" s="413">
        <f>'Imp Refined NYC'!O179</f>
        <v>8.1505904471221893</v>
      </c>
      <c r="I368" s="413">
        <f>'Imp Refined NYC'!P179</f>
        <v>8.7950595607720139</v>
      </c>
      <c r="J368" s="413">
        <f>'Imp Refined NYC'!Q179</f>
        <v>9.3002686735366211</v>
      </c>
      <c r="K368" s="413">
        <f>'Imp Refined NYC'!R179</f>
        <v>9.9920602501847551</v>
      </c>
      <c r="L368" s="413">
        <f>'Imp Refined NYC'!S179</f>
        <v>10.735310080601737</v>
      </c>
      <c r="M368" s="413">
        <f>'Imp Refined NYC'!T179</f>
        <v>11.533845837702822</v>
      </c>
      <c r="N368" s="413">
        <f>'Imp Refined NYC'!U179</f>
        <v>12.391779912186582</v>
      </c>
      <c r="O368" s="413">
        <f>'Imp Refined NYC'!V179</f>
        <v>13.313530590994482</v>
      </c>
      <c r="P368" s="405"/>
      <c r="Q368" s="405">
        <f>'Imp Refined NYC'!AF179</f>
        <v>219157.59574618493</v>
      </c>
      <c r="R368" s="405">
        <f>'Imp Refined NYC'!AG179</f>
        <v>219157.59574618493</v>
      </c>
      <c r="S368" s="405">
        <f>'Imp Refined NYC'!AH179</f>
        <v>219157.59574618493</v>
      </c>
      <c r="T368" s="405">
        <f>'Imp Refined NYC'!AI179</f>
        <v>219157.59574618493</v>
      </c>
      <c r="U368" s="405"/>
      <c r="V368" s="405"/>
      <c r="W368" s="405"/>
      <c r="X368" s="405"/>
      <c r="Y368" s="405"/>
      <c r="Z368" s="405"/>
      <c r="AA368" s="413"/>
      <c r="AB368" s="415"/>
      <c r="AC368" s="415"/>
      <c r="AG368" s="415"/>
      <c r="AH368" s="405"/>
      <c r="AI368" s="415"/>
      <c r="AJ368" s="415">
        <v>1.0049999999999999</v>
      </c>
      <c r="AK368" s="415">
        <v>1.0049999999999999</v>
      </c>
      <c r="BC368" s="365"/>
      <c r="BD368" s="365"/>
      <c r="BE368" s="365"/>
      <c r="BF368" s="365"/>
      <c r="BG368" s="365"/>
    </row>
    <row r="369" spans="2:59">
      <c r="B369" s="376" t="str">
        <f>Technologies!B$552</f>
        <v>*R0,R1,R2,R3,R4,R5,R6</v>
      </c>
      <c r="C369" s="376" t="str">
        <f>'Imp Refined NYC'!E180</f>
        <v>IMPPFSP34</v>
      </c>
      <c r="D369" s="376" t="str">
        <f>'Imp Refined NYC'!F180</f>
        <v>Imported Petrochemical Feedstocks, PADD 3, Step 4</v>
      </c>
      <c r="E369" s="415" t="str">
        <f>'Imp Refined NYC'!G180</f>
        <v>PFSP3</v>
      </c>
      <c r="F369" s="413">
        <f>'Imp Refined NYC'!M180</f>
        <v>8.5001177014736058</v>
      </c>
      <c r="G369" s="413">
        <f>'Imp Refined NYC'!N180</f>
        <v>9.1524750264867123</v>
      </c>
      <c r="H369" s="413">
        <f>'Imp Refined NYC'!O180</f>
        <v>9.0654526401665176</v>
      </c>
      <c r="I369" s="413">
        <f>'Imp Refined NYC'!P180</f>
        <v>9.7822601237158135</v>
      </c>
      <c r="J369" s="413">
        <f>'Imp Refined NYC'!Q180</f>
        <v>10.344176381790733</v>
      </c>
      <c r="K369" s="413">
        <f>'Imp Refined NYC'!R180</f>
        <v>11.113618033368759</v>
      </c>
      <c r="L369" s="413">
        <f>'Imp Refined NYC'!S180</f>
        <v>11.940293865159076</v>
      </c>
      <c r="M369" s="413">
        <f>'Imp Refined NYC'!T180</f>
        <v>12.828461186832733</v>
      </c>
      <c r="N369" s="413">
        <f>'Imp Refined NYC'!U180</f>
        <v>13.782693983962631</v>
      </c>
      <c r="O369" s="413">
        <f>'Imp Refined NYC'!V180</f>
        <v>14.807906473657132</v>
      </c>
      <c r="P369" s="405"/>
      <c r="Q369" s="405">
        <f>'Imp Refined NYC'!AF180</f>
        <v>438315.1914923708</v>
      </c>
      <c r="R369" s="405">
        <f>'Imp Refined NYC'!AG180</f>
        <v>438315.1914923708</v>
      </c>
      <c r="S369" s="405">
        <f>'Imp Refined NYC'!AH180</f>
        <v>438315.1914923708</v>
      </c>
      <c r="T369" s="405">
        <f>'Imp Refined NYC'!AI180</f>
        <v>438315.1914923708</v>
      </c>
      <c r="U369" s="405"/>
      <c r="V369" s="405"/>
      <c r="W369" s="405"/>
      <c r="X369" s="405"/>
      <c r="Y369" s="405"/>
      <c r="Z369" s="405"/>
      <c r="AA369" s="413"/>
      <c r="AB369" s="415"/>
      <c r="AC369" s="415"/>
      <c r="AG369" s="415"/>
      <c r="AH369" s="405"/>
      <c r="AI369" s="415"/>
      <c r="AJ369" s="415">
        <v>1.0049999999999999</v>
      </c>
      <c r="AK369" s="415">
        <v>1.0049999999999999</v>
      </c>
      <c r="BC369" s="365"/>
      <c r="BD369" s="365"/>
      <c r="BE369" s="365"/>
      <c r="BF369" s="365"/>
      <c r="BG369" s="365"/>
    </row>
    <row r="370" spans="2:59">
      <c r="B370" s="376" t="str">
        <f>Technologies!B$553</f>
        <v>*R0,R1,R2,R3,R4,R5,R6</v>
      </c>
      <c r="C370" s="376" t="str">
        <f>'Imp Refined NYC'!E181</f>
        <v>IMPPFSP35</v>
      </c>
      <c r="D370" s="376" t="str">
        <f>'Imp Refined NYC'!F181</f>
        <v>Imported Petrochemical Feedstocks, PADD 3, Step 5</v>
      </c>
      <c r="E370" s="415" t="str">
        <f>'Imp Refined NYC'!G181</f>
        <v>PFSP3</v>
      </c>
      <c r="F370" s="413">
        <f>'Imp Refined NYC'!M181</f>
        <v>10.137755056803382</v>
      </c>
      <c r="G370" s="413">
        <f>'Imp Refined NYC'!N181</f>
        <v>10.915795903149288</v>
      </c>
      <c r="H370" s="413">
        <f>'Imp Refined NYC'!O181</f>
        <v>10.812007735978414</v>
      </c>
      <c r="I370" s="413">
        <f>'Imp Refined NYC'!P181</f>
        <v>11.666915743881242</v>
      </c>
      <c r="J370" s="413">
        <f>'Imp Refined NYC'!Q181</f>
        <v>12.337091097548578</v>
      </c>
      <c r="K370" s="413">
        <f>'Imp Refined NYC'!R181</f>
        <v>13.25477380126549</v>
      </c>
      <c r="L370" s="413">
        <f>'Imp Refined NYC'!S181</f>
        <v>14.240717453859444</v>
      </c>
      <c r="M370" s="413">
        <f>'Imp Refined NYC'!T181</f>
        <v>15.29999958062619</v>
      </c>
      <c r="N370" s="413">
        <f>'Imp Refined NYC'!U181</f>
        <v>16.438075393716893</v>
      </c>
      <c r="O370" s="413">
        <f>'Imp Refined NYC'!V181</f>
        <v>17.660805886013087</v>
      </c>
      <c r="P370" s="405"/>
      <c r="Q370" s="405">
        <f>'Imp Refined NYC'!AF181</f>
        <v>1753260.7659694799</v>
      </c>
      <c r="R370" s="405">
        <f>'Imp Refined NYC'!AG181</f>
        <v>1753260.7659694799</v>
      </c>
      <c r="S370" s="405">
        <f>'Imp Refined NYC'!AH181</f>
        <v>1753260.7659694799</v>
      </c>
      <c r="T370" s="405">
        <f>'Imp Refined NYC'!AI181</f>
        <v>1753260.7659694799</v>
      </c>
      <c r="U370" s="405"/>
      <c r="V370" s="405"/>
      <c r="W370" s="405"/>
      <c r="X370" s="405"/>
      <c r="Y370" s="405"/>
      <c r="Z370" s="405"/>
      <c r="AA370" s="413"/>
      <c r="AB370" s="415"/>
      <c r="AC370" s="415"/>
      <c r="AG370" s="415"/>
      <c r="AH370" s="405"/>
      <c r="AI370" s="415"/>
      <c r="AJ370" s="415">
        <v>1.0049999999999999</v>
      </c>
      <c r="AK370" s="415">
        <v>1.0049999999999999</v>
      </c>
      <c r="BC370" s="365"/>
      <c r="BD370" s="365"/>
      <c r="BE370" s="365"/>
      <c r="BF370" s="365"/>
      <c r="BG370" s="365"/>
    </row>
    <row r="371" spans="2:59">
      <c r="B371" s="376" t="str">
        <f>Technologies!B$554</f>
        <v>*R0,R1,R2,R3,R4,R5,R6</v>
      </c>
      <c r="C371" s="376" t="str">
        <f>'Imp Refined NYC'!E182</f>
        <v>IMPKERP33</v>
      </c>
      <c r="D371" s="376" t="str">
        <f>'Imp Refined NYC'!F182</f>
        <v>Imported Kerosene and Other Refined Products, PADD 3, Step 3</v>
      </c>
      <c r="E371" s="415" t="str">
        <f>'Imp Refined NYC'!G182</f>
        <v>KERP3</v>
      </c>
      <c r="F371" s="413">
        <f>'Imp Refined NYC'!M182</f>
        <v>10.451256089757276</v>
      </c>
      <c r="G371" s="413">
        <f>'Imp Refined NYC'!N182</f>
        <v>11.253357155317699</v>
      </c>
      <c r="H371" s="413">
        <f>'Imp Refined NYC'!O182</f>
        <v>11.146359431648946</v>
      </c>
      <c r="I371" s="413">
        <f>'Imp Refined NYC'!P182</f>
        <v>12.027704707177238</v>
      </c>
      <c r="J371" s="413">
        <f>'Imp Refined NYC'!Q182</f>
        <v>12.718604635906578</v>
      </c>
      <c r="K371" s="413">
        <f>'Imp Refined NYC'!R182</f>
        <v>13.664665858726307</v>
      </c>
      <c r="L371" s="413">
        <f>'Imp Refined NYC'!S182</f>
        <v>14.681098939383046</v>
      </c>
      <c r="M371" s="413">
        <f>'Imp Refined NYC'!T182</f>
        <v>15.773138421113515</v>
      </c>
      <c r="N371" s="413">
        <f>'Imp Refined NYC'!U182</f>
        <v>16.946408213638978</v>
      </c>
      <c r="O371" s="413">
        <f>'Imp Refined NYC'!V182</f>
        <v>18.206950555818231</v>
      </c>
      <c r="P371" s="405"/>
      <c r="Q371" s="405">
        <f>'Imp Refined NYC'!AF182</f>
        <v>218348.8961308857</v>
      </c>
      <c r="R371" s="405">
        <f>'Imp Refined NYC'!AG182</f>
        <v>218348.8961308857</v>
      </c>
      <c r="S371" s="405">
        <f>'Imp Refined NYC'!AH182</f>
        <v>218348.8961308857</v>
      </c>
      <c r="T371" s="405">
        <f>'Imp Refined NYC'!AI182</f>
        <v>218348.8961308857</v>
      </c>
      <c r="U371" s="405"/>
      <c r="V371" s="405"/>
      <c r="W371" s="405"/>
      <c r="X371" s="405"/>
      <c r="Y371" s="405"/>
      <c r="Z371" s="405"/>
      <c r="AA371" s="413"/>
      <c r="AB371" s="415"/>
      <c r="AC371" s="415"/>
      <c r="AG371" s="415"/>
      <c r="AH371" s="405"/>
      <c r="AI371" s="415"/>
      <c r="AJ371" s="415">
        <v>1.0049999999999999</v>
      </c>
      <c r="AK371" s="415">
        <v>1.0049999999999999</v>
      </c>
      <c r="BC371" s="365"/>
      <c r="BD371" s="365"/>
      <c r="BE371" s="365"/>
      <c r="BF371" s="365"/>
      <c r="BG371" s="365"/>
    </row>
    <row r="372" spans="2:59">
      <c r="B372" s="376" t="str">
        <f>Technologies!B$555</f>
        <v>*R0,R1,R2,R3,R4,R5,R6</v>
      </c>
      <c r="C372" s="376" t="str">
        <f>'Imp Refined NYC'!E183</f>
        <v>IMPKERP31</v>
      </c>
      <c r="D372" s="376" t="str">
        <f>'Imp Refined NYC'!F183</f>
        <v>Imported Kerosene and Other Refined Products, PADD 3, Step 1</v>
      </c>
      <c r="E372" s="415" t="str">
        <f>'Imp Refined NYC'!G183</f>
        <v>KERP3</v>
      </c>
      <c r="F372" s="413">
        <f>'Imp Refined NYC'!M183</f>
        <v>9.9286932852694125</v>
      </c>
      <c r="G372" s="413">
        <f>'Imp Refined NYC'!N183</f>
        <v>10.690689297551815</v>
      </c>
      <c r="H372" s="413">
        <f>'Imp Refined NYC'!O183</f>
        <v>10.5890414600665</v>
      </c>
      <c r="I372" s="413">
        <f>'Imp Refined NYC'!P183</f>
        <v>11.426319471818378</v>
      </c>
      <c r="J372" s="413">
        <f>'Imp Refined NYC'!Q183</f>
        <v>12.082674404111252</v>
      </c>
      <c r="K372" s="413">
        <f>'Imp Refined NYC'!R183</f>
        <v>12.981432565789994</v>
      </c>
      <c r="L372" s="413">
        <f>'Imp Refined NYC'!S183</f>
        <v>13.947043992413898</v>
      </c>
      <c r="M372" s="413">
        <f>'Imp Refined NYC'!T183</f>
        <v>14.984481500057843</v>
      </c>
      <c r="N372" s="413">
        <f>'Imp Refined NYC'!U183</f>
        <v>16.099087802957033</v>
      </c>
      <c r="O372" s="413">
        <f>'Imp Refined NYC'!V183</f>
        <v>17.296603028027324</v>
      </c>
      <c r="P372" s="405"/>
      <c r="Q372" s="405">
        <f>'Imp Refined NYC'!AF183</f>
        <v>1746791.1690470844</v>
      </c>
      <c r="R372" s="405">
        <f>'Imp Refined NYC'!AG183</f>
        <v>1746791.1690470844</v>
      </c>
      <c r="S372" s="405">
        <f>'Imp Refined NYC'!AH183</f>
        <v>1746791.1690470844</v>
      </c>
      <c r="T372" s="405">
        <f>'Imp Refined NYC'!AI183</f>
        <v>1746791.1690470844</v>
      </c>
      <c r="U372" s="405"/>
      <c r="V372" s="405"/>
      <c r="W372" s="405"/>
      <c r="X372" s="405"/>
      <c r="Y372" s="405"/>
      <c r="Z372" s="405"/>
      <c r="AA372" s="413"/>
      <c r="AB372" s="415"/>
      <c r="AC372" s="415"/>
      <c r="AG372" s="415"/>
      <c r="AH372" s="405"/>
      <c r="AI372" s="415"/>
      <c r="AJ372" s="415">
        <v>1.0049999999999999</v>
      </c>
      <c r="AK372" s="415">
        <v>1.0049999999999999</v>
      </c>
      <c r="BC372" s="365"/>
      <c r="BD372" s="365"/>
      <c r="BE372" s="365"/>
      <c r="BF372" s="365"/>
      <c r="BG372" s="365"/>
    </row>
    <row r="373" spans="2:59">
      <c r="B373" s="376" t="str">
        <f>Technologies!B$556</f>
        <v>*R0,R1,R2,R3,R4,R5,R6</v>
      </c>
      <c r="C373" s="376" t="str">
        <f>'Imp Refined NYC'!E184</f>
        <v>IMPKERP32</v>
      </c>
      <c r="D373" s="376" t="str">
        <f>'Imp Refined NYC'!F184</f>
        <v>Imported Kerosene and Other Refined Products, PADD 3, Step 2</v>
      </c>
      <c r="E373" s="415" t="str">
        <f>'Imp Refined NYC'!G184</f>
        <v>KERP3</v>
      </c>
      <c r="F373" s="413">
        <f>'Imp Refined NYC'!M184</f>
        <v>10.242230967962131</v>
      </c>
      <c r="G373" s="413">
        <f>'Imp Refined NYC'!N184</f>
        <v>11.028290012211345</v>
      </c>
      <c r="H373" s="413">
        <f>'Imp Refined NYC'!O184</f>
        <v>10.923432243015966</v>
      </c>
      <c r="I373" s="413">
        <f>'Imp Refined NYC'!P184</f>
        <v>11.787150613033692</v>
      </c>
      <c r="J373" s="413">
        <f>'Imp Refined NYC'!Q184</f>
        <v>12.464232543188446</v>
      </c>
      <c r="K373" s="413">
        <f>'Imp Refined NYC'!R184</f>
        <v>13.39137254155178</v>
      </c>
      <c r="L373" s="413">
        <f>'Imp Refined NYC'!S184</f>
        <v>14.387476960595384</v>
      </c>
      <c r="M373" s="413">
        <f>'Imp Refined NYC'!T184</f>
        <v>15.457675652691243</v>
      </c>
      <c r="N373" s="413">
        <f>'Imp Refined NYC'!U184</f>
        <v>16.607480049366195</v>
      </c>
      <c r="O373" s="413">
        <f>'Imp Refined NYC'!V184</f>
        <v>17.842811544701863</v>
      </c>
      <c r="P373" s="405"/>
      <c r="Q373" s="405">
        <f>'Imp Refined NYC'!AF184</f>
        <v>218348.896130885</v>
      </c>
      <c r="R373" s="405">
        <f>'Imp Refined NYC'!AG184</f>
        <v>218348.896130885</v>
      </c>
      <c r="S373" s="405">
        <f>'Imp Refined NYC'!AH184</f>
        <v>218348.896130885</v>
      </c>
      <c r="T373" s="405">
        <f>'Imp Refined NYC'!AI184</f>
        <v>218348.896130885</v>
      </c>
      <c r="U373" s="405"/>
      <c r="V373" s="405"/>
      <c r="W373" s="405"/>
      <c r="X373" s="405"/>
      <c r="Y373" s="405"/>
      <c r="Z373" s="405"/>
      <c r="AA373" s="413"/>
      <c r="AB373" s="415"/>
      <c r="AC373" s="415"/>
      <c r="AG373" s="415"/>
      <c r="AH373" s="405"/>
      <c r="AI373" s="415"/>
      <c r="AJ373" s="415">
        <v>1.0049999999999999</v>
      </c>
      <c r="AK373" s="415">
        <v>1.0049999999999999</v>
      </c>
      <c r="BC373" s="365"/>
      <c r="BD373" s="365"/>
      <c r="BE373" s="365"/>
      <c r="BF373" s="365"/>
      <c r="BG373" s="365"/>
    </row>
    <row r="374" spans="2:59">
      <c r="B374" s="376" t="str">
        <f>Technologies!B$557</f>
        <v>*R0,R1,R2,R3,R4,R5,R6</v>
      </c>
      <c r="C374" s="376" t="str">
        <f>'Imp Refined NYC'!E185</f>
        <v>IMPKERP34</v>
      </c>
      <c r="D374" s="376" t="str">
        <f>'Imp Refined NYC'!F185</f>
        <v>Imported Kerosene and Other Refined Products, PADD 3, Step 4</v>
      </c>
      <c r="E374" s="415" t="str">
        <f>'Imp Refined NYC'!G185</f>
        <v>KERP3</v>
      </c>
      <c r="F374" s="413">
        <f>'Imp Refined NYC'!M185</f>
        <v>11.391869137835432</v>
      </c>
      <c r="G374" s="413">
        <f>'Imp Refined NYC'!N185</f>
        <v>12.266159299296293</v>
      </c>
      <c r="H374" s="413">
        <f>'Imp Refined NYC'!O185</f>
        <v>12.149531780497352</v>
      </c>
      <c r="I374" s="413">
        <f>'Imp Refined NYC'!P185</f>
        <v>13.110198130823189</v>
      </c>
      <c r="J374" s="413">
        <f>'Imp Refined NYC'!Q185</f>
        <v>13.863279053138172</v>
      </c>
      <c r="K374" s="413">
        <f>'Imp Refined NYC'!R185</f>
        <v>14.894485786011677</v>
      </c>
      <c r="L374" s="413">
        <f>'Imp Refined NYC'!S185</f>
        <v>16.002397843927522</v>
      </c>
      <c r="M374" s="413">
        <f>'Imp Refined NYC'!T185</f>
        <v>17.192720879013731</v>
      </c>
      <c r="N374" s="413">
        <f>'Imp Refined NYC'!U185</f>
        <v>18.471584952866486</v>
      </c>
      <c r="O374" s="413">
        <f>'Imp Refined NYC'!V185</f>
        <v>19.845576105841872</v>
      </c>
      <c r="P374" s="405"/>
      <c r="Q374" s="405">
        <f>'Imp Refined NYC'!AF185</f>
        <v>436697.79226177093</v>
      </c>
      <c r="R374" s="405">
        <f>'Imp Refined NYC'!AG185</f>
        <v>436697.79226177093</v>
      </c>
      <c r="S374" s="405">
        <f>'Imp Refined NYC'!AH185</f>
        <v>436697.79226177093</v>
      </c>
      <c r="T374" s="405">
        <f>'Imp Refined NYC'!AI185</f>
        <v>436697.79226177093</v>
      </c>
      <c r="U374" s="405"/>
      <c r="V374" s="405"/>
      <c r="W374" s="405"/>
      <c r="X374" s="405"/>
      <c r="Y374" s="405"/>
      <c r="Z374" s="405"/>
      <c r="AA374" s="413"/>
      <c r="AB374" s="415"/>
      <c r="AC374" s="415"/>
      <c r="AG374" s="415"/>
      <c r="AH374" s="405"/>
      <c r="AI374" s="415"/>
      <c r="AJ374" s="415">
        <v>1.0049999999999999</v>
      </c>
      <c r="AK374" s="415">
        <v>1.0049999999999999</v>
      </c>
      <c r="BC374" s="365"/>
      <c r="BD374" s="365"/>
      <c r="BE374" s="365"/>
      <c r="BF374" s="365"/>
      <c r="BG374" s="365"/>
    </row>
    <row r="375" spans="2:59">
      <c r="B375" s="376" t="str">
        <f>Technologies!B$558</f>
        <v>*R0,R1,R2,R3,R4,R5,R6</v>
      </c>
      <c r="C375" s="376" t="str">
        <f>'Imp Refined NYC'!E186</f>
        <v>IMPKERP35</v>
      </c>
      <c r="D375" s="376" t="str">
        <f>'Imp Refined NYC'!F186</f>
        <v>Imported Kerosene and Other Refined Products, PADD 3, Step 5</v>
      </c>
      <c r="E375" s="415" t="str">
        <f>'Imp Refined NYC'!G186</f>
        <v>KERP3</v>
      </c>
      <c r="F375" s="413">
        <f>'Imp Refined NYC'!M186</f>
        <v>13.586632916684458</v>
      </c>
      <c r="G375" s="413">
        <f>'Imp Refined NYC'!N186</f>
        <v>14.629364301913007</v>
      </c>
      <c r="H375" s="413">
        <f>'Imp Refined NYC'!O186</f>
        <v>14.490267261143629</v>
      </c>
      <c r="I375" s="413">
        <f>'Imp Refined NYC'!P186</f>
        <v>15.636016119330408</v>
      </c>
      <c r="J375" s="413">
        <f>'Imp Refined NYC'!Q186</f>
        <v>16.534186026678551</v>
      </c>
      <c r="K375" s="413">
        <f>'Imp Refined NYC'!R186</f>
        <v>17.764065616344197</v>
      </c>
      <c r="L375" s="413">
        <f>'Imp Refined NYC'!S186</f>
        <v>19.085428621197959</v>
      </c>
      <c r="M375" s="413">
        <f>'Imp Refined NYC'!T186</f>
        <v>20.505079947447566</v>
      </c>
      <c r="N375" s="413">
        <f>'Imp Refined NYC'!U186</f>
        <v>22.030330677730667</v>
      </c>
      <c r="O375" s="413">
        <f>'Imp Refined NYC'!V186</f>
        <v>23.669035722563695</v>
      </c>
      <c r="P375" s="405"/>
      <c r="Q375" s="405">
        <f>'Imp Refined NYC'!AF186</f>
        <v>1746791.1690470842</v>
      </c>
      <c r="R375" s="405">
        <f>'Imp Refined NYC'!AG186</f>
        <v>1746791.1690470842</v>
      </c>
      <c r="S375" s="405">
        <f>'Imp Refined NYC'!AH186</f>
        <v>1746791.1690470842</v>
      </c>
      <c r="T375" s="405">
        <f>'Imp Refined NYC'!AI186</f>
        <v>1746791.1690470842</v>
      </c>
      <c r="U375" s="405"/>
      <c r="V375" s="405"/>
      <c r="W375" s="405"/>
      <c r="X375" s="405"/>
      <c r="Y375" s="405"/>
      <c r="Z375" s="405"/>
      <c r="AA375" s="413"/>
      <c r="AB375" s="415"/>
      <c r="AC375" s="415"/>
      <c r="AG375" s="415"/>
      <c r="AH375" s="405"/>
      <c r="AI375" s="415"/>
      <c r="AJ375" s="415">
        <v>1.0049999999999999</v>
      </c>
      <c r="AK375" s="415">
        <v>1.0049999999999999</v>
      </c>
      <c r="BC375" s="365"/>
      <c r="BD375" s="365"/>
      <c r="BE375" s="365"/>
      <c r="BF375" s="365"/>
      <c r="BG375" s="365"/>
    </row>
    <row r="376" spans="2:59">
      <c r="B376" s="376" t="str">
        <f>Technologies!B$559</f>
        <v>*R0,R1,R2,R3,R4,R5,R6</v>
      </c>
      <c r="C376" s="376" t="str">
        <f>'Imp Refined NYC'!E187</f>
        <v>IMPMTHP33</v>
      </c>
      <c r="D376" s="376" t="str">
        <f>'Imp Refined NYC'!F187</f>
        <v>Imported Methanol, PADD 3, Step 3</v>
      </c>
      <c r="E376" s="415" t="str">
        <f>'Imp Refined NYC'!G187</f>
        <v>MTHP3</v>
      </c>
      <c r="F376" s="413">
        <f>'Imp Refined NYC'!M187</f>
        <v>27.071956968583827</v>
      </c>
      <c r="G376" s="413">
        <f>'Imp Refined NYC'!N187</f>
        <v>29.149644601995487</v>
      </c>
      <c r="H376" s="413">
        <f>'Imp Refined NYC'!O187</f>
        <v>28.872487698938087</v>
      </c>
      <c r="I376" s="413">
        <f>'Imp Refined NYC'!P187</f>
        <v>31.155442127444555</v>
      </c>
      <c r="J376" s="413">
        <f>'Imp Refined NYC'!Q187</f>
        <v>32.945084729206954</v>
      </c>
      <c r="K376" s="413">
        <f>'Imp Refined NYC'!R187</f>
        <v>35.395673299027017</v>
      </c>
      <c r="L376" s="413">
        <f>'Imp Refined NYC'!S187</f>
        <v>38.028546552219247</v>
      </c>
      <c r="M376" s="413">
        <f>'Imp Refined NYC'!T187</f>
        <v>40.85726356034764</v>
      </c>
      <c r="N376" s="413">
        <f>'Imp Refined NYC'!U187</f>
        <v>43.89639197352637</v>
      </c>
      <c r="O376" s="413">
        <f>'Imp Refined NYC'!V187</f>
        <v>47.16158304256917</v>
      </c>
      <c r="P376" s="405"/>
      <c r="Q376" s="405">
        <f>'Imp Refined NYC'!AF187</f>
        <v>105777.90968118445</v>
      </c>
      <c r="R376" s="405">
        <f>'Imp Refined NYC'!AG187</f>
        <v>105777.90968118445</v>
      </c>
      <c r="S376" s="405">
        <f>'Imp Refined NYC'!AH187</f>
        <v>105777.90968118445</v>
      </c>
      <c r="T376" s="405">
        <f>'Imp Refined NYC'!AI187</f>
        <v>105777.90968118445</v>
      </c>
      <c r="U376" s="405"/>
      <c r="V376" s="405"/>
      <c r="W376" s="405"/>
      <c r="X376" s="405"/>
      <c r="Y376" s="405"/>
      <c r="Z376" s="405"/>
      <c r="AA376" s="413"/>
      <c r="AB376" s="415"/>
      <c r="AC376" s="415"/>
      <c r="AG376" s="415"/>
      <c r="AH376" s="405"/>
      <c r="AI376" s="415"/>
      <c r="AJ376" s="415">
        <v>1.0049999999999999</v>
      </c>
      <c r="AK376" s="415">
        <v>1.0049999999999999</v>
      </c>
      <c r="BC376" s="365"/>
      <c r="BD376" s="365"/>
      <c r="BE376" s="365"/>
      <c r="BF376" s="365"/>
      <c r="BG376" s="365"/>
    </row>
    <row r="377" spans="2:59">
      <c r="B377" s="376" t="str">
        <f>Technologies!B$560</f>
        <v>*R0,R1,R2,R3,R4,R5,R6</v>
      </c>
      <c r="C377" s="376" t="str">
        <f>'Imp Refined NYC'!E188</f>
        <v>IMPMTHP31</v>
      </c>
      <c r="D377" s="376" t="str">
        <f>'Imp Refined NYC'!F188</f>
        <v>Imported Methanol, PADD 3, Step 1</v>
      </c>
      <c r="E377" s="415" t="str">
        <f>'Imp Refined NYC'!G188</f>
        <v>MTHP3</v>
      </c>
      <c r="F377" s="413">
        <f>'Imp Refined NYC'!M188</f>
        <v>25.718359120154631</v>
      </c>
      <c r="G377" s="413">
        <f>'Imp Refined NYC'!N188</f>
        <v>27.692162371895709</v>
      </c>
      <c r="H377" s="413">
        <f>'Imp Refined NYC'!O188</f>
        <v>27.428863313991179</v>
      </c>
      <c r="I377" s="413">
        <f>'Imp Refined NYC'!P188</f>
        <v>29.597670021072325</v>
      </c>
      <c r="J377" s="413">
        <f>'Imp Refined NYC'!Q188</f>
        <v>31.297830492746606</v>
      </c>
      <c r="K377" s="413">
        <f>'Imp Refined NYC'!R188</f>
        <v>33.625889634075662</v>
      </c>
      <c r="L377" s="413">
        <f>'Imp Refined NYC'!S188</f>
        <v>36.127119224608279</v>
      </c>
      <c r="M377" s="413">
        <f>'Imp Refined NYC'!T188</f>
        <v>38.814400382330248</v>
      </c>
      <c r="N377" s="413">
        <f>'Imp Refined NYC'!U188</f>
        <v>41.701572374850045</v>
      </c>
      <c r="O377" s="413">
        <f>'Imp Refined NYC'!V188</f>
        <v>44.803503890440702</v>
      </c>
      <c r="P377" s="405"/>
      <c r="Q377" s="405">
        <f>'Imp Refined NYC'!AF188</f>
        <v>846223.27744947642</v>
      </c>
      <c r="R377" s="405">
        <f>'Imp Refined NYC'!AG188</f>
        <v>846223.27744947642</v>
      </c>
      <c r="S377" s="405">
        <f>'Imp Refined NYC'!AH188</f>
        <v>846223.27744947642</v>
      </c>
      <c r="T377" s="405">
        <f>'Imp Refined NYC'!AI188</f>
        <v>846223.27744947642</v>
      </c>
      <c r="U377" s="405"/>
      <c r="V377" s="405"/>
      <c r="W377" s="405"/>
      <c r="X377" s="405"/>
      <c r="Y377" s="405"/>
      <c r="Z377" s="405"/>
      <c r="AA377" s="413"/>
      <c r="AB377" s="415"/>
      <c r="AC377" s="415"/>
      <c r="AG377" s="415"/>
      <c r="AH377" s="405"/>
      <c r="AI377" s="415"/>
      <c r="AJ377" s="415">
        <v>1.0049999999999999</v>
      </c>
      <c r="AK377" s="415">
        <v>1.0049999999999999</v>
      </c>
      <c r="BC377" s="365"/>
      <c r="BD377" s="365"/>
      <c r="BE377" s="365"/>
      <c r="BF377" s="365"/>
      <c r="BG377" s="365"/>
    </row>
    <row r="378" spans="2:59">
      <c r="B378" s="376" t="str">
        <f>Technologies!B$561</f>
        <v>*R0,R1,R2,R3,R4,R5,R6</v>
      </c>
      <c r="C378" s="376" t="str">
        <f>'Imp Refined NYC'!E189</f>
        <v>IMPMTHP32</v>
      </c>
      <c r="D378" s="376" t="str">
        <f>'Imp Refined NYC'!F189</f>
        <v>Imported Methanol, PADD 3, Step 2</v>
      </c>
      <c r="E378" s="415" t="str">
        <f>'Imp Refined NYC'!G189</f>
        <v>MTHP3</v>
      </c>
      <c r="F378" s="413">
        <f>'Imp Refined NYC'!M189</f>
        <v>26.530517829212151</v>
      </c>
      <c r="G378" s="413">
        <f>'Imp Refined NYC'!N189</f>
        <v>28.566651709955579</v>
      </c>
      <c r="H378" s="413">
        <f>'Imp Refined NYC'!O189</f>
        <v>28.295037944959329</v>
      </c>
      <c r="I378" s="413">
        <f>'Imp Refined NYC'!P189</f>
        <v>30.532333284895667</v>
      </c>
      <c r="J378" s="413">
        <f>'Imp Refined NYC'!Q189</f>
        <v>32.286183034622823</v>
      </c>
      <c r="K378" s="413">
        <f>'Imp Refined NYC'!R189</f>
        <v>34.687759833046485</v>
      </c>
      <c r="L378" s="413">
        <f>'Imp Refined NYC'!S189</f>
        <v>37.26797562117487</v>
      </c>
      <c r="M378" s="413">
        <f>'Imp Refined NYC'!T189</f>
        <v>40.040118289140693</v>
      </c>
      <c r="N378" s="413">
        <f>'Imp Refined NYC'!U189</f>
        <v>43.018464134055854</v>
      </c>
      <c r="O378" s="413">
        <f>'Imp Refined NYC'!V189</f>
        <v>46.218351381717795</v>
      </c>
      <c r="P378" s="405"/>
      <c r="Q378" s="405">
        <f>'Imp Refined NYC'!AF189</f>
        <v>105777.90968118433</v>
      </c>
      <c r="R378" s="405">
        <f>'Imp Refined NYC'!AG189</f>
        <v>105777.90968118433</v>
      </c>
      <c r="S378" s="405">
        <f>'Imp Refined NYC'!AH189</f>
        <v>105777.90968118433</v>
      </c>
      <c r="T378" s="405">
        <f>'Imp Refined NYC'!AI189</f>
        <v>105777.90968118433</v>
      </c>
      <c r="U378" s="405"/>
      <c r="V378" s="405"/>
      <c r="W378" s="405"/>
      <c r="X378" s="405"/>
      <c r="Y378" s="405"/>
      <c r="Z378" s="405"/>
      <c r="AA378" s="413"/>
      <c r="AB378" s="415"/>
      <c r="AC378" s="415"/>
      <c r="AG378" s="415"/>
      <c r="AH378" s="405"/>
      <c r="AI378" s="415"/>
      <c r="AJ378" s="415">
        <v>1.0049999999999999</v>
      </c>
      <c r="AK378" s="415">
        <v>1.0049999999999999</v>
      </c>
      <c r="BC378" s="365"/>
      <c r="BD378" s="365"/>
      <c r="BE378" s="365"/>
      <c r="BF378" s="365"/>
      <c r="BG378" s="365"/>
    </row>
    <row r="379" spans="2:59">
      <c r="B379" s="376" t="str">
        <f>Technologies!B$562</f>
        <v>*R0,R1,R2,R3,R4,R5,R6</v>
      </c>
      <c r="C379" s="376" t="str">
        <f>'Imp Refined NYC'!E190</f>
        <v>IMPMTHP34</v>
      </c>
      <c r="D379" s="376" t="str">
        <f>'Imp Refined NYC'!F190</f>
        <v>Imported Methanol, PADD 3, Step 4</v>
      </c>
      <c r="E379" s="415" t="str">
        <f>'Imp Refined NYC'!G190</f>
        <v>MTHP3</v>
      </c>
      <c r="F379" s="413">
        <f>'Imp Refined NYC'!M190</f>
        <v>29.508433095756374</v>
      </c>
      <c r="G379" s="413">
        <f>'Imp Refined NYC'!N190</f>
        <v>31.773112616175084</v>
      </c>
      <c r="H379" s="413">
        <f>'Imp Refined NYC'!O190</f>
        <v>31.471011591842519</v>
      </c>
      <c r="I379" s="413">
        <f>'Imp Refined NYC'!P190</f>
        <v>33.959431918914568</v>
      </c>
      <c r="J379" s="413">
        <f>'Imp Refined NYC'!Q190</f>
        <v>35.910142354835585</v>
      </c>
      <c r="K379" s="413">
        <f>'Imp Refined NYC'!R190</f>
        <v>38.58128389593945</v>
      </c>
      <c r="L379" s="413">
        <f>'Imp Refined NYC'!S190</f>
        <v>41.451115741918983</v>
      </c>
      <c r="M379" s="413">
        <f>'Imp Refined NYC'!T190</f>
        <v>44.534417280778925</v>
      </c>
      <c r="N379" s="413">
        <f>'Imp Refined NYC'!U190</f>
        <v>47.847067251143741</v>
      </c>
      <c r="O379" s="413">
        <f>'Imp Refined NYC'!V190</f>
        <v>51.406125516400394</v>
      </c>
      <c r="P379" s="405"/>
      <c r="Q379" s="405">
        <f>'Imp Refined NYC'!AF190</f>
        <v>211555.81936236937</v>
      </c>
      <c r="R379" s="405">
        <f>'Imp Refined NYC'!AG190</f>
        <v>211555.81936236937</v>
      </c>
      <c r="S379" s="405">
        <f>'Imp Refined NYC'!AH190</f>
        <v>211555.81936236937</v>
      </c>
      <c r="T379" s="405">
        <f>'Imp Refined NYC'!AI190</f>
        <v>211555.81936236937</v>
      </c>
      <c r="U379" s="405"/>
      <c r="V379" s="405"/>
      <c r="W379" s="405"/>
      <c r="X379" s="405"/>
      <c r="Y379" s="405"/>
      <c r="Z379" s="405"/>
      <c r="AA379" s="413"/>
      <c r="AB379" s="415"/>
      <c r="AC379" s="415"/>
      <c r="AG379" s="415"/>
      <c r="AH379" s="405"/>
      <c r="AI379" s="415"/>
      <c r="AJ379" s="415">
        <v>1.0049999999999999</v>
      </c>
      <c r="AK379" s="415">
        <v>1.0049999999999999</v>
      </c>
      <c r="BC379" s="365"/>
      <c r="BD379" s="365"/>
      <c r="BE379" s="365"/>
      <c r="BF379" s="365"/>
      <c r="BG379" s="365"/>
    </row>
    <row r="380" spans="2:59">
      <c r="B380" s="376" t="str">
        <f>Technologies!B$563</f>
        <v>*R0,R1,R2,R3,R4,R5,R6</v>
      </c>
      <c r="C380" s="376" t="str">
        <f>'Imp Refined NYC'!E191</f>
        <v>IMPMTHP35</v>
      </c>
      <c r="D380" s="376" t="str">
        <f>'Imp Refined NYC'!F191</f>
        <v>Imported Methanol, PADD 3, Step 5</v>
      </c>
      <c r="E380" s="415" t="str">
        <f>'Imp Refined NYC'!G191</f>
        <v>MTHP3</v>
      </c>
      <c r="F380" s="413">
        <f>'Imp Refined NYC'!M191</f>
        <v>35.193544059158974</v>
      </c>
      <c r="G380" s="413">
        <f>'Imp Refined NYC'!N191</f>
        <v>37.89453798259413</v>
      </c>
      <c r="H380" s="413">
        <f>'Imp Refined NYC'!O191</f>
        <v>37.534234008619514</v>
      </c>
      <c r="I380" s="413">
        <f>'Imp Refined NYC'!P191</f>
        <v>40.502074765677925</v>
      </c>
      <c r="J380" s="413">
        <f>'Imp Refined NYC'!Q191</f>
        <v>42.828610147969044</v>
      </c>
      <c r="K380" s="413">
        <f>'Imp Refined NYC'!R191</f>
        <v>46.014375288735124</v>
      </c>
      <c r="L380" s="413">
        <f>'Imp Refined NYC'!S191</f>
        <v>49.437110517885024</v>
      </c>
      <c r="M380" s="413">
        <f>'Imp Refined NYC'!T191</f>
        <v>53.114442628451933</v>
      </c>
      <c r="N380" s="413">
        <f>'Imp Refined NYC'!U191</f>
        <v>57.065309565584286</v>
      </c>
      <c r="O380" s="413">
        <f>'Imp Refined NYC'!V191</f>
        <v>61.310057955339921</v>
      </c>
      <c r="P380" s="405"/>
      <c r="Q380" s="405">
        <f>'Imp Refined NYC'!AF191</f>
        <v>846223.27744947583</v>
      </c>
      <c r="R380" s="405">
        <f>'Imp Refined NYC'!AG191</f>
        <v>846223.27744947583</v>
      </c>
      <c r="S380" s="405">
        <f>'Imp Refined NYC'!AH191</f>
        <v>846223.27744947583</v>
      </c>
      <c r="T380" s="405">
        <f>'Imp Refined NYC'!AI191</f>
        <v>846223.27744947583</v>
      </c>
      <c r="U380" s="405"/>
      <c r="V380" s="405"/>
      <c r="W380" s="405"/>
      <c r="X380" s="405"/>
      <c r="Y380" s="405"/>
      <c r="Z380" s="405"/>
      <c r="AA380" s="413"/>
      <c r="AB380" s="415"/>
      <c r="AC380" s="415"/>
      <c r="AG380" s="415"/>
      <c r="AH380" s="405"/>
      <c r="AI380" s="415"/>
      <c r="AJ380" s="415">
        <v>1.0049999999999999</v>
      </c>
      <c r="AK380" s="415">
        <v>1.0049999999999999</v>
      </c>
      <c r="BC380" s="365"/>
      <c r="BD380" s="365"/>
      <c r="BE380" s="365"/>
      <c r="BF380" s="365"/>
      <c r="BG380" s="365"/>
    </row>
    <row r="381" spans="2:59">
      <c r="B381" s="376" t="str">
        <f>Technologies!B$564</f>
        <v>R0,R1,R2,R3,R4,R5,R6</v>
      </c>
      <c r="C381" s="376" t="str">
        <f>'Imp Refined NYC'!E192</f>
        <v>IMPDSUP33</v>
      </c>
      <c r="D381" s="376" t="str">
        <f>'Imp Refined NYC'!F192</f>
        <v>Imported Distillate-Ultralow Sulfur Highway Diesel (15 ppm), PADD 3, Step 3</v>
      </c>
      <c r="E381" s="415" t="str">
        <f>'Imp Refined NYC'!G192</f>
        <v>DSUP3</v>
      </c>
      <c r="F381" s="413">
        <f>'Imp Refined NYC'!M192</f>
        <v>13.359130949892247</v>
      </c>
      <c r="G381" s="413">
        <f>'Imp Refined NYC'!N192</f>
        <v>14.384402274012931</v>
      </c>
      <c r="H381" s="413">
        <f>'Imp Refined NYC'!O192</f>
        <v>14.247634349702654</v>
      </c>
      <c r="I381" s="413">
        <f>'Imp Refined NYC'!P192</f>
        <v>15.374198166217532</v>
      </c>
      <c r="J381" s="413">
        <f>'Imp Refined NYC'!Q192</f>
        <v>16.257328628422179</v>
      </c>
      <c r="K381" s="413">
        <f>'Imp Refined NYC'!R192</f>
        <v>17.466614445717415</v>
      </c>
      <c r="L381" s="413">
        <f>'Imp Refined NYC'!S192</f>
        <v>18.765851830169556</v>
      </c>
      <c r="M381" s="413">
        <f>'Imp Refined NYC'!T192</f>
        <v>20.161731742937878</v>
      </c>
      <c r="N381" s="413">
        <f>'Imp Refined NYC'!U192</f>
        <v>21.661442845918284</v>
      </c>
      <c r="O381" s="413">
        <f>'Imp Refined NYC'!V192</f>
        <v>23.272708522735854</v>
      </c>
      <c r="P381" s="405"/>
      <c r="Q381" s="405">
        <f>'Imp Refined NYC'!AF192</f>
        <v>224317.86948190606</v>
      </c>
      <c r="R381" s="405">
        <f>'Imp Refined NYC'!AG192</f>
        <v>224317.86948190606</v>
      </c>
      <c r="S381" s="405">
        <f>'Imp Refined NYC'!AH192</f>
        <v>224317.86948190606</v>
      </c>
      <c r="T381" s="405">
        <f>'Imp Refined NYC'!AI192</f>
        <v>224317.86948190606</v>
      </c>
      <c r="U381" s="405"/>
      <c r="V381" s="405"/>
      <c r="W381" s="405"/>
      <c r="X381" s="405"/>
      <c r="Y381" s="405"/>
      <c r="Z381" s="405"/>
      <c r="AA381" s="413"/>
      <c r="AB381" s="415"/>
      <c r="AC381" s="415"/>
      <c r="AG381" s="415"/>
      <c r="AH381" s="405"/>
      <c r="AI381" s="415"/>
      <c r="AJ381" s="415">
        <v>1.0049999999999999</v>
      </c>
      <c r="AK381" s="415">
        <v>1.0049999999999999</v>
      </c>
      <c r="BC381" s="365"/>
      <c r="BD381" s="365"/>
      <c r="BE381" s="365"/>
      <c r="BF381" s="365"/>
      <c r="BG381" s="365"/>
    </row>
    <row r="382" spans="2:59">
      <c r="B382" s="376" t="str">
        <f>Technologies!B$565</f>
        <v>R0,R1,R2,R3,R4,R5,R6</v>
      </c>
      <c r="C382" s="376" t="str">
        <f>'Imp Refined NYC'!E193</f>
        <v>IMPDSUP31</v>
      </c>
      <c r="D382" s="376" t="str">
        <f>'Imp Refined NYC'!F193</f>
        <v>Imported Distillate-Ultralow Sulfur Highway Diesel (15 ppm), PADD 3, Step 1</v>
      </c>
      <c r="E382" s="415" t="str">
        <f>'Imp Refined NYC'!G193</f>
        <v>DSUP3</v>
      </c>
      <c r="F382" s="413">
        <f>'Imp Refined NYC'!M193</f>
        <v>12.691174402397635</v>
      </c>
      <c r="G382" s="413">
        <f>'Imp Refined NYC'!N193</f>
        <v>13.665182160312284</v>
      </c>
      <c r="H382" s="413">
        <f>'Imp Refined NYC'!O193</f>
        <v>13.535252632217521</v>
      </c>
      <c r="I382" s="413">
        <f>'Imp Refined NYC'!P193</f>
        <v>14.605488257906654</v>
      </c>
      <c r="J382" s="413">
        <f>'Imp Refined NYC'!Q193</f>
        <v>15.444462197001069</v>
      </c>
      <c r="K382" s="413">
        <f>'Imp Refined NYC'!R193</f>
        <v>16.593283723431544</v>
      </c>
      <c r="L382" s="413">
        <f>'Imp Refined NYC'!S193</f>
        <v>17.827559238661078</v>
      </c>
      <c r="M382" s="413">
        <f>'Imp Refined NYC'!T193</f>
        <v>19.153645155790983</v>
      </c>
      <c r="N382" s="413">
        <f>'Imp Refined NYC'!U193</f>
        <v>20.578370703622369</v>
      </c>
      <c r="O382" s="413">
        <f>'Imp Refined NYC'!V193</f>
        <v>22.109073096599062</v>
      </c>
      <c r="P382" s="405"/>
      <c r="Q382" s="405">
        <f>'Imp Refined NYC'!AF193</f>
        <v>1794542.9558552499</v>
      </c>
      <c r="R382" s="405">
        <f>'Imp Refined NYC'!AG193</f>
        <v>1794542.9558552499</v>
      </c>
      <c r="S382" s="405">
        <f>'Imp Refined NYC'!AH193</f>
        <v>1794542.9558552499</v>
      </c>
      <c r="T382" s="405">
        <f>'Imp Refined NYC'!AI193</f>
        <v>1794542.9558552499</v>
      </c>
      <c r="U382" s="405"/>
      <c r="V382" s="405"/>
      <c r="W382" s="405"/>
      <c r="X382" s="405"/>
      <c r="Y382" s="405"/>
      <c r="Z382" s="405"/>
      <c r="AA382" s="413"/>
      <c r="AB382" s="415"/>
      <c r="AC382" s="415"/>
      <c r="AG382" s="415"/>
      <c r="AH382" s="405"/>
      <c r="AI382" s="415"/>
      <c r="AJ382" s="415">
        <v>1.0049999999999999</v>
      </c>
      <c r="AK382" s="415">
        <v>1.0049999999999999</v>
      </c>
      <c r="BC382" s="365"/>
      <c r="BD382" s="365"/>
      <c r="BE382" s="365"/>
      <c r="BF382" s="365"/>
      <c r="BG382" s="365"/>
    </row>
    <row r="383" spans="2:59">
      <c r="B383" s="376" t="str">
        <f>Technologies!B$566</f>
        <v>R0,R1,R2,R3,R4,R5,R6</v>
      </c>
      <c r="C383" s="376" t="str">
        <f>'Imp Refined NYC'!E194</f>
        <v>IMPDSUP32</v>
      </c>
      <c r="D383" s="376" t="str">
        <f>'Imp Refined NYC'!F194</f>
        <v>Imported Distillate-Ultralow Sulfur Highway Diesel (15 ppm), PADD 3, Step 2</v>
      </c>
      <c r="E383" s="415" t="str">
        <f>'Imp Refined NYC'!G194</f>
        <v>DSUP3</v>
      </c>
      <c r="F383" s="413">
        <f>'Imp Refined NYC'!M194</f>
        <v>13.091948330894402</v>
      </c>
      <c r="G383" s="413">
        <f>'Imp Refined NYC'!N194</f>
        <v>14.096714228532672</v>
      </c>
      <c r="H383" s="413">
        <f>'Imp Refined NYC'!O194</f>
        <v>13.962681662708601</v>
      </c>
      <c r="I383" s="413">
        <f>'Imp Refined NYC'!P194</f>
        <v>15.066714202893181</v>
      </c>
      <c r="J383" s="413">
        <f>'Imp Refined NYC'!Q194</f>
        <v>15.932182055853737</v>
      </c>
      <c r="K383" s="413">
        <f>'Imp Refined NYC'!R194</f>
        <v>17.117282156803068</v>
      </c>
      <c r="L383" s="413">
        <f>'Imp Refined NYC'!S194</f>
        <v>18.390534793566168</v>
      </c>
      <c r="M383" s="413">
        <f>'Imp Refined NYC'!T194</f>
        <v>19.758497108079123</v>
      </c>
      <c r="N383" s="413">
        <f>'Imp Refined NYC'!U194</f>
        <v>21.228213988999919</v>
      </c>
      <c r="O383" s="413">
        <f>'Imp Refined NYC'!V194</f>
        <v>22.807254352281138</v>
      </c>
      <c r="P383" s="405"/>
      <c r="Q383" s="405">
        <f>'Imp Refined NYC'!AF194</f>
        <v>224317.8694819056</v>
      </c>
      <c r="R383" s="405">
        <f>'Imp Refined NYC'!AG194</f>
        <v>224317.8694819056</v>
      </c>
      <c r="S383" s="405">
        <f>'Imp Refined NYC'!AH194</f>
        <v>224317.8694819056</v>
      </c>
      <c r="T383" s="405">
        <f>'Imp Refined NYC'!AI194</f>
        <v>224317.8694819056</v>
      </c>
      <c r="U383" s="405"/>
      <c r="V383" s="405"/>
      <c r="W383" s="405"/>
      <c r="X383" s="405"/>
      <c r="Y383" s="405"/>
      <c r="Z383" s="405"/>
      <c r="AA383" s="413"/>
      <c r="AB383" s="415"/>
      <c r="AC383" s="415"/>
      <c r="AG383" s="415"/>
      <c r="AH383" s="405"/>
      <c r="AI383" s="415"/>
      <c r="AJ383" s="415">
        <v>1.0049999999999999</v>
      </c>
      <c r="AK383" s="415">
        <v>1.0049999999999999</v>
      </c>
      <c r="BC383" s="365"/>
      <c r="BD383" s="365"/>
      <c r="BE383" s="365"/>
      <c r="BF383" s="365"/>
      <c r="BG383" s="365"/>
    </row>
    <row r="384" spans="2:59">
      <c r="B384" s="376" t="str">
        <f>Technologies!B$567</f>
        <v>R0,R1,R2,R3,R4,R5,R6</v>
      </c>
      <c r="C384" s="376" t="str">
        <f>'Imp Refined NYC'!E195</f>
        <v>IMPDSUP34</v>
      </c>
      <c r="D384" s="376" t="str">
        <f>'Imp Refined NYC'!F195</f>
        <v>Imported Distillate-Ultralow Sulfur Highway Diesel (15 ppm), PADD 3, Step 4</v>
      </c>
      <c r="E384" s="415" t="str">
        <f>'Imp Refined NYC'!G195</f>
        <v>DSUP3</v>
      </c>
      <c r="F384" s="413">
        <f>'Imp Refined NYC'!M195</f>
        <v>14.56145273538255</v>
      </c>
      <c r="G384" s="413">
        <f>'Imp Refined NYC'!N195</f>
        <v>15.678998478674096</v>
      </c>
      <c r="H384" s="413">
        <f>'Imp Refined NYC'!O195</f>
        <v>15.529921441175894</v>
      </c>
      <c r="I384" s="413">
        <f>'Imp Refined NYC'!P195</f>
        <v>16.75787600117711</v>
      </c>
      <c r="J384" s="413">
        <f>'Imp Refined NYC'!Q195</f>
        <v>17.720488204980175</v>
      </c>
      <c r="K384" s="413">
        <f>'Imp Refined NYC'!R195</f>
        <v>19.038609745831984</v>
      </c>
      <c r="L384" s="413">
        <f>'Imp Refined NYC'!S195</f>
        <v>20.45477849488482</v>
      </c>
      <c r="M384" s="413">
        <f>'Imp Refined NYC'!T195</f>
        <v>21.976287599802291</v>
      </c>
      <c r="N384" s="413">
        <f>'Imp Refined NYC'!U195</f>
        <v>23.610972702050933</v>
      </c>
      <c r="O384" s="413">
        <f>'Imp Refined NYC'!V195</f>
        <v>25.367252289782087</v>
      </c>
      <c r="P384" s="405"/>
      <c r="Q384" s="405">
        <f>'Imp Refined NYC'!AF195</f>
        <v>448635.73896381306</v>
      </c>
      <c r="R384" s="405">
        <f>'Imp Refined NYC'!AG195</f>
        <v>448635.73896381306</v>
      </c>
      <c r="S384" s="405">
        <f>'Imp Refined NYC'!AH195</f>
        <v>448635.73896381306</v>
      </c>
      <c r="T384" s="405">
        <f>'Imp Refined NYC'!AI195</f>
        <v>448635.73896381306</v>
      </c>
      <c r="U384" s="405"/>
      <c r="V384" s="405"/>
      <c r="W384" s="405"/>
      <c r="X384" s="405"/>
      <c r="Y384" s="405"/>
      <c r="Z384" s="405"/>
      <c r="AA384" s="413"/>
      <c r="AB384" s="415"/>
      <c r="AC384" s="415"/>
      <c r="AG384" s="415"/>
      <c r="AH384" s="405"/>
      <c r="AI384" s="415"/>
      <c r="AJ384" s="415">
        <v>1.0049999999999999</v>
      </c>
      <c r="AK384" s="415">
        <v>1.0049999999999999</v>
      </c>
      <c r="BC384" s="365"/>
      <c r="BD384" s="365"/>
      <c r="BE384" s="365"/>
      <c r="BF384" s="365"/>
      <c r="BG384" s="365"/>
    </row>
    <row r="385" spans="2:59">
      <c r="B385" s="376" t="str">
        <f>Technologies!B$568</f>
        <v>R0,R1,R2,R3,R4,R5,R6</v>
      </c>
      <c r="C385" s="376" t="str">
        <f>'Imp Refined NYC'!E196</f>
        <v>IMPDSUP35</v>
      </c>
      <c r="D385" s="376" t="str">
        <f>'Imp Refined NYC'!F196</f>
        <v>Imported Distillate-Ultralow Sulfur Highway Diesel (15 ppm), PADD 3, Step 5</v>
      </c>
      <c r="E385" s="415" t="str">
        <f>'Imp Refined NYC'!G196</f>
        <v>DSUP3</v>
      </c>
      <c r="F385" s="413">
        <f>'Imp Refined NYC'!M196</f>
        <v>17.366870234859924</v>
      </c>
      <c r="G385" s="413">
        <f>'Imp Refined NYC'!N196</f>
        <v>18.699722956216814</v>
      </c>
      <c r="H385" s="413">
        <f>'Imp Refined NYC'!O196</f>
        <v>18.521924654613453</v>
      </c>
      <c r="I385" s="413">
        <f>'Imp Refined NYC'!P196</f>
        <v>19.986457616082795</v>
      </c>
      <c r="J385" s="413">
        <f>'Imp Refined NYC'!Q196</f>
        <v>21.13452721694884</v>
      </c>
      <c r="K385" s="413">
        <f>'Imp Refined NYC'!R196</f>
        <v>22.70659877943265</v>
      </c>
      <c r="L385" s="413">
        <f>'Imp Refined NYC'!S196</f>
        <v>24.395607379220436</v>
      </c>
      <c r="M385" s="413">
        <f>'Imp Refined NYC'!T196</f>
        <v>26.210251265819256</v>
      </c>
      <c r="N385" s="413">
        <f>'Imp Refined NYC'!U196</f>
        <v>28.159875699693785</v>
      </c>
      <c r="O385" s="413">
        <f>'Imp Refined NYC'!V196</f>
        <v>30.254521079556628</v>
      </c>
      <c r="P385" s="405"/>
      <c r="Q385" s="405">
        <f>'Imp Refined NYC'!AF196</f>
        <v>1794542.9558552485</v>
      </c>
      <c r="R385" s="405">
        <f>'Imp Refined NYC'!AG196</f>
        <v>1794542.9558552485</v>
      </c>
      <c r="S385" s="405">
        <f>'Imp Refined NYC'!AH196</f>
        <v>1794542.9558552485</v>
      </c>
      <c r="T385" s="405">
        <f>'Imp Refined NYC'!AI196</f>
        <v>1794542.9558552485</v>
      </c>
      <c r="U385" s="405"/>
      <c r="V385" s="405"/>
      <c r="W385" s="405"/>
      <c r="X385" s="405"/>
      <c r="Y385" s="405"/>
      <c r="Z385" s="405"/>
      <c r="AA385" s="413"/>
      <c r="AB385" s="415"/>
      <c r="AC385" s="415"/>
      <c r="AG385" s="415"/>
      <c r="AH385" s="405"/>
      <c r="AI385" s="415"/>
      <c r="AJ385" s="415">
        <v>1.0049999999999999</v>
      </c>
      <c r="AK385" s="415">
        <v>1.0049999999999999</v>
      </c>
      <c r="BC385" s="365"/>
      <c r="BD385" s="365"/>
      <c r="BE385" s="365"/>
      <c r="BF385" s="365"/>
      <c r="BG385" s="365"/>
    </row>
    <row r="386" spans="2:59">
      <c r="B386" s="399" t="str">
        <f>Technologies!B$569</f>
        <v>*</v>
      </c>
      <c r="C386" s="399"/>
      <c r="D386" s="399"/>
      <c r="E386" s="398"/>
      <c r="F386" s="413"/>
      <c r="G386" s="413"/>
      <c r="H386" s="413"/>
      <c r="I386" s="413"/>
      <c r="J386" s="413"/>
      <c r="K386" s="413"/>
      <c r="L386" s="413"/>
      <c r="M386" s="413"/>
      <c r="N386" s="413"/>
      <c r="O386" s="413"/>
      <c r="P386" s="405"/>
      <c r="Q386" s="405"/>
      <c r="R386" s="405"/>
      <c r="S386" s="405"/>
      <c r="T386" s="405"/>
      <c r="U386" s="405"/>
      <c r="V386" s="405"/>
      <c r="W386" s="405"/>
      <c r="X386" s="405"/>
      <c r="Y386" s="405"/>
      <c r="Z386" s="405"/>
      <c r="AA386" s="413"/>
      <c r="AB386" s="415"/>
      <c r="AC386" s="415"/>
      <c r="AG386" s="415"/>
      <c r="AH386" s="405"/>
      <c r="AI386" s="415"/>
      <c r="AJ386" s="415"/>
      <c r="AK386" s="415"/>
      <c r="BC386" s="365"/>
      <c r="BD386" s="365"/>
      <c r="BE386" s="365"/>
      <c r="BF386" s="365"/>
      <c r="BG386" s="365"/>
    </row>
    <row r="387" spans="2:59">
      <c r="B387" s="399" t="str">
        <f>Technologies!B$570</f>
        <v>*</v>
      </c>
      <c r="C387" s="399"/>
      <c r="D387" s="399"/>
      <c r="E387" s="398"/>
      <c r="F387" s="413"/>
      <c r="G387" s="413"/>
      <c r="H387" s="413"/>
      <c r="I387" s="413"/>
      <c r="J387" s="413"/>
      <c r="K387" s="413"/>
      <c r="L387" s="413"/>
      <c r="M387" s="413"/>
      <c r="N387" s="413"/>
      <c r="O387" s="413"/>
      <c r="P387" s="405"/>
      <c r="Q387" s="405"/>
      <c r="R387" s="405"/>
      <c r="S387" s="405"/>
      <c r="T387" s="405"/>
      <c r="U387" s="405"/>
      <c r="V387" s="405"/>
      <c r="W387" s="405"/>
      <c r="X387" s="405"/>
      <c r="Y387" s="405"/>
      <c r="Z387" s="405"/>
      <c r="AA387" s="413"/>
      <c r="AB387" s="415"/>
      <c r="AC387" s="415"/>
      <c r="AG387" s="415"/>
      <c r="AH387" s="405"/>
      <c r="AI387" s="415"/>
      <c r="AJ387" s="415"/>
      <c r="AK387" s="415"/>
      <c r="BC387" s="365"/>
      <c r="BD387" s="365"/>
      <c r="BE387" s="365"/>
      <c r="BF387" s="365"/>
      <c r="BG387" s="365"/>
    </row>
    <row r="388" spans="2:59">
      <c r="B388" s="376" t="str">
        <f>Technologies!B$571</f>
        <v>*R0</v>
      </c>
      <c r="C388" s="376" t="str">
        <f>'Imp Refined NYC'!E199</f>
        <v>IMPGSRP43</v>
      </c>
      <c r="D388" s="376" t="str">
        <f>'Imp Refined NYC'!F199</f>
        <v>Imported Reformulated Gasoline, PADD 4, Step 3</v>
      </c>
      <c r="E388" s="415" t="str">
        <f>'Imp Refined NYC'!G199</f>
        <v>GSRP4</v>
      </c>
      <c r="F388" s="413">
        <f>'Imp Refined NYC'!M199</f>
        <v>35.196805740721445</v>
      </c>
      <c r="G388" s="413">
        <f>'Imp Refined NYC'!N199</f>
        <v>37.898049987967859</v>
      </c>
      <c r="H388" s="413">
        <f>'Imp Refined NYC'!O199</f>
        <v>37.537712621595283</v>
      </c>
      <c r="I388" s="413">
        <f>'Imp Refined NYC'!P199</f>
        <v>40.505828433404112</v>
      </c>
      <c r="J388" s="413">
        <f>'Imp Refined NYC'!Q199</f>
        <v>42.832579435285808</v>
      </c>
      <c r="K388" s="413">
        <f>'Imp Refined NYC'!R199</f>
        <v>46.018639827686805</v>
      </c>
      <c r="L388" s="413">
        <f>'Imp Refined NYC'!S199</f>
        <v>49.441692270481667</v>
      </c>
      <c r="M388" s="413">
        <f>'Imp Refined NYC'!T199</f>
        <v>53.119365190326661</v>
      </c>
      <c r="N388" s="413">
        <f>'Imp Refined NYC'!U199</f>
        <v>57.070598287508794</v>
      </c>
      <c r="O388" s="413">
        <f>'Imp Refined NYC'!V199</f>
        <v>61.315740073778777</v>
      </c>
      <c r="P388" s="405"/>
      <c r="Q388" s="405">
        <f>'Imp Refined NYC'!AF199</f>
        <v>0</v>
      </c>
      <c r="R388" s="405">
        <f>'Imp Refined NYC'!AG199</f>
        <v>0</v>
      </c>
      <c r="S388" s="405">
        <f>'Imp Refined NYC'!AH199</f>
        <v>0</v>
      </c>
      <c r="T388" s="405">
        <f>'Imp Refined NYC'!AI199</f>
        <v>0</v>
      </c>
      <c r="U388" s="405"/>
      <c r="V388" s="405"/>
      <c r="W388" s="405"/>
      <c r="X388" s="405"/>
      <c r="Y388" s="405"/>
      <c r="Z388" s="405"/>
      <c r="AA388" s="413"/>
      <c r="AB388" s="415"/>
      <c r="AC388" s="415"/>
      <c r="AG388" s="415"/>
      <c r="AH388" s="405"/>
      <c r="AI388" s="415"/>
      <c r="AJ388" s="415">
        <v>1.0049999999999999</v>
      </c>
      <c r="AK388" s="415">
        <v>1.0049999999999999</v>
      </c>
      <c r="BC388" s="365"/>
      <c r="BD388" s="365"/>
      <c r="BE388" s="365"/>
      <c r="BF388" s="365"/>
      <c r="BG388" s="365"/>
    </row>
    <row r="389" spans="2:59">
      <c r="B389" s="376" t="str">
        <f>Technologies!B$572</f>
        <v>*R0</v>
      </c>
      <c r="C389" s="376" t="str">
        <f>'Imp Refined NYC'!E200</f>
        <v>IMPGSRP41</v>
      </c>
      <c r="D389" s="376" t="str">
        <f>'Imp Refined NYC'!F200</f>
        <v>Imported Reformulated Gasoline, PADD 4, Step 1</v>
      </c>
      <c r="E389" s="415" t="str">
        <f>'Imp Refined NYC'!G200</f>
        <v>GSRP4</v>
      </c>
      <c r="F389" s="413">
        <f>'Imp Refined NYC'!M200</f>
        <v>33.436965453685382</v>
      </c>
      <c r="G389" s="413">
        <f>'Imp Refined NYC'!N200</f>
        <v>36.003147488569475</v>
      </c>
      <c r="H389" s="413">
        <f>'Imp Refined NYC'!O200</f>
        <v>35.660826990515524</v>
      </c>
      <c r="I389" s="413">
        <f>'Imp Refined NYC'!P200</f>
        <v>38.480537011733915</v>
      </c>
      <c r="J389" s="413">
        <f>'Imp Refined NYC'!Q200</f>
        <v>40.690950463521524</v>
      </c>
      <c r="K389" s="413">
        <f>'Imp Refined NYC'!R200</f>
        <v>43.717707836302473</v>
      </c>
      <c r="L389" s="413">
        <f>'Imp Refined NYC'!S200</f>
        <v>46.969607656957592</v>
      </c>
      <c r="M389" s="413">
        <f>'Imp Refined NYC'!T200</f>
        <v>50.46339693081034</v>
      </c>
      <c r="N389" s="413">
        <f>'Imp Refined NYC'!U200</f>
        <v>54.217068373133365</v>
      </c>
      <c r="O389" s="413">
        <f>'Imp Refined NYC'!V200</f>
        <v>58.249953070089845</v>
      </c>
      <c r="P389" s="405"/>
      <c r="Q389" s="405">
        <f>'Imp Refined NYC'!AF200</f>
        <v>0</v>
      </c>
      <c r="R389" s="405">
        <f>'Imp Refined NYC'!AG200</f>
        <v>0</v>
      </c>
      <c r="S389" s="405">
        <f>'Imp Refined NYC'!AH200</f>
        <v>0</v>
      </c>
      <c r="T389" s="405">
        <f>'Imp Refined NYC'!AI200</f>
        <v>0</v>
      </c>
      <c r="U389" s="405"/>
      <c r="V389" s="405"/>
      <c r="W389" s="405"/>
      <c r="X389" s="405"/>
      <c r="Y389" s="405"/>
      <c r="Z389" s="405"/>
      <c r="AA389" s="413"/>
      <c r="AB389" s="415"/>
      <c r="AC389" s="415"/>
      <c r="AG389" s="415"/>
      <c r="AH389" s="405"/>
      <c r="AI389" s="415"/>
      <c r="AJ389" s="415">
        <v>1.0049999999999999</v>
      </c>
      <c r="AK389" s="415">
        <v>1.0049999999999999</v>
      </c>
      <c r="BC389" s="365"/>
      <c r="BD389" s="365"/>
      <c r="BE389" s="365"/>
      <c r="BF389" s="365"/>
      <c r="BG389" s="365"/>
    </row>
    <row r="390" spans="2:59">
      <c r="B390" s="376" t="str">
        <f>Technologies!B$573</f>
        <v>*R0</v>
      </c>
      <c r="C390" s="376" t="str">
        <f>'Imp Refined NYC'!E201</f>
        <v>IMPGSRP42</v>
      </c>
      <c r="D390" s="376" t="str">
        <f>'Imp Refined NYC'!F201</f>
        <v>Imported Reformulated Gasoline, PADD 4, Step 2</v>
      </c>
      <c r="E390" s="415" t="str">
        <f>'Imp Refined NYC'!G201</f>
        <v>GSRP4</v>
      </c>
      <c r="F390" s="413">
        <f>'Imp Refined NYC'!M201</f>
        <v>34.492869625907026</v>
      </c>
      <c r="G390" s="413">
        <f>'Imp Refined NYC'!N201</f>
        <v>37.140088988208511</v>
      </c>
      <c r="H390" s="413">
        <f>'Imp Refined NYC'!O201</f>
        <v>36.786958369163386</v>
      </c>
      <c r="I390" s="413">
        <f>'Imp Refined NYC'!P201</f>
        <v>39.69571186473604</v>
      </c>
      <c r="J390" s="413">
        <f>'Imp Refined NYC'!Q201</f>
        <v>41.975927846580099</v>
      </c>
      <c r="K390" s="413">
        <f>'Imp Refined NYC'!R201</f>
        <v>45.098267031133076</v>
      </c>
      <c r="L390" s="413">
        <f>'Imp Refined NYC'!S201</f>
        <v>48.452858425072044</v>
      </c>
      <c r="M390" s="413">
        <f>'Imp Refined NYC'!T201</f>
        <v>52.056977886520137</v>
      </c>
      <c r="N390" s="413">
        <f>'Imp Refined NYC'!U201</f>
        <v>55.929186321758628</v>
      </c>
      <c r="O390" s="413">
        <f>'Imp Refined NYC'!V201</f>
        <v>60.08942527230321</v>
      </c>
      <c r="P390" s="405"/>
      <c r="Q390" s="405">
        <f>'Imp Refined NYC'!AF201</f>
        <v>0</v>
      </c>
      <c r="R390" s="405">
        <f>'Imp Refined NYC'!AG201</f>
        <v>0</v>
      </c>
      <c r="S390" s="405">
        <f>'Imp Refined NYC'!AH201</f>
        <v>0</v>
      </c>
      <c r="T390" s="405">
        <f>'Imp Refined NYC'!AI201</f>
        <v>0</v>
      </c>
      <c r="U390" s="405"/>
      <c r="V390" s="405"/>
      <c r="W390" s="405"/>
      <c r="X390" s="405"/>
      <c r="Y390" s="405"/>
      <c r="Z390" s="405"/>
      <c r="AA390" s="413"/>
      <c r="AB390" s="415"/>
      <c r="AC390" s="415"/>
      <c r="AG390" s="415"/>
      <c r="AH390" s="405"/>
      <c r="AI390" s="415"/>
      <c r="AJ390" s="415">
        <v>1.0049999999999999</v>
      </c>
      <c r="AK390" s="415">
        <v>1.0049999999999999</v>
      </c>
      <c r="BC390" s="365"/>
      <c r="BD390" s="365"/>
      <c r="BE390" s="365"/>
      <c r="BF390" s="365"/>
      <c r="BG390" s="365"/>
    </row>
    <row r="391" spans="2:59">
      <c r="B391" s="376" t="str">
        <f>Technologies!B$574</f>
        <v>*R0</v>
      </c>
      <c r="C391" s="376" t="str">
        <f>'Imp Refined NYC'!E202</f>
        <v>IMPGSRP44</v>
      </c>
      <c r="D391" s="376" t="str">
        <f>'Imp Refined NYC'!F202</f>
        <v>Imported Reformulated Gasoline, PADD 4, Step 4</v>
      </c>
      <c r="E391" s="415" t="str">
        <f>'Imp Refined NYC'!G202</f>
        <v>GSRP4</v>
      </c>
      <c r="F391" s="413">
        <f>'Imp Refined NYC'!M202</f>
        <v>38.364518257386393</v>
      </c>
      <c r="G391" s="413">
        <f>'Imp Refined NYC'!N202</f>
        <v>41.308874486884989</v>
      </c>
      <c r="H391" s="413">
        <f>'Imp Refined NYC'!O202</f>
        <v>40.916106757538877</v>
      </c>
      <c r="I391" s="413">
        <f>'Imp Refined NYC'!P202</f>
        <v>44.151352992410501</v>
      </c>
      <c r="J391" s="413">
        <f>'Imp Refined NYC'!Q202</f>
        <v>46.687511584461554</v>
      </c>
      <c r="K391" s="413">
        <f>'Imp Refined NYC'!R202</f>
        <v>50.160317412178642</v>
      </c>
      <c r="L391" s="413">
        <f>'Imp Refined NYC'!S202</f>
        <v>53.891444574825044</v>
      </c>
      <c r="M391" s="413">
        <f>'Imp Refined NYC'!T202</f>
        <v>57.900108057456087</v>
      </c>
      <c r="N391" s="413">
        <f>'Imp Refined NYC'!U202</f>
        <v>62.206952133384611</v>
      </c>
      <c r="O391" s="413">
        <f>'Imp Refined NYC'!V202</f>
        <v>66.834156680418886</v>
      </c>
      <c r="P391" s="405"/>
      <c r="Q391" s="405">
        <f>'Imp Refined NYC'!AF202</f>
        <v>0</v>
      </c>
      <c r="R391" s="405">
        <f>'Imp Refined NYC'!AG202</f>
        <v>0</v>
      </c>
      <c r="S391" s="405">
        <f>'Imp Refined NYC'!AH202</f>
        <v>0</v>
      </c>
      <c r="T391" s="405">
        <f>'Imp Refined NYC'!AI202</f>
        <v>0</v>
      </c>
      <c r="U391" s="405"/>
      <c r="V391" s="405"/>
      <c r="W391" s="405"/>
      <c r="X391" s="405"/>
      <c r="Y391" s="405"/>
      <c r="Z391" s="405"/>
      <c r="AA391" s="413"/>
      <c r="AB391" s="415"/>
      <c r="AC391" s="415"/>
      <c r="AG391" s="415"/>
      <c r="AH391" s="405"/>
      <c r="AI391" s="415"/>
      <c r="AJ391" s="415">
        <v>1.0049999999999999</v>
      </c>
      <c r="AK391" s="415">
        <v>1.0049999999999999</v>
      </c>
      <c r="BC391" s="365"/>
      <c r="BD391" s="365"/>
      <c r="BE391" s="365"/>
      <c r="BF391" s="365"/>
      <c r="BG391" s="365"/>
    </row>
    <row r="392" spans="2:59">
      <c r="B392" s="376" t="str">
        <f>Technologies!B$575</f>
        <v>*R0</v>
      </c>
      <c r="C392" s="376" t="str">
        <f>'Imp Refined NYC'!E203</f>
        <v>IMPGSRP45</v>
      </c>
      <c r="D392" s="376" t="str">
        <f>'Imp Refined NYC'!F203</f>
        <v>Imported Reformulated Gasoline, PADD 4, Step 5</v>
      </c>
      <c r="E392" s="415" t="str">
        <f>'Imp Refined NYC'!G203</f>
        <v>GSRP4</v>
      </c>
      <c r="F392" s="413">
        <f>'Imp Refined NYC'!M203</f>
        <v>45.755847462937894</v>
      </c>
      <c r="G392" s="413">
        <f>'Imp Refined NYC'!N203</f>
        <v>49.267464984358234</v>
      </c>
      <c r="H392" s="413">
        <f>'Imp Refined NYC'!O203</f>
        <v>48.799026408073885</v>
      </c>
      <c r="I392" s="413">
        <f>'Imp Refined NYC'!P203</f>
        <v>52.657576963425363</v>
      </c>
      <c r="J392" s="413">
        <f>'Imp Refined NYC'!Q203</f>
        <v>55.682353265871569</v>
      </c>
      <c r="K392" s="413">
        <f>'Imp Refined NYC'!R203</f>
        <v>59.824231775992871</v>
      </c>
      <c r="L392" s="413">
        <f>'Imp Refined NYC'!S203</f>
        <v>64.274199951626187</v>
      </c>
      <c r="M392" s="413">
        <f>'Imp Refined NYC'!T203</f>
        <v>69.055174747424687</v>
      </c>
      <c r="N392" s="413">
        <f>'Imp Refined NYC'!U203</f>
        <v>74.191777773761459</v>
      </c>
      <c r="O392" s="413">
        <f>'Imp Refined NYC'!V203</f>
        <v>79.710462095912433</v>
      </c>
      <c r="P392" s="405"/>
      <c r="Q392" s="405">
        <f>'Imp Refined NYC'!AF203</f>
        <v>0</v>
      </c>
      <c r="R392" s="405">
        <f>'Imp Refined NYC'!AG203</f>
        <v>0</v>
      </c>
      <c r="S392" s="405">
        <f>'Imp Refined NYC'!AH203</f>
        <v>0</v>
      </c>
      <c r="T392" s="405">
        <f>'Imp Refined NYC'!AI203</f>
        <v>0</v>
      </c>
      <c r="U392" s="405"/>
      <c r="V392" s="405"/>
      <c r="W392" s="405"/>
      <c r="X392" s="405"/>
      <c r="Y392" s="405"/>
      <c r="Z392" s="405"/>
      <c r="AA392" s="416"/>
      <c r="AB392" s="415"/>
      <c r="AC392" s="415"/>
      <c r="AG392" s="415"/>
      <c r="AH392" s="405"/>
      <c r="AI392" s="415"/>
      <c r="AJ392" s="415">
        <v>1.0049999999999999</v>
      </c>
      <c r="AK392" s="415">
        <v>1.0049999999999999</v>
      </c>
      <c r="BC392" s="365"/>
      <c r="BD392" s="365"/>
      <c r="BE392" s="365"/>
      <c r="BF392" s="365"/>
      <c r="BG392" s="365"/>
    </row>
    <row r="393" spans="2:59">
      <c r="B393" s="376" t="str">
        <f>Technologies!B$576</f>
        <v>*R0</v>
      </c>
      <c r="C393" s="376" t="str">
        <f>'Imp Refined NYC'!E204</f>
        <v>IMPGSCP43</v>
      </c>
      <c r="D393" s="376" t="str">
        <f>'Imp Refined NYC'!F204</f>
        <v>Imported Conventional Gasoline, PADD 4, Step 3</v>
      </c>
      <c r="E393" s="415" t="str">
        <f>'Imp Refined NYC'!G204</f>
        <v>GSCP4</v>
      </c>
      <c r="F393" s="413">
        <v>0</v>
      </c>
      <c r="G393" s="413">
        <v>0</v>
      </c>
      <c r="H393" s="413">
        <v>0</v>
      </c>
      <c r="I393" s="413">
        <v>0</v>
      </c>
      <c r="J393" s="413">
        <v>0</v>
      </c>
      <c r="K393" s="413">
        <v>0</v>
      </c>
      <c r="L393" s="413">
        <v>0</v>
      </c>
      <c r="M393" s="413">
        <v>0</v>
      </c>
      <c r="N393" s="413">
        <v>0</v>
      </c>
      <c r="O393" s="413">
        <v>0</v>
      </c>
      <c r="P393" s="405"/>
      <c r="Q393" s="405">
        <f>'Imp Refined NYC'!AF204</f>
        <v>0.11125984904759978</v>
      </c>
      <c r="R393" s="405">
        <f>'Imp Refined NYC'!AG204</f>
        <v>0</v>
      </c>
      <c r="S393" s="405">
        <f>'Imp Refined NYC'!AH204</f>
        <v>0</v>
      </c>
      <c r="T393" s="405">
        <f>'Imp Refined NYC'!AI204</f>
        <v>0</v>
      </c>
      <c r="U393" s="405">
        <f>'Imp Refined NYC'!AF204</f>
        <v>0.11125984904759978</v>
      </c>
      <c r="V393" s="405">
        <f>'Imp Refined NYC'!AG204</f>
        <v>0</v>
      </c>
      <c r="W393" s="405">
        <f>'Imp Refined NYC'!AH204</f>
        <v>0</v>
      </c>
      <c r="X393" s="405">
        <f>'Imp Refined NYC'!AI204</f>
        <v>0</v>
      </c>
      <c r="Y393" s="405">
        <f>'Imp Refined NYC'!AJ204</f>
        <v>0</v>
      </c>
      <c r="Z393" s="405">
        <f>'Imp Refined NYC'!AK204</f>
        <v>0</v>
      </c>
      <c r="AA393" s="405">
        <f>'Imp Refined NYC'!AL204</f>
        <v>0</v>
      </c>
      <c r="AB393" s="415"/>
      <c r="AC393" s="415"/>
      <c r="AG393" s="415"/>
      <c r="AH393" s="405"/>
      <c r="AI393" s="415"/>
      <c r="AJ393" s="415">
        <v>1.0049999999999999</v>
      </c>
      <c r="AK393" s="415">
        <v>1.0049999999999999</v>
      </c>
      <c r="BC393" s="365"/>
      <c r="BD393" s="365"/>
      <c r="BE393" s="365"/>
      <c r="BF393" s="365"/>
      <c r="BG393" s="365"/>
    </row>
    <row r="394" spans="2:59">
      <c r="B394" s="376" t="str">
        <f>Technologies!B$577</f>
        <v>*R0</v>
      </c>
      <c r="C394" s="376" t="str">
        <f>'Imp Refined NYC'!E205</f>
        <v>IMPGSCP41</v>
      </c>
      <c r="D394" s="376" t="str">
        <f>'Imp Refined NYC'!F205</f>
        <v>Imported Conventional Gasoline, PADD 4, Step 1</v>
      </c>
      <c r="E394" s="415" t="str">
        <f>'Imp Refined NYC'!G205</f>
        <v>GSCP4</v>
      </c>
      <c r="F394" s="413">
        <v>0</v>
      </c>
      <c r="G394" s="413">
        <v>0</v>
      </c>
      <c r="H394" s="413">
        <v>0</v>
      </c>
      <c r="I394" s="413">
        <v>0</v>
      </c>
      <c r="J394" s="413">
        <v>0</v>
      </c>
      <c r="K394" s="413">
        <v>0</v>
      </c>
      <c r="L394" s="413">
        <v>0</v>
      </c>
      <c r="M394" s="413">
        <v>0</v>
      </c>
      <c r="N394" s="413">
        <v>0</v>
      </c>
      <c r="O394" s="413">
        <v>0</v>
      </c>
      <c r="P394" s="405"/>
      <c r="Q394" s="405">
        <f>'Imp Refined NYC'!AF205</f>
        <v>0.89007879238080001</v>
      </c>
      <c r="R394" s="405">
        <f>'Imp Refined NYC'!AG205</f>
        <v>0</v>
      </c>
      <c r="S394" s="405">
        <f>'Imp Refined NYC'!AH205</f>
        <v>0</v>
      </c>
      <c r="T394" s="405">
        <f>'Imp Refined NYC'!AI205</f>
        <v>0</v>
      </c>
      <c r="U394" s="405">
        <f>'Imp Refined NYC'!AF205</f>
        <v>0.89007879238080001</v>
      </c>
      <c r="V394" s="405">
        <f>'Imp Refined NYC'!AG205</f>
        <v>0</v>
      </c>
      <c r="W394" s="405">
        <f>'Imp Refined NYC'!AH205</f>
        <v>0</v>
      </c>
      <c r="X394" s="405">
        <f>'Imp Refined NYC'!AI205</f>
        <v>0</v>
      </c>
      <c r="Y394" s="405">
        <f>'Imp Refined NYC'!AJ205</f>
        <v>0</v>
      </c>
      <c r="Z394" s="405">
        <f>'Imp Refined NYC'!AK205</f>
        <v>0</v>
      </c>
      <c r="AA394" s="405">
        <f>'Imp Refined NYC'!AL205</f>
        <v>0</v>
      </c>
      <c r="AB394" s="415"/>
      <c r="AC394" s="415"/>
      <c r="AG394" s="415"/>
      <c r="AH394" s="405"/>
      <c r="AI394" s="415"/>
      <c r="AJ394" s="415">
        <v>1.0049999999999999</v>
      </c>
      <c r="AK394" s="415">
        <v>1.0049999999999999</v>
      </c>
      <c r="BC394" s="365"/>
      <c r="BD394" s="365"/>
      <c r="BE394" s="365"/>
      <c r="BF394" s="365"/>
      <c r="BG394" s="365"/>
    </row>
    <row r="395" spans="2:59">
      <c r="B395" s="376" t="str">
        <f>Technologies!B$578</f>
        <v>*R0</v>
      </c>
      <c r="C395" s="376" t="str">
        <f>'Imp Refined NYC'!E206</f>
        <v>IMPGSCP42</v>
      </c>
      <c r="D395" s="376" t="str">
        <f>'Imp Refined NYC'!F206</f>
        <v>Imported Conventional Gasoline, PADD 4, Step 2</v>
      </c>
      <c r="E395" s="415" t="str">
        <f>'Imp Refined NYC'!G206</f>
        <v>GSCP4</v>
      </c>
      <c r="F395" s="413">
        <v>0</v>
      </c>
      <c r="G395" s="413">
        <v>0</v>
      </c>
      <c r="H395" s="413">
        <v>0</v>
      </c>
      <c r="I395" s="413">
        <v>0</v>
      </c>
      <c r="J395" s="413">
        <v>0</v>
      </c>
      <c r="K395" s="413">
        <v>0</v>
      </c>
      <c r="L395" s="413">
        <v>0</v>
      </c>
      <c r="M395" s="413">
        <v>0</v>
      </c>
      <c r="N395" s="413">
        <v>0</v>
      </c>
      <c r="O395" s="413">
        <v>0</v>
      </c>
      <c r="P395" s="405"/>
      <c r="Q395" s="405">
        <f>'Imp Refined NYC'!AF206</f>
        <v>0.1112598490476</v>
      </c>
      <c r="R395" s="405">
        <f>'Imp Refined NYC'!AG206</f>
        <v>0</v>
      </c>
      <c r="S395" s="405">
        <f>'Imp Refined NYC'!AH206</f>
        <v>0</v>
      </c>
      <c r="T395" s="405">
        <f>'Imp Refined NYC'!AI206</f>
        <v>0</v>
      </c>
      <c r="U395" s="405">
        <f>'Imp Refined NYC'!AF206</f>
        <v>0.1112598490476</v>
      </c>
      <c r="V395" s="405">
        <f>'Imp Refined NYC'!AG206</f>
        <v>0</v>
      </c>
      <c r="W395" s="405">
        <f>'Imp Refined NYC'!AH206</f>
        <v>0</v>
      </c>
      <c r="X395" s="405">
        <f>'Imp Refined NYC'!AI206</f>
        <v>0</v>
      </c>
      <c r="Y395" s="405">
        <f>'Imp Refined NYC'!AJ206</f>
        <v>0</v>
      </c>
      <c r="Z395" s="405">
        <f>'Imp Refined NYC'!AK206</f>
        <v>0</v>
      </c>
      <c r="AA395" s="405">
        <f>'Imp Refined NYC'!AL206</f>
        <v>0</v>
      </c>
      <c r="AB395" s="415"/>
      <c r="AC395" s="415"/>
      <c r="AG395" s="415"/>
      <c r="AH395" s="405"/>
      <c r="AI395" s="415"/>
      <c r="AJ395" s="415">
        <v>1.0049999999999999</v>
      </c>
      <c r="AK395" s="415">
        <v>1.0049999999999999</v>
      </c>
      <c r="BC395" s="365"/>
      <c r="BD395" s="365"/>
      <c r="BE395" s="365"/>
      <c r="BF395" s="365"/>
      <c r="BG395" s="365"/>
    </row>
    <row r="396" spans="2:59">
      <c r="B396" s="376" t="str">
        <f>Technologies!B$579</f>
        <v>*R0</v>
      </c>
      <c r="C396" s="376" t="str">
        <f>'Imp Refined NYC'!E207</f>
        <v>IMPGSCP44</v>
      </c>
      <c r="D396" s="376" t="str">
        <f>'Imp Refined NYC'!F207</f>
        <v>Imported Conventional Gasoline, PADD 4, Step 4</v>
      </c>
      <c r="E396" s="415" t="str">
        <f>'Imp Refined NYC'!G207</f>
        <v>GSCP4</v>
      </c>
      <c r="F396" s="413">
        <v>0</v>
      </c>
      <c r="G396" s="413">
        <v>0</v>
      </c>
      <c r="H396" s="413">
        <v>0</v>
      </c>
      <c r="I396" s="413">
        <v>0</v>
      </c>
      <c r="J396" s="413">
        <v>0</v>
      </c>
      <c r="K396" s="413">
        <v>0</v>
      </c>
      <c r="L396" s="413">
        <v>0</v>
      </c>
      <c r="M396" s="413">
        <v>0</v>
      </c>
      <c r="N396" s="413">
        <v>0</v>
      </c>
      <c r="O396" s="413">
        <v>0</v>
      </c>
      <c r="P396" s="405"/>
      <c r="Q396" s="405">
        <f>'Imp Refined NYC'!AF207</f>
        <v>0.22251969809520022</v>
      </c>
      <c r="R396" s="405">
        <f>'Imp Refined NYC'!AG207</f>
        <v>0</v>
      </c>
      <c r="S396" s="405">
        <f>'Imp Refined NYC'!AH207</f>
        <v>0</v>
      </c>
      <c r="T396" s="405">
        <f>'Imp Refined NYC'!AI207</f>
        <v>0</v>
      </c>
      <c r="U396" s="405">
        <f>'Imp Refined NYC'!AF207</f>
        <v>0.22251969809520022</v>
      </c>
      <c r="V396" s="405">
        <f>'Imp Refined NYC'!AG207</f>
        <v>0</v>
      </c>
      <c r="W396" s="405">
        <f>'Imp Refined NYC'!AH207</f>
        <v>0</v>
      </c>
      <c r="X396" s="405">
        <f>'Imp Refined NYC'!AI207</f>
        <v>0</v>
      </c>
      <c r="Y396" s="405">
        <f>'Imp Refined NYC'!AJ207</f>
        <v>0</v>
      </c>
      <c r="Z396" s="405">
        <f>'Imp Refined NYC'!AK207</f>
        <v>0</v>
      </c>
      <c r="AA396" s="405">
        <f>'Imp Refined NYC'!AL207</f>
        <v>0</v>
      </c>
      <c r="AB396" s="415"/>
      <c r="AC396" s="415"/>
      <c r="AG396" s="415"/>
      <c r="AH396" s="405"/>
      <c r="AI396" s="415"/>
      <c r="AJ396" s="415">
        <v>1.0049999999999999</v>
      </c>
      <c r="AK396" s="415">
        <v>1.0049999999999999</v>
      </c>
      <c r="BC396" s="365"/>
      <c r="BD396" s="365"/>
      <c r="BE396" s="365"/>
      <c r="BF396" s="365"/>
      <c r="BG396" s="365"/>
    </row>
    <row r="397" spans="2:59">
      <c r="B397" s="376" t="str">
        <f>Technologies!B$580</f>
        <v>*R0</v>
      </c>
      <c r="C397" s="376" t="str">
        <f>'Imp Refined NYC'!E208</f>
        <v>IMPGSCP45</v>
      </c>
      <c r="D397" s="376" t="str">
        <f>'Imp Refined NYC'!F208</f>
        <v>Imported Conventional Gasoline, PADD 4, Step 5</v>
      </c>
      <c r="E397" s="415" t="str">
        <f>'Imp Refined NYC'!G208</f>
        <v>GSCP4</v>
      </c>
      <c r="F397" s="413">
        <v>0</v>
      </c>
      <c r="G397" s="413">
        <v>0</v>
      </c>
      <c r="H397" s="413">
        <v>0</v>
      </c>
      <c r="I397" s="413">
        <v>0</v>
      </c>
      <c r="J397" s="413">
        <v>0</v>
      </c>
      <c r="K397" s="413">
        <v>0</v>
      </c>
      <c r="L397" s="413">
        <v>0</v>
      </c>
      <c r="M397" s="413">
        <v>0</v>
      </c>
      <c r="N397" s="413">
        <v>0</v>
      </c>
      <c r="O397" s="413">
        <v>0</v>
      </c>
      <c r="P397" s="405"/>
      <c r="Q397" s="405">
        <f>'Imp Refined NYC'!AF208</f>
        <v>0.89007879238079957</v>
      </c>
      <c r="R397" s="405">
        <f>'Imp Refined NYC'!AG208</f>
        <v>0</v>
      </c>
      <c r="S397" s="405">
        <f>'Imp Refined NYC'!AH208</f>
        <v>0</v>
      </c>
      <c r="T397" s="405">
        <f>'Imp Refined NYC'!AI208</f>
        <v>0</v>
      </c>
      <c r="U397" s="405">
        <f>'Imp Refined NYC'!AF208</f>
        <v>0.89007879238079957</v>
      </c>
      <c r="V397" s="405">
        <f>'Imp Refined NYC'!AG208</f>
        <v>0</v>
      </c>
      <c r="W397" s="405">
        <f>'Imp Refined NYC'!AH208</f>
        <v>0</v>
      </c>
      <c r="X397" s="405">
        <f>'Imp Refined NYC'!AI208</f>
        <v>0</v>
      </c>
      <c r="Y397" s="405">
        <f>'Imp Refined NYC'!AJ208</f>
        <v>0</v>
      </c>
      <c r="Z397" s="405">
        <f>'Imp Refined NYC'!AK208</f>
        <v>0</v>
      </c>
      <c r="AA397" s="405">
        <f>'Imp Refined NYC'!AL208</f>
        <v>0</v>
      </c>
      <c r="AB397" s="415"/>
      <c r="AC397" s="415"/>
      <c r="AG397" s="415"/>
      <c r="AH397" s="405"/>
      <c r="AI397" s="415"/>
      <c r="AJ397" s="415">
        <v>1.0049999999999999</v>
      </c>
      <c r="AK397" s="415">
        <v>1.0049999999999999</v>
      </c>
      <c r="BC397" s="365"/>
      <c r="BD397" s="365"/>
      <c r="BE397" s="365"/>
      <c r="BF397" s="365"/>
      <c r="BG397" s="365"/>
    </row>
    <row r="398" spans="2:59">
      <c r="B398" s="376" t="str">
        <f>Technologies!B$581</f>
        <v>*R0</v>
      </c>
      <c r="C398" s="376" t="str">
        <f>'Imp Refined NYC'!E209</f>
        <v>IMPDSHP43</v>
      </c>
      <c r="D398" s="376" t="str">
        <f>'Imp Refined NYC'!F209</f>
        <v>Imported Distillate-Heating Oil No. 2, PADD 4, Step 3</v>
      </c>
      <c r="E398" s="415" t="str">
        <f>'Imp Refined NYC'!G209</f>
        <v>DSHP4</v>
      </c>
      <c r="F398" s="413">
        <f>'Imp Refined NYC'!M209</f>
        <v>11.211343038129144</v>
      </c>
      <c r="G398" s="413">
        <f>'Imp Refined NYC'!N209</f>
        <v>12.071778388676147</v>
      </c>
      <c r="H398" s="413">
        <f>'Imp Refined NYC'!O209</f>
        <v>11.956999057460163</v>
      </c>
      <c r="I398" s="413">
        <f>'Imp Refined NYC'!P209</f>
        <v>12.902441799856078</v>
      </c>
      <c r="J398" s="413">
        <f>'Imp Refined NYC'!Q209</f>
        <v>13.643588705020424</v>
      </c>
      <c r="K398" s="413">
        <f>'Imp Refined NYC'!R209</f>
        <v>14.658453981788343</v>
      </c>
      <c r="L398" s="413">
        <f>'Imp Refined NYC'!S209</f>
        <v>15.748809040039504</v>
      </c>
      <c r="M398" s="413">
        <f>'Imp Refined NYC'!T209</f>
        <v>16.920269114858645</v>
      </c>
      <c r="N398" s="413">
        <f>'Imp Refined NYC'!U209</f>
        <v>18.1788671252135</v>
      </c>
      <c r="O398" s="413">
        <f>'Imp Refined NYC'!V209</f>
        <v>19.531084742970354</v>
      </c>
      <c r="P398" s="405"/>
      <c r="Q398" s="405">
        <f>'Imp Refined NYC'!AF209</f>
        <v>0.30058624569199921</v>
      </c>
      <c r="R398" s="405">
        <f>'Imp Refined NYC'!AG209</f>
        <v>0.19515674160599983</v>
      </c>
      <c r="S398" s="405">
        <f>'Imp Refined NYC'!AH209</f>
        <v>0.21534537004799992</v>
      </c>
      <c r="T398" s="405">
        <f>'Imp Refined NYC'!AI209</f>
        <v>0.23777717942799947</v>
      </c>
      <c r="U398" s="405"/>
      <c r="V398" s="405"/>
      <c r="W398" s="405"/>
      <c r="X398" s="405"/>
      <c r="Y398" s="405"/>
      <c r="Z398" s="405"/>
      <c r="AA398" s="413"/>
      <c r="AB398" s="415"/>
      <c r="AC398" s="415"/>
      <c r="AG398" s="415"/>
      <c r="AH398" s="405"/>
      <c r="AI398" s="415"/>
      <c r="AJ398" s="415">
        <v>1.0049999999999999</v>
      </c>
      <c r="AK398" s="415">
        <v>1.0049999999999999</v>
      </c>
      <c r="BC398" s="365"/>
      <c r="BD398" s="365"/>
      <c r="BE398" s="365"/>
      <c r="BF398" s="365"/>
      <c r="BG398" s="365"/>
    </row>
    <row r="399" spans="2:59">
      <c r="B399" s="376" t="str">
        <f>Technologies!B$582</f>
        <v>*R0</v>
      </c>
      <c r="C399" s="376" t="str">
        <f>'Imp Refined NYC'!E210</f>
        <v>IMPDSHP41</v>
      </c>
      <c r="D399" s="376" t="str">
        <f>'Imp Refined NYC'!F210</f>
        <v>Imported Distillate-Heating Oil No. 2, PADD 4, Step 1</v>
      </c>
      <c r="E399" s="415" t="str">
        <f>'Imp Refined NYC'!G210</f>
        <v>DSHP4</v>
      </c>
      <c r="F399" s="413">
        <f>'Imp Refined NYC'!M210</f>
        <v>10.650775886222686</v>
      </c>
      <c r="G399" s="413">
        <f>'Imp Refined NYC'!N210</f>
        <v>11.46818946924234</v>
      </c>
      <c r="H399" s="413">
        <f>'Imp Refined NYC'!O210</f>
        <v>11.359149104587154</v>
      </c>
      <c r="I399" s="413">
        <f>'Imp Refined NYC'!P210</f>
        <v>12.257319709863273</v>
      </c>
      <c r="J399" s="413">
        <f>'Imp Refined NYC'!Q210</f>
        <v>12.961409269769401</v>
      </c>
      <c r="K399" s="413">
        <f>'Imp Refined NYC'!R210</f>
        <v>13.925531282698923</v>
      </c>
      <c r="L399" s="413">
        <f>'Imp Refined NYC'!S210</f>
        <v>14.961368588037526</v>
      </c>
      <c r="M399" s="413">
        <f>'Imp Refined NYC'!T210</f>
        <v>16.07425565911571</v>
      </c>
      <c r="N399" s="413">
        <f>'Imp Refined NYC'!U210</f>
        <v>17.269923768952822</v>
      </c>
      <c r="O399" s="413">
        <f>'Imp Refined NYC'!V210</f>
        <v>18.55453050582183</v>
      </c>
      <c r="P399" s="405"/>
      <c r="Q399" s="405">
        <f>'Imp Refined NYC'!AF210</f>
        <v>2.4046899655359999</v>
      </c>
      <c r="R399" s="405">
        <f>'Imp Refined NYC'!AG210</f>
        <v>1.561253932848</v>
      </c>
      <c r="S399" s="405">
        <f>'Imp Refined NYC'!AH210</f>
        <v>1.7227629603839998</v>
      </c>
      <c r="T399" s="405">
        <f>'Imp Refined NYC'!AI210</f>
        <v>1.902217435424</v>
      </c>
      <c r="U399" s="405"/>
      <c r="V399" s="405"/>
      <c r="W399" s="405"/>
      <c r="X399" s="405"/>
      <c r="Y399" s="405"/>
      <c r="Z399" s="405"/>
      <c r="AA399" s="413"/>
      <c r="AB399" s="415"/>
      <c r="AC399" s="415"/>
      <c r="AG399" s="415"/>
      <c r="AH399" s="405"/>
      <c r="AI399" s="415"/>
      <c r="AJ399" s="415">
        <v>1.0049999999999999</v>
      </c>
      <c r="AK399" s="415">
        <v>1.0049999999999999</v>
      </c>
      <c r="BC399" s="365"/>
      <c r="BD399" s="365"/>
      <c r="BE399" s="365"/>
      <c r="BF399" s="365"/>
      <c r="BG399" s="365"/>
    </row>
    <row r="400" spans="2:59">
      <c r="B400" s="376" t="str">
        <f>Technologies!B$583</f>
        <v>*R0</v>
      </c>
      <c r="C400" s="376" t="str">
        <f>'Imp Refined NYC'!E211</f>
        <v>IMPDSHP42</v>
      </c>
      <c r="D400" s="376" t="str">
        <f>'Imp Refined NYC'!F211</f>
        <v>Imported Distillate-Heating Oil No. 2, PADD 4, Step 2</v>
      </c>
      <c r="E400" s="415" t="str">
        <f>'Imp Refined NYC'!G211</f>
        <v>DSHP4</v>
      </c>
      <c r="F400" s="413">
        <f>'Imp Refined NYC'!M211</f>
        <v>10.987116177366559</v>
      </c>
      <c r="G400" s="413">
        <f>'Imp Refined NYC'!N211</f>
        <v>11.830342820902624</v>
      </c>
      <c r="H400" s="413">
        <f>'Imp Refined NYC'!O211</f>
        <v>11.717859076310958</v>
      </c>
      <c r="I400" s="413">
        <f>'Imp Refined NYC'!P211</f>
        <v>12.644392963858955</v>
      </c>
      <c r="J400" s="413">
        <f>'Imp Refined NYC'!Q211</f>
        <v>13.370716930920013</v>
      </c>
      <c r="K400" s="413">
        <f>'Imp Refined NYC'!R211</f>
        <v>14.365284902152574</v>
      </c>
      <c r="L400" s="413">
        <f>'Imp Refined NYC'!S211</f>
        <v>15.433832859238711</v>
      </c>
      <c r="M400" s="413">
        <f>'Imp Refined NYC'!T211</f>
        <v>16.581863732561466</v>
      </c>
      <c r="N400" s="413">
        <f>'Imp Refined NYC'!U211</f>
        <v>17.815289782709225</v>
      </c>
      <c r="O400" s="413">
        <f>'Imp Refined NYC'!V211</f>
        <v>19.140463048110941</v>
      </c>
      <c r="P400" s="405"/>
      <c r="Q400" s="405">
        <f>'Imp Refined NYC'!AF211</f>
        <v>0.30058624569200054</v>
      </c>
      <c r="R400" s="405">
        <f>'Imp Refined NYC'!AG211</f>
        <v>0.19515674160600005</v>
      </c>
      <c r="S400" s="405">
        <f>'Imp Refined NYC'!AH211</f>
        <v>0.21534537004799992</v>
      </c>
      <c r="T400" s="405">
        <f>'Imp Refined NYC'!AI211</f>
        <v>0.23777717942800014</v>
      </c>
      <c r="U400" s="405"/>
      <c r="V400" s="405"/>
      <c r="W400" s="405"/>
      <c r="X400" s="405"/>
      <c r="Y400" s="405"/>
      <c r="Z400" s="405"/>
      <c r="AA400" s="413"/>
      <c r="AB400" s="415"/>
      <c r="AC400" s="415"/>
      <c r="AG400" s="415"/>
      <c r="AH400" s="405"/>
      <c r="AI400" s="415"/>
      <c r="AJ400" s="415">
        <v>1.0049999999999999</v>
      </c>
      <c r="AK400" s="415">
        <v>1.0049999999999999</v>
      </c>
      <c r="BC400" s="365"/>
      <c r="BD400" s="365"/>
      <c r="BE400" s="365"/>
      <c r="BF400" s="365"/>
      <c r="BG400" s="365"/>
    </row>
    <row r="401" spans="2:59">
      <c r="B401" s="376" t="str">
        <f>Technologies!B$584</f>
        <v>*R0</v>
      </c>
      <c r="C401" s="376" t="str">
        <f>'Imp Refined NYC'!E212</f>
        <v>IMPDSHP44</v>
      </c>
      <c r="D401" s="376" t="str">
        <f>'Imp Refined NYC'!F212</f>
        <v>Imported Distillate-Heating Oil No. 2, PADD 4, Step 4</v>
      </c>
      <c r="E401" s="415" t="str">
        <f>'Imp Refined NYC'!G212</f>
        <v>DSHP4</v>
      </c>
      <c r="F401" s="413">
        <f>'Imp Refined NYC'!M212</f>
        <v>12.220363911560765</v>
      </c>
      <c r="G401" s="413">
        <f>'Imp Refined NYC'!N212</f>
        <v>13.158238443657</v>
      </c>
      <c r="H401" s="413">
        <f>'Imp Refined NYC'!O212</f>
        <v>13.033128972631575</v>
      </c>
      <c r="I401" s="413">
        <f>'Imp Refined NYC'!P212</f>
        <v>14.063661561843121</v>
      </c>
      <c r="J401" s="413">
        <f>'Imp Refined NYC'!Q212</f>
        <v>14.871511688472257</v>
      </c>
      <c r="K401" s="413">
        <f>'Imp Refined NYC'!R212</f>
        <v>15.977714840149288</v>
      </c>
      <c r="L401" s="413">
        <f>'Imp Refined NYC'!S212</f>
        <v>17.166201853643052</v>
      </c>
      <c r="M401" s="413">
        <f>'Imp Refined NYC'!T212</f>
        <v>18.443093335195915</v>
      </c>
      <c r="N401" s="413">
        <f>'Imp Refined NYC'!U212</f>
        <v>19.814965166482708</v>
      </c>
      <c r="O401" s="413">
        <f>'Imp Refined NYC'!V212</f>
        <v>21.288882369837676</v>
      </c>
      <c r="P401" s="405"/>
      <c r="Q401" s="405">
        <f>'Imp Refined NYC'!AF212</f>
        <v>0.6011724913840002</v>
      </c>
      <c r="R401" s="405">
        <f>'Imp Refined NYC'!AG212</f>
        <v>0.39031348321200032</v>
      </c>
      <c r="S401" s="405">
        <f>'Imp Refined NYC'!AH212</f>
        <v>0.43069074009600028</v>
      </c>
      <c r="T401" s="405">
        <f>'Imp Refined NYC'!AI212</f>
        <v>0.47555435885600073</v>
      </c>
      <c r="U401" s="405"/>
      <c r="V401" s="405"/>
      <c r="W401" s="405"/>
      <c r="X401" s="405"/>
      <c r="Y401" s="405"/>
      <c r="Z401" s="405"/>
      <c r="AA401" s="413"/>
      <c r="AB401" s="415"/>
      <c r="AC401" s="415"/>
      <c r="AG401" s="415"/>
      <c r="AH401" s="405"/>
      <c r="AI401" s="415"/>
      <c r="AJ401" s="415">
        <v>1.0049999999999999</v>
      </c>
      <c r="AK401" s="415">
        <v>1.0049999999999999</v>
      </c>
      <c r="BC401" s="365"/>
      <c r="BD401" s="365"/>
      <c r="BE401" s="365"/>
      <c r="BF401" s="365"/>
      <c r="BG401" s="365"/>
    </row>
    <row r="402" spans="2:59">
      <c r="B402" s="376" t="str">
        <f>Technologies!B$585</f>
        <v>*R0</v>
      </c>
      <c r="C402" s="376" t="str">
        <f>'Imp Refined NYC'!E213</f>
        <v>IMPDSHP45</v>
      </c>
      <c r="D402" s="376" t="str">
        <f>'Imp Refined NYC'!F213</f>
        <v>Imported Distillate-Heating Oil No. 2, PADD 4, Step 5</v>
      </c>
      <c r="E402" s="415" t="str">
        <f>'Imp Refined NYC'!G213</f>
        <v>DSHP4</v>
      </c>
      <c r="F402" s="413">
        <f>'Imp Refined NYC'!M213</f>
        <v>14.574745949567887</v>
      </c>
      <c r="G402" s="413">
        <f>'Imp Refined NYC'!N213</f>
        <v>15.693311905278993</v>
      </c>
      <c r="H402" s="413">
        <f>'Imp Refined NYC'!O213</f>
        <v>15.544098774698211</v>
      </c>
      <c r="I402" s="413">
        <f>'Imp Refined NYC'!P213</f>
        <v>16.773174339812901</v>
      </c>
      <c r="J402" s="413">
        <f>'Imp Refined NYC'!Q213</f>
        <v>17.736665316526548</v>
      </c>
      <c r="K402" s="413">
        <f>'Imp Refined NYC'!R213</f>
        <v>19.05599017632484</v>
      </c>
      <c r="L402" s="413">
        <f>'Imp Refined NYC'!S213</f>
        <v>20.47345175205135</v>
      </c>
      <c r="M402" s="413">
        <f>'Imp Refined NYC'!T213</f>
        <v>21.996349849316232</v>
      </c>
      <c r="N402" s="413">
        <f>'Imp Refined NYC'!U213</f>
        <v>23.632527262777543</v>
      </c>
      <c r="O402" s="413">
        <f>'Imp Refined NYC'!V213</f>
        <v>25.39041016586145</v>
      </c>
      <c r="P402" s="405"/>
      <c r="Q402" s="405">
        <f>'Imp Refined NYC'!AF213</f>
        <v>2.4046899655359995</v>
      </c>
      <c r="R402" s="405">
        <f>'Imp Refined NYC'!AG213</f>
        <v>1.5612539328479995</v>
      </c>
      <c r="S402" s="405">
        <f>'Imp Refined NYC'!AH213</f>
        <v>1.7227629603839993</v>
      </c>
      <c r="T402" s="405">
        <f>'Imp Refined NYC'!AI213</f>
        <v>1.9022174354239989</v>
      </c>
      <c r="U402" s="405"/>
      <c r="V402" s="405"/>
      <c r="W402" s="405"/>
      <c r="X402" s="405"/>
      <c r="Y402" s="405"/>
      <c r="Z402" s="405"/>
      <c r="AA402" s="413"/>
      <c r="AB402" s="415"/>
      <c r="AC402" s="415"/>
      <c r="AG402" s="415"/>
      <c r="AH402" s="405"/>
      <c r="AI402" s="415"/>
      <c r="AJ402" s="415">
        <v>1.0049999999999999</v>
      </c>
      <c r="AK402" s="415">
        <v>1.0049999999999999</v>
      </c>
      <c r="BC402" s="365"/>
      <c r="BD402" s="365"/>
      <c r="BE402" s="365"/>
      <c r="BF402" s="365"/>
      <c r="BG402" s="365"/>
    </row>
    <row r="403" spans="2:59">
      <c r="B403" s="376" t="str">
        <f>Technologies!B$586</f>
        <v>*R0</v>
      </c>
      <c r="C403" s="376" t="str">
        <f>'Imp Refined NYC'!E214</f>
        <v>IMPDSLP43</v>
      </c>
      <c r="D403" s="376" t="str">
        <f>'Imp Refined NYC'!F214</f>
        <v>Imported Distillate-Low Sulfur Highway Diesel (500 ppm), PADD 4, Step 3</v>
      </c>
      <c r="E403" s="415" t="str">
        <f>'Imp Refined NYC'!G214</f>
        <v>DSLP4</v>
      </c>
      <c r="F403" s="413">
        <f>'Imp Refined NYC'!M214</f>
        <v>12.672497985773608</v>
      </c>
      <c r="G403" s="413">
        <f>'Imp Refined NYC'!N214</f>
        <v>13.645072387396313</v>
      </c>
      <c r="H403" s="413">
        <f>'Imp Refined NYC'!O214</f>
        <v>13.515334064458891</v>
      </c>
      <c r="I403" s="413">
        <f>'Imp Refined NYC'!P214</f>
        <v>14.58399472428612</v>
      </c>
      <c r="J403" s="413">
        <f>'Imp Refined NYC'!Q214</f>
        <v>15.421734023754098</v>
      </c>
      <c r="K403" s="413">
        <f>'Imp Refined NYC'!R214</f>
        <v>16.568864936788682</v>
      </c>
      <c r="L403" s="413">
        <f>'Imp Refined NYC'!S214</f>
        <v>17.801324083964296</v>
      </c>
      <c r="M403" s="413">
        <f>'Imp Refined NYC'!T214</f>
        <v>19.125458524242472</v>
      </c>
      <c r="N403" s="413">
        <f>'Imp Refined NYC'!U214</f>
        <v>20.548087436485808</v>
      </c>
      <c r="O403" s="413">
        <f>'Imp Refined NYC'!V214</f>
        <v>22.076537237644583</v>
      </c>
      <c r="P403" s="405"/>
      <c r="Q403" s="405">
        <f>'Imp Refined NYC'!AF214</f>
        <v>2.1018605389060028</v>
      </c>
      <c r="R403" s="405">
        <f>'Imp Refined NYC'!AG214</f>
        <v>0.47779753979400041</v>
      </c>
      <c r="S403" s="405">
        <f>'Imp Refined NYC'!AH214</f>
        <v>0.11215904689999978</v>
      </c>
      <c r="T403" s="405">
        <f>'Imp Refined NYC'!AI214</f>
        <v>2.691817125599999E-2</v>
      </c>
      <c r="U403" s="405"/>
      <c r="V403" s="405"/>
      <c r="W403" s="405"/>
      <c r="X403" s="405"/>
      <c r="Y403" s="405"/>
      <c r="Z403" s="405"/>
      <c r="AA403" s="413"/>
      <c r="AB403" s="415"/>
      <c r="AC403" s="415"/>
      <c r="AG403" s="415"/>
      <c r="AH403" s="405"/>
      <c r="AI403" s="415"/>
      <c r="AJ403" s="415">
        <v>1.0049999999999999</v>
      </c>
      <c r="AK403" s="415">
        <v>1.0049999999999999</v>
      </c>
      <c r="BC403" s="365"/>
      <c r="BD403" s="365"/>
      <c r="BE403" s="365"/>
      <c r="BF403" s="365"/>
      <c r="BG403" s="365"/>
    </row>
    <row r="404" spans="2:59">
      <c r="B404" s="376" t="str">
        <f>Technologies!B$587</f>
        <v>*R0</v>
      </c>
      <c r="C404" s="376" t="str">
        <f>'Imp Refined NYC'!E215</f>
        <v>IMPDSLP41</v>
      </c>
      <c r="D404" s="376" t="str">
        <f>'Imp Refined NYC'!F215</f>
        <v>Imported Distillate-Low Sulfur Highway Diesel (500 ppm), PADD 4, Step 1</v>
      </c>
      <c r="E404" s="415" t="str">
        <f>'Imp Refined NYC'!G215</f>
        <v>DSLP4</v>
      </c>
      <c r="F404" s="413">
        <f>'Imp Refined NYC'!M215</f>
        <v>12.038873086484926</v>
      </c>
      <c r="G404" s="413">
        <f>'Imp Refined NYC'!N215</f>
        <v>12.962818768026496</v>
      </c>
      <c r="H404" s="413">
        <f>'Imp Refined NYC'!O215</f>
        <v>12.839567361235945</v>
      </c>
      <c r="I404" s="413">
        <f>'Imp Refined NYC'!P215</f>
        <v>13.854794988071813</v>
      </c>
      <c r="J404" s="413">
        <f>'Imp Refined NYC'!Q215</f>
        <v>14.650647322566392</v>
      </c>
      <c r="K404" s="413">
        <f>'Imp Refined NYC'!R215</f>
        <v>15.740421689949248</v>
      </c>
      <c r="L404" s="413">
        <f>'Imp Refined NYC'!S215</f>
        <v>16.91125787976608</v>
      </c>
      <c r="M404" s="413">
        <f>'Imp Refined NYC'!T215</f>
        <v>18.169185598030346</v>
      </c>
      <c r="N404" s="413">
        <f>'Imp Refined NYC'!U215</f>
        <v>19.520683064661515</v>
      </c>
      <c r="O404" s="413">
        <f>'Imp Refined NYC'!V215</f>
        <v>20.97271037576235</v>
      </c>
      <c r="P404" s="405"/>
      <c r="Q404" s="405">
        <f>'Imp Refined NYC'!AF215</f>
        <v>16.814884311247997</v>
      </c>
      <c r="R404" s="405">
        <f>'Imp Refined NYC'!AG215</f>
        <v>3.8223803183519998</v>
      </c>
      <c r="S404" s="405">
        <f>'Imp Refined NYC'!AH215</f>
        <v>0.89727237519999981</v>
      </c>
      <c r="T404" s="405">
        <f>'Imp Refined NYC'!AI215</f>
        <v>0.21534537004799997</v>
      </c>
      <c r="U404" s="405"/>
      <c r="V404" s="405"/>
      <c r="W404" s="405"/>
      <c r="X404" s="405"/>
      <c r="Y404" s="405"/>
      <c r="Z404" s="405"/>
      <c r="AA404" s="413"/>
      <c r="AB404" s="415"/>
      <c r="AC404" s="415"/>
      <c r="AG404" s="415"/>
      <c r="AH404" s="405"/>
      <c r="AI404" s="415"/>
      <c r="AJ404" s="415">
        <v>1.0049999999999999</v>
      </c>
      <c r="AK404" s="415">
        <v>1.0049999999999999</v>
      </c>
      <c r="BC404" s="365"/>
      <c r="BD404" s="365"/>
      <c r="BE404" s="365"/>
      <c r="BF404" s="365"/>
      <c r="BG404" s="365"/>
    </row>
    <row r="405" spans="2:59">
      <c r="B405" s="376" t="str">
        <f>Technologies!B$588</f>
        <v>*R0</v>
      </c>
      <c r="C405" s="376" t="str">
        <f>'Imp Refined NYC'!E216</f>
        <v>IMPDSLP42</v>
      </c>
      <c r="D405" s="376" t="str">
        <f>'Imp Refined NYC'!F216</f>
        <v>Imported Distillate-Low Sulfur Highway Diesel (500 ppm), PADD 4, Step 2</v>
      </c>
      <c r="E405" s="415" t="str">
        <f>'Imp Refined NYC'!G216</f>
        <v>DSLP4</v>
      </c>
      <c r="F405" s="413">
        <f>'Imp Refined NYC'!M216</f>
        <v>12.419048026058137</v>
      </c>
      <c r="G405" s="413">
        <f>'Imp Refined NYC'!N216</f>
        <v>13.372170939648386</v>
      </c>
      <c r="H405" s="413">
        <f>'Imp Refined NYC'!O216</f>
        <v>13.245027383169713</v>
      </c>
      <c r="I405" s="413">
        <f>'Imp Refined NYC'!P216</f>
        <v>14.292314829800398</v>
      </c>
      <c r="J405" s="413">
        <f>'Imp Refined NYC'!Q216</f>
        <v>15.113299343279017</v>
      </c>
      <c r="K405" s="413">
        <f>'Imp Refined NYC'!R216</f>
        <v>16.237487638052912</v>
      </c>
      <c r="L405" s="413">
        <f>'Imp Refined NYC'!S216</f>
        <v>17.445297602285013</v>
      </c>
      <c r="M405" s="413">
        <f>'Imp Refined NYC'!T216</f>
        <v>18.742949353757623</v>
      </c>
      <c r="N405" s="413">
        <f>'Imp Refined NYC'!U216</f>
        <v>20.137125687756093</v>
      </c>
      <c r="O405" s="413">
        <f>'Imp Refined NYC'!V216</f>
        <v>21.635006492891691</v>
      </c>
      <c r="P405" s="405"/>
      <c r="Q405" s="405">
        <f>'Imp Refined NYC'!AF216</f>
        <v>2.1018605389059992</v>
      </c>
      <c r="R405" s="405">
        <f>'Imp Refined NYC'!AG216</f>
        <v>0.47779753979399953</v>
      </c>
      <c r="S405" s="405">
        <f>'Imp Refined NYC'!AH216</f>
        <v>0.11215904690000023</v>
      </c>
      <c r="T405" s="405">
        <f>'Imp Refined NYC'!AI216</f>
        <v>2.691817125599999E-2</v>
      </c>
      <c r="U405" s="405"/>
      <c r="V405" s="405"/>
      <c r="W405" s="405"/>
      <c r="X405" s="405"/>
      <c r="Y405" s="405"/>
      <c r="Z405" s="405"/>
      <c r="AA405" s="413"/>
      <c r="AB405" s="415"/>
      <c r="AC405" s="415"/>
      <c r="AG405" s="415"/>
      <c r="AH405" s="405"/>
      <c r="AI405" s="415"/>
      <c r="AJ405" s="415">
        <v>1.0049999999999999</v>
      </c>
      <c r="AK405" s="415">
        <v>1.0049999999999999</v>
      </c>
      <c r="BC405" s="365"/>
      <c r="BD405" s="365"/>
      <c r="BE405" s="365"/>
      <c r="BF405" s="365"/>
      <c r="BG405" s="365"/>
    </row>
    <row r="406" spans="2:59">
      <c r="B406" s="376" t="str">
        <f>Technologies!B$589</f>
        <v>*R0</v>
      </c>
      <c r="C406" s="376" t="str">
        <f>'Imp Refined NYC'!E217</f>
        <v>IMPDSLP44</v>
      </c>
      <c r="D406" s="376" t="str">
        <f>'Imp Refined NYC'!F217</f>
        <v>Imported Distillate-Low Sulfur Highway Diesel (500 ppm), PADD 4, Step 4</v>
      </c>
      <c r="E406" s="415" t="str">
        <f>'Imp Refined NYC'!G217</f>
        <v>DSLP4</v>
      </c>
      <c r="F406" s="413">
        <f>'Imp Refined NYC'!M217</f>
        <v>13.813022804493235</v>
      </c>
      <c r="G406" s="413">
        <f>'Imp Refined NYC'!N217</f>
        <v>14.873128902261982</v>
      </c>
      <c r="H406" s="413">
        <f>'Imp Refined NYC'!O217</f>
        <v>14.731714130260192</v>
      </c>
      <c r="I406" s="413">
        <f>'Imp Refined NYC'!P217</f>
        <v>15.896554249471873</v>
      </c>
      <c r="J406" s="413">
        <f>'Imp Refined NYC'!Q217</f>
        <v>16.809690085891969</v>
      </c>
      <c r="K406" s="413">
        <f>'Imp Refined NYC'!R217</f>
        <v>18.060062781099667</v>
      </c>
      <c r="L406" s="413">
        <f>'Imp Refined NYC'!S217</f>
        <v>19.403443251521086</v>
      </c>
      <c r="M406" s="413">
        <f>'Imp Refined NYC'!T217</f>
        <v>20.846749791424298</v>
      </c>
      <c r="N406" s="413">
        <f>'Imp Refined NYC'!U217</f>
        <v>22.397415305769535</v>
      </c>
      <c r="O406" s="413">
        <f>'Imp Refined NYC'!V217</f>
        <v>24.063425589032597</v>
      </c>
      <c r="P406" s="405"/>
      <c r="Q406" s="405">
        <f>'Imp Refined NYC'!AF217</f>
        <v>4.2037210778119984</v>
      </c>
      <c r="R406" s="405">
        <f>'Imp Refined NYC'!AG217</f>
        <v>0.95559507958799905</v>
      </c>
      <c r="S406" s="405">
        <f>'Imp Refined NYC'!AH217</f>
        <v>0.22431809380000023</v>
      </c>
      <c r="T406" s="405">
        <f>'Imp Refined NYC'!AI217</f>
        <v>5.3836342512000035E-2</v>
      </c>
      <c r="U406" s="405"/>
      <c r="V406" s="405"/>
      <c r="W406" s="405"/>
      <c r="X406" s="405"/>
      <c r="Y406" s="405"/>
      <c r="Z406" s="405"/>
      <c r="AA406" s="413"/>
      <c r="AB406" s="415"/>
      <c r="AC406" s="415"/>
      <c r="AG406" s="415"/>
      <c r="AH406" s="405"/>
      <c r="AI406" s="415"/>
      <c r="AJ406" s="415">
        <v>1.0049999999999999</v>
      </c>
      <c r="AK406" s="415">
        <v>1.0049999999999999</v>
      </c>
      <c r="BC406" s="365"/>
      <c r="BD406" s="365"/>
      <c r="BE406" s="365"/>
      <c r="BF406" s="365"/>
      <c r="BG406" s="365"/>
    </row>
    <row r="407" spans="2:59">
      <c r="B407" s="376" t="str">
        <f>Technologies!B$590</f>
        <v>*R0</v>
      </c>
      <c r="C407" s="376" t="str">
        <f>'Imp Refined NYC'!E218</f>
        <v>IMPDSLP45</v>
      </c>
      <c r="D407" s="376" t="str">
        <f>'Imp Refined NYC'!F218</f>
        <v>Imported Distillate-Low Sulfur Highway Diesel (500 ppm), PADD 4, Step 5</v>
      </c>
      <c r="E407" s="415" t="str">
        <f>'Imp Refined NYC'!G218</f>
        <v>DSLP4</v>
      </c>
      <c r="F407" s="413">
        <f>'Imp Refined NYC'!M218</f>
        <v>16.474247381505691</v>
      </c>
      <c r="G407" s="413">
        <f>'Imp Refined NYC'!N218</f>
        <v>17.738594103615206</v>
      </c>
      <c r="H407" s="413">
        <f>'Imp Refined NYC'!O218</f>
        <v>17.569934283796556</v>
      </c>
      <c r="I407" s="413">
        <f>'Imp Refined NYC'!P218</f>
        <v>18.959193141571955</v>
      </c>
      <c r="J407" s="413">
        <f>'Imp Refined NYC'!Q218</f>
        <v>20.048254230880328</v>
      </c>
      <c r="K407" s="413">
        <f>'Imp Refined NYC'!R218</f>
        <v>21.539524417825287</v>
      </c>
      <c r="L407" s="413">
        <f>'Imp Refined NYC'!S218</f>
        <v>23.141721309153585</v>
      </c>
      <c r="M407" s="413">
        <f>'Imp Refined NYC'!T218</f>
        <v>24.863096081515213</v>
      </c>
      <c r="N407" s="413">
        <f>'Imp Refined NYC'!U218</f>
        <v>26.712513667431551</v>
      </c>
      <c r="O407" s="413">
        <f>'Imp Refined NYC'!V218</f>
        <v>28.699498408937959</v>
      </c>
      <c r="P407" s="405"/>
      <c r="Q407" s="405">
        <f>'Imp Refined NYC'!AF218</f>
        <v>16.814884311248001</v>
      </c>
      <c r="R407" s="405">
        <f>'Imp Refined NYC'!AG218</f>
        <v>3.8223803183520006</v>
      </c>
      <c r="S407" s="405">
        <f>'Imp Refined NYC'!AH218</f>
        <v>0.89727237519999958</v>
      </c>
      <c r="T407" s="405">
        <f>'Imp Refined NYC'!AI218</f>
        <v>0.21534537004799992</v>
      </c>
      <c r="U407" s="405"/>
      <c r="V407" s="405"/>
      <c r="W407" s="405"/>
      <c r="X407" s="405"/>
      <c r="Y407" s="405"/>
      <c r="Z407" s="405"/>
      <c r="AA407" s="413"/>
      <c r="AB407" s="415"/>
      <c r="AC407" s="415"/>
      <c r="AG407" s="415"/>
      <c r="AH407" s="405"/>
      <c r="AI407" s="415"/>
      <c r="AJ407" s="415">
        <v>1.0049999999999999</v>
      </c>
      <c r="AK407" s="415">
        <v>1.0049999999999999</v>
      </c>
      <c r="BC407" s="365"/>
      <c r="BD407" s="365"/>
      <c r="BE407" s="365"/>
      <c r="BF407" s="365"/>
      <c r="BG407" s="365"/>
    </row>
    <row r="408" spans="2:59">
      <c r="B408" s="376" t="str">
        <f>Technologies!B$591</f>
        <v>*R0</v>
      </c>
      <c r="C408" s="376" t="str">
        <f>'Imp Refined NYC'!E219</f>
        <v>IMPRFLP43</v>
      </c>
      <c r="D408" s="376" t="str">
        <f>'Imp Refined NYC'!F219</f>
        <v>Imported Low Sulfur Residual Fuel Oil, PADD 4, Step 3</v>
      </c>
      <c r="E408" s="415" t="str">
        <f>'Imp Refined NYC'!G219</f>
        <v>RFLP4</v>
      </c>
      <c r="F408" s="413">
        <f>'Imp Refined NYC'!M219</f>
        <v>8.5171211022886126</v>
      </c>
      <c r="G408" s="413">
        <f>'Imp Refined NYC'!N219</f>
        <v>9.1707833848871747</v>
      </c>
      <c r="H408" s="413">
        <f>'Imp Refined NYC'!O219</f>
        <v>9.0835869213875284</v>
      </c>
      <c r="I408" s="413">
        <f>'Imp Refined NYC'!P219</f>
        <v>9.8018282868403492</v>
      </c>
      <c r="J408" s="413">
        <f>'Imp Refined NYC'!Q219</f>
        <v>10.364868586686933</v>
      </c>
      <c r="K408" s="413">
        <f>'Imp Refined NYC'!R219</f>
        <v>11.13584940810531</v>
      </c>
      <c r="L408" s="413">
        <f>'Imp Refined NYC'!S219</f>
        <v>11.964178899410197</v>
      </c>
      <c r="M408" s="413">
        <f>'Imp Refined NYC'!T219</f>
        <v>12.854122886477391</v>
      </c>
      <c r="N408" s="413">
        <f>'Imp Refined NYC'!U219</f>
        <v>13.810264504554274</v>
      </c>
      <c r="O408" s="413">
        <f>'Imp Refined NYC'!V219</f>
        <v>14.837527801013463</v>
      </c>
      <c r="P408" s="405"/>
      <c r="Q408" s="405">
        <f>'Imp Refined NYC'!AF219</f>
        <v>0</v>
      </c>
      <c r="R408" s="405">
        <f>'Imp Refined NYC'!AG219</f>
        <v>0</v>
      </c>
      <c r="S408" s="405">
        <f>'Imp Refined NYC'!AH219</f>
        <v>0</v>
      </c>
      <c r="T408" s="405">
        <f>'Imp Refined NYC'!AI219</f>
        <v>0</v>
      </c>
      <c r="U408" s="405"/>
      <c r="V408" s="405"/>
      <c r="W408" s="405"/>
      <c r="X408" s="405"/>
      <c r="Y408" s="405"/>
      <c r="Z408" s="405"/>
      <c r="AA408" s="413"/>
      <c r="AB408" s="415"/>
      <c r="AC408" s="415"/>
      <c r="AG408" s="415"/>
      <c r="AH408" s="405"/>
      <c r="AI408" s="415"/>
      <c r="AJ408" s="415">
        <v>1.0049999999999999</v>
      </c>
      <c r="AK408" s="415">
        <v>1.0049999999999999</v>
      </c>
      <c r="BC408" s="365"/>
      <c r="BD408" s="365"/>
      <c r="BE408" s="365"/>
      <c r="BF408" s="365"/>
      <c r="BG408" s="365"/>
    </row>
    <row r="409" spans="2:59">
      <c r="B409" s="376" t="str">
        <f>Technologies!B$592</f>
        <v>*R0</v>
      </c>
      <c r="C409" s="376" t="str">
        <f>'Imp Refined NYC'!E220</f>
        <v>IMPRFLP41</v>
      </c>
      <c r="D409" s="376" t="str">
        <f>'Imp Refined NYC'!F220</f>
        <v>Imported Low Sulfur Residual Fuel Oil, PADD 4, Step 1</v>
      </c>
      <c r="E409" s="415" t="str">
        <f>'Imp Refined NYC'!G220</f>
        <v>RFLP4</v>
      </c>
      <c r="F409" s="413">
        <f>'Imp Refined NYC'!M220</f>
        <v>8.0912650471741809</v>
      </c>
      <c r="G409" s="413">
        <f>'Imp Refined NYC'!N220</f>
        <v>8.7122442156428139</v>
      </c>
      <c r="H409" s="413">
        <f>'Imp Refined NYC'!O220</f>
        <v>8.6294075753181492</v>
      </c>
      <c r="I409" s="413">
        <f>'Imp Refined NYC'!P220</f>
        <v>9.3117368724983294</v>
      </c>
      <c r="J409" s="413">
        <f>'Imp Refined NYC'!Q220</f>
        <v>9.8466251573525838</v>
      </c>
      <c r="K409" s="413">
        <f>'Imp Refined NYC'!R220</f>
        <v>10.579056937700042</v>
      </c>
      <c r="L409" s="413">
        <f>'Imp Refined NYC'!S220</f>
        <v>11.365969954439683</v>
      </c>
      <c r="M409" s="413">
        <f>'Imp Refined NYC'!T220</f>
        <v>12.211416742153517</v>
      </c>
      <c r="N409" s="413">
        <f>'Imp Refined NYC'!U220</f>
        <v>13.119751279326556</v>
      </c>
      <c r="O409" s="413">
        <f>'Imp Refined NYC'!V220</f>
        <v>14.095651410962784</v>
      </c>
      <c r="P409" s="405"/>
      <c r="Q409" s="405">
        <f>'Imp Refined NYC'!AF220</f>
        <v>0</v>
      </c>
      <c r="R409" s="405">
        <f>'Imp Refined NYC'!AG220</f>
        <v>0</v>
      </c>
      <c r="S409" s="405">
        <f>'Imp Refined NYC'!AH220</f>
        <v>0</v>
      </c>
      <c r="T409" s="405">
        <f>'Imp Refined NYC'!AI220</f>
        <v>0</v>
      </c>
      <c r="U409" s="405"/>
      <c r="V409" s="405"/>
      <c r="W409" s="405"/>
      <c r="X409" s="405"/>
      <c r="Y409" s="405"/>
      <c r="Z409" s="405"/>
      <c r="AA409" s="413"/>
      <c r="AB409" s="415"/>
      <c r="AC409" s="415"/>
      <c r="AG409" s="415"/>
      <c r="AH409" s="405"/>
      <c r="AI409" s="415"/>
      <c r="AJ409" s="415">
        <v>1.0049999999999999</v>
      </c>
      <c r="AK409" s="415">
        <v>1.0049999999999999</v>
      </c>
      <c r="BC409" s="365"/>
      <c r="BD409" s="365"/>
      <c r="BE409" s="365"/>
      <c r="BF409" s="365"/>
      <c r="BG409" s="365"/>
    </row>
    <row r="410" spans="2:59">
      <c r="B410" s="376" t="str">
        <f>Technologies!B$593</f>
        <v>*R0</v>
      </c>
      <c r="C410" s="376" t="str">
        <f>'Imp Refined NYC'!E221</f>
        <v>IMPRFLP42</v>
      </c>
      <c r="D410" s="376" t="str">
        <f>'Imp Refined NYC'!F221</f>
        <v>Imported Low Sulfur Residual Fuel Oil, PADD 4, Step 2</v>
      </c>
      <c r="E410" s="415" t="str">
        <f>'Imp Refined NYC'!G221</f>
        <v>RFLP4</v>
      </c>
      <c r="F410" s="413">
        <f>'Imp Refined NYC'!M221</f>
        <v>8.3467786802428403</v>
      </c>
      <c r="G410" s="413">
        <f>'Imp Refined NYC'!N221</f>
        <v>8.9873677171894304</v>
      </c>
      <c r="H410" s="413">
        <f>'Imp Refined NYC'!O221</f>
        <v>8.901915182959776</v>
      </c>
      <c r="I410" s="413">
        <f>'Imp Refined NYC'!P221</f>
        <v>9.6057917211035413</v>
      </c>
      <c r="J410" s="413">
        <f>'Imp Refined NYC'!Q221</f>
        <v>10.157571214953194</v>
      </c>
      <c r="K410" s="413">
        <f>'Imp Refined NYC'!R221</f>
        <v>10.913132419943203</v>
      </c>
      <c r="L410" s="413">
        <f>'Imp Refined NYC'!S221</f>
        <v>11.724895321421991</v>
      </c>
      <c r="M410" s="413">
        <f>'Imp Refined NYC'!T221</f>
        <v>12.597040428747842</v>
      </c>
      <c r="N410" s="413">
        <f>'Imp Refined NYC'!U221</f>
        <v>13.534059214463188</v>
      </c>
      <c r="O410" s="413">
        <f>'Imp Refined NYC'!V221</f>
        <v>14.540777244993192</v>
      </c>
      <c r="P410" s="405"/>
      <c r="Q410" s="405">
        <f>'Imp Refined NYC'!AF221</f>
        <v>0</v>
      </c>
      <c r="R410" s="405">
        <f>'Imp Refined NYC'!AG221</f>
        <v>0</v>
      </c>
      <c r="S410" s="405">
        <f>'Imp Refined NYC'!AH221</f>
        <v>0</v>
      </c>
      <c r="T410" s="405">
        <f>'Imp Refined NYC'!AI221</f>
        <v>0</v>
      </c>
      <c r="U410" s="405"/>
      <c r="V410" s="405"/>
      <c r="W410" s="405"/>
      <c r="X410" s="405"/>
      <c r="Y410" s="405"/>
      <c r="Z410" s="405"/>
      <c r="AA410" s="413"/>
      <c r="AB410" s="415"/>
      <c r="AC410" s="415"/>
      <c r="AG410" s="415"/>
      <c r="AH410" s="405"/>
      <c r="AI410" s="415"/>
      <c r="AJ410" s="415">
        <v>1.0049999999999999</v>
      </c>
      <c r="AK410" s="415">
        <v>1.0049999999999999</v>
      </c>
      <c r="BC410" s="365"/>
      <c r="BD410" s="365"/>
      <c r="BE410" s="365"/>
      <c r="BF410" s="365"/>
      <c r="BG410" s="365"/>
    </row>
    <row r="411" spans="2:59">
      <c r="B411" s="376" t="str">
        <f>Technologies!B$594</f>
        <v>*R0</v>
      </c>
      <c r="C411" s="376" t="str">
        <f>'Imp Refined NYC'!E222</f>
        <v>IMPRFLP44</v>
      </c>
      <c r="D411" s="376" t="str">
        <f>'Imp Refined NYC'!F222</f>
        <v>Imported Low Sulfur Residual Fuel Oil, PADD 4, Step 4</v>
      </c>
      <c r="E411" s="415" t="str">
        <f>'Imp Refined NYC'!G222</f>
        <v>RFLP4</v>
      </c>
      <c r="F411" s="413">
        <f>'Imp Refined NYC'!M222</f>
        <v>9.2836620014945854</v>
      </c>
      <c r="G411" s="413">
        <f>'Imp Refined NYC'!N222</f>
        <v>9.996153889527017</v>
      </c>
      <c r="H411" s="413">
        <f>'Imp Refined NYC'!O222</f>
        <v>9.9011097443124019</v>
      </c>
      <c r="I411" s="413">
        <f>'Imp Refined NYC'!P222</f>
        <v>10.683992832655978</v>
      </c>
      <c r="J411" s="413">
        <f>'Imp Refined NYC'!Q222</f>
        <v>11.297706759488754</v>
      </c>
      <c r="K411" s="413">
        <f>'Imp Refined NYC'!R222</f>
        <v>12.138075854834785</v>
      </c>
      <c r="L411" s="413">
        <f>'Imp Refined NYC'!S222</f>
        <v>13.04095500035711</v>
      </c>
      <c r="M411" s="413">
        <f>'Imp Refined NYC'!T222</f>
        <v>14.010993946260353</v>
      </c>
      <c r="N411" s="413">
        <f>'Imp Refined NYC'!U222</f>
        <v>15.053188309964154</v>
      </c>
      <c r="O411" s="413">
        <f>'Imp Refined NYC'!V222</f>
        <v>16.17290530310467</v>
      </c>
      <c r="P411" s="405"/>
      <c r="Q411" s="405">
        <f>'Imp Refined NYC'!AF222</f>
        <v>0</v>
      </c>
      <c r="R411" s="405">
        <f>'Imp Refined NYC'!AG222</f>
        <v>0</v>
      </c>
      <c r="S411" s="405">
        <f>'Imp Refined NYC'!AH222</f>
        <v>0</v>
      </c>
      <c r="T411" s="405">
        <f>'Imp Refined NYC'!AI222</f>
        <v>0</v>
      </c>
      <c r="U411" s="405"/>
      <c r="V411" s="405"/>
      <c r="W411" s="405"/>
      <c r="X411" s="405"/>
      <c r="Y411" s="405"/>
      <c r="Z411" s="405"/>
      <c r="AA411" s="413"/>
      <c r="AB411" s="415"/>
      <c r="AC411" s="415"/>
      <c r="AG411" s="415"/>
      <c r="AH411" s="405"/>
      <c r="AI411" s="415"/>
      <c r="AJ411" s="415">
        <v>1.0049999999999999</v>
      </c>
      <c r="AK411" s="415">
        <v>1.0049999999999999</v>
      </c>
      <c r="BC411" s="365"/>
      <c r="BD411" s="365"/>
      <c r="BE411" s="365"/>
      <c r="BF411" s="365"/>
      <c r="BG411" s="365"/>
    </row>
    <row r="412" spans="2:59">
      <c r="B412" s="376" t="str">
        <f>Technologies!B$595</f>
        <v>*R0</v>
      </c>
      <c r="C412" s="376" t="str">
        <f>'Imp Refined NYC'!E223</f>
        <v>IMPRFLP45</v>
      </c>
      <c r="D412" s="376" t="str">
        <f>'Imp Refined NYC'!F223</f>
        <v>Imported Low Sulfur Residual Fuel Oil, PADD 4, Step 5</v>
      </c>
      <c r="E412" s="415" t="str">
        <f>'Imp Refined NYC'!G223</f>
        <v>RFLP4</v>
      </c>
      <c r="F412" s="413">
        <f>'Imp Refined NYC'!M223</f>
        <v>11.072257432975196</v>
      </c>
      <c r="G412" s="413">
        <f>'Imp Refined NYC'!N223</f>
        <v>11.922018400353325</v>
      </c>
      <c r="H412" s="413">
        <f>'Imp Refined NYC'!O223</f>
        <v>11.808662997803784</v>
      </c>
      <c r="I412" s="413">
        <f>'Imp Refined NYC'!P223</f>
        <v>12.742376772892452</v>
      </c>
      <c r="J412" s="413">
        <f>'Imp Refined NYC'!Q223</f>
        <v>13.47432916269301</v>
      </c>
      <c r="K412" s="413">
        <f>'Imp Refined NYC'!R223</f>
        <v>14.4766042305369</v>
      </c>
      <c r="L412" s="413">
        <f>'Imp Refined NYC'!S223</f>
        <v>15.553432569233252</v>
      </c>
      <c r="M412" s="413">
        <f>'Imp Refined NYC'!T223</f>
        <v>16.710359752420604</v>
      </c>
      <c r="N412" s="413">
        <f>'Imp Refined NYC'!U223</f>
        <v>17.953343855920551</v>
      </c>
      <c r="O412" s="413">
        <f>'Imp Refined NYC'!V223</f>
        <v>19.288786141317495</v>
      </c>
      <c r="P412" s="405"/>
      <c r="Q412" s="405">
        <f>'Imp Refined NYC'!AF223</f>
        <v>0</v>
      </c>
      <c r="R412" s="405">
        <f>'Imp Refined NYC'!AG223</f>
        <v>0</v>
      </c>
      <c r="S412" s="405">
        <f>'Imp Refined NYC'!AH223</f>
        <v>0</v>
      </c>
      <c r="T412" s="405">
        <f>'Imp Refined NYC'!AI223</f>
        <v>0</v>
      </c>
      <c r="U412" s="405"/>
      <c r="V412" s="405"/>
      <c r="W412" s="405"/>
      <c r="X412" s="405"/>
      <c r="Y412" s="405"/>
      <c r="Z412" s="405"/>
      <c r="AA412" s="413"/>
      <c r="AB412" s="415"/>
      <c r="AC412" s="415"/>
      <c r="AG412" s="415"/>
      <c r="AH412" s="405"/>
      <c r="AI412" s="415"/>
      <c r="AJ412" s="415">
        <v>1.0049999999999999</v>
      </c>
      <c r="AK412" s="415">
        <v>1.0049999999999999</v>
      </c>
      <c r="BC412" s="365"/>
      <c r="BD412" s="365"/>
      <c r="BE412" s="365"/>
      <c r="BF412" s="365"/>
      <c r="BG412" s="365"/>
    </row>
    <row r="413" spans="2:59">
      <c r="B413" s="376" t="str">
        <f>Technologies!B$596</f>
        <v>*R0</v>
      </c>
      <c r="C413" s="376" t="str">
        <f>'Imp Refined NYC'!E224</f>
        <v>IMPRFHP43</v>
      </c>
      <c r="D413" s="376" t="str">
        <f>'Imp Refined NYC'!F224</f>
        <v>Imported High Sulfur Residual Fuel Oil, PADD 4, Step 3</v>
      </c>
      <c r="E413" s="415" t="str">
        <f>'Imp Refined NYC'!G224</f>
        <v>RFHP4</v>
      </c>
      <c r="F413" s="413">
        <f>'Imp Refined NYC'!M224</f>
        <v>8.3491707011081395</v>
      </c>
      <c r="G413" s="413">
        <f>'Imp Refined NYC'!N224</f>
        <v>8.9899433181400727</v>
      </c>
      <c r="H413" s="413">
        <f>'Imp Refined NYC'!O224</f>
        <v>8.9044662949126039</v>
      </c>
      <c r="I413" s="413">
        <f>'Imp Refined NYC'!P224</f>
        <v>9.6085445500816231</v>
      </c>
      <c r="J413" s="413">
        <f>'Imp Refined NYC'!Q224</f>
        <v>10.160482172966786</v>
      </c>
      <c r="K413" s="413">
        <f>'Imp Refined NYC'!R224</f>
        <v>10.91625990678026</v>
      </c>
      <c r="L413" s="413">
        <f>'Imp Refined NYC'!S224</f>
        <v>11.728255443371635</v>
      </c>
      <c r="M413" s="413">
        <f>'Imp Refined NYC'!T224</f>
        <v>12.600650490150084</v>
      </c>
      <c r="N413" s="413">
        <f>'Imp Refined NYC'!U224</f>
        <v>13.537937806824795</v>
      </c>
      <c r="O413" s="413">
        <f>'Imp Refined NYC'!V224</f>
        <v>14.544944342732354</v>
      </c>
      <c r="P413" s="405"/>
      <c r="Q413" s="405">
        <f>'Imp Refined NYC'!AF224</f>
        <v>0</v>
      </c>
      <c r="R413" s="405">
        <f>'Imp Refined NYC'!AG224</f>
        <v>0</v>
      </c>
      <c r="S413" s="405">
        <f>'Imp Refined NYC'!AH224</f>
        <v>0</v>
      </c>
      <c r="T413" s="405">
        <f>'Imp Refined NYC'!AI224</f>
        <v>0</v>
      </c>
      <c r="U413" s="405"/>
      <c r="V413" s="405"/>
      <c r="W413" s="405"/>
      <c r="X413" s="405"/>
      <c r="Y413" s="405"/>
      <c r="Z413" s="405"/>
      <c r="AA413" s="413"/>
      <c r="AB413" s="415"/>
      <c r="AC413" s="415"/>
      <c r="AG413" s="415"/>
      <c r="AH413" s="405"/>
      <c r="AI413" s="415"/>
      <c r="AJ413" s="415">
        <v>1.0049999999999999</v>
      </c>
      <c r="AK413" s="415">
        <v>1.0049999999999999</v>
      </c>
      <c r="BC413" s="365"/>
      <c r="BD413" s="365"/>
      <c r="BE413" s="365"/>
      <c r="BF413" s="365"/>
      <c r="BG413" s="365"/>
    </row>
    <row r="414" spans="2:59">
      <c r="B414" s="376" t="str">
        <f>Technologies!B$597</f>
        <v>*R0</v>
      </c>
      <c r="C414" s="376" t="str">
        <f>'Imp Refined NYC'!E225</f>
        <v>IMPRFHP41</v>
      </c>
      <c r="D414" s="376" t="str">
        <f>'Imp Refined NYC'!F225</f>
        <v>Imported High Sulfur Residual Fuel Oil, PADD 4, Step 1</v>
      </c>
      <c r="E414" s="415" t="str">
        <f>'Imp Refined NYC'!G225</f>
        <v>RFHP4</v>
      </c>
      <c r="F414" s="413">
        <f>'Imp Refined NYC'!M225</f>
        <v>7.9317121660527317</v>
      </c>
      <c r="G414" s="413">
        <f>'Imp Refined NYC'!N225</f>
        <v>8.5404461522330681</v>
      </c>
      <c r="H414" s="413">
        <f>'Imp Refined NYC'!O225</f>
        <v>8.4592429801669713</v>
      </c>
      <c r="I414" s="413">
        <f>'Imp Refined NYC'!P225</f>
        <v>9.1281173225775394</v>
      </c>
      <c r="J414" s="413">
        <f>'Imp Refined NYC'!Q225</f>
        <v>9.652458064318445</v>
      </c>
      <c r="K414" s="413">
        <f>'Imp Refined NYC'!R225</f>
        <v>10.370446911441245</v>
      </c>
      <c r="L414" s="413">
        <f>'Imp Refined NYC'!S225</f>
        <v>11.141842671203051</v>
      </c>
      <c r="M414" s="413">
        <f>'Imp Refined NYC'!T225</f>
        <v>11.970617965642576</v>
      </c>
      <c r="N414" s="413">
        <f>'Imp Refined NYC'!U225</f>
        <v>12.861040916483551</v>
      </c>
      <c r="O414" s="413">
        <f>'Imp Refined NYC'!V225</f>
        <v>13.817697125595732</v>
      </c>
      <c r="P414" s="405"/>
      <c r="Q414" s="405">
        <f>'Imp Refined NYC'!AF225</f>
        <v>0</v>
      </c>
      <c r="R414" s="405">
        <f>'Imp Refined NYC'!AG225</f>
        <v>0</v>
      </c>
      <c r="S414" s="405">
        <f>'Imp Refined NYC'!AH225</f>
        <v>0</v>
      </c>
      <c r="T414" s="405">
        <f>'Imp Refined NYC'!AI225</f>
        <v>0</v>
      </c>
      <c r="U414" s="405"/>
      <c r="V414" s="405"/>
      <c r="W414" s="405"/>
      <c r="X414" s="405"/>
      <c r="Y414" s="405"/>
      <c r="Z414" s="405"/>
      <c r="AA414" s="413"/>
      <c r="AB414" s="415"/>
      <c r="AC414" s="415"/>
      <c r="AG414" s="415"/>
      <c r="AH414" s="405"/>
      <c r="AI414" s="415"/>
      <c r="AJ414" s="415">
        <v>1.0049999999999999</v>
      </c>
      <c r="AK414" s="415">
        <v>1.0049999999999999</v>
      </c>
      <c r="BC414" s="365"/>
      <c r="BD414" s="365"/>
      <c r="BE414" s="365"/>
      <c r="BF414" s="365"/>
      <c r="BG414" s="365"/>
    </row>
    <row r="415" spans="2:59">
      <c r="B415" s="376" t="str">
        <f>Technologies!B$598</f>
        <v>*R0</v>
      </c>
      <c r="C415" s="376" t="str">
        <f>'Imp Refined NYC'!E226</f>
        <v>IMPRFHP42</v>
      </c>
      <c r="D415" s="376" t="str">
        <f>'Imp Refined NYC'!F226</f>
        <v>Imported High Sulfur Residual Fuel Oil, PADD 4, Step 2</v>
      </c>
      <c r="E415" s="415" t="str">
        <f>'Imp Refined NYC'!G226</f>
        <v>RFHP4</v>
      </c>
      <c r="F415" s="413">
        <f>'Imp Refined NYC'!M226</f>
        <v>8.1821872870859753</v>
      </c>
      <c r="G415" s="413">
        <f>'Imp Refined NYC'!N226</f>
        <v>8.8101444517772709</v>
      </c>
      <c r="H415" s="413">
        <f>'Imp Refined NYC'!O226</f>
        <v>8.7263769690143516</v>
      </c>
      <c r="I415" s="413">
        <f>'Imp Refined NYC'!P226</f>
        <v>9.4163736590799907</v>
      </c>
      <c r="J415" s="413">
        <f>'Imp Refined NYC'!Q226</f>
        <v>9.9572725295074509</v>
      </c>
      <c r="K415" s="413">
        <f>'Imp Refined NYC'!R226</f>
        <v>10.697934708644656</v>
      </c>
      <c r="L415" s="413">
        <f>'Imp Refined NYC'!S226</f>
        <v>11.493690334504203</v>
      </c>
      <c r="M415" s="413">
        <f>'Imp Refined NYC'!T226</f>
        <v>12.348637480347083</v>
      </c>
      <c r="N415" s="413">
        <f>'Imp Refined NYC'!U226</f>
        <v>13.267179050688299</v>
      </c>
      <c r="O415" s="413">
        <f>'Imp Refined NYC'!V226</f>
        <v>14.254045455877707</v>
      </c>
      <c r="P415" s="405"/>
      <c r="Q415" s="405">
        <f>'Imp Refined NYC'!AF226</f>
        <v>0</v>
      </c>
      <c r="R415" s="405">
        <f>'Imp Refined NYC'!AG226</f>
        <v>0</v>
      </c>
      <c r="S415" s="405">
        <f>'Imp Refined NYC'!AH226</f>
        <v>0</v>
      </c>
      <c r="T415" s="405">
        <f>'Imp Refined NYC'!AI226</f>
        <v>0</v>
      </c>
      <c r="U415" s="405"/>
      <c r="V415" s="405"/>
      <c r="W415" s="405"/>
      <c r="X415" s="405"/>
      <c r="Y415" s="405"/>
      <c r="Z415" s="405"/>
      <c r="AA415" s="413"/>
      <c r="AB415" s="415"/>
      <c r="AC415" s="415"/>
      <c r="AG415" s="415"/>
      <c r="AH415" s="405"/>
      <c r="AI415" s="415"/>
      <c r="AJ415" s="415">
        <v>1.0049999999999999</v>
      </c>
      <c r="AK415" s="415">
        <v>1.0049999999999999</v>
      </c>
      <c r="BC415" s="365"/>
      <c r="BD415" s="365"/>
      <c r="BE415" s="365"/>
      <c r="BF415" s="365"/>
      <c r="BG415" s="365"/>
    </row>
    <row r="416" spans="2:59">
      <c r="B416" s="376" t="str">
        <f>Technologies!B$599</f>
        <v>*R0</v>
      </c>
      <c r="C416" s="376" t="str">
        <f>'Imp Refined NYC'!E227</f>
        <v>IMPRFHP44</v>
      </c>
      <c r="D416" s="376" t="str">
        <f>'Imp Refined NYC'!F227</f>
        <v>Imported High Sulfur Residual Fuel Oil, PADD 4, Step 4</v>
      </c>
      <c r="E416" s="415" t="str">
        <f>'Imp Refined NYC'!G227</f>
        <v>RFHP4</v>
      </c>
      <c r="F416" s="413">
        <f>'Imp Refined NYC'!M227</f>
        <v>9.1005960642078705</v>
      </c>
      <c r="G416" s="413">
        <f>'Imp Refined NYC'!N227</f>
        <v>9.7990382167726775</v>
      </c>
      <c r="H416" s="413">
        <f>'Imp Refined NYC'!O227</f>
        <v>9.7058682614547358</v>
      </c>
      <c r="I416" s="413">
        <f>'Imp Refined NYC'!P227</f>
        <v>10.473313559588966</v>
      </c>
      <c r="J416" s="413">
        <f>'Imp Refined NYC'!Q227</f>
        <v>11.074925568533795</v>
      </c>
      <c r="K416" s="413">
        <f>'Imp Refined NYC'!R227</f>
        <v>11.898723298390481</v>
      </c>
      <c r="L416" s="413">
        <f>'Imp Refined NYC'!S227</f>
        <v>12.783798433275079</v>
      </c>
      <c r="M416" s="413">
        <f>'Imp Refined NYC'!T227</f>
        <v>13.734709034263588</v>
      </c>
      <c r="N416" s="413">
        <f>'Imp Refined NYC'!U227</f>
        <v>14.756352209439022</v>
      </c>
      <c r="O416" s="413">
        <f>'Imp Refined NYC'!V227</f>
        <v>15.85398933357826</v>
      </c>
      <c r="P416" s="405"/>
      <c r="Q416" s="405">
        <f>'Imp Refined NYC'!AF227</f>
        <v>0</v>
      </c>
      <c r="R416" s="405">
        <f>'Imp Refined NYC'!AG227</f>
        <v>0</v>
      </c>
      <c r="S416" s="405">
        <f>'Imp Refined NYC'!AH227</f>
        <v>0</v>
      </c>
      <c r="T416" s="405">
        <f>'Imp Refined NYC'!AI227</f>
        <v>0</v>
      </c>
      <c r="U416" s="405"/>
      <c r="V416" s="405"/>
      <c r="W416" s="405"/>
      <c r="X416" s="405"/>
      <c r="Y416" s="405"/>
      <c r="Z416" s="405"/>
      <c r="AA416" s="413"/>
      <c r="AB416" s="415"/>
      <c r="AC416" s="415"/>
      <c r="AG416" s="415"/>
      <c r="AH416" s="405"/>
      <c r="AI416" s="415"/>
      <c r="AJ416" s="415">
        <v>1.0049999999999999</v>
      </c>
      <c r="AK416" s="415">
        <v>1.0049999999999999</v>
      </c>
      <c r="BC416" s="365"/>
      <c r="BD416" s="365"/>
      <c r="BE416" s="365"/>
      <c r="BF416" s="365"/>
      <c r="BG416" s="365"/>
    </row>
    <row r="417" spans="2:59">
      <c r="B417" s="376" t="str">
        <f>Technologies!B$600</f>
        <v>*R0</v>
      </c>
      <c r="C417" s="376" t="str">
        <f>'Imp Refined NYC'!E228</f>
        <v>IMPRFHP45</v>
      </c>
      <c r="D417" s="376" t="str">
        <f>'Imp Refined NYC'!F228</f>
        <v>Imported High Sulfur Residual Fuel Oil, PADD 4, Step 5</v>
      </c>
      <c r="E417" s="415" t="str">
        <f>'Imp Refined NYC'!G228</f>
        <v>RFHP4</v>
      </c>
      <c r="F417" s="413">
        <f>'Imp Refined NYC'!M228</f>
        <v>10.85392191144058</v>
      </c>
      <c r="G417" s="413">
        <f>'Imp Refined NYC'!N228</f>
        <v>11.686926313582093</v>
      </c>
      <c r="H417" s="413">
        <f>'Imp Refined NYC'!O228</f>
        <v>11.575806183386383</v>
      </c>
      <c r="I417" s="413">
        <f>'Imp Refined NYC'!P228</f>
        <v>12.49110791510611</v>
      </c>
      <c r="J417" s="413">
        <f>'Imp Refined NYC'!Q228</f>
        <v>13.208626824856822</v>
      </c>
      <c r="K417" s="413">
        <f>'Imp Refined NYC'!R228</f>
        <v>14.191137878814338</v>
      </c>
      <c r="L417" s="413">
        <f>'Imp Refined NYC'!S228</f>
        <v>15.246732076383125</v>
      </c>
      <c r="M417" s="413">
        <f>'Imp Refined NYC'!T228</f>
        <v>16.380845637195108</v>
      </c>
      <c r="N417" s="413">
        <f>'Imp Refined NYC'!U228</f>
        <v>17.59931914887223</v>
      </c>
      <c r="O417" s="413">
        <f>'Imp Refined NYC'!V228</f>
        <v>18.908427645552056</v>
      </c>
      <c r="P417" s="405"/>
      <c r="Q417" s="405">
        <f>'Imp Refined NYC'!AF228</f>
        <v>0</v>
      </c>
      <c r="R417" s="405">
        <f>'Imp Refined NYC'!AG228</f>
        <v>0</v>
      </c>
      <c r="S417" s="405">
        <f>'Imp Refined NYC'!AH228</f>
        <v>0</v>
      </c>
      <c r="T417" s="405">
        <f>'Imp Refined NYC'!AI228</f>
        <v>0</v>
      </c>
      <c r="U417" s="405"/>
      <c r="V417" s="405"/>
      <c r="W417" s="405"/>
      <c r="X417" s="405"/>
      <c r="Y417" s="405"/>
      <c r="Z417" s="405"/>
      <c r="AA417" s="413"/>
      <c r="AB417" s="415"/>
      <c r="AC417" s="415"/>
      <c r="AG417" s="415"/>
      <c r="AH417" s="405"/>
      <c r="AI417" s="415"/>
      <c r="AJ417" s="415">
        <v>1.0049999999999999</v>
      </c>
      <c r="AK417" s="415">
        <v>1.0049999999999999</v>
      </c>
      <c r="BC417" s="365"/>
      <c r="BD417" s="365"/>
      <c r="BE417" s="365"/>
      <c r="BF417" s="365"/>
      <c r="BG417" s="365"/>
    </row>
    <row r="418" spans="2:59">
      <c r="B418" s="376" t="str">
        <f>Technologies!B$601</f>
        <v>*R0</v>
      </c>
      <c r="C418" s="376" t="str">
        <f>'Imp Refined NYC'!E229</f>
        <v>IMPJTFP43</v>
      </c>
      <c r="D418" s="376" t="str">
        <f>'Imp Refined NYC'!F229</f>
        <v>Imported Jet Fuel, PADD 4, Step 3</v>
      </c>
      <c r="E418" s="415" t="str">
        <f>'Imp Refined NYC'!G229</f>
        <v>JTFP4</v>
      </c>
      <c r="F418" s="413">
        <v>0</v>
      </c>
      <c r="G418" s="413">
        <v>0</v>
      </c>
      <c r="H418" s="413">
        <v>0</v>
      </c>
      <c r="I418" s="413">
        <v>0</v>
      </c>
      <c r="J418" s="413">
        <v>0</v>
      </c>
      <c r="K418" s="413">
        <v>0</v>
      </c>
      <c r="L418" s="413">
        <v>0</v>
      </c>
      <c r="M418" s="413">
        <v>0</v>
      </c>
      <c r="N418" s="413">
        <v>0</v>
      </c>
      <c r="O418" s="413">
        <v>0</v>
      </c>
      <c r="P418" s="405"/>
      <c r="Q418" s="405">
        <f>'Imp Refined NYC'!AF229</f>
        <v>9.3890119226399893E-2</v>
      </c>
      <c r="R418" s="405">
        <f>'Imp Refined NYC'!AG229</f>
        <v>0</v>
      </c>
      <c r="S418" s="405">
        <f>'Imp Refined NYC'!AH229</f>
        <v>0</v>
      </c>
      <c r="T418" s="405">
        <f>'Imp Refined NYC'!AI229</f>
        <v>0</v>
      </c>
      <c r="U418" s="405">
        <f>'Imp Refined NYC'!AF229</f>
        <v>9.3890119226399893E-2</v>
      </c>
      <c r="V418" s="405">
        <f>'Imp Refined NYC'!AG229</f>
        <v>0</v>
      </c>
      <c r="W418" s="405">
        <f>'Imp Refined NYC'!AH229</f>
        <v>0</v>
      </c>
      <c r="X418" s="405">
        <f>'Imp Refined NYC'!AI229</f>
        <v>0</v>
      </c>
      <c r="Y418" s="405">
        <f>'Imp Refined NYC'!AJ229</f>
        <v>0</v>
      </c>
      <c r="Z418" s="405">
        <f>'Imp Refined NYC'!AK229</f>
        <v>0</v>
      </c>
      <c r="AA418" s="405">
        <f>'Imp Refined NYC'!AL229</f>
        <v>0</v>
      </c>
      <c r="AB418" s="415"/>
      <c r="AC418" s="415"/>
      <c r="AG418" s="415"/>
      <c r="AH418" s="405"/>
      <c r="AI418" s="415"/>
      <c r="AJ418" s="415">
        <v>1.0049999999999999</v>
      </c>
      <c r="AK418" s="415">
        <v>1.0049999999999999</v>
      </c>
      <c r="BC418" s="365"/>
      <c r="BD418" s="365"/>
      <c r="BE418" s="365"/>
      <c r="BF418" s="365"/>
      <c r="BG418" s="365"/>
    </row>
    <row r="419" spans="2:59">
      <c r="B419" s="376" t="str">
        <f>Technologies!B$602</f>
        <v>*R0</v>
      </c>
      <c r="C419" s="376" t="str">
        <f>'Imp Refined NYC'!E230</f>
        <v>IMPJTFP41</v>
      </c>
      <c r="D419" s="376" t="str">
        <f>'Imp Refined NYC'!F230</f>
        <v>Imported Jet Fuel, PADD 4, Step 1</v>
      </c>
      <c r="E419" s="415" t="str">
        <f>'Imp Refined NYC'!G230</f>
        <v>JTFP4</v>
      </c>
      <c r="F419" s="413">
        <v>0</v>
      </c>
      <c r="G419" s="413">
        <v>0</v>
      </c>
      <c r="H419" s="413">
        <v>0</v>
      </c>
      <c r="I419" s="413">
        <v>0</v>
      </c>
      <c r="J419" s="413">
        <v>0</v>
      </c>
      <c r="K419" s="413">
        <v>0</v>
      </c>
      <c r="L419" s="413">
        <v>0</v>
      </c>
      <c r="M419" s="413">
        <v>0</v>
      </c>
      <c r="N419" s="413">
        <v>0</v>
      </c>
      <c r="O419" s="413">
        <v>0</v>
      </c>
      <c r="P419" s="405"/>
      <c r="Q419" s="405">
        <f>'Imp Refined NYC'!AF230</f>
        <v>0.75112095381120003</v>
      </c>
      <c r="R419" s="405">
        <f>'Imp Refined NYC'!AG230</f>
        <v>0</v>
      </c>
      <c r="S419" s="405">
        <f>'Imp Refined NYC'!AH230</f>
        <v>0</v>
      </c>
      <c r="T419" s="405">
        <f>'Imp Refined NYC'!AI230</f>
        <v>0</v>
      </c>
      <c r="U419" s="405">
        <f>'Imp Refined NYC'!AF230</f>
        <v>0.75112095381120003</v>
      </c>
      <c r="V419" s="405">
        <f>'Imp Refined NYC'!AG230</f>
        <v>0</v>
      </c>
      <c r="W419" s="405">
        <f>'Imp Refined NYC'!AH230</f>
        <v>0</v>
      </c>
      <c r="X419" s="405">
        <f>'Imp Refined NYC'!AI230</f>
        <v>0</v>
      </c>
      <c r="Y419" s="405">
        <f>'Imp Refined NYC'!AJ230</f>
        <v>0</v>
      </c>
      <c r="Z419" s="405">
        <f>'Imp Refined NYC'!AK230</f>
        <v>0</v>
      </c>
      <c r="AA419" s="405">
        <f>'Imp Refined NYC'!AL230</f>
        <v>0</v>
      </c>
      <c r="AB419" s="415"/>
      <c r="AC419" s="415"/>
      <c r="AG419" s="415"/>
      <c r="AH419" s="405"/>
      <c r="AI419" s="415"/>
      <c r="AJ419" s="415">
        <v>1.0049999999999999</v>
      </c>
      <c r="AK419" s="415">
        <v>1.0049999999999999</v>
      </c>
      <c r="BC419" s="365"/>
      <c r="BD419" s="365"/>
      <c r="BE419" s="365"/>
      <c r="BF419" s="365"/>
      <c r="BG419" s="365"/>
    </row>
    <row r="420" spans="2:59">
      <c r="B420" s="376" t="str">
        <f>Technologies!B$603</f>
        <v>*R0</v>
      </c>
      <c r="C420" s="376" t="str">
        <f>'Imp Refined NYC'!E231</f>
        <v>IMPJTFP42</v>
      </c>
      <c r="D420" s="376" t="str">
        <f>'Imp Refined NYC'!F231</f>
        <v>Imported Jet Fuel, PADD 4, Step 2</v>
      </c>
      <c r="E420" s="415" t="str">
        <f>'Imp Refined NYC'!G231</f>
        <v>JTFP4</v>
      </c>
      <c r="F420" s="413">
        <v>0</v>
      </c>
      <c r="G420" s="413">
        <v>0</v>
      </c>
      <c r="H420" s="413">
        <v>0</v>
      </c>
      <c r="I420" s="413">
        <v>0</v>
      </c>
      <c r="J420" s="413">
        <v>0</v>
      </c>
      <c r="K420" s="413">
        <v>0</v>
      </c>
      <c r="L420" s="413">
        <v>0</v>
      </c>
      <c r="M420" s="413">
        <v>0</v>
      </c>
      <c r="N420" s="413">
        <v>0</v>
      </c>
      <c r="O420" s="413">
        <v>0</v>
      </c>
      <c r="P420" s="405"/>
      <c r="Q420" s="405">
        <f>'Imp Refined NYC'!AF231</f>
        <v>9.3890119226399893E-2</v>
      </c>
      <c r="R420" s="405">
        <f>'Imp Refined NYC'!AG231</f>
        <v>0</v>
      </c>
      <c r="S420" s="405">
        <f>'Imp Refined NYC'!AH231</f>
        <v>0</v>
      </c>
      <c r="T420" s="405">
        <f>'Imp Refined NYC'!AI231</f>
        <v>0</v>
      </c>
      <c r="U420" s="405">
        <f>'Imp Refined NYC'!AF231</f>
        <v>9.3890119226399893E-2</v>
      </c>
      <c r="V420" s="405">
        <f>'Imp Refined NYC'!AG231</f>
        <v>0</v>
      </c>
      <c r="W420" s="405">
        <f>'Imp Refined NYC'!AH231</f>
        <v>0</v>
      </c>
      <c r="X420" s="405">
        <f>'Imp Refined NYC'!AI231</f>
        <v>0</v>
      </c>
      <c r="Y420" s="405">
        <f>'Imp Refined NYC'!AJ231</f>
        <v>0</v>
      </c>
      <c r="Z420" s="405">
        <f>'Imp Refined NYC'!AK231</f>
        <v>0</v>
      </c>
      <c r="AA420" s="405">
        <f>'Imp Refined NYC'!AL231</f>
        <v>0</v>
      </c>
      <c r="AB420" s="415"/>
      <c r="AC420" s="415"/>
      <c r="AG420" s="415"/>
      <c r="AH420" s="405"/>
      <c r="AI420" s="415"/>
      <c r="AJ420" s="415">
        <v>1.0049999999999999</v>
      </c>
      <c r="AK420" s="415">
        <v>1.0049999999999999</v>
      </c>
      <c r="BC420" s="365"/>
      <c r="BD420" s="365"/>
      <c r="BE420" s="365"/>
      <c r="BF420" s="365"/>
      <c r="BG420" s="365"/>
    </row>
    <row r="421" spans="2:59">
      <c r="B421" s="376" t="str">
        <f>Technologies!B$604</f>
        <v>*R0</v>
      </c>
      <c r="C421" s="376" t="str">
        <f>'Imp Refined NYC'!E232</f>
        <v>IMPJTFP44</v>
      </c>
      <c r="D421" s="376" t="str">
        <f>'Imp Refined NYC'!F232</f>
        <v>Imported Jet Fuel, PADD 4, Step 4</v>
      </c>
      <c r="E421" s="415" t="str">
        <f>'Imp Refined NYC'!G232</f>
        <v>JTFP4</v>
      </c>
      <c r="F421" s="413">
        <v>0</v>
      </c>
      <c r="G421" s="413">
        <v>0</v>
      </c>
      <c r="H421" s="413">
        <v>0</v>
      </c>
      <c r="I421" s="413">
        <v>0</v>
      </c>
      <c r="J421" s="413">
        <v>0</v>
      </c>
      <c r="K421" s="413">
        <v>0</v>
      </c>
      <c r="L421" s="413">
        <v>0</v>
      </c>
      <c r="M421" s="413">
        <v>0</v>
      </c>
      <c r="N421" s="413">
        <v>0</v>
      </c>
      <c r="O421" s="413">
        <v>0</v>
      </c>
      <c r="P421" s="405"/>
      <c r="Q421" s="405">
        <f>'Imp Refined NYC'!AF232</f>
        <v>0.18778023845280001</v>
      </c>
      <c r="R421" s="405">
        <f>'Imp Refined NYC'!AG232</f>
        <v>0</v>
      </c>
      <c r="S421" s="405">
        <f>'Imp Refined NYC'!AH232</f>
        <v>0</v>
      </c>
      <c r="T421" s="405">
        <f>'Imp Refined NYC'!AI232</f>
        <v>0</v>
      </c>
      <c r="U421" s="405">
        <f>'Imp Refined NYC'!AF232</f>
        <v>0.18778023845280001</v>
      </c>
      <c r="V421" s="405">
        <f>'Imp Refined NYC'!AG232</f>
        <v>0</v>
      </c>
      <c r="W421" s="405">
        <f>'Imp Refined NYC'!AH232</f>
        <v>0</v>
      </c>
      <c r="X421" s="405">
        <f>'Imp Refined NYC'!AI232</f>
        <v>0</v>
      </c>
      <c r="Y421" s="405">
        <f>'Imp Refined NYC'!AJ232</f>
        <v>0</v>
      </c>
      <c r="Z421" s="405">
        <f>'Imp Refined NYC'!AK232</f>
        <v>0</v>
      </c>
      <c r="AA421" s="405">
        <f>'Imp Refined NYC'!AL232</f>
        <v>0</v>
      </c>
      <c r="AB421" s="415"/>
      <c r="AC421" s="415"/>
      <c r="AG421" s="415"/>
      <c r="AH421" s="405"/>
      <c r="AI421" s="415"/>
      <c r="AJ421" s="415">
        <v>1.0049999999999999</v>
      </c>
      <c r="AK421" s="415">
        <v>1.0049999999999999</v>
      </c>
      <c r="BC421" s="365"/>
      <c r="BD421" s="365"/>
      <c r="BE421" s="365"/>
      <c r="BF421" s="365"/>
      <c r="BG421" s="365"/>
    </row>
    <row r="422" spans="2:59">
      <c r="B422" s="376" t="str">
        <f>Technologies!B$605</f>
        <v>*R0</v>
      </c>
      <c r="C422" s="376" t="str">
        <f>'Imp Refined NYC'!E233</f>
        <v>IMPJTFP45</v>
      </c>
      <c r="D422" s="376" t="str">
        <f>'Imp Refined NYC'!F233</f>
        <v>Imported Jet Fuel, PADD 4, Step 5</v>
      </c>
      <c r="E422" s="415" t="str">
        <f>'Imp Refined NYC'!G233</f>
        <v>JTFP4</v>
      </c>
      <c r="F422" s="413">
        <v>0</v>
      </c>
      <c r="G422" s="413">
        <v>0</v>
      </c>
      <c r="H422" s="413">
        <v>0</v>
      </c>
      <c r="I422" s="413">
        <v>0</v>
      </c>
      <c r="J422" s="413">
        <v>0</v>
      </c>
      <c r="K422" s="413">
        <v>0</v>
      </c>
      <c r="L422" s="413">
        <v>0</v>
      </c>
      <c r="M422" s="413">
        <v>0</v>
      </c>
      <c r="N422" s="413">
        <v>0</v>
      </c>
      <c r="O422" s="413">
        <v>0</v>
      </c>
      <c r="P422" s="405"/>
      <c r="Q422" s="405">
        <f>'Imp Refined NYC'!AF233</f>
        <v>0.75112095381119981</v>
      </c>
      <c r="R422" s="405">
        <f>'Imp Refined NYC'!AG233</f>
        <v>0</v>
      </c>
      <c r="S422" s="405">
        <f>'Imp Refined NYC'!AH233</f>
        <v>0</v>
      </c>
      <c r="T422" s="405">
        <f>'Imp Refined NYC'!AI233</f>
        <v>0</v>
      </c>
      <c r="U422" s="405">
        <f>'Imp Refined NYC'!AF233</f>
        <v>0.75112095381119981</v>
      </c>
      <c r="V422" s="405">
        <f>'Imp Refined NYC'!AG233</f>
        <v>0</v>
      </c>
      <c r="W422" s="405">
        <f>'Imp Refined NYC'!AH233</f>
        <v>0</v>
      </c>
      <c r="X422" s="405">
        <f>'Imp Refined NYC'!AI233</f>
        <v>0</v>
      </c>
      <c r="Y422" s="405">
        <f>'Imp Refined NYC'!AJ233</f>
        <v>0</v>
      </c>
      <c r="Z422" s="405">
        <f>'Imp Refined NYC'!AK233</f>
        <v>0</v>
      </c>
      <c r="AA422" s="405">
        <f>'Imp Refined NYC'!AL233</f>
        <v>0</v>
      </c>
      <c r="AB422" s="415"/>
      <c r="AC422" s="415"/>
      <c r="AG422" s="415"/>
      <c r="AH422" s="405"/>
      <c r="AI422" s="415"/>
      <c r="AJ422" s="415">
        <v>1.0049999999999999</v>
      </c>
      <c r="AK422" s="415">
        <v>1.0049999999999999</v>
      </c>
      <c r="BC422" s="365"/>
      <c r="BD422" s="365"/>
      <c r="BE422" s="365"/>
      <c r="BF422" s="365"/>
      <c r="BG422" s="365"/>
    </row>
    <row r="423" spans="2:59">
      <c r="B423" s="376" t="str">
        <f>Technologies!B$606</f>
        <v>*R0</v>
      </c>
      <c r="C423" s="376" t="str">
        <f>'Imp Refined NYC'!E234</f>
        <v>IMPLPGP43</v>
      </c>
      <c r="D423" s="376" t="str">
        <f>'Imp Refined NYC'!F234</f>
        <v>Imported LPG, PADD 4, Step 3</v>
      </c>
      <c r="E423" s="415" t="str">
        <f>'Imp Refined NYC'!G234</f>
        <v>LPGP4</v>
      </c>
      <c r="F423" s="413">
        <f>'Imp Refined NYC'!M234</f>
        <v>12.818628614646682</v>
      </c>
      <c r="G423" s="413">
        <f>'Imp Refined NYC'!N234</f>
        <v>13.80241808287224</v>
      </c>
      <c r="H423" s="413">
        <f>'Imp Refined NYC'!O234</f>
        <v>13.671183705822909</v>
      </c>
      <c r="I423" s="413">
        <f>'Imp Refined NYC'!P234</f>
        <v>14.7521674336394</v>
      </c>
      <c r="J423" s="413">
        <f>'Imp Refined NYC'!Q234</f>
        <v>15.599566973006439</v>
      </c>
      <c r="K423" s="413">
        <f>'Imp Refined NYC'!R234</f>
        <v>16.759925819626783</v>
      </c>
      <c r="L423" s="413">
        <f>'Imp Refined NYC'!S234</f>
        <v>18.006596847557031</v>
      </c>
      <c r="M423" s="413">
        <f>'Imp Refined NYC'!T234</f>
        <v>19.346000305726356</v>
      </c>
      <c r="N423" s="413">
        <f>'Imp Refined NYC'!U234</f>
        <v>20.785034007130641</v>
      </c>
      <c r="O423" s="413">
        <f>'Imp Refined NYC'!V234</f>
        <v>22.331108851978119</v>
      </c>
      <c r="P423" s="405"/>
      <c r="Q423" s="405">
        <f>'Imp Refined NYC'!AF234</f>
        <v>2.5135545209468013</v>
      </c>
      <c r="R423" s="405">
        <f>'Imp Refined NYC'!AG234</f>
        <v>1.2574621527134404</v>
      </c>
      <c r="S423" s="405">
        <f>'Imp Refined NYC'!AH234</f>
        <v>1.3875916783210371</v>
      </c>
      <c r="T423" s="405">
        <f>'Imp Refined NYC'!AI234</f>
        <v>1.532788833209521</v>
      </c>
      <c r="U423" s="405"/>
      <c r="V423" s="405"/>
      <c r="W423" s="405"/>
      <c r="X423" s="405"/>
      <c r="Y423" s="405"/>
      <c r="Z423" s="405"/>
      <c r="AA423" s="413"/>
      <c r="AB423" s="415"/>
      <c r="AC423" s="415"/>
      <c r="AG423" s="415"/>
      <c r="AH423" s="405"/>
      <c r="AI423" s="415"/>
      <c r="AJ423" s="415">
        <v>1.0049999999999999</v>
      </c>
      <c r="AK423" s="415">
        <v>1.0049999999999999</v>
      </c>
      <c r="BC423" s="365"/>
      <c r="BD423" s="365"/>
      <c r="BE423" s="365"/>
      <c r="BF423" s="365"/>
      <c r="BG423" s="365"/>
    </row>
    <row r="424" spans="2:59">
      <c r="B424" s="376" t="str">
        <f>Technologies!B$607</f>
        <v>*R0</v>
      </c>
      <c r="C424" s="376" t="str">
        <f>'Imp Refined NYC'!E235</f>
        <v>IMPLPGP41</v>
      </c>
      <c r="D424" s="376" t="str">
        <f>'Imp Refined NYC'!F235</f>
        <v>Imported LPG, PADD 4, Step 1</v>
      </c>
      <c r="E424" s="415" t="str">
        <f>'Imp Refined NYC'!G235</f>
        <v>LPGP4</v>
      </c>
      <c r="F424" s="413">
        <f>'Imp Refined NYC'!M235</f>
        <v>12.177697183914349</v>
      </c>
      <c r="G424" s="413">
        <f>'Imp Refined NYC'!N235</f>
        <v>13.112297178728628</v>
      </c>
      <c r="H424" s="413">
        <f>'Imp Refined NYC'!O235</f>
        <v>12.987624520531762</v>
      </c>
      <c r="I424" s="413">
        <f>'Imp Refined NYC'!P235</f>
        <v>14.014559061957428</v>
      </c>
      <c r="J424" s="413">
        <f>'Imp Refined NYC'!Q235</f>
        <v>14.819588624356115</v>
      </c>
      <c r="K424" s="413">
        <f>'Imp Refined NYC'!R235</f>
        <v>15.921929528645443</v>
      </c>
      <c r="L424" s="413">
        <f>'Imp Refined NYC'!S235</f>
        <v>17.106267005179177</v>
      </c>
      <c r="M424" s="413">
        <f>'Imp Refined NYC'!T235</f>
        <v>18.378700290440037</v>
      </c>
      <c r="N424" s="413">
        <f>'Imp Refined NYC'!U235</f>
        <v>19.745782306774107</v>
      </c>
      <c r="O424" s="413">
        <f>'Imp Refined NYC'!V235</f>
        <v>21.21455340937921</v>
      </c>
      <c r="P424" s="405"/>
      <c r="Q424" s="405">
        <f>'Imp Refined NYC'!AF235</f>
        <v>20.108436167574403</v>
      </c>
      <c r="R424" s="405">
        <f>'Imp Refined NYC'!AG235</f>
        <v>10.059697221707518</v>
      </c>
      <c r="S424" s="405">
        <f>'Imp Refined NYC'!AH235</f>
        <v>11.100733426568322</v>
      </c>
      <c r="T424" s="405">
        <f>'Imp Refined NYC'!AI235</f>
        <v>12.262310665676159</v>
      </c>
      <c r="U424" s="405"/>
      <c r="V424" s="405"/>
      <c r="W424" s="405"/>
      <c r="X424" s="405"/>
      <c r="Y424" s="405"/>
      <c r="Z424" s="405"/>
      <c r="AA424" s="413"/>
      <c r="AB424" s="415"/>
      <c r="AC424" s="415"/>
      <c r="AG424" s="415"/>
      <c r="AH424" s="405"/>
      <c r="AI424" s="415"/>
      <c r="AJ424" s="415">
        <v>1.0049999999999999</v>
      </c>
      <c r="AK424" s="415">
        <v>1.0049999999999999</v>
      </c>
      <c r="BC424" s="365"/>
      <c r="BD424" s="365"/>
      <c r="BE424" s="365"/>
      <c r="BF424" s="365"/>
      <c r="BG424" s="365"/>
    </row>
    <row r="425" spans="2:59">
      <c r="B425" s="376" t="str">
        <f>Technologies!B$608</f>
        <v>*R0</v>
      </c>
      <c r="C425" s="376" t="str">
        <f>'Imp Refined NYC'!E236</f>
        <v>IMPLPGP42</v>
      </c>
      <c r="D425" s="376" t="str">
        <f>'Imp Refined NYC'!F236</f>
        <v>Imported LPG, PADD 4, Step 2</v>
      </c>
      <c r="E425" s="415" t="str">
        <f>'Imp Refined NYC'!G236</f>
        <v>LPGP4</v>
      </c>
      <c r="F425" s="413">
        <f>'Imp Refined NYC'!M236</f>
        <v>12.56225604235375</v>
      </c>
      <c r="G425" s="413">
        <f>'Imp Refined NYC'!N236</f>
        <v>13.526369721214797</v>
      </c>
      <c r="H425" s="413">
        <f>'Imp Refined NYC'!O236</f>
        <v>13.397760031706452</v>
      </c>
      <c r="I425" s="413">
        <f>'Imp Refined NYC'!P236</f>
        <v>14.457124084966614</v>
      </c>
      <c r="J425" s="413">
        <f>'Imp Refined NYC'!Q236</f>
        <v>15.287575633546313</v>
      </c>
      <c r="K425" s="413">
        <f>'Imp Refined NYC'!R236</f>
        <v>16.424727303234249</v>
      </c>
      <c r="L425" s="413">
        <f>'Imp Refined NYC'!S236</f>
        <v>17.646464910605893</v>
      </c>
      <c r="M425" s="413">
        <f>'Imp Refined NYC'!T236</f>
        <v>18.959080299611831</v>
      </c>
      <c r="N425" s="413">
        <f>'Imp Refined NYC'!U236</f>
        <v>20.369333326988031</v>
      </c>
      <c r="O425" s="413">
        <f>'Imp Refined NYC'!V236</f>
        <v>21.884486674938557</v>
      </c>
      <c r="P425" s="405"/>
      <c r="Q425" s="405">
        <f>'Imp Refined NYC'!AF236</f>
        <v>2.5135545209467942</v>
      </c>
      <c r="R425" s="405">
        <f>'Imp Refined NYC'!AG236</f>
        <v>1.2574621527134404</v>
      </c>
      <c r="S425" s="405">
        <f>'Imp Refined NYC'!AH236</f>
        <v>1.3875916783210389</v>
      </c>
      <c r="T425" s="405">
        <f>'Imp Refined NYC'!AI236</f>
        <v>1.5327888332095192</v>
      </c>
      <c r="U425" s="405"/>
      <c r="V425" s="405"/>
      <c r="W425" s="405"/>
      <c r="X425" s="405"/>
      <c r="Y425" s="405"/>
      <c r="Z425" s="405"/>
      <c r="AA425" s="413"/>
      <c r="AB425" s="415"/>
      <c r="AC425" s="415"/>
      <c r="AG425" s="415"/>
      <c r="AH425" s="405"/>
      <c r="AI425" s="415"/>
      <c r="AJ425" s="415">
        <v>1.0049999999999999</v>
      </c>
      <c r="AK425" s="415">
        <v>1.0049999999999999</v>
      </c>
      <c r="BC425" s="365"/>
      <c r="BD425" s="365"/>
      <c r="BE425" s="365"/>
      <c r="BF425" s="365"/>
      <c r="BG425" s="365"/>
    </row>
    <row r="426" spans="2:59">
      <c r="B426" s="376" t="str">
        <f>Technologies!B$609</f>
        <v>*R0</v>
      </c>
      <c r="C426" s="376" t="str">
        <f>'Imp Refined NYC'!E237</f>
        <v>IMPLPGP44</v>
      </c>
      <c r="D426" s="376" t="str">
        <f>'Imp Refined NYC'!F237</f>
        <v>Imported LPG, PADD 4, Step 4</v>
      </c>
      <c r="E426" s="415" t="str">
        <f>'Imp Refined NYC'!G237</f>
        <v>LPGP4</v>
      </c>
      <c r="F426" s="413">
        <f>'Imp Refined NYC'!M237</f>
        <v>13.972305189964885</v>
      </c>
      <c r="G426" s="413">
        <f>'Imp Refined NYC'!N237</f>
        <v>15.044635710330743</v>
      </c>
      <c r="H426" s="413">
        <f>'Imp Refined NYC'!O237</f>
        <v>14.901590239346971</v>
      </c>
      <c r="I426" s="413">
        <f>'Imp Refined NYC'!P237</f>
        <v>16.079862502666945</v>
      </c>
      <c r="J426" s="413">
        <f>'Imp Refined NYC'!Q237</f>
        <v>17.003528000577017</v>
      </c>
      <c r="K426" s="413">
        <f>'Imp Refined NYC'!R237</f>
        <v>18.268319143393192</v>
      </c>
      <c r="L426" s="413">
        <f>'Imp Refined NYC'!S237</f>
        <v>19.627190563837161</v>
      </c>
      <c r="M426" s="413">
        <f>'Imp Refined NYC'!T237</f>
        <v>21.087140333241724</v>
      </c>
      <c r="N426" s="413">
        <f>'Imp Refined NYC'!U237</f>
        <v>22.655687067772394</v>
      </c>
      <c r="O426" s="413">
        <f>'Imp Refined NYC'!V237</f>
        <v>24.340908648656143</v>
      </c>
      <c r="P426" s="405"/>
      <c r="Q426" s="405">
        <f>'Imp Refined NYC'!AF237</f>
        <v>5.027109041893592</v>
      </c>
      <c r="R426" s="405">
        <f>'Imp Refined NYC'!AG237</f>
        <v>2.5149243054268808</v>
      </c>
      <c r="S426" s="405">
        <f>'Imp Refined NYC'!AH237</f>
        <v>2.7751833566420832</v>
      </c>
      <c r="T426" s="405">
        <f>'Imp Refined NYC'!AI237</f>
        <v>3.0655776664190348</v>
      </c>
      <c r="U426" s="405"/>
      <c r="V426" s="405"/>
      <c r="W426" s="405"/>
      <c r="X426" s="405"/>
      <c r="Y426" s="405"/>
      <c r="Z426" s="405"/>
      <c r="AA426" s="413"/>
      <c r="AB426" s="415"/>
      <c r="AC426" s="415"/>
      <c r="AG426" s="415"/>
      <c r="AH426" s="405"/>
      <c r="AI426" s="415"/>
      <c r="AJ426" s="415">
        <v>1.0049999999999999</v>
      </c>
      <c r="AK426" s="415">
        <v>1.0049999999999999</v>
      </c>
      <c r="BC426" s="365"/>
      <c r="BD426" s="365"/>
      <c r="BE426" s="365"/>
      <c r="BF426" s="365"/>
      <c r="BG426" s="365"/>
    </row>
    <row r="427" spans="2:59">
      <c r="B427" s="376" t="str">
        <f>Technologies!B$610</f>
        <v>*R0</v>
      </c>
      <c r="C427" s="376" t="str">
        <f>'Imp Refined NYC'!E238</f>
        <v>IMPLPGP45</v>
      </c>
      <c r="D427" s="376" t="str">
        <f>'Imp Refined NYC'!F238</f>
        <v>Imported LPG, PADD 4, Step 5</v>
      </c>
      <c r="E427" s="415" t="str">
        <f>'Imp Refined NYC'!G238</f>
        <v>LPGP4</v>
      </c>
      <c r="F427" s="413">
        <f>'Imp Refined NYC'!M238</f>
        <v>16.664217199040689</v>
      </c>
      <c r="G427" s="413">
        <f>'Imp Refined NYC'!N238</f>
        <v>17.943143507733915</v>
      </c>
      <c r="H427" s="413">
        <f>'Imp Refined NYC'!O238</f>
        <v>17.772538817569782</v>
      </c>
      <c r="I427" s="413">
        <f>'Imp Refined NYC'!P238</f>
        <v>19.177817663731219</v>
      </c>
      <c r="J427" s="413">
        <f>'Imp Refined NYC'!Q238</f>
        <v>20.279437064908372</v>
      </c>
      <c r="K427" s="413">
        <f>'Imp Refined NYC'!R238</f>
        <v>21.787903565514821</v>
      </c>
      <c r="L427" s="413">
        <f>'Imp Refined NYC'!S238</f>
        <v>23.408575901824143</v>
      </c>
      <c r="M427" s="413">
        <f>'Imp Refined NYC'!T238</f>
        <v>25.149800397444267</v>
      </c>
      <c r="N427" s="413">
        <f>'Imp Refined NYC'!U238</f>
        <v>27.020544209269836</v>
      </c>
      <c r="O427" s="413">
        <f>'Imp Refined NYC'!V238</f>
        <v>29.030441507571556</v>
      </c>
      <c r="P427" s="405"/>
      <c r="Q427" s="405">
        <f>'Imp Refined NYC'!AF238</f>
        <v>20.108436167574407</v>
      </c>
      <c r="R427" s="405">
        <f>'Imp Refined NYC'!AG238</f>
        <v>10.059697221707518</v>
      </c>
      <c r="S427" s="405">
        <f>'Imp Refined NYC'!AH238</f>
        <v>11.100733426568315</v>
      </c>
      <c r="T427" s="405">
        <f>'Imp Refined NYC'!AI238</f>
        <v>12.262310665676164</v>
      </c>
      <c r="U427" s="405"/>
      <c r="V427" s="405"/>
      <c r="W427" s="405"/>
      <c r="X427" s="405"/>
      <c r="Y427" s="405"/>
      <c r="Z427" s="405"/>
      <c r="AA427" s="413"/>
      <c r="AB427" s="415"/>
      <c r="AC427" s="415"/>
      <c r="AG427" s="415"/>
      <c r="AH427" s="405"/>
      <c r="AI427" s="415"/>
      <c r="AJ427" s="415">
        <v>1.0049999999999999</v>
      </c>
      <c r="AK427" s="415">
        <v>1.0049999999999999</v>
      </c>
      <c r="BC427" s="365"/>
      <c r="BD427" s="365"/>
      <c r="BE427" s="365"/>
      <c r="BF427" s="365"/>
      <c r="BG427" s="365"/>
    </row>
    <row r="428" spans="2:59">
      <c r="B428" s="376" t="str">
        <f>Technologies!B$611</f>
        <v>*R0</v>
      </c>
      <c r="C428" s="376" t="str">
        <f>'Imp Refined NYC'!E239</f>
        <v>IMPPFSP43</v>
      </c>
      <c r="D428" s="376" t="str">
        <f>'Imp Refined NYC'!F239</f>
        <v>Imported Petrochemical Feedstocks, PADD 4, Step 3</v>
      </c>
      <c r="E428" s="415" t="str">
        <f>'Imp Refined NYC'!G239</f>
        <v>PFSP4</v>
      </c>
      <c r="F428" s="413">
        <f>'Imp Refined NYC'!M239</f>
        <v>7.5621321897845659</v>
      </c>
      <c r="G428" s="413">
        <f>'Imp Refined NYC'!N239</f>
        <v>8.1425020740590064</v>
      </c>
      <c r="H428" s="413">
        <f>'Imp Refined NYC'!O239</f>
        <v>8.065082582713643</v>
      </c>
      <c r="I428" s="413">
        <f>'Imp Refined NYC'!P239</f>
        <v>8.7027905693085668</v>
      </c>
      <c r="J428" s="413">
        <f>'Imp Refined NYC'!Q239</f>
        <v>9.2026995320297509</v>
      </c>
      <c r="K428" s="413">
        <f>'Imp Refined NYC'!R239</f>
        <v>9.887233521547385</v>
      </c>
      <c r="L428" s="413">
        <f>'Imp Refined NYC'!S239</f>
        <v>10.622685916167134</v>
      </c>
      <c r="M428" s="413">
        <f>'Imp Refined NYC'!T239</f>
        <v>11.412844232678294</v>
      </c>
      <c r="N428" s="413">
        <f>'Imp Refined NYC'!U239</f>
        <v>12.261777718678513</v>
      </c>
      <c r="O428" s="413">
        <f>'Imp Refined NYC'!V239</f>
        <v>13.173858308850095</v>
      </c>
      <c r="P428" s="405"/>
      <c r="Q428" s="405">
        <f>'Imp Refined NYC'!AF239</f>
        <v>0</v>
      </c>
      <c r="R428" s="405">
        <f>'Imp Refined NYC'!AG239</f>
        <v>0</v>
      </c>
      <c r="S428" s="405">
        <f>'Imp Refined NYC'!AH239</f>
        <v>0</v>
      </c>
      <c r="T428" s="405">
        <f>'Imp Refined NYC'!AI239</f>
        <v>0</v>
      </c>
      <c r="U428" s="405"/>
      <c r="V428" s="405"/>
      <c r="W428" s="405"/>
      <c r="X428" s="405"/>
      <c r="Y428" s="405"/>
      <c r="Z428" s="405"/>
      <c r="AA428" s="413"/>
      <c r="AB428" s="415"/>
      <c r="AC428" s="415"/>
      <c r="AG428" s="415"/>
      <c r="AH428" s="405"/>
      <c r="AI428" s="415"/>
      <c r="AJ428" s="415">
        <v>1.0049999999999999</v>
      </c>
      <c r="AK428" s="415">
        <v>1.0049999999999999</v>
      </c>
      <c r="BC428" s="365"/>
      <c r="BD428" s="365"/>
      <c r="BE428" s="365"/>
      <c r="BF428" s="365"/>
      <c r="BG428" s="365"/>
    </row>
    <row r="429" spans="2:59">
      <c r="B429" s="376" t="str">
        <f>Technologies!B$612</f>
        <v>*R0</v>
      </c>
      <c r="C429" s="376" t="str">
        <f>'Imp Refined NYC'!E240</f>
        <v>IMPPFSP41</v>
      </c>
      <c r="D429" s="376" t="str">
        <f>'Imp Refined NYC'!F240</f>
        <v>Imported Petrochemical Feedstocks, PADD 4, Step 1</v>
      </c>
      <c r="E429" s="415" t="str">
        <f>'Imp Refined NYC'!G240</f>
        <v>PFSP4</v>
      </c>
      <c r="F429" s="413">
        <f>'Imp Refined NYC'!M240</f>
        <v>7.1840255802953363</v>
      </c>
      <c r="G429" s="413">
        <f>'Imp Refined NYC'!N240</f>
        <v>7.7353769703560546</v>
      </c>
      <c r="H429" s="413">
        <f>'Imp Refined NYC'!O240</f>
        <v>7.6618284535779582</v>
      </c>
      <c r="I429" s="413">
        <f>'Imp Refined NYC'!P240</f>
        <v>8.2676510408431341</v>
      </c>
      <c r="J429" s="413">
        <f>'Imp Refined NYC'!Q240</f>
        <v>8.7425645554282578</v>
      </c>
      <c r="K429" s="413">
        <f>'Imp Refined NYC'!R240</f>
        <v>9.39287184547001</v>
      </c>
      <c r="L429" s="413">
        <f>'Imp Refined NYC'!S240</f>
        <v>10.091551620358771</v>
      </c>
      <c r="M429" s="413">
        <f>'Imp Refined NYC'!T240</f>
        <v>10.842202021044374</v>
      </c>
      <c r="N429" s="413">
        <f>'Imp Refined NYC'!U240</f>
        <v>11.648688832744581</v>
      </c>
      <c r="O429" s="413">
        <f>'Imp Refined NYC'!V240</f>
        <v>12.515165393407583</v>
      </c>
      <c r="P429" s="405"/>
      <c r="Q429" s="405">
        <f>'Imp Refined NYC'!AF240</f>
        <v>0</v>
      </c>
      <c r="R429" s="405">
        <f>'Imp Refined NYC'!AG240</f>
        <v>0</v>
      </c>
      <c r="S429" s="405">
        <f>'Imp Refined NYC'!AH240</f>
        <v>0</v>
      </c>
      <c r="T429" s="405">
        <f>'Imp Refined NYC'!AI240</f>
        <v>0</v>
      </c>
      <c r="U429" s="405"/>
      <c r="V429" s="405"/>
      <c r="W429" s="405"/>
      <c r="X429" s="405"/>
      <c r="Y429" s="405"/>
      <c r="Z429" s="405"/>
      <c r="AA429" s="413"/>
      <c r="AB429" s="415"/>
      <c r="AC429" s="415"/>
      <c r="AG429" s="415"/>
      <c r="AH429" s="405"/>
      <c r="AI429" s="415"/>
      <c r="AJ429" s="415">
        <v>1.0049999999999999</v>
      </c>
      <c r="AK429" s="415">
        <v>1.0049999999999999</v>
      </c>
      <c r="BC429" s="365"/>
      <c r="BD429" s="365"/>
      <c r="BE429" s="365"/>
      <c r="BF429" s="365"/>
      <c r="BG429" s="365"/>
    </row>
    <row r="430" spans="2:59">
      <c r="B430" s="376" t="str">
        <f>Technologies!B$613</f>
        <v>*R0</v>
      </c>
      <c r="C430" s="376" t="str">
        <f>'Imp Refined NYC'!E241</f>
        <v>IMPPFSP42</v>
      </c>
      <c r="D430" s="376" t="str">
        <f>'Imp Refined NYC'!F241</f>
        <v>Imported Petrochemical Feedstocks, PADD 4, Step 2</v>
      </c>
      <c r="E430" s="415" t="str">
        <f>'Imp Refined NYC'!G241</f>
        <v>PFSP4</v>
      </c>
      <c r="F430" s="413">
        <f>'Imp Refined NYC'!M241</f>
        <v>7.4108895459888746</v>
      </c>
      <c r="G430" s="413">
        <f>'Imp Refined NYC'!N241</f>
        <v>7.9796520325778264</v>
      </c>
      <c r="H430" s="413">
        <f>'Imp Refined NYC'!O241</f>
        <v>7.9037809310593694</v>
      </c>
      <c r="I430" s="413">
        <f>'Imp Refined NYC'!P241</f>
        <v>8.5287347579223933</v>
      </c>
      <c r="J430" s="413">
        <f>'Imp Refined NYC'!Q241</f>
        <v>9.0186455413891533</v>
      </c>
      <c r="K430" s="413">
        <f>'Imp Refined NYC'!R241</f>
        <v>9.689488851116435</v>
      </c>
      <c r="L430" s="413">
        <f>'Imp Refined NYC'!S241</f>
        <v>10.410232197843788</v>
      </c>
      <c r="M430" s="413">
        <f>'Imp Refined NYC'!T241</f>
        <v>11.184587348024726</v>
      </c>
      <c r="N430" s="413">
        <f>'Imp Refined NYC'!U241</f>
        <v>12.016542164304941</v>
      </c>
      <c r="O430" s="413">
        <f>'Imp Refined NYC'!V241</f>
        <v>12.910381142673092</v>
      </c>
      <c r="P430" s="405"/>
      <c r="Q430" s="405">
        <f>'Imp Refined NYC'!AF241</f>
        <v>0</v>
      </c>
      <c r="R430" s="405">
        <f>'Imp Refined NYC'!AG241</f>
        <v>0</v>
      </c>
      <c r="S430" s="405">
        <f>'Imp Refined NYC'!AH241</f>
        <v>0</v>
      </c>
      <c r="T430" s="405">
        <f>'Imp Refined NYC'!AI241</f>
        <v>0</v>
      </c>
      <c r="U430" s="405"/>
      <c r="V430" s="405"/>
      <c r="W430" s="405"/>
      <c r="X430" s="405"/>
      <c r="Y430" s="405"/>
      <c r="Z430" s="405"/>
      <c r="AA430" s="413"/>
      <c r="AB430" s="415"/>
      <c r="AC430" s="415"/>
      <c r="AG430" s="415"/>
      <c r="AH430" s="405"/>
      <c r="AI430" s="415"/>
      <c r="AJ430" s="415">
        <v>1.0049999999999999</v>
      </c>
      <c r="AK430" s="415">
        <v>1.0049999999999999</v>
      </c>
      <c r="BC430" s="365"/>
      <c r="BD430" s="365"/>
      <c r="BE430" s="365"/>
      <c r="BF430" s="365"/>
      <c r="BG430" s="365"/>
    </row>
    <row r="431" spans="2:59">
      <c r="B431" s="376" t="str">
        <f>Technologies!B$614</f>
        <v>*R0</v>
      </c>
      <c r="C431" s="376" t="str">
        <f>'Imp Refined NYC'!E242</f>
        <v>IMPPFSP44</v>
      </c>
      <c r="D431" s="376" t="str">
        <f>'Imp Refined NYC'!F242</f>
        <v>Imported Petrochemical Feedstocks, PADD 4, Step 4</v>
      </c>
      <c r="E431" s="415" t="str">
        <f>'Imp Refined NYC'!G242</f>
        <v>PFSP4</v>
      </c>
      <c r="F431" s="413">
        <f>'Imp Refined NYC'!M242</f>
        <v>8.2427240868651772</v>
      </c>
      <c r="G431" s="413">
        <f>'Imp Refined NYC'!N242</f>
        <v>8.8753272607243172</v>
      </c>
      <c r="H431" s="413">
        <f>'Imp Refined NYC'!O242</f>
        <v>8.7909400151578705</v>
      </c>
      <c r="I431" s="413">
        <f>'Imp Refined NYC'!P242</f>
        <v>9.4860417205463374</v>
      </c>
      <c r="J431" s="413">
        <f>'Imp Refined NYC'!Q242</f>
        <v>10.030942489912428</v>
      </c>
      <c r="K431" s="413">
        <f>'Imp Refined NYC'!R242</f>
        <v>10.777084538486649</v>
      </c>
      <c r="L431" s="413">
        <f>'Imp Refined NYC'!S242</f>
        <v>11.578727648622175</v>
      </c>
      <c r="M431" s="413">
        <f>'Imp Refined NYC'!T242</f>
        <v>12.44000021361934</v>
      </c>
      <c r="N431" s="413">
        <f>'Imp Refined NYC'!U242</f>
        <v>13.36533771335958</v>
      </c>
      <c r="O431" s="413">
        <f>'Imp Refined NYC'!V242</f>
        <v>14.359505556646605</v>
      </c>
      <c r="P431" s="405"/>
      <c r="Q431" s="405">
        <f>'Imp Refined NYC'!AF242</f>
        <v>0</v>
      </c>
      <c r="R431" s="405">
        <f>'Imp Refined NYC'!AG242</f>
        <v>0</v>
      </c>
      <c r="S431" s="405">
        <f>'Imp Refined NYC'!AH242</f>
        <v>0</v>
      </c>
      <c r="T431" s="405">
        <f>'Imp Refined NYC'!AI242</f>
        <v>0</v>
      </c>
      <c r="U431" s="405"/>
      <c r="V431" s="405"/>
      <c r="W431" s="405"/>
      <c r="X431" s="405"/>
      <c r="Y431" s="405"/>
      <c r="Z431" s="405"/>
      <c r="AA431" s="413"/>
      <c r="AB431" s="415"/>
      <c r="AC431" s="415"/>
      <c r="AG431" s="415"/>
      <c r="AH431" s="405"/>
      <c r="AI431" s="415"/>
      <c r="AJ431" s="415">
        <v>1.0049999999999999</v>
      </c>
      <c r="AK431" s="415">
        <v>1.0049999999999999</v>
      </c>
      <c r="BC431" s="365"/>
      <c r="BD431" s="365"/>
      <c r="BE431" s="365"/>
      <c r="BF431" s="365"/>
      <c r="BG431" s="365"/>
    </row>
    <row r="432" spans="2:59">
      <c r="B432" s="376" t="str">
        <f>Technologies!B$615</f>
        <v>*R0</v>
      </c>
      <c r="C432" s="376" t="str">
        <f>'Imp Refined NYC'!E243</f>
        <v>IMPPFSP45</v>
      </c>
      <c r="D432" s="376" t="str">
        <f>'Imp Refined NYC'!F243</f>
        <v>Imported Petrochemical Feedstocks, PADD 4, Step 5</v>
      </c>
      <c r="E432" s="415" t="str">
        <f>'Imp Refined NYC'!G243</f>
        <v>PFSP4</v>
      </c>
      <c r="F432" s="413">
        <f>'Imp Refined NYC'!M243</f>
        <v>9.8307718467199336</v>
      </c>
      <c r="G432" s="413">
        <f>'Imp Refined NYC'!N243</f>
        <v>10.585252696276706</v>
      </c>
      <c r="H432" s="413">
        <f>'Imp Refined NYC'!O243</f>
        <v>10.484607357527732</v>
      </c>
      <c r="I432" s="413">
        <f>'Imp Refined NYC'!P243</f>
        <v>11.313627740101133</v>
      </c>
      <c r="J432" s="413">
        <f>'Imp Refined NYC'!Q243</f>
        <v>11.963509391638672</v>
      </c>
      <c r="K432" s="413">
        <f>'Imp Refined NYC'!R243</f>
        <v>12.853403578011596</v>
      </c>
      <c r="L432" s="413">
        <f>'Imp Refined NYC'!S243</f>
        <v>13.80949169101727</v>
      </c>
      <c r="M432" s="413">
        <f>'Imp Refined NYC'!T243</f>
        <v>14.836697502481778</v>
      </c>
      <c r="N432" s="413">
        <f>'Imp Refined NYC'!U243</f>
        <v>15.940311034282063</v>
      </c>
      <c r="O432" s="413">
        <f>'Imp Refined NYC'!V243</f>
        <v>17.126015801505119</v>
      </c>
      <c r="P432" s="405"/>
      <c r="Q432" s="405">
        <f>'Imp Refined NYC'!AF243</f>
        <v>0</v>
      </c>
      <c r="R432" s="405">
        <f>'Imp Refined NYC'!AG243</f>
        <v>0</v>
      </c>
      <c r="S432" s="405">
        <f>'Imp Refined NYC'!AH243</f>
        <v>0</v>
      </c>
      <c r="T432" s="405">
        <f>'Imp Refined NYC'!AI243</f>
        <v>0</v>
      </c>
      <c r="U432" s="405"/>
      <c r="V432" s="405"/>
      <c r="W432" s="405"/>
      <c r="X432" s="405"/>
      <c r="Y432" s="405"/>
      <c r="Z432" s="405"/>
      <c r="AA432" s="413"/>
      <c r="AB432" s="415"/>
      <c r="AC432" s="415"/>
      <c r="AG432" s="415"/>
      <c r="AH432" s="405"/>
      <c r="AI432" s="415"/>
      <c r="AJ432" s="415">
        <v>1.0049999999999999</v>
      </c>
      <c r="AK432" s="415">
        <v>1.0049999999999999</v>
      </c>
      <c r="BC432" s="365"/>
      <c r="BD432" s="365"/>
      <c r="BE432" s="365"/>
      <c r="BF432" s="365"/>
      <c r="BG432" s="365"/>
    </row>
    <row r="433" spans="2:59">
      <c r="B433" s="376" t="str">
        <f>Technologies!B$616</f>
        <v>*R0</v>
      </c>
      <c r="C433" s="376" t="str">
        <f>'Imp Refined NYC'!E244</f>
        <v>IMPKERP43</v>
      </c>
      <c r="D433" s="376" t="str">
        <f>'Imp Refined NYC'!F244</f>
        <v>Imported Kerosene and Other Refined Products, PADD 4, Step 3</v>
      </c>
      <c r="E433" s="415" t="str">
        <f>'Imp Refined NYC'!G244</f>
        <v>KERP4</v>
      </c>
      <c r="F433" s="413">
        <f>'Imp Refined NYC'!M244</f>
        <v>10.312997032414376</v>
      </c>
      <c r="G433" s="413">
        <f>'Imp Refined NYC'!N244</f>
        <v>11.104487149753293</v>
      </c>
      <c r="H433" s="413">
        <f>'Imp Refined NYC'!O244</f>
        <v>10.998904892731346</v>
      </c>
      <c r="I433" s="413">
        <f>'Imp Refined NYC'!P244</f>
        <v>11.868590903005618</v>
      </c>
      <c r="J433" s="413">
        <f>'Imp Refined NYC'!Q244</f>
        <v>12.55035095686786</v>
      </c>
      <c r="K433" s="413">
        <f>'Imp Refined NYC'!R244</f>
        <v>13.483896790940783</v>
      </c>
      <c r="L433" s="413">
        <f>'Imp Refined NYC'!S244</f>
        <v>14.486883537647151</v>
      </c>
      <c r="M433" s="413">
        <f>'Imp Refined NYC'!T244</f>
        <v>15.564476492756455</v>
      </c>
      <c r="N433" s="413">
        <f>'Imp Refined NYC'!U244</f>
        <v>16.722225167616219</v>
      </c>
      <c r="O433" s="413">
        <f>'Imp Refined NYC'!V244</f>
        <v>17.966091868659731</v>
      </c>
      <c r="P433" s="405"/>
      <c r="Q433" s="405">
        <f>'Imp Refined NYC'!AF244</f>
        <v>0.21834911448000005</v>
      </c>
      <c r="R433" s="405">
        <f>'Imp Refined NYC'!AG244</f>
        <v>0.18778023845279979</v>
      </c>
      <c r="S433" s="405">
        <f>'Imp Refined NYC'!AH244</f>
        <v>0.20524816761120035</v>
      </c>
      <c r="T433" s="405">
        <f>'Imp Refined NYC'!AI244</f>
        <v>0.22053260562480026</v>
      </c>
      <c r="U433" s="405"/>
      <c r="V433" s="405"/>
      <c r="W433" s="405"/>
      <c r="X433" s="405"/>
      <c r="Y433" s="405"/>
      <c r="Z433" s="405"/>
      <c r="AA433" s="413"/>
      <c r="AB433" s="415"/>
      <c r="AC433" s="415"/>
      <c r="AG433" s="415"/>
      <c r="AH433" s="405"/>
      <c r="AI433" s="415"/>
      <c r="AJ433" s="415">
        <v>1.0049999999999999</v>
      </c>
      <c r="AK433" s="415">
        <v>1.0049999999999999</v>
      </c>
      <c r="BC433" s="365"/>
      <c r="BD433" s="365"/>
      <c r="BE433" s="365"/>
      <c r="BF433" s="365"/>
      <c r="BG433" s="365"/>
    </row>
    <row r="434" spans="2:59">
      <c r="B434" s="376" t="str">
        <f>Technologies!B$617</f>
        <v>*R0</v>
      </c>
      <c r="C434" s="376" t="str">
        <f>'Imp Refined NYC'!E245</f>
        <v>IMPKERP41</v>
      </c>
      <c r="D434" s="376" t="str">
        <f>'Imp Refined NYC'!F245</f>
        <v>Imported Kerosene and Other Refined Products, PADD 4, Step 1</v>
      </c>
      <c r="E434" s="415" t="str">
        <f>'Imp Refined NYC'!G245</f>
        <v>KERP4</v>
      </c>
      <c r="F434" s="413">
        <f>'Imp Refined NYC'!M245</f>
        <v>9.7973471807936559</v>
      </c>
      <c r="G434" s="413">
        <f>'Imp Refined NYC'!N245</f>
        <v>10.549262792265626</v>
      </c>
      <c r="H434" s="413">
        <f>'Imp Refined NYC'!O245</f>
        <v>10.448959648094776</v>
      </c>
      <c r="I434" s="413">
        <f>'Imp Refined NYC'!P245</f>
        <v>11.275161357855335</v>
      </c>
      <c r="J434" s="413">
        <f>'Imp Refined NYC'!Q245</f>
        <v>11.922833409024465</v>
      </c>
      <c r="K434" s="413">
        <f>'Imp Refined NYC'!R245</f>
        <v>12.809701951393743</v>
      </c>
      <c r="L434" s="413">
        <f>'Imp Refined NYC'!S245</f>
        <v>13.762539360764791</v>
      </c>
      <c r="M434" s="413">
        <f>'Imp Refined NYC'!T245</f>
        <v>14.78625266811863</v>
      </c>
      <c r="N434" s="413">
        <f>'Imp Refined NYC'!U245</f>
        <v>15.886113909235405</v>
      </c>
      <c r="O434" s="413">
        <f>'Imp Refined NYC'!V245</f>
        <v>17.067787275226742</v>
      </c>
      <c r="P434" s="405"/>
      <c r="Q434" s="405">
        <f>'Imp Refined NYC'!AF245</f>
        <v>1.7467929158400002</v>
      </c>
      <c r="R434" s="405">
        <f>'Imp Refined NYC'!AG245</f>
        <v>1.5022419076224001</v>
      </c>
      <c r="S434" s="405">
        <f>'Imp Refined NYC'!AH245</f>
        <v>1.6419853408895999</v>
      </c>
      <c r="T434" s="405">
        <f>'Imp Refined NYC'!AI245</f>
        <v>1.7642608449983999</v>
      </c>
      <c r="U434" s="405"/>
      <c r="V434" s="405"/>
      <c r="W434" s="405"/>
      <c r="X434" s="405"/>
      <c r="Y434" s="405"/>
      <c r="Z434" s="405"/>
      <c r="AA434" s="413"/>
      <c r="AB434" s="415"/>
      <c r="AC434" s="415"/>
      <c r="AG434" s="415"/>
      <c r="AH434" s="405"/>
      <c r="AI434" s="415"/>
      <c r="AJ434" s="415">
        <v>1.0049999999999999</v>
      </c>
      <c r="AK434" s="415">
        <v>1.0049999999999999</v>
      </c>
      <c r="BC434" s="365"/>
      <c r="BD434" s="365"/>
      <c r="BE434" s="365"/>
      <c r="BF434" s="365"/>
      <c r="BG434" s="365"/>
    </row>
    <row r="435" spans="2:59">
      <c r="B435" s="376" t="str">
        <f>Technologies!B$618</f>
        <v>*R0</v>
      </c>
      <c r="C435" s="376" t="str">
        <f>'Imp Refined NYC'!E246</f>
        <v>IMPKERP42</v>
      </c>
      <c r="D435" s="376" t="str">
        <f>'Imp Refined NYC'!F246</f>
        <v>Imported Kerosene and Other Refined Products, PADD 4, Step 2</v>
      </c>
      <c r="E435" s="415" t="str">
        <f>'Imp Refined NYC'!G246</f>
        <v>KERP4</v>
      </c>
      <c r="F435" s="413">
        <f>'Imp Refined NYC'!M246</f>
        <v>10.106737091766087</v>
      </c>
      <c r="G435" s="413">
        <f>'Imp Refined NYC'!N246</f>
        <v>10.882397406758225</v>
      </c>
      <c r="H435" s="413">
        <f>'Imp Refined NYC'!O246</f>
        <v>10.778926794876716</v>
      </c>
      <c r="I435" s="413">
        <f>'Imp Refined NYC'!P246</f>
        <v>11.631219084945503</v>
      </c>
      <c r="J435" s="413">
        <f>'Imp Refined NYC'!Q246</f>
        <v>12.2993439377305</v>
      </c>
      <c r="K435" s="413">
        <f>'Imp Refined NYC'!R246</f>
        <v>13.214218855121965</v>
      </c>
      <c r="L435" s="413">
        <f>'Imp Refined NYC'!S246</f>
        <v>14.197145866894205</v>
      </c>
      <c r="M435" s="413">
        <f>'Imp Refined NYC'!T246</f>
        <v>15.253186962901323</v>
      </c>
      <c r="N435" s="413">
        <f>'Imp Refined NYC'!U246</f>
        <v>16.387780664263893</v>
      </c>
      <c r="O435" s="413">
        <f>'Imp Refined NYC'!V246</f>
        <v>17.606770031286537</v>
      </c>
      <c r="P435" s="405"/>
      <c r="Q435" s="405">
        <f>'Imp Refined NYC'!AF246</f>
        <v>0.21834911447999938</v>
      </c>
      <c r="R435" s="405">
        <f>'Imp Refined NYC'!AG246</f>
        <v>0.18778023845279979</v>
      </c>
      <c r="S435" s="405">
        <f>'Imp Refined NYC'!AH246</f>
        <v>0.20524816761119968</v>
      </c>
      <c r="T435" s="405">
        <f>'Imp Refined NYC'!AI246</f>
        <v>0.22053260562479982</v>
      </c>
      <c r="U435" s="405"/>
      <c r="V435" s="405"/>
      <c r="W435" s="405"/>
      <c r="X435" s="405"/>
      <c r="Y435" s="405"/>
      <c r="Z435" s="405"/>
      <c r="AA435" s="413"/>
      <c r="AB435" s="415"/>
      <c r="AC435" s="415"/>
      <c r="AG435" s="415"/>
      <c r="AH435" s="405"/>
      <c r="AI435" s="415"/>
      <c r="AJ435" s="415">
        <v>1.0049999999999999</v>
      </c>
      <c r="AK435" s="415">
        <v>1.0049999999999999</v>
      </c>
      <c r="BC435" s="365"/>
      <c r="BD435" s="365"/>
      <c r="BE435" s="365"/>
      <c r="BF435" s="365"/>
      <c r="BG435" s="365"/>
    </row>
    <row r="436" spans="2:59">
      <c r="B436" s="376" t="str">
        <f>Technologies!B$619</f>
        <v>*R0</v>
      </c>
      <c r="C436" s="376" t="str">
        <f>'Imp Refined NYC'!E247</f>
        <v>IMPKERP44</v>
      </c>
      <c r="D436" s="376" t="str">
        <f>'Imp Refined NYC'!F247</f>
        <v>Imported Kerosene and Other Refined Products, PADD 4, Step 4</v>
      </c>
      <c r="E436" s="415" t="str">
        <f>'Imp Refined NYC'!G247</f>
        <v>KERP4</v>
      </c>
      <c r="F436" s="413">
        <f>'Imp Refined NYC'!M247</f>
        <v>11.241166765331668</v>
      </c>
      <c r="G436" s="413">
        <f>'Imp Refined NYC'!N247</f>
        <v>12.103890993231087</v>
      </c>
      <c r="H436" s="413">
        <f>'Imp Refined NYC'!O247</f>
        <v>11.988806333077164</v>
      </c>
      <c r="I436" s="413">
        <f>'Imp Refined NYC'!P247</f>
        <v>12.936764084276122</v>
      </c>
      <c r="J436" s="413">
        <f>'Imp Refined NYC'!Q247</f>
        <v>13.679882542985965</v>
      </c>
      <c r="K436" s="413">
        <f>'Imp Refined NYC'!R247</f>
        <v>14.697447502125451</v>
      </c>
      <c r="L436" s="413">
        <f>'Imp Refined NYC'!S247</f>
        <v>15.79070305603539</v>
      </c>
      <c r="M436" s="413">
        <f>'Imp Refined NYC'!T247</f>
        <v>16.96527937710453</v>
      </c>
      <c r="N436" s="413">
        <f>'Imp Refined NYC'!U247</f>
        <v>18.227225432701673</v>
      </c>
      <c r="O436" s="413">
        <f>'Imp Refined NYC'!V247</f>
        <v>19.583040136839102</v>
      </c>
      <c r="P436" s="405"/>
      <c r="Q436" s="405">
        <f>'Imp Refined NYC'!AF247</f>
        <v>0.4366982289600001</v>
      </c>
      <c r="R436" s="405">
        <f>'Imp Refined NYC'!AG247</f>
        <v>0.37556047690560002</v>
      </c>
      <c r="S436" s="405">
        <f>'Imp Refined NYC'!AH247</f>
        <v>0.41049633522239981</v>
      </c>
      <c r="T436" s="405">
        <f>'Imp Refined NYC'!AI247</f>
        <v>0.44106521124959963</v>
      </c>
      <c r="U436" s="405"/>
      <c r="V436" s="405"/>
      <c r="W436" s="405"/>
      <c r="X436" s="405"/>
      <c r="Y436" s="405"/>
      <c r="Z436" s="405"/>
      <c r="AA436" s="413"/>
      <c r="AB436" s="415"/>
      <c r="AC436" s="415"/>
      <c r="AG436" s="415"/>
      <c r="AH436" s="405"/>
      <c r="AI436" s="415"/>
      <c r="AJ436" s="415">
        <v>1.0049999999999999</v>
      </c>
      <c r="AK436" s="415">
        <v>1.0049999999999999</v>
      </c>
      <c r="BC436" s="365"/>
      <c r="BD436" s="365"/>
      <c r="BE436" s="365"/>
      <c r="BF436" s="365"/>
      <c r="BG436" s="365"/>
    </row>
    <row r="437" spans="2:59" ht="15" customHeight="1">
      <c r="B437" s="376" t="str">
        <f>Technologies!B$620</f>
        <v>*R0</v>
      </c>
      <c r="C437" s="376" t="str">
        <f>'Imp Refined NYC'!E248</f>
        <v>IMPKERP45</v>
      </c>
      <c r="D437" s="376" t="str">
        <f>'Imp Refined NYC'!F248</f>
        <v>Imported Kerosene and Other Refined Products, PADD 4, Step 5</v>
      </c>
      <c r="E437" s="415" t="str">
        <f>'Imp Refined NYC'!G248</f>
        <v>KERP4</v>
      </c>
      <c r="F437" s="413">
        <f>'Imp Refined NYC'!M248</f>
        <v>13.406896142138688</v>
      </c>
      <c r="G437" s="413">
        <f>'Imp Refined NYC'!N248</f>
        <v>14.435833294679279</v>
      </c>
      <c r="H437" s="413">
        <f>'Imp Refined NYC'!O248</f>
        <v>14.298576360550747</v>
      </c>
      <c r="I437" s="413">
        <f>'Imp Refined NYC'!P248</f>
        <v>15.429168173907302</v>
      </c>
      <c r="J437" s="413">
        <f>'Imp Refined NYC'!Q248</f>
        <v>16.315456243928214</v>
      </c>
      <c r="K437" s="413">
        <f>'Imp Refined NYC'!R248</f>
        <v>17.529065828223015</v>
      </c>
      <c r="L437" s="413">
        <f>'Imp Refined NYC'!S248</f>
        <v>18.832948598941293</v>
      </c>
      <c r="M437" s="413">
        <f>'Imp Refined NYC'!T248</f>
        <v>20.233819440583389</v>
      </c>
      <c r="N437" s="413">
        <f>'Imp Refined NYC'!U248</f>
        <v>21.738892717901081</v>
      </c>
      <c r="O437" s="413">
        <f>'Imp Refined NYC'!V248</f>
        <v>23.355919429257646</v>
      </c>
      <c r="P437" s="405"/>
      <c r="Q437" s="405">
        <f>'Imp Refined NYC'!AF248</f>
        <v>1.7467929158399995</v>
      </c>
      <c r="R437" s="405">
        <f>'Imp Refined NYC'!AG248</f>
        <v>1.5022419076223996</v>
      </c>
      <c r="S437" s="405">
        <f>'Imp Refined NYC'!AH248</f>
        <v>1.6419853408896001</v>
      </c>
      <c r="T437" s="405">
        <f>'Imp Refined NYC'!AI248</f>
        <v>1.7642608449984003</v>
      </c>
      <c r="U437" s="405"/>
      <c r="V437" s="405"/>
      <c r="W437" s="405"/>
      <c r="X437" s="405"/>
      <c r="Y437" s="405"/>
      <c r="Z437" s="405"/>
      <c r="AA437" s="413"/>
      <c r="AB437" s="415"/>
      <c r="AC437" s="415"/>
      <c r="AG437" s="415"/>
      <c r="AH437" s="405"/>
      <c r="AI437" s="415"/>
      <c r="AJ437" s="415">
        <v>1.0049999999999999</v>
      </c>
      <c r="AK437" s="415">
        <v>1.0049999999999999</v>
      </c>
      <c r="BC437" s="365"/>
      <c r="BD437" s="365"/>
      <c r="BE437" s="365"/>
      <c r="BF437" s="365"/>
      <c r="BG437" s="365"/>
    </row>
    <row r="438" spans="2:59">
      <c r="B438" s="376" t="str">
        <f>Technologies!B$621</f>
        <v>*R0</v>
      </c>
      <c r="C438" s="376" t="str">
        <f>'Imp Refined NYC'!E249</f>
        <v>IMPMTHP43</v>
      </c>
      <c r="D438" s="376" t="str">
        <f>'Imp Refined NYC'!F249</f>
        <v>Imported Methanol, PADD 4, Step 3</v>
      </c>
      <c r="E438" s="415" t="str">
        <f>'Imp Refined NYC'!G249</f>
        <v>MTHP4</v>
      </c>
      <c r="F438" s="413">
        <f>'Imp Refined NYC'!M249</f>
        <v>28.21354551545182</v>
      </c>
      <c r="G438" s="413">
        <f>'Imp Refined NYC'!N249</f>
        <v>30.378846482802526</v>
      </c>
      <c r="H438" s="413">
        <f>'Imp Refined NYC'!O249</f>
        <v>30.090002240459576</v>
      </c>
      <c r="I438" s="413">
        <f>'Imp Refined NYC'!P249</f>
        <v>32.469225831613905</v>
      </c>
      <c r="J438" s="413">
        <f>'Imp Refined NYC'!Q249</f>
        <v>34.334335290077128</v>
      </c>
      <c r="K438" s="413">
        <f>'Imp Refined NYC'!R249</f>
        <v>36.888261932118517</v>
      </c>
      <c r="L438" s="413">
        <f>'Imp Refined NYC'!S249</f>
        <v>39.632159961047769</v>
      </c>
      <c r="M438" s="413">
        <f>'Imp Refined NYC'!T249</f>
        <v>42.580160216506876</v>
      </c>
      <c r="N438" s="413">
        <f>'Imp Refined NYC'!U249</f>
        <v>45.747444647108807</v>
      </c>
      <c r="O438" s="413">
        <f>'Imp Refined NYC'!V249</f>
        <v>49.150324496171486</v>
      </c>
      <c r="P438" s="405"/>
      <c r="Q438" s="405">
        <f>'Imp Refined NYC'!AF249</f>
        <v>0</v>
      </c>
      <c r="R438" s="405">
        <f>'Imp Refined NYC'!AG249</f>
        <v>0</v>
      </c>
      <c r="S438" s="405">
        <f>'Imp Refined NYC'!AH249</f>
        <v>0</v>
      </c>
      <c r="T438" s="405">
        <f>'Imp Refined NYC'!AI249</f>
        <v>0</v>
      </c>
      <c r="U438" s="405"/>
      <c r="V438" s="405"/>
      <c r="W438" s="405"/>
      <c r="X438" s="405"/>
      <c r="Y438" s="405"/>
      <c r="Z438" s="405"/>
      <c r="AA438" s="413"/>
      <c r="AB438" s="415"/>
      <c r="AC438" s="415"/>
      <c r="AG438" s="415"/>
      <c r="AH438" s="405"/>
      <c r="AI438" s="415"/>
      <c r="AJ438" s="415">
        <v>1.0049999999999999</v>
      </c>
      <c r="AK438" s="415">
        <v>1.0049999999999999</v>
      </c>
      <c r="BC438" s="365"/>
      <c r="BD438" s="365"/>
      <c r="BE438" s="365"/>
      <c r="BF438" s="365"/>
      <c r="BG438" s="365"/>
    </row>
    <row r="439" spans="2:59">
      <c r="B439" s="376" t="str">
        <f>Technologies!B$622</f>
        <v>*R0</v>
      </c>
      <c r="C439" s="376" t="str">
        <f>'Imp Refined NYC'!E250</f>
        <v>IMPMTHP41</v>
      </c>
      <c r="D439" s="376" t="str">
        <f>'Imp Refined NYC'!F250</f>
        <v>Imported Methanol, PADD 4, Step 1</v>
      </c>
      <c r="E439" s="415" t="str">
        <f>'Imp Refined NYC'!G250</f>
        <v>MTHP4</v>
      </c>
      <c r="F439" s="413">
        <f>'Imp Refined NYC'!M250</f>
        <v>26.802868239679228</v>
      </c>
      <c r="G439" s="413">
        <f>'Imp Refined NYC'!N250</f>
        <v>28.859904158662399</v>
      </c>
      <c r="H439" s="413">
        <f>'Imp Refined NYC'!O250</f>
        <v>28.585502128436595</v>
      </c>
      <c r="I439" s="413">
        <f>'Imp Refined NYC'!P250</f>
        <v>30.845764540033208</v>
      </c>
      <c r="J439" s="413">
        <f>'Imp Refined NYC'!Q250</f>
        <v>32.61761852557327</v>
      </c>
      <c r="K439" s="413">
        <f>'Imp Refined NYC'!R250</f>
        <v>35.043848835512591</v>
      </c>
      <c r="L439" s="413">
        <f>'Imp Refined NYC'!S250</f>
        <v>37.65055196299538</v>
      </c>
      <c r="M439" s="413">
        <f>'Imp Refined NYC'!T250</f>
        <v>40.451152205681531</v>
      </c>
      <c r="N439" s="413">
        <f>'Imp Refined NYC'!U250</f>
        <v>43.46007241475337</v>
      </c>
      <c r="O439" s="413">
        <f>'Imp Refined NYC'!V250</f>
        <v>46.692808271362914</v>
      </c>
      <c r="P439" s="405"/>
      <c r="Q439" s="405">
        <f>'Imp Refined NYC'!AF250</f>
        <v>0</v>
      </c>
      <c r="R439" s="405">
        <f>'Imp Refined NYC'!AG250</f>
        <v>0</v>
      </c>
      <c r="S439" s="405">
        <f>'Imp Refined NYC'!AH250</f>
        <v>0</v>
      </c>
      <c r="T439" s="405">
        <f>'Imp Refined NYC'!AI250</f>
        <v>0</v>
      </c>
      <c r="U439" s="405"/>
      <c r="V439" s="405"/>
      <c r="W439" s="405"/>
      <c r="X439" s="405"/>
      <c r="Y439" s="405"/>
      <c r="Z439" s="405"/>
      <c r="AA439" s="413"/>
      <c r="AB439" s="415"/>
      <c r="AC439" s="415"/>
      <c r="AG439" s="415"/>
      <c r="AH439" s="405"/>
      <c r="AI439" s="415"/>
      <c r="AJ439" s="415">
        <v>1.0049999999999999</v>
      </c>
      <c r="AK439" s="415">
        <v>1.0049999999999999</v>
      </c>
      <c r="BC439" s="365"/>
      <c r="BD439" s="365"/>
      <c r="BE439" s="365"/>
      <c r="BF439" s="365"/>
      <c r="BG439" s="365"/>
    </row>
    <row r="440" spans="2:59">
      <c r="B440" s="376" t="str">
        <f>Technologies!B$623</f>
        <v>*R0</v>
      </c>
      <c r="C440" s="376" t="str">
        <f>'Imp Refined NYC'!E251</f>
        <v>IMPMTHP42</v>
      </c>
      <c r="D440" s="376" t="str">
        <f>'Imp Refined NYC'!F251</f>
        <v>Imported Methanol, PADD 4, Step 2</v>
      </c>
      <c r="E440" s="415" t="str">
        <f>'Imp Refined NYC'!G251</f>
        <v>MTHP4</v>
      </c>
      <c r="F440" s="413">
        <f>'Imp Refined NYC'!M251</f>
        <v>27.649274605142782</v>
      </c>
      <c r="G440" s="413">
        <f>'Imp Refined NYC'!N251</f>
        <v>29.771269553146475</v>
      </c>
      <c r="H440" s="413">
        <f>'Imp Refined NYC'!O251</f>
        <v>29.488202195650384</v>
      </c>
      <c r="I440" s="413">
        <f>'Imp Refined NYC'!P251</f>
        <v>31.819841314981627</v>
      </c>
      <c r="J440" s="413">
        <f>'Imp Refined NYC'!Q251</f>
        <v>33.647648584275586</v>
      </c>
      <c r="K440" s="413">
        <f>'Imp Refined NYC'!R251</f>
        <v>36.15049669347615</v>
      </c>
      <c r="L440" s="413">
        <f>'Imp Refined NYC'!S251</f>
        <v>38.839516761826815</v>
      </c>
      <c r="M440" s="413">
        <f>'Imp Refined NYC'!T251</f>
        <v>41.728557012176736</v>
      </c>
      <c r="N440" s="413">
        <f>'Imp Refined NYC'!U251</f>
        <v>44.832495754166629</v>
      </c>
      <c r="O440" s="413">
        <f>'Imp Refined NYC'!V251</f>
        <v>48.167318006248053</v>
      </c>
      <c r="P440" s="405"/>
      <c r="Q440" s="405">
        <f>'Imp Refined NYC'!AF251</f>
        <v>0</v>
      </c>
      <c r="R440" s="405">
        <f>'Imp Refined NYC'!AG251</f>
        <v>0</v>
      </c>
      <c r="S440" s="405">
        <f>'Imp Refined NYC'!AH251</f>
        <v>0</v>
      </c>
      <c r="T440" s="405">
        <f>'Imp Refined NYC'!AI251</f>
        <v>0</v>
      </c>
      <c r="U440" s="405"/>
      <c r="V440" s="405"/>
      <c r="W440" s="405"/>
      <c r="X440" s="405"/>
      <c r="Y440" s="405"/>
      <c r="Z440" s="405"/>
      <c r="AA440" s="413"/>
      <c r="AB440" s="415"/>
      <c r="AC440" s="415"/>
      <c r="AG440" s="415"/>
      <c r="AH440" s="405"/>
      <c r="AI440" s="415"/>
      <c r="AJ440" s="415">
        <v>1.0049999999999999</v>
      </c>
      <c r="AK440" s="415">
        <v>1.0049999999999999</v>
      </c>
      <c r="BC440" s="365"/>
      <c r="BD440" s="365"/>
      <c r="BE440" s="365"/>
      <c r="BF440" s="365"/>
      <c r="BG440" s="365"/>
    </row>
    <row r="441" spans="2:59">
      <c r="B441" s="376" t="str">
        <f>Technologies!B$624</f>
        <v>*R0</v>
      </c>
      <c r="C441" s="376" t="str">
        <f>'Imp Refined NYC'!E252</f>
        <v>IMPMTHP44</v>
      </c>
      <c r="D441" s="376" t="str">
        <f>'Imp Refined NYC'!F252</f>
        <v>Imported Methanol, PADD 4, Step 4</v>
      </c>
      <c r="E441" s="415" t="str">
        <f>'Imp Refined NYC'!G252</f>
        <v>MTHP4</v>
      </c>
      <c r="F441" s="413">
        <f>'Imp Refined NYC'!M252</f>
        <v>30.752764611842483</v>
      </c>
      <c r="G441" s="413">
        <f>'Imp Refined NYC'!N252</f>
        <v>33.112942666254753</v>
      </c>
      <c r="H441" s="413">
        <f>'Imp Refined NYC'!O252</f>
        <v>32.798102442100934</v>
      </c>
      <c r="I441" s="413">
        <f>'Imp Refined NYC'!P252</f>
        <v>35.391456156459157</v>
      </c>
      <c r="J441" s="413">
        <f>'Imp Refined NYC'!Q252</f>
        <v>37.424425466184076</v>
      </c>
      <c r="K441" s="413">
        <f>'Imp Refined NYC'!R252</f>
        <v>40.208205506009193</v>
      </c>
      <c r="L441" s="413">
        <f>'Imp Refined NYC'!S252</f>
        <v>43.199054357542082</v>
      </c>
      <c r="M441" s="413">
        <f>'Imp Refined NYC'!T252</f>
        <v>46.412374635992506</v>
      </c>
      <c r="N441" s="413">
        <f>'Imp Refined NYC'!U252</f>
        <v>49.864714665348615</v>
      </c>
      <c r="O441" s="413">
        <f>'Imp Refined NYC'!V252</f>
        <v>53.57385370082693</v>
      </c>
      <c r="P441" s="405"/>
      <c r="Q441" s="405">
        <f>'Imp Refined NYC'!AF252</f>
        <v>0</v>
      </c>
      <c r="R441" s="405">
        <f>'Imp Refined NYC'!AG252</f>
        <v>0</v>
      </c>
      <c r="S441" s="405">
        <f>'Imp Refined NYC'!AH252</f>
        <v>0</v>
      </c>
      <c r="T441" s="405">
        <f>'Imp Refined NYC'!AI252</f>
        <v>0</v>
      </c>
      <c r="U441" s="405"/>
      <c r="V441" s="405"/>
      <c r="W441" s="405"/>
      <c r="X441" s="405"/>
      <c r="Y441" s="405"/>
      <c r="Z441" s="405"/>
      <c r="AA441" s="413"/>
      <c r="AB441" s="415"/>
      <c r="AC441" s="415"/>
      <c r="AG441" s="415"/>
      <c r="AH441" s="405"/>
      <c r="AI441" s="415"/>
      <c r="AJ441" s="415">
        <v>1.0049999999999999</v>
      </c>
      <c r="AK441" s="415">
        <v>1.0049999999999999</v>
      </c>
      <c r="BC441" s="365"/>
      <c r="BD441" s="365"/>
      <c r="BE441" s="365"/>
      <c r="BF441" s="365"/>
      <c r="BG441" s="365"/>
    </row>
    <row r="442" spans="2:59">
      <c r="B442" s="376" t="str">
        <f>Technologies!B$625</f>
        <v>*R0</v>
      </c>
      <c r="C442" s="376" t="str">
        <f>'Imp Refined NYC'!E253</f>
        <v>IMPMTHP45</v>
      </c>
      <c r="D442" s="376" t="str">
        <f>'Imp Refined NYC'!F253</f>
        <v>Imported Methanol, PADD 4, Step 5</v>
      </c>
      <c r="E442" s="415" t="str">
        <f>'Imp Refined NYC'!G253</f>
        <v>MTHP4</v>
      </c>
      <c r="F442" s="413">
        <f>'Imp Refined NYC'!M253</f>
        <v>36.677609170087358</v>
      </c>
      <c r="G442" s="413">
        <f>'Imp Refined NYC'!N253</f>
        <v>39.492500427643279</v>
      </c>
      <c r="H442" s="413">
        <f>'Imp Refined NYC'!O253</f>
        <v>39.117002912597442</v>
      </c>
      <c r="I442" s="413">
        <f>'Imp Refined NYC'!P253</f>
        <v>42.209993581098075</v>
      </c>
      <c r="J442" s="413">
        <f>'Imp Refined NYC'!Q253</f>
        <v>44.634635877100266</v>
      </c>
      <c r="K442" s="413">
        <f>'Imp Refined NYC'!R253</f>
        <v>47.954740511754075</v>
      </c>
      <c r="L442" s="413">
        <f>'Imp Refined NYC'!S253</f>
        <v>51.521807949362099</v>
      </c>
      <c r="M442" s="413">
        <f>'Imp Refined NYC'!T253</f>
        <v>55.354208281458938</v>
      </c>
      <c r="N442" s="413">
        <f>'Imp Refined NYC'!U253</f>
        <v>59.471678041241454</v>
      </c>
      <c r="O442" s="413">
        <f>'Imp Refined NYC'!V253</f>
        <v>63.895421845022931</v>
      </c>
      <c r="P442" s="405"/>
      <c r="Q442" s="405">
        <f>'Imp Refined NYC'!AF253</f>
        <v>0</v>
      </c>
      <c r="R442" s="405">
        <f>'Imp Refined NYC'!AG253</f>
        <v>0</v>
      </c>
      <c r="S442" s="405">
        <f>'Imp Refined NYC'!AH253</f>
        <v>0</v>
      </c>
      <c r="T442" s="405">
        <f>'Imp Refined NYC'!AI253</f>
        <v>0</v>
      </c>
      <c r="U442" s="405"/>
      <c r="V442" s="405"/>
      <c r="W442" s="405"/>
      <c r="X442" s="405"/>
      <c r="Y442" s="405"/>
      <c r="Z442" s="405"/>
      <c r="AA442" s="413"/>
      <c r="AB442" s="415"/>
      <c r="AC442" s="415"/>
      <c r="AG442" s="415"/>
      <c r="AH442" s="405"/>
      <c r="AI442" s="415"/>
      <c r="AJ442" s="415">
        <v>1.0049999999999999</v>
      </c>
      <c r="AK442" s="415">
        <v>1.0049999999999999</v>
      </c>
      <c r="BC442" s="365"/>
      <c r="BD442" s="365"/>
      <c r="BE442" s="365"/>
      <c r="BF442" s="365"/>
      <c r="BG442" s="365"/>
    </row>
    <row r="443" spans="2:59">
      <c r="B443" s="376" t="str">
        <f>Technologies!B$626</f>
        <v>*R0</v>
      </c>
      <c r="C443" s="376" t="str">
        <f>'Imp Refined NYC'!E254</f>
        <v>IMPDSUP43</v>
      </c>
      <c r="D443" s="376" t="str">
        <f>'Imp Refined NYC'!F254</f>
        <v>Imported Distillate-Ultralow Sulfur Highway Diesel (15 ppm), PADD 4, Step 3</v>
      </c>
      <c r="E443" s="415" t="str">
        <f>'Imp Refined NYC'!G254</f>
        <v>DSUP4</v>
      </c>
      <c r="F443" s="413">
        <f>'Imp Refined NYC'!M254</f>
        <v>13.696954368238618</v>
      </c>
      <c r="G443" s="413">
        <f>'Imp Refined NYC'!N254</f>
        <v>14.748152578228307</v>
      </c>
      <c r="H443" s="413">
        <f>'Imp Refined NYC'!O254</f>
        <v>14.607926090042584</v>
      </c>
      <c r="I443" s="413">
        <f>'Imp Refined NYC'!P254</f>
        <v>15.762978259647785</v>
      </c>
      <c r="J443" s="413">
        <f>'Imp Refined NYC'!Q254</f>
        <v>16.668441173918875</v>
      </c>
      <c r="K443" s="413">
        <f>'Imp Refined NYC'!R254</f>
        <v>17.908307204110354</v>
      </c>
      <c r="L443" s="413">
        <f>'Imp Refined NYC'!S254</f>
        <v>19.24039948130255</v>
      </c>
      <c r="M443" s="413">
        <f>'Imp Refined NYC'!T254</f>
        <v>20.671578166536026</v>
      </c>
      <c r="N443" s="413">
        <f>'Imp Refined NYC'!U254</f>
        <v>22.209213707359069</v>
      </c>
      <c r="O443" s="413">
        <f>'Imp Refined NYC'!V254</f>
        <v>23.861224795000769</v>
      </c>
      <c r="P443" s="405"/>
      <c r="Q443" s="405">
        <f>'Imp Refined NYC'!AF254</f>
        <v>0</v>
      </c>
      <c r="R443" s="405">
        <f>'Imp Refined NYC'!AG254</f>
        <v>0</v>
      </c>
      <c r="S443" s="405">
        <f>'Imp Refined NYC'!AH254</f>
        <v>0</v>
      </c>
      <c r="T443" s="405">
        <f>'Imp Refined NYC'!AI254</f>
        <v>0</v>
      </c>
      <c r="U443" s="405"/>
      <c r="V443" s="405"/>
      <c r="W443" s="405"/>
      <c r="X443" s="405"/>
      <c r="Y443" s="405"/>
      <c r="Z443" s="405"/>
      <c r="AA443" s="413"/>
      <c r="AB443" s="415"/>
      <c r="AC443" s="415"/>
      <c r="AG443" s="415"/>
      <c r="AH443" s="405"/>
      <c r="AI443" s="415"/>
      <c r="AJ443" s="415">
        <v>1.0049999999999999</v>
      </c>
      <c r="AK443" s="415">
        <v>1.0049999999999999</v>
      </c>
      <c r="BC443" s="365"/>
      <c r="BD443" s="365"/>
      <c r="BE443" s="365"/>
      <c r="BF443" s="365"/>
      <c r="BG443" s="365"/>
    </row>
    <row r="444" spans="2:59">
      <c r="B444" s="376" t="str">
        <f>Technologies!B$627</f>
        <v>*R0</v>
      </c>
      <c r="C444" s="376" t="str">
        <f>'Imp Refined NYC'!E255</f>
        <v>IMPDSUP41</v>
      </c>
      <c r="D444" s="376" t="str">
        <f>'Imp Refined NYC'!F255</f>
        <v>Imported Distillate-Ultralow Sulfur Highway Diesel (15 ppm), PADD 4, Step 1</v>
      </c>
      <c r="E444" s="415" t="str">
        <f>'Imp Refined NYC'!G255</f>
        <v>DSUP4</v>
      </c>
      <c r="F444" s="413">
        <f>'Imp Refined NYC'!M255</f>
        <v>13.012106649826684</v>
      </c>
      <c r="G444" s="413">
        <f>'Imp Refined NYC'!N255</f>
        <v>14.010744949316889</v>
      </c>
      <c r="H444" s="413">
        <f>'Imp Refined NYC'!O255</f>
        <v>13.877529785540453</v>
      </c>
      <c r="I444" s="413">
        <f>'Imp Refined NYC'!P255</f>
        <v>14.974829346665393</v>
      </c>
      <c r="J444" s="413">
        <f>'Imp Refined NYC'!Q255</f>
        <v>15.835019115222929</v>
      </c>
      <c r="K444" s="413">
        <f>'Imp Refined NYC'!R255</f>
        <v>17.012891843904832</v>
      </c>
      <c r="L444" s="413">
        <f>'Imp Refined NYC'!S255</f>
        <v>18.278379507237418</v>
      </c>
      <c r="M444" s="413">
        <f>'Imp Refined NYC'!T255</f>
        <v>19.63799925820922</v>
      </c>
      <c r="N444" s="413">
        <f>'Imp Refined NYC'!U255</f>
        <v>21.098753021991111</v>
      </c>
      <c r="O444" s="413">
        <f>'Imp Refined NYC'!V255</f>
        <v>22.668163555250729</v>
      </c>
      <c r="P444" s="405"/>
      <c r="Q444" s="405">
        <f>'Imp Refined NYC'!AF255</f>
        <v>0</v>
      </c>
      <c r="R444" s="405">
        <f>'Imp Refined NYC'!AG255</f>
        <v>0</v>
      </c>
      <c r="S444" s="405">
        <f>'Imp Refined NYC'!AH255</f>
        <v>0</v>
      </c>
      <c r="T444" s="405">
        <f>'Imp Refined NYC'!AI255</f>
        <v>0</v>
      </c>
      <c r="U444" s="405"/>
      <c r="V444" s="405"/>
      <c r="W444" s="405"/>
      <c r="X444" s="405"/>
      <c r="Y444" s="405"/>
      <c r="Z444" s="405"/>
      <c r="AA444" s="413"/>
      <c r="AB444" s="415"/>
      <c r="AC444" s="415"/>
      <c r="AG444" s="415"/>
      <c r="AH444" s="405"/>
      <c r="AI444" s="415"/>
      <c r="AJ444" s="415">
        <v>1.0049999999999999</v>
      </c>
      <c r="AK444" s="415">
        <v>1.0049999999999999</v>
      </c>
      <c r="BC444" s="365"/>
      <c r="BD444" s="365"/>
      <c r="BE444" s="365"/>
      <c r="BF444" s="365"/>
      <c r="BG444" s="365"/>
    </row>
    <row r="445" spans="2:59">
      <c r="B445" s="376" t="str">
        <f>Technologies!B$628</f>
        <v>*R0</v>
      </c>
      <c r="C445" s="376" t="str">
        <f>'Imp Refined NYC'!E256</f>
        <v>IMPDSUP42</v>
      </c>
      <c r="D445" s="376" t="str">
        <f>'Imp Refined NYC'!F256</f>
        <v>Imported Distillate-Ultralow Sulfur Highway Diesel (15 ppm), PADD 4, Step 2</v>
      </c>
      <c r="E445" s="415" t="str">
        <f>'Imp Refined NYC'!G256</f>
        <v>DSUP4</v>
      </c>
      <c r="F445" s="413">
        <f>'Imp Refined NYC'!M256</f>
        <v>13.423015280873843</v>
      </c>
      <c r="G445" s="413">
        <f>'Imp Refined NYC'!N256</f>
        <v>14.453189526663738</v>
      </c>
      <c r="H445" s="413">
        <f>'Imp Refined NYC'!O256</f>
        <v>14.31576756824173</v>
      </c>
      <c r="I445" s="413">
        <f>'Imp Refined NYC'!P256</f>
        <v>15.447718694454826</v>
      </c>
      <c r="J445" s="413">
        <f>'Imp Refined NYC'!Q256</f>
        <v>16.335072350440495</v>
      </c>
      <c r="K445" s="413">
        <f>'Imp Refined NYC'!R256</f>
        <v>17.550141060028142</v>
      </c>
      <c r="L445" s="413">
        <f>'Imp Refined NYC'!S256</f>
        <v>18.855591491676492</v>
      </c>
      <c r="M445" s="413">
        <f>'Imp Refined NYC'!T256</f>
        <v>20.258146603205297</v>
      </c>
      <c r="N445" s="413">
        <f>'Imp Refined NYC'!U256</f>
        <v>21.765029433211879</v>
      </c>
      <c r="O445" s="413">
        <f>'Imp Refined NYC'!V256</f>
        <v>23.384000299100745</v>
      </c>
      <c r="P445" s="405"/>
      <c r="Q445" s="405">
        <f>'Imp Refined NYC'!AF256</f>
        <v>0</v>
      </c>
      <c r="R445" s="405">
        <f>'Imp Refined NYC'!AG256</f>
        <v>0</v>
      </c>
      <c r="S445" s="405">
        <f>'Imp Refined NYC'!AH256</f>
        <v>0</v>
      </c>
      <c r="T445" s="405">
        <f>'Imp Refined NYC'!AI256</f>
        <v>0</v>
      </c>
      <c r="U445" s="405"/>
      <c r="V445" s="405"/>
      <c r="W445" s="405"/>
      <c r="X445" s="405"/>
      <c r="Y445" s="405"/>
      <c r="Z445" s="405"/>
      <c r="AA445" s="413"/>
      <c r="AB445" s="415"/>
      <c r="AC445" s="415"/>
      <c r="AG445" s="415"/>
      <c r="AH445" s="405"/>
      <c r="AI445" s="415"/>
      <c r="AJ445" s="415">
        <v>1.0049999999999999</v>
      </c>
      <c r="AK445" s="415">
        <v>1.0049999999999999</v>
      </c>
      <c r="BC445" s="365"/>
      <c r="BD445" s="365"/>
      <c r="BE445" s="365"/>
      <c r="BF445" s="365"/>
      <c r="BG445" s="365"/>
    </row>
    <row r="446" spans="2:59">
      <c r="B446" s="376" t="str">
        <f>Technologies!B$629</f>
        <v>*R0</v>
      </c>
      <c r="C446" s="376" t="str">
        <f>'Imp Refined NYC'!E257</f>
        <v>IMPDSUP44</v>
      </c>
      <c r="D446" s="376" t="str">
        <f>'Imp Refined NYC'!F257</f>
        <v>Imported Distillate-Ultralow Sulfur Highway Diesel (15 ppm), PADD 4, Step 4</v>
      </c>
      <c r="E446" s="415" t="str">
        <f>'Imp Refined NYC'!G257</f>
        <v>DSUP4</v>
      </c>
      <c r="F446" s="413">
        <f>'Imp Refined NYC'!M257</f>
        <v>14.929680261380094</v>
      </c>
      <c r="G446" s="413">
        <f>'Imp Refined NYC'!N257</f>
        <v>16.075486310268854</v>
      </c>
      <c r="H446" s="413">
        <f>'Imp Refined NYC'!O257</f>
        <v>15.922639438146415</v>
      </c>
      <c r="I446" s="413">
        <f>'Imp Refined NYC'!P257</f>
        <v>17.181646303016084</v>
      </c>
      <c r="J446" s="413">
        <f>'Imp Refined NYC'!Q257</f>
        <v>18.168600879571571</v>
      </c>
      <c r="K446" s="413">
        <f>'Imp Refined NYC'!R257</f>
        <v>19.520054852480282</v>
      </c>
      <c r="L446" s="413">
        <f>'Imp Refined NYC'!S257</f>
        <v>20.972035434619773</v>
      </c>
      <c r="M446" s="413">
        <f>'Imp Refined NYC'!T257</f>
        <v>22.532020201524261</v>
      </c>
      <c r="N446" s="413">
        <f>'Imp Refined NYC'!U257</f>
        <v>24.208042941021379</v>
      </c>
      <c r="O446" s="413">
        <f>'Imp Refined NYC'!V257</f>
        <v>26.008735026550834</v>
      </c>
      <c r="P446" s="405"/>
      <c r="Q446" s="405">
        <f>'Imp Refined NYC'!AF257</f>
        <v>0</v>
      </c>
      <c r="R446" s="405">
        <f>'Imp Refined NYC'!AG257</f>
        <v>0</v>
      </c>
      <c r="S446" s="405">
        <f>'Imp Refined NYC'!AH257</f>
        <v>0</v>
      </c>
      <c r="T446" s="405">
        <f>'Imp Refined NYC'!AI257</f>
        <v>0</v>
      </c>
      <c r="U446" s="405"/>
      <c r="V446" s="405"/>
      <c r="W446" s="405"/>
      <c r="X446" s="405"/>
      <c r="Y446" s="405"/>
      <c r="Z446" s="405"/>
      <c r="AA446" s="413"/>
      <c r="AB446" s="415"/>
      <c r="AC446" s="415"/>
      <c r="AG446" s="415"/>
      <c r="AH446" s="405"/>
      <c r="AI446" s="415"/>
      <c r="AJ446" s="415">
        <v>1.0049999999999999</v>
      </c>
      <c r="AK446" s="415">
        <v>1.0049999999999999</v>
      </c>
      <c r="BC446" s="365"/>
      <c r="BD446" s="365"/>
      <c r="BE446" s="365"/>
      <c r="BF446" s="365"/>
      <c r="BG446" s="365"/>
    </row>
    <row r="447" spans="2:59">
      <c r="B447" s="376" t="str">
        <f>Technologies!B$630</f>
        <v>*R0</v>
      </c>
      <c r="C447" s="376" t="str">
        <f>'Imp Refined NYC'!E258</f>
        <v>IMPDSUP45</v>
      </c>
      <c r="D447" s="376" t="str">
        <f>'Imp Refined NYC'!F258</f>
        <v>Imported Distillate-Ultralow Sulfur Highway Diesel (15 ppm), PADD 4, Step 5</v>
      </c>
      <c r="E447" s="415" t="str">
        <f>'Imp Refined NYC'!G258</f>
        <v>DSUP4</v>
      </c>
      <c r="F447" s="413">
        <f>'Imp Refined NYC'!M258</f>
        <v>17.806040678710204</v>
      </c>
      <c r="G447" s="413">
        <f>'Imp Refined NYC'!N258</f>
        <v>19.172598351696799</v>
      </c>
      <c r="H447" s="413">
        <f>'Imp Refined NYC'!O258</f>
        <v>18.99030391705536</v>
      </c>
      <c r="I447" s="413">
        <f>'Imp Refined NYC'!P258</f>
        <v>20.49187173754212</v>
      </c>
      <c r="J447" s="413">
        <f>'Imp Refined NYC'!Q258</f>
        <v>21.668973526094536</v>
      </c>
      <c r="K447" s="413">
        <f>'Imp Refined NYC'!R258</f>
        <v>23.280799365343455</v>
      </c>
      <c r="L447" s="413">
        <f>'Imp Refined NYC'!S258</f>
        <v>25.012519325693308</v>
      </c>
      <c r="M447" s="413">
        <f>'Imp Refined NYC'!T258</f>
        <v>26.873051616496827</v>
      </c>
      <c r="N447" s="413">
        <f>'Imp Refined NYC'!U258</f>
        <v>28.871977819566784</v>
      </c>
      <c r="O447" s="413">
        <f>'Imp Refined NYC'!V258</f>
        <v>31.019592233500994</v>
      </c>
      <c r="P447" s="405"/>
      <c r="Q447" s="405">
        <f>'Imp Refined NYC'!AF258</f>
        <v>0</v>
      </c>
      <c r="R447" s="405">
        <f>'Imp Refined NYC'!AG258</f>
        <v>0</v>
      </c>
      <c r="S447" s="405">
        <f>'Imp Refined NYC'!AH258</f>
        <v>0</v>
      </c>
      <c r="T447" s="405">
        <f>'Imp Refined NYC'!AI258</f>
        <v>0</v>
      </c>
      <c r="U447" s="405"/>
      <c r="V447" s="405"/>
      <c r="W447" s="405"/>
      <c r="X447" s="405"/>
      <c r="Y447" s="405"/>
      <c r="Z447" s="405"/>
      <c r="AA447" s="413"/>
      <c r="AB447" s="415"/>
      <c r="AC447" s="415"/>
      <c r="AG447" s="415"/>
      <c r="AH447" s="405"/>
      <c r="AI447" s="415"/>
      <c r="AJ447" s="415">
        <v>1.0049999999999999</v>
      </c>
      <c r="AK447" s="415">
        <v>1.0049999999999999</v>
      </c>
      <c r="BC447" s="365"/>
      <c r="BD447" s="365"/>
      <c r="BE447" s="365"/>
      <c r="BF447" s="365"/>
      <c r="BG447" s="365"/>
    </row>
    <row r="448" spans="2:59">
      <c r="B448" s="399" t="str">
        <f>Technologies!B$631</f>
        <v>*</v>
      </c>
      <c r="C448" s="399"/>
      <c r="D448" s="399"/>
      <c r="E448" s="398"/>
      <c r="F448" s="413"/>
      <c r="G448" s="413"/>
      <c r="H448" s="413"/>
      <c r="I448" s="413"/>
      <c r="J448" s="413"/>
      <c r="K448" s="413"/>
      <c r="L448" s="413"/>
      <c r="M448" s="413"/>
      <c r="N448" s="413"/>
      <c r="O448" s="413"/>
      <c r="P448" s="405"/>
      <c r="Q448" s="405"/>
      <c r="R448" s="405"/>
      <c r="S448" s="405"/>
      <c r="T448" s="405"/>
      <c r="U448" s="405"/>
      <c r="V448" s="405"/>
      <c r="W448" s="405"/>
      <c r="X448" s="405"/>
      <c r="Y448" s="405"/>
      <c r="Z448" s="405"/>
      <c r="AA448" s="413"/>
      <c r="AB448" s="415"/>
      <c r="AC448" s="415"/>
      <c r="AG448" s="415"/>
      <c r="AH448" s="405"/>
      <c r="AI448" s="415"/>
      <c r="AJ448" s="415"/>
      <c r="AK448" s="415"/>
      <c r="BC448" s="365"/>
      <c r="BD448" s="365"/>
      <c r="BE448" s="365"/>
      <c r="BF448" s="365"/>
      <c r="BG448" s="365"/>
    </row>
    <row r="449" spans="2:59">
      <c r="B449" s="399" t="str">
        <f>Technologies!B$632</f>
        <v>*</v>
      </c>
      <c r="C449" s="399"/>
      <c r="D449" s="399"/>
      <c r="E449" s="398"/>
      <c r="F449" s="413"/>
      <c r="G449" s="413"/>
      <c r="H449" s="413"/>
      <c r="I449" s="413"/>
      <c r="J449" s="413"/>
      <c r="K449" s="413"/>
      <c r="L449" s="413"/>
      <c r="M449" s="413"/>
      <c r="N449" s="413"/>
      <c r="O449" s="413"/>
      <c r="P449" s="405"/>
      <c r="Q449" s="405"/>
      <c r="R449" s="405"/>
      <c r="S449" s="405"/>
      <c r="T449" s="405"/>
      <c r="U449" s="405"/>
      <c r="V449" s="405"/>
      <c r="W449" s="405"/>
      <c r="X449" s="405"/>
      <c r="Y449" s="405"/>
      <c r="Z449" s="405"/>
      <c r="AA449" s="413"/>
      <c r="AB449" s="415"/>
      <c r="AC449" s="415"/>
      <c r="AG449" s="415"/>
      <c r="AH449" s="405"/>
      <c r="AI449" s="415"/>
      <c r="AJ449" s="415"/>
      <c r="AK449" s="415"/>
      <c r="BC449" s="365"/>
      <c r="BD449" s="365"/>
      <c r="BE449" s="365"/>
      <c r="BF449" s="365"/>
      <c r="BG449" s="365"/>
    </row>
    <row r="450" spans="2:59">
      <c r="B450" s="376" t="str">
        <f>Technologies!B$633</f>
        <v>*R0</v>
      </c>
      <c r="C450" s="376" t="str">
        <f>'Imp Refined NYC'!E261</f>
        <v>IMPGSRP53</v>
      </c>
      <c r="D450" s="376" t="str">
        <f>'Imp Refined NYC'!F261</f>
        <v>Imported Reformulated Gasoline, PADD 5, Step 3</v>
      </c>
      <c r="E450" s="415" t="str">
        <f>'Imp Refined NYC'!G261</f>
        <v>GSRP5</v>
      </c>
      <c r="F450" s="413">
        <v>0</v>
      </c>
      <c r="G450" s="413">
        <v>0</v>
      </c>
      <c r="H450" s="413">
        <v>0</v>
      </c>
      <c r="I450" s="413">
        <v>0</v>
      </c>
      <c r="J450" s="413">
        <v>0</v>
      </c>
      <c r="K450" s="413">
        <v>0</v>
      </c>
      <c r="L450" s="413">
        <v>0</v>
      </c>
      <c r="M450" s="413">
        <v>0</v>
      </c>
      <c r="N450" s="413">
        <v>0</v>
      </c>
      <c r="O450" s="413">
        <v>0</v>
      </c>
      <c r="P450" s="405"/>
      <c r="Q450" s="405">
        <f>'Imp Refined NYC'!AF261</f>
        <v>1.2791907778199967</v>
      </c>
      <c r="R450" s="405">
        <f>'Imp Refined NYC'!AG261</f>
        <v>0</v>
      </c>
      <c r="S450" s="405">
        <f>'Imp Refined NYC'!AH261</f>
        <v>0</v>
      </c>
      <c r="T450" s="405">
        <f>'Imp Refined NYC'!AI261</f>
        <v>0</v>
      </c>
      <c r="U450" s="405">
        <f>'Imp Refined NYC'!AF261</f>
        <v>1.2791907778199967</v>
      </c>
      <c r="V450" s="405">
        <f>'Imp Refined NYC'!AG261</f>
        <v>0</v>
      </c>
      <c r="W450" s="405">
        <f>'Imp Refined NYC'!AH261</f>
        <v>0</v>
      </c>
      <c r="X450" s="405">
        <f>'Imp Refined NYC'!AI261</f>
        <v>0</v>
      </c>
      <c r="Y450" s="405">
        <f>'Imp Refined NYC'!AJ261</f>
        <v>0</v>
      </c>
      <c r="Z450" s="405">
        <f>'Imp Refined NYC'!AK261</f>
        <v>0</v>
      </c>
      <c r="AA450" s="405">
        <f>'Imp Refined NYC'!AL261</f>
        <v>0</v>
      </c>
      <c r="AB450" s="415"/>
      <c r="AC450" s="415"/>
      <c r="AG450" s="415"/>
      <c r="AH450" s="405"/>
      <c r="AI450" s="415"/>
      <c r="AJ450" s="415">
        <v>1.0049999999999999</v>
      </c>
      <c r="AK450" s="415">
        <v>1.0049999999999999</v>
      </c>
      <c r="BC450" s="365"/>
      <c r="BD450" s="365"/>
      <c r="BE450" s="365"/>
      <c r="BF450" s="365"/>
      <c r="BG450" s="365"/>
    </row>
    <row r="451" spans="2:59">
      <c r="B451" s="376" t="str">
        <f>Technologies!B$634</f>
        <v>*R0</v>
      </c>
      <c r="C451" s="376" t="str">
        <f>'Imp Refined NYC'!E262</f>
        <v>IMPGSRP51</v>
      </c>
      <c r="D451" s="376" t="str">
        <f>'Imp Refined NYC'!F262</f>
        <v>Imported Reformulated Gasoline, PADD 5, Step 1</v>
      </c>
      <c r="E451" s="415" t="str">
        <f>'Imp Refined NYC'!G262</f>
        <v>GSRP5</v>
      </c>
      <c r="F451" s="413">
        <v>0</v>
      </c>
      <c r="G451" s="413">
        <v>0</v>
      </c>
      <c r="H451" s="413">
        <v>0</v>
      </c>
      <c r="I451" s="413">
        <v>0</v>
      </c>
      <c r="J451" s="413">
        <v>0</v>
      </c>
      <c r="K451" s="413">
        <v>0</v>
      </c>
      <c r="L451" s="413">
        <v>0</v>
      </c>
      <c r="M451" s="413">
        <v>0</v>
      </c>
      <c r="N451" s="413">
        <v>0</v>
      </c>
      <c r="O451" s="413">
        <v>0</v>
      </c>
      <c r="P451" s="405"/>
      <c r="Q451" s="405">
        <f>'Imp Refined NYC'!AF262</f>
        <v>10.23352622256</v>
      </c>
      <c r="R451" s="405">
        <f>'Imp Refined NYC'!AG262</f>
        <v>0</v>
      </c>
      <c r="S451" s="405">
        <f>'Imp Refined NYC'!AH262</f>
        <v>0</v>
      </c>
      <c r="T451" s="405">
        <f>'Imp Refined NYC'!AI262</f>
        <v>0</v>
      </c>
      <c r="U451" s="405">
        <f>'Imp Refined NYC'!AF262</f>
        <v>10.23352622256</v>
      </c>
      <c r="V451" s="405">
        <f>'Imp Refined NYC'!AG262</f>
        <v>0</v>
      </c>
      <c r="W451" s="405">
        <f>'Imp Refined NYC'!AH262</f>
        <v>0</v>
      </c>
      <c r="X451" s="405">
        <f>'Imp Refined NYC'!AI262</f>
        <v>0</v>
      </c>
      <c r="Y451" s="405">
        <f>'Imp Refined NYC'!AJ262</f>
        <v>0</v>
      </c>
      <c r="Z451" s="405">
        <f>'Imp Refined NYC'!AK262</f>
        <v>0</v>
      </c>
      <c r="AA451" s="405">
        <f>'Imp Refined NYC'!AL262</f>
        <v>0</v>
      </c>
      <c r="AB451" s="415"/>
      <c r="AC451" s="415"/>
      <c r="AG451" s="415"/>
      <c r="AH451" s="405"/>
      <c r="AI451" s="415"/>
      <c r="AJ451" s="415">
        <v>1.0049999999999999</v>
      </c>
      <c r="AK451" s="415">
        <v>1.0049999999999999</v>
      </c>
      <c r="BC451" s="365"/>
      <c r="BD451" s="365"/>
      <c r="BE451" s="365"/>
      <c r="BF451" s="365"/>
      <c r="BG451" s="365"/>
    </row>
    <row r="452" spans="2:59">
      <c r="B452" s="376" t="str">
        <f>Technologies!B$635</f>
        <v>*R0</v>
      </c>
      <c r="C452" s="376" t="str">
        <f>'Imp Refined NYC'!E263</f>
        <v>IMPGSRP52</v>
      </c>
      <c r="D452" s="376" t="str">
        <f>'Imp Refined NYC'!F263</f>
        <v>Imported Reformulated Gasoline, PADD 5, Step 2</v>
      </c>
      <c r="E452" s="415" t="str">
        <f>'Imp Refined NYC'!G263</f>
        <v>GSRP5</v>
      </c>
      <c r="F452" s="413">
        <v>0</v>
      </c>
      <c r="G452" s="413">
        <v>0</v>
      </c>
      <c r="H452" s="413">
        <v>0</v>
      </c>
      <c r="I452" s="413">
        <v>0</v>
      </c>
      <c r="J452" s="413">
        <v>0</v>
      </c>
      <c r="K452" s="413">
        <v>0</v>
      </c>
      <c r="L452" s="413">
        <v>0</v>
      </c>
      <c r="M452" s="413">
        <v>0</v>
      </c>
      <c r="N452" s="413">
        <v>0</v>
      </c>
      <c r="O452" s="413">
        <v>0</v>
      </c>
      <c r="P452" s="405"/>
      <c r="Q452" s="405">
        <f>'Imp Refined NYC'!AF263</f>
        <v>1.279190777820002</v>
      </c>
      <c r="R452" s="405">
        <f>'Imp Refined NYC'!AG263</f>
        <v>0</v>
      </c>
      <c r="S452" s="405">
        <f>'Imp Refined NYC'!AH263</f>
        <v>0</v>
      </c>
      <c r="T452" s="405">
        <f>'Imp Refined NYC'!AI263</f>
        <v>0</v>
      </c>
      <c r="U452" s="405">
        <f>'Imp Refined NYC'!AF263</f>
        <v>1.279190777820002</v>
      </c>
      <c r="V452" s="405">
        <f>'Imp Refined NYC'!AG263</f>
        <v>0</v>
      </c>
      <c r="W452" s="405">
        <f>'Imp Refined NYC'!AH263</f>
        <v>0</v>
      </c>
      <c r="X452" s="405">
        <f>'Imp Refined NYC'!AI263</f>
        <v>0</v>
      </c>
      <c r="Y452" s="405">
        <f>'Imp Refined NYC'!AJ263</f>
        <v>0</v>
      </c>
      <c r="Z452" s="405">
        <f>'Imp Refined NYC'!AK263</f>
        <v>0</v>
      </c>
      <c r="AA452" s="405">
        <f>'Imp Refined NYC'!AL263</f>
        <v>0</v>
      </c>
      <c r="AB452" s="415"/>
      <c r="AC452" s="415"/>
      <c r="AG452" s="415"/>
      <c r="AH452" s="405"/>
      <c r="AI452" s="415"/>
      <c r="AJ452" s="415">
        <v>1.0049999999999999</v>
      </c>
      <c r="AK452" s="415">
        <v>1.0049999999999999</v>
      </c>
      <c r="BC452" s="365"/>
      <c r="BD452" s="365"/>
      <c r="BE452" s="365"/>
      <c r="BF452" s="365"/>
      <c r="BG452" s="365"/>
    </row>
    <row r="453" spans="2:59">
      <c r="B453" s="376" t="str">
        <f>Technologies!B$636</f>
        <v>*R0</v>
      </c>
      <c r="C453" s="376" t="str">
        <f>'Imp Refined NYC'!E264</f>
        <v>IMPGSRP54</v>
      </c>
      <c r="D453" s="376" t="str">
        <f>'Imp Refined NYC'!F264</f>
        <v>Imported Reformulated Gasoline, PADD 5, Step 4</v>
      </c>
      <c r="E453" s="415" t="str">
        <f>'Imp Refined NYC'!G264</f>
        <v>GSRP5</v>
      </c>
      <c r="F453" s="413">
        <v>0</v>
      </c>
      <c r="G453" s="413">
        <v>0</v>
      </c>
      <c r="H453" s="413">
        <v>0</v>
      </c>
      <c r="I453" s="413">
        <v>0</v>
      </c>
      <c r="J453" s="413">
        <v>0</v>
      </c>
      <c r="K453" s="413">
        <v>0</v>
      </c>
      <c r="L453" s="413">
        <v>0</v>
      </c>
      <c r="M453" s="413">
        <v>0</v>
      </c>
      <c r="N453" s="413">
        <v>0</v>
      </c>
      <c r="O453" s="413">
        <v>0</v>
      </c>
      <c r="P453" s="405"/>
      <c r="Q453" s="405">
        <f>'Imp Refined NYC'!AF264</f>
        <v>2.5583815556400022</v>
      </c>
      <c r="R453" s="405">
        <f>'Imp Refined NYC'!AG264</f>
        <v>0</v>
      </c>
      <c r="S453" s="405">
        <f>'Imp Refined NYC'!AH264</f>
        <v>0</v>
      </c>
      <c r="T453" s="405">
        <f>'Imp Refined NYC'!AI264</f>
        <v>0</v>
      </c>
      <c r="U453" s="405">
        <f>'Imp Refined NYC'!AF264</f>
        <v>2.5583815556400022</v>
      </c>
      <c r="V453" s="405">
        <f>'Imp Refined NYC'!AG264</f>
        <v>0</v>
      </c>
      <c r="W453" s="405">
        <f>'Imp Refined NYC'!AH264</f>
        <v>0</v>
      </c>
      <c r="X453" s="405">
        <f>'Imp Refined NYC'!AI264</f>
        <v>0</v>
      </c>
      <c r="Y453" s="405">
        <f>'Imp Refined NYC'!AJ264</f>
        <v>0</v>
      </c>
      <c r="Z453" s="405">
        <f>'Imp Refined NYC'!AK264</f>
        <v>0</v>
      </c>
      <c r="AA453" s="405">
        <f>'Imp Refined NYC'!AL264</f>
        <v>0</v>
      </c>
      <c r="AB453" s="415"/>
      <c r="AC453" s="415"/>
      <c r="AG453" s="415"/>
      <c r="AH453" s="405"/>
      <c r="AI453" s="415"/>
      <c r="AJ453" s="415">
        <v>1.0049999999999999</v>
      </c>
      <c r="AK453" s="415">
        <v>1.0049999999999999</v>
      </c>
      <c r="BC453" s="365"/>
      <c r="BD453" s="365"/>
      <c r="BE453" s="365"/>
      <c r="BF453" s="365"/>
      <c r="BG453" s="365"/>
    </row>
    <row r="454" spans="2:59">
      <c r="B454" s="376" t="str">
        <f>Technologies!B$637</f>
        <v>*R0</v>
      </c>
      <c r="C454" s="376" t="str">
        <f>'Imp Refined NYC'!E265</f>
        <v>IMPGSRP55</v>
      </c>
      <c r="D454" s="376" t="str">
        <f>'Imp Refined NYC'!F265</f>
        <v>Imported Reformulated Gasoline, PADD 5, Step 5</v>
      </c>
      <c r="E454" s="415" t="str">
        <f>'Imp Refined NYC'!G265</f>
        <v>GSRP5</v>
      </c>
      <c r="F454" s="413">
        <v>0</v>
      </c>
      <c r="G454" s="413">
        <v>0</v>
      </c>
      <c r="H454" s="413">
        <v>0</v>
      </c>
      <c r="I454" s="413">
        <v>0</v>
      </c>
      <c r="J454" s="413">
        <v>0</v>
      </c>
      <c r="K454" s="413">
        <v>0</v>
      </c>
      <c r="L454" s="413">
        <v>0</v>
      </c>
      <c r="M454" s="413">
        <v>0</v>
      </c>
      <c r="N454" s="413">
        <v>0</v>
      </c>
      <c r="O454" s="413">
        <v>0</v>
      </c>
      <c r="P454" s="405"/>
      <c r="Q454" s="405">
        <f>'Imp Refined NYC'!AF265</f>
        <v>10.233526222559997</v>
      </c>
      <c r="R454" s="405">
        <f>'Imp Refined NYC'!AG265</f>
        <v>0</v>
      </c>
      <c r="S454" s="405">
        <f>'Imp Refined NYC'!AH265</f>
        <v>0</v>
      </c>
      <c r="T454" s="405">
        <f>'Imp Refined NYC'!AI265</f>
        <v>0</v>
      </c>
      <c r="U454" s="405">
        <f>'Imp Refined NYC'!AF265</f>
        <v>10.233526222559997</v>
      </c>
      <c r="V454" s="405">
        <f>'Imp Refined NYC'!AG265</f>
        <v>0</v>
      </c>
      <c r="W454" s="405">
        <f>'Imp Refined NYC'!AH265</f>
        <v>0</v>
      </c>
      <c r="X454" s="405">
        <f>'Imp Refined NYC'!AI265</f>
        <v>0</v>
      </c>
      <c r="Y454" s="405">
        <f>'Imp Refined NYC'!AJ265</f>
        <v>0</v>
      </c>
      <c r="Z454" s="405">
        <f>'Imp Refined NYC'!AK265</f>
        <v>0</v>
      </c>
      <c r="AA454" s="405">
        <f>'Imp Refined NYC'!AL265</f>
        <v>0</v>
      </c>
      <c r="AB454" s="415"/>
      <c r="AC454" s="415"/>
      <c r="AG454" s="415"/>
      <c r="AH454" s="405"/>
      <c r="AI454" s="415"/>
      <c r="AJ454" s="415">
        <v>1.0049999999999999</v>
      </c>
      <c r="AK454" s="415">
        <v>1.0049999999999999</v>
      </c>
      <c r="BC454" s="365"/>
      <c r="BD454" s="365"/>
      <c r="BE454" s="365"/>
      <c r="BF454" s="365"/>
      <c r="BG454" s="365"/>
    </row>
    <row r="455" spans="2:59">
      <c r="B455" s="376" t="str">
        <f>Technologies!B$638</f>
        <v>*R0</v>
      </c>
      <c r="C455" s="376" t="str">
        <f>'Imp Refined NYC'!E266</f>
        <v>IMPGSCP53</v>
      </c>
      <c r="D455" s="376" t="str">
        <f>'Imp Refined NYC'!F266</f>
        <v>Imported Conventional Gasoline, PADD 5, Step 3</v>
      </c>
      <c r="E455" s="415" t="str">
        <f>'Imp Refined NYC'!G266</f>
        <v>GSCP5</v>
      </c>
      <c r="F455" s="413">
        <f>'Imp Refined NYC'!M266</f>
        <v>10.598695462135115</v>
      </c>
      <c r="G455" s="413">
        <f>'Imp Refined NYC'!N266</f>
        <v>11.412112036250125</v>
      </c>
      <c r="H455" s="413">
        <f>'Imp Refined NYC'!O266</f>
        <v>11.303604859833483</v>
      </c>
      <c r="I455" s="413">
        <f>'Imp Refined NYC'!P266</f>
        <v>12.197383568544932</v>
      </c>
      <c r="J455" s="413">
        <f>'Imp Refined NYC'!Q266</f>
        <v>12.898030254122723</v>
      </c>
      <c r="K455" s="413">
        <f>'Imp Refined NYC'!R266</f>
        <v>13.857437879683483</v>
      </c>
      <c r="L455" s="413">
        <f>'Imp Refined NYC'!S266</f>
        <v>14.888210122464761</v>
      </c>
      <c r="M455" s="413">
        <f>'Imp Refined NYC'!T266</f>
        <v>15.995655371159064</v>
      </c>
      <c r="N455" s="413">
        <f>'Imp Refined NYC'!U266</f>
        <v>17.185476873866939</v>
      </c>
      <c r="O455" s="413">
        <f>'Imp Refined NYC'!V266</f>
        <v>18.463802109335809</v>
      </c>
      <c r="P455" s="405"/>
      <c r="Q455" s="405">
        <f>'Imp Refined NYC'!AF266</f>
        <v>4.6668449409602459</v>
      </c>
      <c r="R455" s="405">
        <f>'Imp Refined NYC'!AG266</f>
        <v>3.9992858466746455</v>
      </c>
      <c r="S455" s="405">
        <f>'Imp Refined NYC'!AH266</f>
        <v>4.308790517661599</v>
      </c>
      <c r="T455" s="405">
        <f>'Imp Refined NYC'!AI266</f>
        <v>4.6405471584580766</v>
      </c>
      <c r="U455" s="405"/>
      <c r="V455" s="405"/>
      <c r="W455" s="405"/>
      <c r="X455" s="405"/>
      <c r="Y455" s="405"/>
      <c r="Z455" s="405"/>
      <c r="AA455" s="413"/>
      <c r="AB455" s="415"/>
      <c r="AC455" s="415"/>
      <c r="AG455" s="415"/>
      <c r="AH455" s="405"/>
      <c r="AI455" s="415"/>
      <c r="AJ455" s="415">
        <v>1.0049999999999999</v>
      </c>
      <c r="AK455" s="415">
        <v>1.0049999999999999</v>
      </c>
      <c r="BC455" s="365"/>
      <c r="BD455" s="365"/>
      <c r="BE455" s="365"/>
      <c r="BF455" s="365"/>
      <c r="BG455" s="365"/>
    </row>
    <row r="456" spans="2:59">
      <c r="B456" s="376" t="str">
        <f>Technologies!B$639</f>
        <v>*R0</v>
      </c>
      <c r="C456" s="376" t="str">
        <f>'Imp Refined NYC'!E267</f>
        <v>IMPGSCP51</v>
      </c>
      <c r="D456" s="376" t="str">
        <f>'Imp Refined NYC'!F267</f>
        <v>Imported Conventional Gasoline, PADD 5, Step 1</v>
      </c>
      <c r="E456" s="415" t="str">
        <f>'Imp Refined NYC'!G267</f>
        <v>GSCP5</v>
      </c>
      <c r="F456" s="413">
        <f>'Imp Refined NYC'!M267</f>
        <v>10.068760689028357</v>
      </c>
      <c r="G456" s="413">
        <f>'Imp Refined NYC'!N267</f>
        <v>10.841506434437616</v>
      </c>
      <c r="H456" s="413">
        <f>'Imp Refined NYC'!O267</f>
        <v>10.738424616841806</v>
      </c>
      <c r="I456" s="413">
        <f>'Imp Refined NYC'!P267</f>
        <v>11.587514390117683</v>
      </c>
      <c r="J456" s="413">
        <f>'Imp Refined NYC'!Q267</f>
        <v>12.253128741416583</v>
      </c>
      <c r="K456" s="413">
        <f>'Imp Refined NYC'!R267</f>
        <v>13.164565985699305</v>
      </c>
      <c r="L456" s="413">
        <f>'Imp Refined NYC'!S267</f>
        <v>14.14379961634152</v>
      </c>
      <c r="M456" s="413">
        <f>'Imp Refined NYC'!T267</f>
        <v>15.195872602601108</v>
      </c>
      <c r="N456" s="413">
        <f>'Imp Refined NYC'!U267</f>
        <v>16.326203030173588</v>
      </c>
      <c r="O456" s="413">
        <f>'Imp Refined NYC'!V267</f>
        <v>17.540612003869015</v>
      </c>
      <c r="P456" s="405"/>
      <c r="Q456" s="405">
        <f>'Imp Refined NYC'!AF267</f>
        <v>37.334759527681911</v>
      </c>
      <c r="R456" s="405">
        <f>'Imp Refined NYC'!AG267</f>
        <v>31.994286773397121</v>
      </c>
      <c r="S456" s="405">
        <f>'Imp Refined NYC'!AH267</f>
        <v>34.470324141292807</v>
      </c>
      <c r="T456" s="405">
        <f>'Imp Refined NYC'!AI267</f>
        <v>37.124377267664642</v>
      </c>
      <c r="U456" s="405"/>
      <c r="V456" s="405"/>
      <c r="W456" s="405"/>
      <c r="X456" s="405"/>
      <c r="Y456" s="405"/>
      <c r="Z456" s="405"/>
      <c r="AA456" s="413"/>
      <c r="AB456" s="415"/>
      <c r="AC456" s="415"/>
      <c r="AG456" s="415"/>
      <c r="AH456" s="405"/>
      <c r="AI456" s="415"/>
      <c r="AJ456" s="415">
        <v>1.0049999999999999</v>
      </c>
      <c r="AK456" s="415">
        <v>1.0049999999999999</v>
      </c>
      <c r="BC456" s="365"/>
      <c r="BD456" s="365"/>
      <c r="BE456" s="365"/>
      <c r="BF456" s="365"/>
      <c r="BG456" s="365"/>
    </row>
    <row r="457" spans="2:59">
      <c r="B457" s="376" t="str">
        <f>Technologies!B$640</f>
        <v>*R0</v>
      </c>
      <c r="C457" s="376" t="str">
        <f>'Imp Refined NYC'!E268</f>
        <v>IMPGSCP52</v>
      </c>
      <c r="D457" s="376" t="str">
        <f>'Imp Refined NYC'!F268</f>
        <v>Imported Conventional Gasoline, PADD 5, Step 2</v>
      </c>
      <c r="E457" s="415" t="str">
        <f>'Imp Refined NYC'!G268</f>
        <v>GSCP5</v>
      </c>
      <c r="F457" s="413">
        <f>'Imp Refined NYC'!M268</f>
        <v>10.386721552892412</v>
      </c>
      <c r="G457" s="413">
        <f>'Imp Refined NYC'!N268</f>
        <v>11.183869795525123</v>
      </c>
      <c r="H457" s="413">
        <f>'Imp Refined NYC'!O268</f>
        <v>11.077532762636814</v>
      </c>
      <c r="I457" s="413">
        <f>'Imp Refined NYC'!P268</f>
        <v>11.953435897174034</v>
      </c>
      <c r="J457" s="413">
        <f>'Imp Refined NYC'!Q268</f>
        <v>12.640069649040269</v>
      </c>
      <c r="K457" s="413">
        <f>'Imp Refined NYC'!R268</f>
        <v>13.580289122089814</v>
      </c>
      <c r="L457" s="413">
        <f>'Imp Refined NYC'!S268</f>
        <v>14.590445920015467</v>
      </c>
      <c r="M457" s="413">
        <f>'Imp Refined NYC'!T268</f>
        <v>15.675742263735884</v>
      </c>
      <c r="N457" s="413">
        <f>'Imp Refined NYC'!U268</f>
        <v>16.841767336389601</v>
      </c>
      <c r="O457" s="413">
        <f>'Imp Refined NYC'!V268</f>
        <v>18.094526067149094</v>
      </c>
      <c r="P457" s="405"/>
      <c r="Q457" s="405">
        <f>'Imp Refined NYC'!AF268</f>
        <v>4.6668449409602459</v>
      </c>
      <c r="R457" s="405">
        <f>'Imp Refined NYC'!AG268</f>
        <v>3.9992858466746313</v>
      </c>
      <c r="S457" s="405">
        <f>'Imp Refined NYC'!AH268</f>
        <v>4.3087905176615919</v>
      </c>
      <c r="T457" s="405">
        <f>'Imp Refined NYC'!AI268</f>
        <v>4.6405471584580766</v>
      </c>
      <c r="U457" s="405"/>
      <c r="V457" s="405"/>
      <c r="W457" s="405"/>
      <c r="X457" s="405"/>
      <c r="Y457" s="405"/>
      <c r="Z457" s="405"/>
      <c r="AA457" s="413"/>
      <c r="AB457" s="415"/>
      <c r="AC457" s="415"/>
      <c r="AG457" s="415"/>
      <c r="AH457" s="405"/>
      <c r="AI457" s="415"/>
      <c r="AJ457" s="415">
        <v>1.0049999999999999</v>
      </c>
      <c r="AK457" s="415">
        <v>1.0049999999999999</v>
      </c>
      <c r="BC457" s="365"/>
      <c r="BD457" s="365"/>
      <c r="BE457" s="365"/>
      <c r="BF457" s="365"/>
      <c r="BG457" s="365"/>
    </row>
    <row r="458" spans="2:59">
      <c r="B458" s="376" t="str">
        <f>Technologies!B$641</f>
        <v>*R0</v>
      </c>
      <c r="C458" s="376" t="str">
        <f>'Imp Refined NYC'!E269</f>
        <v>IMPGSCP54</v>
      </c>
      <c r="D458" s="376" t="str">
        <f>'Imp Refined NYC'!F269</f>
        <v>Imported Conventional Gasoline, PADD 5, Step 4</v>
      </c>
      <c r="E458" s="415" t="str">
        <f>'Imp Refined NYC'!G269</f>
        <v>GSCP5</v>
      </c>
      <c r="F458" s="413">
        <f>'Imp Refined NYC'!M269</f>
        <v>11.552578053727274</v>
      </c>
      <c r="G458" s="413">
        <f>'Imp Refined NYC'!N269</f>
        <v>12.439202119512634</v>
      </c>
      <c r="H458" s="413">
        <f>'Imp Refined NYC'!O269</f>
        <v>12.320929297218495</v>
      </c>
      <c r="I458" s="413">
        <f>'Imp Refined NYC'!P269</f>
        <v>13.295148089713974</v>
      </c>
      <c r="J458" s="413">
        <f>'Imp Refined NYC'!Q269</f>
        <v>14.058852976993766</v>
      </c>
      <c r="K458" s="413">
        <f>'Imp Refined NYC'!R269</f>
        <v>15.104607288854993</v>
      </c>
      <c r="L458" s="413">
        <f>'Imp Refined NYC'!S269</f>
        <v>16.228149033486584</v>
      </c>
      <c r="M458" s="413">
        <f>'Imp Refined NYC'!T269</f>
        <v>17.435264354563376</v>
      </c>
      <c r="N458" s="413">
        <f>'Imp Refined NYC'!U269</f>
        <v>18.732169792514959</v>
      </c>
      <c r="O458" s="413">
        <f>'Imp Refined NYC'!V269</f>
        <v>20.125544299176028</v>
      </c>
      <c r="P458" s="405"/>
      <c r="Q458" s="405">
        <f>'Imp Refined NYC'!AF269</f>
        <v>9.3336898819204777</v>
      </c>
      <c r="R458" s="405">
        <f>'Imp Refined NYC'!AG269</f>
        <v>7.9985716933492768</v>
      </c>
      <c r="S458" s="405">
        <f>'Imp Refined NYC'!AH269</f>
        <v>8.6175810353231981</v>
      </c>
      <c r="T458" s="405">
        <f>'Imp Refined NYC'!AI269</f>
        <v>9.2810943169161675</v>
      </c>
      <c r="U458" s="405"/>
      <c r="V458" s="405"/>
      <c r="W458" s="405"/>
      <c r="X458" s="405"/>
      <c r="Y458" s="405"/>
      <c r="Z458" s="405"/>
      <c r="AA458" s="413"/>
      <c r="AB458" s="415"/>
      <c r="AC458" s="415"/>
      <c r="AG458" s="415"/>
      <c r="AH458" s="405"/>
      <c r="AI458" s="415"/>
      <c r="AJ458" s="415">
        <v>1.0049999999999999</v>
      </c>
      <c r="AK458" s="415">
        <v>1.0049999999999999</v>
      </c>
      <c r="BC458" s="365"/>
      <c r="BD458" s="365"/>
      <c r="BE458" s="365"/>
      <c r="BF458" s="365"/>
      <c r="BG458" s="365"/>
    </row>
    <row r="459" spans="2:59">
      <c r="B459" s="376" t="str">
        <f>Technologies!B$642</f>
        <v>*R0</v>
      </c>
      <c r="C459" s="376" t="str">
        <f>'Imp Refined NYC'!E270</f>
        <v>IMPGSCP55</v>
      </c>
      <c r="D459" s="376" t="str">
        <f>'Imp Refined NYC'!F270</f>
        <v>Imported Conventional Gasoline, PADD 5, Step 5</v>
      </c>
      <c r="E459" s="415" t="str">
        <f>'Imp Refined NYC'!G270</f>
        <v>GSCP5</v>
      </c>
      <c r="F459" s="413">
        <f>'Imp Refined NYC'!M270</f>
        <v>13.778304100775649</v>
      </c>
      <c r="G459" s="413">
        <f>'Imp Refined NYC'!N270</f>
        <v>14.835745647125162</v>
      </c>
      <c r="H459" s="413">
        <f>'Imp Refined NYC'!O270</f>
        <v>14.694686317783527</v>
      </c>
      <c r="I459" s="413">
        <f>'Imp Refined NYC'!P270</f>
        <v>15.856598639108411</v>
      </c>
      <c r="J459" s="413">
        <f>'Imp Refined NYC'!Q270</f>
        <v>16.76743933035954</v>
      </c>
      <c r="K459" s="413">
        <f>'Imp Refined NYC'!R270</f>
        <v>18.014669243588529</v>
      </c>
      <c r="L459" s="413">
        <f>'Imp Refined NYC'!S270</f>
        <v>19.354673159204189</v>
      </c>
      <c r="M459" s="413">
        <f>'Imp Refined NYC'!T270</f>
        <v>20.794351982506782</v>
      </c>
      <c r="N459" s="413">
        <f>'Imp Refined NYC'!U270</f>
        <v>22.34111993602702</v>
      </c>
      <c r="O459" s="413">
        <f>'Imp Refined NYC'!V270</f>
        <v>24.00294274213655</v>
      </c>
      <c r="P459" s="405"/>
      <c r="Q459" s="405">
        <f>'Imp Refined NYC'!AF270</f>
        <v>37.334759527681925</v>
      </c>
      <c r="R459" s="405">
        <f>'Imp Refined NYC'!AG270</f>
        <v>31.994286773397121</v>
      </c>
      <c r="S459" s="405">
        <f>'Imp Refined NYC'!AH270</f>
        <v>34.470324141292799</v>
      </c>
      <c r="T459" s="405">
        <f>'Imp Refined NYC'!AI270</f>
        <v>37.124377267664627</v>
      </c>
      <c r="U459" s="405"/>
      <c r="V459" s="405"/>
      <c r="W459" s="405"/>
      <c r="X459" s="405"/>
      <c r="Y459" s="405"/>
      <c r="Z459" s="405"/>
      <c r="AA459" s="413"/>
      <c r="AB459" s="415"/>
      <c r="AC459" s="415"/>
      <c r="AG459" s="415"/>
      <c r="AH459" s="405"/>
      <c r="AI459" s="415"/>
      <c r="AJ459" s="415">
        <v>1.0049999999999999</v>
      </c>
      <c r="AK459" s="415">
        <v>1.0049999999999999</v>
      </c>
      <c r="BC459" s="365"/>
      <c r="BD459" s="365"/>
      <c r="BE459" s="365"/>
      <c r="BF459" s="365"/>
      <c r="BG459" s="365"/>
    </row>
    <row r="460" spans="2:59">
      <c r="B460" s="376" t="str">
        <f>Technologies!B$643</f>
        <v>*R0</v>
      </c>
      <c r="C460" s="376" t="str">
        <f>'Imp Refined NYC'!E271</f>
        <v>IMPDSHP53</v>
      </c>
      <c r="D460" s="376" t="str">
        <f>'Imp Refined NYC'!F271</f>
        <v>Imported Distillate-Heating Oil No. 2, PADD 5, Step 3</v>
      </c>
      <c r="E460" s="415" t="str">
        <f>'Imp Refined NYC'!G271</f>
        <v>DSHP5</v>
      </c>
      <c r="F460" s="413">
        <f>'Imp Refined NYC'!M271</f>
        <v>12.658765326491235</v>
      </c>
      <c r="G460" s="413">
        <f>'Imp Refined NYC'!N271</f>
        <v>13.630285789663979</v>
      </c>
      <c r="H460" s="413">
        <f>'Imp Refined NYC'!O271</f>
        <v>13.500688058754013</v>
      </c>
      <c r="I460" s="413">
        <f>'Imp Refined NYC'!P271</f>
        <v>14.56819065544749</v>
      </c>
      <c r="J460" s="413">
        <f>'Imp Refined NYC'!Q271</f>
        <v>15.405022131660735</v>
      </c>
      <c r="K460" s="413">
        <f>'Imp Refined NYC'!R271</f>
        <v>16.550909946610105</v>
      </c>
      <c r="L460" s="413">
        <f>'Imp Refined NYC'!S271</f>
        <v>17.782033529040188</v>
      </c>
      <c r="M460" s="413">
        <f>'Imp Refined NYC'!T271</f>
        <v>19.104733059868558</v>
      </c>
      <c r="N460" s="413">
        <f>'Imp Refined NYC'!U271</f>
        <v>20.525820328297154</v>
      </c>
      <c r="O460" s="413">
        <f>'Imp Refined NYC'!V271</f>
        <v>22.052613811942752</v>
      </c>
      <c r="P460" s="405"/>
      <c r="Q460" s="405">
        <f>'Imp Refined NYC'!AF271</f>
        <v>1.1372927355659996</v>
      </c>
      <c r="R460" s="405">
        <f>'Imp Refined NYC'!AG271</f>
        <v>1.1014018405579993</v>
      </c>
      <c r="S460" s="405">
        <f>'Imp Refined NYC'!AH271</f>
        <v>1.2158040683960003</v>
      </c>
      <c r="T460" s="405">
        <f>'Imp Refined NYC'!AI271</f>
        <v>1.3414222009239989</v>
      </c>
      <c r="U460" s="405"/>
      <c r="V460" s="405"/>
      <c r="W460" s="405"/>
      <c r="X460" s="405"/>
      <c r="Y460" s="405"/>
      <c r="Z460" s="405"/>
      <c r="AA460" s="413"/>
      <c r="AB460" s="415"/>
      <c r="AC460" s="415"/>
      <c r="AG460" s="415"/>
      <c r="AH460" s="405"/>
      <c r="AI460" s="415"/>
      <c r="AJ460" s="415">
        <v>1.0049999999999999</v>
      </c>
      <c r="AK460" s="415">
        <v>1.0049999999999999</v>
      </c>
      <c r="BC460" s="365"/>
      <c r="BD460" s="365"/>
      <c r="BE460" s="365"/>
      <c r="BF460" s="365"/>
      <c r="BG460" s="365"/>
    </row>
    <row r="461" spans="2:59">
      <c r="B461" s="376" t="str">
        <f>Technologies!B$644</f>
        <v>*R0</v>
      </c>
      <c r="C461" s="376" t="str">
        <f>'Imp Refined NYC'!E272</f>
        <v>IMPDSHP51</v>
      </c>
      <c r="D461" s="376" t="str">
        <f>'Imp Refined NYC'!F272</f>
        <v>Imported Distillate-Heating Oil No. 2, PADD 5, Step 1</v>
      </c>
      <c r="E461" s="415" t="str">
        <f>'Imp Refined NYC'!G272</f>
        <v>DSHP5</v>
      </c>
      <c r="F461" s="413">
        <f>'Imp Refined NYC'!M272</f>
        <v>12.025827060166675</v>
      </c>
      <c r="G461" s="413">
        <f>'Imp Refined NYC'!N272</f>
        <v>12.948771500180783</v>
      </c>
      <c r="H461" s="413">
        <f>'Imp Refined NYC'!O272</f>
        <v>12.825653655816316</v>
      </c>
      <c r="I461" s="413">
        <f>'Imp Refined NYC'!P272</f>
        <v>13.839781122675118</v>
      </c>
      <c r="J461" s="413">
        <f>'Imp Refined NYC'!Q272</f>
        <v>14.634771025077701</v>
      </c>
      <c r="K461" s="413">
        <f>'Imp Refined NYC'!R272</f>
        <v>15.723364449279604</v>
      </c>
      <c r="L461" s="413">
        <f>'Imp Refined NYC'!S272</f>
        <v>16.892931852588184</v>
      </c>
      <c r="M461" s="413">
        <f>'Imp Refined NYC'!T272</f>
        <v>18.149496406875137</v>
      </c>
      <c r="N461" s="413">
        <f>'Imp Refined NYC'!U272</f>
        <v>19.499529311882302</v>
      </c>
      <c r="O461" s="413">
        <f>'Imp Refined NYC'!V272</f>
        <v>20.949983121345621</v>
      </c>
      <c r="P461" s="405"/>
      <c r="Q461" s="405">
        <f>'Imp Refined NYC'!AF272</f>
        <v>9.0983418845279989</v>
      </c>
      <c r="R461" s="405">
        <f>'Imp Refined NYC'!AG272</f>
        <v>8.8112147244639996</v>
      </c>
      <c r="S461" s="405">
        <f>'Imp Refined NYC'!AH272</f>
        <v>9.7264325471679989</v>
      </c>
      <c r="T461" s="405">
        <f>'Imp Refined NYC'!AI272</f>
        <v>10.731377607392</v>
      </c>
      <c r="U461" s="405"/>
      <c r="V461" s="405"/>
      <c r="W461" s="405"/>
      <c r="X461" s="405"/>
      <c r="Y461" s="405"/>
      <c r="Z461" s="405"/>
      <c r="AA461" s="413"/>
      <c r="AB461" s="415"/>
      <c r="AC461" s="415"/>
      <c r="AG461" s="415"/>
      <c r="AH461" s="405"/>
      <c r="AI461" s="415"/>
      <c r="AJ461" s="415">
        <v>1.0049999999999999</v>
      </c>
      <c r="AK461" s="415">
        <v>1.0049999999999999</v>
      </c>
      <c r="BC461" s="365"/>
      <c r="BD461" s="365"/>
      <c r="BE461" s="365"/>
      <c r="BF461" s="365"/>
      <c r="BG461" s="365"/>
    </row>
    <row r="462" spans="2:59">
      <c r="B462" s="376" t="str">
        <f>Technologies!B$645</f>
        <v>*R0</v>
      </c>
      <c r="C462" s="376" t="str">
        <f>'Imp Refined NYC'!E273</f>
        <v>IMPDSHP52</v>
      </c>
      <c r="D462" s="376" t="str">
        <f>'Imp Refined NYC'!F273</f>
        <v>Imported Distillate-Heating Oil No. 2, PADD 5, Step 2</v>
      </c>
      <c r="E462" s="415" t="str">
        <f>'Imp Refined NYC'!G273</f>
        <v>DSHP5</v>
      </c>
      <c r="F462" s="413">
        <f>'Imp Refined NYC'!M273</f>
        <v>12.40559001996141</v>
      </c>
      <c r="G462" s="413">
        <f>'Imp Refined NYC'!N273</f>
        <v>13.3576800738707</v>
      </c>
      <c r="H462" s="413">
        <f>'Imp Refined NYC'!O273</f>
        <v>13.230674297578934</v>
      </c>
      <c r="I462" s="413">
        <f>'Imp Refined NYC'!P273</f>
        <v>14.276826842338542</v>
      </c>
      <c r="J462" s="413">
        <f>'Imp Refined NYC'!Q273</f>
        <v>15.096921689027521</v>
      </c>
      <c r="K462" s="413">
        <f>'Imp Refined NYC'!R273</f>
        <v>16.219891747677906</v>
      </c>
      <c r="L462" s="413">
        <f>'Imp Refined NYC'!S273</f>
        <v>17.426392858459387</v>
      </c>
      <c r="M462" s="413">
        <f>'Imp Refined NYC'!T273</f>
        <v>18.72263839867119</v>
      </c>
      <c r="N462" s="413">
        <f>'Imp Refined NYC'!U273</f>
        <v>20.115303921731215</v>
      </c>
      <c r="O462" s="413">
        <f>'Imp Refined NYC'!V273</f>
        <v>21.611561535703903</v>
      </c>
      <c r="P462" s="405"/>
      <c r="Q462" s="405">
        <f>'Imp Refined NYC'!AF273</f>
        <v>1.1372927355660032</v>
      </c>
      <c r="R462" s="405">
        <f>'Imp Refined NYC'!AG273</f>
        <v>1.1014018405580011</v>
      </c>
      <c r="S462" s="405">
        <f>'Imp Refined NYC'!AH273</f>
        <v>1.2158040683960003</v>
      </c>
      <c r="T462" s="405">
        <f>'Imp Refined NYC'!AI273</f>
        <v>1.3414222009240007</v>
      </c>
      <c r="U462" s="405"/>
      <c r="V462" s="405"/>
      <c r="W462" s="405"/>
      <c r="X462" s="405"/>
      <c r="Y462" s="405"/>
      <c r="Z462" s="405"/>
      <c r="AA462" s="413"/>
      <c r="AB462" s="415"/>
      <c r="AC462" s="415"/>
      <c r="AG462" s="415"/>
      <c r="AH462" s="405"/>
      <c r="AI462" s="415"/>
      <c r="AJ462" s="415">
        <v>1.0049999999999999</v>
      </c>
      <c r="AK462" s="415">
        <v>1.0049999999999999</v>
      </c>
      <c r="BC462" s="365"/>
      <c r="BD462" s="365"/>
      <c r="BE462" s="365"/>
      <c r="BF462" s="365"/>
      <c r="BG462" s="365"/>
    </row>
    <row r="463" spans="2:59">
      <c r="B463" s="376" t="str">
        <f>Technologies!B$646</f>
        <v>*R0</v>
      </c>
      <c r="C463" s="376" t="str">
        <f>'Imp Refined NYC'!E274</f>
        <v>IMPDSHP54</v>
      </c>
      <c r="D463" s="376" t="str">
        <f>'Imp Refined NYC'!F274</f>
        <v>Imported Distillate-Heating Oil No. 2, PADD 5, Step 4</v>
      </c>
      <c r="E463" s="415" t="str">
        <f>'Imp Refined NYC'!G274</f>
        <v>DSHP5</v>
      </c>
      <c r="F463" s="413">
        <f>'Imp Refined NYC'!M274</f>
        <v>13.798054205875449</v>
      </c>
      <c r="G463" s="413">
        <f>'Imp Refined NYC'!N274</f>
        <v>14.85701151073374</v>
      </c>
      <c r="H463" s="413">
        <f>'Imp Refined NYC'!O274</f>
        <v>14.715749984041878</v>
      </c>
      <c r="I463" s="413">
        <f>'Imp Refined NYC'!P274</f>
        <v>15.879327814437767</v>
      </c>
      <c r="J463" s="413">
        <f>'Imp Refined NYC'!Q274</f>
        <v>16.791474123510206</v>
      </c>
      <c r="K463" s="413">
        <f>'Imp Refined NYC'!R274</f>
        <v>18.040491841805022</v>
      </c>
      <c r="L463" s="413">
        <f>'Imp Refined NYC'!S274</f>
        <v>19.382416546653811</v>
      </c>
      <c r="M463" s="413">
        <f>'Imp Refined NYC'!T274</f>
        <v>20.824159035256738</v>
      </c>
      <c r="N463" s="413">
        <f>'Imp Refined NYC'!U274</f>
        <v>22.373144157843907</v>
      </c>
      <c r="O463" s="413">
        <f>'Imp Refined NYC'!V274</f>
        <v>24.037349055017611</v>
      </c>
      <c r="P463" s="405"/>
      <c r="Q463" s="405">
        <f>'Imp Refined NYC'!AF274</f>
        <v>2.2745854711319993</v>
      </c>
      <c r="R463" s="405">
        <f>'Imp Refined NYC'!AG274</f>
        <v>2.2028036811159986</v>
      </c>
      <c r="S463" s="405">
        <f>'Imp Refined NYC'!AH274</f>
        <v>2.4316081367919988</v>
      </c>
      <c r="T463" s="405">
        <f>'Imp Refined NYC'!AI274</f>
        <v>2.6828444018480013</v>
      </c>
      <c r="U463" s="405"/>
      <c r="V463" s="405"/>
      <c r="W463" s="405"/>
      <c r="X463" s="405"/>
      <c r="Y463" s="405"/>
      <c r="Z463" s="405"/>
      <c r="AA463" s="413"/>
      <c r="AB463" s="415"/>
      <c r="AC463" s="415"/>
      <c r="AG463" s="415"/>
      <c r="AH463" s="405"/>
      <c r="AI463" s="415"/>
      <c r="AJ463" s="415">
        <v>1.0049999999999999</v>
      </c>
      <c r="AK463" s="415">
        <v>1.0049999999999999</v>
      </c>
      <c r="BC463" s="365"/>
      <c r="BD463" s="365"/>
      <c r="BE463" s="365"/>
      <c r="BF463" s="365"/>
      <c r="BG463" s="365"/>
    </row>
    <row r="464" spans="2:59">
      <c r="B464" s="376" t="str">
        <f>Technologies!B$647</f>
        <v>*R0</v>
      </c>
      <c r="C464" s="376" t="str">
        <f>'Imp Refined NYC'!E275</f>
        <v>IMPDSHP55</v>
      </c>
      <c r="D464" s="376" t="str">
        <f>'Imp Refined NYC'!F275</f>
        <v>Imported Distillate-Heating Oil No. 2, PADD 5, Step 5</v>
      </c>
      <c r="E464" s="415" t="str">
        <f>'Imp Refined NYC'!G275</f>
        <v>DSHP5</v>
      </c>
      <c r="F464" s="413">
        <f>'Imp Refined NYC'!M275</f>
        <v>16.456394924438605</v>
      </c>
      <c r="G464" s="413">
        <f>'Imp Refined NYC'!N275</f>
        <v>17.719371526563172</v>
      </c>
      <c r="H464" s="413">
        <f>'Imp Refined NYC'!O275</f>
        <v>17.550894476380218</v>
      </c>
      <c r="I464" s="413">
        <f>'Imp Refined NYC'!P275</f>
        <v>18.938647852081736</v>
      </c>
      <c r="J464" s="413">
        <f>'Imp Refined NYC'!Q275</f>
        <v>20.026528771158954</v>
      </c>
      <c r="K464" s="413">
        <f>'Imp Refined NYC'!R275</f>
        <v>21.516182930593139</v>
      </c>
      <c r="L464" s="413">
        <f>'Imp Refined NYC'!S275</f>
        <v>23.116643587752247</v>
      </c>
      <c r="M464" s="413">
        <f>'Imp Refined NYC'!T275</f>
        <v>24.83615297782913</v>
      </c>
      <c r="N464" s="413">
        <f>'Imp Refined NYC'!U275</f>
        <v>26.683566426786303</v>
      </c>
      <c r="O464" s="413">
        <f>'Imp Refined NYC'!V275</f>
        <v>28.668397955525581</v>
      </c>
      <c r="P464" s="405"/>
      <c r="Q464" s="405">
        <f>'Imp Refined NYC'!AF275</f>
        <v>9.0983418845280024</v>
      </c>
      <c r="R464" s="405">
        <f>'Imp Refined NYC'!AG275</f>
        <v>8.8112147244640013</v>
      </c>
      <c r="S464" s="405">
        <f>'Imp Refined NYC'!AH275</f>
        <v>9.7264325471680007</v>
      </c>
      <c r="T464" s="405">
        <f>'Imp Refined NYC'!AI275</f>
        <v>10.731377607391998</v>
      </c>
      <c r="U464" s="405"/>
      <c r="V464" s="405"/>
      <c r="W464" s="405"/>
      <c r="X464" s="405"/>
      <c r="Y464" s="405"/>
      <c r="Z464" s="405"/>
      <c r="AA464" s="413"/>
      <c r="AB464" s="415"/>
      <c r="AC464" s="415"/>
      <c r="AG464" s="415"/>
      <c r="AH464" s="405"/>
      <c r="AI464" s="415"/>
      <c r="AJ464" s="415">
        <v>1.0049999999999999</v>
      </c>
      <c r="AK464" s="415">
        <v>1.0049999999999999</v>
      </c>
      <c r="BC464" s="365"/>
      <c r="BD464" s="365"/>
      <c r="BE464" s="365"/>
      <c r="BF464" s="365"/>
      <c r="BG464" s="365"/>
    </row>
    <row r="465" spans="2:59">
      <c r="B465" s="376" t="str">
        <f>Technologies!B$648</f>
        <v>*R0</v>
      </c>
      <c r="C465" s="376" t="str">
        <f>'Imp Refined NYC'!E276</f>
        <v>IMPDSLP53</v>
      </c>
      <c r="D465" s="376" t="str">
        <f>'Imp Refined NYC'!F276</f>
        <v>Imported Distillate-Low Sulfur Highway Diesel (500 ppm), PADD 5, Step 3</v>
      </c>
      <c r="E465" s="415" t="str">
        <f>'Imp Refined NYC'!G276</f>
        <v>DSLP5</v>
      </c>
      <c r="F465" s="413">
        <f>'Imp Refined NYC'!M276</f>
        <v>12.702709836194831</v>
      </c>
      <c r="G465" s="413">
        <f>'Imp Refined NYC'!N276</f>
        <v>13.677602902407447</v>
      </c>
      <c r="H465" s="413">
        <f>'Imp Refined NYC'!O276</f>
        <v>13.54755527700962</v>
      </c>
      <c r="I465" s="413">
        <f>'Imp Refined NYC'!P276</f>
        <v>14.618763675731106</v>
      </c>
      <c r="J465" s="413">
        <f>'Imp Refined NYC'!Q276</f>
        <v>15.458500186359499</v>
      </c>
      <c r="K465" s="413">
        <f>'Imp Refined NYC'!R276</f>
        <v>16.608365915181555</v>
      </c>
      <c r="L465" s="413">
        <f>'Imp Refined NYC'!S276</f>
        <v>17.843763304797335</v>
      </c>
      <c r="M465" s="413">
        <f>'Imp Refined NYC'!T276</f>
        <v>19.171054545865076</v>
      </c>
      <c r="N465" s="413">
        <f>'Imp Refined NYC'!U276</f>
        <v>20.597075074500843</v>
      </c>
      <c r="O465" s="413">
        <f>'Imp Refined NYC'!V276</f>
        <v>22.129168774188607</v>
      </c>
      <c r="P465" s="405"/>
      <c r="Q465" s="405">
        <f>'Imp Refined NYC'!AF276</f>
        <v>3.0798874278739987</v>
      </c>
      <c r="R465" s="405">
        <f>'Imp Refined NYC'!AG276</f>
        <v>0.96456780333999959</v>
      </c>
      <c r="S465" s="405">
        <f>'Imp Refined NYC'!AH276</f>
        <v>0.22880445567599983</v>
      </c>
      <c r="T465" s="405">
        <f>'Imp Refined NYC'!AI276</f>
        <v>5.3836342511999979E-2</v>
      </c>
      <c r="U465" s="405"/>
      <c r="V465" s="405"/>
      <c r="W465" s="405"/>
      <c r="X465" s="405"/>
      <c r="Y465" s="405"/>
      <c r="Z465" s="405"/>
      <c r="AA465" s="413"/>
      <c r="AB465" s="415"/>
      <c r="AC465" s="415"/>
      <c r="AG465" s="415"/>
      <c r="AH465" s="405"/>
      <c r="AI465" s="415"/>
      <c r="AJ465" s="415">
        <v>1.0049999999999999</v>
      </c>
      <c r="AK465" s="415">
        <v>1.0049999999999999</v>
      </c>
      <c r="BC465" s="365"/>
      <c r="BD465" s="365"/>
      <c r="BE465" s="365"/>
      <c r="BF465" s="365"/>
      <c r="BG465" s="365"/>
    </row>
    <row r="466" spans="2:59">
      <c r="B466" s="376" t="str">
        <f>Technologies!B$649</f>
        <v>*R0</v>
      </c>
      <c r="C466" s="376" t="str">
        <f>'Imp Refined NYC'!E277</f>
        <v>IMPDSLP51</v>
      </c>
      <c r="D466" s="376" t="str">
        <f>'Imp Refined NYC'!F277</f>
        <v>Imported Distillate-Low Sulfur Highway Diesel (500 ppm), PADD 5, Step 1</v>
      </c>
      <c r="E466" s="415" t="str">
        <f>'Imp Refined NYC'!G277</f>
        <v>DSLP5</v>
      </c>
      <c r="F466" s="413">
        <f>'Imp Refined NYC'!M277</f>
        <v>12.067574344385086</v>
      </c>
      <c r="G466" s="413">
        <f>'Imp Refined NYC'!N277</f>
        <v>12.99372275728707</v>
      </c>
      <c r="H466" s="413">
        <f>'Imp Refined NYC'!O277</f>
        <v>12.870177513159135</v>
      </c>
      <c r="I466" s="413">
        <f>'Imp Refined NYC'!P277</f>
        <v>13.887825491944547</v>
      </c>
      <c r="J466" s="413">
        <f>'Imp Refined NYC'!Q277</f>
        <v>14.685575177041519</v>
      </c>
      <c r="K466" s="413">
        <f>'Imp Refined NYC'!R277</f>
        <v>15.77794761942247</v>
      </c>
      <c r="L466" s="413">
        <f>'Imp Refined NYC'!S277</f>
        <v>16.951575139557463</v>
      </c>
      <c r="M466" s="413">
        <f>'Imp Refined NYC'!T277</f>
        <v>18.212501818571816</v>
      </c>
      <c r="N466" s="413">
        <f>'Imp Refined NYC'!U277</f>
        <v>19.567221320775797</v>
      </c>
      <c r="O466" s="413">
        <f>'Imp Refined NYC'!V277</f>
        <v>21.022710335479172</v>
      </c>
      <c r="P466" s="405"/>
      <c r="Q466" s="405">
        <f>'Imp Refined NYC'!AF277</f>
        <v>24.639099422992004</v>
      </c>
      <c r="R466" s="405">
        <f>'Imp Refined NYC'!AG277</f>
        <v>7.7165424267199993</v>
      </c>
      <c r="S466" s="405">
        <f>'Imp Refined NYC'!AH277</f>
        <v>1.8304356454080002</v>
      </c>
      <c r="T466" s="405">
        <f>'Imp Refined NYC'!AI277</f>
        <v>0.43069074009599995</v>
      </c>
      <c r="U466" s="405"/>
      <c r="V466" s="405"/>
      <c r="W466" s="405"/>
      <c r="X466" s="405"/>
      <c r="Y466" s="405"/>
      <c r="Z466" s="405"/>
      <c r="AA466" s="413"/>
      <c r="AB466" s="415"/>
      <c r="AC466" s="415"/>
      <c r="AG466" s="415"/>
      <c r="AH466" s="405"/>
      <c r="AI466" s="415"/>
      <c r="AJ466" s="415">
        <v>1.0049999999999999</v>
      </c>
      <c r="AK466" s="415">
        <v>1.0049999999999999</v>
      </c>
      <c r="BC466" s="365"/>
      <c r="BD466" s="365"/>
      <c r="BE466" s="365"/>
      <c r="BF466" s="365"/>
      <c r="BG466" s="365"/>
    </row>
    <row r="467" spans="2:59">
      <c r="B467" s="376" t="str">
        <f>Technologies!B$650</f>
        <v>*R0</v>
      </c>
      <c r="C467" s="376" t="str">
        <f>'Imp Refined NYC'!E278</f>
        <v>IMPDSLP52</v>
      </c>
      <c r="D467" s="376" t="str">
        <f>'Imp Refined NYC'!F278</f>
        <v>Imported Distillate-Low Sulfur Highway Diesel (500 ppm), PADD 5, Step 2</v>
      </c>
      <c r="E467" s="415" t="str">
        <f>'Imp Refined NYC'!G278</f>
        <v>DSLP5</v>
      </c>
      <c r="F467" s="413">
        <f>'Imp Refined NYC'!M278</f>
        <v>12.448655639470932</v>
      </c>
      <c r="G467" s="413">
        <f>'Imp Refined NYC'!N278</f>
        <v>13.404050844359295</v>
      </c>
      <c r="H467" s="413">
        <f>'Imp Refined NYC'!O278</f>
        <v>13.276604171469424</v>
      </c>
      <c r="I467" s="413">
        <f>'Imp Refined NYC'!P278</f>
        <v>14.32638840221648</v>
      </c>
      <c r="J467" s="413">
        <f>'Imp Refined NYC'!Q278</f>
        <v>15.149330182632305</v>
      </c>
      <c r="K467" s="413">
        <f>'Imp Refined NYC'!R278</f>
        <v>16.276198596877919</v>
      </c>
      <c r="L467" s="413">
        <f>'Imp Refined NYC'!S278</f>
        <v>17.486888038701384</v>
      </c>
      <c r="M467" s="413">
        <f>'Imp Refined NYC'!T278</f>
        <v>18.78763345494777</v>
      </c>
      <c r="N467" s="413">
        <f>'Imp Refined NYC'!U278</f>
        <v>20.185133573010823</v>
      </c>
      <c r="O467" s="413">
        <f>'Imp Refined NYC'!V278</f>
        <v>21.686585398704828</v>
      </c>
      <c r="P467" s="405"/>
      <c r="Q467" s="405">
        <f>'Imp Refined NYC'!AF278</f>
        <v>3.0798874278739952</v>
      </c>
      <c r="R467" s="405">
        <f>'Imp Refined NYC'!AG278</f>
        <v>0.96456780334000047</v>
      </c>
      <c r="S467" s="405">
        <f>'Imp Refined NYC'!AH278</f>
        <v>0.22880445567600005</v>
      </c>
      <c r="T467" s="405">
        <f>'Imp Refined NYC'!AI278</f>
        <v>5.3836342511999979E-2</v>
      </c>
      <c r="U467" s="405"/>
      <c r="V467" s="405"/>
      <c r="W467" s="405"/>
      <c r="X467" s="405"/>
      <c r="Y467" s="405"/>
      <c r="Z467" s="405"/>
      <c r="AA467" s="413"/>
      <c r="AB467" s="415"/>
      <c r="AC467" s="415"/>
      <c r="AG467" s="415"/>
      <c r="AH467" s="405"/>
      <c r="AI467" s="415"/>
      <c r="AJ467" s="415">
        <v>1.0049999999999999</v>
      </c>
      <c r="AK467" s="415">
        <v>1.0049999999999999</v>
      </c>
      <c r="BC467" s="365"/>
      <c r="BD467" s="365"/>
      <c r="BE467" s="365"/>
      <c r="BF467" s="365"/>
      <c r="BG467" s="365"/>
    </row>
    <row r="468" spans="2:59">
      <c r="B468" s="376" t="str">
        <f>Technologies!B$651</f>
        <v>*R0</v>
      </c>
      <c r="C468" s="376" t="str">
        <f>'Imp Refined NYC'!E279</f>
        <v>IMPDSLP54</v>
      </c>
      <c r="D468" s="376" t="str">
        <f>'Imp Refined NYC'!F279</f>
        <v>Imported Distillate-Low Sulfur Highway Diesel (500 ppm), PADD 5, Step 4</v>
      </c>
      <c r="E468" s="415" t="str">
        <f>'Imp Refined NYC'!G279</f>
        <v>DSLP5</v>
      </c>
      <c r="F468" s="413">
        <f>'Imp Refined NYC'!M279</f>
        <v>13.845953721452368</v>
      </c>
      <c r="G468" s="413">
        <f>'Imp Refined NYC'!N279</f>
        <v>14.908587163624119</v>
      </c>
      <c r="H468" s="413">
        <f>'Imp Refined NYC'!O279</f>
        <v>14.766835251940487</v>
      </c>
      <c r="I468" s="413">
        <f>'Imp Refined NYC'!P279</f>
        <v>15.934452406546907</v>
      </c>
      <c r="J468" s="413">
        <f>'Imp Refined NYC'!Q279</f>
        <v>16.849765203131856</v>
      </c>
      <c r="K468" s="413">
        <f>'Imp Refined NYC'!R279</f>
        <v>18.103118847547893</v>
      </c>
      <c r="L468" s="413">
        <f>'Imp Refined NYC'!S279</f>
        <v>19.449702002229095</v>
      </c>
      <c r="M468" s="413">
        <f>'Imp Refined NYC'!T279</f>
        <v>20.896449454992933</v>
      </c>
      <c r="N468" s="413">
        <f>'Imp Refined NYC'!U279</f>
        <v>22.450811831205922</v>
      </c>
      <c r="O468" s="413">
        <f>'Imp Refined NYC'!V279</f>
        <v>24.120793963865584</v>
      </c>
      <c r="P468" s="405"/>
      <c r="Q468" s="405">
        <f>'Imp Refined NYC'!AF279</f>
        <v>6.159774855748001</v>
      </c>
      <c r="R468" s="405">
        <f>'Imp Refined NYC'!AG279</f>
        <v>1.9291356066799992</v>
      </c>
      <c r="S468" s="405">
        <f>'Imp Refined NYC'!AH279</f>
        <v>0.4576089113520001</v>
      </c>
      <c r="T468" s="405">
        <f>'Imp Refined NYC'!AI279</f>
        <v>0.10767268502400007</v>
      </c>
      <c r="U468" s="405"/>
      <c r="V468" s="405"/>
      <c r="W468" s="405"/>
      <c r="X468" s="405"/>
      <c r="Y468" s="405"/>
      <c r="Z468" s="405"/>
      <c r="AA468" s="413"/>
      <c r="AB468" s="415"/>
      <c r="AC468" s="415"/>
      <c r="AG468" s="415"/>
      <c r="AH468" s="405"/>
      <c r="AI468" s="415"/>
      <c r="AJ468" s="415">
        <v>1.0049999999999999</v>
      </c>
      <c r="AK468" s="415">
        <v>1.0049999999999999</v>
      </c>
      <c r="BC468" s="365"/>
      <c r="BD468" s="365"/>
      <c r="BE468" s="365"/>
      <c r="BF468" s="365"/>
      <c r="BG468" s="365"/>
    </row>
    <row r="469" spans="2:59">
      <c r="B469" s="376" t="str">
        <f>Technologies!B$652</f>
        <v>*R0</v>
      </c>
      <c r="C469" s="376" t="str">
        <f>'Imp Refined NYC'!E280</f>
        <v>IMPDSLP55</v>
      </c>
      <c r="D469" s="376" t="str">
        <f>'Imp Refined NYC'!F280</f>
        <v>Imported Distillate-Low Sulfur Highway Diesel (500 ppm), PADD 5, Step 5</v>
      </c>
      <c r="E469" s="415" t="str">
        <f>'Imp Refined NYC'!G280</f>
        <v>DSLP5</v>
      </c>
      <c r="F469" s="413">
        <f>'Imp Refined NYC'!M280</f>
        <v>16.513522787053279</v>
      </c>
      <c r="G469" s="413">
        <f>'Imp Refined NYC'!N280</f>
        <v>17.78088377312968</v>
      </c>
      <c r="H469" s="413">
        <f>'Imp Refined NYC'!O280</f>
        <v>17.611821860112503</v>
      </c>
      <c r="I469" s="413">
        <f>'Imp Refined NYC'!P280</f>
        <v>19.004392778450434</v>
      </c>
      <c r="J469" s="413">
        <f>'Imp Refined NYC'!Q280</f>
        <v>20.096050242267342</v>
      </c>
      <c r="K469" s="413">
        <f>'Imp Refined NYC'!R280</f>
        <v>21.590875689736013</v>
      </c>
      <c r="L469" s="413">
        <f>'Imp Refined NYC'!S280</f>
        <v>23.196892296236527</v>
      </c>
      <c r="M469" s="413">
        <f>'Imp Refined NYC'!T280</f>
        <v>24.92237090962459</v>
      </c>
      <c r="N469" s="413">
        <f>'Imp Refined NYC'!U280</f>
        <v>26.776197596851087</v>
      </c>
      <c r="O469" s="413">
        <f>'Imp Refined NYC'!V280</f>
        <v>28.767919406445177</v>
      </c>
      <c r="P469" s="405"/>
      <c r="Q469" s="405">
        <f>'Imp Refined NYC'!AF280</f>
        <v>24.639099422991997</v>
      </c>
      <c r="R469" s="405">
        <f>'Imp Refined NYC'!AG280</f>
        <v>7.7165424267200002</v>
      </c>
      <c r="S469" s="405">
        <f>'Imp Refined NYC'!AH280</f>
        <v>1.830435645408</v>
      </c>
      <c r="T469" s="405">
        <f>'Imp Refined NYC'!AI280</f>
        <v>0.43069074009599984</v>
      </c>
      <c r="U469" s="405"/>
      <c r="V469" s="405"/>
      <c r="W469" s="405"/>
      <c r="X469" s="405"/>
      <c r="Y469" s="405"/>
      <c r="Z469" s="405"/>
      <c r="AA469" s="413"/>
      <c r="AB469" s="415"/>
      <c r="AC469" s="415"/>
      <c r="AG469" s="415"/>
      <c r="AH469" s="405"/>
      <c r="AI469" s="415"/>
      <c r="AJ469" s="415">
        <v>1.0049999999999999</v>
      </c>
      <c r="AK469" s="415">
        <v>1.0049999999999999</v>
      </c>
      <c r="BC469" s="365"/>
      <c r="BD469" s="365"/>
      <c r="BE469" s="365"/>
      <c r="BF469" s="365"/>
      <c r="BG469" s="365"/>
    </row>
    <row r="470" spans="2:59">
      <c r="B470" s="376" t="str">
        <f>Technologies!B$653</f>
        <v>*R0</v>
      </c>
      <c r="C470" s="376" t="str">
        <f>'Imp Refined NYC'!E281</f>
        <v>IMPRFLP53</v>
      </c>
      <c r="D470" s="376" t="str">
        <f>'Imp Refined NYC'!F281</f>
        <v>Imported Low Sulfur Residual Fuel Oil, PADD 5, Step 3</v>
      </c>
      <c r="E470" s="415" t="str">
        <f>'Imp Refined NYC'!G281</f>
        <v>RFLP5</v>
      </c>
      <c r="F470" s="413">
        <f>'Imp Refined NYC'!M281</f>
        <v>8.3542601072045137</v>
      </c>
      <c r="G470" s="413">
        <f>'Imp Refined NYC'!N281</f>
        <v>8.9954233201627076</v>
      </c>
      <c r="H470" s="413">
        <f>'Imp Refined NYC'!O281</f>
        <v>8.9098941926845665</v>
      </c>
      <c r="I470" s="413">
        <f>'Imp Refined NYC'!P281</f>
        <v>9.614401633013701</v>
      </c>
      <c r="J470" s="413">
        <f>'Imp Refined NYC'!Q281</f>
        <v>10.16667570065527</v>
      </c>
      <c r="K470" s="413">
        <f>'Imp Refined NYC'!R281</f>
        <v>10.922914134093135</v>
      </c>
      <c r="L470" s="413">
        <f>'Imp Refined NYC'!S281</f>
        <v>11.735404639009161</v>
      </c>
      <c r="M470" s="413">
        <f>'Imp Refined NYC'!T281</f>
        <v>12.608331471856966</v>
      </c>
      <c r="N470" s="413">
        <f>'Imp Refined NYC'!U281</f>
        <v>13.546190130998408</v>
      </c>
      <c r="O470" s="413">
        <f>'Imp Refined NYC'!V281</f>
        <v>14.553810508134804</v>
      </c>
      <c r="P470" s="405"/>
      <c r="Q470" s="405">
        <f>'Imp Refined NYC'!AF281</f>
        <v>2.5421497828439961</v>
      </c>
      <c r="R470" s="405">
        <f>'Imp Refined NYC'!AG281</f>
        <v>2.0966682970884776</v>
      </c>
      <c r="S470" s="405">
        <f>'Imp Refined NYC'!AH281</f>
        <v>2.3145668499036773</v>
      </c>
      <c r="T470" s="405">
        <f>'Imp Refined NYC'!AI281</f>
        <v>2.5566763530316727</v>
      </c>
      <c r="U470" s="405"/>
      <c r="V470" s="405"/>
      <c r="W470" s="405"/>
      <c r="X470" s="405"/>
      <c r="Y470" s="405"/>
      <c r="Z470" s="405"/>
      <c r="AA470" s="413"/>
      <c r="AB470" s="415"/>
      <c r="AC470" s="415"/>
      <c r="AG470" s="415"/>
      <c r="AH470" s="405"/>
      <c r="AI470" s="415"/>
      <c r="AJ470" s="415">
        <v>1.0049999999999999</v>
      </c>
      <c r="AK470" s="415">
        <v>1.0049999999999999</v>
      </c>
      <c r="BC470" s="365"/>
      <c r="BD470" s="365"/>
      <c r="BE470" s="365"/>
      <c r="BF470" s="365"/>
      <c r="BG470" s="365"/>
    </row>
    <row r="471" spans="2:59">
      <c r="B471" s="376" t="str">
        <f>Technologies!B$654</f>
        <v>*R0</v>
      </c>
      <c r="C471" s="376" t="str">
        <f>'Imp Refined NYC'!E282</f>
        <v>IMPRFLP51</v>
      </c>
      <c r="D471" s="376" t="str">
        <f>'Imp Refined NYC'!F282</f>
        <v>Imported Low Sulfur Residual Fuel Oil, PADD 5, Step 1</v>
      </c>
      <c r="E471" s="415" t="str">
        <f>'Imp Refined NYC'!G282</f>
        <v>RFLP5</v>
      </c>
      <c r="F471" s="413">
        <f>'Imp Refined NYC'!M282</f>
        <v>7.9365471018442895</v>
      </c>
      <c r="G471" s="413">
        <f>'Imp Refined NYC'!N282</f>
        <v>8.545652154154574</v>
      </c>
      <c r="H471" s="413">
        <f>'Imp Refined NYC'!O282</f>
        <v>8.4643994830503395</v>
      </c>
      <c r="I471" s="413">
        <f>'Imp Refined NYC'!P282</f>
        <v>9.1336815513630167</v>
      </c>
      <c r="J471" s="413">
        <f>'Imp Refined NYC'!Q282</f>
        <v>9.6583419156225077</v>
      </c>
      <c r="K471" s="413">
        <f>'Imp Refined NYC'!R282</f>
        <v>10.376768427388479</v>
      </c>
      <c r="L471" s="413">
        <f>'Imp Refined NYC'!S282</f>
        <v>11.148634407058704</v>
      </c>
      <c r="M471" s="413">
        <f>'Imp Refined NYC'!T282</f>
        <v>11.977914898264117</v>
      </c>
      <c r="N471" s="413">
        <f>'Imp Refined NYC'!U282</f>
        <v>12.868880624448488</v>
      </c>
      <c r="O471" s="413">
        <f>'Imp Refined NYC'!V282</f>
        <v>13.826119982728065</v>
      </c>
      <c r="P471" s="405"/>
      <c r="Q471" s="405">
        <f>'Imp Refined NYC'!AF282</f>
        <v>20.337198262752</v>
      </c>
      <c r="R471" s="405">
        <f>'Imp Refined NYC'!AG282</f>
        <v>16.773346376707838</v>
      </c>
      <c r="S471" s="405">
        <f>'Imp Refined NYC'!AH282</f>
        <v>18.51653479922944</v>
      </c>
      <c r="T471" s="405">
        <f>'Imp Refined NYC'!AI282</f>
        <v>20.453410824253442</v>
      </c>
      <c r="U471" s="405"/>
      <c r="V471" s="405"/>
      <c r="W471" s="405"/>
      <c r="X471" s="405"/>
      <c r="Y471" s="405"/>
      <c r="Z471" s="405"/>
      <c r="AA471" s="413"/>
      <c r="AB471" s="415"/>
      <c r="AC471" s="415"/>
      <c r="AG471" s="415"/>
      <c r="AH471" s="405"/>
      <c r="AI471" s="415"/>
      <c r="AJ471" s="415">
        <v>1.0049999999999999</v>
      </c>
      <c r="AK471" s="415">
        <v>1.0049999999999999</v>
      </c>
      <c r="BC471" s="365"/>
      <c r="BD471" s="365"/>
      <c r="BE471" s="365"/>
      <c r="BF471" s="365"/>
      <c r="BG471" s="365"/>
    </row>
    <row r="472" spans="2:59">
      <c r="B472" s="376" t="str">
        <f>Technologies!B$655</f>
        <v>*R0</v>
      </c>
      <c r="C472" s="376" t="str">
        <f>'Imp Refined NYC'!E283</f>
        <v>IMPRFLP52</v>
      </c>
      <c r="D472" s="376" t="str">
        <f>'Imp Refined NYC'!F283</f>
        <v>Imported Low Sulfur Residual Fuel Oil, PADD 5, Step 2</v>
      </c>
      <c r="E472" s="415" t="str">
        <f>'Imp Refined NYC'!G283</f>
        <v>RFLP5</v>
      </c>
      <c r="F472" s="413">
        <f>'Imp Refined NYC'!M283</f>
        <v>8.1871749050604254</v>
      </c>
      <c r="G472" s="413">
        <f>'Imp Refined NYC'!N283</f>
        <v>8.8155148537594563</v>
      </c>
      <c r="H472" s="413">
        <f>'Imp Refined NYC'!O283</f>
        <v>8.7316963088308768</v>
      </c>
      <c r="I472" s="413">
        <f>'Imp Refined NYC'!P283</f>
        <v>9.4221136003534287</v>
      </c>
      <c r="J472" s="413">
        <f>'Imp Refined NYC'!Q283</f>
        <v>9.9633421866421674</v>
      </c>
      <c r="K472" s="413">
        <f>'Imp Refined NYC'!R283</f>
        <v>10.704455851411275</v>
      </c>
      <c r="L472" s="413">
        <f>'Imp Refined NYC'!S283</f>
        <v>11.500696546228982</v>
      </c>
      <c r="M472" s="413">
        <f>'Imp Refined NYC'!T283</f>
        <v>12.35616484241983</v>
      </c>
      <c r="N472" s="413">
        <f>'Imp Refined NYC'!U283</f>
        <v>13.275266328378443</v>
      </c>
      <c r="O472" s="413">
        <f>'Imp Refined NYC'!V283</f>
        <v>14.262734297972111</v>
      </c>
      <c r="P472" s="405"/>
      <c r="Q472" s="405">
        <f>'Imp Refined NYC'!AF283</f>
        <v>2.5421497828439961</v>
      </c>
      <c r="R472" s="405">
        <f>'Imp Refined NYC'!AG283</f>
        <v>2.0966682970884811</v>
      </c>
      <c r="S472" s="405">
        <f>'Imp Refined NYC'!AH283</f>
        <v>2.3145668499036809</v>
      </c>
      <c r="T472" s="405">
        <f>'Imp Refined NYC'!AI283</f>
        <v>2.5566763530316834</v>
      </c>
      <c r="U472" s="405"/>
      <c r="V472" s="405"/>
      <c r="W472" s="405"/>
      <c r="X472" s="405"/>
      <c r="Y472" s="405"/>
      <c r="Z472" s="405"/>
      <c r="AA472" s="413"/>
      <c r="AB472" s="415"/>
      <c r="AC472" s="415"/>
      <c r="AG472" s="415"/>
      <c r="AH472" s="405"/>
      <c r="AI472" s="415"/>
      <c r="AJ472" s="415">
        <v>1.0049999999999999</v>
      </c>
      <c r="AK472" s="415">
        <v>1.0049999999999999</v>
      </c>
      <c r="BC472" s="365"/>
      <c r="BD472" s="365"/>
      <c r="BE472" s="365"/>
      <c r="BF472" s="365"/>
      <c r="BG472" s="365"/>
    </row>
    <row r="473" spans="2:59">
      <c r="B473" s="376" t="str">
        <f>Technologies!B$656</f>
        <v>*R0</v>
      </c>
      <c r="C473" s="376" t="str">
        <f>'Imp Refined NYC'!E284</f>
        <v>IMPRFLP54</v>
      </c>
      <c r="D473" s="376" t="str">
        <f>'Imp Refined NYC'!F284</f>
        <v>Imported Low Sulfur Residual Fuel Oil, PADD 5, Step 4</v>
      </c>
      <c r="E473" s="415" t="str">
        <f>'Imp Refined NYC'!G284</f>
        <v>RFLP5</v>
      </c>
      <c r="F473" s="413">
        <f>'Imp Refined NYC'!M284</f>
        <v>9.1061435168529226</v>
      </c>
      <c r="G473" s="413">
        <f>'Imp Refined NYC'!N284</f>
        <v>9.8050114189773545</v>
      </c>
      <c r="H473" s="413">
        <f>'Imp Refined NYC'!O284</f>
        <v>9.7117846700261801</v>
      </c>
      <c r="I473" s="413">
        <f>'Imp Refined NYC'!P284</f>
        <v>10.479697779984937</v>
      </c>
      <c r="J473" s="413">
        <f>'Imp Refined NYC'!Q284</f>
        <v>11.081676513714248</v>
      </c>
      <c r="K473" s="413">
        <f>'Imp Refined NYC'!R284</f>
        <v>11.905976406161519</v>
      </c>
      <c r="L473" s="413">
        <f>'Imp Refined NYC'!S284</f>
        <v>12.791591056519989</v>
      </c>
      <c r="M473" s="413">
        <f>'Imp Refined NYC'!T284</f>
        <v>13.743081304324095</v>
      </c>
      <c r="N473" s="413">
        <f>'Imp Refined NYC'!U284</f>
        <v>14.765347242788266</v>
      </c>
      <c r="O473" s="413">
        <f>'Imp Refined NYC'!V284</f>
        <v>15.863653453866938</v>
      </c>
      <c r="P473" s="405"/>
      <c r="Q473" s="405">
        <f>'Imp Refined NYC'!AF284</f>
        <v>5.0842995656880063</v>
      </c>
      <c r="R473" s="405">
        <f>'Imp Refined NYC'!AG284</f>
        <v>4.1933365941769551</v>
      </c>
      <c r="S473" s="405">
        <f>'Imp Refined NYC'!AH284</f>
        <v>4.6291336998073653</v>
      </c>
      <c r="T473" s="405">
        <f>'Imp Refined NYC'!AI284</f>
        <v>5.1133527060633561</v>
      </c>
      <c r="U473" s="405"/>
      <c r="V473" s="405"/>
      <c r="W473" s="405"/>
      <c r="X473" s="405"/>
      <c r="Y473" s="405"/>
      <c r="Z473" s="405"/>
      <c r="AA473" s="413"/>
      <c r="AB473" s="415"/>
      <c r="AC473" s="415"/>
      <c r="AG473" s="415"/>
      <c r="AH473" s="405"/>
      <c r="AI473" s="415"/>
      <c r="AJ473" s="415">
        <v>1.0049999999999999</v>
      </c>
      <c r="AK473" s="415">
        <v>1.0049999999999999</v>
      </c>
      <c r="BC473" s="365"/>
      <c r="BD473" s="365"/>
      <c r="BE473" s="365"/>
      <c r="BF473" s="365"/>
      <c r="BG473" s="365"/>
    </row>
    <row r="474" spans="2:59">
      <c r="B474" s="376" t="str">
        <f>Technologies!B$657</f>
        <v>*R0</v>
      </c>
      <c r="C474" s="376" t="str">
        <f>'Imp Refined NYC'!E285</f>
        <v>IMPRFLP55</v>
      </c>
      <c r="D474" s="376" t="str">
        <f>'Imp Refined NYC'!F285</f>
        <v>Imported Low Sulfur Residual Fuel Oil, PADD 5, Step 5</v>
      </c>
      <c r="E474" s="415" t="str">
        <f>'Imp Refined NYC'!G285</f>
        <v>RFLP5</v>
      </c>
      <c r="F474" s="413">
        <f>'Imp Refined NYC'!M285</f>
        <v>10.860538139365872</v>
      </c>
      <c r="G474" s="413">
        <f>'Imp Refined NYC'!N285</f>
        <v>11.694050316211525</v>
      </c>
      <c r="H474" s="413">
        <f>'Imp Refined NYC'!O285</f>
        <v>11.582862450489941</v>
      </c>
      <c r="I474" s="413">
        <f>'Imp Refined NYC'!P285</f>
        <v>12.498722122917815</v>
      </c>
      <c r="J474" s="413">
        <f>'Imp Refined NYC'!Q285</f>
        <v>13.216678410851856</v>
      </c>
      <c r="K474" s="413">
        <f>'Imp Refined NYC'!R285</f>
        <v>14.199788374321079</v>
      </c>
      <c r="L474" s="413">
        <f>'Imp Refined NYC'!S285</f>
        <v>15.256026030711913</v>
      </c>
      <c r="M474" s="413">
        <f>'Imp Refined NYC'!T285</f>
        <v>16.39083091341406</v>
      </c>
      <c r="N474" s="413">
        <f>'Imp Refined NYC'!U285</f>
        <v>17.610047170297936</v>
      </c>
      <c r="O474" s="413">
        <f>'Imp Refined NYC'!V285</f>
        <v>18.919953660575249</v>
      </c>
      <c r="P474" s="405"/>
      <c r="Q474" s="405">
        <f>'Imp Refined NYC'!AF285</f>
        <v>20.337198262751986</v>
      </c>
      <c r="R474" s="405">
        <f>'Imp Refined NYC'!AG285</f>
        <v>16.773346376707842</v>
      </c>
      <c r="S474" s="405">
        <f>'Imp Refined NYC'!AH285</f>
        <v>18.516534799229433</v>
      </c>
      <c r="T474" s="405">
        <f>'Imp Refined NYC'!AI285</f>
        <v>20.453410824253442</v>
      </c>
      <c r="U474" s="405"/>
      <c r="V474" s="405"/>
      <c r="W474" s="405"/>
      <c r="X474" s="405"/>
      <c r="Y474" s="405"/>
      <c r="Z474" s="405"/>
      <c r="AA474" s="413"/>
      <c r="AB474" s="415"/>
      <c r="AC474" s="415"/>
      <c r="AG474" s="415"/>
      <c r="AH474" s="405"/>
      <c r="AI474" s="415"/>
      <c r="AJ474" s="415">
        <v>1.0049999999999999</v>
      </c>
      <c r="AK474" s="415">
        <v>1.0049999999999999</v>
      </c>
      <c r="BC474" s="365"/>
      <c r="BD474" s="365"/>
      <c r="BE474" s="365"/>
      <c r="BF474" s="365"/>
      <c r="BG474" s="365"/>
    </row>
    <row r="475" spans="2:59">
      <c r="B475" s="376" t="str">
        <f>Technologies!B$658</f>
        <v>*R0</v>
      </c>
      <c r="C475" s="376" t="str">
        <f>'Imp Refined NYC'!E286</f>
        <v>IMPRFHP53</v>
      </c>
      <c r="D475" s="376" t="str">
        <f>'Imp Refined NYC'!F286</f>
        <v>Imported High Sulfur Residual Fuel Oil, PADD 5, Step 3</v>
      </c>
      <c r="E475" s="415" t="str">
        <f>'Imp Refined NYC'!G286</f>
        <v>RFHP5</v>
      </c>
      <c r="F475" s="413">
        <f>'Imp Refined NYC'!M286</f>
        <v>8.4738611504693981</v>
      </c>
      <c r="G475" s="413">
        <f>'Imp Refined NYC'!N286</f>
        <v>9.1242033676947365</v>
      </c>
      <c r="H475" s="413">
        <f>'Imp Refined NYC'!O286</f>
        <v>9.0374497903258018</v>
      </c>
      <c r="I475" s="413">
        <f>'Imp Refined NYC'!P286</f>
        <v>9.7520430819176447</v>
      </c>
      <c r="J475" s="413">
        <f>'Imp Refined NYC'!Q286</f>
        <v>10.312223601334772</v>
      </c>
      <c r="K475" s="413">
        <f>'Imp Refined NYC'!R286</f>
        <v>11.079288475945825</v>
      </c>
      <c r="L475" s="413">
        <f>'Imp Refined NYC'!S286</f>
        <v>11.903410736491171</v>
      </c>
      <c r="M475" s="413">
        <f>'Imp Refined NYC'!T286</f>
        <v>12.788834541968841</v>
      </c>
      <c r="N475" s="413">
        <f>'Imp Refined NYC'!U286</f>
        <v>13.740119749078497</v>
      </c>
      <c r="O475" s="413">
        <f>'Imp Refined NYC'!V286</f>
        <v>14.76216539509257</v>
      </c>
      <c r="P475" s="405"/>
      <c r="Q475" s="405">
        <f>'Imp Refined NYC'!AF286</f>
        <v>7.7426619100334335</v>
      </c>
      <c r="R475" s="405">
        <f>'Imp Refined NYC'!AG286</f>
        <v>6.8129614180219207</v>
      </c>
      <c r="S475" s="405">
        <f>'Imp Refined NYC'!AH286</f>
        <v>6.4788503037052863</v>
      </c>
      <c r="T475" s="405">
        <f>'Imp Refined NYC'!AI286</f>
        <v>6.1616868546075878</v>
      </c>
      <c r="U475" s="405"/>
      <c r="V475" s="405"/>
      <c r="W475" s="405"/>
      <c r="X475" s="405"/>
      <c r="Y475" s="405"/>
      <c r="Z475" s="405"/>
      <c r="AA475" s="413"/>
      <c r="AB475" s="415"/>
      <c r="AC475" s="415"/>
      <c r="AG475" s="415"/>
      <c r="AH475" s="405"/>
      <c r="AI475" s="415"/>
      <c r="AJ475" s="415">
        <v>1.0049999999999999</v>
      </c>
      <c r="AK475" s="415">
        <v>1.0049999999999999</v>
      </c>
      <c r="BC475" s="365"/>
      <c r="BD475" s="365"/>
      <c r="BE475" s="365"/>
      <c r="BF475" s="365"/>
      <c r="BG475" s="365"/>
    </row>
    <row r="476" spans="2:59">
      <c r="B476" s="376" t="str">
        <f>Technologies!B$659</f>
        <v>*R0</v>
      </c>
      <c r="C476" s="376" t="str">
        <f>'Imp Refined NYC'!E287</f>
        <v>IMPRFHP51</v>
      </c>
      <c r="D476" s="376" t="str">
        <f>'Imp Refined NYC'!F287</f>
        <v>Imported High Sulfur Residual Fuel Oil, PADD 5, Step 1</v>
      </c>
      <c r="E476" s="415" t="str">
        <f>'Imp Refined NYC'!G287</f>
        <v>RFHP5</v>
      </c>
      <c r="F476" s="413">
        <f>'Imp Refined NYC'!M287</f>
        <v>8.0501680929459294</v>
      </c>
      <c r="G476" s="413">
        <f>'Imp Refined NYC'!N287</f>
        <v>8.6679931993100023</v>
      </c>
      <c r="H476" s="413">
        <f>'Imp Refined NYC'!O287</f>
        <v>8.5855773008095149</v>
      </c>
      <c r="I476" s="413">
        <f>'Imp Refined NYC'!P287</f>
        <v>9.2644409278217648</v>
      </c>
      <c r="J476" s="413">
        <f>'Imp Refined NYC'!Q287</f>
        <v>9.7966124212680352</v>
      </c>
      <c r="K476" s="413">
        <f>'Imp Refined NYC'!R287</f>
        <v>10.525324052148536</v>
      </c>
      <c r="L476" s="413">
        <f>'Imp Refined NYC'!S287</f>
        <v>11.308240199666614</v>
      </c>
      <c r="M476" s="413">
        <f>'Imp Refined NYC'!T287</f>
        <v>12.149392814870399</v>
      </c>
      <c r="N476" s="413">
        <f>'Imp Refined NYC'!U287</f>
        <v>13.053113761624573</v>
      </c>
      <c r="O476" s="413">
        <f>'Imp Refined NYC'!V287</f>
        <v>14.024057125337942</v>
      </c>
      <c r="P476" s="405"/>
      <c r="Q476" s="405">
        <f>'Imp Refined NYC'!AF287</f>
        <v>61.941295280267525</v>
      </c>
      <c r="R476" s="405">
        <f>'Imp Refined NYC'!AG287</f>
        <v>54.503691344175365</v>
      </c>
      <c r="S476" s="405">
        <f>'Imp Refined NYC'!AH287</f>
        <v>51.830802429642226</v>
      </c>
      <c r="T476" s="405">
        <f>'Imp Refined NYC'!AI287</f>
        <v>49.293494836860802</v>
      </c>
      <c r="U476" s="405"/>
      <c r="V476" s="405"/>
      <c r="W476" s="405"/>
      <c r="X476" s="405"/>
      <c r="Y476" s="405"/>
      <c r="Z476" s="405"/>
      <c r="AA476" s="413"/>
      <c r="AB476" s="415"/>
      <c r="AC476" s="415"/>
      <c r="AG476" s="415"/>
      <c r="AH476" s="405"/>
      <c r="AI476" s="415"/>
      <c r="AJ476" s="415">
        <v>1.0049999999999999</v>
      </c>
      <c r="AK476" s="415">
        <v>1.0049999999999999</v>
      </c>
      <c r="BC476" s="365"/>
      <c r="BD476" s="365"/>
      <c r="BE476" s="365"/>
      <c r="BF476" s="365"/>
      <c r="BG476" s="365"/>
    </row>
    <row r="477" spans="2:59">
      <c r="B477" s="376" t="str">
        <f>Technologies!B$660</f>
        <v>*R0</v>
      </c>
      <c r="C477" s="376" t="str">
        <f>'Imp Refined NYC'!E288</f>
        <v>IMPRFHP52</v>
      </c>
      <c r="D477" s="376" t="str">
        <f>'Imp Refined NYC'!F288</f>
        <v>Imported High Sulfur Residual Fuel Oil, PADD 5, Step 2</v>
      </c>
      <c r="E477" s="415" t="str">
        <f>'Imp Refined NYC'!G288</f>
        <v>RFHP5</v>
      </c>
      <c r="F477" s="413">
        <f>'Imp Refined NYC'!M288</f>
        <v>8.3043839274600106</v>
      </c>
      <c r="G477" s="413">
        <f>'Imp Refined NYC'!N288</f>
        <v>8.9417193003408428</v>
      </c>
      <c r="H477" s="413">
        <f>'Imp Refined NYC'!O288</f>
        <v>8.8567007945192877</v>
      </c>
      <c r="I477" s="413">
        <f>'Imp Refined NYC'!P288</f>
        <v>9.5570022202792924</v>
      </c>
      <c r="J477" s="413">
        <f>'Imp Refined NYC'!Q288</f>
        <v>10.105979129308077</v>
      </c>
      <c r="K477" s="413">
        <f>'Imp Refined NYC'!R288</f>
        <v>10.85770270642691</v>
      </c>
      <c r="L477" s="413">
        <f>'Imp Refined NYC'!S288</f>
        <v>11.665342521761348</v>
      </c>
      <c r="M477" s="413">
        <f>'Imp Refined NYC'!T288</f>
        <v>12.533057851129463</v>
      </c>
      <c r="N477" s="413">
        <f>'Imp Refined NYC'!U288</f>
        <v>13.465317354096927</v>
      </c>
      <c r="O477" s="413">
        <f>'Imp Refined NYC'!V288</f>
        <v>14.466922087190717</v>
      </c>
      <c r="P477" s="405"/>
      <c r="Q477" s="405">
        <f>'Imp Refined NYC'!AF288</f>
        <v>7.7426619100334335</v>
      </c>
      <c r="R477" s="405">
        <f>'Imp Refined NYC'!AG288</f>
        <v>6.8129614180219065</v>
      </c>
      <c r="S477" s="405">
        <f>'Imp Refined NYC'!AH288</f>
        <v>6.4788503037052934</v>
      </c>
      <c r="T477" s="405">
        <f>'Imp Refined NYC'!AI288</f>
        <v>6.1616868546075949</v>
      </c>
      <c r="U477" s="405"/>
      <c r="V477" s="405"/>
      <c r="W477" s="405"/>
      <c r="X477" s="405"/>
      <c r="Y477" s="405"/>
      <c r="Z477" s="405"/>
      <c r="AA477" s="413"/>
      <c r="AB477" s="415"/>
      <c r="AC477" s="415"/>
      <c r="AG477" s="415"/>
      <c r="AH477" s="405"/>
      <c r="AI477" s="415"/>
      <c r="AJ477" s="415">
        <v>1.0049999999999999</v>
      </c>
      <c r="AK477" s="415">
        <v>1.0049999999999999</v>
      </c>
      <c r="BC477" s="365"/>
      <c r="BD477" s="365"/>
      <c r="BE477" s="365"/>
      <c r="BF477" s="365"/>
      <c r="BG477" s="365"/>
    </row>
    <row r="478" spans="2:59">
      <c r="B478" s="376" t="str">
        <f>Technologies!B$661</f>
        <v>*R0</v>
      </c>
      <c r="C478" s="376" t="str">
        <f>'Imp Refined NYC'!E289</f>
        <v>IMPRFHP54</v>
      </c>
      <c r="D478" s="376" t="str">
        <f>'Imp Refined NYC'!F289</f>
        <v>Imported High Sulfur Residual Fuel Oil, PADD 5, Step 4</v>
      </c>
      <c r="E478" s="415" t="str">
        <f>'Imp Refined NYC'!G289</f>
        <v>RFHP5</v>
      </c>
      <c r="F478" s="413">
        <f>'Imp Refined NYC'!M289</f>
        <v>9.2365086540116454</v>
      </c>
      <c r="G478" s="413">
        <f>'Imp Refined NYC'!N289</f>
        <v>9.9453816707872651</v>
      </c>
      <c r="H478" s="413">
        <f>'Imp Refined NYC'!O289</f>
        <v>9.8508202714551274</v>
      </c>
      <c r="I478" s="413">
        <f>'Imp Refined NYC'!P289</f>
        <v>10.629726959290236</v>
      </c>
      <c r="J478" s="413">
        <f>'Imp Refined NYC'!Q289</f>
        <v>11.240323725454905</v>
      </c>
      <c r="K478" s="413">
        <f>'Imp Refined NYC'!R289</f>
        <v>12.076424438780954</v>
      </c>
      <c r="L478" s="413">
        <f>'Imp Refined NYC'!S289</f>
        <v>12.974717702775381</v>
      </c>
      <c r="M478" s="413">
        <f>'Imp Refined NYC'!T289</f>
        <v>13.939829650746042</v>
      </c>
      <c r="N478" s="413">
        <f>'Imp Refined NYC'!U289</f>
        <v>14.976730526495567</v>
      </c>
      <c r="O478" s="413">
        <f>'Imp Refined NYC'!V289</f>
        <v>16.090760280650905</v>
      </c>
      <c r="P478" s="405"/>
      <c r="Q478" s="405">
        <f>'Imp Refined NYC'!AF289</f>
        <v>15.485323820066881</v>
      </c>
      <c r="R478" s="405">
        <f>'Imp Refined NYC'!AG289</f>
        <v>13.625922836043841</v>
      </c>
      <c r="S478" s="405">
        <f>'Imp Refined NYC'!AH289</f>
        <v>12.957700607410544</v>
      </c>
      <c r="T478" s="405">
        <f>'Imp Refined NYC'!AI289</f>
        <v>12.323373709215211</v>
      </c>
      <c r="U478" s="405"/>
      <c r="V478" s="405"/>
      <c r="W478" s="405"/>
      <c r="X478" s="405"/>
      <c r="Y478" s="405"/>
      <c r="Z478" s="405"/>
      <c r="AA478" s="413"/>
      <c r="AB478" s="415"/>
      <c r="AC478" s="415"/>
      <c r="AG478" s="415"/>
      <c r="AH478" s="405"/>
      <c r="AI478" s="415"/>
      <c r="AJ478" s="415">
        <v>1.0049999999999999</v>
      </c>
      <c r="AK478" s="415">
        <v>1.0049999999999999</v>
      </c>
      <c r="BC478" s="365"/>
      <c r="BD478" s="365"/>
      <c r="BE478" s="365"/>
      <c r="BF478" s="365"/>
      <c r="BG478" s="365"/>
    </row>
    <row r="479" spans="2:59">
      <c r="B479" s="376" t="str">
        <f>Technologies!B$662</f>
        <v>*R0</v>
      </c>
      <c r="C479" s="376" t="str">
        <f>'Imp Refined NYC'!E290</f>
        <v>IMPRFHP55</v>
      </c>
      <c r="D479" s="376" t="str">
        <f>'Imp Refined NYC'!F290</f>
        <v>Imported High Sulfur Residual Fuel Oil, PADD 5, Step 5</v>
      </c>
      <c r="E479" s="415" t="str">
        <f>'Imp Refined NYC'!G290</f>
        <v>RFHP5</v>
      </c>
      <c r="F479" s="413">
        <f>'Imp Refined NYC'!M290</f>
        <v>11.01601949561022</v>
      </c>
      <c r="G479" s="413">
        <f>'Imp Refined NYC'!N290</f>
        <v>11.861464378003161</v>
      </c>
      <c r="H479" s="413">
        <f>'Imp Refined NYC'!O290</f>
        <v>11.748684727423546</v>
      </c>
      <c r="I479" s="413">
        <f>'Imp Refined NYC'!P290</f>
        <v>12.677656006492942</v>
      </c>
      <c r="J479" s="413">
        <f>'Imp Refined NYC'!Q290</f>
        <v>13.405890681735206</v>
      </c>
      <c r="K479" s="413">
        <f>'Imp Refined NYC'!R290</f>
        <v>14.403075018729576</v>
      </c>
      <c r="L479" s="413">
        <f>'Imp Refined NYC'!S290</f>
        <v>15.474433957438524</v>
      </c>
      <c r="M479" s="413">
        <f>'Imp Refined NYC'!T290</f>
        <v>16.625484904559496</v>
      </c>
      <c r="N479" s="413">
        <f>'Imp Refined NYC'!U290</f>
        <v>17.86215567380205</v>
      </c>
      <c r="O479" s="413">
        <f>'Imp Refined NYC'!V290</f>
        <v>19.190815013620345</v>
      </c>
      <c r="P479" s="405"/>
      <c r="Q479" s="405">
        <f>'Imp Refined NYC'!AF290</f>
        <v>61.941295280267511</v>
      </c>
      <c r="R479" s="405">
        <f>'Imp Refined NYC'!AG290</f>
        <v>54.503691344175351</v>
      </c>
      <c r="S479" s="405">
        <f>'Imp Refined NYC'!AH290</f>
        <v>51.830802429642262</v>
      </c>
      <c r="T479" s="405">
        <f>'Imp Refined NYC'!AI290</f>
        <v>49.293494836860773</v>
      </c>
      <c r="U479" s="405"/>
      <c r="V479" s="405"/>
      <c r="W479" s="405"/>
      <c r="X479" s="405"/>
      <c r="Y479" s="405"/>
      <c r="Z479" s="405"/>
      <c r="AA479" s="413"/>
      <c r="AB479" s="415"/>
      <c r="AC479" s="415"/>
      <c r="AG479" s="415"/>
      <c r="AH479" s="405"/>
      <c r="AI479" s="415"/>
      <c r="AJ479" s="415">
        <v>1.0049999999999999</v>
      </c>
      <c r="AK479" s="415">
        <v>1.0049999999999999</v>
      </c>
      <c r="BC479" s="365"/>
      <c r="BD479" s="365"/>
      <c r="BE479" s="365"/>
      <c r="BF479" s="365"/>
      <c r="BG479" s="365"/>
    </row>
    <row r="480" spans="2:59">
      <c r="B480" s="376" t="str">
        <f>Technologies!B$663</f>
        <v>*R0</v>
      </c>
      <c r="C480" s="376" t="str">
        <f>'Imp Refined NYC'!E291</f>
        <v>IMPJTFP53</v>
      </c>
      <c r="D480" s="376" t="str">
        <f>'Imp Refined NYC'!F291</f>
        <v>Imported Jet Fuel, PADD 5, Step 3</v>
      </c>
      <c r="E480" s="415" t="str">
        <f>'Imp Refined NYC'!G291</f>
        <v>JTFP5</v>
      </c>
      <c r="F480" s="413">
        <f>'Imp Refined NYC'!M291</f>
        <v>11.777414394883067</v>
      </c>
      <c r="G480" s="413">
        <f>'Imp Refined NYC'!N291</f>
        <v>12.681293943384473</v>
      </c>
      <c r="H480" s="413">
        <f>'Imp Refined NYC'!O291</f>
        <v>12.560719294736154</v>
      </c>
      <c r="I480" s="413">
        <f>'Imp Refined NYC'!P291</f>
        <v>13.553898339027485</v>
      </c>
      <c r="J480" s="413">
        <f>'Imp Refined NYC'!Q291</f>
        <v>14.332466455257579</v>
      </c>
      <c r="K480" s="413">
        <f>'Imp Refined NYC'!R291</f>
        <v>15.39857324360789</v>
      </c>
      <c r="L480" s="413">
        <f>'Imp Refined NYC'!S291</f>
        <v>16.543981364196775</v>
      </c>
      <c r="M480" s="413">
        <f>'Imp Refined NYC'!T291</f>
        <v>17.774589570660861</v>
      </c>
      <c r="N480" s="413">
        <f>'Imp Refined NYC'!U291</f>
        <v>19.096735389775677</v>
      </c>
      <c r="O480" s="413">
        <f>'Imp Refined NYC'!V291</f>
        <v>20.517227759175302</v>
      </c>
      <c r="P480" s="405"/>
      <c r="Q480" s="405">
        <f>'Imp Refined NYC'!AF291</f>
        <v>21.900416182344031</v>
      </c>
      <c r="R480" s="405">
        <f>'Imp Refined NYC'!AG291</f>
        <v>12.092173959902382</v>
      </c>
      <c r="S480" s="405">
        <f>'Imp Refined NYC'!AH291</f>
        <v>10.939290635448017</v>
      </c>
      <c r="T480" s="405">
        <f>'Imp Refined NYC'!AI291</f>
        <v>12.079073013033579</v>
      </c>
      <c r="U480" s="405"/>
      <c r="V480" s="405"/>
      <c r="W480" s="405"/>
      <c r="X480" s="405"/>
      <c r="Y480" s="405"/>
      <c r="Z480" s="405"/>
      <c r="AA480" s="413"/>
      <c r="AB480" s="415"/>
      <c r="AC480" s="415"/>
      <c r="AG480" s="415"/>
      <c r="AH480" s="405"/>
      <c r="AI480" s="415"/>
      <c r="AJ480" s="415">
        <v>1.0049999999999999</v>
      </c>
      <c r="AK480" s="415">
        <v>1.0049999999999999</v>
      </c>
      <c r="BC480" s="365"/>
      <c r="BD480" s="365"/>
      <c r="BE480" s="365"/>
      <c r="BF480" s="365"/>
      <c r="BG480" s="365"/>
    </row>
    <row r="481" spans="2:59">
      <c r="B481" s="376" t="str">
        <f>Technologies!B$664</f>
        <v>*R0</v>
      </c>
      <c r="C481" s="376" t="str">
        <f>'Imp Refined NYC'!E292</f>
        <v>IMPJTFP51</v>
      </c>
      <c r="D481" s="376" t="str">
        <f>'Imp Refined NYC'!F292</f>
        <v>Imported Jet Fuel, PADD 5, Step 1</v>
      </c>
      <c r="E481" s="415" t="str">
        <f>'Imp Refined NYC'!G292</f>
        <v>JTFP5</v>
      </c>
      <c r="F481" s="413">
        <f>'Imp Refined NYC'!M292</f>
        <v>11.188543675138913</v>
      </c>
      <c r="G481" s="413">
        <f>'Imp Refined NYC'!N292</f>
        <v>12.047229246215249</v>
      </c>
      <c r="H481" s="413">
        <f>'Imp Refined NYC'!O292</f>
        <v>11.932683329999346</v>
      </c>
      <c r="I481" s="413">
        <f>'Imp Refined NYC'!P292</f>
        <v>12.876203422076111</v>
      </c>
      <c r="J481" s="413">
        <f>'Imp Refined NYC'!Q292</f>
        <v>13.615843132494701</v>
      </c>
      <c r="K481" s="413">
        <f>'Imp Refined NYC'!R292</f>
        <v>14.628644581427496</v>
      </c>
      <c r="L481" s="413">
        <f>'Imp Refined NYC'!S292</f>
        <v>15.716782295986937</v>
      </c>
      <c r="M481" s="413">
        <f>'Imp Refined NYC'!T292</f>
        <v>16.885860092127817</v>
      </c>
      <c r="N481" s="413">
        <f>'Imp Refined NYC'!U292</f>
        <v>18.141898620286895</v>
      </c>
      <c r="O481" s="413">
        <f>'Imp Refined NYC'!V292</f>
        <v>19.491366371216536</v>
      </c>
      <c r="P481" s="405"/>
      <c r="Q481" s="405">
        <f>'Imp Refined NYC'!AF292</f>
        <v>175.20332945875202</v>
      </c>
      <c r="R481" s="405">
        <f>'Imp Refined NYC'!AG292</f>
        <v>96.737391679219215</v>
      </c>
      <c r="S481" s="405">
        <f>'Imp Refined NYC'!AH292</f>
        <v>87.514325083584012</v>
      </c>
      <c r="T481" s="405">
        <f>'Imp Refined NYC'!AI292</f>
        <v>96.632584104268801</v>
      </c>
      <c r="U481" s="405"/>
      <c r="V481" s="405"/>
      <c r="W481" s="405"/>
      <c r="X481" s="405"/>
      <c r="Y481" s="405"/>
      <c r="Z481" s="405"/>
      <c r="AA481" s="413"/>
      <c r="AB481" s="415"/>
      <c r="AC481" s="415"/>
      <c r="AG481" s="415"/>
      <c r="AH481" s="405"/>
      <c r="AI481" s="415"/>
      <c r="AJ481" s="415">
        <v>1.0049999999999999</v>
      </c>
      <c r="AK481" s="415">
        <v>1.0049999999999999</v>
      </c>
      <c r="BC481" s="365"/>
      <c r="BD481" s="365"/>
      <c r="BE481" s="365"/>
      <c r="BF481" s="365"/>
      <c r="BG481" s="365"/>
    </row>
    <row r="482" spans="2:59">
      <c r="B482" s="376" t="str">
        <f>Technologies!B$665</f>
        <v>*R0</v>
      </c>
      <c r="C482" s="376" t="str">
        <f>'Imp Refined NYC'!E293</f>
        <v>IMPJTFP52</v>
      </c>
      <c r="D482" s="376" t="str">
        <f>'Imp Refined NYC'!F293</f>
        <v>Imported Jet Fuel, PADD 5, Step 2</v>
      </c>
      <c r="E482" s="415" t="str">
        <f>'Imp Refined NYC'!G293</f>
        <v>JTFP5</v>
      </c>
      <c r="F482" s="413">
        <f>'Imp Refined NYC'!M293</f>
        <v>11.541866106985402</v>
      </c>
      <c r="G482" s="413">
        <f>'Imp Refined NYC'!N293</f>
        <v>12.42766806451678</v>
      </c>
      <c r="H482" s="413">
        <f>'Imp Refined NYC'!O293</f>
        <v>12.309504908841427</v>
      </c>
      <c r="I482" s="413">
        <f>'Imp Refined NYC'!P293</f>
        <v>13.282820372246931</v>
      </c>
      <c r="J482" s="413">
        <f>'Imp Refined NYC'!Q293</f>
        <v>14.045817126152423</v>
      </c>
      <c r="K482" s="413">
        <f>'Imp Refined NYC'!R293</f>
        <v>15.090601778735728</v>
      </c>
      <c r="L482" s="413">
        <f>'Imp Refined NYC'!S293</f>
        <v>16.213101736912837</v>
      </c>
      <c r="M482" s="413">
        <f>'Imp Refined NYC'!T293</f>
        <v>17.41909777924764</v>
      </c>
      <c r="N482" s="413">
        <f>'Imp Refined NYC'!U293</f>
        <v>18.714800681980162</v>
      </c>
      <c r="O482" s="413">
        <f>'Imp Refined NYC'!V293</f>
        <v>20.106883203991792</v>
      </c>
      <c r="P482" s="405"/>
      <c r="Q482" s="405">
        <f>'Imp Refined NYC'!AF293</f>
        <v>21.900416182343946</v>
      </c>
      <c r="R482" s="405">
        <f>'Imp Refined NYC'!AG293</f>
        <v>12.092173959902382</v>
      </c>
      <c r="S482" s="405">
        <f>'Imp Refined NYC'!AH293</f>
        <v>10.939290635447975</v>
      </c>
      <c r="T482" s="405">
        <f>'Imp Refined NYC'!AI293</f>
        <v>12.079073013033607</v>
      </c>
      <c r="U482" s="405"/>
      <c r="V482" s="405"/>
      <c r="W482" s="405"/>
      <c r="X482" s="405"/>
      <c r="Y482" s="405"/>
      <c r="Z482" s="405"/>
      <c r="AA482" s="413"/>
      <c r="AB482" s="415"/>
      <c r="AC482" s="415"/>
      <c r="AG482" s="415"/>
      <c r="AH482" s="405"/>
      <c r="AI482" s="415"/>
      <c r="AJ482" s="415">
        <v>1.0049999999999999</v>
      </c>
      <c r="AK482" s="415">
        <v>1.0049999999999999</v>
      </c>
      <c r="BC482" s="365"/>
      <c r="BD482" s="365"/>
      <c r="BE482" s="365"/>
      <c r="BF482" s="365"/>
      <c r="BG482" s="365"/>
    </row>
    <row r="483" spans="2:59">
      <c r="B483" s="376" t="str">
        <f>Technologies!B$666</f>
        <v>*R0</v>
      </c>
      <c r="C483" s="376" t="str">
        <f>'Imp Refined NYC'!E294</f>
        <v>IMPJTFP54</v>
      </c>
      <c r="D483" s="376" t="str">
        <f>'Imp Refined NYC'!F294</f>
        <v>Imported Jet Fuel, PADD 5, Step 4</v>
      </c>
      <c r="E483" s="415" t="str">
        <f>'Imp Refined NYC'!G294</f>
        <v>JTFP5</v>
      </c>
      <c r="F483" s="413">
        <f>'Imp Refined NYC'!M294</f>
        <v>12.837381690422541</v>
      </c>
      <c r="G483" s="413">
        <f>'Imp Refined NYC'!N294</f>
        <v>13.822610398289074</v>
      </c>
      <c r="H483" s="413">
        <f>'Imp Refined NYC'!O294</f>
        <v>13.691184031262406</v>
      </c>
      <c r="I483" s="413">
        <f>'Imp Refined NYC'!P294</f>
        <v>14.773749189539956</v>
      </c>
      <c r="J483" s="413">
        <f>'Imp Refined NYC'!Q294</f>
        <v>15.622388436230759</v>
      </c>
      <c r="K483" s="413">
        <f>'Imp Refined NYC'!R294</f>
        <v>16.784444835532597</v>
      </c>
      <c r="L483" s="413">
        <f>'Imp Refined NYC'!S294</f>
        <v>18.03293968697448</v>
      </c>
      <c r="M483" s="413">
        <f>'Imp Refined NYC'!T294</f>
        <v>19.374302632020335</v>
      </c>
      <c r="N483" s="413">
        <f>'Imp Refined NYC'!U294</f>
        <v>20.815441574855484</v>
      </c>
      <c r="O483" s="413">
        <f>'Imp Refined NYC'!V294</f>
        <v>22.363778257501075</v>
      </c>
      <c r="P483" s="405"/>
      <c r="Q483" s="405">
        <f>'Imp Refined NYC'!AF294</f>
        <v>43.800832364687921</v>
      </c>
      <c r="R483" s="405">
        <f>'Imp Refined NYC'!AG294</f>
        <v>24.184347919804807</v>
      </c>
      <c r="S483" s="405">
        <f>'Imp Refined NYC'!AH294</f>
        <v>21.878581270895978</v>
      </c>
      <c r="T483" s="405">
        <f>'Imp Refined NYC'!AI294</f>
        <v>24.158146026067215</v>
      </c>
      <c r="U483" s="405"/>
      <c r="V483" s="405"/>
      <c r="W483" s="405"/>
      <c r="X483" s="405"/>
      <c r="Y483" s="405"/>
      <c r="Z483" s="405"/>
      <c r="AA483" s="413"/>
      <c r="AB483" s="415"/>
      <c r="AC483" s="415"/>
      <c r="AG483" s="415"/>
      <c r="AH483" s="405"/>
      <c r="AI483" s="415"/>
      <c r="AJ483" s="415">
        <v>1.0049999999999999</v>
      </c>
      <c r="AK483" s="415">
        <v>1.0049999999999999</v>
      </c>
      <c r="BC483" s="365"/>
      <c r="BD483" s="365"/>
      <c r="BE483" s="365"/>
      <c r="BF483" s="365"/>
      <c r="BG483" s="365"/>
    </row>
    <row r="484" spans="2:59">
      <c r="B484" s="376" t="str">
        <f>Technologies!B$667</f>
        <v>*R0</v>
      </c>
      <c r="C484" s="376" t="str">
        <f>'Imp Refined NYC'!E295</f>
        <v>IMPJTFP55</v>
      </c>
      <c r="D484" s="376" t="str">
        <f>'Imp Refined NYC'!F295</f>
        <v>Imported Jet Fuel, PADD 5, Step 5</v>
      </c>
      <c r="E484" s="415" t="str">
        <f>'Imp Refined NYC'!G295</f>
        <v>JTFP5</v>
      </c>
      <c r="F484" s="413">
        <f>'Imp Refined NYC'!M295</f>
        <v>15.310638713347988</v>
      </c>
      <c r="G484" s="413">
        <f>'Imp Refined NYC'!N295</f>
        <v>16.485682126399816</v>
      </c>
      <c r="H484" s="413">
        <f>'Imp Refined NYC'!O295</f>
        <v>16.328935083156999</v>
      </c>
      <c r="I484" s="413">
        <f>'Imp Refined NYC'!P295</f>
        <v>17.620067840735729</v>
      </c>
      <c r="J484" s="413">
        <f>'Imp Refined NYC'!Q295</f>
        <v>18.632206391834853</v>
      </c>
      <c r="K484" s="413">
        <f>'Imp Refined NYC'!R295</f>
        <v>20.018145216690257</v>
      </c>
      <c r="L484" s="413">
        <f>'Imp Refined NYC'!S295</f>
        <v>21.50717577345581</v>
      </c>
      <c r="M484" s="413">
        <f>'Imp Refined NYC'!T295</f>
        <v>23.106966441859122</v>
      </c>
      <c r="N484" s="413">
        <f>'Imp Refined NYC'!U295</f>
        <v>24.825756006708385</v>
      </c>
      <c r="O484" s="413">
        <f>'Imp Refined NYC'!V295</f>
        <v>26.672396086927897</v>
      </c>
      <c r="P484" s="405"/>
      <c r="Q484" s="405">
        <f>'Imp Refined NYC'!AF295</f>
        <v>175.20332945875208</v>
      </c>
      <c r="R484" s="405">
        <f>'Imp Refined NYC'!AG295</f>
        <v>96.737391679219172</v>
      </c>
      <c r="S484" s="405">
        <f>'Imp Refined NYC'!AH295</f>
        <v>87.514325083584026</v>
      </c>
      <c r="T484" s="405">
        <f>'Imp Refined NYC'!AI295</f>
        <v>96.632584104268773</v>
      </c>
      <c r="U484" s="405"/>
      <c r="V484" s="405"/>
      <c r="W484" s="405"/>
      <c r="X484" s="405"/>
      <c r="Y484" s="405"/>
      <c r="Z484" s="405"/>
      <c r="AA484" s="413"/>
      <c r="AB484" s="415"/>
      <c r="AC484" s="415"/>
      <c r="AG484" s="415"/>
      <c r="AH484" s="405"/>
      <c r="AI484" s="415"/>
      <c r="AJ484" s="415">
        <v>1.0049999999999999</v>
      </c>
      <c r="AK484" s="415">
        <v>1.0049999999999999</v>
      </c>
      <c r="BC484" s="365"/>
      <c r="BD484" s="365"/>
      <c r="BE484" s="365"/>
      <c r="BF484" s="365"/>
      <c r="BG484" s="365"/>
    </row>
    <row r="485" spans="2:59">
      <c r="B485" s="376" t="str">
        <f>Technologies!B$668</f>
        <v>*R0</v>
      </c>
      <c r="C485" s="376" t="str">
        <f>'Imp Refined NYC'!E296</f>
        <v>IMPLPGP53</v>
      </c>
      <c r="D485" s="376" t="str">
        <f>'Imp Refined NYC'!F296</f>
        <v>Imported LPG, PADD 5, Step 3</v>
      </c>
      <c r="E485" s="415" t="str">
        <f>'Imp Refined NYC'!G296</f>
        <v>LPGP5</v>
      </c>
      <c r="F485" s="413">
        <f>'Imp Refined NYC'!M296</f>
        <v>12.818628614646682</v>
      </c>
      <c r="G485" s="413">
        <f>'Imp Refined NYC'!N296</f>
        <v>13.80241808287224</v>
      </c>
      <c r="H485" s="413">
        <f>'Imp Refined NYC'!O296</f>
        <v>13.671183705822909</v>
      </c>
      <c r="I485" s="413">
        <f>'Imp Refined NYC'!P296</f>
        <v>14.7521674336394</v>
      </c>
      <c r="J485" s="413">
        <f>'Imp Refined NYC'!Q296</f>
        <v>15.599566973006439</v>
      </c>
      <c r="K485" s="413">
        <f>'Imp Refined NYC'!R296</f>
        <v>16.759925819626783</v>
      </c>
      <c r="L485" s="413">
        <f>'Imp Refined NYC'!S296</f>
        <v>18.006596847557031</v>
      </c>
      <c r="M485" s="413">
        <f>'Imp Refined NYC'!T296</f>
        <v>19.346000305726356</v>
      </c>
      <c r="N485" s="413">
        <f>'Imp Refined NYC'!U296</f>
        <v>20.785034007130641</v>
      </c>
      <c r="O485" s="413">
        <f>'Imp Refined NYC'!V296</f>
        <v>22.331108851978119</v>
      </c>
      <c r="P485" s="405"/>
      <c r="Q485" s="405">
        <f>'Imp Refined NYC'!AF296</f>
        <v>1.004052023898641</v>
      </c>
      <c r="R485" s="405">
        <f>'Imp Refined NYC'!AG296</f>
        <v>0.23697271505383988</v>
      </c>
      <c r="S485" s="405">
        <f>'Imp Refined NYC'!AH296</f>
        <v>0.2616288356952805</v>
      </c>
      <c r="T485" s="405">
        <f>'Imp Refined NYC'!AI296</f>
        <v>0.28902452529687972</v>
      </c>
      <c r="U485" s="405"/>
      <c r="V485" s="405"/>
      <c r="W485" s="405"/>
      <c r="X485" s="405"/>
      <c r="Y485" s="405"/>
      <c r="Z485" s="405"/>
      <c r="AA485" s="413"/>
      <c r="AB485" s="415"/>
      <c r="AC485" s="415"/>
      <c r="AG485" s="415"/>
      <c r="AH485" s="405"/>
      <c r="AI485" s="415"/>
      <c r="AJ485" s="415">
        <v>1.0049999999999999</v>
      </c>
      <c r="AK485" s="415">
        <v>1.0049999999999999</v>
      </c>
      <c r="BC485" s="365"/>
      <c r="BD485" s="365"/>
      <c r="BE485" s="365"/>
      <c r="BF485" s="365"/>
      <c r="BG485" s="365"/>
    </row>
    <row r="486" spans="2:59">
      <c r="B486" s="376" t="str">
        <f>Technologies!B$669</f>
        <v>*R0</v>
      </c>
      <c r="C486" s="376" t="str">
        <f>'Imp Refined NYC'!E297</f>
        <v>IMPLPGP51</v>
      </c>
      <c r="D486" s="376" t="str">
        <f>'Imp Refined NYC'!F297</f>
        <v>Imported LPG, PADD 5, Step 1</v>
      </c>
      <c r="E486" s="415" t="str">
        <f>'Imp Refined NYC'!G297</f>
        <v>LPGP5</v>
      </c>
      <c r="F486" s="413">
        <f>'Imp Refined NYC'!M297</f>
        <v>12.177697183914349</v>
      </c>
      <c r="G486" s="413">
        <f>'Imp Refined NYC'!N297</f>
        <v>13.112297178728628</v>
      </c>
      <c r="H486" s="413">
        <f>'Imp Refined NYC'!O297</f>
        <v>12.987624520531762</v>
      </c>
      <c r="I486" s="413">
        <f>'Imp Refined NYC'!P297</f>
        <v>14.014559061957428</v>
      </c>
      <c r="J486" s="413">
        <f>'Imp Refined NYC'!Q297</f>
        <v>14.819588624356115</v>
      </c>
      <c r="K486" s="413">
        <f>'Imp Refined NYC'!R297</f>
        <v>15.921929528645443</v>
      </c>
      <c r="L486" s="413">
        <f>'Imp Refined NYC'!S297</f>
        <v>17.106267005179177</v>
      </c>
      <c r="M486" s="413">
        <f>'Imp Refined NYC'!T297</f>
        <v>18.378700290440037</v>
      </c>
      <c r="N486" s="413">
        <f>'Imp Refined NYC'!U297</f>
        <v>19.745782306774107</v>
      </c>
      <c r="O486" s="413">
        <f>'Imp Refined NYC'!V297</f>
        <v>21.21455340937921</v>
      </c>
      <c r="P486" s="405"/>
      <c r="Q486" s="405">
        <f>'Imp Refined NYC'!AF297</f>
        <v>8.032416191189121</v>
      </c>
      <c r="R486" s="405">
        <f>'Imp Refined NYC'!AG297</f>
        <v>1.8957817204307199</v>
      </c>
      <c r="S486" s="405">
        <f>'Imp Refined NYC'!AH297</f>
        <v>2.0930306855622396</v>
      </c>
      <c r="T486" s="405">
        <f>'Imp Refined NYC'!AI297</f>
        <v>2.3121962023750395</v>
      </c>
      <c r="U486" s="405"/>
      <c r="V486" s="405"/>
      <c r="W486" s="405"/>
      <c r="X486" s="405"/>
      <c r="Y486" s="405"/>
      <c r="Z486" s="405"/>
      <c r="AA486" s="413"/>
      <c r="AB486" s="415"/>
      <c r="AC486" s="415"/>
      <c r="AG486" s="415"/>
      <c r="AH486" s="405"/>
      <c r="AI486" s="415"/>
      <c r="AJ486" s="415">
        <v>1.0049999999999999</v>
      </c>
      <c r="AK486" s="415">
        <v>1.0049999999999999</v>
      </c>
      <c r="BC486" s="365"/>
      <c r="BD486" s="365"/>
      <c r="BE486" s="365"/>
      <c r="BF486" s="365"/>
      <c r="BG486" s="365"/>
    </row>
    <row r="487" spans="2:59">
      <c r="B487" s="376" t="str">
        <f>Technologies!B$670</f>
        <v>*R0</v>
      </c>
      <c r="C487" s="376" t="str">
        <f>'Imp Refined NYC'!E298</f>
        <v>IMPLPGP52</v>
      </c>
      <c r="D487" s="376" t="str">
        <f>'Imp Refined NYC'!F298</f>
        <v>Imported LPG, PADD 5, Step 2</v>
      </c>
      <c r="E487" s="415" t="str">
        <f>'Imp Refined NYC'!G298</f>
        <v>LPGP5</v>
      </c>
      <c r="F487" s="413">
        <f>'Imp Refined NYC'!M298</f>
        <v>12.56225604235375</v>
      </c>
      <c r="G487" s="413">
        <f>'Imp Refined NYC'!N298</f>
        <v>13.526369721214797</v>
      </c>
      <c r="H487" s="413">
        <f>'Imp Refined NYC'!O298</f>
        <v>13.397760031706452</v>
      </c>
      <c r="I487" s="413">
        <f>'Imp Refined NYC'!P298</f>
        <v>14.457124084966614</v>
      </c>
      <c r="J487" s="413">
        <f>'Imp Refined NYC'!Q298</f>
        <v>15.287575633546313</v>
      </c>
      <c r="K487" s="413">
        <f>'Imp Refined NYC'!R298</f>
        <v>16.424727303234249</v>
      </c>
      <c r="L487" s="413">
        <f>'Imp Refined NYC'!S298</f>
        <v>17.646464910605893</v>
      </c>
      <c r="M487" s="413">
        <f>'Imp Refined NYC'!T298</f>
        <v>18.959080299611831</v>
      </c>
      <c r="N487" s="413">
        <f>'Imp Refined NYC'!U298</f>
        <v>20.369333326988031</v>
      </c>
      <c r="O487" s="413">
        <f>'Imp Refined NYC'!V298</f>
        <v>21.884486674938557</v>
      </c>
      <c r="P487" s="405"/>
      <c r="Q487" s="405">
        <f>'Imp Refined NYC'!AF298</f>
        <v>1.0040520238986375</v>
      </c>
      <c r="R487" s="405">
        <f>'Imp Refined NYC'!AG298</f>
        <v>0.23697271505383988</v>
      </c>
      <c r="S487" s="405">
        <f>'Imp Refined NYC'!AH298</f>
        <v>0.26162883569527962</v>
      </c>
      <c r="T487" s="405">
        <f>'Imp Refined NYC'!AI298</f>
        <v>0.28902452529688061</v>
      </c>
      <c r="U487" s="405"/>
      <c r="V487" s="405"/>
      <c r="W487" s="405"/>
      <c r="X487" s="405"/>
      <c r="Y487" s="405"/>
      <c r="Z487" s="405"/>
      <c r="AA487" s="413"/>
      <c r="AB487" s="415"/>
      <c r="AC487" s="415"/>
      <c r="AG487" s="415"/>
      <c r="AH487" s="405"/>
      <c r="AI487" s="415"/>
      <c r="AJ487" s="415">
        <v>1.0049999999999999</v>
      </c>
      <c r="AK487" s="415">
        <v>1.0049999999999999</v>
      </c>
      <c r="BC487" s="365"/>
      <c r="BD487" s="365"/>
      <c r="BE487" s="365"/>
      <c r="BF487" s="365"/>
      <c r="BG487" s="365"/>
    </row>
    <row r="488" spans="2:59">
      <c r="B488" s="376" t="str">
        <f>Technologies!B$671</f>
        <v>*R0</v>
      </c>
      <c r="C488" s="376" t="str">
        <f>'Imp Refined NYC'!E299</f>
        <v>IMPLPGP54</v>
      </c>
      <c r="D488" s="376" t="str">
        <f>'Imp Refined NYC'!F299</f>
        <v>Imported LPG, PADD 5, Step 4</v>
      </c>
      <c r="E488" s="415" t="str">
        <f>'Imp Refined NYC'!G299</f>
        <v>LPGP5</v>
      </c>
      <c r="F488" s="413">
        <f>'Imp Refined NYC'!M299</f>
        <v>13.972305189964885</v>
      </c>
      <c r="G488" s="413">
        <f>'Imp Refined NYC'!N299</f>
        <v>15.044635710330743</v>
      </c>
      <c r="H488" s="413">
        <f>'Imp Refined NYC'!O299</f>
        <v>14.901590239346971</v>
      </c>
      <c r="I488" s="413">
        <f>'Imp Refined NYC'!P299</f>
        <v>16.079862502666945</v>
      </c>
      <c r="J488" s="413">
        <f>'Imp Refined NYC'!Q299</f>
        <v>17.003528000577017</v>
      </c>
      <c r="K488" s="413">
        <f>'Imp Refined NYC'!R299</f>
        <v>18.268319143393192</v>
      </c>
      <c r="L488" s="413">
        <f>'Imp Refined NYC'!S299</f>
        <v>19.627190563837161</v>
      </c>
      <c r="M488" s="413">
        <f>'Imp Refined NYC'!T299</f>
        <v>21.087140333241724</v>
      </c>
      <c r="N488" s="413">
        <f>'Imp Refined NYC'!U299</f>
        <v>22.655687067772394</v>
      </c>
      <c r="O488" s="413">
        <f>'Imp Refined NYC'!V299</f>
        <v>24.340908648656143</v>
      </c>
      <c r="P488" s="405"/>
      <c r="Q488" s="405">
        <f>'Imp Refined NYC'!AF299</f>
        <v>2.0081040477972785</v>
      </c>
      <c r="R488" s="405">
        <f>'Imp Refined NYC'!AG299</f>
        <v>0.4739454301076802</v>
      </c>
      <c r="S488" s="405">
        <f>'Imp Refined NYC'!AH299</f>
        <v>0.52325767139055923</v>
      </c>
      <c r="T488" s="405">
        <f>'Imp Refined NYC'!AI299</f>
        <v>0.578049050593759</v>
      </c>
      <c r="U488" s="405"/>
      <c r="V488" s="405"/>
      <c r="W488" s="405"/>
      <c r="X488" s="405"/>
      <c r="Y488" s="405"/>
      <c r="Z488" s="405"/>
      <c r="AA488" s="413"/>
      <c r="AB488" s="415"/>
      <c r="AC488" s="415"/>
      <c r="AG488" s="415"/>
      <c r="AH488" s="405"/>
      <c r="AI488" s="415"/>
      <c r="AJ488" s="415">
        <v>1.0049999999999999</v>
      </c>
      <c r="AK488" s="415">
        <v>1.0049999999999999</v>
      </c>
      <c r="BC488" s="365"/>
      <c r="BD488" s="365"/>
      <c r="BE488" s="365"/>
      <c r="BF488" s="365"/>
      <c r="BG488" s="365"/>
    </row>
    <row r="489" spans="2:59">
      <c r="B489" s="376" t="str">
        <f>Technologies!B$672</f>
        <v>*R0</v>
      </c>
      <c r="C489" s="376" t="str">
        <f>'Imp Refined NYC'!E300</f>
        <v>IMPLPGP55</v>
      </c>
      <c r="D489" s="376" t="str">
        <f>'Imp Refined NYC'!F300</f>
        <v>Imported LPG, PADD 5, Step 5</v>
      </c>
      <c r="E489" s="415" t="str">
        <f>'Imp Refined NYC'!G300</f>
        <v>LPGP5</v>
      </c>
      <c r="F489" s="413">
        <f>'Imp Refined NYC'!M300</f>
        <v>16.664217199040689</v>
      </c>
      <c r="G489" s="413">
        <f>'Imp Refined NYC'!N300</f>
        <v>17.943143507733915</v>
      </c>
      <c r="H489" s="413">
        <f>'Imp Refined NYC'!O300</f>
        <v>17.772538817569782</v>
      </c>
      <c r="I489" s="413">
        <f>'Imp Refined NYC'!P300</f>
        <v>19.177817663731219</v>
      </c>
      <c r="J489" s="413">
        <f>'Imp Refined NYC'!Q300</f>
        <v>20.279437064908372</v>
      </c>
      <c r="K489" s="413">
        <f>'Imp Refined NYC'!R300</f>
        <v>21.787903565514821</v>
      </c>
      <c r="L489" s="413">
        <f>'Imp Refined NYC'!S300</f>
        <v>23.408575901824143</v>
      </c>
      <c r="M489" s="413">
        <f>'Imp Refined NYC'!T300</f>
        <v>25.149800397444267</v>
      </c>
      <c r="N489" s="413">
        <f>'Imp Refined NYC'!U300</f>
        <v>27.020544209269836</v>
      </c>
      <c r="O489" s="413">
        <f>'Imp Refined NYC'!V300</f>
        <v>29.030441507571556</v>
      </c>
      <c r="P489" s="405"/>
      <c r="Q489" s="405">
        <f>'Imp Refined NYC'!AF300</f>
        <v>8.032416191189121</v>
      </c>
      <c r="R489" s="405">
        <f>'Imp Refined NYC'!AG300</f>
        <v>1.8957817204307195</v>
      </c>
      <c r="S489" s="405">
        <f>'Imp Refined NYC'!AH300</f>
        <v>2.0930306855622405</v>
      </c>
      <c r="T489" s="405">
        <f>'Imp Refined NYC'!AI300</f>
        <v>2.3121962023750409</v>
      </c>
      <c r="U489" s="405"/>
      <c r="V489" s="405"/>
      <c r="W489" s="405"/>
      <c r="X489" s="405"/>
      <c r="Y489" s="405"/>
      <c r="Z489" s="405"/>
      <c r="AA489" s="413"/>
      <c r="AB489" s="415"/>
      <c r="AC489" s="415"/>
      <c r="AG489" s="415"/>
      <c r="AH489" s="405"/>
      <c r="AI489" s="415"/>
      <c r="AJ489" s="415">
        <v>1.0049999999999999</v>
      </c>
      <c r="AK489" s="415">
        <v>1.0049999999999999</v>
      </c>
      <c r="BC489" s="365"/>
      <c r="BD489" s="365"/>
      <c r="BE489" s="365"/>
      <c r="BF489" s="365"/>
      <c r="BG489" s="365"/>
    </row>
    <row r="490" spans="2:59">
      <c r="B490" s="376" t="str">
        <f>Technologies!B$673</f>
        <v>*R0</v>
      </c>
      <c r="C490" s="376" t="str">
        <f>'Imp Refined NYC'!E301</f>
        <v>IMPPFSP53</v>
      </c>
      <c r="D490" s="376" t="str">
        <f>'Imp Refined NYC'!F301</f>
        <v>Imported Petrochemical Feedstocks, PADD 5, Step 3</v>
      </c>
      <c r="E490" s="415" t="str">
        <f>'Imp Refined NYC'!G301</f>
        <v>PFSP5</v>
      </c>
      <c r="F490" s="413">
        <f>'Imp Refined NYC'!M301</f>
        <v>8.0119244389910822</v>
      </c>
      <c r="G490" s="413">
        <f>'Imp Refined NYC'!N301</f>
        <v>8.6268144650811038</v>
      </c>
      <c r="H490" s="413">
        <f>'Imp Refined NYC'!O301</f>
        <v>8.5447900969270929</v>
      </c>
      <c r="I490" s="413">
        <f>'Imp Refined NYC'!P301</f>
        <v>9.2204286700852833</v>
      </c>
      <c r="J490" s="413">
        <f>'Imp Refined NYC'!Q301</f>
        <v>9.7500719949014076</v>
      </c>
      <c r="K490" s="413">
        <f>'Imp Refined NYC'!R301</f>
        <v>10.475321760747228</v>
      </c>
      <c r="L490" s="413">
        <f>'Imp Refined NYC'!S301</f>
        <v>11.254518535716107</v>
      </c>
      <c r="M490" s="413">
        <f>'Imp Refined NYC'!T301</f>
        <v>12.091675116406371</v>
      </c>
      <c r="N490" s="413">
        <f>'Imp Refined NYC'!U301</f>
        <v>12.991102787447495</v>
      </c>
      <c r="O490" s="413">
        <f>'Imp Refined NYC'!V301</f>
        <v>13.957433524246385</v>
      </c>
      <c r="P490" s="405"/>
      <c r="Q490" s="405">
        <f>'Imp Refined NYC'!AF301</f>
        <v>0</v>
      </c>
      <c r="R490" s="405">
        <f>'Imp Refined NYC'!AG301</f>
        <v>0.63336608507255931</v>
      </c>
      <c r="S490" s="405">
        <f>'Imp Refined NYC'!AH301</f>
        <v>0.6991134295437611</v>
      </c>
      <c r="T490" s="405">
        <f>'Imp Refined NYC'!AI301</f>
        <v>0.77143550846207809</v>
      </c>
      <c r="U490" s="405"/>
      <c r="V490" s="405"/>
      <c r="W490" s="405"/>
      <c r="X490" s="405"/>
      <c r="Y490" s="405"/>
      <c r="Z490" s="405"/>
      <c r="AA490" s="413"/>
      <c r="AB490" s="415"/>
      <c r="AC490" s="415"/>
      <c r="AG490" s="415"/>
      <c r="AH490" s="405"/>
      <c r="AI490" s="415"/>
      <c r="AJ490" s="415">
        <v>1.0049999999999999</v>
      </c>
      <c r="AK490" s="415">
        <v>1.0049999999999999</v>
      </c>
      <c r="BC490" s="365"/>
      <c r="BD490" s="365"/>
      <c r="BE490" s="365"/>
      <c r="BF490" s="365"/>
      <c r="BG490" s="365"/>
    </row>
    <row r="491" spans="2:59">
      <c r="B491" s="376" t="str">
        <f>Technologies!B$674</f>
        <v>*R0</v>
      </c>
      <c r="C491" s="376" t="str">
        <f>'Imp Refined NYC'!E302</f>
        <v>IMPPFSP51</v>
      </c>
      <c r="D491" s="376" t="str">
        <f>'Imp Refined NYC'!F302</f>
        <v>Imported Petrochemical Feedstocks, PADD 5, Step 1</v>
      </c>
      <c r="E491" s="415" t="str">
        <f>'Imp Refined NYC'!G302</f>
        <v>PFSP5</v>
      </c>
      <c r="F491" s="413">
        <f>'Imp Refined NYC'!M302</f>
        <v>7.6113282170415273</v>
      </c>
      <c r="G491" s="413">
        <f>'Imp Refined NYC'!N302</f>
        <v>8.1954737418270476</v>
      </c>
      <c r="H491" s="413">
        <f>'Imp Refined NYC'!O302</f>
        <v>8.1175505920807378</v>
      </c>
      <c r="I491" s="413">
        <f>'Imp Refined NYC'!P302</f>
        <v>8.7594072365810174</v>
      </c>
      <c r="J491" s="413">
        <f>'Imp Refined NYC'!Q302</f>
        <v>9.2625683951563342</v>
      </c>
      <c r="K491" s="413">
        <f>'Imp Refined NYC'!R302</f>
        <v>9.9515556727098637</v>
      </c>
      <c r="L491" s="413">
        <f>'Imp Refined NYC'!S302</f>
        <v>10.691792608930298</v>
      </c>
      <c r="M491" s="413">
        <f>'Imp Refined NYC'!T302</f>
        <v>11.487091360586048</v>
      </c>
      <c r="N491" s="413">
        <f>'Imp Refined NYC'!U302</f>
        <v>12.341547648075116</v>
      </c>
      <c r="O491" s="413">
        <f>'Imp Refined NYC'!V302</f>
        <v>13.25956184803406</v>
      </c>
      <c r="P491" s="405"/>
      <c r="Q491" s="405">
        <f>'Imp Refined NYC'!AF302</f>
        <v>0</v>
      </c>
      <c r="R491" s="405">
        <f>'Imp Refined NYC'!AG302</f>
        <v>5.0669286805804798</v>
      </c>
      <c r="S491" s="405">
        <f>'Imp Refined NYC'!AH302</f>
        <v>5.5929074363500799</v>
      </c>
      <c r="T491" s="405">
        <f>'Imp Refined NYC'!AI302</f>
        <v>6.1714840676966389</v>
      </c>
      <c r="U491" s="405"/>
      <c r="V491" s="405"/>
      <c r="W491" s="405"/>
      <c r="X491" s="405"/>
      <c r="Y491" s="405"/>
      <c r="Z491" s="405"/>
      <c r="AA491" s="413"/>
      <c r="AB491" s="415"/>
      <c r="AC491" s="415"/>
      <c r="AG491" s="415"/>
      <c r="AH491" s="405"/>
      <c r="AI491" s="415"/>
      <c r="AJ491" s="415">
        <v>1.0049999999999999</v>
      </c>
      <c r="AK491" s="415">
        <v>1.0049999999999999</v>
      </c>
      <c r="BC491" s="365"/>
      <c r="BD491" s="365"/>
      <c r="BE491" s="365"/>
      <c r="BF491" s="365"/>
      <c r="BG491" s="365"/>
    </row>
    <row r="492" spans="2:59">
      <c r="B492" s="376" t="str">
        <f>Technologies!B$675</f>
        <v>*R0</v>
      </c>
      <c r="C492" s="376" t="str">
        <f>'Imp Refined NYC'!E303</f>
        <v>IMPPFSP52</v>
      </c>
      <c r="D492" s="376" t="str">
        <f>'Imp Refined NYC'!F303</f>
        <v>Imported Petrochemical Feedstocks, PADD 5, Step 2</v>
      </c>
      <c r="E492" s="415" t="str">
        <f>'Imp Refined NYC'!G303</f>
        <v>PFSP5</v>
      </c>
      <c r="F492" s="413">
        <f>'Imp Refined NYC'!M303</f>
        <v>7.8516859502112615</v>
      </c>
      <c r="G492" s="413">
        <f>'Imp Refined NYC'!N303</f>
        <v>8.454278175779482</v>
      </c>
      <c r="H492" s="413">
        <f>'Imp Refined NYC'!O303</f>
        <v>8.3738942949885509</v>
      </c>
      <c r="I492" s="413">
        <f>'Imp Refined NYC'!P303</f>
        <v>9.0360200966835773</v>
      </c>
      <c r="J492" s="413">
        <f>'Imp Refined NYC'!Q303</f>
        <v>9.555070555003379</v>
      </c>
      <c r="K492" s="413">
        <f>'Imp Refined NYC'!R303</f>
        <v>10.265815325532284</v>
      </c>
      <c r="L492" s="413">
        <f>'Imp Refined NYC'!S303</f>
        <v>11.029428165001786</v>
      </c>
      <c r="M492" s="413">
        <f>'Imp Refined NYC'!T303</f>
        <v>11.849841614078244</v>
      </c>
      <c r="N492" s="413">
        <f>'Imp Refined NYC'!U303</f>
        <v>12.731280731698545</v>
      </c>
      <c r="O492" s="413">
        <f>'Imp Refined NYC'!V303</f>
        <v>13.678284853761456</v>
      </c>
      <c r="P492" s="405"/>
      <c r="Q492" s="405">
        <f>'Imp Refined NYC'!AF303</f>
        <v>0</v>
      </c>
      <c r="R492" s="405">
        <f>'Imp Refined NYC'!AG303</f>
        <v>0.6333660850725602</v>
      </c>
      <c r="S492" s="405">
        <f>'Imp Refined NYC'!AH303</f>
        <v>0.69911342954375844</v>
      </c>
      <c r="T492" s="405">
        <f>'Imp Refined NYC'!AI303</f>
        <v>0.77143550846208164</v>
      </c>
      <c r="U492" s="405"/>
      <c r="V492" s="405"/>
      <c r="W492" s="405"/>
      <c r="X492" s="405"/>
      <c r="Y492" s="405"/>
      <c r="Z492" s="405"/>
      <c r="AA492" s="413"/>
      <c r="AB492" s="415"/>
      <c r="AC492" s="415"/>
      <c r="AG492" s="415"/>
      <c r="AH492" s="405"/>
      <c r="AI492" s="415"/>
      <c r="AJ492" s="415">
        <v>1.0049999999999999</v>
      </c>
      <c r="AK492" s="415">
        <v>1.0049999999999999</v>
      </c>
      <c r="BC492" s="365"/>
      <c r="BD492" s="365"/>
      <c r="BE492" s="365"/>
      <c r="BF492" s="365"/>
      <c r="BG492" s="365"/>
    </row>
    <row r="493" spans="2:59">
      <c r="B493" s="376" t="str">
        <f>Technologies!B$676</f>
        <v>*R0</v>
      </c>
      <c r="C493" s="376" t="str">
        <f>'Imp Refined NYC'!E304</f>
        <v>IMPPFSP54</v>
      </c>
      <c r="D493" s="376" t="str">
        <f>'Imp Refined NYC'!F304</f>
        <v>Imported Petrochemical Feedstocks, PADD 5, Step 4</v>
      </c>
      <c r="E493" s="415" t="str">
        <f>'Imp Refined NYC'!G304</f>
        <v>PFSP5</v>
      </c>
      <c r="F493" s="413">
        <f>'Imp Refined NYC'!M304</f>
        <v>8.7329976385002794</v>
      </c>
      <c r="G493" s="413">
        <f>'Imp Refined NYC'!N304</f>
        <v>9.4032277669384019</v>
      </c>
      <c r="H493" s="413">
        <f>'Imp Refined NYC'!O304</f>
        <v>9.3138212056505303</v>
      </c>
      <c r="I493" s="413">
        <f>'Imp Refined NYC'!P304</f>
        <v>10.050267250392958</v>
      </c>
      <c r="J493" s="413">
        <f>'Imp Refined NYC'!Q304</f>
        <v>10.627578474442533</v>
      </c>
      <c r="K493" s="413">
        <f>'Imp Refined NYC'!R304</f>
        <v>11.418100719214477</v>
      </c>
      <c r="L493" s="413">
        <f>'Imp Refined NYC'!S304</f>
        <v>12.267425203930555</v>
      </c>
      <c r="M493" s="413">
        <f>'Imp Refined NYC'!T304</f>
        <v>13.179925876882942</v>
      </c>
      <c r="N493" s="413">
        <f>'Imp Refined NYC'!U304</f>
        <v>14.160302038317768</v>
      </c>
      <c r="O493" s="413">
        <f>'Imp Refined NYC'!V304</f>
        <v>15.213602541428557</v>
      </c>
      <c r="P493" s="405"/>
      <c r="Q493" s="405">
        <f>'Imp Refined NYC'!AF304</f>
        <v>0</v>
      </c>
      <c r="R493" s="405">
        <f>'Imp Refined NYC'!AG304</f>
        <v>1.2667321701451204</v>
      </c>
      <c r="S493" s="405">
        <f>'Imp Refined NYC'!AH304</f>
        <v>1.3982268590875195</v>
      </c>
      <c r="T493" s="405">
        <f>'Imp Refined NYC'!AI304</f>
        <v>1.5428710169241597</v>
      </c>
      <c r="U493" s="405"/>
      <c r="V493" s="405"/>
      <c r="W493" s="405"/>
      <c r="X493" s="405"/>
      <c r="Y493" s="405"/>
      <c r="Z493" s="405"/>
      <c r="AA493" s="413"/>
      <c r="AB493" s="415"/>
      <c r="AC493" s="415"/>
      <c r="AG493" s="415"/>
      <c r="AH493" s="405"/>
      <c r="AI493" s="415"/>
      <c r="AJ493" s="415">
        <v>1.0049999999999999</v>
      </c>
      <c r="AK493" s="415">
        <v>1.0049999999999999</v>
      </c>
      <c r="BC493" s="365"/>
      <c r="BD493" s="365"/>
      <c r="BE493" s="365"/>
      <c r="BF493" s="365"/>
      <c r="BG493" s="365"/>
    </row>
    <row r="494" spans="2:59">
      <c r="B494" s="376" t="str">
        <f>Technologies!B$677</f>
        <v>*R0</v>
      </c>
      <c r="C494" s="376" t="str">
        <f>'Imp Refined NYC'!E305</f>
        <v>IMPPFSP55</v>
      </c>
      <c r="D494" s="376" t="str">
        <f>'Imp Refined NYC'!F305</f>
        <v>Imported Petrochemical Feedstocks, PADD 5, Step 5</v>
      </c>
      <c r="E494" s="415" t="str">
        <f>'Imp Refined NYC'!G305</f>
        <v>PFSP5</v>
      </c>
      <c r="F494" s="413">
        <f>'Imp Refined NYC'!M305</f>
        <v>10.415501770688406</v>
      </c>
      <c r="G494" s="413">
        <f>'Imp Refined NYC'!N305</f>
        <v>11.214858804605434</v>
      </c>
      <c r="H494" s="413">
        <f>'Imp Refined NYC'!O305</f>
        <v>11.10822712600522</v>
      </c>
      <c r="I494" s="413">
        <f>'Imp Refined NYC'!P305</f>
        <v>11.986557271110867</v>
      </c>
      <c r="J494" s="413">
        <f>'Imp Refined NYC'!Q305</f>
        <v>12.675093593371827</v>
      </c>
      <c r="K494" s="413">
        <f>'Imp Refined NYC'!R305</f>
        <v>13.617918288971394</v>
      </c>
      <c r="L494" s="413">
        <f>'Imp Refined NYC'!S305</f>
        <v>14.630874096430937</v>
      </c>
      <c r="M494" s="413">
        <f>'Imp Refined NYC'!T305</f>
        <v>15.719177651328279</v>
      </c>
      <c r="N494" s="413">
        <f>'Imp Refined NYC'!U305</f>
        <v>16.888433623681738</v>
      </c>
      <c r="O494" s="413">
        <f>'Imp Refined NYC'!V305</f>
        <v>18.144663581520295</v>
      </c>
      <c r="P494" s="405"/>
      <c r="Q494" s="405">
        <f>'Imp Refined NYC'!AF305</f>
        <v>0</v>
      </c>
      <c r="R494" s="405">
        <f>'Imp Refined NYC'!AG305</f>
        <v>5.066928680580479</v>
      </c>
      <c r="S494" s="405">
        <f>'Imp Refined NYC'!AH305</f>
        <v>5.5929074363500799</v>
      </c>
      <c r="T494" s="405">
        <f>'Imp Refined NYC'!AI305</f>
        <v>6.1714840676966389</v>
      </c>
      <c r="U494" s="405"/>
      <c r="V494" s="405"/>
      <c r="W494" s="405"/>
      <c r="X494" s="405"/>
      <c r="Y494" s="405"/>
      <c r="Z494" s="405"/>
      <c r="AA494" s="413"/>
      <c r="AB494" s="415"/>
      <c r="AC494" s="415"/>
      <c r="AG494" s="415"/>
      <c r="AH494" s="405"/>
      <c r="AI494" s="415"/>
      <c r="AJ494" s="415">
        <v>1.0049999999999999</v>
      </c>
      <c r="AK494" s="415">
        <v>1.0049999999999999</v>
      </c>
      <c r="BC494" s="365"/>
      <c r="BD494" s="365"/>
      <c r="BE494" s="365"/>
      <c r="BF494" s="365"/>
      <c r="BG494" s="365"/>
    </row>
    <row r="495" spans="2:59">
      <c r="B495" s="376" t="str">
        <f>Technologies!B$678</f>
        <v>*R0</v>
      </c>
      <c r="C495" s="376" t="str">
        <f>'Imp Refined NYC'!E306</f>
        <v>IMPKERP53</v>
      </c>
      <c r="D495" s="376" t="str">
        <f>'Imp Refined NYC'!F306</f>
        <v>Imported Kerosene and Other Refined Products, PADD 5, Step 3</v>
      </c>
      <c r="E495" s="415" t="str">
        <f>'Imp Refined NYC'!G306</f>
        <v>KERP5</v>
      </c>
      <c r="F495" s="413">
        <f>'Imp Refined NYC'!M306</f>
        <v>10.312997032414376</v>
      </c>
      <c r="G495" s="413">
        <f>'Imp Refined NYC'!N306</f>
        <v>11.104487149753293</v>
      </c>
      <c r="H495" s="413">
        <f>'Imp Refined NYC'!O306</f>
        <v>10.998904892731346</v>
      </c>
      <c r="I495" s="413">
        <f>'Imp Refined NYC'!P306</f>
        <v>11.868590903005618</v>
      </c>
      <c r="J495" s="413">
        <f>'Imp Refined NYC'!Q306</f>
        <v>12.55035095686786</v>
      </c>
      <c r="K495" s="413">
        <f>'Imp Refined NYC'!R306</f>
        <v>13.483896790940783</v>
      </c>
      <c r="L495" s="413">
        <f>'Imp Refined NYC'!S306</f>
        <v>14.486883537647151</v>
      </c>
      <c r="M495" s="413">
        <f>'Imp Refined NYC'!T306</f>
        <v>15.564476492756455</v>
      </c>
      <c r="N495" s="413">
        <f>'Imp Refined NYC'!U306</f>
        <v>16.722225167616219</v>
      </c>
      <c r="O495" s="413">
        <f>'Imp Refined NYC'!V306</f>
        <v>17.966091868659731</v>
      </c>
      <c r="P495" s="405"/>
      <c r="Q495" s="405">
        <f>'Imp Refined NYC'!AF306</f>
        <v>9.1706628081599888</v>
      </c>
      <c r="R495" s="405">
        <f>'Imp Refined NYC'!AG306</f>
        <v>5.9500133695799846</v>
      </c>
      <c r="S495" s="405">
        <f>'Imp Refined NYC'!AH306</f>
        <v>6.4412988771600013</v>
      </c>
      <c r="T495" s="405">
        <f>'Imp Refined NYC'!AI306</f>
        <v>6.9740707164911981</v>
      </c>
      <c r="U495" s="405"/>
      <c r="V495" s="405"/>
      <c r="W495" s="405"/>
      <c r="X495" s="405"/>
      <c r="Y495" s="405"/>
      <c r="Z495" s="405"/>
      <c r="AA495" s="413"/>
      <c r="AB495" s="415"/>
      <c r="AC495" s="415"/>
      <c r="AG495" s="415"/>
      <c r="AH495" s="405"/>
      <c r="AI495" s="415"/>
      <c r="AJ495" s="415">
        <v>1.0049999999999999</v>
      </c>
      <c r="AK495" s="415">
        <v>1.0049999999999999</v>
      </c>
      <c r="BC495" s="365"/>
      <c r="BD495" s="365"/>
      <c r="BE495" s="365"/>
      <c r="BF495" s="365"/>
      <c r="BG495" s="365"/>
    </row>
    <row r="496" spans="2:59">
      <c r="B496" s="376" t="str">
        <f>Technologies!B$679</f>
        <v>*R0</v>
      </c>
      <c r="C496" s="376" t="str">
        <f>'Imp Refined NYC'!E307</f>
        <v>IMPKERP51</v>
      </c>
      <c r="D496" s="376" t="str">
        <f>'Imp Refined NYC'!F307</f>
        <v>Imported Kerosene and Other Refined Products, PADD 5, Step 1</v>
      </c>
      <c r="E496" s="415" t="str">
        <f>'Imp Refined NYC'!G307</f>
        <v>KERP5</v>
      </c>
      <c r="F496" s="413">
        <f>'Imp Refined NYC'!M307</f>
        <v>9.7973471807936559</v>
      </c>
      <c r="G496" s="413">
        <f>'Imp Refined NYC'!N307</f>
        <v>10.549262792265626</v>
      </c>
      <c r="H496" s="413">
        <f>'Imp Refined NYC'!O307</f>
        <v>10.448959648094776</v>
      </c>
      <c r="I496" s="413">
        <f>'Imp Refined NYC'!P307</f>
        <v>11.275161357855335</v>
      </c>
      <c r="J496" s="413">
        <f>'Imp Refined NYC'!Q307</f>
        <v>11.922833409024465</v>
      </c>
      <c r="K496" s="413">
        <f>'Imp Refined NYC'!R307</f>
        <v>12.809701951393743</v>
      </c>
      <c r="L496" s="413">
        <f>'Imp Refined NYC'!S307</f>
        <v>13.762539360764791</v>
      </c>
      <c r="M496" s="413">
        <f>'Imp Refined NYC'!T307</f>
        <v>14.78625266811863</v>
      </c>
      <c r="N496" s="413">
        <f>'Imp Refined NYC'!U307</f>
        <v>15.886113909235405</v>
      </c>
      <c r="O496" s="413">
        <f>'Imp Refined NYC'!V307</f>
        <v>17.067787275226742</v>
      </c>
      <c r="P496" s="405"/>
      <c r="Q496" s="405">
        <f>'Imp Refined NYC'!AF307</f>
        <v>73.365302465279996</v>
      </c>
      <c r="R496" s="405">
        <f>'Imp Refined NYC'!AG307</f>
        <v>47.600106956640005</v>
      </c>
      <c r="S496" s="405">
        <f>'Imp Refined NYC'!AH307</f>
        <v>51.53039101728001</v>
      </c>
      <c r="T496" s="405">
        <f>'Imp Refined NYC'!AI307</f>
        <v>55.792565731929614</v>
      </c>
      <c r="U496" s="405"/>
      <c r="V496" s="405"/>
      <c r="W496" s="405"/>
      <c r="X496" s="405"/>
      <c r="Y496" s="405"/>
      <c r="Z496" s="405"/>
      <c r="AA496" s="413"/>
      <c r="AB496" s="415"/>
      <c r="AC496" s="415"/>
      <c r="AG496" s="415"/>
      <c r="AH496" s="405"/>
      <c r="AI496" s="415"/>
      <c r="AJ496" s="415">
        <v>1.0049999999999999</v>
      </c>
      <c r="AK496" s="415">
        <v>1.0049999999999999</v>
      </c>
      <c r="BC496" s="365"/>
      <c r="BD496" s="365"/>
      <c r="BE496" s="365"/>
      <c r="BF496" s="365"/>
      <c r="BG496" s="365"/>
    </row>
    <row r="497" spans="2:59">
      <c r="B497" s="376" t="str">
        <f>Technologies!B$680</f>
        <v>*R0</v>
      </c>
      <c r="C497" s="376" t="str">
        <f>'Imp Refined NYC'!E308</f>
        <v>IMPKERP52</v>
      </c>
      <c r="D497" s="376" t="str">
        <f>'Imp Refined NYC'!F308</f>
        <v>Imported Kerosene and Other Refined Products, PADD 5, Step 2</v>
      </c>
      <c r="E497" s="415" t="str">
        <f>'Imp Refined NYC'!G308</f>
        <v>KERP5</v>
      </c>
      <c r="F497" s="413">
        <f>'Imp Refined NYC'!M308</f>
        <v>10.106737091766087</v>
      </c>
      <c r="G497" s="413">
        <f>'Imp Refined NYC'!N308</f>
        <v>10.882397406758225</v>
      </c>
      <c r="H497" s="413">
        <f>'Imp Refined NYC'!O308</f>
        <v>10.778926794876716</v>
      </c>
      <c r="I497" s="413">
        <f>'Imp Refined NYC'!P308</f>
        <v>11.631219084945503</v>
      </c>
      <c r="J497" s="413">
        <f>'Imp Refined NYC'!Q308</f>
        <v>12.2993439377305</v>
      </c>
      <c r="K497" s="413">
        <f>'Imp Refined NYC'!R308</f>
        <v>13.214218855121965</v>
      </c>
      <c r="L497" s="413">
        <f>'Imp Refined NYC'!S308</f>
        <v>14.197145866894205</v>
      </c>
      <c r="M497" s="413">
        <f>'Imp Refined NYC'!T308</f>
        <v>15.253186962901323</v>
      </c>
      <c r="N497" s="413">
        <f>'Imp Refined NYC'!U308</f>
        <v>16.387780664263893</v>
      </c>
      <c r="O497" s="413">
        <f>'Imp Refined NYC'!V308</f>
        <v>17.606770031286537</v>
      </c>
      <c r="P497" s="405"/>
      <c r="Q497" s="405">
        <f>'Imp Refined NYC'!AF308</f>
        <v>9.170662808160003</v>
      </c>
      <c r="R497" s="405">
        <f>'Imp Refined NYC'!AG308</f>
        <v>5.9500133695800059</v>
      </c>
      <c r="S497" s="405">
        <f>'Imp Refined NYC'!AH308</f>
        <v>6.4412988771599871</v>
      </c>
      <c r="T497" s="405">
        <f>'Imp Refined NYC'!AI308</f>
        <v>6.9740707164911839</v>
      </c>
      <c r="U497" s="405"/>
      <c r="V497" s="405"/>
      <c r="W497" s="405"/>
      <c r="X497" s="405"/>
      <c r="Y497" s="405"/>
      <c r="Z497" s="405"/>
      <c r="AA497" s="413"/>
      <c r="AB497" s="415"/>
      <c r="AC497" s="415"/>
      <c r="AG497" s="415"/>
      <c r="AH497" s="405"/>
      <c r="AI497" s="415"/>
      <c r="AJ497" s="415">
        <v>1.0049999999999999</v>
      </c>
      <c r="AK497" s="415">
        <v>1.0049999999999999</v>
      </c>
      <c r="BC497" s="365"/>
      <c r="BD497" s="365"/>
      <c r="BE497" s="365"/>
      <c r="BF497" s="365"/>
      <c r="BG497" s="365"/>
    </row>
    <row r="498" spans="2:59">
      <c r="B498" s="376" t="str">
        <f>Technologies!B$681</f>
        <v>*R0</v>
      </c>
      <c r="C498" s="376" t="str">
        <f>'Imp Refined NYC'!E309</f>
        <v>IMPKERP54</v>
      </c>
      <c r="D498" s="376" t="str">
        <f>'Imp Refined NYC'!F309</f>
        <v>Imported Kerosene and Other Refined Products, PADD 5, Step 4</v>
      </c>
      <c r="E498" s="415" t="str">
        <f>'Imp Refined NYC'!G309</f>
        <v>KERP5</v>
      </c>
      <c r="F498" s="413">
        <f>'Imp Refined NYC'!M309</f>
        <v>11.241166765331668</v>
      </c>
      <c r="G498" s="413">
        <f>'Imp Refined NYC'!N309</f>
        <v>12.103890993231087</v>
      </c>
      <c r="H498" s="413">
        <f>'Imp Refined NYC'!O309</f>
        <v>11.988806333077164</v>
      </c>
      <c r="I498" s="413">
        <f>'Imp Refined NYC'!P309</f>
        <v>12.936764084276122</v>
      </c>
      <c r="J498" s="413">
        <f>'Imp Refined NYC'!Q309</f>
        <v>13.679882542985965</v>
      </c>
      <c r="K498" s="413">
        <f>'Imp Refined NYC'!R309</f>
        <v>14.697447502125451</v>
      </c>
      <c r="L498" s="413">
        <f>'Imp Refined NYC'!S309</f>
        <v>15.79070305603539</v>
      </c>
      <c r="M498" s="413">
        <f>'Imp Refined NYC'!T309</f>
        <v>16.96527937710453</v>
      </c>
      <c r="N498" s="413">
        <f>'Imp Refined NYC'!U309</f>
        <v>18.227225432701673</v>
      </c>
      <c r="O498" s="413">
        <f>'Imp Refined NYC'!V309</f>
        <v>19.583040136839102</v>
      </c>
      <c r="P498" s="405"/>
      <c r="Q498" s="405">
        <f>'Imp Refined NYC'!AF309</f>
        <v>18.341325616319978</v>
      </c>
      <c r="R498" s="405">
        <f>'Imp Refined NYC'!AG309</f>
        <v>11.900026739159991</v>
      </c>
      <c r="S498" s="405">
        <f>'Imp Refined NYC'!AH309</f>
        <v>12.882597754319988</v>
      </c>
      <c r="T498" s="405">
        <f>'Imp Refined NYC'!AI309</f>
        <v>13.948141432982396</v>
      </c>
      <c r="U498" s="405"/>
      <c r="V498" s="405"/>
      <c r="W498" s="405"/>
      <c r="X498" s="405"/>
      <c r="Y498" s="405"/>
      <c r="Z498" s="405"/>
      <c r="AA498" s="413"/>
      <c r="AB498" s="415"/>
      <c r="AC498" s="415"/>
      <c r="AG498" s="415"/>
      <c r="AH498" s="405"/>
      <c r="AI498" s="415"/>
      <c r="AJ498" s="415">
        <v>1.0049999999999999</v>
      </c>
      <c r="AK498" s="415">
        <v>1.0049999999999999</v>
      </c>
      <c r="BC498" s="365"/>
      <c r="BD498" s="365"/>
      <c r="BE498" s="365"/>
      <c r="BF498" s="365"/>
      <c r="BG498" s="365"/>
    </row>
    <row r="499" spans="2:59">
      <c r="B499" s="376" t="str">
        <f>Technologies!B$682</f>
        <v>*R0</v>
      </c>
      <c r="C499" s="376" t="str">
        <f>'Imp Refined NYC'!E310</f>
        <v>IMPKERP55</v>
      </c>
      <c r="D499" s="376" t="str">
        <f>'Imp Refined NYC'!F310</f>
        <v>Imported Kerosene and Other Refined Products, PADD 5, Step 5</v>
      </c>
      <c r="E499" s="415" t="str">
        <f>'Imp Refined NYC'!G310</f>
        <v>KERP5</v>
      </c>
      <c r="F499" s="413">
        <f>'Imp Refined NYC'!M310</f>
        <v>13.406896142138688</v>
      </c>
      <c r="G499" s="413">
        <f>'Imp Refined NYC'!N310</f>
        <v>14.435833294679279</v>
      </c>
      <c r="H499" s="413">
        <f>'Imp Refined NYC'!O310</f>
        <v>14.298576360550747</v>
      </c>
      <c r="I499" s="413">
        <f>'Imp Refined NYC'!P310</f>
        <v>15.429168173907302</v>
      </c>
      <c r="J499" s="413">
        <f>'Imp Refined NYC'!Q310</f>
        <v>16.315456243928214</v>
      </c>
      <c r="K499" s="413">
        <f>'Imp Refined NYC'!R310</f>
        <v>17.529065828223015</v>
      </c>
      <c r="L499" s="413">
        <f>'Imp Refined NYC'!S310</f>
        <v>18.832948598941293</v>
      </c>
      <c r="M499" s="413">
        <f>'Imp Refined NYC'!T310</f>
        <v>20.233819440583389</v>
      </c>
      <c r="N499" s="413">
        <f>'Imp Refined NYC'!U310</f>
        <v>21.738892717901081</v>
      </c>
      <c r="O499" s="413">
        <f>'Imp Refined NYC'!V310</f>
        <v>23.355919429257646</v>
      </c>
      <c r="P499" s="405"/>
      <c r="Q499" s="405">
        <f>'Imp Refined NYC'!AF310</f>
        <v>73.36530246528001</v>
      </c>
      <c r="R499" s="405">
        <f>'Imp Refined NYC'!AG310</f>
        <v>47.600106956640005</v>
      </c>
      <c r="S499" s="405">
        <f>'Imp Refined NYC'!AH310</f>
        <v>51.53039101728001</v>
      </c>
      <c r="T499" s="405">
        <f>'Imp Refined NYC'!AI310</f>
        <v>55.792565731929599</v>
      </c>
      <c r="U499" s="405"/>
      <c r="V499" s="405"/>
      <c r="W499" s="405"/>
      <c r="X499" s="405"/>
      <c r="Y499" s="405"/>
      <c r="Z499" s="405"/>
      <c r="AA499" s="413"/>
      <c r="AB499" s="415"/>
      <c r="AC499" s="415"/>
      <c r="AG499" s="415"/>
      <c r="AH499" s="405"/>
      <c r="AI499" s="415"/>
      <c r="AJ499" s="415">
        <v>1.0049999999999999</v>
      </c>
      <c r="AK499" s="415">
        <v>1.0049999999999999</v>
      </c>
      <c r="BC499" s="365"/>
      <c r="BD499" s="365"/>
      <c r="BE499" s="365"/>
      <c r="BF499" s="365"/>
      <c r="BG499" s="365"/>
    </row>
    <row r="500" spans="2:59">
      <c r="B500" s="376" t="str">
        <f>Technologies!B$683</f>
        <v>*R0</v>
      </c>
      <c r="C500" s="376" t="str">
        <f>'Imp Refined NYC'!E311</f>
        <v>IMPMTHP53</v>
      </c>
      <c r="D500" s="376" t="str">
        <f>'Imp Refined NYC'!F311</f>
        <v>Imported Methanol, PADD 5, Step 3</v>
      </c>
      <c r="E500" s="415" t="str">
        <f>'Imp Refined NYC'!G311</f>
        <v>MTHP5</v>
      </c>
      <c r="F500" s="413">
        <f>'Imp Refined NYC'!M311</f>
        <v>26.827330851397829</v>
      </c>
      <c r="G500" s="413">
        <f>'Imp Refined NYC'!N311</f>
        <v>28.886244198965407</v>
      </c>
      <c r="H500" s="413">
        <f>'Imp Refined NYC'!O311</f>
        <v>28.611591725754913</v>
      </c>
      <c r="I500" s="413">
        <f>'Imp Refined NYC'!P311</f>
        <v>30.873917047979695</v>
      </c>
      <c r="J500" s="413">
        <f>'Imp Refined NYC'!Q311</f>
        <v>32.647388180449063</v>
      </c>
      <c r="K500" s="413">
        <f>'Imp Refined NYC'!R311</f>
        <v>35.075832877650271</v>
      </c>
      <c r="L500" s="413">
        <f>'Imp Refined NYC'!S311</f>
        <v>37.684915107470282</v>
      </c>
      <c r="M500" s="413">
        <f>'Imp Refined NYC'!T311</f>
        <v>40.488071419742091</v>
      </c>
      <c r="N500" s="413">
        <f>'Imp Refined NYC'!U311</f>
        <v>43.499737829187282</v>
      </c>
      <c r="O500" s="413">
        <f>'Imp Refined NYC'!V311</f>
        <v>46.735424159654393</v>
      </c>
      <c r="P500" s="405"/>
      <c r="Q500" s="405">
        <f>'Imp Refined NYC'!AF311</f>
        <v>9.0969093294911874E-2</v>
      </c>
      <c r="R500" s="405">
        <f>'Imp Refined NYC'!AG311</f>
        <v>8.144907190358408E-2</v>
      </c>
      <c r="S500" s="405">
        <f>'Imp Refined NYC'!AH311</f>
        <v>9.5200213913279708E-2</v>
      </c>
      <c r="T500" s="405">
        <f>'Imp Refined NYC'!AI311</f>
        <v>0.11000913607756801</v>
      </c>
      <c r="U500" s="405"/>
      <c r="V500" s="405"/>
      <c r="W500" s="405"/>
      <c r="X500" s="405"/>
      <c r="Y500" s="405"/>
      <c r="Z500" s="405"/>
      <c r="AA500" s="413"/>
      <c r="AB500" s="415"/>
      <c r="AC500" s="415"/>
      <c r="AG500" s="415"/>
      <c r="AH500" s="405"/>
      <c r="AI500" s="415"/>
      <c r="AJ500" s="415">
        <v>1.0049999999999999</v>
      </c>
      <c r="AK500" s="415">
        <v>1.0049999999999999</v>
      </c>
      <c r="BC500" s="365"/>
      <c r="BD500" s="365"/>
      <c r="BE500" s="365"/>
      <c r="BF500" s="365"/>
      <c r="BG500" s="365"/>
    </row>
    <row r="501" spans="2:59">
      <c r="B501" s="376" t="str">
        <f>Technologies!B$684</f>
        <v>*R0</v>
      </c>
      <c r="C501" s="376" t="str">
        <f>'Imp Refined NYC'!E312</f>
        <v>IMPMTHP51</v>
      </c>
      <c r="D501" s="376" t="str">
        <f>'Imp Refined NYC'!F312</f>
        <v>Imported Methanol, PADD 5, Step 1</v>
      </c>
      <c r="E501" s="415" t="str">
        <f>'Imp Refined NYC'!G312</f>
        <v>MTHP5</v>
      </c>
      <c r="F501" s="413">
        <f>'Imp Refined NYC'!M312</f>
        <v>25.485964308827935</v>
      </c>
      <c r="G501" s="413">
        <f>'Imp Refined NYC'!N312</f>
        <v>27.441931989017135</v>
      </c>
      <c r="H501" s="413">
        <f>'Imp Refined NYC'!O312</f>
        <v>27.181012139467168</v>
      </c>
      <c r="I501" s="413">
        <f>'Imp Refined NYC'!P312</f>
        <v>29.330221195580712</v>
      </c>
      <c r="J501" s="413">
        <f>'Imp Refined NYC'!Q312</f>
        <v>31.015018771426611</v>
      </c>
      <c r="K501" s="413">
        <f>'Imp Refined NYC'!R312</f>
        <v>33.322041233767756</v>
      </c>
      <c r="L501" s="413">
        <f>'Imp Refined NYC'!S312</f>
        <v>35.800669352096769</v>
      </c>
      <c r="M501" s="413">
        <f>'Imp Refined NYC'!T312</f>
        <v>38.463667848754987</v>
      </c>
      <c r="N501" s="413">
        <f>'Imp Refined NYC'!U312</f>
        <v>41.32475093772792</v>
      </c>
      <c r="O501" s="413">
        <f>'Imp Refined NYC'!V312</f>
        <v>44.398652951671679</v>
      </c>
      <c r="P501" s="405"/>
      <c r="Q501" s="405">
        <f>'Imp Refined NYC'!AF312</f>
        <v>0.72775274635929599</v>
      </c>
      <c r="R501" s="405">
        <f>'Imp Refined NYC'!AG312</f>
        <v>0.65159257522867209</v>
      </c>
      <c r="S501" s="405">
        <f>'Imp Refined NYC'!AH312</f>
        <v>0.76160171130623988</v>
      </c>
      <c r="T501" s="405">
        <f>'Imp Refined NYC'!AI312</f>
        <v>0.88007308862054401</v>
      </c>
      <c r="U501" s="405"/>
      <c r="V501" s="405"/>
      <c r="W501" s="405"/>
      <c r="X501" s="405"/>
      <c r="Y501" s="405"/>
      <c r="Z501" s="405"/>
      <c r="AA501" s="413"/>
      <c r="AB501" s="415"/>
      <c r="AC501" s="415"/>
      <c r="AG501" s="415"/>
      <c r="AH501" s="405"/>
      <c r="AI501" s="415"/>
      <c r="AJ501" s="415">
        <v>1.0049999999999999</v>
      </c>
      <c r="AK501" s="415">
        <v>1.0049999999999999</v>
      </c>
      <c r="BC501" s="365"/>
      <c r="BD501" s="365"/>
      <c r="BE501" s="365"/>
      <c r="BF501" s="365"/>
      <c r="BG501" s="365"/>
    </row>
    <row r="502" spans="2:59">
      <c r="B502" s="376" t="str">
        <f>Technologies!B$685</f>
        <v>*R0</v>
      </c>
      <c r="C502" s="376" t="str">
        <f>'Imp Refined NYC'!E313</f>
        <v>IMPMTHP52</v>
      </c>
      <c r="D502" s="376" t="str">
        <f>'Imp Refined NYC'!F313</f>
        <v>Imported Methanol, PADD 5, Step 2</v>
      </c>
      <c r="E502" s="415" t="str">
        <f>'Imp Refined NYC'!G313</f>
        <v>MTHP5</v>
      </c>
      <c r="F502" s="413">
        <f>'Imp Refined NYC'!M313</f>
        <v>26.290784234369873</v>
      </c>
      <c r="G502" s="413">
        <f>'Imp Refined NYC'!N313</f>
        <v>28.3085193149861</v>
      </c>
      <c r="H502" s="413">
        <f>'Imp Refined NYC'!O313</f>
        <v>28.039359891239815</v>
      </c>
      <c r="I502" s="413">
        <f>'Imp Refined NYC'!P313</f>
        <v>30.256438707020102</v>
      </c>
      <c r="J502" s="413">
        <f>'Imp Refined NYC'!Q313</f>
        <v>31.994440416840082</v>
      </c>
      <c r="K502" s="413">
        <f>'Imp Refined NYC'!R313</f>
        <v>34.374316220097263</v>
      </c>
      <c r="L502" s="413">
        <f>'Imp Refined NYC'!S313</f>
        <v>36.931216805320872</v>
      </c>
      <c r="M502" s="413">
        <f>'Imp Refined NYC'!T313</f>
        <v>39.678309991347241</v>
      </c>
      <c r="N502" s="413">
        <f>'Imp Refined NYC'!U313</f>
        <v>42.629743072603524</v>
      </c>
      <c r="O502" s="413">
        <f>'Imp Refined NYC'!V313</f>
        <v>45.800715676461294</v>
      </c>
      <c r="P502" s="405"/>
      <c r="Q502" s="405">
        <f>'Imp Refined NYC'!AF313</f>
        <v>9.0969093294911985E-2</v>
      </c>
      <c r="R502" s="405">
        <f>'Imp Refined NYC'!AG313</f>
        <v>8.1449071903583747E-2</v>
      </c>
      <c r="S502" s="405">
        <f>'Imp Refined NYC'!AH313</f>
        <v>9.5200213913280263E-2</v>
      </c>
      <c r="T502" s="405">
        <f>'Imp Refined NYC'!AI313</f>
        <v>0.1100091360775679</v>
      </c>
      <c r="U502" s="405"/>
      <c r="V502" s="405"/>
      <c r="W502" s="405"/>
      <c r="X502" s="405"/>
      <c r="Y502" s="405"/>
      <c r="Z502" s="405"/>
      <c r="AA502" s="413"/>
      <c r="AB502" s="415"/>
      <c r="AC502" s="415"/>
      <c r="AG502" s="415"/>
      <c r="AH502" s="405"/>
      <c r="AI502" s="415"/>
      <c r="AJ502" s="415">
        <v>1.0049999999999999</v>
      </c>
      <c r="AK502" s="415">
        <v>1.0049999999999999</v>
      </c>
      <c r="BC502" s="365"/>
      <c r="BD502" s="365"/>
      <c r="BE502" s="365"/>
      <c r="BF502" s="365"/>
      <c r="BG502" s="365"/>
    </row>
    <row r="503" spans="2:59">
      <c r="B503" s="376" t="str">
        <f>Technologies!B$686</f>
        <v>*R0</v>
      </c>
      <c r="C503" s="376" t="str">
        <f>'Imp Refined NYC'!E314</f>
        <v>IMPMTHP54</v>
      </c>
      <c r="D503" s="376" t="str">
        <f>'Imp Refined NYC'!F314</f>
        <v>Imported Methanol, PADD 5, Step 4</v>
      </c>
      <c r="E503" s="415" t="str">
        <f>'Imp Refined NYC'!G314</f>
        <v>MTHP5</v>
      </c>
      <c r="F503" s="413">
        <f>'Imp Refined NYC'!M314</f>
        <v>29.24179062802364</v>
      </c>
      <c r="G503" s="413">
        <f>'Imp Refined NYC'!N314</f>
        <v>31.486006176872301</v>
      </c>
      <c r="H503" s="413">
        <f>'Imp Refined NYC'!O314</f>
        <v>31.186634981072864</v>
      </c>
      <c r="I503" s="413">
        <f>'Imp Refined NYC'!P314</f>
        <v>33.652569582297879</v>
      </c>
      <c r="J503" s="413">
        <f>'Imp Refined NYC'!Q314</f>
        <v>35.585653116689492</v>
      </c>
      <c r="K503" s="413">
        <f>'Imp Refined NYC'!R314</f>
        <v>38.232657836638808</v>
      </c>
      <c r="L503" s="413">
        <f>'Imp Refined NYC'!S314</f>
        <v>41.076557467142621</v>
      </c>
      <c r="M503" s="413">
        <f>'Imp Refined NYC'!T314</f>
        <v>44.131997847518896</v>
      </c>
      <c r="N503" s="413">
        <f>'Imp Refined NYC'!U314</f>
        <v>47.414714233814152</v>
      </c>
      <c r="O503" s="413">
        <f>'Imp Refined NYC'!V314</f>
        <v>50.941612334023304</v>
      </c>
      <c r="P503" s="405"/>
      <c r="Q503" s="405">
        <f>'Imp Refined NYC'!AF314</f>
        <v>0.18193818658982419</v>
      </c>
      <c r="R503" s="405">
        <f>'Imp Refined NYC'!AG314</f>
        <v>0.16289814380716783</v>
      </c>
      <c r="S503" s="405">
        <f>'Imp Refined NYC'!AH314</f>
        <v>0.19040042782656019</v>
      </c>
      <c r="T503" s="405">
        <f>'Imp Refined NYC'!AI314</f>
        <v>0.22001827215513581</v>
      </c>
      <c r="U503" s="405"/>
      <c r="V503" s="405"/>
      <c r="W503" s="405"/>
      <c r="X503" s="405"/>
      <c r="Y503" s="405"/>
      <c r="Z503" s="405"/>
      <c r="AA503" s="413"/>
      <c r="AB503" s="415"/>
      <c r="AC503" s="415"/>
      <c r="AG503" s="415"/>
      <c r="AH503" s="405"/>
      <c r="AI503" s="415"/>
      <c r="AJ503" s="415">
        <v>1.0049999999999999</v>
      </c>
      <c r="AK503" s="415">
        <v>1.0049999999999999</v>
      </c>
      <c r="BC503" s="365"/>
      <c r="BD503" s="365"/>
      <c r="BE503" s="365"/>
      <c r="BF503" s="365"/>
      <c r="BG503" s="365"/>
    </row>
    <row r="504" spans="2:59">
      <c r="B504" s="376" t="str">
        <f>Technologies!B$687</f>
        <v>*R0</v>
      </c>
      <c r="C504" s="376" t="str">
        <f>'Imp Refined NYC'!E315</f>
        <v>IMPMTHP55</v>
      </c>
      <c r="D504" s="376" t="str">
        <f>'Imp Refined NYC'!F315</f>
        <v>Imported Methanol, PADD 5, Step 5</v>
      </c>
      <c r="E504" s="415" t="str">
        <f>'Imp Refined NYC'!G315</f>
        <v>MTHP5</v>
      </c>
      <c r="F504" s="413">
        <f>'Imp Refined NYC'!M315</f>
        <v>34.875530106817173</v>
      </c>
      <c r="G504" s="413">
        <f>'Imp Refined NYC'!N315</f>
        <v>37.552117458655026</v>
      </c>
      <c r="H504" s="413">
        <f>'Imp Refined NYC'!O315</f>
        <v>37.195069243481385</v>
      </c>
      <c r="I504" s="413">
        <f>'Imp Refined NYC'!P315</f>
        <v>40.1360921623736</v>
      </c>
      <c r="J504" s="413">
        <f>'Imp Refined NYC'!Q315</f>
        <v>42.441604634583776</v>
      </c>
      <c r="K504" s="413">
        <f>'Imp Refined NYC'!R315</f>
        <v>45.598582740945346</v>
      </c>
      <c r="L504" s="413">
        <f>'Imp Refined NYC'!S315</f>
        <v>48.99038963971136</v>
      </c>
      <c r="M504" s="413">
        <f>'Imp Refined NYC'!T315</f>
        <v>52.63449284566471</v>
      </c>
      <c r="N504" s="413">
        <f>'Imp Refined NYC'!U315</f>
        <v>56.549659177943454</v>
      </c>
      <c r="O504" s="413">
        <f>'Imp Refined NYC'!V315</f>
        <v>60.7560514075507</v>
      </c>
      <c r="P504" s="405"/>
      <c r="Q504" s="405">
        <f>'Imp Refined NYC'!AF315</f>
        <v>0.72775274635929565</v>
      </c>
      <c r="R504" s="405">
        <f>'Imp Refined NYC'!AG315</f>
        <v>0.65159257522867209</v>
      </c>
      <c r="S504" s="405">
        <f>'Imp Refined NYC'!AH315</f>
        <v>0.76160171130623966</v>
      </c>
      <c r="T504" s="405">
        <f>'Imp Refined NYC'!AI315</f>
        <v>0.88007308862054412</v>
      </c>
      <c r="U504" s="405"/>
      <c r="V504" s="405"/>
      <c r="W504" s="405"/>
      <c r="X504" s="405"/>
      <c r="Y504" s="405"/>
      <c r="Z504" s="405"/>
      <c r="AA504" s="413"/>
      <c r="AB504" s="415"/>
      <c r="AC504" s="415"/>
      <c r="AG504" s="415"/>
      <c r="AH504" s="405"/>
      <c r="AI504" s="415"/>
      <c r="AJ504" s="415">
        <v>1.0049999999999999</v>
      </c>
      <c r="AK504" s="415">
        <v>1.0049999999999999</v>
      </c>
      <c r="BC504" s="365"/>
      <c r="BD504" s="365"/>
      <c r="BE504" s="365"/>
      <c r="BF504" s="365"/>
      <c r="BG504" s="365"/>
    </row>
    <row r="505" spans="2:59">
      <c r="B505" s="376" t="str">
        <f>Technologies!B$688</f>
        <v>*R0</v>
      </c>
      <c r="C505" s="376" t="str">
        <f>'Imp Refined NYC'!E316</f>
        <v>IMPDSUP53</v>
      </c>
      <c r="D505" s="376" t="str">
        <f>'Imp Refined NYC'!F316</f>
        <v>Imported Distillate-Ultralow Sulfur Highway Diesel (15 ppm), PADD 5, Step 3</v>
      </c>
      <c r="E505" s="415" t="str">
        <f>'Imp Refined NYC'!G316</f>
        <v>DSUP5</v>
      </c>
      <c r="F505" s="413">
        <f>'Imp Refined NYC'!M316</f>
        <v>13.622798008113806</v>
      </c>
      <c r="G505" s="413">
        <f>'Imp Refined NYC'!N316</f>
        <v>14.668304950473713</v>
      </c>
      <c r="H505" s="413">
        <f>'Imp Refined NYC'!O316</f>
        <v>14.528837659236258</v>
      </c>
      <c r="I505" s="413">
        <f>'Imp Refined NYC'!P316</f>
        <v>15.677636287919192</v>
      </c>
      <c r="J505" s="413">
        <f>'Imp Refined NYC'!Q316</f>
        <v>16.578196956614722</v>
      </c>
      <c r="K505" s="413">
        <f>'Imp Refined NYC'!R316</f>
        <v>17.811350257146049</v>
      </c>
      <c r="L505" s="413">
        <f>'Imp Refined NYC'!S316</f>
        <v>19.136230484712378</v>
      </c>
      <c r="M505" s="413">
        <f>'Imp Refined NYC'!T316</f>
        <v>20.559660658916918</v>
      </c>
      <c r="N505" s="413">
        <f>'Imp Refined NYC'!U316</f>
        <v>22.08897132314036</v>
      </c>
      <c r="O505" s="413">
        <f>'Imp Refined NYC'!V316</f>
        <v>23.732038296210909</v>
      </c>
      <c r="P505" s="405"/>
      <c r="Q505" s="405">
        <f>'Imp Refined NYC'!AF316</f>
        <v>0.97578370802999892</v>
      </c>
      <c r="R505" s="405">
        <f>'Imp Refined NYC'!AG316</f>
        <v>3.2481259982240012</v>
      </c>
      <c r="S505" s="405">
        <f>'Imp Refined NYC'!AH316</f>
        <v>3.8560280324220031</v>
      </c>
      <c r="T505" s="405">
        <f>'Imp Refined NYC'!AI316</f>
        <v>4.580575475395996</v>
      </c>
      <c r="U505" s="405"/>
      <c r="V505" s="405"/>
      <c r="W505" s="405"/>
      <c r="X505" s="405"/>
      <c r="Y505" s="405"/>
      <c r="Z505" s="405"/>
      <c r="AA505" s="413"/>
      <c r="AB505" s="415"/>
      <c r="AC505" s="415"/>
      <c r="AG505" s="415"/>
      <c r="AH505" s="405"/>
      <c r="AI505" s="415"/>
      <c r="AJ505" s="415">
        <v>1.0049999999999999</v>
      </c>
      <c r="AK505" s="415">
        <v>1.0049999999999999</v>
      </c>
      <c r="BC505" s="365"/>
      <c r="BD505" s="365"/>
      <c r="BE505" s="365"/>
      <c r="BF505" s="365"/>
      <c r="BG505" s="365"/>
    </row>
    <row r="506" spans="2:59">
      <c r="B506" s="376" t="str">
        <f>Technologies!B$689</f>
        <v>*R0</v>
      </c>
      <c r="C506" s="376" t="str">
        <f>'Imp Refined NYC'!E317</f>
        <v>IMPDSUP51</v>
      </c>
      <c r="D506" s="376" t="str">
        <f>'Imp Refined NYC'!F317</f>
        <v>Imported Distillate-Ultralow Sulfur Highway Diesel (15 ppm), PADD 5, Step 1</v>
      </c>
      <c r="E506" s="415" t="str">
        <f>'Imp Refined NYC'!G317</f>
        <v>DSUP5</v>
      </c>
      <c r="F506" s="413">
        <f>'Imp Refined NYC'!M317</f>
        <v>12.941658107708117</v>
      </c>
      <c r="G506" s="413">
        <f>'Imp Refined NYC'!N317</f>
        <v>13.934889702950029</v>
      </c>
      <c r="H506" s="413">
        <f>'Imp Refined NYC'!O317</f>
        <v>13.802395776274448</v>
      </c>
      <c r="I506" s="413">
        <f>'Imp Refined NYC'!P317</f>
        <v>14.893754473523236</v>
      </c>
      <c r="J506" s="413">
        <f>'Imp Refined NYC'!Q317</f>
        <v>15.749287108783989</v>
      </c>
      <c r="K506" s="413">
        <f>'Imp Refined NYC'!R317</f>
        <v>16.920782744288751</v>
      </c>
      <c r="L506" s="413">
        <f>'Imp Refined NYC'!S317</f>
        <v>18.179418960476763</v>
      </c>
      <c r="M506" s="413">
        <f>'Imp Refined NYC'!T317</f>
        <v>19.531677625971078</v>
      </c>
      <c r="N506" s="413">
        <f>'Imp Refined NYC'!U317</f>
        <v>20.984522756983345</v>
      </c>
      <c r="O506" s="413">
        <f>'Imp Refined NYC'!V317</f>
        <v>22.545436381400368</v>
      </c>
      <c r="P506" s="405"/>
      <c r="Q506" s="405">
        <f>'Imp Refined NYC'!AF317</f>
        <v>7.8062696642399994</v>
      </c>
      <c r="R506" s="405">
        <f>'Imp Refined NYC'!AG317</f>
        <v>25.985007985792006</v>
      </c>
      <c r="S506" s="405">
        <f>'Imp Refined NYC'!AH317</f>
        <v>30.848224259376003</v>
      </c>
      <c r="T506" s="405">
        <f>'Imp Refined NYC'!AI317</f>
        <v>36.644603803168003</v>
      </c>
      <c r="U506" s="405"/>
      <c r="V506" s="405"/>
      <c r="W506" s="405"/>
      <c r="X506" s="405"/>
      <c r="Y506" s="405"/>
      <c r="Z506" s="405"/>
      <c r="AA506" s="413"/>
      <c r="AB506" s="415"/>
      <c r="AC506" s="415"/>
      <c r="AG506" s="415"/>
      <c r="AH506" s="405"/>
      <c r="AI506" s="415"/>
      <c r="AJ506" s="415">
        <v>1.0049999999999999</v>
      </c>
      <c r="AK506" s="415">
        <v>1.0049999999999999</v>
      </c>
      <c r="BC506" s="365"/>
      <c r="BD506" s="365"/>
      <c r="BE506" s="365"/>
      <c r="BF506" s="365"/>
      <c r="BG506" s="365"/>
    </row>
    <row r="507" spans="2:59">
      <c r="B507" s="376" t="str">
        <f>Technologies!B$690</f>
        <v>*R0</v>
      </c>
      <c r="C507" s="376" t="str">
        <f>'Imp Refined NYC'!E318</f>
        <v>IMPDSUP52</v>
      </c>
      <c r="D507" s="376" t="str">
        <f>'Imp Refined NYC'!F318</f>
        <v>Imported Distillate-Ultralow Sulfur Highway Diesel (15 ppm), PADD 5, Step 2</v>
      </c>
      <c r="E507" s="415" t="str">
        <f>'Imp Refined NYC'!G318</f>
        <v>DSUP5</v>
      </c>
      <c r="F507" s="413">
        <f>'Imp Refined NYC'!M318</f>
        <v>13.350342047951532</v>
      </c>
      <c r="G507" s="413">
        <f>'Imp Refined NYC'!N318</f>
        <v>14.374938851464242</v>
      </c>
      <c r="H507" s="413">
        <f>'Imp Refined NYC'!O318</f>
        <v>14.238260906051536</v>
      </c>
      <c r="I507" s="413">
        <f>'Imp Refined NYC'!P318</f>
        <v>15.364083562160813</v>
      </c>
      <c r="J507" s="413">
        <f>'Imp Refined NYC'!Q318</f>
        <v>16.246633017482431</v>
      </c>
      <c r="K507" s="413">
        <f>'Imp Refined NYC'!R318</f>
        <v>17.45512325200313</v>
      </c>
      <c r="L507" s="413">
        <f>'Imp Refined NYC'!S318</f>
        <v>18.753505875018135</v>
      </c>
      <c r="M507" s="413">
        <f>'Imp Refined NYC'!T318</f>
        <v>20.148467445738586</v>
      </c>
      <c r="N507" s="413">
        <f>'Imp Refined NYC'!U318</f>
        <v>21.647191896677558</v>
      </c>
      <c r="O507" s="413">
        <f>'Imp Refined NYC'!V318</f>
        <v>23.257397530286699</v>
      </c>
      <c r="P507" s="405"/>
      <c r="Q507" s="405">
        <f>'Imp Refined NYC'!AF318</f>
        <v>0.97578370802999981</v>
      </c>
      <c r="R507" s="405">
        <f>'Imp Refined NYC'!AG318</f>
        <v>3.2481259982239905</v>
      </c>
      <c r="S507" s="405">
        <f>'Imp Refined NYC'!AH318</f>
        <v>3.856028032421996</v>
      </c>
      <c r="T507" s="405">
        <f>'Imp Refined NYC'!AI318</f>
        <v>4.5805754753960031</v>
      </c>
      <c r="U507" s="405"/>
      <c r="V507" s="405"/>
      <c r="W507" s="405"/>
      <c r="X507" s="405"/>
      <c r="Y507" s="405"/>
      <c r="Z507" s="405"/>
      <c r="AA507" s="413"/>
      <c r="AB507" s="415"/>
      <c r="AC507" s="415"/>
      <c r="AG507" s="415"/>
      <c r="AH507" s="405"/>
      <c r="AI507" s="415"/>
      <c r="AJ507" s="415">
        <v>1.0049999999999999</v>
      </c>
      <c r="AK507" s="415">
        <v>1.0049999999999999</v>
      </c>
      <c r="BC507" s="365"/>
      <c r="BD507" s="365"/>
      <c r="BE507" s="365"/>
      <c r="BF507" s="365"/>
      <c r="BG507" s="365"/>
    </row>
    <row r="508" spans="2:59">
      <c r="B508" s="376" t="str">
        <f>Technologies!B$691</f>
        <v>*R0</v>
      </c>
      <c r="C508" s="376" t="str">
        <f>'Imp Refined NYC'!E319</f>
        <v>IMPDSUP54</v>
      </c>
      <c r="D508" s="376" t="str">
        <f>'Imp Refined NYC'!F319</f>
        <v>Imported Distillate-Ultralow Sulfur Highway Diesel (15 ppm), PADD 5, Step 4</v>
      </c>
      <c r="E508" s="415" t="str">
        <f>'Imp Refined NYC'!G319</f>
        <v>DSUP5</v>
      </c>
      <c r="F508" s="413">
        <f>'Imp Refined NYC'!M319</f>
        <v>14.848849828844047</v>
      </c>
      <c r="G508" s="413">
        <f>'Imp Refined NYC'!N319</f>
        <v>15.988452396016346</v>
      </c>
      <c r="H508" s="413">
        <f>'Imp Refined NYC'!O319</f>
        <v>15.836433048567521</v>
      </c>
      <c r="I508" s="413">
        <f>'Imp Refined NYC'!P319</f>
        <v>17.088623553831919</v>
      </c>
      <c r="J508" s="413">
        <f>'Imp Refined NYC'!Q319</f>
        <v>18.070234682710048</v>
      </c>
      <c r="K508" s="413">
        <f>'Imp Refined NYC'!R319</f>
        <v>19.414371780289194</v>
      </c>
      <c r="L508" s="413">
        <f>'Imp Refined NYC'!S319</f>
        <v>20.858491228336494</v>
      </c>
      <c r="M508" s="413">
        <f>'Imp Refined NYC'!T319</f>
        <v>22.410030118219442</v>
      </c>
      <c r="N508" s="413">
        <f>'Imp Refined NYC'!U319</f>
        <v>24.076978742222991</v>
      </c>
      <c r="O508" s="413">
        <f>'Imp Refined NYC'!V319</f>
        <v>25.867921742869893</v>
      </c>
      <c r="P508" s="405"/>
      <c r="Q508" s="405">
        <f>'Imp Refined NYC'!AF319</f>
        <v>1.9515674160600014</v>
      </c>
      <c r="R508" s="405">
        <f>'Imp Refined NYC'!AG319</f>
        <v>6.4962519964480023</v>
      </c>
      <c r="S508" s="405">
        <f>'Imp Refined NYC'!AH319</f>
        <v>7.712056064843992</v>
      </c>
      <c r="T508" s="405">
        <f>'Imp Refined NYC'!AI319</f>
        <v>9.1611509507919919</v>
      </c>
      <c r="U508" s="405"/>
      <c r="V508" s="405"/>
      <c r="W508" s="405"/>
      <c r="X508" s="405"/>
      <c r="Y508" s="405"/>
      <c r="Z508" s="405"/>
      <c r="AA508" s="413"/>
      <c r="AB508" s="415"/>
      <c r="AC508" s="415"/>
      <c r="AG508" s="415"/>
      <c r="AH508" s="405"/>
      <c r="AI508" s="415"/>
      <c r="AJ508" s="415">
        <v>1.0049999999999999</v>
      </c>
      <c r="AK508" s="415">
        <v>1.0049999999999999</v>
      </c>
      <c r="BC508" s="365"/>
      <c r="BD508" s="365"/>
      <c r="BE508" s="365"/>
      <c r="BF508" s="365"/>
      <c r="BG508" s="365"/>
    </row>
    <row r="509" spans="2:59">
      <c r="B509" s="376" t="str">
        <f>Technologies!B$692</f>
        <v>*R0</v>
      </c>
      <c r="C509" s="376" t="str">
        <f>'Imp Refined NYC'!E320</f>
        <v>IMPDSUP55</v>
      </c>
      <c r="D509" s="376" t="str">
        <f>'Imp Refined NYC'!F320</f>
        <v>Imported Distillate-Ultralow Sulfur Highway Diesel (15 ppm), PADD 5, Step 5</v>
      </c>
      <c r="E509" s="415" t="str">
        <f>'Imp Refined NYC'!G320</f>
        <v>DSUP5</v>
      </c>
      <c r="F509" s="413">
        <f>'Imp Refined NYC'!M320</f>
        <v>17.709637410547948</v>
      </c>
      <c r="G509" s="413">
        <f>'Imp Refined NYC'!N320</f>
        <v>19.068796435615827</v>
      </c>
      <c r="H509" s="413">
        <f>'Imp Refined NYC'!O320</f>
        <v>18.887488957007136</v>
      </c>
      <c r="I509" s="413">
        <f>'Imp Refined NYC'!P320</f>
        <v>20.38092717429495</v>
      </c>
      <c r="J509" s="413">
        <f>'Imp Refined NYC'!Q320</f>
        <v>21.551656043599138</v>
      </c>
      <c r="K509" s="413">
        <f>'Imp Refined NYC'!R320</f>
        <v>23.154755334289863</v>
      </c>
      <c r="L509" s="413">
        <f>'Imp Refined NYC'!S320</f>
        <v>24.877099630126093</v>
      </c>
      <c r="M509" s="413">
        <f>'Imp Refined NYC'!T320</f>
        <v>26.727558856591994</v>
      </c>
      <c r="N509" s="413">
        <f>'Imp Refined NYC'!U320</f>
        <v>28.715662720082467</v>
      </c>
      <c r="O509" s="413">
        <f>'Imp Refined NYC'!V320</f>
        <v>30.851649785074184</v>
      </c>
      <c r="P509" s="405"/>
      <c r="Q509" s="405">
        <f>'Imp Refined NYC'!AF320</f>
        <v>7.8062696642399967</v>
      </c>
      <c r="R509" s="405">
        <f>'Imp Refined NYC'!AG320</f>
        <v>25.985007985791995</v>
      </c>
      <c r="S509" s="405">
        <f>'Imp Refined NYC'!AH320</f>
        <v>30.848224259376011</v>
      </c>
      <c r="T509" s="405">
        <f>'Imp Refined NYC'!AI320</f>
        <v>36.64460380316801</v>
      </c>
      <c r="U509" s="405"/>
      <c r="V509" s="405"/>
      <c r="W509" s="405"/>
      <c r="X509" s="405"/>
      <c r="Y509" s="405"/>
      <c r="Z509" s="405"/>
      <c r="AA509" s="413"/>
      <c r="AB509" s="415"/>
      <c r="AC509" s="415"/>
      <c r="AG509" s="415"/>
      <c r="AH509" s="405"/>
      <c r="AI509" s="415"/>
      <c r="AJ509" s="415">
        <v>1.0049999999999999</v>
      </c>
      <c r="AK509" s="415">
        <v>1.0049999999999999</v>
      </c>
      <c r="BC509" s="365"/>
      <c r="BD509" s="365"/>
      <c r="BE509" s="365"/>
      <c r="BF509" s="365"/>
      <c r="BG509" s="365"/>
    </row>
    <row r="510" spans="2:59">
      <c r="B510" s="399" t="s">
        <v>589</v>
      </c>
      <c r="C510" s="399"/>
      <c r="D510" s="399"/>
      <c r="E510" s="398"/>
      <c r="F510" s="415"/>
      <c r="G510" s="415"/>
      <c r="H510" s="415"/>
      <c r="I510" s="415"/>
      <c r="J510" s="415"/>
      <c r="K510" s="415"/>
      <c r="L510" s="415"/>
      <c r="M510" s="415"/>
      <c r="N510" s="415"/>
      <c r="O510" s="415"/>
      <c r="P510" s="415"/>
      <c r="Q510" s="415"/>
      <c r="R510" s="415"/>
      <c r="S510" s="415"/>
      <c r="T510" s="415"/>
      <c r="U510" s="415"/>
      <c r="V510" s="415"/>
      <c r="W510" s="415"/>
      <c r="X510" s="415"/>
      <c r="Y510" s="415"/>
      <c r="Z510" s="415"/>
      <c r="AA510" s="415"/>
      <c r="AB510" s="415"/>
      <c r="AC510" s="415"/>
      <c r="AG510" s="415"/>
      <c r="AH510" s="415"/>
      <c r="AI510" s="415"/>
      <c r="AJ510" s="415"/>
      <c r="AK510" s="415"/>
      <c r="BC510" s="365"/>
      <c r="BD510" s="365"/>
      <c r="BE510" s="365"/>
      <c r="BF510" s="365"/>
      <c r="BG510" s="365"/>
    </row>
    <row r="511" spans="2:59">
      <c r="B511" s="376" t="str">
        <f>Technologies!B$694</f>
        <v>*R0</v>
      </c>
      <c r="C511" s="376" t="s">
        <v>537</v>
      </c>
      <c r="D511" s="376" t="s">
        <v>538</v>
      </c>
      <c r="E511" s="415" t="s">
        <v>471</v>
      </c>
      <c r="F511" s="413">
        <v>4.3296266191039834</v>
      </c>
      <c r="G511" s="413">
        <v>4.9195943708927601</v>
      </c>
      <c r="H511" s="413">
        <v>5.421169796833289</v>
      </c>
      <c r="I511" s="413">
        <v>5.8840374404939704</v>
      </c>
      <c r="J511" s="413">
        <v>6.242616782996925</v>
      </c>
      <c r="K511" s="413">
        <v>6.5341684248042124</v>
      </c>
      <c r="L511" s="403">
        <v>6.4651285992288301</v>
      </c>
      <c r="M511" s="403">
        <v>6.8443598976039555</v>
      </c>
      <c r="N511" s="403">
        <v>6.7720425983265224</v>
      </c>
      <c r="O511" s="403">
        <v>7.1692768478542677</v>
      </c>
      <c r="P511" s="405"/>
      <c r="Q511" s="405"/>
      <c r="R511" s="405"/>
      <c r="S511" s="405"/>
      <c r="T511" s="405"/>
      <c r="U511" s="405"/>
      <c r="V511" s="405"/>
      <c r="W511" s="405"/>
      <c r="X511" s="413"/>
      <c r="Y511" s="413"/>
      <c r="Z511" s="413"/>
      <c r="AA511" s="413"/>
      <c r="AB511" s="415"/>
      <c r="AC511" s="415"/>
      <c r="AG511" s="415"/>
      <c r="AH511" s="405">
        <v>185.72766324966378</v>
      </c>
      <c r="AI511" s="415"/>
      <c r="AJ511" s="415">
        <v>1.0049999999999999</v>
      </c>
      <c r="AK511" s="415">
        <v>1.0049999999999999</v>
      </c>
      <c r="BC511" s="365"/>
      <c r="BD511" s="365"/>
      <c r="BE511" s="365"/>
      <c r="BF511" s="365"/>
      <c r="BG511" s="365"/>
    </row>
    <row r="512" spans="2:59">
      <c r="B512" s="376" t="str">
        <f>Technologies!B$695</f>
        <v>*R0</v>
      </c>
      <c r="C512" s="376" t="s">
        <v>539</v>
      </c>
      <c r="D512" s="376" t="s">
        <v>540</v>
      </c>
      <c r="E512" s="415" t="s">
        <v>473</v>
      </c>
      <c r="F512" s="413">
        <v>4.3296266191039834</v>
      </c>
      <c r="G512" s="413">
        <v>4.9195943708927601</v>
      </c>
      <c r="H512" s="413">
        <v>5.421169796833289</v>
      </c>
      <c r="I512" s="413">
        <v>5.8840374404939704</v>
      </c>
      <c r="J512" s="413">
        <v>6.242616782996925</v>
      </c>
      <c r="K512" s="413">
        <v>6.5341684248042124</v>
      </c>
      <c r="L512" s="413">
        <v>6.4651285992288301</v>
      </c>
      <c r="M512" s="413">
        <v>6.8443598976039555</v>
      </c>
      <c r="N512" s="413">
        <v>6.7720425983265224</v>
      </c>
      <c r="O512" s="413">
        <v>7.1692768478542677</v>
      </c>
      <c r="P512" s="405"/>
      <c r="Q512" s="405"/>
      <c r="R512" s="405"/>
      <c r="S512" s="405"/>
      <c r="T512" s="405"/>
      <c r="U512" s="405"/>
      <c r="V512" s="405"/>
      <c r="W512" s="405"/>
      <c r="X512" s="413"/>
      <c r="Y512" s="413"/>
      <c r="Z512" s="413"/>
      <c r="AA512" s="413"/>
      <c r="AB512" s="415"/>
      <c r="AC512" s="415"/>
      <c r="AG512" s="415"/>
      <c r="AH512" s="405">
        <v>22.317053135393639</v>
      </c>
      <c r="AI512" s="415"/>
      <c r="AJ512" s="415">
        <v>1.0049999999999999</v>
      </c>
      <c r="AK512" s="415">
        <v>1.0049999999999999</v>
      </c>
      <c r="BC512" s="365"/>
      <c r="BD512" s="365"/>
      <c r="BE512" s="365"/>
      <c r="BF512" s="365"/>
      <c r="BG512" s="365"/>
    </row>
    <row r="513" spans="2:59">
      <c r="B513" s="376" t="str">
        <f>Technologies!B$696</f>
        <v>*R0</v>
      </c>
      <c r="C513" s="376" t="s">
        <v>541</v>
      </c>
      <c r="D513" s="376" t="s">
        <v>542</v>
      </c>
      <c r="E513" s="415" t="s">
        <v>475</v>
      </c>
      <c r="F513" s="413">
        <v>4.3296266191039834</v>
      </c>
      <c r="G513" s="413">
        <v>4.9195943708927601</v>
      </c>
      <c r="H513" s="413">
        <v>5.421169796833289</v>
      </c>
      <c r="I513" s="413">
        <v>5.8840374404939704</v>
      </c>
      <c r="J513" s="413">
        <v>6.242616782996925</v>
      </c>
      <c r="K513" s="413">
        <v>6.5341684248042124</v>
      </c>
      <c r="L513" s="413">
        <v>6.4651285992288301</v>
      </c>
      <c r="M513" s="413">
        <v>6.8443598976039555</v>
      </c>
      <c r="N513" s="413">
        <v>6.7720425983265224</v>
      </c>
      <c r="O513" s="413">
        <v>7.1692768478542677</v>
      </c>
      <c r="P513" s="405"/>
      <c r="Q513" s="405"/>
      <c r="R513" s="405"/>
      <c r="S513" s="405"/>
      <c r="T513" s="405"/>
      <c r="U513" s="405"/>
      <c r="V513" s="405"/>
      <c r="W513" s="405"/>
      <c r="X513" s="413"/>
      <c r="Y513" s="413"/>
      <c r="Z513" s="413"/>
      <c r="AA513" s="413"/>
      <c r="AB513" s="415"/>
      <c r="AC513" s="415"/>
      <c r="AG513" s="415"/>
      <c r="AH513" s="405">
        <v>5.8622387872684278</v>
      </c>
      <c r="AI513" s="415"/>
      <c r="AJ513" s="415">
        <v>1.0049999999999999</v>
      </c>
      <c r="AK513" s="415">
        <v>1.0049999999999999</v>
      </c>
      <c r="BC513" s="365"/>
      <c r="BD513" s="365"/>
      <c r="BE513" s="365"/>
      <c r="BF513" s="365"/>
      <c r="BG513" s="365"/>
    </row>
    <row r="514" spans="2:59">
      <c r="B514" s="376" t="str">
        <f>Technologies!B$697</f>
        <v>*R0</v>
      </c>
      <c r="C514" s="376" t="s">
        <v>543</v>
      </c>
      <c r="D514" s="376" t="s">
        <v>590</v>
      </c>
      <c r="E514" s="415" t="s">
        <v>477</v>
      </c>
      <c r="F514" s="413">
        <v>4.3296266191039834</v>
      </c>
      <c r="G514" s="413">
        <v>4.9195943708927601</v>
      </c>
      <c r="H514" s="413">
        <v>5.421169796833289</v>
      </c>
      <c r="I514" s="413">
        <v>5.8840374404939704</v>
      </c>
      <c r="J514" s="413">
        <v>6.242616782996925</v>
      </c>
      <c r="K514" s="413">
        <v>6.5341684248042124</v>
      </c>
      <c r="L514" s="413">
        <v>6.4651285992288301</v>
      </c>
      <c r="M514" s="413">
        <v>6.8443598976039555</v>
      </c>
      <c r="N514" s="413">
        <v>6.7720425983265224</v>
      </c>
      <c r="O514" s="413">
        <v>7.1692768478542677</v>
      </c>
      <c r="P514" s="405"/>
      <c r="Q514" s="405"/>
      <c r="R514" s="405"/>
      <c r="S514" s="405"/>
      <c r="T514" s="405"/>
      <c r="U514" s="405"/>
      <c r="V514" s="405"/>
      <c r="W514" s="405"/>
      <c r="X514" s="413"/>
      <c r="Y514" s="413"/>
      <c r="Z514" s="413"/>
      <c r="AA514" s="413"/>
      <c r="AB514" s="415"/>
      <c r="AC514" s="415"/>
      <c r="AG514" s="415"/>
      <c r="AH514" s="405">
        <v>13.698266906849616</v>
      </c>
      <c r="AI514" s="415"/>
      <c r="AJ514" s="415">
        <v>1.0049999999999999</v>
      </c>
      <c r="AK514" s="415">
        <v>1.0049999999999999</v>
      </c>
      <c r="BC514" s="365"/>
      <c r="BD514" s="365"/>
      <c r="BE514" s="365"/>
      <c r="BF514" s="365"/>
      <c r="BG514" s="365"/>
    </row>
    <row r="515" spans="2:59">
      <c r="B515" s="376" t="str">
        <f>Technologies!B$698</f>
        <v>*R0</v>
      </c>
      <c r="C515" s="376" t="s">
        <v>544</v>
      </c>
      <c r="D515" s="376" t="s">
        <v>591</v>
      </c>
      <c r="E515" s="415" t="s">
        <v>479</v>
      </c>
      <c r="F515" s="413">
        <v>4.3296266191039834</v>
      </c>
      <c r="G515" s="413">
        <v>4.9195943708927601</v>
      </c>
      <c r="H515" s="413">
        <v>5.421169796833289</v>
      </c>
      <c r="I515" s="413">
        <v>5.8840374404939704</v>
      </c>
      <c r="J515" s="413">
        <v>6.242616782996925</v>
      </c>
      <c r="K515" s="413">
        <v>6.5341684248042124</v>
      </c>
      <c r="L515" s="413">
        <v>6.4651285992288301</v>
      </c>
      <c r="M515" s="413">
        <v>6.8443598976039555</v>
      </c>
      <c r="N515" s="413">
        <v>6.7720425983265224</v>
      </c>
      <c r="O515" s="413">
        <v>7.1692768478542677</v>
      </c>
      <c r="P515" s="405"/>
      <c r="Q515" s="405"/>
      <c r="R515" s="405"/>
      <c r="S515" s="405"/>
      <c r="T515" s="405"/>
      <c r="U515" s="405"/>
      <c r="V515" s="405"/>
      <c r="W515" s="405"/>
      <c r="X515" s="413"/>
      <c r="Y515" s="413"/>
      <c r="Z515" s="413"/>
      <c r="AA515" s="413"/>
      <c r="AB515" s="415"/>
      <c r="AC515" s="415"/>
      <c r="AG515" s="415"/>
      <c r="AH515" s="405">
        <v>10.550340411092602</v>
      </c>
      <c r="AI515" s="415"/>
      <c r="AJ515" s="415">
        <v>1.0049999999999999</v>
      </c>
      <c r="AK515" s="415">
        <v>1.0049999999999999</v>
      </c>
      <c r="BC515" s="365"/>
      <c r="BD515" s="365"/>
      <c r="BE515" s="365"/>
      <c r="BF515" s="365"/>
      <c r="BG515" s="365"/>
    </row>
  </sheetData>
  <phoneticPr fontId="0" type="noConversion"/>
  <pageMargins left="0.75" right="0.75" top="1" bottom="1" header="0.5" footer="0.5"/>
  <pageSetup paperSize="9" orientation="landscape" horizontalDpi="1200"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2">
    <tabColor rgb="FFFFC000"/>
  </sheetPr>
  <dimension ref="B1:AC1013"/>
  <sheetViews>
    <sheetView topLeftCell="D250" zoomScale="80" zoomScaleNormal="80" workbookViewId="0">
      <selection activeCell="H264" sqref="H264"/>
    </sheetView>
  </sheetViews>
  <sheetFormatPr defaultColWidth="9.140625" defaultRowHeight="12.75"/>
  <cols>
    <col min="1" max="1" width="9.140625" style="409"/>
    <col min="2" max="2" width="19" style="409" customWidth="1"/>
    <col min="3" max="3" width="21" style="409" bestFit="1" customWidth="1"/>
    <col min="4" max="4" width="76.28515625" style="409" bestFit="1" customWidth="1"/>
    <col min="5" max="5" width="9.5703125" style="396" bestFit="1" customWidth="1"/>
    <col min="6" max="6" width="11.7109375" style="396" bestFit="1" customWidth="1"/>
    <col min="7" max="7" width="14.28515625" style="396" bestFit="1" customWidth="1"/>
    <col min="8" max="9" width="17.42578125" style="396" bestFit="1" customWidth="1"/>
    <col min="10" max="15" width="17.42578125" style="409" bestFit="1" customWidth="1"/>
    <col min="16" max="16" width="17.42578125" style="409" customWidth="1"/>
    <col min="17" max="19" width="17.42578125" style="409" bestFit="1" customWidth="1"/>
    <col min="20" max="20" width="9.140625" style="409"/>
    <col min="21" max="31" width="9.7109375" style="409" customWidth="1"/>
    <col min="32" max="16384" width="9.140625" style="409"/>
  </cols>
  <sheetData>
    <row r="1" spans="2:29">
      <c r="B1" s="397" t="s">
        <v>587</v>
      </c>
      <c r="C1" s="409" t="s">
        <v>1028</v>
      </c>
    </row>
    <row r="4" spans="2:29" ht="17.25" customHeight="1">
      <c r="F4" s="410" t="s">
        <v>2532</v>
      </c>
    </row>
    <row r="5" spans="2:29" ht="15.75" customHeight="1">
      <c r="B5" s="371" t="s">
        <v>739</v>
      </c>
      <c r="C5" s="371" t="s">
        <v>375</v>
      </c>
      <c r="D5" s="371" t="s">
        <v>376</v>
      </c>
      <c r="E5" s="371" t="s">
        <v>378</v>
      </c>
      <c r="F5" s="371" t="s">
        <v>379</v>
      </c>
      <c r="G5" s="371" t="s">
        <v>2538</v>
      </c>
      <c r="H5" s="371" t="s">
        <v>2540</v>
      </c>
      <c r="I5" s="371" t="s">
        <v>2541</v>
      </c>
      <c r="J5" s="371" t="s">
        <v>2542</v>
      </c>
      <c r="K5" s="371" t="s">
        <v>2543</v>
      </c>
      <c r="L5" s="371" t="s">
        <v>2544</v>
      </c>
      <c r="M5" s="371" t="s">
        <v>2545</v>
      </c>
      <c r="N5" s="371" t="s">
        <v>2546</v>
      </c>
      <c r="O5" s="371" t="s">
        <v>2547</v>
      </c>
      <c r="P5" s="371" t="s">
        <v>2548</v>
      </c>
      <c r="Q5" s="371" t="s">
        <v>2549</v>
      </c>
      <c r="S5" s="407"/>
      <c r="T5" s="407"/>
      <c r="U5" s="407"/>
      <c r="V5" s="407"/>
      <c r="W5" s="407"/>
      <c r="X5" s="407"/>
      <c r="Y5" s="407"/>
      <c r="Z5" s="407"/>
      <c r="AA5" s="407"/>
      <c r="AB5" s="407"/>
      <c r="AC5" s="407"/>
    </row>
    <row r="6" spans="2:29">
      <c r="B6" s="420" t="s">
        <v>595</v>
      </c>
      <c r="C6" s="419"/>
      <c r="D6" s="419"/>
      <c r="E6" s="418"/>
      <c r="F6" s="418"/>
      <c r="G6" s="418"/>
      <c r="H6" s="419"/>
      <c r="I6" s="419"/>
      <c r="J6" s="419"/>
      <c r="K6" s="419"/>
      <c r="L6" s="419"/>
      <c r="M6" s="419"/>
      <c r="N6" s="419"/>
      <c r="O6" s="419"/>
      <c r="P6" s="419"/>
      <c r="Q6" s="419"/>
    </row>
    <row r="7" spans="2:29">
      <c r="B7" s="376" t="str">
        <f>Technologies!B19</f>
        <v>R1</v>
      </c>
      <c r="C7" s="376" t="str">
        <f>Technologies!C19</f>
        <v>XOILD1</v>
      </c>
      <c r="D7" s="376" t="str">
        <f>Technologies!D19</f>
        <v>Domestic crude delivery charge from R1</v>
      </c>
      <c r="E7" s="415" t="str">
        <f>Commodities!C11</f>
        <v>OILD1</v>
      </c>
      <c r="F7" s="415" t="str">
        <f>Commodities!$C$9</f>
        <v>OIL</v>
      </c>
      <c r="G7" s="422">
        <v>1</v>
      </c>
      <c r="H7" s="421">
        <f>DelivOIL!$B$6*DelivOIL!I6^5/(Conv!$I$5*Conv!$D$46)/10^6</f>
        <v>1.6447918574998694</v>
      </c>
      <c r="I7" s="421">
        <f>DelivOIL!$B$6*DelivOIL!J6^5/(Conv!$I$5*Conv!$D$46)/10^6</f>
        <v>1.6361001340726884</v>
      </c>
      <c r="J7" s="421">
        <f>DelivOIL!$B$6*DelivOIL!K6^5/(Conv!$I$5*Conv!$D$46)/10^6</f>
        <v>1.7211918883667345</v>
      </c>
      <c r="K7" s="421">
        <f>DelivOIL!$B$6*DelivOIL!L6^5/(Conv!$I$5*Conv!$D$46)/10^6</f>
        <v>2.0733824506127139</v>
      </c>
      <c r="L7" s="421">
        <f>DelivOIL!$B$6*DelivOIL!M6^5/(Conv!$I$5*Conv!$D$46)/10^6</f>
        <v>1.9014456911142918</v>
      </c>
      <c r="M7" s="421">
        <f>DelivOIL!$B$6*DelivOIL!N6^5/(Conv!$I$5*Conv!$D$46)/10^6</f>
        <v>1.685054532579038</v>
      </c>
      <c r="N7" s="421">
        <f>DelivOIL!$B$6*DelivOIL!O6^5/(Conv!$I$5*Conv!$D$46)/10^6</f>
        <v>1.685054532579038</v>
      </c>
      <c r="O7" s="421">
        <f>DelivOIL!$B$6*DelivOIL!P6^5/(Conv!$I$5*Conv!$D$46)/10^6</f>
        <v>1.685054532579038</v>
      </c>
      <c r="P7" s="421">
        <f>DelivOIL!$B$6*DelivOIL!Q6^5/(Conv!$I$5*Conv!$D$46)/10^6</f>
        <v>1.685054532579038</v>
      </c>
      <c r="Q7" s="421">
        <f>DelivOIL!$B$6*DelivOIL!R6^5/(Conv!$I$5*Conv!$D$46)/10^6</f>
        <v>1.685054532579038</v>
      </c>
      <c r="S7" s="395"/>
      <c r="T7" s="395"/>
      <c r="U7" s="395"/>
      <c r="V7" s="395"/>
      <c r="W7" s="395"/>
      <c r="X7" s="395"/>
      <c r="Y7" s="395"/>
      <c r="Z7" s="395"/>
      <c r="AA7" s="395"/>
      <c r="AB7" s="395"/>
      <c r="AC7" s="395"/>
    </row>
    <row r="8" spans="2:29">
      <c r="B8" s="376" t="str">
        <f>Technologies!B20</f>
        <v>*R3</v>
      </c>
      <c r="C8" s="376" t="str">
        <f>Technologies!C20</f>
        <v>XOILD3</v>
      </c>
      <c r="D8" s="376" t="str">
        <f>Technologies!D20</f>
        <v>Domestic crude delivery charge from R3</v>
      </c>
      <c r="E8" s="415" t="str">
        <f>Commodities!C13</f>
        <v>OILD3</v>
      </c>
      <c r="F8" s="415" t="str">
        <f>Commodities!$C$9</f>
        <v>OIL</v>
      </c>
      <c r="G8" s="422">
        <v>1</v>
      </c>
      <c r="H8" s="421">
        <f>DelivOIL!$C$7*DelivOIL!I7^5/(Conv!$I$5*Conv!$D$46)/10^6</f>
        <v>2.9676920534442663</v>
      </c>
      <c r="I8" s="421">
        <f>DelivOIL!$C$7*DelivOIL!J7^5/(Conv!$I$5*Conv!$D$46)/10^6</f>
        <v>2.656422093710654</v>
      </c>
      <c r="J8" s="421">
        <f>DelivOIL!$C$7*DelivOIL!K7^5/(Conv!$I$5*Conv!$D$46)/10^6</f>
        <v>3.0132871360403062</v>
      </c>
      <c r="K8" s="421">
        <f>DelivOIL!$C$7*DelivOIL!L7^5/(Conv!$I$5*Conv!$D$46)/10^6</f>
        <v>3.4508124041782895</v>
      </c>
      <c r="L8" s="421">
        <f>DelivOIL!$C$7*DelivOIL!M7^5/(Conv!$I$5*Conv!$D$46)/10^6</f>
        <v>3.1570151109131737</v>
      </c>
      <c r="M8" s="421">
        <f>DelivOIL!$C$7*DelivOIL!N7^5/(Conv!$I$5*Conv!$D$46)/10^6</f>
        <v>3.0118319851679489</v>
      </c>
      <c r="N8" s="421">
        <f>DelivOIL!$C$7*DelivOIL!O7^5/(Conv!$I$5*Conv!$D$46)/10^6</f>
        <v>3.0118319851679489</v>
      </c>
      <c r="O8" s="421">
        <f>DelivOIL!$C$7*DelivOIL!P7^5/(Conv!$I$5*Conv!$D$46)/10^6</f>
        <v>3.0118319851679489</v>
      </c>
      <c r="P8" s="421">
        <f>DelivOIL!$C$7*DelivOIL!Q7^5/(Conv!$I$5*Conv!$D$46)/10^6</f>
        <v>3.0118319851679489</v>
      </c>
      <c r="Q8" s="421">
        <f>DelivOIL!$C$7*DelivOIL!R7^5/(Conv!$I$5*Conv!$D$46)/10^6</f>
        <v>3.0118319851679489</v>
      </c>
      <c r="S8" s="395"/>
      <c r="T8" s="395"/>
      <c r="U8" s="395"/>
      <c r="V8" s="395"/>
      <c r="W8" s="395"/>
      <c r="X8" s="395"/>
      <c r="Y8" s="395"/>
      <c r="Z8" s="395"/>
      <c r="AA8" s="395"/>
      <c r="AB8" s="395"/>
      <c r="AC8" s="395"/>
    </row>
    <row r="9" spans="2:29">
      <c r="B9" s="376" t="str">
        <f>Technologies!B21</f>
        <v>*R4</v>
      </c>
      <c r="C9" s="376" t="str">
        <f>Technologies!C21</f>
        <v>XOILD4</v>
      </c>
      <c r="D9" s="376" t="str">
        <f>Technologies!D21</f>
        <v>Domestic crude delivery charge from R4</v>
      </c>
      <c r="E9" s="415" t="str">
        <f>Commodities!C14</f>
        <v>OILD4</v>
      </c>
      <c r="F9" s="415" t="str">
        <f>Commodities!$C$9</f>
        <v>OIL</v>
      </c>
      <c r="G9" s="422">
        <v>1</v>
      </c>
      <c r="H9" s="421">
        <f t="shared" ref="H9:Q9" si="0">H8</f>
        <v>2.9676920534442663</v>
      </c>
      <c r="I9" s="421">
        <f t="shared" si="0"/>
        <v>2.656422093710654</v>
      </c>
      <c r="J9" s="421">
        <f t="shared" si="0"/>
        <v>3.0132871360403062</v>
      </c>
      <c r="K9" s="421">
        <f t="shared" si="0"/>
        <v>3.4508124041782895</v>
      </c>
      <c r="L9" s="421">
        <f t="shared" si="0"/>
        <v>3.1570151109131737</v>
      </c>
      <c r="M9" s="421">
        <f t="shared" si="0"/>
        <v>3.0118319851679489</v>
      </c>
      <c r="N9" s="421">
        <f t="shared" si="0"/>
        <v>3.0118319851679489</v>
      </c>
      <c r="O9" s="421">
        <f t="shared" si="0"/>
        <v>3.0118319851679489</v>
      </c>
      <c r="P9" s="421">
        <f t="shared" si="0"/>
        <v>3.0118319851679489</v>
      </c>
      <c r="Q9" s="421">
        <f t="shared" si="0"/>
        <v>3.0118319851679489</v>
      </c>
      <c r="S9" s="395"/>
      <c r="T9" s="395"/>
      <c r="U9" s="395"/>
      <c r="V9" s="395"/>
      <c r="W9" s="395"/>
      <c r="X9" s="395"/>
      <c r="Y9" s="395"/>
      <c r="Z9" s="395"/>
      <c r="AA9" s="395"/>
      <c r="AB9" s="395"/>
      <c r="AC9" s="395"/>
    </row>
    <row r="10" spans="2:29">
      <c r="B10" s="376" t="str">
        <f>Technologies!B22</f>
        <v>*R5</v>
      </c>
      <c r="C10" s="376" t="str">
        <f>Technologies!C22</f>
        <v>XOILD5</v>
      </c>
      <c r="D10" s="376" t="str">
        <f>Technologies!D22</f>
        <v>Domestic crude delivery charge from R5</v>
      </c>
      <c r="E10" s="415" t="str">
        <f>Commodities!C15</f>
        <v>OILD5</v>
      </c>
      <c r="F10" s="415" t="str">
        <f>Commodities!$C$9</f>
        <v>OIL</v>
      </c>
      <c r="G10" s="422">
        <v>1</v>
      </c>
      <c r="H10" s="421">
        <f t="shared" ref="H10:Q10" si="1">H7</f>
        <v>1.6447918574998694</v>
      </c>
      <c r="I10" s="421">
        <f t="shared" si="1"/>
        <v>1.6361001340726884</v>
      </c>
      <c r="J10" s="421">
        <f t="shared" si="1"/>
        <v>1.7211918883667345</v>
      </c>
      <c r="K10" s="421">
        <f t="shared" si="1"/>
        <v>2.0733824506127139</v>
      </c>
      <c r="L10" s="421">
        <f t="shared" si="1"/>
        <v>1.9014456911142918</v>
      </c>
      <c r="M10" s="421">
        <f t="shared" si="1"/>
        <v>1.685054532579038</v>
      </c>
      <c r="N10" s="421">
        <f t="shared" si="1"/>
        <v>1.685054532579038</v>
      </c>
      <c r="O10" s="421">
        <f t="shared" si="1"/>
        <v>1.685054532579038</v>
      </c>
      <c r="P10" s="421">
        <f t="shared" si="1"/>
        <v>1.685054532579038</v>
      </c>
      <c r="Q10" s="421">
        <f t="shared" si="1"/>
        <v>1.685054532579038</v>
      </c>
      <c r="S10" s="395"/>
      <c r="T10" s="395"/>
      <c r="U10" s="395"/>
      <c r="V10" s="395"/>
      <c r="W10" s="395"/>
      <c r="X10" s="395"/>
      <c r="Y10" s="395"/>
      <c r="Z10" s="395"/>
      <c r="AA10" s="395"/>
      <c r="AB10" s="395"/>
      <c r="AC10" s="395"/>
    </row>
    <row r="11" spans="2:29">
      <c r="B11" s="376" t="str">
        <f>Technologies!B23</f>
        <v>*R6</v>
      </c>
      <c r="C11" s="376" t="str">
        <f>Technologies!C23</f>
        <v>XOILD6</v>
      </c>
      <c r="D11" s="376" t="str">
        <f>Technologies!D23</f>
        <v>Domestic crude delivery charge from R6</v>
      </c>
      <c r="E11" s="415" t="str">
        <f>Commodities!C16</f>
        <v>OILD6</v>
      </c>
      <c r="F11" s="415" t="str">
        <f>Commodities!$C$9</f>
        <v>OIL</v>
      </c>
      <c r="G11" s="422">
        <v>1</v>
      </c>
      <c r="H11" s="421">
        <f>DelivOIL!$D$10*DelivOIL!I10^5/(Conv!$I$5*Conv!$D$46)/10^6</f>
        <v>2.2077281110932288</v>
      </c>
      <c r="I11" s="421">
        <f>DelivOIL!$D$10*DelivOIL!J10^5/(Conv!$I$5*Conv!$D$46)/10^6</f>
        <v>1.9761678858854959</v>
      </c>
      <c r="J11" s="421">
        <f>DelivOIL!$D$10*DelivOIL!K10^5/(Conv!$I$5*Conv!$D$46)/10^6</f>
        <v>2.2416472454785059</v>
      </c>
      <c r="K11" s="421">
        <f>DelivOIL!$D$10*DelivOIL!L10^5/(Conv!$I$5*Conv!$D$46)/10^6</f>
        <v>2.5671314319731171</v>
      </c>
      <c r="L11" s="421">
        <f>DelivOIL!$D$10*DelivOIL!M10^5/(Conv!$I$5*Conv!$D$46)/10^6</f>
        <v>2.3485694883402823</v>
      </c>
      <c r="M11" s="421">
        <f>DelivOIL!$D$10*DelivOIL!N10^5/(Conv!$I$5*Conv!$D$46)/10^6</f>
        <v>2.2405647283477084</v>
      </c>
      <c r="N11" s="421">
        <f>DelivOIL!$D$10*DelivOIL!O10^5/(Conv!$I$5*Conv!$D$46)/10^6</f>
        <v>2.2405647283477084</v>
      </c>
      <c r="O11" s="421">
        <f>DelivOIL!$D$10*DelivOIL!P10^5/(Conv!$I$5*Conv!$D$46)/10^6</f>
        <v>2.2405647283477084</v>
      </c>
      <c r="P11" s="421">
        <f>DelivOIL!$D$10*DelivOIL!Q10^5/(Conv!$I$5*Conv!$D$46)/10^6</f>
        <v>2.2405647283477084</v>
      </c>
      <c r="Q11" s="421">
        <f>DelivOIL!$D$10*DelivOIL!R10^5/(Conv!$I$5*Conv!$D$46)/10^6</f>
        <v>2.2405647283477084</v>
      </c>
      <c r="S11" s="395"/>
      <c r="T11" s="395"/>
      <c r="U11" s="395"/>
      <c r="V11" s="395"/>
      <c r="W11" s="395"/>
      <c r="X11" s="395"/>
      <c r="Y11" s="395"/>
      <c r="Z11" s="395"/>
      <c r="AA11" s="395"/>
      <c r="AB11" s="395"/>
      <c r="AC11" s="395"/>
    </row>
    <row r="14" spans="2:29" ht="17.25" customHeight="1">
      <c r="F14" s="410" t="s">
        <v>2532</v>
      </c>
    </row>
    <row r="15" spans="2:29" ht="15.75" customHeight="1">
      <c r="B15" s="371" t="s">
        <v>739</v>
      </c>
      <c r="C15" s="371" t="s">
        <v>375</v>
      </c>
      <c r="D15" s="371" t="s">
        <v>376</v>
      </c>
      <c r="E15" s="371" t="s">
        <v>378</v>
      </c>
      <c r="F15" s="371" t="s">
        <v>379</v>
      </c>
      <c r="G15" s="371" t="s">
        <v>2538</v>
      </c>
      <c r="H15" s="371" t="s">
        <v>2540</v>
      </c>
      <c r="I15" s="371" t="s">
        <v>2541</v>
      </c>
      <c r="J15" s="371" t="s">
        <v>2542</v>
      </c>
      <c r="K15" s="371" t="s">
        <v>2543</v>
      </c>
      <c r="L15" s="371" t="s">
        <v>2544</v>
      </c>
      <c r="M15" s="371" t="s">
        <v>2545</v>
      </c>
      <c r="N15" s="371" t="s">
        <v>2546</v>
      </c>
      <c r="O15" s="371" t="s">
        <v>2547</v>
      </c>
      <c r="P15" s="371" t="s">
        <v>2548</v>
      </c>
      <c r="Q15" s="371" t="s">
        <v>2549</v>
      </c>
      <c r="S15" s="407"/>
      <c r="T15" s="407"/>
      <c r="U15" s="407"/>
      <c r="V15" s="407"/>
      <c r="W15" s="407"/>
      <c r="X15" s="407"/>
      <c r="Y15" s="407"/>
      <c r="Z15" s="407"/>
      <c r="AA15" s="407"/>
      <c r="AB15" s="407"/>
      <c r="AC15" s="407"/>
    </row>
    <row r="16" spans="2:29">
      <c r="B16" s="420" t="s">
        <v>596</v>
      </c>
      <c r="C16" s="419"/>
      <c r="D16" s="419"/>
      <c r="E16" s="418"/>
      <c r="F16" s="418"/>
      <c r="G16" s="418"/>
      <c r="H16" s="419"/>
      <c r="I16" s="419"/>
      <c r="J16" s="419"/>
      <c r="K16" s="419"/>
      <c r="L16" s="419"/>
      <c r="M16" s="419"/>
      <c r="N16" s="419"/>
      <c r="O16" s="419"/>
      <c r="P16" s="419"/>
      <c r="Q16" s="419"/>
    </row>
    <row r="17" spans="2:29">
      <c r="B17" s="376" t="str">
        <f>Technologies!$B188</f>
        <v>R1</v>
      </c>
      <c r="C17" s="376" t="str">
        <f>Technologies!$C188</f>
        <v>XOILIP1</v>
      </c>
      <c r="D17" s="376" t="str">
        <f>Technologies!$D188</f>
        <v>Imported crude delivery charge from PADD 1</v>
      </c>
      <c r="E17" s="415" t="str">
        <f>Commodities!C17</f>
        <v>OILIP1</v>
      </c>
      <c r="F17" s="415" t="str">
        <f>Commodities!$C$9</f>
        <v>OIL</v>
      </c>
      <c r="G17" s="422">
        <v>1</v>
      </c>
      <c r="H17" s="421">
        <f t="shared" ref="H17:Q17" si="2">H7+2.5</f>
        <v>4.1447918574998699</v>
      </c>
      <c r="I17" s="421">
        <f t="shared" si="2"/>
        <v>4.136100134072688</v>
      </c>
      <c r="J17" s="421">
        <f t="shared" si="2"/>
        <v>4.2211918883667341</v>
      </c>
      <c r="K17" s="421">
        <f t="shared" si="2"/>
        <v>4.5733824506127139</v>
      </c>
      <c r="L17" s="421">
        <f t="shared" si="2"/>
        <v>4.4014456911142918</v>
      </c>
      <c r="M17" s="421">
        <f t="shared" si="2"/>
        <v>4.1850545325790378</v>
      </c>
      <c r="N17" s="421">
        <f t="shared" si="2"/>
        <v>4.1850545325790378</v>
      </c>
      <c r="O17" s="421">
        <f t="shared" si="2"/>
        <v>4.1850545325790378</v>
      </c>
      <c r="P17" s="421">
        <f t="shared" si="2"/>
        <v>4.1850545325790378</v>
      </c>
      <c r="Q17" s="421">
        <f t="shared" si="2"/>
        <v>4.1850545325790378</v>
      </c>
      <c r="S17" s="395"/>
      <c r="T17" s="395"/>
      <c r="U17" s="395"/>
      <c r="V17" s="395"/>
      <c r="W17" s="395"/>
      <c r="X17" s="395"/>
      <c r="Y17" s="395"/>
      <c r="Z17" s="395"/>
      <c r="AA17" s="395"/>
      <c r="AB17" s="395"/>
      <c r="AC17" s="395"/>
    </row>
    <row r="18" spans="2:29">
      <c r="B18" s="376" t="str">
        <f>Technologies!$B189</f>
        <v>R1</v>
      </c>
      <c r="C18" s="376" t="str">
        <f>Technologies!$C189</f>
        <v>XOILIP2</v>
      </c>
      <c r="D18" s="376" t="str">
        <f>Technologies!$D189</f>
        <v>Imported crude delivery charge from PADD 2</v>
      </c>
      <c r="E18" s="415" t="str">
        <f>Commodities!C18</f>
        <v>OILIP2</v>
      </c>
      <c r="F18" s="415" t="str">
        <f>Commodities!$C$9</f>
        <v>OIL</v>
      </c>
      <c r="G18" s="422">
        <v>1</v>
      </c>
      <c r="H18" s="421">
        <f t="shared" ref="H18:Q18" si="3">H8+2.5</f>
        <v>5.4676920534442663</v>
      </c>
      <c r="I18" s="421">
        <f t="shared" si="3"/>
        <v>5.1564220937106544</v>
      </c>
      <c r="J18" s="421">
        <f t="shared" si="3"/>
        <v>5.5132871360403062</v>
      </c>
      <c r="K18" s="421">
        <f t="shared" si="3"/>
        <v>5.9508124041782899</v>
      </c>
      <c r="L18" s="421">
        <f t="shared" si="3"/>
        <v>5.6570151109131732</v>
      </c>
      <c r="M18" s="421">
        <f t="shared" si="3"/>
        <v>5.5118319851679489</v>
      </c>
      <c r="N18" s="421">
        <f t="shared" si="3"/>
        <v>5.5118319851679489</v>
      </c>
      <c r="O18" s="421">
        <f t="shared" si="3"/>
        <v>5.5118319851679489</v>
      </c>
      <c r="P18" s="421">
        <f t="shared" si="3"/>
        <v>5.5118319851679489</v>
      </c>
      <c r="Q18" s="421">
        <f t="shared" si="3"/>
        <v>5.5118319851679489</v>
      </c>
      <c r="S18" s="395"/>
      <c r="T18" s="395"/>
      <c r="U18" s="395"/>
      <c r="V18" s="395"/>
      <c r="W18" s="395"/>
      <c r="X18" s="395"/>
      <c r="Y18" s="395"/>
      <c r="Z18" s="395"/>
      <c r="AA18" s="395"/>
      <c r="AB18" s="395"/>
      <c r="AC18" s="395"/>
    </row>
    <row r="19" spans="2:29">
      <c r="B19" s="376" t="str">
        <f>Technologies!$B190</f>
        <v>R1</v>
      </c>
      <c r="C19" s="376" t="str">
        <f>Technologies!$C190</f>
        <v>XOILIP3</v>
      </c>
      <c r="D19" s="376" t="str">
        <f>Technologies!$D190</f>
        <v>Imported crude delivery charge from PADD 3</v>
      </c>
      <c r="E19" s="415" t="str">
        <f>Commodities!C19</f>
        <v>OILIP3</v>
      </c>
      <c r="F19" s="415" t="str">
        <f>Commodities!$C$9</f>
        <v>OIL</v>
      </c>
      <c r="G19" s="422">
        <v>1</v>
      </c>
      <c r="H19" s="421">
        <f t="shared" ref="H19:Q19" si="4">H9+2.5</f>
        <v>5.4676920534442663</v>
      </c>
      <c r="I19" s="421">
        <f t="shared" si="4"/>
        <v>5.1564220937106544</v>
      </c>
      <c r="J19" s="421">
        <f t="shared" si="4"/>
        <v>5.5132871360403062</v>
      </c>
      <c r="K19" s="421">
        <f t="shared" si="4"/>
        <v>5.9508124041782899</v>
      </c>
      <c r="L19" s="421">
        <f t="shared" si="4"/>
        <v>5.6570151109131732</v>
      </c>
      <c r="M19" s="421">
        <f t="shared" si="4"/>
        <v>5.5118319851679489</v>
      </c>
      <c r="N19" s="421">
        <f t="shared" si="4"/>
        <v>5.5118319851679489</v>
      </c>
      <c r="O19" s="421">
        <f t="shared" si="4"/>
        <v>5.5118319851679489</v>
      </c>
      <c r="P19" s="421">
        <f t="shared" si="4"/>
        <v>5.5118319851679489</v>
      </c>
      <c r="Q19" s="421">
        <f t="shared" si="4"/>
        <v>5.5118319851679489</v>
      </c>
      <c r="S19" s="395"/>
      <c r="T19" s="395"/>
      <c r="U19" s="395"/>
      <c r="V19" s="395"/>
      <c r="W19" s="395"/>
      <c r="X19" s="395"/>
      <c r="Y19" s="395"/>
      <c r="Z19" s="395"/>
      <c r="AA19" s="395"/>
      <c r="AB19" s="395"/>
      <c r="AC19" s="395"/>
    </row>
    <row r="20" spans="2:29">
      <c r="B20" s="376" t="str">
        <f>Technologies!$B191</f>
        <v>*</v>
      </c>
      <c r="C20" s="376" t="str">
        <f>Technologies!$C191</f>
        <v>XOILIP4</v>
      </c>
      <c r="D20" s="376" t="str">
        <f>Technologies!$D191</f>
        <v>Imported crude delivery charge from PADD 4</v>
      </c>
      <c r="E20" s="415" t="str">
        <f>Commodities!C20</f>
        <v>OILIP4</v>
      </c>
      <c r="F20" s="415" t="str">
        <f>Commodities!$C$9</f>
        <v>OIL</v>
      </c>
      <c r="G20" s="422">
        <v>1</v>
      </c>
      <c r="H20" s="421">
        <f t="shared" ref="H20:Q20" si="5">H10+2.5</f>
        <v>4.1447918574998699</v>
      </c>
      <c r="I20" s="421">
        <f t="shared" si="5"/>
        <v>4.136100134072688</v>
      </c>
      <c r="J20" s="421">
        <f t="shared" si="5"/>
        <v>4.2211918883667341</v>
      </c>
      <c r="K20" s="421">
        <f t="shared" si="5"/>
        <v>4.5733824506127139</v>
      </c>
      <c r="L20" s="421">
        <f t="shared" si="5"/>
        <v>4.4014456911142918</v>
      </c>
      <c r="M20" s="421">
        <f t="shared" si="5"/>
        <v>4.1850545325790378</v>
      </c>
      <c r="N20" s="421">
        <f t="shared" si="5"/>
        <v>4.1850545325790378</v>
      </c>
      <c r="O20" s="421">
        <f t="shared" si="5"/>
        <v>4.1850545325790378</v>
      </c>
      <c r="P20" s="421">
        <f t="shared" si="5"/>
        <v>4.1850545325790378</v>
      </c>
      <c r="Q20" s="421">
        <f t="shared" si="5"/>
        <v>4.1850545325790378</v>
      </c>
      <c r="S20" s="395"/>
      <c r="T20" s="395"/>
      <c r="U20" s="395"/>
      <c r="V20" s="395"/>
      <c r="W20" s="395"/>
      <c r="X20" s="395"/>
      <c r="Y20" s="395"/>
      <c r="Z20" s="395"/>
      <c r="AA20" s="395"/>
      <c r="AB20" s="395"/>
      <c r="AC20" s="395"/>
    </row>
    <row r="21" spans="2:29">
      <c r="B21" s="376" t="str">
        <f>Technologies!$B192</f>
        <v>*</v>
      </c>
      <c r="C21" s="376"/>
      <c r="D21" s="376"/>
      <c r="E21" s="415"/>
      <c r="F21" s="415"/>
      <c r="G21" s="422"/>
      <c r="H21" s="421"/>
      <c r="I21" s="421"/>
      <c r="J21" s="421"/>
      <c r="K21" s="421"/>
      <c r="L21" s="421"/>
      <c r="M21" s="421"/>
      <c r="N21" s="421"/>
      <c r="O21" s="421"/>
      <c r="P21" s="421"/>
      <c r="Q21" s="421"/>
      <c r="S21" s="395"/>
      <c r="T21" s="395"/>
      <c r="U21" s="395"/>
      <c r="V21" s="395"/>
      <c r="W21" s="395"/>
      <c r="X21" s="395"/>
      <c r="Y21" s="395"/>
      <c r="Z21" s="395"/>
      <c r="AA21" s="395"/>
      <c r="AB21" s="395"/>
      <c r="AC21" s="395"/>
    </row>
    <row r="24" spans="2:29" ht="17.25" customHeight="1">
      <c r="F24" s="410" t="s">
        <v>2532</v>
      </c>
    </row>
    <row r="25" spans="2:29" ht="15.75" customHeight="1">
      <c r="B25" s="371" t="s">
        <v>739</v>
      </c>
      <c r="C25" s="371" t="s">
        <v>375</v>
      </c>
      <c r="D25" s="371" t="s">
        <v>376</v>
      </c>
      <c r="E25" s="371" t="s">
        <v>378</v>
      </c>
      <c r="F25" s="371" t="s">
        <v>379</v>
      </c>
      <c r="G25" s="371" t="s">
        <v>2538</v>
      </c>
      <c r="H25" s="371" t="s">
        <v>2540</v>
      </c>
      <c r="I25" s="371" t="s">
        <v>2541</v>
      </c>
      <c r="J25" s="371" t="s">
        <v>2542</v>
      </c>
      <c r="K25" s="371" t="s">
        <v>2543</v>
      </c>
      <c r="L25" s="371" t="s">
        <v>2544</v>
      </c>
      <c r="M25" s="371" t="s">
        <v>2545</v>
      </c>
      <c r="N25" s="371" t="s">
        <v>2546</v>
      </c>
      <c r="O25" s="371" t="s">
        <v>2547</v>
      </c>
      <c r="P25" s="371" t="s">
        <v>2548</v>
      </c>
      <c r="Q25" s="371" t="s">
        <v>2549</v>
      </c>
      <c r="S25" s="407"/>
      <c r="T25" s="407"/>
      <c r="U25" s="407"/>
      <c r="V25" s="407"/>
      <c r="W25" s="407"/>
      <c r="X25" s="407"/>
      <c r="Y25" s="407"/>
      <c r="Z25" s="407"/>
      <c r="AA25" s="407"/>
      <c r="AB25" s="407"/>
      <c r="AC25" s="407"/>
    </row>
    <row r="26" spans="2:29">
      <c r="B26" s="423" t="s">
        <v>438</v>
      </c>
      <c r="C26" s="423" t="str">
        <f>"X"&amp;E26</f>
        <v>XGSC</v>
      </c>
      <c r="D26" s="423" t="str">
        <f>"Convert "&amp;E26&amp;" to "&amp;F26</f>
        <v>Convert GSC to GSCR1</v>
      </c>
      <c r="E26" s="422" t="str">
        <f>Commodities!C48</f>
        <v>GSC</v>
      </c>
      <c r="F26" s="422" t="str">
        <f>E26&amp;"R1"</f>
        <v>GSCR1</v>
      </c>
      <c r="G26" s="422">
        <v>1</v>
      </c>
      <c r="H26" s="423"/>
      <c r="I26" s="423"/>
      <c r="J26" s="423"/>
      <c r="K26" s="423"/>
      <c r="L26" s="423"/>
      <c r="M26" s="423"/>
      <c r="N26" s="423"/>
      <c r="O26" s="423"/>
      <c r="P26" s="423"/>
      <c r="Q26" s="423"/>
    </row>
    <row r="27" spans="2:29">
      <c r="B27" s="423" t="s">
        <v>438</v>
      </c>
      <c r="C27" s="423" t="str">
        <f t="shared" ref="C27:C31" si="6">"X"&amp;E27</f>
        <v>XGSR</v>
      </c>
      <c r="D27" s="423" t="str">
        <f t="shared" ref="D27:D31" si="7">"Convert "&amp;E27&amp;" to "&amp;F27</f>
        <v>Convert GSR to GSRR1</v>
      </c>
      <c r="E27" s="422" t="str">
        <f>Commodities!C49</f>
        <v>GSR</v>
      </c>
      <c r="F27" s="422" t="str">
        <f t="shared" ref="F27:F31" si="8">E27&amp;"R1"</f>
        <v>GSRR1</v>
      </c>
      <c r="G27" s="422">
        <v>1</v>
      </c>
      <c r="H27" s="423"/>
      <c r="I27" s="423"/>
      <c r="J27" s="423"/>
      <c r="K27" s="423"/>
      <c r="L27" s="423"/>
      <c r="M27" s="423"/>
      <c r="N27" s="423"/>
      <c r="O27" s="423"/>
      <c r="P27" s="423"/>
      <c r="Q27" s="423"/>
    </row>
    <row r="28" spans="2:29">
      <c r="B28" s="423" t="s">
        <v>438</v>
      </c>
      <c r="C28" s="423" t="str">
        <f t="shared" si="6"/>
        <v>XDSH</v>
      </c>
      <c r="D28" s="423" t="str">
        <f t="shared" si="7"/>
        <v>Convert DSH to DSHR1</v>
      </c>
      <c r="E28" s="422" t="str">
        <f>Commodities!C50</f>
        <v>DSH</v>
      </c>
      <c r="F28" s="422" t="str">
        <f t="shared" si="8"/>
        <v>DSHR1</v>
      </c>
      <c r="G28" s="422">
        <v>1</v>
      </c>
      <c r="H28" s="423"/>
      <c r="I28" s="423"/>
      <c r="J28" s="423"/>
      <c r="K28" s="423"/>
      <c r="L28" s="423"/>
      <c r="M28" s="423"/>
      <c r="N28" s="423"/>
      <c r="O28" s="423"/>
      <c r="P28" s="423"/>
      <c r="Q28" s="423"/>
    </row>
    <row r="29" spans="2:29">
      <c r="B29" s="423" t="s">
        <v>438</v>
      </c>
      <c r="C29" s="423" t="str">
        <f t="shared" si="6"/>
        <v>XDSL</v>
      </c>
      <c r="D29" s="423" t="str">
        <f t="shared" si="7"/>
        <v>Convert DSL to DSLR1</v>
      </c>
      <c r="E29" s="422" t="str">
        <f>Commodities!C51</f>
        <v>DSL</v>
      </c>
      <c r="F29" s="422" t="str">
        <f t="shared" si="8"/>
        <v>DSLR1</v>
      </c>
      <c r="G29" s="422">
        <v>1</v>
      </c>
      <c r="H29" s="423"/>
      <c r="I29" s="423"/>
      <c r="J29" s="423"/>
      <c r="K29" s="423"/>
      <c r="L29" s="423"/>
      <c r="M29" s="423"/>
      <c r="N29" s="423"/>
      <c r="O29" s="423"/>
      <c r="P29" s="423"/>
      <c r="Q29" s="423"/>
    </row>
    <row r="30" spans="2:29">
      <c r="B30" s="423" t="s">
        <v>438</v>
      </c>
      <c r="C30" s="423" t="str">
        <f t="shared" si="6"/>
        <v>XDSU</v>
      </c>
      <c r="D30" s="423" t="str">
        <f t="shared" si="7"/>
        <v>Convert DSU to DSUR1</v>
      </c>
      <c r="E30" s="422" t="str">
        <f>Commodities!C52</f>
        <v>DSU</v>
      </c>
      <c r="F30" s="422" t="str">
        <f t="shared" si="8"/>
        <v>DSUR1</v>
      </c>
      <c r="G30" s="422">
        <v>1</v>
      </c>
      <c r="H30" s="423"/>
      <c r="I30" s="423"/>
      <c r="J30" s="423"/>
      <c r="K30" s="423"/>
      <c r="L30" s="423"/>
      <c r="M30" s="423"/>
      <c r="N30" s="423"/>
      <c r="O30" s="423"/>
      <c r="P30" s="423"/>
      <c r="Q30" s="423"/>
    </row>
    <row r="31" spans="2:29">
      <c r="B31" s="423" t="s">
        <v>438</v>
      </c>
      <c r="C31" s="423" t="str">
        <f t="shared" si="6"/>
        <v>XRFL</v>
      </c>
      <c r="D31" s="423" t="str">
        <f t="shared" si="7"/>
        <v>Convert RFL to RFLR1</v>
      </c>
      <c r="E31" s="422" t="str">
        <f>Commodities!C59</f>
        <v>RFL</v>
      </c>
      <c r="F31" s="422" t="str">
        <f t="shared" si="8"/>
        <v>RFLR1</v>
      </c>
      <c r="G31" s="422">
        <v>1</v>
      </c>
      <c r="H31" s="423"/>
      <c r="I31" s="423"/>
      <c r="J31" s="423"/>
      <c r="K31" s="423"/>
      <c r="L31" s="423"/>
      <c r="M31" s="423"/>
      <c r="N31" s="423"/>
      <c r="O31" s="423"/>
      <c r="P31" s="423"/>
      <c r="Q31" s="423"/>
    </row>
    <row r="32" spans="2:29">
      <c r="B32" s="423" t="s">
        <v>438</v>
      </c>
      <c r="C32" s="423" t="str">
        <f t="shared" ref="C32" si="9">"X"&amp;E32</f>
        <v>XJTFP1</v>
      </c>
      <c r="D32" s="423" t="str">
        <f t="shared" ref="D32" si="10">"Convert "&amp;E32&amp;" to "&amp;F32</f>
        <v>Convert JTFP1 to JTFR1</v>
      </c>
      <c r="E32" s="422" t="str">
        <f>Commodities!C64</f>
        <v>JTFP1</v>
      </c>
      <c r="F32" s="422" t="str">
        <f>LEFT(E32,3)&amp;"R1"</f>
        <v>JTFR1</v>
      </c>
      <c r="G32" s="422">
        <v>1</v>
      </c>
      <c r="H32" s="423"/>
      <c r="I32" s="423"/>
      <c r="J32" s="423"/>
      <c r="K32" s="423"/>
      <c r="L32" s="423"/>
      <c r="M32" s="423"/>
      <c r="N32" s="423"/>
      <c r="O32" s="423"/>
      <c r="P32" s="423"/>
      <c r="Q32" s="423"/>
    </row>
    <row r="35" spans="2:29" ht="17.25" customHeight="1">
      <c r="F35" s="410" t="s">
        <v>2532</v>
      </c>
    </row>
    <row r="36" spans="2:29" ht="15.75" customHeight="1">
      <c r="B36" s="371" t="s">
        <v>739</v>
      </c>
      <c r="C36" s="371" t="s">
        <v>375</v>
      </c>
      <c r="D36" s="371" t="s">
        <v>376</v>
      </c>
      <c r="E36" s="371" t="s">
        <v>378</v>
      </c>
      <c r="F36" s="371" t="s">
        <v>379</v>
      </c>
      <c r="G36" s="371" t="s">
        <v>2538</v>
      </c>
      <c r="H36" s="371" t="s">
        <v>2540</v>
      </c>
      <c r="I36" s="371" t="s">
        <v>2541</v>
      </c>
      <c r="J36" s="371" t="s">
        <v>2542</v>
      </c>
      <c r="K36" s="371" t="s">
        <v>2543</v>
      </c>
      <c r="L36" s="371" t="s">
        <v>2544</v>
      </c>
      <c r="M36" s="371" t="s">
        <v>2545</v>
      </c>
      <c r="N36" s="371" t="s">
        <v>2546</v>
      </c>
      <c r="O36" s="371" t="s">
        <v>2547</v>
      </c>
      <c r="P36" s="371" t="s">
        <v>2548</v>
      </c>
      <c r="Q36" s="371" t="s">
        <v>2549</v>
      </c>
      <c r="S36" s="407"/>
      <c r="T36" s="407"/>
      <c r="U36" s="407"/>
      <c r="V36" s="407"/>
      <c r="W36" s="407"/>
      <c r="X36" s="407"/>
      <c r="Y36" s="407"/>
      <c r="Z36" s="407"/>
      <c r="AA36" s="407"/>
      <c r="AB36" s="407"/>
      <c r="AC36" s="407"/>
    </row>
    <row r="37" spans="2:29">
      <c r="B37" s="372" t="s">
        <v>597</v>
      </c>
      <c r="C37" s="372"/>
      <c r="D37" s="372"/>
      <c r="E37" s="412"/>
      <c r="F37" s="412"/>
      <c r="G37" s="408"/>
      <c r="H37" s="420"/>
      <c r="I37" s="420"/>
      <c r="J37" s="420"/>
      <c r="K37" s="420"/>
      <c r="L37" s="420"/>
      <c r="M37" s="420"/>
      <c r="N37" s="420"/>
      <c r="O37" s="420"/>
      <c r="P37" s="420"/>
      <c r="Q37" s="420"/>
    </row>
    <row r="38" spans="2:29">
      <c r="B38" s="376" t="str">
        <f>IF(LEFT(Technologies!B$238,1)="*","*R2","R2")</f>
        <v>R2</v>
      </c>
      <c r="C38" s="376" t="str">
        <f>Technologies!C$238</f>
        <v>XPTRGSLCR1</v>
      </c>
      <c r="D38" s="376" t="str">
        <f>Technologies!D$238</f>
        <v>Delivery of Pipeline Traded TRGSLC from R1</v>
      </c>
      <c r="E38" s="415" t="str">
        <f>Commodities!C$71</f>
        <v>GSCR1</v>
      </c>
      <c r="F38" s="415" t="str">
        <f>Commodities!C$85</f>
        <v>TRGSLC</v>
      </c>
      <c r="G38" s="422">
        <v>1</v>
      </c>
      <c r="H38" s="421">
        <f>H168</f>
        <v>3.5905223919625726</v>
      </c>
      <c r="I38" s="421">
        <f t="shared" ref="I38:Q38" si="11">I168</f>
        <v>3.5727240542386172</v>
      </c>
      <c r="J38" s="421">
        <f t="shared" si="11"/>
        <v>3.7469693340312364</v>
      </c>
      <c r="K38" s="421">
        <f t="shared" si="11"/>
        <v>4.4681619286369019</v>
      </c>
      <c r="L38" s="421">
        <f t="shared" si="11"/>
        <v>4.1160811775230988</v>
      </c>
      <c r="M38" s="421">
        <f t="shared" si="11"/>
        <v>3.6729696413179656</v>
      </c>
      <c r="N38" s="421">
        <f t="shared" si="11"/>
        <v>3.6729696413179656</v>
      </c>
      <c r="O38" s="421">
        <f t="shared" si="11"/>
        <v>3.6729696413179656</v>
      </c>
      <c r="P38" s="421">
        <f t="shared" si="11"/>
        <v>3.6729696413179656</v>
      </c>
      <c r="Q38" s="421">
        <f t="shared" si="11"/>
        <v>3.6729696413179656</v>
      </c>
      <c r="S38" s="395"/>
      <c r="T38" s="395"/>
      <c r="U38" s="395"/>
      <c r="V38" s="395"/>
      <c r="W38" s="395"/>
      <c r="X38" s="395"/>
      <c r="Y38" s="395"/>
      <c r="Z38" s="395"/>
      <c r="AA38" s="395"/>
      <c r="AB38" s="395"/>
      <c r="AC38" s="395"/>
    </row>
    <row r="39" spans="2:29">
      <c r="B39" s="376" t="str">
        <f>IF(LEFT(Technologies!B$239,1)="*","*R2","R2")</f>
        <v>R2</v>
      </c>
      <c r="C39" s="376" t="str">
        <f>Technologies!C$239</f>
        <v>XPTRGSLRR1</v>
      </c>
      <c r="D39" s="376" t="str">
        <f>Technologies!D$239</f>
        <v>Delivery of Pipeline Traded TRGSLR from R1</v>
      </c>
      <c r="E39" s="415" t="str">
        <f>Commodities!C$72</f>
        <v>GSRR1</v>
      </c>
      <c r="F39" s="415" t="str">
        <f>Commodities!C$86</f>
        <v>TRGSLR</v>
      </c>
      <c r="G39" s="422">
        <v>1</v>
      </c>
      <c r="H39" s="421">
        <f t="shared" ref="H39:Q54" si="12">H169</f>
        <v>3.5973404005388576</v>
      </c>
      <c r="I39" s="421">
        <f t="shared" si="12"/>
        <v>3.5795060337911697</v>
      </c>
      <c r="J39" s="421">
        <f t="shared" si="12"/>
        <v>3.7541040368222358</v>
      </c>
      <c r="K39" s="421">
        <f t="shared" si="12"/>
        <v>4.4767565354655634</v>
      </c>
      <c r="L39" s="421">
        <f t="shared" si="12"/>
        <v>4.1239630702806798</v>
      </c>
      <c r="M39" s="421">
        <f t="shared" si="12"/>
        <v>3.6799545471601522</v>
      </c>
      <c r="N39" s="421">
        <f t="shared" si="12"/>
        <v>3.6799545471601522</v>
      </c>
      <c r="O39" s="421">
        <f t="shared" si="12"/>
        <v>3.6799545471601522</v>
      </c>
      <c r="P39" s="421">
        <f t="shared" si="12"/>
        <v>3.6799545471601522</v>
      </c>
      <c r="Q39" s="421">
        <f t="shared" si="12"/>
        <v>3.6799545471601522</v>
      </c>
      <c r="S39" s="395"/>
      <c r="T39" s="395"/>
      <c r="U39" s="395"/>
      <c r="V39" s="395"/>
      <c r="W39" s="395"/>
      <c r="X39" s="395"/>
      <c r="Y39" s="395"/>
      <c r="Z39" s="395"/>
      <c r="AA39" s="395"/>
      <c r="AB39" s="395"/>
      <c r="AC39" s="395"/>
    </row>
    <row r="40" spans="2:29">
      <c r="B40" s="376" t="str">
        <f>IF(LEFT(Technologies!B$240,1)="*","*R2","R2")</f>
        <v>R2</v>
      </c>
      <c r="C40" s="376" t="str">
        <f>Technologies!C$240</f>
        <v>XPRESDSLR1</v>
      </c>
      <c r="D40" s="376" t="str">
        <f>Technologies!D$240</f>
        <v>Delivery of Pipeline Traded RESDSL from R1</v>
      </c>
      <c r="E40" s="415" t="str">
        <f>Commodities!C$73</f>
        <v>DSHR1</v>
      </c>
      <c r="F40" s="415" t="str">
        <f>Commodities!C$87</f>
        <v>RESDSL</v>
      </c>
      <c r="G40" s="422">
        <v>1</v>
      </c>
      <c r="H40" s="421">
        <f t="shared" si="12"/>
        <v>3.6587024777254236</v>
      </c>
      <c r="I40" s="421">
        <f t="shared" si="12"/>
        <v>3.6405438497641418</v>
      </c>
      <c r="J40" s="421">
        <f t="shared" si="12"/>
        <v>3.818316361941227</v>
      </c>
      <c r="K40" s="421">
        <f t="shared" si="12"/>
        <v>4.5541079969235243</v>
      </c>
      <c r="L40" s="421">
        <f t="shared" si="12"/>
        <v>4.194900105098915</v>
      </c>
      <c r="M40" s="421">
        <f t="shared" si="12"/>
        <v>3.7428186997398325</v>
      </c>
      <c r="N40" s="421">
        <f t="shared" si="12"/>
        <v>3.7428186997398325</v>
      </c>
      <c r="O40" s="421">
        <f t="shared" si="12"/>
        <v>3.7428186997398325</v>
      </c>
      <c r="P40" s="421">
        <f t="shared" si="12"/>
        <v>3.7428186997398325</v>
      </c>
      <c r="Q40" s="421">
        <f t="shared" si="12"/>
        <v>3.7428186997398325</v>
      </c>
      <c r="S40" s="395"/>
      <c r="T40" s="395"/>
      <c r="U40" s="395"/>
      <c r="V40" s="395"/>
      <c r="W40" s="395"/>
      <c r="X40" s="395"/>
      <c r="Y40" s="395"/>
      <c r="Z40" s="395"/>
      <c r="AA40" s="395"/>
      <c r="AB40" s="395"/>
      <c r="AC40" s="395"/>
    </row>
    <row r="41" spans="2:29">
      <c r="B41" s="376" t="str">
        <f>IF(LEFT(Technologies!B$241,1)="*","*R2","R2")</f>
        <v>R2</v>
      </c>
      <c r="C41" s="376" t="str">
        <f>Technologies!C$241</f>
        <v>XPCOMDSLR1</v>
      </c>
      <c r="D41" s="376" t="str">
        <f>Technologies!D$241</f>
        <v>Delivery of Pipeline Traded COMDSL from R1</v>
      </c>
      <c r="E41" s="415" t="str">
        <f>Commodities!C$73</f>
        <v>DSHR1</v>
      </c>
      <c r="F41" s="415" t="str">
        <f>Commodities!C$88</f>
        <v>COMDSL</v>
      </c>
      <c r="G41" s="422">
        <v>1</v>
      </c>
      <c r="H41" s="421">
        <f t="shared" si="12"/>
        <v>1.6201179134161774</v>
      </c>
      <c r="I41" s="421">
        <f t="shared" si="12"/>
        <v>1.6127319635509734</v>
      </c>
      <c r="J41" s="421">
        <f t="shared" si="12"/>
        <v>1.685040227432526</v>
      </c>
      <c r="K41" s="421">
        <f t="shared" si="12"/>
        <v>1.9843205551535004</v>
      </c>
      <c r="L41" s="421">
        <f t="shared" si="12"/>
        <v>1.8382141705819826</v>
      </c>
      <c r="M41" s="421">
        <f t="shared" si="12"/>
        <v>1.6543318529260067</v>
      </c>
      <c r="N41" s="421">
        <f t="shared" si="12"/>
        <v>1.6543318529260067</v>
      </c>
      <c r="O41" s="421">
        <f t="shared" si="12"/>
        <v>1.6543318529260067</v>
      </c>
      <c r="P41" s="421">
        <f t="shared" si="12"/>
        <v>1.6543318529260067</v>
      </c>
      <c r="Q41" s="421">
        <f t="shared" si="12"/>
        <v>1.6543318529260067</v>
      </c>
      <c r="S41" s="395"/>
      <c r="T41" s="395"/>
      <c r="U41" s="395"/>
      <c r="V41" s="395"/>
      <c r="W41" s="395"/>
      <c r="X41" s="395"/>
      <c r="Y41" s="395"/>
      <c r="Z41" s="395"/>
      <c r="AA41" s="395"/>
      <c r="AB41" s="395"/>
      <c r="AC41" s="395"/>
    </row>
    <row r="42" spans="2:29">
      <c r="B42" s="376" t="str">
        <f>IF(LEFT(Technologies!B$242,1)="*","*R2","R2")</f>
        <v>*R2</v>
      </c>
      <c r="C42" s="376" t="str">
        <f>Technologies!C$242</f>
        <v>XPINDDSLR1</v>
      </c>
      <c r="D42" s="376" t="str">
        <f>Technologies!D$242</f>
        <v>Delivery of Pipeline Traded INDDSL from R1</v>
      </c>
      <c r="E42" s="415" t="str">
        <f>Commodities!C$73</f>
        <v>DSHR1</v>
      </c>
      <c r="F42" s="415" t="str">
        <f>Commodities!C$89</f>
        <v>INDDSL</v>
      </c>
      <c r="G42" s="422">
        <v>1</v>
      </c>
      <c r="H42" s="421">
        <f t="shared" si="12"/>
        <v>1.7223880420604547</v>
      </c>
      <c r="I42" s="421">
        <f t="shared" si="12"/>
        <v>1.7144616568392603</v>
      </c>
      <c r="J42" s="421">
        <f t="shared" si="12"/>
        <v>1.7920607692975117</v>
      </c>
      <c r="K42" s="421">
        <f t="shared" si="12"/>
        <v>2.1132396575834358</v>
      </c>
      <c r="L42" s="421">
        <f t="shared" si="12"/>
        <v>1.9564425619457091</v>
      </c>
      <c r="M42" s="421">
        <f t="shared" si="12"/>
        <v>1.759105440558808</v>
      </c>
      <c r="N42" s="421">
        <f t="shared" si="12"/>
        <v>1.759105440558808</v>
      </c>
      <c r="O42" s="421">
        <f t="shared" si="12"/>
        <v>1.759105440558808</v>
      </c>
      <c r="P42" s="421">
        <f t="shared" si="12"/>
        <v>1.759105440558808</v>
      </c>
      <c r="Q42" s="421">
        <f t="shared" si="12"/>
        <v>1.759105440558808</v>
      </c>
      <c r="S42" s="395"/>
      <c r="T42" s="395"/>
      <c r="U42" s="395"/>
      <c r="V42" s="395"/>
      <c r="W42" s="395"/>
      <c r="X42" s="395"/>
      <c r="Y42" s="395"/>
      <c r="Z42" s="395"/>
      <c r="AA42" s="395"/>
      <c r="AB42" s="395"/>
      <c r="AC42" s="395"/>
    </row>
    <row r="43" spans="2:29">
      <c r="B43" s="376" t="str">
        <f>IF(LEFT(Technologies!B$243,1)="*","*R2","R2")</f>
        <v>R2</v>
      </c>
      <c r="C43" s="376" t="str">
        <f>Technologies!C$243</f>
        <v>XPELCDSLR1</v>
      </c>
      <c r="D43" s="376" t="str">
        <f>Technologies!D$243</f>
        <v>Delivery of Pipeline Traded ELCDSL from R1</v>
      </c>
      <c r="E43" s="415" t="str">
        <f>Commodities!C$73</f>
        <v>DSHR1</v>
      </c>
      <c r="F43" s="415" t="str">
        <f>Commodities!C$90</f>
        <v>ELCDSL</v>
      </c>
      <c r="G43" s="422">
        <v>1</v>
      </c>
      <c r="H43" s="421">
        <f t="shared" si="12"/>
        <v>0.74059480707540037</v>
      </c>
      <c r="I43" s="421">
        <f t="shared" si="12"/>
        <v>0.73785660127171493</v>
      </c>
      <c r="J43" s="421">
        <f t="shared" si="12"/>
        <v>0.76466356739365637</v>
      </c>
      <c r="K43" s="421">
        <f t="shared" si="12"/>
        <v>0.87561627425606647</v>
      </c>
      <c r="L43" s="421">
        <f t="shared" si="12"/>
        <v>0.82145000485394293</v>
      </c>
      <c r="M43" s="421">
        <f t="shared" si="12"/>
        <v>0.75327899928392239</v>
      </c>
      <c r="N43" s="421">
        <f t="shared" si="12"/>
        <v>0.75327899928392239</v>
      </c>
      <c r="O43" s="421">
        <f t="shared" si="12"/>
        <v>0.75327899928392239</v>
      </c>
      <c r="P43" s="421">
        <f t="shared" si="12"/>
        <v>0.75327899928392239</v>
      </c>
      <c r="Q43" s="421">
        <f t="shared" si="12"/>
        <v>0.75327899928392239</v>
      </c>
      <c r="S43" s="395"/>
      <c r="T43" s="395"/>
      <c r="U43" s="395"/>
      <c r="V43" s="395"/>
      <c r="W43" s="395"/>
      <c r="X43" s="395"/>
      <c r="Y43" s="395"/>
      <c r="Z43" s="395"/>
      <c r="AA43" s="395"/>
      <c r="AB43" s="395"/>
      <c r="AC43" s="395"/>
    </row>
    <row r="44" spans="2:29">
      <c r="B44" s="376" t="str">
        <f>IF(LEFT(Technologies!B$244,1)="*","*R2","R2")</f>
        <v>R2</v>
      </c>
      <c r="C44" s="376" t="str">
        <f>Technologies!C$244</f>
        <v>XPTRDSLLR1</v>
      </c>
      <c r="D44" s="376" t="str">
        <f>Technologies!D$244</f>
        <v>Delivery of Pipeline Traded TRDSLL from R1</v>
      </c>
      <c r="E44" s="415" t="str">
        <f>Commodities!C$74</f>
        <v>DSLR1</v>
      </c>
      <c r="F44" s="415" t="str">
        <f>Commodities!C$91</f>
        <v>TRDSLL</v>
      </c>
      <c r="G44" s="422">
        <v>1</v>
      </c>
      <c r="H44" s="421">
        <f t="shared" si="12"/>
        <v>4.4427734639982104</v>
      </c>
      <c r="I44" s="421">
        <f t="shared" si="12"/>
        <v>4.4204714983076672</v>
      </c>
      <c r="J44" s="421">
        <f t="shared" si="12"/>
        <v>4.6388071829061115</v>
      </c>
      <c r="K44" s="421">
        <f t="shared" si="12"/>
        <v>5.5424877822196859</v>
      </c>
      <c r="L44" s="421">
        <f t="shared" si="12"/>
        <v>5.1013177722208125</v>
      </c>
      <c r="M44" s="421">
        <f t="shared" si="12"/>
        <v>4.5460828715913042</v>
      </c>
      <c r="N44" s="421">
        <f t="shared" si="12"/>
        <v>4.5460828715913042</v>
      </c>
      <c r="O44" s="421">
        <f t="shared" si="12"/>
        <v>4.5460828715913042</v>
      </c>
      <c r="P44" s="421">
        <f t="shared" si="12"/>
        <v>4.5460828715913042</v>
      </c>
      <c r="Q44" s="421">
        <f t="shared" si="12"/>
        <v>4.5460828715913042</v>
      </c>
      <c r="S44" s="395"/>
      <c r="T44" s="395"/>
      <c r="U44" s="395"/>
      <c r="V44" s="395"/>
      <c r="W44" s="395"/>
      <c r="X44" s="395"/>
      <c r="Y44" s="395"/>
      <c r="Z44" s="395"/>
      <c r="AA44" s="395"/>
      <c r="AB44" s="395"/>
      <c r="AC44" s="395"/>
    </row>
    <row r="45" spans="2:29">
      <c r="B45" s="376" t="str">
        <f>IF(LEFT(Technologies!B$245,1)="*","*R2","R2")</f>
        <v>R2</v>
      </c>
      <c r="C45" s="376" t="str">
        <f>Technologies!C$245</f>
        <v>XPTRDSLUR1</v>
      </c>
      <c r="D45" s="376" t="str">
        <f>Technologies!D$245</f>
        <v>Delivery of Pipeline Traded TRDSLU from R1</v>
      </c>
      <c r="E45" s="415" t="str">
        <f>Commodities!C$75</f>
        <v>DSUR1</v>
      </c>
      <c r="F45" s="415" t="str">
        <f>Commodities!C$92</f>
        <v>TRDSLU</v>
      </c>
      <c r="G45" s="422">
        <v>1</v>
      </c>
      <c r="H45" s="421">
        <f t="shared" si="12"/>
        <v>3.8018806578274109</v>
      </c>
      <c r="I45" s="421">
        <f t="shared" si="12"/>
        <v>3.7829654203677423</v>
      </c>
      <c r="J45" s="421">
        <f t="shared" si="12"/>
        <v>3.9681451205522058</v>
      </c>
      <c r="K45" s="421">
        <f t="shared" si="12"/>
        <v>4.7345947403254325</v>
      </c>
      <c r="L45" s="421">
        <f t="shared" si="12"/>
        <v>4.360419853008132</v>
      </c>
      <c r="M45" s="421">
        <f t="shared" si="12"/>
        <v>3.8895017224257535</v>
      </c>
      <c r="N45" s="421">
        <f t="shared" si="12"/>
        <v>3.8895017224257535</v>
      </c>
      <c r="O45" s="421">
        <f t="shared" si="12"/>
        <v>3.8895017224257535</v>
      </c>
      <c r="P45" s="421">
        <f t="shared" si="12"/>
        <v>3.8895017224257535</v>
      </c>
      <c r="Q45" s="421">
        <f t="shared" si="12"/>
        <v>3.8895017224257535</v>
      </c>
      <c r="S45" s="395"/>
      <c r="T45" s="395"/>
      <c r="U45" s="395"/>
      <c r="V45" s="395"/>
      <c r="W45" s="395"/>
      <c r="X45" s="395"/>
      <c r="Y45" s="395"/>
      <c r="Z45" s="395"/>
      <c r="AA45" s="395"/>
      <c r="AB45" s="395"/>
      <c r="AC45" s="395"/>
    </row>
    <row r="46" spans="2:29">
      <c r="B46" s="376" t="str">
        <f>IF(LEFT(Technologies!B$246,1)="*","*R2","R2")</f>
        <v>R2</v>
      </c>
      <c r="C46" s="376" t="str">
        <f>Technologies!C$246</f>
        <v>XPTRNJTFR1</v>
      </c>
      <c r="D46" s="376" t="str">
        <f>Technologies!D$246</f>
        <v>Delivery of Pipeline Traded TRNJTF from R1</v>
      </c>
      <c r="E46" s="415" t="str">
        <f>Commodities!C$76</f>
        <v>JTFR1</v>
      </c>
      <c r="F46" s="415" t="str">
        <f>Commodities!C$93</f>
        <v>TRNJTF</v>
      </c>
      <c r="G46" s="422">
        <v>1</v>
      </c>
      <c r="H46" s="421">
        <f t="shared" si="12"/>
        <v>0.91104502148252731</v>
      </c>
      <c r="I46" s="421">
        <f t="shared" si="12"/>
        <v>0.90740609008552431</v>
      </c>
      <c r="J46" s="421">
        <f t="shared" si="12"/>
        <v>0.94303113716863063</v>
      </c>
      <c r="K46" s="421">
        <f t="shared" si="12"/>
        <v>1.0904814449726228</v>
      </c>
      <c r="L46" s="421">
        <f t="shared" si="12"/>
        <v>1.0184973237934849</v>
      </c>
      <c r="M46" s="421">
        <f t="shared" si="12"/>
        <v>0.92790164533858943</v>
      </c>
      <c r="N46" s="421">
        <f t="shared" si="12"/>
        <v>0.92790164533858943</v>
      </c>
      <c r="O46" s="421">
        <f t="shared" si="12"/>
        <v>0.92790164533858943</v>
      </c>
      <c r="P46" s="421">
        <f t="shared" si="12"/>
        <v>0.92790164533858943</v>
      </c>
      <c r="Q46" s="421">
        <f t="shared" si="12"/>
        <v>0.92790164533858943</v>
      </c>
      <c r="S46" s="395"/>
      <c r="T46" s="395"/>
      <c r="U46" s="395"/>
      <c r="V46" s="395"/>
      <c r="W46" s="395"/>
      <c r="X46" s="395"/>
      <c r="Y46" s="395"/>
      <c r="Z46" s="395"/>
      <c r="AA46" s="395"/>
      <c r="AB46" s="395"/>
      <c r="AC46" s="395"/>
    </row>
    <row r="47" spans="2:29">
      <c r="B47" s="376" t="str">
        <f>IF(LEFT(Technologies!B$247,1)="*","*R2","R2")</f>
        <v>*R2</v>
      </c>
      <c r="C47" s="376" t="str">
        <f>Technologies!C$247</f>
        <v>XPRESKERR1</v>
      </c>
      <c r="D47" s="376" t="str">
        <f>Technologies!D$247</f>
        <v>Delivery of Pipeline Traded RESKER from R1</v>
      </c>
      <c r="E47" s="415" t="str">
        <f>Commodities!C$77</f>
        <v>KERR1</v>
      </c>
      <c r="F47" s="415" t="str">
        <f>Commodities!C$94</f>
        <v>RESKER</v>
      </c>
      <c r="G47" s="422">
        <v>1</v>
      </c>
      <c r="H47" s="421">
        <f t="shared" si="12"/>
        <v>2.3360088139261128</v>
      </c>
      <c r="I47" s="421">
        <f t="shared" si="12"/>
        <v>2.324839816568975</v>
      </c>
      <c r="J47" s="421">
        <f t="shared" si="12"/>
        <v>2.4341840204874203</v>
      </c>
      <c r="K47" s="421">
        <f t="shared" si="12"/>
        <v>2.8867542721630399</v>
      </c>
      <c r="L47" s="421">
        <f t="shared" si="12"/>
        <v>2.6658129101280625</v>
      </c>
      <c r="M47" s="421">
        <f t="shared" si="12"/>
        <v>2.387746966355611</v>
      </c>
      <c r="N47" s="421">
        <f t="shared" si="12"/>
        <v>2.387746966355611</v>
      </c>
      <c r="O47" s="421">
        <f t="shared" si="12"/>
        <v>2.387746966355611</v>
      </c>
      <c r="P47" s="421">
        <f t="shared" si="12"/>
        <v>2.387746966355611</v>
      </c>
      <c r="Q47" s="421">
        <f t="shared" si="12"/>
        <v>2.387746966355611</v>
      </c>
      <c r="S47" s="395"/>
      <c r="T47" s="395"/>
      <c r="U47" s="395"/>
      <c r="V47" s="395"/>
      <c r="W47" s="395"/>
      <c r="X47" s="395"/>
      <c r="Y47" s="395"/>
      <c r="Z47" s="395"/>
      <c r="AA47" s="395"/>
      <c r="AB47" s="395"/>
      <c r="AC47" s="395"/>
    </row>
    <row r="48" spans="2:29">
      <c r="B48" s="376" t="str">
        <f>IF(LEFT(Technologies!B$248,1)="*","*R2","R2")</f>
        <v>*R2</v>
      </c>
      <c r="C48" s="376" t="str">
        <f>Technologies!C$248</f>
        <v>XPCOMKERR1</v>
      </c>
      <c r="D48" s="376" t="str">
        <f>Technologies!D$248</f>
        <v>Delivery of Pipeline Traded COMKER from R1</v>
      </c>
      <c r="E48" s="415" t="str">
        <f>Commodities!C$77</f>
        <v>KERR1</v>
      </c>
      <c r="F48" s="415" t="str">
        <f>Commodities!C$95</f>
        <v>COMKER</v>
      </c>
      <c r="G48" s="422">
        <v>1</v>
      </c>
      <c r="H48" s="421">
        <f t="shared" si="12"/>
        <v>2.0905605051798508</v>
      </c>
      <c r="I48" s="421">
        <f t="shared" si="12"/>
        <v>2.0806885526770902</v>
      </c>
      <c r="J48" s="421">
        <f t="shared" si="12"/>
        <v>2.1773347200114577</v>
      </c>
      <c r="K48" s="421">
        <f t="shared" si="12"/>
        <v>2.5773484263311994</v>
      </c>
      <c r="L48" s="421">
        <f t="shared" si="12"/>
        <v>2.3820647708551226</v>
      </c>
      <c r="M48" s="421">
        <f t="shared" si="12"/>
        <v>2.1362903560368904</v>
      </c>
      <c r="N48" s="421">
        <f t="shared" si="12"/>
        <v>2.1362903560368904</v>
      </c>
      <c r="O48" s="421">
        <f t="shared" si="12"/>
        <v>2.1362903560368904</v>
      </c>
      <c r="P48" s="421">
        <f t="shared" si="12"/>
        <v>2.1362903560368904</v>
      </c>
      <c r="Q48" s="421">
        <f t="shared" si="12"/>
        <v>2.1362903560368904</v>
      </c>
      <c r="S48" s="395"/>
      <c r="T48" s="395"/>
      <c r="U48" s="395"/>
      <c r="V48" s="395"/>
      <c r="W48" s="395"/>
      <c r="X48" s="395"/>
      <c r="Y48" s="395"/>
      <c r="Z48" s="395"/>
      <c r="AA48" s="395"/>
      <c r="AB48" s="395"/>
      <c r="AC48" s="395"/>
    </row>
    <row r="49" spans="2:29">
      <c r="B49" s="376" t="str">
        <f>IF(LEFT(Technologies!B$249,1)="*","*R2","R2")</f>
        <v>*R2</v>
      </c>
      <c r="C49" s="376" t="str">
        <f>Technologies!C$249</f>
        <v>XPINDKERR1</v>
      </c>
      <c r="D49" s="376" t="str">
        <f>Technologies!D$249</f>
        <v>Delivery of Pipeline Traded INDKER from R1</v>
      </c>
      <c r="E49" s="415" t="str">
        <f>Commodities!C$77</f>
        <v>KERR1</v>
      </c>
      <c r="F49" s="415" t="str">
        <f>Commodities!C$96</f>
        <v>INDKER</v>
      </c>
      <c r="G49" s="422">
        <v>1</v>
      </c>
      <c r="H49" s="421">
        <f t="shared" si="12"/>
        <v>1.3814876132462</v>
      </c>
      <c r="I49" s="421">
        <f t="shared" si="12"/>
        <v>1.3753626792116402</v>
      </c>
      <c r="J49" s="421">
        <f t="shared" si="12"/>
        <v>1.4353256297475618</v>
      </c>
      <c r="K49" s="421">
        <f t="shared" si="12"/>
        <v>1.683509316150321</v>
      </c>
      <c r="L49" s="421">
        <f t="shared" si="12"/>
        <v>1.5623479240666236</v>
      </c>
      <c r="M49" s="421">
        <f t="shared" si="12"/>
        <v>1.4098601484494724</v>
      </c>
      <c r="N49" s="421">
        <f t="shared" si="12"/>
        <v>1.4098601484494724</v>
      </c>
      <c r="O49" s="421">
        <f t="shared" si="12"/>
        <v>1.4098601484494724</v>
      </c>
      <c r="P49" s="421">
        <f t="shared" si="12"/>
        <v>1.4098601484494724</v>
      </c>
      <c r="Q49" s="421">
        <f t="shared" si="12"/>
        <v>1.4098601484494724</v>
      </c>
      <c r="S49" s="395"/>
      <c r="T49" s="395"/>
      <c r="U49" s="395"/>
      <c r="V49" s="395"/>
      <c r="W49" s="395"/>
      <c r="X49" s="395"/>
      <c r="Y49" s="395"/>
      <c r="Z49" s="395"/>
      <c r="AA49" s="395"/>
      <c r="AB49" s="395"/>
      <c r="AC49" s="395"/>
    </row>
    <row r="50" spans="2:29">
      <c r="B50" s="376" t="str">
        <f>IF(LEFT(Technologies!B$250,1)="*","*R2","R2")</f>
        <v>*R2</v>
      </c>
      <c r="C50" s="376" t="str">
        <f>Technologies!C$250</f>
        <v>XPRESLPGR1</v>
      </c>
      <c r="D50" s="376" t="str">
        <f>Technologies!D$250</f>
        <v>Delivery of Pipeline Traded RESLPG from R1</v>
      </c>
      <c r="E50" s="415" t="str">
        <f>Commodities!C$78</f>
        <v>LPGR1</v>
      </c>
      <c r="F50" s="415" t="str">
        <f>Commodities!C$97</f>
        <v>RESLPG</v>
      </c>
      <c r="G50" s="422">
        <v>1</v>
      </c>
      <c r="H50" s="421">
        <f t="shared" si="12"/>
        <v>6.7131703199011481</v>
      </c>
      <c r="I50" s="421">
        <f t="shared" si="12"/>
        <v>6.6788706893076153</v>
      </c>
      <c r="J50" s="421">
        <f t="shared" si="12"/>
        <v>7.0146632123087764</v>
      </c>
      <c r="K50" s="421">
        <f t="shared" si="12"/>
        <v>8.4044918561642277</v>
      </c>
      <c r="L50" s="421">
        <f t="shared" si="12"/>
        <v>7.7259880604955224</v>
      </c>
      <c r="M50" s="421">
        <f t="shared" si="12"/>
        <v>6.8720565170394758</v>
      </c>
      <c r="N50" s="421">
        <f t="shared" si="12"/>
        <v>6.8720565170394758</v>
      </c>
      <c r="O50" s="421">
        <f t="shared" si="12"/>
        <v>6.8720565170394758</v>
      </c>
      <c r="P50" s="421">
        <f t="shared" si="12"/>
        <v>6.8720565170394758</v>
      </c>
      <c r="Q50" s="421">
        <f t="shared" si="12"/>
        <v>6.8720565170394758</v>
      </c>
      <c r="S50" s="395"/>
      <c r="T50" s="395"/>
      <c r="U50" s="395"/>
      <c r="V50" s="395"/>
      <c r="W50" s="395"/>
      <c r="X50" s="395"/>
      <c r="Y50" s="395"/>
      <c r="Z50" s="395"/>
      <c r="AA50" s="395"/>
      <c r="AB50" s="395"/>
      <c r="AC50" s="395"/>
    </row>
    <row r="51" spans="2:29">
      <c r="B51" s="376" t="str">
        <f>IF(LEFT(Technologies!B$251,1)="*","*R2","R2")</f>
        <v>*R2</v>
      </c>
      <c r="C51" s="376" t="str">
        <f>Technologies!C$251</f>
        <v>XPCOMLPGR1</v>
      </c>
      <c r="D51" s="376" t="str">
        <f>Technologies!D$251</f>
        <v>Delivery of Pipeline Traded COMLPG from R1</v>
      </c>
      <c r="E51" s="415" t="str">
        <f>Commodities!C$78</f>
        <v>LPGR1</v>
      </c>
      <c r="F51" s="415" t="str">
        <f>Commodities!C$98</f>
        <v>COMLPG</v>
      </c>
      <c r="G51" s="422">
        <v>1</v>
      </c>
      <c r="H51" s="421">
        <f t="shared" si="12"/>
        <v>2.8132694142660704</v>
      </c>
      <c r="I51" s="421">
        <f t="shared" si="12"/>
        <v>2.7995783852476435</v>
      </c>
      <c r="J51" s="421">
        <f t="shared" si="12"/>
        <v>2.9336132158573505</v>
      </c>
      <c r="K51" s="421">
        <f t="shared" si="12"/>
        <v>3.4883767501694001</v>
      </c>
      <c r="L51" s="421">
        <f t="shared" si="12"/>
        <v>3.2175454031587827</v>
      </c>
      <c r="M51" s="421">
        <f t="shared" si="12"/>
        <v>2.8766903753086801</v>
      </c>
      <c r="N51" s="421">
        <f t="shared" si="12"/>
        <v>2.8766903753086801</v>
      </c>
      <c r="O51" s="421">
        <f t="shared" si="12"/>
        <v>2.8766903753086801</v>
      </c>
      <c r="P51" s="421">
        <f t="shared" si="12"/>
        <v>2.8766903753086801</v>
      </c>
      <c r="Q51" s="421">
        <f t="shared" si="12"/>
        <v>2.8766903753086801</v>
      </c>
      <c r="S51" s="395"/>
      <c r="T51" s="395"/>
      <c r="U51" s="395"/>
      <c r="V51" s="395"/>
      <c r="W51" s="395"/>
      <c r="X51" s="395"/>
      <c r="Y51" s="395"/>
      <c r="Z51" s="395"/>
      <c r="AA51" s="395"/>
      <c r="AB51" s="395"/>
      <c r="AC51" s="395"/>
    </row>
    <row r="52" spans="2:29">
      <c r="B52" s="376" t="str">
        <f>IF(LEFT(Technologies!B$252,1)="*","*R2","R2")</f>
        <v>*R2</v>
      </c>
      <c r="C52" s="376" t="str">
        <f>Technologies!C$252</f>
        <v>XPINDLPGR1</v>
      </c>
      <c r="D52" s="376" t="str">
        <f>Technologies!D$252</f>
        <v>Delivery of Pipeline Traded INDLPG from R1</v>
      </c>
      <c r="E52" s="415" t="str">
        <f>Commodities!C$78</f>
        <v>LPGR1</v>
      </c>
      <c r="F52" s="415" t="str">
        <f>Commodities!C$99</f>
        <v>INDLPG</v>
      </c>
      <c r="G52" s="422">
        <v>1</v>
      </c>
      <c r="H52" s="421">
        <f t="shared" si="12"/>
        <v>2.4723689854518156</v>
      </c>
      <c r="I52" s="421">
        <f t="shared" si="12"/>
        <v>2.4604794076200243</v>
      </c>
      <c r="J52" s="421">
        <f t="shared" si="12"/>
        <v>2.5768780763074011</v>
      </c>
      <c r="K52" s="421">
        <f t="shared" si="12"/>
        <v>3.058646408736287</v>
      </c>
      <c r="L52" s="421">
        <f t="shared" si="12"/>
        <v>2.8234507652796976</v>
      </c>
      <c r="M52" s="421">
        <f t="shared" si="12"/>
        <v>2.5274450831993458</v>
      </c>
      <c r="N52" s="421">
        <f t="shared" si="12"/>
        <v>2.5274450831993458</v>
      </c>
      <c r="O52" s="421">
        <f t="shared" si="12"/>
        <v>2.5274450831993458</v>
      </c>
      <c r="P52" s="421">
        <f t="shared" si="12"/>
        <v>2.5274450831993458</v>
      </c>
      <c r="Q52" s="421">
        <f t="shared" si="12"/>
        <v>2.5274450831993458</v>
      </c>
      <c r="S52" s="395"/>
      <c r="T52" s="395"/>
      <c r="U52" s="395"/>
      <c r="V52" s="395"/>
      <c r="W52" s="395"/>
      <c r="X52" s="395"/>
      <c r="Y52" s="395"/>
      <c r="Z52" s="395"/>
      <c r="AA52" s="395"/>
      <c r="AB52" s="395"/>
      <c r="AC52" s="395"/>
    </row>
    <row r="53" spans="2:29">
      <c r="B53" s="376" t="str">
        <f>IF(LEFT(Technologies!B$253,1)="*","*R2","R2")</f>
        <v>*R2</v>
      </c>
      <c r="C53" s="376" t="str">
        <f>Technologies!C$253</f>
        <v>XPTRNLPGR1</v>
      </c>
      <c r="D53" s="376" t="str">
        <f>Technologies!D$253</f>
        <v>Delivery of Pipeline Traded TRNLPG from R1</v>
      </c>
      <c r="E53" s="415" t="str">
        <f>Commodities!C$78</f>
        <v>LPGR1</v>
      </c>
      <c r="F53" s="415" t="str">
        <f>Commodities!C$100</f>
        <v>TRNLPG</v>
      </c>
      <c r="G53" s="422">
        <v>1</v>
      </c>
      <c r="H53" s="421">
        <f t="shared" si="12"/>
        <v>4.0541469751499584</v>
      </c>
      <c r="I53" s="421">
        <f t="shared" si="12"/>
        <v>4.0338986638121783</v>
      </c>
      <c r="J53" s="421">
        <f t="shared" si="12"/>
        <v>4.2321291238191678</v>
      </c>
      <c r="K53" s="421">
        <f t="shared" si="12"/>
        <v>5.0525951929859358</v>
      </c>
      <c r="L53" s="421">
        <f t="shared" si="12"/>
        <v>4.6520498850386538</v>
      </c>
      <c r="M53" s="421">
        <f t="shared" si="12"/>
        <v>4.1479432385866604</v>
      </c>
      <c r="N53" s="421">
        <f t="shared" si="12"/>
        <v>4.1479432385866604</v>
      </c>
      <c r="O53" s="421">
        <f t="shared" si="12"/>
        <v>4.1479432385866604</v>
      </c>
      <c r="P53" s="421">
        <f t="shared" si="12"/>
        <v>4.1479432385866604</v>
      </c>
      <c r="Q53" s="421">
        <f t="shared" si="12"/>
        <v>4.1479432385866604</v>
      </c>
      <c r="S53" s="395"/>
      <c r="T53" s="395"/>
      <c r="U53" s="395"/>
      <c r="V53" s="395"/>
      <c r="W53" s="395"/>
      <c r="X53" s="395"/>
      <c r="Y53" s="395"/>
      <c r="Z53" s="395"/>
      <c r="AA53" s="395"/>
      <c r="AB53" s="395"/>
      <c r="AC53" s="395"/>
    </row>
    <row r="54" spans="2:29">
      <c r="B54" s="376" t="str">
        <f>IF(LEFT(Technologies!B$254,1)="*","*R2","R2")</f>
        <v>*R2</v>
      </c>
      <c r="C54" s="376" t="str">
        <f>Technologies!C$254</f>
        <v>XPTRNMTHR1</v>
      </c>
      <c r="D54" s="376" t="str">
        <f>Technologies!D$254</f>
        <v>Delivery of Pipeline Traded TRNMTH from R1</v>
      </c>
      <c r="E54" s="415" t="str">
        <f>Commodities!C$79</f>
        <v>MTHR1</v>
      </c>
      <c r="F54" s="415" t="str">
        <f>Commodities!C$101</f>
        <v>TRNMTH</v>
      </c>
      <c r="G54" s="422">
        <v>1</v>
      </c>
      <c r="H54" s="421">
        <f t="shared" si="12"/>
        <v>3.8836967607428319</v>
      </c>
      <c r="I54" s="421">
        <f t="shared" si="12"/>
        <v>3.8643491749983703</v>
      </c>
      <c r="J54" s="421">
        <f t="shared" si="12"/>
        <v>4.0537615540441934</v>
      </c>
      <c r="K54" s="421">
        <f t="shared" si="12"/>
        <v>4.8377300222693789</v>
      </c>
      <c r="L54" s="421">
        <f t="shared" si="12"/>
        <v>4.4550025660991119</v>
      </c>
      <c r="M54" s="421">
        <f t="shared" si="12"/>
        <v>3.9733205925319934</v>
      </c>
      <c r="N54" s="421">
        <f t="shared" si="12"/>
        <v>3.9733205925319934</v>
      </c>
      <c r="O54" s="421">
        <f t="shared" si="12"/>
        <v>3.9733205925319934</v>
      </c>
      <c r="P54" s="421">
        <f t="shared" si="12"/>
        <v>3.9733205925319934</v>
      </c>
      <c r="Q54" s="421">
        <f t="shared" si="12"/>
        <v>3.9733205925319934</v>
      </c>
      <c r="S54" s="395"/>
      <c r="T54" s="395"/>
      <c r="U54" s="395"/>
      <c r="V54" s="395"/>
      <c r="W54" s="395"/>
      <c r="X54" s="395"/>
      <c r="Y54" s="395"/>
      <c r="Z54" s="395"/>
      <c r="AA54" s="395"/>
      <c r="AB54" s="395"/>
      <c r="AC54" s="395"/>
    </row>
    <row r="55" spans="2:29">
      <c r="B55" s="376" t="str">
        <f>IF(LEFT(Technologies!B$255,1)="*","*R2","R2")</f>
        <v>*R2</v>
      </c>
      <c r="C55" s="376" t="str">
        <f>Technologies!C$255</f>
        <v>XPINDPFSR1</v>
      </c>
      <c r="D55" s="376" t="str">
        <f>Technologies!D$255</f>
        <v>Delivery of Pipeline Traded INDPFS from R1</v>
      </c>
      <c r="E55" s="415" t="str">
        <f>Commodities!C$80</f>
        <v>PFSR1</v>
      </c>
      <c r="F55" s="415" t="str">
        <f>Commodities!C$102</f>
        <v>INDPFS</v>
      </c>
      <c r="G55" s="422">
        <v>1</v>
      </c>
      <c r="H55" s="421">
        <f t="shared" ref="H55:Q62" si="13">H185</f>
        <v>0.50196450690542171</v>
      </c>
      <c r="I55" s="421">
        <f t="shared" si="13"/>
        <v>0.50048731693238091</v>
      </c>
      <c r="J55" s="421">
        <f t="shared" si="13"/>
        <v>0.51494896970869142</v>
      </c>
      <c r="K55" s="421">
        <f t="shared" si="13"/>
        <v>0.57480503525288629</v>
      </c>
      <c r="L55" s="421">
        <f t="shared" si="13"/>
        <v>0.54558375833858275</v>
      </c>
      <c r="M55" s="421">
        <f t="shared" si="13"/>
        <v>0.50880729480738751</v>
      </c>
      <c r="N55" s="421">
        <f t="shared" si="13"/>
        <v>0.50880729480738751</v>
      </c>
      <c r="O55" s="421">
        <f t="shared" si="13"/>
        <v>0.50880729480738751</v>
      </c>
      <c r="P55" s="421">
        <f t="shared" si="13"/>
        <v>0.50880729480738751</v>
      </c>
      <c r="Q55" s="421">
        <f t="shared" si="13"/>
        <v>0.50880729480738751</v>
      </c>
      <c r="S55" s="395"/>
      <c r="T55" s="395"/>
      <c r="U55" s="395"/>
      <c r="V55" s="395"/>
      <c r="W55" s="395"/>
      <c r="X55" s="395"/>
      <c r="Y55" s="395"/>
      <c r="Z55" s="395"/>
      <c r="AA55" s="395"/>
      <c r="AB55" s="395"/>
      <c r="AC55" s="395"/>
    </row>
    <row r="56" spans="2:29">
      <c r="B56" s="376" t="str">
        <f>IF(LEFT(Technologies!B$256,1)="*","*R2","R2")</f>
        <v>*R2</v>
      </c>
      <c r="C56" s="376" t="str">
        <f>Technologies!C$256</f>
        <v>XPRESRFLR1</v>
      </c>
      <c r="D56" s="376" t="str">
        <f>Technologies!D$256</f>
        <v>Delivery of Pipeline Traded RESRFL from R1</v>
      </c>
      <c r="E56" s="415" t="str">
        <f>Commodities!C$82</f>
        <v>RFLR1</v>
      </c>
      <c r="F56" s="415" t="str">
        <f>Commodities!C$103</f>
        <v>RESRFL</v>
      </c>
      <c r="G56" s="422">
        <v>1</v>
      </c>
      <c r="H56" s="421">
        <f t="shared" si="13"/>
        <v>0.87695497860110183</v>
      </c>
      <c r="I56" s="421">
        <f t="shared" si="13"/>
        <v>0.87349619232276232</v>
      </c>
      <c r="J56" s="421">
        <f t="shared" si="13"/>
        <v>0.90735762321363567</v>
      </c>
      <c r="K56" s="421">
        <f t="shared" si="13"/>
        <v>1.0475084108293113</v>
      </c>
      <c r="L56" s="421">
        <f t="shared" si="13"/>
        <v>0.97908786000557646</v>
      </c>
      <c r="M56" s="421">
        <f t="shared" si="13"/>
        <v>0.89297711612765585</v>
      </c>
      <c r="N56" s="421">
        <f t="shared" si="13"/>
        <v>0.89297711612765585</v>
      </c>
      <c r="O56" s="421">
        <f t="shared" si="13"/>
        <v>0.89297711612765585</v>
      </c>
      <c r="P56" s="421">
        <f t="shared" si="13"/>
        <v>0.89297711612765585</v>
      </c>
      <c r="Q56" s="421">
        <f t="shared" si="13"/>
        <v>0.89297711612765585</v>
      </c>
      <c r="S56" s="395"/>
      <c r="T56" s="395"/>
      <c r="U56" s="395"/>
      <c r="V56" s="395"/>
      <c r="W56" s="395"/>
      <c r="X56" s="395"/>
      <c r="Y56" s="395"/>
      <c r="Z56" s="395"/>
      <c r="AA56" s="395"/>
      <c r="AB56" s="395"/>
      <c r="AC56" s="395"/>
    </row>
    <row r="57" spans="2:29">
      <c r="B57" s="376" t="str">
        <f>IF(LEFT(Technologies!B$257,1)="*","*R2","R2")</f>
        <v>*R2</v>
      </c>
      <c r="C57" s="376" t="str">
        <f>Technologies!C$257</f>
        <v>XPCOMRFLR1</v>
      </c>
      <c r="D57" s="376" t="str">
        <f>Technologies!D$257</f>
        <v>Delivery of Pipeline Traded COMRFL from R1</v>
      </c>
      <c r="E57" s="415" t="str">
        <f>Commodities!C$82</f>
        <v>RFLR1</v>
      </c>
      <c r="F57" s="415" t="str">
        <f>Commodities!C$104</f>
        <v>COMRFL</v>
      </c>
      <c r="G57" s="422">
        <v>1</v>
      </c>
      <c r="H57" s="421">
        <f t="shared" si="13"/>
        <v>0.87695497860110183</v>
      </c>
      <c r="I57" s="421">
        <f t="shared" si="13"/>
        <v>0.87349619232276232</v>
      </c>
      <c r="J57" s="421">
        <f t="shared" si="13"/>
        <v>0.90735762321363567</v>
      </c>
      <c r="K57" s="421">
        <f t="shared" si="13"/>
        <v>1.0475084108293113</v>
      </c>
      <c r="L57" s="421">
        <f t="shared" si="13"/>
        <v>0.97908786000557646</v>
      </c>
      <c r="M57" s="421">
        <f t="shared" si="13"/>
        <v>0.89297711612765585</v>
      </c>
      <c r="N57" s="421">
        <f t="shared" si="13"/>
        <v>0.89297711612765585</v>
      </c>
      <c r="O57" s="421">
        <f t="shared" si="13"/>
        <v>0.89297711612765585</v>
      </c>
      <c r="P57" s="421">
        <f t="shared" si="13"/>
        <v>0.89297711612765585</v>
      </c>
      <c r="Q57" s="421">
        <f t="shared" si="13"/>
        <v>0.89297711612765585</v>
      </c>
      <c r="S57" s="395"/>
      <c r="T57" s="395"/>
      <c r="U57" s="395"/>
      <c r="V57" s="395"/>
      <c r="W57" s="395"/>
      <c r="X57" s="395"/>
      <c r="Y57" s="395"/>
      <c r="Z57" s="395"/>
      <c r="AA57" s="395"/>
      <c r="AB57" s="395"/>
      <c r="AC57" s="395"/>
    </row>
    <row r="58" spans="2:29">
      <c r="B58" s="376" t="str">
        <f>IF(LEFT(Technologies!B$258,1)="*","*R2","R2")</f>
        <v>R2</v>
      </c>
      <c r="C58" s="376" t="str">
        <f>Technologies!C$258</f>
        <v>XPINDRFLR1</v>
      </c>
      <c r="D58" s="376" t="str">
        <f>Technologies!D$258</f>
        <v>Delivery of Pipeline Traded INDRFL from R1</v>
      </c>
      <c r="E58" s="415" t="str">
        <f>Commodities!C$82</f>
        <v>RFLR1</v>
      </c>
      <c r="F58" s="415" t="str">
        <f>Commodities!C$105</f>
        <v>INDRFL</v>
      </c>
      <c r="G58" s="422">
        <v>1</v>
      </c>
      <c r="H58" s="421">
        <f t="shared" si="13"/>
        <v>0.73377679849911459</v>
      </c>
      <c r="I58" s="421">
        <f t="shared" si="13"/>
        <v>0.73107462171916182</v>
      </c>
      <c r="J58" s="421">
        <f t="shared" si="13"/>
        <v>0.75752886460265678</v>
      </c>
      <c r="K58" s="421">
        <f t="shared" si="13"/>
        <v>0.86702166742740328</v>
      </c>
      <c r="L58" s="421">
        <f t="shared" si="13"/>
        <v>0.81356811209636037</v>
      </c>
      <c r="M58" s="421">
        <f t="shared" si="13"/>
        <v>0.74629409344173492</v>
      </c>
      <c r="N58" s="421">
        <f t="shared" si="13"/>
        <v>0.74629409344173492</v>
      </c>
      <c r="O58" s="421">
        <f t="shared" si="13"/>
        <v>0.74629409344173492</v>
      </c>
      <c r="P58" s="421">
        <f t="shared" si="13"/>
        <v>0.74629409344173492</v>
      </c>
      <c r="Q58" s="421">
        <f t="shared" si="13"/>
        <v>0.74629409344173492</v>
      </c>
      <c r="S58" s="395"/>
      <c r="T58" s="395"/>
      <c r="U58" s="395"/>
      <c r="V58" s="395"/>
      <c r="W58" s="395"/>
      <c r="X58" s="395"/>
      <c r="Y58" s="395"/>
      <c r="Z58" s="395"/>
      <c r="AA58" s="395"/>
      <c r="AB58" s="395"/>
      <c r="AC58" s="395"/>
    </row>
    <row r="59" spans="2:29">
      <c r="B59" s="376" t="str">
        <f>IF(LEFT(Technologies!B$259,1)="*","*R2","R2")</f>
        <v>*R2</v>
      </c>
      <c r="C59" s="376" t="str">
        <f>Technologies!C$259</f>
        <v>XPELCRFLR1</v>
      </c>
      <c r="D59" s="376" t="str">
        <f>Technologies!D$259</f>
        <v>Delivery of Pipeline Traded ELCRFL from R1</v>
      </c>
      <c r="E59" s="415" t="str">
        <f>Commodities!C$82</f>
        <v>RFLR1</v>
      </c>
      <c r="F59" s="415" t="str">
        <f>Commodities!C$106</f>
        <v>ELCRFL</v>
      </c>
      <c r="G59" s="422">
        <v>1</v>
      </c>
      <c r="H59" s="421">
        <f t="shared" si="13"/>
        <v>0.22242615527773235</v>
      </c>
      <c r="I59" s="421">
        <f t="shared" si="13"/>
        <v>0.22242615527773235</v>
      </c>
      <c r="J59" s="421">
        <f t="shared" si="13"/>
        <v>0.22242615527773235</v>
      </c>
      <c r="K59" s="421">
        <f t="shared" si="13"/>
        <v>0.22242615527773235</v>
      </c>
      <c r="L59" s="421">
        <f t="shared" si="13"/>
        <v>0.22242615527773235</v>
      </c>
      <c r="M59" s="421">
        <f t="shared" si="13"/>
        <v>0.22242615527773235</v>
      </c>
      <c r="N59" s="421">
        <f t="shared" si="13"/>
        <v>0.22242615527773235</v>
      </c>
      <c r="O59" s="421">
        <f t="shared" si="13"/>
        <v>0.22242615527773235</v>
      </c>
      <c r="P59" s="421">
        <f t="shared" si="13"/>
        <v>0.22242615527773235</v>
      </c>
      <c r="Q59" s="421">
        <f t="shared" si="13"/>
        <v>0.22242615527773235</v>
      </c>
      <c r="S59" s="395"/>
      <c r="T59" s="395"/>
      <c r="U59" s="395"/>
      <c r="V59" s="395"/>
      <c r="W59" s="395"/>
      <c r="X59" s="395"/>
      <c r="Y59" s="395"/>
      <c r="Z59" s="395"/>
      <c r="AA59" s="395"/>
      <c r="AB59" s="395"/>
      <c r="AC59" s="395"/>
    </row>
    <row r="60" spans="2:29">
      <c r="B60" s="376" t="str">
        <f>IF(LEFT(Technologies!B$260,1)="*","*R2","R2")</f>
        <v>*R2</v>
      </c>
      <c r="C60" s="376" t="str">
        <f>Technologies!C$260</f>
        <v>XPTRNRFHR1</v>
      </c>
      <c r="D60" s="376" t="str">
        <f>Technologies!D$260</f>
        <v>Delivery of Pipeline Traded TRNRFH from R1</v>
      </c>
      <c r="E60" s="415" t="str">
        <f>Commodities!C$81</f>
        <v>RFHR1</v>
      </c>
      <c r="F60" s="415" t="str">
        <f>Commodities!C$107</f>
        <v>TRNRFH</v>
      </c>
      <c r="G60" s="422">
        <v>1</v>
      </c>
      <c r="H60" s="421">
        <f t="shared" si="13"/>
        <v>4.1223270609128093</v>
      </c>
      <c r="I60" s="421">
        <f t="shared" si="13"/>
        <v>4.101718459337703</v>
      </c>
      <c r="J60" s="421">
        <f t="shared" si="13"/>
        <v>4.3034761517291571</v>
      </c>
      <c r="K60" s="421">
        <f t="shared" si="13"/>
        <v>5.1385412612725583</v>
      </c>
      <c r="L60" s="421">
        <f t="shared" si="13"/>
        <v>4.73086881261447</v>
      </c>
      <c r="M60" s="421">
        <f t="shared" si="13"/>
        <v>4.2177922970085273</v>
      </c>
      <c r="N60" s="421">
        <f t="shared" si="13"/>
        <v>4.2177922970085273</v>
      </c>
      <c r="O60" s="421">
        <f t="shared" si="13"/>
        <v>4.2177922970085273</v>
      </c>
      <c r="P60" s="421">
        <f t="shared" si="13"/>
        <v>4.2177922970085273</v>
      </c>
      <c r="Q60" s="421">
        <f t="shared" si="13"/>
        <v>4.2177922970085273</v>
      </c>
      <c r="S60" s="395"/>
      <c r="T60" s="395"/>
      <c r="U60" s="395"/>
      <c r="V60" s="395"/>
      <c r="W60" s="395"/>
      <c r="X60" s="395"/>
      <c r="Y60" s="395"/>
      <c r="Z60" s="395"/>
      <c r="AA60" s="395"/>
      <c r="AB60" s="395"/>
      <c r="AC60" s="395"/>
    </row>
    <row r="61" spans="2:29">
      <c r="B61" s="376" t="str">
        <f>IF(LEFT(Technologies!B$261,1)="*","*R2","R2")</f>
        <v>*R2</v>
      </c>
      <c r="C61" s="376" t="str">
        <f>Technologies!C$261</f>
        <v>XPELCRFHR1</v>
      </c>
      <c r="D61" s="376" t="str">
        <f>Technologies!D$261</f>
        <v>Delivery of Pipeline Traded ELCRFH from R1</v>
      </c>
      <c r="E61" s="415" t="str">
        <f>Commodities!C$81</f>
        <v>RFHR1</v>
      </c>
      <c r="F61" s="415" t="str">
        <f>Commodities!C$108</f>
        <v>ELCRFH</v>
      </c>
      <c r="G61" s="422">
        <v>1</v>
      </c>
      <c r="H61" s="421">
        <f t="shared" si="13"/>
        <v>1.3814876132461995</v>
      </c>
      <c r="I61" s="421">
        <f t="shared" si="13"/>
        <v>1.3753626792116402</v>
      </c>
      <c r="J61" s="421">
        <f t="shared" si="13"/>
        <v>1.4353256297475618</v>
      </c>
      <c r="K61" s="421">
        <f t="shared" si="13"/>
        <v>1.683509316150321</v>
      </c>
      <c r="L61" s="421">
        <f t="shared" si="13"/>
        <v>1.5623479240666232</v>
      </c>
      <c r="M61" s="421">
        <f t="shared" si="13"/>
        <v>1.4098601484494724</v>
      </c>
      <c r="N61" s="421">
        <f t="shared" si="13"/>
        <v>1.4098601484494724</v>
      </c>
      <c r="O61" s="421">
        <f t="shared" si="13"/>
        <v>1.4098601484494724</v>
      </c>
      <c r="P61" s="421">
        <f t="shared" si="13"/>
        <v>1.4098601484494724</v>
      </c>
      <c r="Q61" s="421">
        <f t="shared" si="13"/>
        <v>1.4098601484494724</v>
      </c>
      <c r="S61" s="395"/>
      <c r="T61" s="395"/>
      <c r="U61" s="395"/>
      <c r="V61" s="395"/>
      <c r="W61" s="395"/>
      <c r="X61" s="395"/>
      <c r="Y61" s="395"/>
      <c r="Z61" s="395"/>
      <c r="AA61" s="395"/>
      <c r="AB61" s="395"/>
      <c r="AC61" s="395"/>
    </row>
    <row r="62" spans="2:29">
      <c r="B62" s="376" t="str">
        <f>IF(LEFT(Technologies!B$262,1)="*","*R2","R2")</f>
        <v>*R2</v>
      </c>
      <c r="C62" s="376" t="str">
        <f>Technologies!C$262</f>
        <v>XPINDASPR1</v>
      </c>
      <c r="D62" s="376" t="str">
        <f>Technologies!D$262</f>
        <v>Delivery of Pipeline Traded INDASP from R1</v>
      </c>
      <c r="E62" s="415" t="str">
        <f>Commodities!C$83</f>
        <v>ASPR1</v>
      </c>
      <c r="F62" s="415" t="str">
        <f>Commodities!C$109</f>
        <v>INDASP</v>
      </c>
      <c r="G62" s="422">
        <v>1</v>
      </c>
      <c r="H62" s="421">
        <f t="shared" si="13"/>
        <v>0.99967913297423372</v>
      </c>
      <c r="I62" s="421">
        <f t="shared" si="13"/>
        <v>0.99557182426870561</v>
      </c>
      <c r="J62" s="421">
        <f t="shared" si="13"/>
        <v>1.0357822734516178</v>
      </c>
      <c r="K62" s="421">
        <f t="shared" si="13"/>
        <v>1.2022113337452325</v>
      </c>
      <c r="L62" s="421">
        <f t="shared" si="13"/>
        <v>1.1209619296420472</v>
      </c>
      <c r="M62" s="421">
        <f t="shared" si="13"/>
        <v>1.0187054212870166</v>
      </c>
      <c r="N62" s="421">
        <f t="shared" si="13"/>
        <v>1.0187054212870166</v>
      </c>
      <c r="O62" s="421">
        <f>O192</f>
        <v>1.0187054212870166</v>
      </c>
      <c r="P62" s="421">
        <f t="shared" si="13"/>
        <v>1.0187054212870166</v>
      </c>
      <c r="Q62" s="421">
        <f t="shared" si="13"/>
        <v>1.0187054212870166</v>
      </c>
      <c r="S62" s="395"/>
      <c r="T62" s="395"/>
      <c r="U62" s="395"/>
      <c r="V62" s="395"/>
      <c r="W62" s="395"/>
      <c r="X62" s="395"/>
      <c r="Y62" s="395"/>
      <c r="Z62" s="395"/>
      <c r="AA62" s="395"/>
      <c r="AB62" s="395"/>
      <c r="AC62" s="395"/>
    </row>
    <row r="63" spans="2:29">
      <c r="B63" s="376" t="s">
        <v>588</v>
      </c>
      <c r="C63" s="376"/>
      <c r="D63" s="376"/>
      <c r="E63" s="415"/>
      <c r="F63" s="415"/>
      <c r="G63" s="422"/>
      <c r="H63" s="421"/>
      <c r="I63" s="421"/>
      <c r="J63" s="421"/>
      <c r="K63" s="421"/>
      <c r="L63" s="421"/>
      <c r="M63" s="421"/>
      <c r="N63" s="421"/>
      <c r="O63" s="421"/>
      <c r="P63" s="421"/>
      <c r="Q63" s="421"/>
      <c r="S63" s="395"/>
      <c r="T63" s="395"/>
      <c r="U63" s="395"/>
      <c r="V63" s="395"/>
      <c r="W63" s="395"/>
      <c r="X63" s="395"/>
      <c r="Y63" s="395"/>
      <c r="Z63" s="395"/>
      <c r="AA63" s="395"/>
      <c r="AB63" s="395"/>
      <c r="AC63" s="395"/>
    </row>
    <row r="64" spans="2:29">
      <c r="B64" s="376" t="str">
        <f>IF(LEFT(Technologies!B$238,1)="*","*R3","R3")</f>
        <v>R3</v>
      </c>
      <c r="C64" s="376" t="str">
        <f>Technologies!C$238</f>
        <v>XPTRGSLCR1</v>
      </c>
      <c r="D64" s="376" t="str">
        <f>Technologies!D$238</f>
        <v>Delivery of Pipeline Traded TRGSLC from R1</v>
      </c>
      <c r="E64" s="415" t="str">
        <f>Commodities!C$71</f>
        <v>GSCR1</v>
      </c>
      <c r="F64" s="415" t="str">
        <f>Commodities!C$85</f>
        <v>TRGSLC</v>
      </c>
      <c r="G64" s="422">
        <v>1</v>
      </c>
      <c r="H64" s="421">
        <f t="shared" ref="H64:Q64" si="14">H38</f>
        <v>3.5905223919625726</v>
      </c>
      <c r="I64" s="421">
        <f t="shared" si="14"/>
        <v>3.5727240542386172</v>
      </c>
      <c r="J64" s="421">
        <f t="shared" si="14"/>
        <v>3.7469693340312364</v>
      </c>
      <c r="K64" s="421">
        <f t="shared" si="14"/>
        <v>4.4681619286369019</v>
      </c>
      <c r="L64" s="421">
        <f t="shared" si="14"/>
        <v>4.1160811775230988</v>
      </c>
      <c r="M64" s="421">
        <f t="shared" si="14"/>
        <v>3.6729696413179656</v>
      </c>
      <c r="N64" s="421">
        <f t="shared" si="14"/>
        <v>3.6729696413179656</v>
      </c>
      <c r="O64" s="421">
        <f t="shared" si="14"/>
        <v>3.6729696413179656</v>
      </c>
      <c r="P64" s="421">
        <f t="shared" si="14"/>
        <v>3.6729696413179656</v>
      </c>
      <c r="Q64" s="421">
        <f t="shared" si="14"/>
        <v>3.6729696413179656</v>
      </c>
      <c r="S64" s="395"/>
      <c r="T64" s="395"/>
      <c r="U64" s="395"/>
      <c r="V64" s="395"/>
      <c r="W64" s="395"/>
      <c r="X64" s="395"/>
      <c r="Y64" s="395"/>
      <c r="Z64" s="395"/>
      <c r="AA64" s="395"/>
      <c r="AB64" s="395"/>
      <c r="AC64" s="395"/>
    </row>
    <row r="65" spans="2:29">
      <c r="B65" s="376" t="str">
        <f>IF(LEFT(Technologies!B$239,1)="*","*R3","R3")</f>
        <v>R3</v>
      </c>
      <c r="C65" s="376" t="str">
        <f>Technologies!C$239</f>
        <v>XPTRGSLRR1</v>
      </c>
      <c r="D65" s="376" t="str">
        <f>Technologies!D$239</f>
        <v>Delivery of Pipeline Traded TRGSLR from R1</v>
      </c>
      <c r="E65" s="415" t="str">
        <f>Commodities!C$72</f>
        <v>GSRR1</v>
      </c>
      <c r="F65" s="415" t="str">
        <f>Commodities!C$86</f>
        <v>TRGSLR</v>
      </c>
      <c r="G65" s="422">
        <v>1</v>
      </c>
      <c r="H65" s="421">
        <f t="shared" ref="H65:Q80" si="15">H39</f>
        <v>3.5973404005388576</v>
      </c>
      <c r="I65" s="421">
        <f t="shared" si="15"/>
        <v>3.5795060337911697</v>
      </c>
      <c r="J65" s="421">
        <f t="shared" si="15"/>
        <v>3.7541040368222358</v>
      </c>
      <c r="K65" s="421">
        <f t="shared" si="15"/>
        <v>4.4767565354655634</v>
      </c>
      <c r="L65" s="421">
        <f t="shared" si="15"/>
        <v>4.1239630702806798</v>
      </c>
      <c r="M65" s="421">
        <f t="shared" si="15"/>
        <v>3.6799545471601522</v>
      </c>
      <c r="N65" s="421">
        <f t="shared" si="15"/>
        <v>3.6799545471601522</v>
      </c>
      <c r="O65" s="421">
        <f t="shared" si="15"/>
        <v>3.6799545471601522</v>
      </c>
      <c r="P65" s="421">
        <f t="shared" si="15"/>
        <v>3.6799545471601522</v>
      </c>
      <c r="Q65" s="421">
        <f t="shared" si="15"/>
        <v>3.6799545471601522</v>
      </c>
      <c r="S65" s="395"/>
      <c r="T65" s="395"/>
      <c r="U65" s="395"/>
      <c r="V65" s="395"/>
      <c r="W65" s="395"/>
      <c r="X65" s="395"/>
      <c r="Y65" s="395"/>
      <c r="Z65" s="395"/>
      <c r="AA65" s="395"/>
      <c r="AB65" s="395"/>
      <c r="AC65" s="395"/>
    </row>
    <row r="66" spans="2:29">
      <c r="B66" s="376" t="str">
        <f>IF(LEFT(Technologies!B$240,1)="*","*R3","R3")</f>
        <v>R3</v>
      </c>
      <c r="C66" s="376" t="str">
        <f>Technologies!C$240</f>
        <v>XPRESDSLR1</v>
      </c>
      <c r="D66" s="376" t="str">
        <f>Technologies!D$240</f>
        <v>Delivery of Pipeline Traded RESDSL from R1</v>
      </c>
      <c r="E66" s="415" t="str">
        <f>Commodities!C$73</f>
        <v>DSHR1</v>
      </c>
      <c r="F66" s="415" t="str">
        <f>Commodities!C$87</f>
        <v>RESDSL</v>
      </c>
      <c r="G66" s="422">
        <v>1</v>
      </c>
      <c r="H66" s="421">
        <f t="shared" si="15"/>
        <v>3.6587024777254236</v>
      </c>
      <c r="I66" s="421">
        <f t="shared" si="15"/>
        <v>3.6405438497641418</v>
      </c>
      <c r="J66" s="421">
        <f t="shared" si="15"/>
        <v>3.818316361941227</v>
      </c>
      <c r="K66" s="421">
        <f t="shared" si="15"/>
        <v>4.5541079969235243</v>
      </c>
      <c r="L66" s="421">
        <f t="shared" si="15"/>
        <v>4.194900105098915</v>
      </c>
      <c r="M66" s="421">
        <f t="shared" si="15"/>
        <v>3.7428186997398325</v>
      </c>
      <c r="N66" s="421">
        <f t="shared" si="15"/>
        <v>3.7428186997398325</v>
      </c>
      <c r="O66" s="421">
        <f t="shared" si="15"/>
        <v>3.7428186997398325</v>
      </c>
      <c r="P66" s="421">
        <f t="shared" si="15"/>
        <v>3.7428186997398325</v>
      </c>
      <c r="Q66" s="421">
        <f t="shared" si="15"/>
        <v>3.7428186997398325</v>
      </c>
      <c r="S66" s="395"/>
      <c r="T66" s="395"/>
      <c r="U66" s="395"/>
      <c r="V66" s="395"/>
      <c r="W66" s="395"/>
      <c r="X66" s="395"/>
      <c r="Y66" s="395"/>
      <c r="Z66" s="395"/>
      <c r="AA66" s="395"/>
      <c r="AB66" s="395"/>
      <c r="AC66" s="395"/>
    </row>
    <row r="67" spans="2:29">
      <c r="B67" s="376" t="str">
        <f>IF(LEFT(Technologies!B$241,1)="*","*R3","R3")</f>
        <v>R3</v>
      </c>
      <c r="C67" s="376" t="str">
        <f>Technologies!C$241</f>
        <v>XPCOMDSLR1</v>
      </c>
      <c r="D67" s="376" t="str">
        <f>Technologies!D$241</f>
        <v>Delivery of Pipeline Traded COMDSL from R1</v>
      </c>
      <c r="E67" s="415" t="str">
        <f>Commodities!C$73</f>
        <v>DSHR1</v>
      </c>
      <c r="F67" s="415" t="str">
        <f>Commodities!C$88</f>
        <v>COMDSL</v>
      </c>
      <c r="G67" s="422">
        <v>1</v>
      </c>
      <c r="H67" s="421">
        <f t="shared" si="15"/>
        <v>1.6201179134161774</v>
      </c>
      <c r="I67" s="421">
        <f t="shared" si="15"/>
        <v>1.6127319635509734</v>
      </c>
      <c r="J67" s="421">
        <f t="shared" si="15"/>
        <v>1.685040227432526</v>
      </c>
      <c r="K67" s="421">
        <f t="shared" si="15"/>
        <v>1.9843205551535004</v>
      </c>
      <c r="L67" s="421">
        <f t="shared" si="15"/>
        <v>1.8382141705819826</v>
      </c>
      <c r="M67" s="421">
        <f t="shared" si="15"/>
        <v>1.6543318529260067</v>
      </c>
      <c r="N67" s="421">
        <f t="shared" si="15"/>
        <v>1.6543318529260067</v>
      </c>
      <c r="O67" s="421">
        <f t="shared" si="15"/>
        <v>1.6543318529260067</v>
      </c>
      <c r="P67" s="421">
        <f t="shared" si="15"/>
        <v>1.6543318529260067</v>
      </c>
      <c r="Q67" s="421">
        <f t="shared" si="15"/>
        <v>1.6543318529260067</v>
      </c>
      <c r="S67" s="395"/>
      <c r="T67" s="395"/>
      <c r="U67" s="395"/>
      <c r="V67" s="395"/>
      <c r="W67" s="395"/>
      <c r="X67" s="395"/>
      <c r="Y67" s="395"/>
      <c r="Z67" s="395"/>
      <c r="AA67" s="395"/>
      <c r="AB67" s="395"/>
      <c r="AC67" s="395"/>
    </row>
    <row r="68" spans="2:29">
      <c r="B68" s="376" t="str">
        <f>IF(LEFT(Technologies!B$242,1)="*","*R3","R3")</f>
        <v>*R3</v>
      </c>
      <c r="C68" s="376" t="str">
        <f>Technologies!C$242</f>
        <v>XPINDDSLR1</v>
      </c>
      <c r="D68" s="376" t="str">
        <f>Technologies!D$242</f>
        <v>Delivery of Pipeline Traded INDDSL from R1</v>
      </c>
      <c r="E68" s="415" t="str">
        <f>Commodities!C$73</f>
        <v>DSHR1</v>
      </c>
      <c r="F68" s="415" t="str">
        <f>Commodities!C$89</f>
        <v>INDDSL</v>
      </c>
      <c r="G68" s="422">
        <v>1</v>
      </c>
      <c r="H68" s="421">
        <f t="shared" si="15"/>
        <v>1.7223880420604547</v>
      </c>
      <c r="I68" s="421">
        <f t="shared" si="15"/>
        <v>1.7144616568392603</v>
      </c>
      <c r="J68" s="421">
        <f t="shared" si="15"/>
        <v>1.7920607692975117</v>
      </c>
      <c r="K68" s="421">
        <f t="shared" si="15"/>
        <v>2.1132396575834358</v>
      </c>
      <c r="L68" s="421">
        <f t="shared" si="15"/>
        <v>1.9564425619457091</v>
      </c>
      <c r="M68" s="421">
        <f t="shared" si="15"/>
        <v>1.759105440558808</v>
      </c>
      <c r="N68" s="421">
        <f t="shared" si="15"/>
        <v>1.759105440558808</v>
      </c>
      <c r="O68" s="421">
        <f t="shared" si="15"/>
        <v>1.759105440558808</v>
      </c>
      <c r="P68" s="421">
        <f t="shared" si="15"/>
        <v>1.759105440558808</v>
      </c>
      <c r="Q68" s="421">
        <f t="shared" si="15"/>
        <v>1.759105440558808</v>
      </c>
      <c r="S68" s="395"/>
      <c r="T68" s="395"/>
      <c r="U68" s="395"/>
      <c r="V68" s="395"/>
      <c r="W68" s="395"/>
      <c r="X68" s="395"/>
      <c r="Y68" s="395"/>
      <c r="Z68" s="395"/>
      <c r="AA68" s="395"/>
      <c r="AB68" s="395"/>
      <c r="AC68" s="395"/>
    </row>
    <row r="69" spans="2:29">
      <c r="B69" s="376" t="str">
        <f>IF(LEFT(Technologies!B$243,1)="*","*R3","R3")</f>
        <v>R3</v>
      </c>
      <c r="C69" s="376" t="str">
        <f>Technologies!C$243</f>
        <v>XPELCDSLR1</v>
      </c>
      <c r="D69" s="376" t="str">
        <f>Technologies!D$243</f>
        <v>Delivery of Pipeline Traded ELCDSL from R1</v>
      </c>
      <c r="E69" s="415" t="str">
        <f>Commodities!C$73</f>
        <v>DSHR1</v>
      </c>
      <c r="F69" s="415" t="str">
        <f>Commodities!C$90</f>
        <v>ELCDSL</v>
      </c>
      <c r="G69" s="422">
        <v>1</v>
      </c>
      <c r="H69" s="421">
        <f t="shared" si="15"/>
        <v>0.74059480707540037</v>
      </c>
      <c r="I69" s="421">
        <f t="shared" si="15"/>
        <v>0.73785660127171493</v>
      </c>
      <c r="J69" s="421">
        <f t="shared" si="15"/>
        <v>0.76466356739365637</v>
      </c>
      <c r="K69" s="421">
        <f t="shared" si="15"/>
        <v>0.87561627425606647</v>
      </c>
      <c r="L69" s="421">
        <f t="shared" si="15"/>
        <v>0.82145000485394293</v>
      </c>
      <c r="M69" s="421">
        <f t="shared" si="15"/>
        <v>0.75327899928392239</v>
      </c>
      <c r="N69" s="421">
        <f t="shared" si="15"/>
        <v>0.75327899928392239</v>
      </c>
      <c r="O69" s="421">
        <f t="shared" si="15"/>
        <v>0.75327899928392239</v>
      </c>
      <c r="P69" s="421">
        <f t="shared" si="15"/>
        <v>0.75327899928392239</v>
      </c>
      <c r="Q69" s="421">
        <f t="shared" si="15"/>
        <v>0.75327899928392239</v>
      </c>
      <c r="S69" s="395"/>
      <c r="T69" s="395"/>
      <c r="U69" s="395"/>
      <c r="V69" s="395"/>
      <c r="W69" s="395"/>
      <c r="X69" s="395"/>
      <c r="Y69" s="395"/>
      <c r="Z69" s="395"/>
      <c r="AA69" s="395"/>
      <c r="AB69" s="395"/>
      <c r="AC69" s="395"/>
    </row>
    <row r="70" spans="2:29">
      <c r="B70" s="376" t="str">
        <f>IF(LEFT(Technologies!B$244,1)="*","*R3","R3")</f>
        <v>R3</v>
      </c>
      <c r="C70" s="376" t="str">
        <f>Technologies!C$244</f>
        <v>XPTRDSLLR1</v>
      </c>
      <c r="D70" s="376" t="str">
        <f>Technologies!D$244</f>
        <v>Delivery of Pipeline Traded TRDSLL from R1</v>
      </c>
      <c r="E70" s="415" t="str">
        <f>Commodities!C$74</f>
        <v>DSLR1</v>
      </c>
      <c r="F70" s="415" t="str">
        <f>Commodities!C$91</f>
        <v>TRDSLL</v>
      </c>
      <c r="G70" s="422">
        <v>1</v>
      </c>
      <c r="H70" s="421">
        <f t="shared" si="15"/>
        <v>4.4427734639982104</v>
      </c>
      <c r="I70" s="421">
        <f t="shared" si="15"/>
        <v>4.4204714983076672</v>
      </c>
      <c r="J70" s="421">
        <f t="shared" si="15"/>
        <v>4.6388071829061115</v>
      </c>
      <c r="K70" s="421">
        <f t="shared" si="15"/>
        <v>5.5424877822196859</v>
      </c>
      <c r="L70" s="421">
        <f t="shared" si="15"/>
        <v>5.1013177722208125</v>
      </c>
      <c r="M70" s="421">
        <f t="shared" si="15"/>
        <v>4.5460828715913042</v>
      </c>
      <c r="N70" s="421">
        <f t="shared" si="15"/>
        <v>4.5460828715913042</v>
      </c>
      <c r="O70" s="421">
        <f t="shared" si="15"/>
        <v>4.5460828715913042</v>
      </c>
      <c r="P70" s="421">
        <f t="shared" si="15"/>
        <v>4.5460828715913042</v>
      </c>
      <c r="Q70" s="421">
        <f t="shared" si="15"/>
        <v>4.5460828715913042</v>
      </c>
      <c r="S70" s="395"/>
      <c r="T70" s="395"/>
      <c r="U70" s="395"/>
      <c r="V70" s="395"/>
      <c r="W70" s="395"/>
      <c r="X70" s="395"/>
      <c r="Y70" s="395"/>
      <c r="Z70" s="395"/>
      <c r="AA70" s="395"/>
      <c r="AB70" s="395"/>
      <c r="AC70" s="395"/>
    </row>
    <row r="71" spans="2:29">
      <c r="B71" s="376" t="str">
        <f>IF(LEFT(Technologies!B$245,1)="*","*R3","R3")</f>
        <v>R3</v>
      </c>
      <c r="C71" s="376" t="str">
        <f>Technologies!C$245</f>
        <v>XPTRDSLUR1</v>
      </c>
      <c r="D71" s="376" t="str">
        <f>Technologies!D$245</f>
        <v>Delivery of Pipeline Traded TRDSLU from R1</v>
      </c>
      <c r="E71" s="415" t="str">
        <f>Commodities!C$75</f>
        <v>DSUR1</v>
      </c>
      <c r="F71" s="415" t="str">
        <f>Commodities!C$92</f>
        <v>TRDSLU</v>
      </c>
      <c r="G71" s="422">
        <v>1</v>
      </c>
      <c r="H71" s="421">
        <f t="shared" si="15"/>
        <v>3.8018806578274109</v>
      </c>
      <c r="I71" s="421">
        <f t="shared" si="15"/>
        <v>3.7829654203677423</v>
      </c>
      <c r="J71" s="421">
        <f t="shared" si="15"/>
        <v>3.9681451205522058</v>
      </c>
      <c r="K71" s="421">
        <f t="shared" si="15"/>
        <v>4.7345947403254325</v>
      </c>
      <c r="L71" s="421">
        <f t="shared" si="15"/>
        <v>4.360419853008132</v>
      </c>
      <c r="M71" s="421">
        <f t="shared" si="15"/>
        <v>3.8895017224257535</v>
      </c>
      <c r="N71" s="421">
        <f t="shared" si="15"/>
        <v>3.8895017224257535</v>
      </c>
      <c r="O71" s="421">
        <f t="shared" si="15"/>
        <v>3.8895017224257535</v>
      </c>
      <c r="P71" s="421">
        <f t="shared" si="15"/>
        <v>3.8895017224257535</v>
      </c>
      <c r="Q71" s="421">
        <f t="shared" si="15"/>
        <v>3.8895017224257535</v>
      </c>
      <c r="S71" s="395"/>
      <c r="T71" s="395"/>
      <c r="U71" s="395"/>
      <c r="V71" s="395"/>
      <c r="W71" s="395"/>
      <c r="X71" s="395"/>
      <c r="Y71" s="395"/>
      <c r="Z71" s="395"/>
      <c r="AA71" s="395"/>
      <c r="AB71" s="395"/>
      <c r="AC71" s="395"/>
    </row>
    <row r="72" spans="2:29">
      <c r="B72" s="376" t="str">
        <f>IF(LEFT(Technologies!B$246,1)="*","*R3","R3")</f>
        <v>R3</v>
      </c>
      <c r="C72" s="376" t="str">
        <f>Technologies!C$246</f>
        <v>XPTRNJTFR1</v>
      </c>
      <c r="D72" s="376" t="str">
        <f>Technologies!D$246</f>
        <v>Delivery of Pipeline Traded TRNJTF from R1</v>
      </c>
      <c r="E72" s="415" t="str">
        <f>Commodities!C$76</f>
        <v>JTFR1</v>
      </c>
      <c r="F72" s="415" t="str">
        <f>Commodities!C$93</f>
        <v>TRNJTF</v>
      </c>
      <c r="G72" s="422">
        <v>1</v>
      </c>
      <c r="H72" s="421">
        <f t="shared" si="15"/>
        <v>0.91104502148252731</v>
      </c>
      <c r="I72" s="421">
        <f t="shared" si="15"/>
        <v>0.90740609008552431</v>
      </c>
      <c r="J72" s="421">
        <f t="shared" si="15"/>
        <v>0.94303113716863063</v>
      </c>
      <c r="K72" s="421">
        <f t="shared" si="15"/>
        <v>1.0904814449726228</v>
      </c>
      <c r="L72" s="421">
        <f t="shared" si="15"/>
        <v>1.0184973237934849</v>
      </c>
      <c r="M72" s="421">
        <f t="shared" si="15"/>
        <v>0.92790164533858943</v>
      </c>
      <c r="N72" s="421">
        <f t="shared" si="15"/>
        <v>0.92790164533858943</v>
      </c>
      <c r="O72" s="421">
        <f t="shared" si="15"/>
        <v>0.92790164533858943</v>
      </c>
      <c r="P72" s="421">
        <f t="shared" si="15"/>
        <v>0.92790164533858943</v>
      </c>
      <c r="Q72" s="421">
        <f t="shared" si="15"/>
        <v>0.92790164533858943</v>
      </c>
      <c r="S72" s="395"/>
      <c r="T72" s="395"/>
      <c r="U72" s="395"/>
      <c r="V72" s="395"/>
      <c r="W72" s="395"/>
      <c r="X72" s="395"/>
      <c r="Y72" s="395"/>
      <c r="Z72" s="395"/>
      <c r="AA72" s="395"/>
      <c r="AB72" s="395"/>
      <c r="AC72" s="395"/>
    </row>
    <row r="73" spans="2:29">
      <c r="B73" s="376" t="str">
        <f>IF(LEFT(Technologies!B$247,1)="*","*R3","R3")</f>
        <v>*R3</v>
      </c>
      <c r="C73" s="376" t="str">
        <f>Technologies!C$247</f>
        <v>XPRESKERR1</v>
      </c>
      <c r="D73" s="376" t="str">
        <f>Technologies!D$247</f>
        <v>Delivery of Pipeline Traded RESKER from R1</v>
      </c>
      <c r="E73" s="415" t="str">
        <f>Commodities!C$77</f>
        <v>KERR1</v>
      </c>
      <c r="F73" s="415" t="str">
        <f>Commodities!C$94</f>
        <v>RESKER</v>
      </c>
      <c r="G73" s="422">
        <v>1</v>
      </c>
      <c r="H73" s="421">
        <f t="shared" si="15"/>
        <v>2.3360088139261128</v>
      </c>
      <c r="I73" s="421">
        <f t="shared" si="15"/>
        <v>2.324839816568975</v>
      </c>
      <c r="J73" s="421">
        <f t="shared" si="15"/>
        <v>2.4341840204874203</v>
      </c>
      <c r="K73" s="421">
        <f t="shared" si="15"/>
        <v>2.8867542721630399</v>
      </c>
      <c r="L73" s="421">
        <f t="shared" si="15"/>
        <v>2.6658129101280625</v>
      </c>
      <c r="M73" s="421">
        <f t="shared" si="15"/>
        <v>2.387746966355611</v>
      </c>
      <c r="N73" s="421">
        <f t="shared" si="15"/>
        <v>2.387746966355611</v>
      </c>
      <c r="O73" s="421">
        <f t="shared" si="15"/>
        <v>2.387746966355611</v>
      </c>
      <c r="P73" s="421">
        <f t="shared" si="15"/>
        <v>2.387746966355611</v>
      </c>
      <c r="Q73" s="421">
        <f t="shared" si="15"/>
        <v>2.387746966355611</v>
      </c>
      <c r="S73" s="395"/>
      <c r="T73" s="395"/>
      <c r="U73" s="395"/>
      <c r="V73" s="395"/>
      <c r="W73" s="395"/>
      <c r="X73" s="395"/>
      <c r="Y73" s="395"/>
      <c r="Z73" s="395"/>
      <c r="AA73" s="395"/>
      <c r="AB73" s="395"/>
      <c r="AC73" s="395"/>
    </row>
    <row r="74" spans="2:29">
      <c r="B74" s="376" t="str">
        <f>IF(LEFT(Technologies!B$248,1)="*","*R3","R3")</f>
        <v>*R3</v>
      </c>
      <c r="C74" s="376" t="str">
        <f>Technologies!C$248</f>
        <v>XPCOMKERR1</v>
      </c>
      <c r="D74" s="376" t="str">
        <f>Technologies!D$248</f>
        <v>Delivery of Pipeline Traded COMKER from R1</v>
      </c>
      <c r="E74" s="415" t="str">
        <f>Commodities!C$77</f>
        <v>KERR1</v>
      </c>
      <c r="F74" s="415" t="str">
        <f>Commodities!C$95</f>
        <v>COMKER</v>
      </c>
      <c r="G74" s="422">
        <v>1</v>
      </c>
      <c r="H74" s="421">
        <f t="shared" si="15"/>
        <v>2.0905605051798508</v>
      </c>
      <c r="I74" s="421">
        <f t="shared" si="15"/>
        <v>2.0806885526770902</v>
      </c>
      <c r="J74" s="421">
        <f t="shared" si="15"/>
        <v>2.1773347200114577</v>
      </c>
      <c r="K74" s="421">
        <f t="shared" si="15"/>
        <v>2.5773484263311994</v>
      </c>
      <c r="L74" s="421">
        <f t="shared" si="15"/>
        <v>2.3820647708551226</v>
      </c>
      <c r="M74" s="421">
        <f t="shared" si="15"/>
        <v>2.1362903560368904</v>
      </c>
      <c r="N74" s="421">
        <f t="shared" si="15"/>
        <v>2.1362903560368904</v>
      </c>
      <c r="O74" s="421">
        <f t="shared" si="15"/>
        <v>2.1362903560368904</v>
      </c>
      <c r="P74" s="421">
        <f t="shared" si="15"/>
        <v>2.1362903560368904</v>
      </c>
      <c r="Q74" s="421">
        <f t="shared" si="15"/>
        <v>2.1362903560368904</v>
      </c>
      <c r="S74" s="395"/>
      <c r="T74" s="395"/>
      <c r="U74" s="395"/>
      <c r="V74" s="395"/>
      <c r="W74" s="395"/>
      <c r="X74" s="395"/>
      <c r="Y74" s="395"/>
      <c r="Z74" s="395"/>
      <c r="AA74" s="395"/>
      <c r="AB74" s="395"/>
      <c r="AC74" s="395"/>
    </row>
    <row r="75" spans="2:29">
      <c r="B75" s="376" t="str">
        <f>IF(LEFT(Technologies!B$249,1)="*","*R3","R3")</f>
        <v>*R3</v>
      </c>
      <c r="C75" s="376" t="str">
        <f>Technologies!C$249</f>
        <v>XPINDKERR1</v>
      </c>
      <c r="D75" s="376" t="str">
        <f>Technologies!D$249</f>
        <v>Delivery of Pipeline Traded INDKER from R1</v>
      </c>
      <c r="E75" s="415" t="str">
        <f>Commodities!C$77</f>
        <v>KERR1</v>
      </c>
      <c r="F75" s="415" t="str">
        <f>Commodities!C$96</f>
        <v>INDKER</v>
      </c>
      <c r="G75" s="422">
        <v>1</v>
      </c>
      <c r="H75" s="421">
        <f t="shared" si="15"/>
        <v>1.3814876132462</v>
      </c>
      <c r="I75" s="421">
        <f t="shared" si="15"/>
        <v>1.3753626792116402</v>
      </c>
      <c r="J75" s="421">
        <f t="shared" si="15"/>
        <v>1.4353256297475618</v>
      </c>
      <c r="K75" s="421">
        <f t="shared" si="15"/>
        <v>1.683509316150321</v>
      </c>
      <c r="L75" s="421">
        <f t="shared" si="15"/>
        <v>1.5623479240666236</v>
      </c>
      <c r="M75" s="421">
        <f t="shared" si="15"/>
        <v>1.4098601484494724</v>
      </c>
      <c r="N75" s="421">
        <f t="shared" si="15"/>
        <v>1.4098601484494724</v>
      </c>
      <c r="O75" s="421">
        <f t="shared" si="15"/>
        <v>1.4098601484494724</v>
      </c>
      <c r="P75" s="421">
        <f t="shared" si="15"/>
        <v>1.4098601484494724</v>
      </c>
      <c r="Q75" s="421">
        <f t="shared" si="15"/>
        <v>1.4098601484494724</v>
      </c>
      <c r="S75" s="395"/>
      <c r="T75" s="395"/>
      <c r="U75" s="395"/>
      <c r="V75" s="395"/>
      <c r="W75" s="395"/>
      <c r="X75" s="395"/>
      <c r="Y75" s="395"/>
      <c r="Z75" s="395"/>
      <c r="AA75" s="395"/>
      <c r="AB75" s="395"/>
      <c r="AC75" s="395"/>
    </row>
    <row r="76" spans="2:29">
      <c r="B76" s="376" t="str">
        <f>IF(LEFT(Technologies!B$250,1)="*","*R3","R3")</f>
        <v>*R3</v>
      </c>
      <c r="C76" s="376" t="str">
        <f>Technologies!C$250</f>
        <v>XPRESLPGR1</v>
      </c>
      <c r="D76" s="376" t="str">
        <f>Technologies!D$250</f>
        <v>Delivery of Pipeline Traded RESLPG from R1</v>
      </c>
      <c r="E76" s="415" t="str">
        <f>Commodities!C$78</f>
        <v>LPGR1</v>
      </c>
      <c r="F76" s="415" t="str">
        <f>Commodities!C$97</f>
        <v>RESLPG</v>
      </c>
      <c r="G76" s="422">
        <v>1</v>
      </c>
      <c r="H76" s="421">
        <f t="shared" si="15"/>
        <v>6.7131703199011481</v>
      </c>
      <c r="I76" s="421">
        <f t="shared" si="15"/>
        <v>6.6788706893076153</v>
      </c>
      <c r="J76" s="421">
        <f t="shared" si="15"/>
        <v>7.0146632123087764</v>
      </c>
      <c r="K76" s="421">
        <f t="shared" si="15"/>
        <v>8.4044918561642277</v>
      </c>
      <c r="L76" s="421">
        <f t="shared" si="15"/>
        <v>7.7259880604955224</v>
      </c>
      <c r="M76" s="421">
        <f t="shared" si="15"/>
        <v>6.8720565170394758</v>
      </c>
      <c r="N76" s="421">
        <f t="shared" si="15"/>
        <v>6.8720565170394758</v>
      </c>
      <c r="O76" s="421">
        <f t="shared" si="15"/>
        <v>6.8720565170394758</v>
      </c>
      <c r="P76" s="421">
        <f t="shared" si="15"/>
        <v>6.8720565170394758</v>
      </c>
      <c r="Q76" s="421">
        <f t="shared" si="15"/>
        <v>6.8720565170394758</v>
      </c>
      <c r="S76" s="395"/>
      <c r="T76" s="395"/>
      <c r="U76" s="395"/>
      <c r="V76" s="395"/>
      <c r="W76" s="395"/>
      <c r="X76" s="395"/>
      <c r="Y76" s="395"/>
      <c r="Z76" s="395"/>
      <c r="AA76" s="395"/>
      <c r="AB76" s="395"/>
      <c r="AC76" s="395"/>
    </row>
    <row r="77" spans="2:29">
      <c r="B77" s="376" t="str">
        <f>IF(LEFT(Technologies!B$251,1)="*","*R3","R3")</f>
        <v>*R3</v>
      </c>
      <c r="C77" s="376" t="str">
        <f>Technologies!C$251</f>
        <v>XPCOMLPGR1</v>
      </c>
      <c r="D77" s="376" t="str">
        <f>Technologies!D$251</f>
        <v>Delivery of Pipeline Traded COMLPG from R1</v>
      </c>
      <c r="E77" s="415" t="str">
        <f>Commodities!C$78</f>
        <v>LPGR1</v>
      </c>
      <c r="F77" s="415" t="str">
        <f>Commodities!C$98</f>
        <v>COMLPG</v>
      </c>
      <c r="G77" s="422">
        <v>1</v>
      </c>
      <c r="H77" s="421">
        <f t="shared" si="15"/>
        <v>2.8132694142660704</v>
      </c>
      <c r="I77" s="421">
        <f t="shared" si="15"/>
        <v>2.7995783852476435</v>
      </c>
      <c r="J77" s="421">
        <f t="shared" si="15"/>
        <v>2.9336132158573505</v>
      </c>
      <c r="K77" s="421">
        <f t="shared" si="15"/>
        <v>3.4883767501694001</v>
      </c>
      <c r="L77" s="421">
        <f t="shared" si="15"/>
        <v>3.2175454031587827</v>
      </c>
      <c r="M77" s="421">
        <f t="shared" si="15"/>
        <v>2.8766903753086801</v>
      </c>
      <c r="N77" s="421">
        <f t="shared" si="15"/>
        <v>2.8766903753086801</v>
      </c>
      <c r="O77" s="421">
        <f t="shared" si="15"/>
        <v>2.8766903753086801</v>
      </c>
      <c r="P77" s="421">
        <f t="shared" si="15"/>
        <v>2.8766903753086801</v>
      </c>
      <c r="Q77" s="421">
        <f t="shared" si="15"/>
        <v>2.8766903753086801</v>
      </c>
      <c r="S77" s="395"/>
      <c r="T77" s="395"/>
      <c r="U77" s="395"/>
      <c r="V77" s="395"/>
      <c r="W77" s="395"/>
      <c r="X77" s="395"/>
      <c r="Y77" s="395"/>
      <c r="Z77" s="395"/>
      <c r="AA77" s="395"/>
      <c r="AB77" s="395"/>
      <c r="AC77" s="395"/>
    </row>
    <row r="78" spans="2:29">
      <c r="B78" s="376" t="str">
        <f>IF(LEFT(Technologies!B$252,1)="*","*R3","R3")</f>
        <v>*R3</v>
      </c>
      <c r="C78" s="376" t="str">
        <f>Technologies!C$252</f>
        <v>XPINDLPGR1</v>
      </c>
      <c r="D78" s="376" t="str">
        <f>Technologies!D$252</f>
        <v>Delivery of Pipeline Traded INDLPG from R1</v>
      </c>
      <c r="E78" s="415" t="str">
        <f>Commodities!C$78</f>
        <v>LPGR1</v>
      </c>
      <c r="F78" s="415" t="str">
        <f>Commodities!C$99</f>
        <v>INDLPG</v>
      </c>
      <c r="G78" s="422">
        <v>1</v>
      </c>
      <c r="H78" s="421">
        <f t="shared" si="15"/>
        <v>2.4723689854518156</v>
      </c>
      <c r="I78" s="421">
        <f t="shared" si="15"/>
        <v>2.4604794076200243</v>
      </c>
      <c r="J78" s="421">
        <f t="shared" si="15"/>
        <v>2.5768780763074011</v>
      </c>
      <c r="K78" s="421">
        <f t="shared" si="15"/>
        <v>3.058646408736287</v>
      </c>
      <c r="L78" s="421">
        <f t="shared" si="15"/>
        <v>2.8234507652796976</v>
      </c>
      <c r="M78" s="421">
        <f t="shared" si="15"/>
        <v>2.5274450831993458</v>
      </c>
      <c r="N78" s="421">
        <f t="shared" si="15"/>
        <v>2.5274450831993458</v>
      </c>
      <c r="O78" s="421">
        <f t="shared" si="15"/>
        <v>2.5274450831993458</v>
      </c>
      <c r="P78" s="421">
        <f t="shared" si="15"/>
        <v>2.5274450831993458</v>
      </c>
      <c r="Q78" s="421">
        <f t="shared" si="15"/>
        <v>2.5274450831993458</v>
      </c>
      <c r="S78" s="395"/>
      <c r="T78" s="395"/>
      <c r="U78" s="395"/>
      <c r="V78" s="395"/>
      <c r="W78" s="395"/>
      <c r="X78" s="395"/>
      <c r="Y78" s="395"/>
      <c r="Z78" s="395"/>
      <c r="AA78" s="395"/>
      <c r="AB78" s="395"/>
      <c r="AC78" s="395"/>
    </row>
    <row r="79" spans="2:29">
      <c r="B79" s="376" t="str">
        <f>IF(LEFT(Technologies!B$253,1)="*","*R3","R3")</f>
        <v>*R3</v>
      </c>
      <c r="C79" s="376" t="str">
        <f>Technologies!C$253</f>
        <v>XPTRNLPGR1</v>
      </c>
      <c r="D79" s="376" t="str">
        <f>Technologies!D$253</f>
        <v>Delivery of Pipeline Traded TRNLPG from R1</v>
      </c>
      <c r="E79" s="415" t="str">
        <f>Commodities!C$78</f>
        <v>LPGR1</v>
      </c>
      <c r="F79" s="415" t="str">
        <f>Commodities!C$100</f>
        <v>TRNLPG</v>
      </c>
      <c r="G79" s="422">
        <v>1</v>
      </c>
      <c r="H79" s="421">
        <f t="shared" si="15"/>
        <v>4.0541469751499584</v>
      </c>
      <c r="I79" s="421">
        <f t="shared" si="15"/>
        <v>4.0338986638121783</v>
      </c>
      <c r="J79" s="421">
        <f t="shared" si="15"/>
        <v>4.2321291238191678</v>
      </c>
      <c r="K79" s="421">
        <f t="shared" si="15"/>
        <v>5.0525951929859358</v>
      </c>
      <c r="L79" s="421">
        <f t="shared" si="15"/>
        <v>4.6520498850386538</v>
      </c>
      <c r="M79" s="421">
        <f t="shared" si="15"/>
        <v>4.1479432385866604</v>
      </c>
      <c r="N79" s="421">
        <f t="shared" si="15"/>
        <v>4.1479432385866604</v>
      </c>
      <c r="O79" s="421">
        <f t="shared" si="15"/>
        <v>4.1479432385866604</v>
      </c>
      <c r="P79" s="421">
        <f t="shared" si="15"/>
        <v>4.1479432385866604</v>
      </c>
      <c r="Q79" s="421">
        <f t="shared" si="15"/>
        <v>4.1479432385866604</v>
      </c>
      <c r="S79" s="395"/>
      <c r="T79" s="395"/>
      <c r="U79" s="395"/>
      <c r="V79" s="395"/>
      <c r="W79" s="395"/>
      <c r="X79" s="395"/>
      <c r="Y79" s="395"/>
      <c r="Z79" s="395"/>
      <c r="AA79" s="395"/>
      <c r="AB79" s="395"/>
      <c r="AC79" s="395"/>
    </row>
    <row r="80" spans="2:29">
      <c r="B80" s="376" t="str">
        <f>IF(LEFT(Technologies!B$254,1)="*","*R3","R3")</f>
        <v>*R3</v>
      </c>
      <c r="C80" s="376" t="str">
        <f>Technologies!C$254</f>
        <v>XPTRNMTHR1</v>
      </c>
      <c r="D80" s="376" t="str">
        <f>Technologies!D$254</f>
        <v>Delivery of Pipeline Traded TRNMTH from R1</v>
      </c>
      <c r="E80" s="415" t="str">
        <f>Commodities!C$79</f>
        <v>MTHR1</v>
      </c>
      <c r="F80" s="415" t="str">
        <f>Commodities!C$101</f>
        <v>TRNMTH</v>
      </c>
      <c r="G80" s="422">
        <v>1</v>
      </c>
      <c r="H80" s="421">
        <f t="shared" si="15"/>
        <v>3.8836967607428319</v>
      </c>
      <c r="I80" s="421">
        <f t="shared" si="15"/>
        <v>3.8643491749983703</v>
      </c>
      <c r="J80" s="421">
        <f t="shared" si="15"/>
        <v>4.0537615540441934</v>
      </c>
      <c r="K80" s="421">
        <f t="shared" si="15"/>
        <v>4.8377300222693789</v>
      </c>
      <c r="L80" s="421">
        <f t="shared" si="15"/>
        <v>4.4550025660991119</v>
      </c>
      <c r="M80" s="421">
        <f t="shared" si="15"/>
        <v>3.9733205925319934</v>
      </c>
      <c r="N80" s="421">
        <f t="shared" si="15"/>
        <v>3.9733205925319934</v>
      </c>
      <c r="O80" s="421">
        <f t="shared" si="15"/>
        <v>3.9733205925319934</v>
      </c>
      <c r="P80" s="421">
        <f t="shared" si="15"/>
        <v>3.9733205925319934</v>
      </c>
      <c r="Q80" s="421">
        <f t="shared" si="15"/>
        <v>3.9733205925319934</v>
      </c>
      <c r="S80" s="395"/>
      <c r="T80" s="395"/>
      <c r="U80" s="395"/>
      <c r="V80" s="395"/>
      <c r="W80" s="395"/>
      <c r="X80" s="395"/>
      <c r="Y80" s="395"/>
      <c r="Z80" s="395"/>
      <c r="AA80" s="395"/>
      <c r="AB80" s="395"/>
      <c r="AC80" s="395"/>
    </row>
    <row r="81" spans="2:29">
      <c r="B81" s="376" t="str">
        <f>IF(LEFT(Technologies!B$255,1)="*","*R3","R3")</f>
        <v>*R3</v>
      </c>
      <c r="C81" s="376" t="str">
        <f>Technologies!C$255</f>
        <v>XPINDPFSR1</v>
      </c>
      <c r="D81" s="376" t="str">
        <f>Technologies!D$255</f>
        <v>Delivery of Pipeline Traded INDPFS from R1</v>
      </c>
      <c r="E81" s="415" t="str">
        <f>Commodities!C$80</f>
        <v>PFSR1</v>
      </c>
      <c r="F81" s="415" t="str">
        <f>Commodities!C$102</f>
        <v>INDPFS</v>
      </c>
      <c r="G81" s="422">
        <v>1</v>
      </c>
      <c r="H81" s="421">
        <f t="shared" ref="H81:Q88" si="16">H55</f>
        <v>0.50196450690542171</v>
      </c>
      <c r="I81" s="421">
        <f t="shared" si="16"/>
        <v>0.50048731693238091</v>
      </c>
      <c r="J81" s="421">
        <f t="shared" si="16"/>
        <v>0.51494896970869142</v>
      </c>
      <c r="K81" s="421">
        <f t="shared" si="16"/>
        <v>0.57480503525288629</v>
      </c>
      <c r="L81" s="421">
        <f t="shared" si="16"/>
        <v>0.54558375833858275</v>
      </c>
      <c r="M81" s="421">
        <f t="shared" si="16"/>
        <v>0.50880729480738751</v>
      </c>
      <c r="N81" s="421">
        <f t="shared" si="16"/>
        <v>0.50880729480738751</v>
      </c>
      <c r="O81" s="421">
        <f t="shared" si="16"/>
        <v>0.50880729480738751</v>
      </c>
      <c r="P81" s="421">
        <f t="shared" si="16"/>
        <v>0.50880729480738751</v>
      </c>
      <c r="Q81" s="421">
        <f t="shared" si="16"/>
        <v>0.50880729480738751</v>
      </c>
      <c r="S81" s="395"/>
      <c r="T81" s="395"/>
      <c r="U81" s="395"/>
      <c r="V81" s="395"/>
      <c r="W81" s="395"/>
      <c r="X81" s="395"/>
      <c r="Y81" s="395"/>
      <c r="Z81" s="395"/>
      <c r="AA81" s="395"/>
      <c r="AB81" s="395"/>
      <c r="AC81" s="395"/>
    </row>
    <row r="82" spans="2:29">
      <c r="B82" s="376" t="str">
        <f>IF(LEFT(Technologies!B$256,1)="*","*R3","R3")</f>
        <v>*R3</v>
      </c>
      <c r="C82" s="376" t="str">
        <f>Technologies!C$256</f>
        <v>XPRESRFLR1</v>
      </c>
      <c r="D82" s="376" t="str">
        <f>Technologies!D$256</f>
        <v>Delivery of Pipeline Traded RESRFL from R1</v>
      </c>
      <c r="E82" s="415" t="str">
        <f>Commodities!C$82</f>
        <v>RFLR1</v>
      </c>
      <c r="F82" s="415" t="str">
        <f>Commodities!C$103</f>
        <v>RESRFL</v>
      </c>
      <c r="G82" s="422">
        <v>1</v>
      </c>
      <c r="H82" s="421">
        <f t="shared" si="16"/>
        <v>0.87695497860110183</v>
      </c>
      <c r="I82" s="421">
        <f t="shared" si="16"/>
        <v>0.87349619232276232</v>
      </c>
      <c r="J82" s="421">
        <f t="shared" si="16"/>
        <v>0.90735762321363567</v>
      </c>
      <c r="K82" s="421">
        <f t="shared" si="16"/>
        <v>1.0475084108293113</v>
      </c>
      <c r="L82" s="421">
        <f t="shared" si="16"/>
        <v>0.97908786000557646</v>
      </c>
      <c r="M82" s="421">
        <f t="shared" si="16"/>
        <v>0.89297711612765585</v>
      </c>
      <c r="N82" s="421">
        <f t="shared" si="16"/>
        <v>0.89297711612765585</v>
      </c>
      <c r="O82" s="421">
        <f t="shared" si="16"/>
        <v>0.89297711612765585</v>
      </c>
      <c r="P82" s="421">
        <f t="shared" si="16"/>
        <v>0.89297711612765585</v>
      </c>
      <c r="Q82" s="421">
        <f t="shared" si="16"/>
        <v>0.89297711612765585</v>
      </c>
      <c r="S82" s="395"/>
      <c r="T82" s="395"/>
      <c r="U82" s="395"/>
      <c r="V82" s="395"/>
      <c r="W82" s="395"/>
      <c r="X82" s="395"/>
      <c r="Y82" s="395"/>
      <c r="Z82" s="395"/>
      <c r="AA82" s="395"/>
      <c r="AB82" s="395"/>
      <c r="AC82" s="395"/>
    </row>
    <row r="83" spans="2:29">
      <c r="B83" s="376" t="str">
        <f>IF(LEFT(Technologies!B$257,1)="*","*R3","R3")</f>
        <v>*R3</v>
      </c>
      <c r="C83" s="376" t="str">
        <f>Technologies!C$257</f>
        <v>XPCOMRFLR1</v>
      </c>
      <c r="D83" s="376" t="str">
        <f>Technologies!D$257</f>
        <v>Delivery of Pipeline Traded COMRFL from R1</v>
      </c>
      <c r="E83" s="415" t="str">
        <f>Commodities!C$82</f>
        <v>RFLR1</v>
      </c>
      <c r="F83" s="415" t="str">
        <f>Commodities!C$104</f>
        <v>COMRFL</v>
      </c>
      <c r="G83" s="422">
        <v>1</v>
      </c>
      <c r="H83" s="421">
        <f t="shared" si="16"/>
        <v>0.87695497860110183</v>
      </c>
      <c r="I83" s="421">
        <f t="shared" si="16"/>
        <v>0.87349619232276232</v>
      </c>
      <c r="J83" s="421">
        <f t="shared" si="16"/>
        <v>0.90735762321363567</v>
      </c>
      <c r="K83" s="421">
        <f t="shared" si="16"/>
        <v>1.0475084108293113</v>
      </c>
      <c r="L83" s="421">
        <f t="shared" si="16"/>
        <v>0.97908786000557646</v>
      </c>
      <c r="M83" s="421">
        <f t="shared" si="16"/>
        <v>0.89297711612765585</v>
      </c>
      <c r="N83" s="421">
        <f t="shared" si="16"/>
        <v>0.89297711612765585</v>
      </c>
      <c r="O83" s="421">
        <f t="shared" si="16"/>
        <v>0.89297711612765585</v>
      </c>
      <c r="P83" s="421">
        <f t="shared" si="16"/>
        <v>0.89297711612765585</v>
      </c>
      <c r="Q83" s="421">
        <f t="shared" si="16"/>
        <v>0.89297711612765585</v>
      </c>
      <c r="S83" s="395"/>
      <c r="T83" s="395"/>
      <c r="U83" s="395"/>
      <c r="V83" s="395"/>
      <c r="W83" s="395"/>
      <c r="X83" s="395"/>
      <c r="Y83" s="395"/>
      <c r="Z83" s="395"/>
      <c r="AA83" s="395"/>
      <c r="AB83" s="395"/>
      <c r="AC83" s="395"/>
    </row>
    <row r="84" spans="2:29">
      <c r="B84" s="376" t="str">
        <f>IF(LEFT(Technologies!B$258,1)="*","*R3","R3")</f>
        <v>R3</v>
      </c>
      <c r="C84" s="376" t="str">
        <f>Technologies!C$258</f>
        <v>XPINDRFLR1</v>
      </c>
      <c r="D84" s="376" t="str">
        <f>Technologies!D$258</f>
        <v>Delivery of Pipeline Traded INDRFL from R1</v>
      </c>
      <c r="E84" s="415" t="str">
        <f>Commodities!C$82</f>
        <v>RFLR1</v>
      </c>
      <c r="F84" s="415" t="str">
        <f>Commodities!C$105</f>
        <v>INDRFL</v>
      </c>
      <c r="G84" s="422">
        <v>1</v>
      </c>
      <c r="H84" s="421">
        <f t="shared" si="16"/>
        <v>0.73377679849911459</v>
      </c>
      <c r="I84" s="421">
        <f t="shared" si="16"/>
        <v>0.73107462171916182</v>
      </c>
      <c r="J84" s="421">
        <f t="shared" si="16"/>
        <v>0.75752886460265678</v>
      </c>
      <c r="K84" s="421">
        <f t="shared" si="16"/>
        <v>0.86702166742740328</v>
      </c>
      <c r="L84" s="421">
        <f t="shared" si="16"/>
        <v>0.81356811209636037</v>
      </c>
      <c r="M84" s="421">
        <f t="shared" si="16"/>
        <v>0.74629409344173492</v>
      </c>
      <c r="N84" s="421">
        <f t="shared" si="16"/>
        <v>0.74629409344173492</v>
      </c>
      <c r="O84" s="421">
        <f t="shared" si="16"/>
        <v>0.74629409344173492</v>
      </c>
      <c r="P84" s="421">
        <f t="shared" si="16"/>
        <v>0.74629409344173492</v>
      </c>
      <c r="Q84" s="421">
        <f t="shared" si="16"/>
        <v>0.74629409344173492</v>
      </c>
      <c r="S84" s="395"/>
      <c r="T84" s="395"/>
      <c r="U84" s="395"/>
      <c r="V84" s="395"/>
      <c r="W84" s="395"/>
      <c r="X84" s="395"/>
      <c r="Y84" s="395"/>
      <c r="Z84" s="395"/>
      <c r="AA84" s="395"/>
      <c r="AB84" s="395"/>
      <c r="AC84" s="395"/>
    </row>
    <row r="85" spans="2:29">
      <c r="B85" s="376" t="str">
        <f>IF(LEFT(Technologies!B$259,1)="*","*R3","R3")</f>
        <v>*R3</v>
      </c>
      <c r="C85" s="376" t="str">
        <f>Technologies!C$259</f>
        <v>XPELCRFLR1</v>
      </c>
      <c r="D85" s="376" t="str">
        <f>Technologies!D$259</f>
        <v>Delivery of Pipeline Traded ELCRFL from R1</v>
      </c>
      <c r="E85" s="415" t="str">
        <f>Commodities!C$82</f>
        <v>RFLR1</v>
      </c>
      <c r="F85" s="415" t="str">
        <f>Commodities!C$106</f>
        <v>ELCRFL</v>
      </c>
      <c r="G85" s="422">
        <v>1</v>
      </c>
      <c r="H85" s="421">
        <f t="shared" si="16"/>
        <v>0.22242615527773235</v>
      </c>
      <c r="I85" s="421">
        <f t="shared" si="16"/>
        <v>0.22242615527773235</v>
      </c>
      <c r="J85" s="421">
        <f t="shared" si="16"/>
        <v>0.22242615527773235</v>
      </c>
      <c r="K85" s="421">
        <f t="shared" si="16"/>
        <v>0.22242615527773235</v>
      </c>
      <c r="L85" s="421">
        <f t="shared" si="16"/>
        <v>0.22242615527773235</v>
      </c>
      <c r="M85" s="421">
        <f t="shared" si="16"/>
        <v>0.22242615527773235</v>
      </c>
      <c r="N85" s="421">
        <f t="shared" si="16"/>
        <v>0.22242615527773235</v>
      </c>
      <c r="O85" s="421">
        <f t="shared" si="16"/>
        <v>0.22242615527773235</v>
      </c>
      <c r="P85" s="421">
        <f t="shared" si="16"/>
        <v>0.22242615527773235</v>
      </c>
      <c r="Q85" s="421">
        <f t="shared" si="16"/>
        <v>0.22242615527773235</v>
      </c>
      <c r="S85" s="395"/>
      <c r="T85" s="395"/>
      <c r="U85" s="395"/>
      <c r="V85" s="395"/>
      <c r="W85" s="395"/>
      <c r="X85" s="395"/>
      <c r="Y85" s="395"/>
      <c r="Z85" s="395"/>
      <c r="AA85" s="395"/>
      <c r="AB85" s="395"/>
      <c r="AC85" s="395"/>
    </row>
    <row r="86" spans="2:29">
      <c r="B86" s="376" t="str">
        <f>IF(LEFT(Technologies!B$260,1)="*","*R3","R3")</f>
        <v>*R3</v>
      </c>
      <c r="C86" s="376" t="str">
        <f>Technologies!C$260</f>
        <v>XPTRNRFHR1</v>
      </c>
      <c r="D86" s="376" t="str">
        <f>Technologies!D$260</f>
        <v>Delivery of Pipeline Traded TRNRFH from R1</v>
      </c>
      <c r="E86" s="415" t="str">
        <f>Commodities!C$81</f>
        <v>RFHR1</v>
      </c>
      <c r="F86" s="415" t="str">
        <f>Commodities!C$107</f>
        <v>TRNRFH</v>
      </c>
      <c r="G86" s="422">
        <v>1</v>
      </c>
      <c r="H86" s="421">
        <f t="shared" si="16"/>
        <v>4.1223270609128093</v>
      </c>
      <c r="I86" s="421">
        <f t="shared" si="16"/>
        <v>4.101718459337703</v>
      </c>
      <c r="J86" s="421">
        <f t="shared" si="16"/>
        <v>4.3034761517291571</v>
      </c>
      <c r="K86" s="421">
        <f t="shared" si="16"/>
        <v>5.1385412612725583</v>
      </c>
      <c r="L86" s="421">
        <f t="shared" si="16"/>
        <v>4.73086881261447</v>
      </c>
      <c r="M86" s="421">
        <f t="shared" si="16"/>
        <v>4.2177922970085273</v>
      </c>
      <c r="N86" s="421">
        <f t="shared" si="16"/>
        <v>4.2177922970085273</v>
      </c>
      <c r="O86" s="421">
        <f t="shared" si="16"/>
        <v>4.2177922970085273</v>
      </c>
      <c r="P86" s="421">
        <f t="shared" si="16"/>
        <v>4.2177922970085273</v>
      </c>
      <c r="Q86" s="421">
        <f t="shared" si="16"/>
        <v>4.2177922970085273</v>
      </c>
      <c r="S86" s="395"/>
      <c r="T86" s="395"/>
      <c r="U86" s="395"/>
      <c r="V86" s="395"/>
      <c r="W86" s="395"/>
      <c r="X86" s="395"/>
      <c r="Y86" s="395"/>
      <c r="Z86" s="395"/>
      <c r="AA86" s="395"/>
      <c r="AB86" s="395"/>
      <c r="AC86" s="395"/>
    </row>
    <row r="87" spans="2:29">
      <c r="B87" s="376" t="str">
        <f>IF(LEFT(Technologies!B$261,1)="*","*R3","R3")</f>
        <v>*R3</v>
      </c>
      <c r="C87" s="376" t="str">
        <f>Technologies!C$261</f>
        <v>XPELCRFHR1</v>
      </c>
      <c r="D87" s="376" t="str">
        <f>Technologies!D$261</f>
        <v>Delivery of Pipeline Traded ELCRFH from R1</v>
      </c>
      <c r="E87" s="415" t="str">
        <f>Commodities!C$81</f>
        <v>RFHR1</v>
      </c>
      <c r="F87" s="415" t="str">
        <f>Commodities!C$108</f>
        <v>ELCRFH</v>
      </c>
      <c r="G87" s="422">
        <v>1</v>
      </c>
      <c r="H87" s="421">
        <f t="shared" si="16"/>
        <v>1.3814876132461995</v>
      </c>
      <c r="I87" s="421">
        <f t="shared" si="16"/>
        <v>1.3753626792116402</v>
      </c>
      <c r="J87" s="421">
        <f t="shared" si="16"/>
        <v>1.4353256297475618</v>
      </c>
      <c r="K87" s="421">
        <f t="shared" si="16"/>
        <v>1.683509316150321</v>
      </c>
      <c r="L87" s="421">
        <f t="shared" si="16"/>
        <v>1.5623479240666232</v>
      </c>
      <c r="M87" s="421">
        <f t="shared" si="16"/>
        <v>1.4098601484494724</v>
      </c>
      <c r="N87" s="421">
        <f t="shared" si="16"/>
        <v>1.4098601484494724</v>
      </c>
      <c r="O87" s="421">
        <f t="shared" si="16"/>
        <v>1.4098601484494724</v>
      </c>
      <c r="P87" s="421">
        <f t="shared" si="16"/>
        <v>1.4098601484494724</v>
      </c>
      <c r="Q87" s="421">
        <f t="shared" si="16"/>
        <v>1.4098601484494724</v>
      </c>
      <c r="S87" s="395"/>
      <c r="T87" s="395"/>
      <c r="U87" s="395"/>
      <c r="V87" s="395"/>
      <c r="W87" s="395"/>
      <c r="X87" s="395"/>
      <c r="Y87" s="395"/>
      <c r="Z87" s="395"/>
      <c r="AA87" s="395"/>
      <c r="AB87" s="395"/>
      <c r="AC87" s="395"/>
    </row>
    <row r="88" spans="2:29">
      <c r="B88" s="376" t="str">
        <f>IF(LEFT(Technologies!B$262,1)="*","*R3","R3")</f>
        <v>*R3</v>
      </c>
      <c r="C88" s="376" t="str">
        <f>Technologies!C$262</f>
        <v>XPINDASPR1</v>
      </c>
      <c r="D88" s="376" t="str">
        <f>Technologies!D$262</f>
        <v>Delivery of Pipeline Traded INDASP from R1</v>
      </c>
      <c r="E88" s="415" t="str">
        <f>Commodities!C$83</f>
        <v>ASPR1</v>
      </c>
      <c r="F88" s="415" t="str">
        <f>Commodities!C$109</f>
        <v>INDASP</v>
      </c>
      <c r="G88" s="422">
        <v>1</v>
      </c>
      <c r="H88" s="421">
        <f t="shared" si="16"/>
        <v>0.99967913297423372</v>
      </c>
      <c r="I88" s="421">
        <f t="shared" si="16"/>
        <v>0.99557182426870561</v>
      </c>
      <c r="J88" s="421">
        <f t="shared" si="16"/>
        <v>1.0357822734516178</v>
      </c>
      <c r="K88" s="421">
        <f t="shared" si="16"/>
        <v>1.2022113337452325</v>
      </c>
      <c r="L88" s="421">
        <f t="shared" si="16"/>
        <v>1.1209619296420472</v>
      </c>
      <c r="M88" s="421">
        <f t="shared" si="16"/>
        <v>1.0187054212870166</v>
      </c>
      <c r="N88" s="421">
        <f t="shared" si="16"/>
        <v>1.0187054212870166</v>
      </c>
      <c r="O88" s="421">
        <f t="shared" si="16"/>
        <v>1.0187054212870166</v>
      </c>
      <c r="P88" s="421">
        <f t="shared" si="16"/>
        <v>1.0187054212870166</v>
      </c>
      <c r="Q88" s="421">
        <f t="shared" si="16"/>
        <v>1.0187054212870166</v>
      </c>
      <c r="S88" s="395"/>
      <c r="T88" s="395"/>
      <c r="U88" s="395"/>
      <c r="V88" s="395"/>
      <c r="W88" s="395"/>
      <c r="X88" s="395"/>
      <c r="Y88" s="395"/>
      <c r="Z88" s="395"/>
      <c r="AA88" s="395"/>
      <c r="AB88" s="395"/>
      <c r="AC88" s="395"/>
    </row>
    <row r="89" spans="2:29">
      <c r="B89" s="376" t="s">
        <v>588</v>
      </c>
      <c r="C89" s="376"/>
      <c r="D89" s="376"/>
      <c r="E89" s="415"/>
      <c r="F89" s="415"/>
      <c r="G89" s="422"/>
      <c r="H89" s="421"/>
      <c r="I89" s="421"/>
      <c r="J89" s="421"/>
      <c r="K89" s="421"/>
      <c r="L89" s="421"/>
      <c r="M89" s="421"/>
      <c r="N89" s="421"/>
      <c r="O89" s="421"/>
      <c r="P89" s="421"/>
      <c r="Q89" s="421"/>
      <c r="S89" s="395"/>
      <c r="T89" s="395"/>
      <c r="U89" s="395"/>
      <c r="V89" s="395"/>
      <c r="W89" s="395"/>
      <c r="X89" s="395"/>
      <c r="Y89" s="395"/>
      <c r="Z89" s="395"/>
      <c r="AA89" s="395"/>
      <c r="AB89" s="395"/>
      <c r="AC89" s="395"/>
    </row>
    <row r="90" spans="2:29">
      <c r="B90" s="376" t="str">
        <f>IF(LEFT(Technologies!B$238,1)="*","*R4","R4")</f>
        <v>R4</v>
      </c>
      <c r="C90" s="376" t="str">
        <f>Technologies!C$238</f>
        <v>XPTRGSLCR1</v>
      </c>
      <c r="D90" s="376" t="str">
        <f>Technologies!D$238</f>
        <v>Delivery of Pipeline Traded TRGSLC from R1</v>
      </c>
      <c r="E90" s="415" t="str">
        <f>Commodities!C$71</f>
        <v>GSCR1</v>
      </c>
      <c r="F90" s="415" t="str">
        <f>Commodities!C$85</f>
        <v>TRGSLC</v>
      </c>
      <c r="G90" s="422">
        <v>1</v>
      </c>
      <c r="H90" s="421">
        <f t="shared" ref="H90:Q90" si="17">H64</f>
        <v>3.5905223919625726</v>
      </c>
      <c r="I90" s="421">
        <f t="shared" si="17"/>
        <v>3.5727240542386172</v>
      </c>
      <c r="J90" s="421">
        <f t="shared" si="17"/>
        <v>3.7469693340312364</v>
      </c>
      <c r="K90" s="421">
        <f t="shared" si="17"/>
        <v>4.4681619286369019</v>
      </c>
      <c r="L90" s="421">
        <f t="shared" si="17"/>
        <v>4.1160811775230988</v>
      </c>
      <c r="M90" s="421">
        <f t="shared" si="17"/>
        <v>3.6729696413179656</v>
      </c>
      <c r="N90" s="421">
        <f t="shared" si="17"/>
        <v>3.6729696413179656</v>
      </c>
      <c r="O90" s="421">
        <f t="shared" si="17"/>
        <v>3.6729696413179656</v>
      </c>
      <c r="P90" s="421">
        <f t="shared" si="17"/>
        <v>3.6729696413179656</v>
      </c>
      <c r="Q90" s="421">
        <f t="shared" si="17"/>
        <v>3.6729696413179656</v>
      </c>
      <c r="S90" s="395"/>
      <c r="T90" s="395"/>
      <c r="U90" s="395"/>
      <c r="V90" s="395"/>
      <c r="W90" s="395"/>
      <c r="X90" s="395"/>
      <c r="Y90" s="395"/>
      <c r="Z90" s="395"/>
      <c r="AA90" s="395"/>
      <c r="AB90" s="395"/>
      <c r="AC90" s="395"/>
    </row>
    <row r="91" spans="2:29">
      <c r="B91" s="376" t="str">
        <f>IF(LEFT(Technologies!B$239,1)="*","*R4","R4")</f>
        <v>R4</v>
      </c>
      <c r="C91" s="376" t="str">
        <f>Technologies!C$239</f>
        <v>XPTRGSLRR1</v>
      </c>
      <c r="D91" s="376" t="str">
        <f>Technologies!D$239</f>
        <v>Delivery of Pipeline Traded TRGSLR from R1</v>
      </c>
      <c r="E91" s="415" t="str">
        <f>Commodities!C$72</f>
        <v>GSRR1</v>
      </c>
      <c r="F91" s="415" t="str">
        <f>Commodities!C$86</f>
        <v>TRGSLR</v>
      </c>
      <c r="G91" s="422">
        <v>1</v>
      </c>
      <c r="H91" s="421">
        <f t="shared" ref="H91:Q106" si="18">H65</f>
        <v>3.5973404005388576</v>
      </c>
      <c r="I91" s="421">
        <f t="shared" si="18"/>
        <v>3.5795060337911697</v>
      </c>
      <c r="J91" s="421">
        <f t="shared" si="18"/>
        <v>3.7541040368222358</v>
      </c>
      <c r="K91" s="421">
        <f t="shared" si="18"/>
        <v>4.4767565354655634</v>
      </c>
      <c r="L91" s="421">
        <f t="shared" si="18"/>
        <v>4.1239630702806798</v>
      </c>
      <c r="M91" s="421">
        <f t="shared" si="18"/>
        <v>3.6799545471601522</v>
      </c>
      <c r="N91" s="421">
        <f t="shared" si="18"/>
        <v>3.6799545471601522</v>
      </c>
      <c r="O91" s="421">
        <f t="shared" si="18"/>
        <v>3.6799545471601522</v>
      </c>
      <c r="P91" s="421">
        <f t="shared" si="18"/>
        <v>3.6799545471601522</v>
      </c>
      <c r="Q91" s="421">
        <f t="shared" si="18"/>
        <v>3.6799545471601522</v>
      </c>
      <c r="S91" s="395"/>
      <c r="T91" s="395"/>
      <c r="U91" s="395"/>
      <c r="V91" s="395"/>
      <c r="W91" s="395"/>
      <c r="X91" s="395"/>
      <c r="Y91" s="395"/>
      <c r="Z91" s="395"/>
      <c r="AA91" s="395"/>
      <c r="AB91" s="395"/>
      <c r="AC91" s="395"/>
    </row>
    <row r="92" spans="2:29">
      <c r="B92" s="376" t="str">
        <f>IF(LEFT(Technologies!B$240,1)="*","*R4","R4")</f>
        <v>R4</v>
      </c>
      <c r="C92" s="376" t="str">
        <f>Technologies!C$240</f>
        <v>XPRESDSLR1</v>
      </c>
      <c r="D92" s="376" t="str">
        <f>Technologies!D$240</f>
        <v>Delivery of Pipeline Traded RESDSL from R1</v>
      </c>
      <c r="E92" s="415" t="str">
        <f>Commodities!C$73</f>
        <v>DSHR1</v>
      </c>
      <c r="F92" s="415" t="str">
        <f>Commodities!C$87</f>
        <v>RESDSL</v>
      </c>
      <c r="G92" s="422">
        <v>1</v>
      </c>
      <c r="H92" s="421">
        <f t="shared" si="18"/>
        <v>3.6587024777254236</v>
      </c>
      <c r="I92" s="421">
        <f t="shared" si="18"/>
        <v>3.6405438497641418</v>
      </c>
      <c r="J92" s="421">
        <f t="shared" si="18"/>
        <v>3.818316361941227</v>
      </c>
      <c r="K92" s="421">
        <f t="shared" si="18"/>
        <v>4.5541079969235243</v>
      </c>
      <c r="L92" s="421">
        <f t="shared" si="18"/>
        <v>4.194900105098915</v>
      </c>
      <c r="M92" s="421">
        <f t="shared" si="18"/>
        <v>3.7428186997398325</v>
      </c>
      <c r="N92" s="421">
        <f t="shared" si="18"/>
        <v>3.7428186997398325</v>
      </c>
      <c r="O92" s="421">
        <f t="shared" si="18"/>
        <v>3.7428186997398325</v>
      </c>
      <c r="P92" s="421">
        <f t="shared" si="18"/>
        <v>3.7428186997398325</v>
      </c>
      <c r="Q92" s="421">
        <f t="shared" si="18"/>
        <v>3.7428186997398325</v>
      </c>
      <c r="S92" s="395"/>
      <c r="T92" s="395"/>
      <c r="U92" s="395"/>
      <c r="V92" s="395"/>
      <c r="W92" s="395"/>
      <c r="X92" s="395"/>
      <c r="Y92" s="395"/>
      <c r="Z92" s="395"/>
      <c r="AA92" s="395"/>
      <c r="AB92" s="395"/>
      <c r="AC92" s="395"/>
    </row>
    <row r="93" spans="2:29">
      <c r="B93" s="376" t="str">
        <f>IF(LEFT(Technologies!B$241,1)="*","*R4","R4")</f>
        <v>R4</v>
      </c>
      <c r="C93" s="376" t="str">
        <f>Technologies!C$241</f>
        <v>XPCOMDSLR1</v>
      </c>
      <c r="D93" s="376" t="str">
        <f>Technologies!D$241</f>
        <v>Delivery of Pipeline Traded COMDSL from R1</v>
      </c>
      <c r="E93" s="415" t="str">
        <f>Commodities!C$73</f>
        <v>DSHR1</v>
      </c>
      <c r="F93" s="415" t="str">
        <f>Commodities!C$88</f>
        <v>COMDSL</v>
      </c>
      <c r="G93" s="422">
        <v>1</v>
      </c>
      <c r="H93" s="421">
        <f t="shared" si="18"/>
        <v>1.6201179134161774</v>
      </c>
      <c r="I93" s="421">
        <f t="shared" si="18"/>
        <v>1.6127319635509734</v>
      </c>
      <c r="J93" s="421">
        <f t="shared" si="18"/>
        <v>1.685040227432526</v>
      </c>
      <c r="K93" s="421">
        <f t="shared" si="18"/>
        <v>1.9843205551535004</v>
      </c>
      <c r="L93" s="421">
        <f t="shared" si="18"/>
        <v>1.8382141705819826</v>
      </c>
      <c r="M93" s="421">
        <f t="shared" si="18"/>
        <v>1.6543318529260067</v>
      </c>
      <c r="N93" s="421">
        <f t="shared" si="18"/>
        <v>1.6543318529260067</v>
      </c>
      <c r="O93" s="421">
        <f t="shared" si="18"/>
        <v>1.6543318529260067</v>
      </c>
      <c r="P93" s="421">
        <f t="shared" si="18"/>
        <v>1.6543318529260067</v>
      </c>
      <c r="Q93" s="421">
        <f t="shared" si="18"/>
        <v>1.6543318529260067</v>
      </c>
      <c r="S93" s="395"/>
      <c r="T93" s="395"/>
      <c r="U93" s="395"/>
      <c r="V93" s="395"/>
      <c r="W93" s="395"/>
      <c r="X93" s="395"/>
      <c r="Y93" s="395"/>
      <c r="Z93" s="395"/>
      <c r="AA93" s="395"/>
      <c r="AB93" s="395"/>
      <c r="AC93" s="395"/>
    </row>
    <row r="94" spans="2:29">
      <c r="B94" s="376" t="str">
        <f>IF(LEFT(Technologies!B$242,1)="*","*R4","R4")</f>
        <v>*R4</v>
      </c>
      <c r="C94" s="376" t="str">
        <f>Technologies!C$242</f>
        <v>XPINDDSLR1</v>
      </c>
      <c r="D94" s="376" t="str">
        <f>Technologies!D$242</f>
        <v>Delivery of Pipeline Traded INDDSL from R1</v>
      </c>
      <c r="E94" s="415" t="str">
        <f>Commodities!C$73</f>
        <v>DSHR1</v>
      </c>
      <c r="F94" s="415" t="str">
        <f>Commodities!C$89</f>
        <v>INDDSL</v>
      </c>
      <c r="G94" s="422">
        <v>1</v>
      </c>
      <c r="H94" s="421">
        <f t="shared" si="18"/>
        <v>1.7223880420604547</v>
      </c>
      <c r="I94" s="421">
        <f t="shared" si="18"/>
        <v>1.7144616568392603</v>
      </c>
      <c r="J94" s="421">
        <f t="shared" si="18"/>
        <v>1.7920607692975117</v>
      </c>
      <c r="K94" s="421">
        <f t="shared" si="18"/>
        <v>2.1132396575834358</v>
      </c>
      <c r="L94" s="421">
        <f t="shared" si="18"/>
        <v>1.9564425619457091</v>
      </c>
      <c r="M94" s="421">
        <f t="shared" si="18"/>
        <v>1.759105440558808</v>
      </c>
      <c r="N94" s="421">
        <f t="shared" si="18"/>
        <v>1.759105440558808</v>
      </c>
      <c r="O94" s="421">
        <f t="shared" si="18"/>
        <v>1.759105440558808</v>
      </c>
      <c r="P94" s="421">
        <f t="shared" si="18"/>
        <v>1.759105440558808</v>
      </c>
      <c r="Q94" s="421">
        <f t="shared" si="18"/>
        <v>1.759105440558808</v>
      </c>
      <c r="S94" s="395"/>
      <c r="T94" s="395"/>
      <c r="U94" s="395"/>
      <c r="V94" s="395"/>
      <c r="W94" s="395"/>
      <c r="X94" s="395"/>
      <c r="Y94" s="395"/>
      <c r="Z94" s="395"/>
      <c r="AA94" s="395"/>
      <c r="AB94" s="395"/>
      <c r="AC94" s="395"/>
    </row>
    <row r="95" spans="2:29">
      <c r="B95" s="376" t="str">
        <f>IF(LEFT(Technologies!B$243,1)="*","*R4","R4")</f>
        <v>R4</v>
      </c>
      <c r="C95" s="376" t="str">
        <f>Technologies!C$243</f>
        <v>XPELCDSLR1</v>
      </c>
      <c r="D95" s="376" t="str">
        <f>Technologies!D$243</f>
        <v>Delivery of Pipeline Traded ELCDSL from R1</v>
      </c>
      <c r="E95" s="415" t="str">
        <f>Commodities!C$73</f>
        <v>DSHR1</v>
      </c>
      <c r="F95" s="415" t="str">
        <f>Commodities!C$90</f>
        <v>ELCDSL</v>
      </c>
      <c r="G95" s="422">
        <v>1</v>
      </c>
      <c r="H95" s="421">
        <f t="shared" si="18"/>
        <v>0.74059480707540037</v>
      </c>
      <c r="I95" s="421">
        <f t="shared" si="18"/>
        <v>0.73785660127171493</v>
      </c>
      <c r="J95" s="421">
        <f t="shared" si="18"/>
        <v>0.76466356739365637</v>
      </c>
      <c r="K95" s="421">
        <f t="shared" si="18"/>
        <v>0.87561627425606647</v>
      </c>
      <c r="L95" s="421">
        <f t="shared" si="18"/>
        <v>0.82145000485394293</v>
      </c>
      <c r="M95" s="421">
        <f t="shared" si="18"/>
        <v>0.75327899928392239</v>
      </c>
      <c r="N95" s="421">
        <f t="shared" si="18"/>
        <v>0.75327899928392239</v>
      </c>
      <c r="O95" s="421">
        <f t="shared" si="18"/>
        <v>0.75327899928392239</v>
      </c>
      <c r="P95" s="421">
        <f t="shared" si="18"/>
        <v>0.75327899928392239</v>
      </c>
      <c r="Q95" s="421">
        <f t="shared" si="18"/>
        <v>0.75327899928392239</v>
      </c>
      <c r="S95" s="395"/>
      <c r="T95" s="395"/>
      <c r="U95" s="395"/>
      <c r="V95" s="395"/>
      <c r="W95" s="395"/>
      <c r="X95" s="395"/>
      <c r="Y95" s="395"/>
      <c r="Z95" s="395"/>
      <c r="AA95" s="395"/>
      <c r="AB95" s="395"/>
      <c r="AC95" s="395"/>
    </row>
    <row r="96" spans="2:29">
      <c r="B96" s="376" t="str">
        <f>IF(LEFT(Technologies!B$244,1)="*","*R4","R4")</f>
        <v>R4</v>
      </c>
      <c r="C96" s="376" t="str">
        <f>Technologies!C$244</f>
        <v>XPTRDSLLR1</v>
      </c>
      <c r="D96" s="376" t="str">
        <f>Technologies!D$244</f>
        <v>Delivery of Pipeline Traded TRDSLL from R1</v>
      </c>
      <c r="E96" s="415" t="str">
        <f>Commodities!C$74</f>
        <v>DSLR1</v>
      </c>
      <c r="F96" s="415" t="str">
        <f>Commodities!C$91</f>
        <v>TRDSLL</v>
      </c>
      <c r="G96" s="422">
        <v>1</v>
      </c>
      <c r="H96" s="421">
        <f t="shared" si="18"/>
        <v>4.4427734639982104</v>
      </c>
      <c r="I96" s="421">
        <f t="shared" si="18"/>
        <v>4.4204714983076672</v>
      </c>
      <c r="J96" s="421">
        <f t="shared" si="18"/>
        <v>4.6388071829061115</v>
      </c>
      <c r="K96" s="421">
        <f t="shared" si="18"/>
        <v>5.5424877822196859</v>
      </c>
      <c r="L96" s="421">
        <f t="shared" si="18"/>
        <v>5.1013177722208125</v>
      </c>
      <c r="M96" s="421">
        <f t="shared" si="18"/>
        <v>4.5460828715913042</v>
      </c>
      <c r="N96" s="421">
        <f t="shared" si="18"/>
        <v>4.5460828715913042</v>
      </c>
      <c r="O96" s="421">
        <f t="shared" si="18"/>
        <v>4.5460828715913042</v>
      </c>
      <c r="P96" s="421">
        <f t="shared" si="18"/>
        <v>4.5460828715913042</v>
      </c>
      <c r="Q96" s="421">
        <f t="shared" si="18"/>
        <v>4.5460828715913042</v>
      </c>
      <c r="S96" s="395"/>
      <c r="T96" s="395"/>
      <c r="U96" s="395"/>
      <c r="V96" s="395"/>
      <c r="W96" s="395"/>
      <c r="X96" s="395"/>
      <c r="Y96" s="395"/>
      <c r="Z96" s="395"/>
      <c r="AA96" s="395"/>
      <c r="AB96" s="395"/>
      <c r="AC96" s="395"/>
    </row>
    <row r="97" spans="2:29">
      <c r="B97" s="376" t="str">
        <f>IF(LEFT(Technologies!B$245,1)="*","*R4","R4")</f>
        <v>R4</v>
      </c>
      <c r="C97" s="376" t="str">
        <f>Technologies!C$245</f>
        <v>XPTRDSLUR1</v>
      </c>
      <c r="D97" s="376" t="str">
        <f>Technologies!D$245</f>
        <v>Delivery of Pipeline Traded TRDSLU from R1</v>
      </c>
      <c r="E97" s="415" t="str">
        <f>Commodities!C$75</f>
        <v>DSUR1</v>
      </c>
      <c r="F97" s="415" t="str">
        <f>Commodities!C$92</f>
        <v>TRDSLU</v>
      </c>
      <c r="G97" s="422">
        <v>1</v>
      </c>
      <c r="H97" s="421">
        <f t="shared" si="18"/>
        <v>3.8018806578274109</v>
      </c>
      <c r="I97" s="421">
        <f t="shared" si="18"/>
        <v>3.7829654203677423</v>
      </c>
      <c r="J97" s="421">
        <f t="shared" si="18"/>
        <v>3.9681451205522058</v>
      </c>
      <c r="K97" s="421">
        <f t="shared" si="18"/>
        <v>4.7345947403254325</v>
      </c>
      <c r="L97" s="421">
        <f t="shared" si="18"/>
        <v>4.360419853008132</v>
      </c>
      <c r="M97" s="421">
        <f t="shared" si="18"/>
        <v>3.8895017224257535</v>
      </c>
      <c r="N97" s="421">
        <f t="shared" si="18"/>
        <v>3.8895017224257535</v>
      </c>
      <c r="O97" s="421">
        <f t="shared" si="18"/>
        <v>3.8895017224257535</v>
      </c>
      <c r="P97" s="421">
        <f t="shared" si="18"/>
        <v>3.8895017224257535</v>
      </c>
      <c r="Q97" s="421">
        <f t="shared" si="18"/>
        <v>3.8895017224257535</v>
      </c>
      <c r="S97" s="395"/>
      <c r="T97" s="395"/>
      <c r="U97" s="395"/>
      <c r="V97" s="395"/>
      <c r="W97" s="395"/>
      <c r="X97" s="395"/>
      <c r="Y97" s="395"/>
      <c r="Z97" s="395"/>
      <c r="AA97" s="395"/>
      <c r="AB97" s="395"/>
      <c r="AC97" s="395"/>
    </row>
    <row r="98" spans="2:29">
      <c r="B98" s="376" t="str">
        <f>IF(LEFT(Technologies!B$246,1)="*","*R4","R4")</f>
        <v>R4</v>
      </c>
      <c r="C98" s="376" t="str">
        <f>Technologies!C$246</f>
        <v>XPTRNJTFR1</v>
      </c>
      <c r="D98" s="376" t="str">
        <f>Technologies!D$246</f>
        <v>Delivery of Pipeline Traded TRNJTF from R1</v>
      </c>
      <c r="E98" s="415" t="str">
        <f>Commodities!C$76</f>
        <v>JTFR1</v>
      </c>
      <c r="F98" s="415" t="str">
        <f>Commodities!C$93</f>
        <v>TRNJTF</v>
      </c>
      <c r="G98" s="422">
        <v>1</v>
      </c>
      <c r="H98" s="421">
        <f t="shared" si="18"/>
        <v>0.91104502148252731</v>
      </c>
      <c r="I98" s="421">
        <f t="shared" si="18"/>
        <v>0.90740609008552431</v>
      </c>
      <c r="J98" s="421">
        <f t="shared" si="18"/>
        <v>0.94303113716863063</v>
      </c>
      <c r="K98" s="421">
        <f t="shared" si="18"/>
        <v>1.0904814449726228</v>
      </c>
      <c r="L98" s="421">
        <f t="shared" si="18"/>
        <v>1.0184973237934849</v>
      </c>
      <c r="M98" s="421">
        <f t="shared" si="18"/>
        <v>0.92790164533858943</v>
      </c>
      <c r="N98" s="421">
        <f t="shared" si="18"/>
        <v>0.92790164533858943</v>
      </c>
      <c r="O98" s="421">
        <f t="shared" si="18"/>
        <v>0.92790164533858943</v>
      </c>
      <c r="P98" s="421">
        <f t="shared" si="18"/>
        <v>0.92790164533858943</v>
      </c>
      <c r="Q98" s="421">
        <f t="shared" si="18"/>
        <v>0.92790164533858943</v>
      </c>
      <c r="S98" s="395"/>
      <c r="T98" s="395"/>
      <c r="U98" s="395"/>
      <c r="V98" s="395"/>
      <c r="W98" s="395"/>
      <c r="X98" s="395"/>
      <c r="Y98" s="395"/>
      <c r="Z98" s="395"/>
      <c r="AA98" s="395"/>
      <c r="AB98" s="395"/>
      <c r="AC98" s="395"/>
    </row>
    <row r="99" spans="2:29">
      <c r="B99" s="376" t="str">
        <f>IF(LEFT(Technologies!B$247,1)="*","*R4","R4")</f>
        <v>*R4</v>
      </c>
      <c r="C99" s="376" t="str">
        <f>Technologies!C$247</f>
        <v>XPRESKERR1</v>
      </c>
      <c r="D99" s="376" t="str">
        <f>Technologies!D$247</f>
        <v>Delivery of Pipeline Traded RESKER from R1</v>
      </c>
      <c r="E99" s="415" t="str">
        <f>Commodities!C$77</f>
        <v>KERR1</v>
      </c>
      <c r="F99" s="415" t="str">
        <f>Commodities!C$94</f>
        <v>RESKER</v>
      </c>
      <c r="G99" s="422">
        <v>1</v>
      </c>
      <c r="H99" s="421">
        <f t="shared" si="18"/>
        <v>2.3360088139261128</v>
      </c>
      <c r="I99" s="421">
        <f t="shared" si="18"/>
        <v>2.324839816568975</v>
      </c>
      <c r="J99" s="421">
        <f t="shared" si="18"/>
        <v>2.4341840204874203</v>
      </c>
      <c r="K99" s="421">
        <f t="shared" si="18"/>
        <v>2.8867542721630399</v>
      </c>
      <c r="L99" s="421">
        <f t="shared" si="18"/>
        <v>2.6658129101280625</v>
      </c>
      <c r="M99" s="421">
        <f t="shared" si="18"/>
        <v>2.387746966355611</v>
      </c>
      <c r="N99" s="421">
        <f t="shared" si="18"/>
        <v>2.387746966355611</v>
      </c>
      <c r="O99" s="421">
        <f t="shared" si="18"/>
        <v>2.387746966355611</v>
      </c>
      <c r="P99" s="421">
        <f t="shared" si="18"/>
        <v>2.387746966355611</v>
      </c>
      <c r="Q99" s="421">
        <f t="shared" si="18"/>
        <v>2.387746966355611</v>
      </c>
      <c r="S99" s="395"/>
      <c r="T99" s="395"/>
      <c r="U99" s="395"/>
      <c r="V99" s="395"/>
      <c r="W99" s="395"/>
      <c r="X99" s="395"/>
      <c r="Y99" s="395"/>
      <c r="Z99" s="395"/>
      <c r="AA99" s="395"/>
      <c r="AB99" s="395"/>
      <c r="AC99" s="395"/>
    </row>
    <row r="100" spans="2:29">
      <c r="B100" s="376" t="str">
        <f>IF(LEFT(Technologies!B$248,1)="*","*R4","R4")</f>
        <v>*R4</v>
      </c>
      <c r="C100" s="376" t="str">
        <f>Technologies!C$248</f>
        <v>XPCOMKERR1</v>
      </c>
      <c r="D100" s="376" t="str">
        <f>Technologies!D$248</f>
        <v>Delivery of Pipeline Traded COMKER from R1</v>
      </c>
      <c r="E100" s="415" t="str">
        <f>Commodities!C$77</f>
        <v>KERR1</v>
      </c>
      <c r="F100" s="415" t="str">
        <f>Commodities!C$95</f>
        <v>COMKER</v>
      </c>
      <c r="G100" s="422">
        <v>1</v>
      </c>
      <c r="H100" s="421">
        <f t="shared" si="18"/>
        <v>2.0905605051798508</v>
      </c>
      <c r="I100" s="421">
        <f t="shared" si="18"/>
        <v>2.0806885526770902</v>
      </c>
      <c r="J100" s="421">
        <f t="shared" si="18"/>
        <v>2.1773347200114577</v>
      </c>
      <c r="K100" s="421">
        <f t="shared" si="18"/>
        <v>2.5773484263311994</v>
      </c>
      <c r="L100" s="421">
        <f t="shared" si="18"/>
        <v>2.3820647708551226</v>
      </c>
      <c r="M100" s="421">
        <f t="shared" si="18"/>
        <v>2.1362903560368904</v>
      </c>
      <c r="N100" s="421">
        <f t="shared" si="18"/>
        <v>2.1362903560368904</v>
      </c>
      <c r="O100" s="421">
        <f t="shared" si="18"/>
        <v>2.1362903560368904</v>
      </c>
      <c r="P100" s="421">
        <f t="shared" si="18"/>
        <v>2.1362903560368904</v>
      </c>
      <c r="Q100" s="421">
        <f t="shared" si="18"/>
        <v>2.1362903560368904</v>
      </c>
      <c r="S100" s="395"/>
      <c r="T100" s="395"/>
      <c r="U100" s="395"/>
      <c r="V100" s="395"/>
      <c r="W100" s="395"/>
      <c r="X100" s="395"/>
      <c r="Y100" s="395"/>
      <c r="Z100" s="395"/>
      <c r="AA100" s="395"/>
      <c r="AB100" s="395"/>
      <c r="AC100" s="395"/>
    </row>
    <row r="101" spans="2:29">
      <c r="B101" s="376" t="str">
        <f>IF(LEFT(Technologies!B$249,1)="*","*R4","R4")</f>
        <v>*R4</v>
      </c>
      <c r="C101" s="376" t="str">
        <f>Technologies!C$249</f>
        <v>XPINDKERR1</v>
      </c>
      <c r="D101" s="376" t="str">
        <f>Technologies!D$249</f>
        <v>Delivery of Pipeline Traded INDKER from R1</v>
      </c>
      <c r="E101" s="415" t="str">
        <f>Commodities!C$77</f>
        <v>KERR1</v>
      </c>
      <c r="F101" s="415" t="str">
        <f>Commodities!C$96</f>
        <v>INDKER</v>
      </c>
      <c r="G101" s="422">
        <v>1</v>
      </c>
      <c r="H101" s="421">
        <f t="shared" si="18"/>
        <v>1.3814876132462</v>
      </c>
      <c r="I101" s="421">
        <f t="shared" si="18"/>
        <v>1.3753626792116402</v>
      </c>
      <c r="J101" s="421">
        <f t="shared" si="18"/>
        <v>1.4353256297475618</v>
      </c>
      <c r="K101" s="421">
        <f t="shared" si="18"/>
        <v>1.683509316150321</v>
      </c>
      <c r="L101" s="421">
        <f t="shared" si="18"/>
        <v>1.5623479240666236</v>
      </c>
      <c r="M101" s="421">
        <f t="shared" si="18"/>
        <v>1.4098601484494724</v>
      </c>
      <c r="N101" s="421">
        <f t="shared" si="18"/>
        <v>1.4098601484494724</v>
      </c>
      <c r="O101" s="421">
        <f t="shared" si="18"/>
        <v>1.4098601484494724</v>
      </c>
      <c r="P101" s="421">
        <f t="shared" si="18"/>
        <v>1.4098601484494724</v>
      </c>
      <c r="Q101" s="421">
        <f t="shared" si="18"/>
        <v>1.4098601484494724</v>
      </c>
      <c r="S101" s="395"/>
      <c r="T101" s="395"/>
      <c r="U101" s="395"/>
      <c r="V101" s="395"/>
      <c r="W101" s="395"/>
      <c r="X101" s="395"/>
      <c r="Y101" s="395"/>
      <c r="Z101" s="395"/>
      <c r="AA101" s="395"/>
      <c r="AB101" s="395"/>
      <c r="AC101" s="395"/>
    </row>
    <row r="102" spans="2:29">
      <c r="B102" s="376" t="str">
        <f>IF(LEFT(Technologies!B$250,1)="*","*R4","R4")</f>
        <v>*R4</v>
      </c>
      <c r="C102" s="376" t="str">
        <f>Technologies!C$250</f>
        <v>XPRESLPGR1</v>
      </c>
      <c r="D102" s="376" t="str">
        <f>Technologies!D$250</f>
        <v>Delivery of Pipeline Traded RESLPG from R1</v>
      </c>
      <c r="E102" s="415" t="str">
        <f>Commodities!C$78</f>
        <v>LPGR1</v>
      </c>
      <c r="F102" s="415" t="str">
        <f>Commodities!C$97</f>
        <v>RESLPG</v>
      </c>
      <c r="G102" s="422">
        <v>1</v>
      </c>
      <c r="H102" s="421">
        <f t="shared" si="18"/>
        <v>6.7131703199011481</v>
      </c>
      <c r="I102" s="421">
        <f t="shared" si="18"/>
        <v>6.6788706893076153</v>
      </c>
      <c r="J102" s="421">
        <f t="shared" si="18"/>
        <v>7.0146632123087764</v>
      </c>
      <c r="K102" s="421">
        <f t="shared" si="18"/>
        <v>8.4044918561642277</v>
      </c>
      <c r="L102" s="421">
        <f t="shared" si="18"/>
        <v>7.7259880604955224</v>
      </c>
      <c r="M102" s="421">
        <f t="shared" si="18"/>
        <v>6.8720565170394758</v>
      </c>
      <c r="N102" s="421">
        <f t="shared" si="18"/>
        <v>6.8720565170394758</v>
      </c>
      <c r="O102" s="421">
        <f t="shared" si="18"/>
        <v>6.8720565170394758</v>
      </c>
      <c r="P102" s="421">
        <f t="shared" si="18"/>
        <v>6.8720565170394758</v>
      </c>
      <c r="Q102" s="421">
        <f t="shared" si="18"/>
        <v>6.8720565170394758</v>
      </c>
      <c r="S102" s="395"/>
      <c r="T102" s="395"/>
      <c r="U102" s="395"/>
      <c r="V102" s="395"/>
      <c r="W102" s="395"/>
      <c r="X102" s="395"/>
      <c r="Y102" s="395"/>
      <c r="Z102" s="395"/>
      <c r="AA102" s="395"/>
      <c r="AB102" s="395"/>
      <c r="AC102" s="395"/>
    </row>
    <row r="103" spans="2:29">
      <c r="B103" s="376" t="str">
        <f>IF(LEFT(Technologies!B$251,1)="*","*R4","R4")</f>
        <v>*R4</v>
      </c>
      <c r="C103" s="376" t="str">
        <f>Technologies!C$251</f>
        <v>XPCOMLPGR1</v>
      </c>
      <c r="D103" s="376" t="str">
        <f>Technologies!D$251</f>
        <v>Delivery of Pipeline Traded COMLPG from R1</v>
      </c>
      <c r="E103" s="415" t="str">
        <f>Commodities!C$78</f>
        <v>LPGR1</v>
      </c>
      <c r="F103" s="415" t="str">
        <f>Commodities!C$98</f>
        <v>COMLPG</v>
      </c>
      <c r="G103" s="422">
        <v>1</v>
      </c>
      <c r="H103" s="421">
        <f t="shared" si="18"/>
        <v>2.8132694142660704</v>
      </c>
      <c r="I103" s="421">
        <f t="shared" si="18"/>
        <v>2.7995783852476435</v>
      </c>
      <c r="J103" s="421">
        <f t="shared" si="18"/>
        <v>2.9336132158573505</v>
      </c>
      <c r="K103" s="421">
        <f t="shared" si="18"/>
        <v>3.4883767501694001</v>
      </c>
      <c r="L103" s="421">
        <f t="shared" si="18"/>
        <v>3.2175454031587827</v>
      </c>
      <c r="M103" s="421">
        <f t="shared" si="18"/>
        <v>2.8766903753086801</v>
      </c>
      <c r="N103" s="421">
        <f t="shared" si="18"/>
        <v>2.8766903753086801</v>
      </c>
      <c r="O103" s="421">
        <f t="shared" si="18"/>
        <v>2.8766903753086801</v>
      </c>
      <c r="P103" s="421">
        <f t="shared" si="18"/>
        <v>2.8766903753086801</v>
      </c>
      <c r="Q103" s="421">
        <f t="shared" si="18"/>
        <v>2.8766903753086801</v>
      </c>
      <c r="S103" s="395"/>
      <c r="T103" s="395"/>
      <c r="U103" s="395"/>
      <c r="V103" s="395"/>
      <c r="W103" s="395"/>
      <c r="X103" s="395"/>
      <c r="Y103" s="395"/>
      <c r="Z103" s="395"/>
      <c r="AA103" s="395"/>
      <c r="AB103" s="395"/>
      <c r="AC103" s="395"/>
    </row>
    <row r="104" spans="2:29">
      <c r="B104" s="376" t="str">
        <f>IF(LEFT(Technologies!B$252,1)="*","*R4","R4")</f>
        <v>*R4</v>
      </c>
      <c r="C104" s="376" t="str">
        <f>Technologies!C$252</f>
        <v>XPINDLPGR1</v>
      </c>
      <c r="D104" s="376" t="str">
        <f>Technologies!D$252</f>
        <v>Delivery of Pipeline Traded INDLPG from R1</v>
      </c>
      <c r="E104" s="415" t="str">
        <f>Commodities!C$78</f>
        <v>LPGR1</v>
      </c>
      <c r="F104" s="415" t="str">
        <f>Commodities!C$99</f>
        <v>INDLPG</v>
      </c>
      <c r="G104" s="422">
        <v>1</v>
      </c>
      <c r="H104" s="421">
        <f t="shared" si="18"/>
        <v>2.4723689854518156</v>
      </c>
      <c r="I104" s="421">
        <f t="shared" si="18"/>
        <v>2.4604794076200243</v>
      </c>
      <c r="J104" s="421">
        <f t="shared" si="18"/>
        <v>2.5768780763074011</v>
      </c>
      <c r="K104" s="421">
        <f t="shared" si="18"/>
        <v>3.058646408736287</v>
      </c>
      <c r="L104" s="421">
        <f t="shared" si="18"/>
        <v>2.8234507652796976</v>
      </c>
      <c r="M104" s="421">
        <f t="shared" si="18"/>
        <v>2.5274450831993458</v>
      </c>
      <c r="N104" s="421">
        <f t="shared" si="18"/>
        <v>2.5274450831993458</v>
      </c>
      <c r="O104" s="421">
        <f t="shared" si="18"/>
        <v>2.5274450831993458</v>
      </c>
      <c r="P104" s="421">
        <f t="shared" si="18"/>
        <v>2.5274450831993458</v>
      </c>
      <c r="Q104" s="421">
        <f t="shared" si="18"/>
        <v>2.5274450831993458</v>
      </c>
      <c r="S104" s="395"/>
      <c r="T104" s="395"/>
      <c r="U104" s="395"/>
      <c r="V104" s="395"/>
      <c r="W104" s="395"/>
      <c r="X104" s="395"/>
      <c r="Y104" s="395"/>
      <c r="Z104" s="395"/>
      <c r="AA104" s="395"/>
      <c r="AB104" s="395"/>
      <c r="AC104" s="395"/>
    </row>
    <row r="105" spans="2:29">
      <c r="B105" s="376" t="str">
        <f>IF(LEFT(Technologies!B$253,1)="*","*R4","R4")</f>
        <v>*R4</v>
      </c>
      <c r="C105" s="376" t="str">
        <f>Technologies!C$253</f>
        <v>XPTRNLPGR1</v>
      </c>
      <c r="D105" s="376" t="str">
        <f>Technologies!D$253</f>
        <v>Delivery of Pipeline Traded TRNLPG from R1</v>
      </c>
      <c r="E105" s="415" t="str">
        <f>Commodities!C$78</f>
        <v>LPGR1</v>
      </c>
      <c r="F105" s="415" t="str">
        <f>Commodities!C$100</f>
        <v>TRNLPG</v>
      </c>
      <c r="G105" s="422">
        <v>1</v>
      </c>
      <c r="H105" s="421">
        <f t="shared" si="18"/>
        <v>4.0541469751499584</v>
      </c>
      <c r="I105" s="421">
        <f t="shared" si="18"/>
        <v>4.0338986638121783</v>
      </c>
      <c r="J105" s="421">
        <f t="shared" si="18"/>
        <v>4.2321291238191678</v>
      </c>
      <c r="K105" s="421">
        <f t="shared" si="18"/>
        <v>5.0525951929859358</v>
      </c>
      <c r="L105" s="421">
        <f t="shared" si="18"/>
        <v>4.6520498850386538</v>
      </c>
      <c r="M105" s="421">
        <f t="shared" si="18"/>
        <v>4.1479432385866604</v>
      </c>
      <c r="N105" s="421">
        <f t="shared" si="18"/>
        <v>4.1479432385866604</v>
      </c>
      <c r="O105" s="421">
        <f t="shared" si="18"/>
        <v>4.1479432385866604</v>
      </c>
      <c r="P105" s="421">
        <f t="shared" si="18"/>
        <v>4.1479432385866604</v>
      </c>
      <c r="Q105" s="421">
        <f t="shared" si="18"/>
        <v>4.1479432385866604</v>
      </c>
      <c r="S105" s="395"/>
      <c r="T105" s="395"/>
      <c r="U105" s="395"/>
      <c r="V105" s="395"/>
      <c r="W105" s="395"/>
      <c r="X105" s="395"/>
      <c r="Y105" s="395"/>
      <c r="Z105" s="395"/>
      <c r="AA105" s="395"/>
      <c r="AB105" s="395"/>
      <c r="AC105" s="395"/>
    </row>
    <row r="106" spans="2:29">
      <c r="B106" s="376" t="str">
        <f>IF(LEFT(Technologies!B$254,1)="*","*R4","R4")</f>
        <v>*R4</v>
      </c>
      <c r="C106" s="376" t="str">
        <f>Technologies!C$254</f>
        <v>XPTRNMTHR1</v>
      </c>
      <c r="D106" s="376" t="str">
        <f>Technologies!D$254</f>
        <v>Delivery of Pipeline Traded TRNMTH from R1</v>
      </c>
      <c r="E106" s="415" t="str">
        <f>Commodities!C$79</f>
        <v>MTHR1</v>
      </c>
      <c r="F106" s="415" t="str">
        <f>Commodities!C$101</f>
        <v>TRNMTH</v>
      </c>
      <c r="G106" s="422">
        <v>1</v>
      </c>
      <c r="H106" s="421">
        <f t="shared" si="18"/>
        <v>3.8836967607428319</v>
      </c>
      <c r="I106" s="421">
        <f t="shared" si="18"/>
        <v>3.8643491749983703</v>
      </c>
      <c r="J106" s="421">
        <f t="shared" si="18"/>
        <v>4.0537615540441934</v>
      </c>
      <c r="K106" s="421">
        <f t="shared" si="18"/>
        <v>4.8377300222693789</v>
      </c>
      <c r="L106" s="421">
        <f t="shared" si="18"/>
        <v>4.4550025660991119</v>
      </c>
      <c r="M106" s="421">
        <f t="shared" si="18"/>
        <v>3.9733205925319934</v>
      </c>
      <c r="N106" s="421">
        <f t="shared" si="18"/>
        <v>3.9733205925319934</v>
      </c>
      <c r="O106" s="421">
        <f t="shared" si="18"/>
        <v>3.9733205925319934</v>
      </c>
      <c r="P106" s="421">
        <f t="shared" si="18"/>
        <v>3.9733205925319934</v>
      </c>
      <c r="Q106" s="421">
        <f t="shared" si="18"/>
        <v>3.9733205925319934</v>
      </c>
      <c r="S106" s="395"/>
      <c r="T106" s="395"/>
      <c r="U106" s="395"/>
      <c r="V106" s="395"/>
      <c r="W106" s="395"/>
      <c r="X106" s="395"/>
      <c r="Y106" s="395"/>
      <c r="Z106" s="395"/>
      <c r="AA106" s="395"/>
      <c r="AB106" s="395"/>
      <c r="AC106" s="395"/>
    </row>
    <row r="107" spans="2:29">
      <c r="B107" s="376" t="str">
        <f>IF(LEFT(Technologies!B$255,1)="*","*R4","R4")</f>
        <v>*R4</v>
      </c>
      <c r="C107" s="376" t="str">
        <f>Technologies!C$255</f>
        <v>XPINDPFSR1</v>
      </c>
      <c r="D107" s="376" t="str">
        <f>Technologies!D$255</f>
        <v>Delivery of Pipeline Traded INDPFS from R1</v>
      </c>
      <c r="E107" s="415" t="str">
        <f>Commodities!C$80</f>
        <v>PFSR1</v>
      </c>
      <c r="F107" s="415" t="str">
        <f>Commodities!C$102</f>
        <v>INDPFS</v>
      </c>
      <c r="G107" s="422">
        <v>1</v>
      </c>
      <c r="H107" s="421">
        <f t="shared" ref="H107:Q114" si="19">H81</f>
        <v>0.50196450690542171</v>
      </c>
      <c r="I107" s="421">
        <f t="shared" si="19"/>
        <v>0.50048731693238091</v>
      </c>
      <c r="J107" s="421">
        <f t="shared" si="19"/>
        <v>0.51494896970869142</v>
      </c>
      <c r="K107" s="421">
        <f t="shared" si="19"/>
        <v>0.57480503525288629</v>
      </c>
      <c r="L107" s="421">
        <f t="shared" si="19"/>
        <v>0.54558375833858275</v>
      </c>
      <c r="M107" s="421">
        <f t="shared" si="19"/>
        <v>0.50880729480738751</v>
      </c>
      <c r="N107" s="421">
        <f t="shared" si="19"/>
        <v>0.50880729480738751</v>
      </c>
      <c r="O107" s="421">
        <f t="shared" si="19"/>
        <v>0.50880729480738751</v>
      </c>
      <c r="P107" s="421">
        <f t="shared" si="19"/>
        <v>0.50880729480738751</v>
      </c>
      <c r="Q107" s="421">
        <f t="shared" si="19"/>
        <v>0.50880729480738751</v>
      </c>
      <c r="S107" s="395"/>
      <c r="T107" s="395"/>
      <c r="U107" s="395"/>
      <c r="V107" s="395"/>
      <c r="W107" s="395"/>
      <c r="X107" s="395"/>
      <c r="Y107" s="395"/>
      <c r="Z107" s="395"/>
      <c r="AA107" s="395"/>
      <c r="AB107" s="395"/>
      <c r="AC107" s="395"/>
    </row>
    <row r="108" spans="2:29">
      <c r="B108" s="376" t="str">
        <f>IF(LEFT(Technologies!B$256,1)="*","*R4","R4")</f>
        <v>*R4</v>
      </c>
      <c r="C108" s="376" t="str">
        <f>Technologies!C$256</f>
        <v>XPRESRFLR1</v>
      </c>
      <c r="D108" s="376" t="str">
        <f>Technologies!D$256</f>
        <v>Delivery of Pipeline Traded RESRFL from R1</v>
      </c>
      <c r="E108" s="415" t="str">
        <f>Commodities!C$82</f>
        <v>RFLR1</v>
      </c>
      <c r="F108" s="415" t="str">
        <f>Commodities!C$103</f>
        <v>RESRFL</v>
      </c>
      <c r="G108" s="422">
        <v>1</v>
      </c>
      <c r="H108" s="421">
        <f t="shared" si="19"/>
        <v>0.87695497860110183</v>
      </c>
      <c r="I108" s="421">
        <f t="shared" si="19"/>
        <v>0.87349619232276232</v>
      </c>
      <c r="J108" s="421">
        <f t="shared" si="19"/>
        <v>0.90735762321363567</v>
      </c>
      <c r="K108" s="421">
        <f t="shared" si="19"/>
        <v>1.0475084108293113</v>
      </c>
      <c r="L108" s="421">
        <f t="shared" si="19"/>
        <v>0.97908786000557646</v>
      </c>
      <c r="M108" s="421">
        <f t="shared" si="19"/>
        <v>0.89297711612765585</v>
      </c>
      <c r="N108" s="421">
        <f t="shared" si="19"/>
        <v>0.89297711612765585</v>
      </c>
      <c r="O108" s="421">
        <f t="shared" si="19"/>
        <v>0.89297711612765585</v>
      </c>
      <c r="P108" s="421">
        <f t="shared" si="19"/>
        <v>0.89297711612765585</v>
      </c>
      <c r="Q108" s="421">
        <f t="shared" si="19"/>
        <v>0.89297711612765585</v>
      </c>
      <c r="S108" s="395"/>
      <c r="T108" s="395"/>
      <c r="U108" s="395"/>
      <c r="V108" s="395"/>
      <c r="W108" s="395"/>
      <c r="X108" s="395"/>
      <c r="Y108" s="395"/>
      <c r="Z108" s="395"/>
      <c r="AA108" s="395"/>
      <c r="AB108" s="395"/>
      <c r="AC108" s="395"/>
    </row>
    <row r="109" spans="2:29">
      <c r="B109" s="376" t="str">
        <f>IF(LEFT(Technologies!B$257,1)="*","*R4","R4")</f>
        <v>*R4</v>
      </c>
      <c r="C109" s="376" t="str">
        <f>Technologies!C$257</f>
        <v>XPCOMRFLR1</v>
      </c>
      <c r="D109" s="376" t="str">
        <f>Technologies!D$257</f>
        <v>Delivery of Pipeline Traded COMRFL from R1</v>
      </c>
      <c r="E109" s="415" t="str">
        <f>Commodities!C$82</f>
        <v>RFLR1</v>
      </c>
      <c r="F109" s="415" t="str">
        <f>Commodities!C$104</f>
        <v>COMRFL</v>
      </c>
      <c r="G109" s="422">
        <v>1</v>
      </c>
      <c r="H109" s="421">
        <f t="shared" si="19"/>
        <v>0.87695497860110183</v>
      </c>
      <c r="I109" s="421">
        <f t="shared" si="19"/>
        <v>0.87349619232276232</v>
      </c>
      <c r="J109" s="421">
        <f t="shared" si="19"/>
        <v>0.90735762321363567</v>
      </c>
      <c r="K109" s="421">
        <f t="shared" si="19"/>
        <v>1.0475084108293113</v>
      </c>
      <c r="L109" s="421">
        <f t="shared" si="19"/>
        <v>0.97908786000557646</v>
      </c>
      <c r="M109" s="421">
        <f t="shared" si="19"/>
        <v>0.89297711612765585</v>
      </c>
      <c r="N109" s="421">
        <f t="shared" si="19"/>
        <v>0.89297711612765585</v>
      </c>
      <c r="O109" s="421">
        <f t="shared" si="19"/>
        <v>0.89297711612765585</v>
      </c>
      <c r="P109" s="421">
        <f t="shared" si="19"/>
        <v>0.89297711612765585</v>
      </c>
      <c r="Q109" s="421">
        <f t="shared" si="19"/>
        <v>0.89297711612765585</v>
      </c>
      <c r="S109" s="395"/>
      <c r="T109" s="395"/>
      <c r="U109" s="395"/>
      <c r="V109" s="395"/>
      <c r="W109" s="395"/>
      <c r="X109" s="395"/>
      <c r="Y109" s="395"/>
      <c r="Z109" s="395"/>
      <c r="AA109" s="395"/>
      <c r="AB109" s="395"/>
      <c r="AC109" s="395"/>
    </row>
    <row r="110" spans="2:29">
      <c r="B110" s="376" t="str">
        <f>IF(LEFT(Technologies!B$258,1)="*","*R4","R4")</f>
        <v>R4</v>
      </c>
      <c r="C110" s="376" t="str">
        <f>Technologies!C$258</f>
        <v>XPINDRFLR1</v>
      </c>
      <c r="D110" s="376" t="str">
        <f>Technologies!D$258</f>
        <v>Delivery of Pipeline Traded INDRFL from R1</v>
      </c>
      <c r="E110" s="415" t="str">
        <f>Commodities!C$82</f>
        <v>RFLR1</v>
      </c>
      <c r="F110" s="415" t="str">
        <f>Commodities!C$105</f>
        <v>INDRFL</v>
      </c>
      <c r="G110" s="422">
        <v>1</v>
      </c>
      <c r="H110" s="421">
        <f t="shared" si="19"/>
        <v>0.73377679849911459</v>
      </c>
      <c r="I110" s="421">
        <f t="shared" si="19"/>
        <v>0.73107462171916182</v>
      </c>
      <c r="J110" s="421">
        <f t="shared" si="19"/>
        <v>0.75752886460265678</v>
      </c>
      <c r="K110" s="421">
        <f t="shared" si="19"/>
        <v>0.86702166742740328</v>
      </c>
      <c r="L110" s="421">
        <f t="shared" si="19"/>
        <v>0.81356811209636037</v>
      </c>
      <c r="M110" s="421">
        <f t="shared" si="19"/>
        <v>0.74629409344173492</v>
      </c>
      <c r="N110" s="421">
        <f t="shared" si="19"/>
        <v>0.74629409344173492</v>
      </c>
      <c r="O110" s="421">
        <f t="shared" si="19"/>
        <v>0.74629409344173492</v>
      </c>
      <c r="P110" s="421">
        <f t="shared" si="19"/>
        <v>0.74629409344173492</v>
      </c>
      <c r="Q110" s="421">
        <f t="shared" si="19"/>
        <v>0.74629409344173492</v>
      </c>
      <c r="S110" s="395"/>
      <c r="T110" s="395"/>
      <c r="U110" s="395"/>
      <c r="V110" s="395"/>
      <c r="W110" s="395"/>
      <c r="X110" s="395"/>
      <c r="Y110" s="395"/>
      <c r="Z110" s="395"/>
      <c r="AA110" s="395"/>
      <c r="AB110" s="395"/>
      <c r="AC110" s="395"/>
    </row>
    <row r="111" spans="2:29">
      <c r="B111" s="376" t="str">
        <f>IF(LEFT(Technologies!B$259,1)="*","*R4","R4")</f>
        <v>*R4</v>
      </c>
      <c r="C111" s="376" t="str">
        <f>Technologies!C$259</f>
        <v>XPELCRFLR1</v>
      </c>
      <c r="D111" s="376" t="str">
        <f>Technologies!D$259</f>
        <v>Delivery of Pipeline Traded ELCRFL from R1</v>
      </c>
      <c r="E111" s="415" t="str">
        <f>Commodities!C$82</f>
        <v>RFLR1</v>
      </c>
      <c r="F111" s="415" t="str">
        <f>Commodities!C$106</f>
        <v>ELCRFL</v>
      </c>
      <c r="G111" s="422">
        <v>1</v>
      </c>
      <c r="H111" s="421">
        <f t="shared" si="19"/>
        <v>0.22242615527773235</v>
      </c>
      <c r="I111" s="421">
        <f t="shared" si="19"/>
        <v>0.22242615527773235</v>
      </c>
      <c r="J111" s="421">
        <f t="shared" si="19"/>
        <v>0.22242615527773235</v>
      </c>
      <c r="K111" s="421">
        <f t="shared" si="19"/>
        <v>0.22242615527773235</v>
      </c>
      <c r="L111" s="421">
        <f t="shared" si="19"/>
        <v>0.22242615527773235</v>
      </c>
      <c r="M111" s="421">
        <f t="shared" si="19"/>
        <v>0.22242615527773235</v>
      </c>
      <c r="N111" s="421">
        <f t="shared" si="19"/>
        <v>0.22242615527773235</v>
      </c>
      <c r="O111" s="421">
        <f t="shared" si="19"/>
        <v>0.22242615527773235</v>
      </c>
      <c r="P111" s="421">
        <f t="shared" si="19"/>
        <v>0.22242615527773235</v>
      </c>
      <c r="Q111" s="421">
        <f t="shared" si="19"/>
        <v>0.22242615527773235</v>
      </c>
      <c r="S111" s="395"/>
      <c r="T111" s="395"/>
      <c r="U111" s="395"/>
      <c r="V111" s="395"/>
      <c r="W111" s="395"/>
      <c r="X111" s="395"/>
      <c r="Y111" s="395"/>
      <c r="Z111" s="395"/>
      <c r="AA111" s="395"/>
      <c r="AB111" s="395"/>
      <c r="AC111" s="395"/>
    </row>
    <row r="112" spans="2:29">
      <c r="B112" s="376" t="str">
        <f>IF(LEFT(Technologies!B$260,1)="*","*R4","R4")</f>
        <v>*R4</v>
      </c>
      <c r="C112" s="376" t="str">
        <f>Technologies!C$260</f>
        <v>XPTRNRFHR1</v>
      </c>
      <c r="D112" s="376" t="str">
        <f>Technologies!D$260</f>
        <v>Delivery of Pipeline Traded TRNRFH from R1</v>
      </c>
      <c r="E112" s="415" t="str">
        <f>Commodities!C$81</f>
        <v>RFHR1</v>
      </c>
      <c r="F112" s="415" t="str">
        <f>Commodities!C$107</f>
        <v>TRNRFH</v>
      </c>
      <c r="G112" s="422">
        <v>1</v>
      </c>
      <c r="H112" s="421">
        <f t="shared" si="19"/>
        <v>4.1223270609128093</v>
      </c>
      <c r="I112" s="421">
        <f t="shared" si="19"/>
        <v>4.101718459337703</v>
      </c>
      <c r="J112" s="421">
        <f t="shared" si="19"/>
        <v>4.3034761517291571</v>
      </c>
      <c r="K112" s="421">
        <f t="shared" si="19"/>
        <v>5.1385412612725583</v>
      </c>
      <c r="L112" s="421">
        <f t="shared" si="19"/>
        <v>4.73086881261447</v>
      </c>
      <c r="M112" s="421">
        <f t="shared" si="19"/>
        <v>4.2177922970085273</v>
      </c>
      <c r="N112" s="421">
        <f t="shared" si="19"/>
        <v>4.2177922970085273</v>
      </c>
      <c r="O112" s="421">
        <f t="shared" si="19"/>
        <v>4.2177922970085273</v>
      </c>
      <c r="P112" s="421">
        <f t="shared" si="19"/>
        <v>4.2177922970085273</v>
      </c>
      <c r="Q112" s="421">
        <f t="shared" si="19"/>
        <v>4.2177922970085273</v>
      </c>
      <c r="S112" s="395"/>
      <c r="T112" s="395"/>
      <c r="U112" s="395"/>
      <c r="V112" s="395"/>
      <c r="W112" s="395"/>
      <c r="X112" s="395"/>
      <c r="Y112" s="395"/>
      <c r="Z112" s="395"/>
      <c r="AA112" s="395"/>
      <c r="AB112" s="395"/>
      <c r="AC112" s="395"/>
    </row>
    <row r="113" spans="2:29">
      <c r="B113" s="376" t="str">
        <f>IF(LEFT(Technologies!B$261,1)="*","*R4","R4")</f>
        <v>*R4</v>
      </c>
      <c r="C113" s="376" t="str">
        <f>Technologies!C$261</f>
        <v>XPELCRFHR1</v>
      </c>
      <c r="D113" s="376" t="str">
        <f>Technologies!D$261</f>
        <v>Delivery of Pipeline Traded ELCRFH from R1</v>
      </c>
      <c r="E113" s="415" t="str">
        <f>Commodities!C$81</f>
        <v>RFHR1</v>
      </c>
      <c r="F113" s="415" t="str">
        <f>Commodities!C$108</f>
        <v>ELCRFH</v>
      </c>
      <c r="G113" s="422">
        <v>1</v>
      </c>
      <c r="H113" s="421">
        <f t="shared" si="19"/>
        <v>1.3814876132461995</v>
      </c>
      <c r="I113" s="421">
        <f t="shared" si="19"/>
        <v>1.3753626792116402</v>
      </c>
      <c r="J113" s="421">
        <f t="shared" si="19"/>
        <v>1.4353256297475618</v>
      </c>
      <c r="K113" s="421">
        <f t="shared" si="19"/>
        <v>1.683509316150321</v>
      </c>
      <c r="L113" s="421">
        <f t="shared" si="19"/>
        <v>1.5623479240666232</v>
      </c>
      <c r="M113" s="421">
        <f t="shared" si="19"/>
        <v>1.4098601484494724</v>
      </c>
      <c r="N113" s="421">
        <f t="shared" si="19"/>
        <v>1.4098601484494724</v>
      </c>
      <c r="O113" s="421">
        <f t="shared" si="19"/>
        <v>1.4098601484494724</v>
      </c>
      <c r="P113" s="421">
        <f t="shared" si="19"/>
        <v>1.4098601484494724</v>
      </c>
      <c r="Q113" s="421">
        <f t="shared" si="19"/>
        <v>1.4098601484494724</v>
      </c>
      <c r="S113" s="395"/>
      <c r="T113" s="395"/>
      <c r="U113" s="395"/>
      <c r="V113" s="395"/>
      <c r="W113" s="395"/>
      <c r="X113" s="395"/>
      <c r="Y113" s="395"/>
      <c r="Z113" s="395"/>
      <c r="AA113" s="395"/>
      <c r="AB113" s="395"/>
      <c r="AC113" s="395"/>
    </row>
    <row r="114" spans="2:29">
      <c r="B114" s="376" t="str">
        <f>IF(LEFT(Technologies!B$262,1)="*","*R4","R4")</f>
        <v>*R4</v>
      </c>
      <c r="C114" s="376" t="str">
        <f>Technologies!C$262</f>
        <v>XPINDASPR1</v>
      </c>
      <c r="D114" s="376" t="str">
        <f>Technologies!D$262</f>
        <v>Delivery of Pipeline Traded INDASP from R1</v>
      </c>
      <c r="E114" s="415" t="str">
        <f>Commodities!C$83</f>
        <v>ASPR1</v>
      </c>
      <c r="F114" s="415" t="str">
        <f>Commodities!C$109</f>
        <v>INDASP</v>
      </c>
      <c r="G114" s="422">
        <v>1</v>
      </c>
      <c r="H114" s="421">
        <f t="shared" si="19"/>
        <v>0.99967913297423372</v>
      </c>
      <c r="I114" s="421">
        <f t="shared" si="19"/>
        <v>0.99557182426870561</v>
      </c>
      <c r="J114" s="421">
        <f t="shared" si="19"/>
        <v>1.0357822734516178</v>
      </c>
      <c r="K114" s="421">
        <f t="shared" si="19"/>
        <v>1.2022113337452325</v>
      </c>
      <c r="L114" s="421">
        <f t="shared" si="19"/>
        <v>1.1209619296420472</v>
      </c>
      <c r="M114" s="421">
        <f t="shared" si="19"/>
        <v>1.0187054212870166</v>
      </c>
      <c r="N114" s="421">
        <f t="shared" si="19"/>
        <v>1.0187054212870166</v>
      </c>
      <c r="O114" s="421">
        <f t="shared" si="19"/>
        <v>1.0187054212870166</v>
      </c>
      <c r="P114" s="421">
        <f t="shared" si="19"/>
        <v>1.0187054212870166</v>
      </c>
      <c r="Q114" s="421">
        <f t="shared" si="19"/>
        <v>1.0187054212870166</v>
      </c>
      <c r="S114" s="395"/>
      <c r="T114" s="395"/>
      <c r="U114" s="395"/>
      <c r="V114" s="395"/>
      <c r="W114" s="395"/>
      <c r="X114" s="395"/>
      <c r="Y114" s="395"/>
      <c r="Z114" s="395"/>
      <c r="AA114" s="395"/>
      <c r="AB114" s="395"/>
      <c r="AC114" s="395"/>
    </row>
    <row r="115" spans="2:29">
      <c r="B115" s="376" t="s">
        <v>588</v>
      </c>
      <c r="C115" s="376"/>
      <c r="D115" s="376"/>
      <c r="E115" s="415"/>
      <c r="F115" s="415"/>
      <c r="G115" s="422"/>
      <c r="H115" s="421"/>
      <c r="I115" s="421"/>
      <c r="J115" s="421"/>
      <c r="K115" s="421"/>
      <c r="L115" s="421"/>
      <c r="M115" s="421"/>
      <c r="N115" s="421"/>
      <c r="O115" s="421"/>
      <c r="P115" s="421"/>
      <c r="Q115" s="421"/>
      <c r="S115" s="395"/>
      <c r="T115" s="395"/>
      <c r="U115" s="395"/>
      <c r="V115" s="395"/>
      <c r="W115" s="395"/>
      <c r="X115" s="395"/>
      <c r="Y115" s="395"/>
      <c r="Z115" s="395"/>
      <c r="AA115" s="395"/>
      <c r="AB115" s="395"/>
      <c r="AC115" s="395"/>
    </row>
    <row r="116" spans="2:29">
      <c r="B116" s="376" t="str">
        <f>IF(LEFT(Technologies!B$238,1)="*","*R5","R5")</f>
        <v>R5</v>
      </c>
      <c r="C116" s="376" t="str">
        <f>Technologies!C$238</f>
        <v>XPTRGSLCR1</v>
      </c>
      <c r="D116" s="376" t="str">
        <f>Technologies!D$238</f>
        <v>Delivery of Pipeline Traded TRGSLC from R1</v>
      </c>
      <c r="E116" s="415" t="str">
        <f>Commodities!C$71</f>
        <v>GSCR1</v>
      </c>
      <c r="F116" s="415" t="str">
        <f>Commodities!C$85</f>
        <v>TRGSLC</v>
      </c>
      <c r="G116" s="422">
        <v>1</v>
      </c>
      <c r="H116" s="421">
        <f t="shared" ref="H116:Q116" si="20">H90</f>
        <v>3.5905223919625726</v>
      </c>
      <c r="I116" s="421">
        <f t="shared" si="20"/>
        <v>3.5727240542386172</v>
      </c>
      <c r="J116" s="421">
        <f t="shared" si="20"/>
        <v>3.7469693340312364</v>
      </c>
      <c r="K116" s="421">
        <f t="shared" si="20"/>
        <v>4.4681619286369019</v>
      </c>
      <c r="L116" s="421">
        <f t="shared" si="20"/>
        <v>4.1160811775230988</v>
      </c>
      <c r="M116" s="421">
        <f t="shared" si="20"/>
        <v>3.6729696413179656</v>
      </c>
      <c r="N116" s="421">
        <f t="shared" si="20"/>
        <v>3.6729696413179656</v>
      </c>
      <c r="O116" s="421">
        <f t="shared" si="20"/>
        <v>3.6729696413179656</v>
      </c>
      <c r="P116" s="421">
        <f t="shared" si="20"/>
        <v>3.6729696413179656</v>
      </c>
      <c r="Q116" s="421">
        <f t="shared" si="20"/>
        <v>3.6729696413179656</v>
      </c>
      <c r="S116" s="395"/>
      <c r="T116" s="395"/>
      <c r="U116" s="395"/>
      <c r="V116" s="395"/>
      <c r="W116" s="395"/>
      <c r="X116" s="395"/>
      <c r="Y116" s="395"/>
      <c r="Z116" s="395"/>
      <c r="AA116" s="395"/>
      <c r="AB116" s="395"/>
      <c r="AC116" s="395"/>
    </row>
    <row r="117" spans="2:29">
      <c r="B117" s="376" t="str">
        <f>IF(LEFT(Technologies!B$239,1)="*","*R5","R5")</f>
        <v>R5</v>
      </c>
      <c r="C117" s="376" t="str">
        <f>Technologies!C$239</f>
        <v>XPTRGSLRR1</v>
      </c>
      <c r="D117" s="376" t="str">
        <f>Technologies!D$239</f>
        <v>Delivery of Pipeline Traded TRGSLR from R1</v>
      </c>
      <c r="E117" s="415" t="str">
        <f>Commodities!C$72</f>
        <v>GSRR1</v>
      </c>
      <c r="F117" s="415" t="str">
        <f>Commodities!C$86</f>
        <v>TRGSLR</v>
      </c>
      <c r="G117" s="422">
        <v>1</v>
      </c>
      <c r="H117" s="421">
        <f t="shared" ref="H117:Q132" si="21">H91</f>
        <v>3.5973404005388576</v>
      </c>
      <c r="I117" s="421">
        <f t="shared" si="21"/>
        <v>3.5795060337911697</v>
      </c>
      <c r="J117" s="421">
        <f t="shared" si="21"/>
        <v>3.7541040368222358</v>
      </c>
      <c r="K117" s="421">
        <f t="shared" si="21"/>
        <v>4.4767565354655634</v>
      </c>
      <c r="L117" s="421">
        <f t="shared" si="21"/>
        <v>4.1239630702806798</v>
      </c>
      <c r="M117" s="421">
        <f t="shared" si="21"/>
        <v>3.6799545471601522</v>
      </c>
      <c r="N117" s="421">
        <f t="shared" si="21"/>
        <v>3.6799545471601522</v>
      </c>
      <c r="O117" s="421">
        <f t="shared" si="21"/>
        <v>3.6799545471601522</v>
      </c>
      <c r="P117" s="421">
        <f t="shared" si="21"/>
        <v>3.6799545471601522</v>
      </c>
      <c r="Q117" s="421">
        <f t="shared" si="21"/>
        <v>3.6799545471601522</v>
      </c>
      <c r="S117" s="395"/>
      <c r="T117" s="395"/>
      <c r="U117" s="395"/>
      <c r="V117" s="395"/>
      <c r="W117" s="395"/>
      <c r="X117" s="395"/>
      <c r="Y117" s="395"/>
      <c r="Z117" s="395"/>
      <c r="AA117" s="395"/>
      <c r="AB117" s="395"/>
      <c r="AC117" s="395"/>
    </row>
    <row r="118" spans="2:29">
      <c r="B118" s="376" t="str">
        <f>IF(LEFT(Technologies!B$240,1)="*","*R5","R5")</f>
        <v>R5</v>
      </c>
      <c r="C118" s="376" t="str">
        <f>Technologies!C$240</f>
        <v>XPRESDSLR1</v>
      </c>
      <c r="D118" s="376" t="str">
        <f>Technologies!D$240</f>
        <v>Delivery of Pipeline Traded RESDSL from R1</v>
      </c>
      <c r="E118" s="415" t="str">
        <f>Commodities!C$73</f>
        <v>DSHR1</v>
      </c>
      <c r="F118" s="415" t="str">
        <f>Commodities!C$87</f>
        <v>RESDSL</v>
      </c>
      <c r="G118" s="422">
        <v>1</v>
      </c>
      <c r="H118" s="421">
        <f t="shared" si="21"/>
        <v>3.6587024777254236</v>
      </c>
      <c r="I118" s="421">
        <f t="shared" si="21"/>
        <v>3.6405438497641418</v>
      </c>
      <c r="J118" s="421">
        <f t="shared" si="21"/>
        <v>3.818316361941227</v>
      </c>
      <c r="K118" s="421">
        <f t="shared" si="21"/>
        <v>4.5541079969235243</v>
      </c>
      <c r="L118" s="421">
        <f t="shared" si="21"/>
        <v>4.194900105098915</v>
      </c>
      <c r="M118" s="421">
        <f t="shared" si="21"/>
        <v>3.7428186997398325</v>
      </c>
      <c r="N118" s="421">
        <f t="shared" si="21"/>
        <v>3.7428186997398325</v>
      </c>
      <c r="O118" s="421">
        <f t="shared" si="21"/>
        <v>3.7428186997398325</v>
      </c>
      <c r="P118" s="421">
        <f t="shared" si="21"/>
        <v>3.7428186997398325</v>
      </c>
      <c r="Q118" s="421">
        <f t="shared" si="21"/>
        <v>3.7428186997398325</v>
      </c>
      <c r="S118" s="395"/>
      <c r="T118" s="395"/>
      <c r="U118" s="395"/>
      <c r="V118" s="395"/>
      <c r="W118" s="395"/>
      <c r="X118" s="395"/>
      <c r="Y118" s="395"/>
      <c r="Z118" s="395"/>
      <c r="AA118" s="395"/>
      <c r="AB118" s="395"/>
      <c r="AC118" s="395"/>
    </row>
    <row r="119" spans="2:29">
      <c r="B119" s="376" t="str">
        <f>IF(LEFT(Technologies!B$241,1)="*","*R5","R5")</f>
        <v>R5</v>
      </c>
      <c r="C119" s="376" t="str">
        <f>Technologies!C$241</f>
        <v>XPCOMDSLR1</v>
      </c>
      <c r="D119" s="376" t="str">
        <f>Technologies!D$241</f>
        <v>Delivery of Pipeline Traded COMDSL from R1</v>
      </c>
      <c r="E119" s="415" t="str">
        <f>Commodities!C$73</f>
        <v>DSHR1</v>
      </c>
      <c r="F119" s="415" t="str">
        <f>Commodities!C$88</f>
        <v>COMDSL</v>
      </c>
      <c r="G119" s="422">
        <v>1</v>
      </c>
      <c r="H119" s="421">
        <f t="shared" si="21"/>
        <v>1.6201179134161774</v>
      </c>
      <c r="I119" s="421">
        <f t="shared" si="21"/>
        <v>1.6127319635509734</v>
      </c>
      <c r="J119" s="421">
        <f t="shared" si="21"/>
        <v>1.685040227432526</v>
      </c>
      <c r="K119" s="421">
        <f t="shared" si="21"/>
        <v>1.9843205551535004</v>
      </c>
      <c r="L119" s="421">
        <f t="shared" si="21"/>
        <v>1.8382141705819826</v>
      </c>
      <c r="M119" s="421">
        <f t="shared" si="21"/>
        <v>1.6543318529260067</v>
      </c>
      <c r="N119" s="421">
        <f t="shared" si="21"/>
        <v>1.6543318529260067</v>
      </c>
      <c r="O119" s="421">
        <f t="shared" si="21"/>
        <v>1.6543318529260067</v>
      </c>
      <c r="P119" s="421">
        <f t="shared" si="21"/>
        <v>1.6543318529260067</v>
      </c>
      <c r="Q119" s="421">
        <f t="shared" si="21"/>
        <v>1.6543318529260067</v>
      </c>
      <c r="S119" s="395"/>
      <c r="T119" s="395"/>
      <c r="U119" s="395"/>
      <c r="V119" s="395"/>
      <c r="W119" s="395"/>
      <c r="X119" s="395"/>
      <c r="Y119" s="395"/>
      <c r="Z119" s="395"/>
      <c r="AA119" s="395"/>
      <c r="AB119" s="395"/>
      <c r="AC119" s="395"/>
    </row>
    <row r="120" spans="2:29">
      <c r="B120" s="376" t="str">
        <f>IF(LEFT(Technologies!B$242,1)="*","*R5","R5")</f>
        <v>*R5</v>
      </c>
      <c r="C120" s="376" t="str">
        <f>Technologies!C$242</f>
        <v>XPINDDSLR1</v>
      </c>
      <c r="D120" s="376" t="str">
        <f>Technologies!D$242</f>
        <v>Delivery of Pipeline Traded INDDSL from R1</v>
      </c>
      <c r="E120" s="415" t="str">
        <f>Commodities!C$73</f>
        <v>DSHR1</v>
      </c>
      <c r="F120" s="415" t="str">
        <f>Commodities!C$89</f>
        <v>INDDSL</v>
      </c>
      <c r="G120" s="422">
        <v>1</v>
      </c>
      <c r="H120" s="421">
        <f t="shared" si="21"/>
        <v>1.7223880420604547</v>
      </c>
      <c r="I120" s="421">
        <f t="shared" si="21"/>
        <v>1.7144616568392603</v>
      </c>
      <c r="J120" s="421">
        <f t="shared" si="21"/>
        <v>1.7920607692975117</v>
      </c>
      <c r="K120" s="421">
        <f t="shared" si="21"/>
        <v>2.1132396575834358</v>
      </c>
      <c r="L120" s="421">
        <f t="shared" si="21"/>
        <v>1.9564425619457091</v>
      </c>
      <c r="M120" s="421">
        <f t="shared" si="21"/>
        <v>1.759105440558808</v>
      </c>
      <c r="N120" s="421">
        <f t="shared" si="21"/>
        <v>1.759105440558808</v>
      </c>
      <c r="O120" s="421">
        <f t="shared" si="21"/>
        <v>1.759105440558808</v>
      </c>
      <c r="P120" s="421">
        <f t="shared" si="21"/>
        <v>1.759105440558808</v>
      </c>
      <c r="Q120" s="421">
        <f t="shared" si="21"/>
        <v>1.759105440558808</v>
      </c>
      <c r="S120" s="395"/>
      <c r="T120" s="395"/>
      <c r="U120" s="395"/>
      <c r="V120" s="395"/>
      <c r="W120" s="395"/>
      <c r="X120" s="395"/>
      <c r="Y120" s="395"/>
      <c r="Z120" s="395"/>
      <c r="AA120" s="395"/>
      <c r="AB120" s="395"/>
      <c r="AC120" s="395"/>
    </row>
    <row r="121" spans="2:29">
      <c r="B121" s="376" t="str">
        <f>IF(LEFT(Technologies!B$243,1)="*","*R5","R5")</f>
        <v>R5</v>
      </c>
      <c r="C121" s="376" t="str">
        <f>Technologies!C$243</f>
        <v>XPELCDSLR1</v>
      </c>
      <c r="D121" s="376" t="str">
        <f>Technologies!D$243</f>
        <v>Delivery of Pipeline Traded ELCDSL from R1</v>
      </c>
      <c r="E121" s="415" t="str">
        <f>Commodities!C$73</f>
        <v>DSHR1</v>
      </c>
      <c r="F121" s="415" t="str">
        <f>Commodities!C$90</f>
        <v>ELCDSL</v>
      </c>
      <c r="G121" s="422">
        <v>1</v>
      </c>
      <c r="H121" s="421">
        <f t="shared" si="21"/>
        <v>0.74059480707540037</v>
      </c>
      <c r="I121" s="421">
        <f t="shared" si="21"/>
        <v>0.73785660127171493</v>
      </c>
      <c r="J121" s="421">
        <f t="shared" si="21"/>
        <v>0.76466356739365637</v>
      </c>
      <c r="K121" s="421">
        <f t="shared" si="21"/>
        <v>0.87561627425606647</v>
      </c>
      <c r="L121" s="421">
        <f t="shared" si="21"/>
        <v>0.82145000485394293</v>
      </c>
      <c r="M121" s="421">
        <f t="shared" si="21"/>
        <v>0.75327899928392239</v>
      </c>
      <c r="N121" s="421">
        <f t="shared" si="21"/>
        <v>0.75327899928392239</v>
      </c>
      <c r="O121" s="421">
        <f t="shared" si="21"/>
        <v>0.75327899928392239</v>
      </c>
      <c r="P121" s="421">
        <f t="shared" si="21"/>
        <v>0.75327899928392239</v>
      </c>
      <c r="Q121" s="421">
        <f t="shared" si="21"/>
        <v>0.75327899928392239</v>
      </c>
      <c r="S121" s="395"/>
      <c r="T121" s="395"/>
      <c r="U121" s="395"/>
      <c r="V121" s="395"/>
      <c r="W121" s="395"/>
      <c r="X121" s="395"/>
      <c r="Y121" s="395"/>
      <c r="Z121" s="395"/>
      <c r="AA121" s="395"/>
      <c r="AB121" s="395"/>
      <c r="AC121" s="395"/>
    </row>
    <row r="122" spans="2:29">
      <c r="B122" s="376" t="str">
        <f>IF(LEFT(Technologies!B$244,1)="*","*R5","R5")</f>
        <v>R5</v>
      </c>
      <c r="C122" s="376" t="str">
        <f>Technologies!C$244</f>
        <v>XPTRDSLLR1</v>
      </c>
      <c r="D122" s="376" t="str">
        <f>Technologies!D$244</f>
        <v>Delivery of Pipeline Traded TRDSLL from R1</v>
      </c>
      <c r="E122" s="415" t="str">
        <f>Commodities!C$74</f>
        <v>DSLR1</v>
      </c>
      <c r="F122" s="415" t="str">
        <f>Commodities!C$91</f>
        <v>TRDSLL</v>
      </c>
      <c r="G122" s="422">
        <v>1</v>
      </c>
      <c r="H122" s="421">
        <f t="shared" si="21"/>
        <v>4.4427734639982104</v>
      </c>
      <c r="I122" s="421">
        <f t="shared" si="21"/>
        <v>4.4204714983076672</v>
      </c>
      <c r="J122" s="421">
        <f t="shared" si="21"/>
        <v>4.6388071829061115</v>
      </c>
      <c r="K122" s="421">
        <f t="shared" si="21"/>
        <v>5.5424877822196859</v>
      </c>
      <c r="L122" s="421">
        <f t="shared" si="21"/>
        <v>5.1013177722208125</v>
      </c>
      <c r="M122" s="421">
        <f t="shared" si="21"/>
        <v>4.5460828715913042</v>
      </c>
      <c r="N122" s="421">
        <f t="shared" si="21"/>
        <v>4.5460828715913042</v>
      </c>
      <c r="O122" s="421">
        <f t="shared" si="21"/>
        <v>4.5460828715913042</v>
      </c>
      <c r="P122" s="421">
        <f t="shared" si="21"/>
        <v>4.5460828715913042</v>
      </c>
      <c r="Q122" s="421">
        <f t="shared" si="21"/>
        <v>4.5460828715913042</v>
      </c>
      <c r="S122" s="395"/>
      <c r="T122" s="395"/>
      <c r="U122" s="395"/>
      <c r="V122" s="395"/>
      <c r="W122" s="395"/>
      <c r="X122" s="395"/>
      <c r="Y122" s="395"/>
      <c r="Z122" s="395"/>
      <c r="AA122" s="395"/>
      <c r="AB122" s="395"/>
      <c r="AC122" s="395"/>
    </row>
    <row r="123" spans="2:29">
      <c r="B123" s="376" t="str">
        <f>IF(LEFT(Technologies!B$245,1)="*","*R5","R5")</f>
        <v>R5</v>
      </c>
      <c r="C123" s="376" t="str">
        <f>Technologies!C$245</f>
        <v>XPTRDSLUR1</v>
      </c>
      <c r="D123" s="376" t="str">
        <f>Technologies!D$245</f>
        <v>Delivery of Pipeline Traded TRDSLU from R1</v>
      </c>
      <c r="E123" s="415" t="str">
        <f>Commodities!C$75</f>
        <v>DSUR1</v>
      </c>
      <c r="F123" s="415" t="str">
        <f>Commodities!C$92</f>
        <v>TRDSLU</v>
      </c>
      <c r="G123" s="422">
        <v>1</v>
      </c>
      <c r="H123" s="421">
        <f t="shared" si="21"/>
        <v>3.8018806578274109</v>
      </c>
      <c r="I123" s="421">
        <f t="shared" si="21"/>
        <v>3.7829654203677423</v>
      </c>
      <c r="J123" s="421">
        <f t="shared" si="21"/>
        <v>3.9681451205522058</v>
      </c>
      <c r="K123" s="421">
        <f t="shared" si="21"/>
        <v>4.7345947403254325</v>
      </c>
      <c r="L123" s="421">
        <f t="shared" si="21"/>
        <v>4.360419853008132</v>
      </c>
      <c r="M123" s="421">
        <f t="shared" si="21"/>
        <v>3.8895017224257535</v>
      </c>
      <c r="N123" s="421">
        <f t="shared" si="21"/>
        <v>3.8895017224257535</v>
      </c>
      <c r="O123" s="421">
        <f t="shared" si="21"/>
        <v>3.8895017224257535</v>
      </c>
      <c r="P123" s="421">
        <f t="shared" si="21"/>
        <v>3.8895017224257535</v>
      </c>
      <c r="Q123" s="421">
        <f t="shared" si="21"/>
        <v>3.8895017224257535</v>
      </c>
      <c r="S123" s="395"/>
      <c r="T123" s="395"/>
      <c r="U123" s="395"/>
      <c r="V123" s="395"/>
      <c r="W123" s="395"/>
      <c r="X123" s="395"/>
      <c r="Y123" s="395"/>
      <c r="Z123" s="395"/>
      <c r="AA123" s="395"/>
      <c r="AB123" s="395"/>
      <c r="AC123" s="395"/>
    </row>
    <row r="124" spans="2:29">
      <c r="B124" s="376" t="str">
        <f>IF(LEFT(Technologies!B$246,1)="*","*R5","R5")</f>
        <v>R5</v>
      </c>
      <c r="C124" s="376" t="str">
        <f>Technologies!C$246</f>
        <v>XPTRNJTFR1</v>
      </c>
      <c r="D124" s="376" t="str">
        <f>Technologies!D$246</f>
        <v>Delivery of Pipeline Traded TRNJTF from R1</v>
      </c>
      <c r="E124" s="415" t="str">
        <f>Commodities!C$76</f>
        <v>JTFR1</v>
      </c>
      <c r="F124" s="415" t="str">
        <f>Commodities!C$93</f>
        <v>TRNJTF</v>
      </c>
      <c r="G124" s="422">
        <v>1</v>
      </c>
      <c r="H124" s="421">
        <f t="shared" si="21"/>
        <v>0.91104502148252731</v>
      </c>
      <c r="I124" s="421">
        <f t="shared" si="21"/>
        <v>0.90740609008552431</v>
      </c>
      <c r="J124" s="421">
        <f t="shared" si="21"/>
        <v>0.94303113716863063</v>
      </c>
      <c r="K124" s="421">
        <f t="shared" si="21"/>
        <v>1.0904814449726228</v>
      </c>
      <c r="L124" s="421">
        <f t="shared" si="21"/>
        <v>1.0184973237934849</v>
      </c>
      <c r="M124" s="421">
        <f t="shared" si="21"/>
        <v>0.92790164533858943</v>
      </c>
      <c r="N124" s="421">
        <f t="shared" si="21"/>
        <v>0.92790164533858943</v>
      </c>
      <c r="O124" s="421">
        <f t="shared" si="21"/>
        <v>0.92790164533858943</v>
      </c>
      <c r="P124" s="421">
        <f t="shared" si="21"/>
        <v>0.92790164533858943</v>
      </c>
      <c r="Q124" s="421">
        <f t="shared" si="21"/>
        <v>0.92790164533858943</v>
      </c>
      <c r="S124" s="395"/>
      <c r="T124" s="395"/>
      <c r="U124" s="395"/>
      <c r="V124" s="395"/>
      <c r="W124" s="395"/>
      <c r="X124" s="395"/>
      <c r="Y124" s="395"/>
      <c r="Z124" s="395"/>
      <c r="AA124" s="395"/>
      <c r="AB124" s="395"/>
      <c r="AC124" s="395"/>
    </row>
    <row r="125" spans="2:29">
      <c r="B125" s="376" t="str">
        <f>IF(LEFT(Technologies!B$247,1)="*","*R5","R5")</f>
        <v>*R5</v>
      </c>
      <c r="C125" s="376" t="str">
        <f>Technologies!C$247</f>
        <v>XPRESKERR1</v>
      </c>
      <c r="D125" s="376" t="str">
        <f>Technologies!D$247</f>
        <v>Delivery of Pipeline Traded RESKER from R1</v>
      </c>
      <c r="E125" s="415" t="str">
        <f>Commodities!C$77</f>
        <v>KERR1</v>
      </c>
      <c r="F125" s="415" t="str">
        <f>Commodities!C$94</f>
        <v>RESKER</v>
      </c>
      <c r="G125" s="422">
        <v>1</v>
      </c>
      <c r="H125" s="421">
        <f t="shared" si="21"/>
        <v>2.3360088139261128</v>
      </c>
      <c r="I125" s="421">
        <f t="shared" si="21"/>
        <v>2.324839816568975</v>
      </c>
      <c r="J125" s="421">
        <f t="shared" si="21"/>
        <v>2.4341840204874203</v>
      </c>
      <c r="K125" s="421">
        <f t="shared" si="21"/>
        <v>2.8867542721630399</v>
      </c>
      <c r="L125" s="421">
        <f t="shared" si="21"/>
        <v>2.6658129101280625</v>
      </c>
      <c r="M125" s="421">
        <f t="shared" si="21"/>
        <v>2.387746966355611</v>
      </c>
      <c r="N125" s="421">
        <f t="shared" si="21"/>
        <v>2.387746966355611</v>
      </c>
      <c r="O125" s="421">
        <f t="shared" si="21"/>
        <v>2.387746966355611</v>
      </c>
      <c r="P125" s="421">
        <f t="shared" si="21"/>
        <v>2.387746966355611</v>
      </c>
      <c r="Q125" s="421">
        <f t="shared" si="21"/>
        <v>2.387746966355611</v>
      </c>
      <c r="S125" s="395"/>
      <c r="T125" s="395"/>
      <c r="U125" s="395"/>
      <c r="V125" s="395"/>
      <c r="W125" s="395"/>
      <c r="X125" s="395"/>
      <c r="Y125" s="395"/>
      <c r="Z125" s="395"/>
      <c r="AA125" s="395"/>
      <c r="AB125" s="395"/>
      <c r="AC125" s="395"/>
    </row>
    <row r="126" spans="2:29">
      <c r="B126" s="376" t="str">
        <f>IF(LEFT(Technologies!B$248,1)="*","*R5","R5")</f>
        <v>*R5</v>
      </c>
      <c r="C126" s="376" t="str">
        <f>Technologies!C$248</f>
        <v>XPCOMKERR1</v>
      </c>
      <c r="D126" s="376" t="str">
        <f>Technologies!D$248</f>
        <v>Delivery of Pipeline Traded COMKER from R1</v>
      </c>
      <c r="E126" s="415" t="str">
        <f>Commodities!C$77</f>
        <v>KERR1</v>
      </c>
      <c r="F126" s="415" t="str">
        <f>Commodities!C$95</f>
        <v>COMKER</v>
      </c>
      <c r="G126" s="422">
        <v>1</v>
      </c>
      <c r="H126" s="421">
        <f t="shared" si="21"/>
        <v>2.0905605051798508</v>
      </c>
      <c r="I126" s="421">
        <f t="shared" si="21"/>
        <v>2.0806885526770902</v>
      </c>
      <c r="J126" s="421">
        <f t="shared" si="21"/>
        <v>2.1773347200114577</v>
      </c>
      <c r="K126" s="421">
        <f t="shared" si="21"/>
        <v>2.5773484263311994</v>
      </c>
      <c r="L126" s="421">
        <f t="shared" si="21"/>
        <v>2.3820647708551226</v>
      </c>
      <c r="M126" s="421">
        <f t="shared" si="21"/>
        <v>2.1362903560368904</v>
      </c>
      <c r="N126" s="421">
        <f t="shared" si="21"/>
        <v>2.1362903560368904</v>
      </c>
      <c r="O126" s="421">
        <f t="shared" si="21"/>
        <v>2.1362903560368904</v>
      </c>
      <c r="P126" s="421">
        <f t="shared" si="21"/>
        <v>2.1362903560368904</v>
      </c>
      <c r="Q126" s="421">
        <f t="shared" si="21"/>
        <v>2.1362903560368904</v>
      </c>
      <c r="S126" s="395"/>
      <c r="T126" s="395"/>
      <c r="U126" s="395"/>
      <c r="V126" s="395"/>
      <c r="W126" s="395"/>
      <c r="X126" s="395"/>
      <c r="Y126" s="395"/>
      <c r="Z126" s="395"/>
      <c r="AA126" s="395"/>
      <c r="AB126" s="395"/>
      <c r="AC126" s="395"/>
    </row>
    <row r="127" spans="2:29">
      <c r="B127" s="376" t="str">
        <f>IF(LEFT(Technologies!B$249,1)="*","*R5","R5")</f>
        <v>*R5</v>
      </c>
      <c r="C127" s="376" t="str">
        <f>Technologies!C$249</f>
        <v>XPINDKERR1</v>
      </c>
      <c r="D127" s="376" t="str">
        <f>Technologies!D$249</f>
        <v>Delivery of Pipeline Traded INDKER from R1</v>
      </c>
      <c r="E127" s="415" t="str">
        <f>Commodities!C$77</f>
        <v>KERR1</v>
      </c>
      <c r="F127" s="415" t="str">
        <f>Commodities!C$96</f>
        <v>INDKER</v>
      </c>
      <c r="G127" s="422">
        <v>1</v>
      </c>
      <c r="H127" s="421">
        <f t="shared" si="21"/>
        <v>1.3814876132462</v>
      </c>
      <c r="I127" s="421">
        <f t="shared" si="21"/>
        <v>1.3753626792116402</v>
      </c>
      <c r="J127" s="421">
        <f t="shared" si="21"/>
        <v>1.4353256297475618</v>
      </c>
      <c r="K127" s="421">
        <f t="shared" si="21"/>
        <v>1.683509316150321</v>
      </c>
      <c r="L127" s="421">
        <f t="shared" si="21"/>
        <v>1.5623479240666236</v>
      </c>
      <c r="M127" s="421">
        <f t="shared" si="21"/>
        <v>1.4098601484494724</v>
      </c>
      <c r="N127" s="421">
        <f t="shared" si="21"/>
        <v>1.4098601484494724</v>
      </c>
      <c r="O127" s="421">
        <f t="shared" si="21"/>
        <v>1.4098601484494724</v>
      </c>
      <c r="P127" s="421">
        <f t="shared" si="21"/>
        <v>1.4098601484494724</v>
      </c>
      <c r="Q127" s="421">
        <f t="shared" si="21"/>
        <v>1.4098601484494724</v>
      </c>
      <c r="S127" s="395"/>
      <c r="T127" s="395"/>
      <c r="U127" s="395"/>
      <c r="V127" s="395"/>
      <c r="W127" s="395"/>
      <c r="X127" s="395"/>
      <c r="Y127" s="395"/>
      <c r="Z127" s="395"/>
      <c r="AA127" s="395"/>
      <c r="AB127" s="395"/>
      <c r="AC127" s="395"/>
    </row>
    <row r="128" spans="2:29">
      <c r="B128" s="376" t="str">
        <f>IF(LEFT(Technologies!B$250,1)="*","*R5","R5")</f>
        <v>*R5</v>
      </c>
      <c r="C128" s="376" t="str">
        <f>Technologies!C$250</f>
        <v>XPRESLPGR1</v>
      </c>
      <c r="D128" s="376" t="str">
        <f>Technologies!D$250</f>
        <v>Delivery of Pipeline Traded RESLPG from R1</v>
      </c>
      <c r="E128" s="415" t="str">
        <f>Commodities!C$78</f>
        <v>LPGR1</v>
      </c>
      <c r="F128" s="415" t="str">
        <f>Commodities!C$97</f>
        <v>RESLPG</v>
      </c>
      <c r="G128" s="422">
        <v>1</v>
      </c>
      <c r="H128" s="421">
        <f t="shared" si="21"/>
        <v>6.7131703199011481</v>
      </c>
      <c r="I128" s="421">
        <f t="shared" si="21"/>
        <v>6.6788706893076153</v>
      </c>
      <c r="J128" s="421">
        <f t="shared" si="21"/>
        <v>7.0146632123087764</v>
      </c>
      <c r="K128" s="421">
        <f t="shared" si="21"/>
        <v>8.4044918561642277</v>
      </c>
      <c r="L128" s="421">
        <f t="shared" si="21"/>
        <v>7.7259880604955224</v>
      </c>
      <c r="M128" s="421">
        <f t="shared" si="21"/>
        <v>6.8720565170394758</v>
      </c>
      <c r="N128" s="421">
        <f t="shared" si="21"/>
        <v>6.8720565170394758</v>
      </c>
      <c r="O128" s="421">
        <f t="shared" si="21"/>
        <v>6.8720565170394758</v>
      </c>
      <c r="P128" s="421">
        <f t="shared" si="21"/>
        <v>6.8720565170394758</v>
      </c>
      <c r="Q128" s="421">
        <f t="shared" si="21"/>
        <v>6.8720565170394758</v>
      </c>
      <c r="S128" s="395"/>
      <c r="T128" s="395"/>
      <c r="U128" s="395"/>
      <c r="V128" s="395"/>
      <c r="W128" s="395"/>
      <c r="X128" s="395"/>
      <c r="Y128" s="395"/>
      <c r="Z128" s="395"/>
      <c r="AA128" s="395"/>
      <c r="AB128" s="395"/>
      <c r="AC128" s="395"/>
    </row>
    <row r="129" spans="2:29">
      <c r="B129" s="376" t="str">
        <f>IF(LEFT(Technologies!B$251,1)="*","*R5","R5")</f>
        <v>*R5</v>
      </c>
      <c r="C129" s="376" t="str">
        <f>Technologies!C$251</f>
        <v>XPCOMLPGR1</v>
      </c>
      <c r="D129" s="376" t="str">
        <f>Technologies!D$251</f>
        <v>Delivery of Pipeline Traded COMLPG from R1</v>
      </c>
      <c r="E129" s="415" t="str">
        <f>Commodities!C$78</f>
        <v>LPGR1</v>
      </c>
      <c r="F129" s="415" t="str">
        <f>Commodities!C$98</f>
        <v>COMLPG</v>
      </c>
      <c r="G129" s="422">
        <v>1</v>
      </c>
      <c r="H129" s="421">
        <f t="shared" si="21"/>
        <v>2.8132694142660704</v>
      </c>
      <c r="I129" s="421">
        <f t="shared" si="21"/>
        <v>2.7995783852476435</v>
      </c>
      <c r="J129" s="421">
        <f t="shared" si="21"/>
        <v>2.9336132158573505</v>
      </c>
      <c r="K129" s="421">
        <f t="shared" si="21"/>
        <v>3.4883767501694001</v>
      </c>
      <c r="L129" s="421">
        <f t="shared" si="21"/>
        <v>3.2175454031587827</v>
      </c>
      <c r="M129" s="421">
        <f t="shared" si="21"/>
        <v>2.8766903753086801</v>
      </c>
      <c r="N129" s="421">
        <f t="shared" si="21"/>
        <v>2.8766903753086801</v>
      </c>
      <c r="O129" s="421">
        <f t="shared" si="21"/>
        <v>2.8766903753086801</v>
      </c>
      <c r="P129" s="421">
        <f t="shared" si="21"/>
        <v>2.8766903753086801</v>
      </c>
      <c r="Q129" s="421">
        <f t="shared" si="21"/>
        <v>2.8766903753086801</v>
      </c>
      <c r="S129" s="395"/>
      <c r="T129" s="395"/>
      <c r="U129" s="395"/>
      <c r="V129" s="395"/>
      <c r="W129" s="395"/>
      <c r="X129" s="395"/>
      <c r="Y129" s="395"/>
      <c r="Z129" s="395"/>
      <c r="AA129" s="395"/>
      <c r="AB129" s="395"/>
      <c r="AC129" s="395"/>
    </row>
    <row r="130" spans="2:29">
      <c r="B130" s="376" t="str">
        <f>IF(LEFT(Technologies!B$252,1)="*","*R5","R5")</f>
        <v>*R5</v>
      </c>
      <c r="C130" s="376" t="str">
        <f>Technologies!C$252</f>
        <v>XPINDLPGR1</v>
      </c>
      <c r="D130" s="376" t="str">
        <f>Technologies!D$252</f>
        <v>Delivery of Pipeline Traded INDLPG from R1</v>
      </c>
      <c r="E130" s="415" t="str">
        <f>Commodities!C$78</f>
        <v>LPGR1</v>
      </c>
      <c r="F130" s="415" t="str">
        <f>Commodities!C$99</f>
        <v>INDLPG</v>
      </c>
      <c r="G130" s="422">
        <v>1</v>
      </c>
      <c r="H130" s="421">
        <f t="shared" si="21"/>
        <v>2.4723689854518156</v>
      </c>
      <c r="I130" s="421">
        <f t="shared" si="21"/>
        <v>2.4604794076200243</v>
      </c>
      <c r="J130" s="421">
        <f t="shared" si="21"/>
        <v>2.5768780763074011</v>
      </c>
      <c r="K130" s="421">
        <f t="shared" si="21"/>
        <v>3.058646408736287</v>
      </c>
      <c r="L130" s="421">
        <f t="shared" si="21"/>
        <v>2.8234507652796976</v>
      </c>
      <c r="M130" s="421">
        <f t="shared" si="21"/>
        <v>2.5274450831993458</v>
      </c>
      <c r="N130" s="421">
        <f t="shared" si="21"/>
        <v>2.5274450831993458</v>
      </c>
      <c r="O130" s="421">
        <f t="shared" si="21"/>
        <v>2.5274450831993458</v>
      </c>
      <c r="P130" s="421">
        <f t="shared" si="21"/>
        <v>2.5274450831993458</v>
      </c>
      <c r="Q130" s="421">
        <f t="shared" si="21"/>
        <v>2.5274450831993458</v>
      </c>
      <c r="S130" s="395"/>
      <c r="T130" s="395"/>
      <c r="U130" s="395"/>
      <c r="V130" s="395"/>
      <c r="W130" s="395"/>
      <c r="X130" s="395"/>
      <c r="Y130" s="395"/>
      <c r="Z130" s="395"/>
      <c r="AA130" s="395"/>
      <c r="AB130" s="395"/>
      <c r="AC130" s="395"/>
    </row>
    <row r="131" spans="2:29">
      <c r="B131" s="376" t="str">
        <f>IF(LEFT(Technologies!B$253,1)="*","*R5","R5")</f>
        <v>*R5</v>
      </c>
      <c r="C131" s="376" t="str">
        <f>Technologies!C$253</f>
        <v>XPTRNLPGR1</v>
      </c>
      <c r="D131" s="376" t="str">
        <f>Technologies!D$253</f>
        <v>Delivery of Pipeline Traded TRNLPG from R1</v>
      </c>
      <c r="E131" s="415" t="str">
        <f>Commodities!C$78</f>
        <v>LPGR1</v>
      </c>
      <c r="F131" s="415" t="str">
        <f>Commodities!C$100</f>
        <v>TRNLPG</v>
      </c>
      <c r="G131" s="422">
        <v>1</v>
      </c>
      <c r="H131" s="421">
        <f t="shared" si="21"/>
        <v>4.0541469751499584</v>
      </c>
      <c r="I131" s="421">
        <f t="shared" si="21"/>
        <v>4.0338986638121783</v>
      </c>
      <c r="J131" s="421">
        <f t="shared" si="21"/>
        <v>4.2321291238191678</v>
      </c>
      <c r="K131" s="421">
        <f t="shared" si="21"/>
        <v>5.0525951929859358</v>
      </c>
      <c r="L131" s="421">
        <f t="shared" si="21"/>
        <v>4.6520498850386538</v>
      </c>
      <c r="M131" s="421">
        <f t="shared" si="21"/>
        <v>4.1479432385866604</v>
      </c>
      <c r="N131" s="421">
        <f t="shared" si="21"/>
        <v>4.1479432385866604</v>
      </c>
      <c r="O131" s="421">
        <f t="shared" si="21"/>
        <v>4.1479432385866604</v>
      </c>
      <c r="P131" s="421">
        <f t="shared" si="21"/>
        <v>4.1479432385866604</v>
      </c>
      <c r="Q131" s="421">
        <f t="shared" si="21"/>
        <v>4.1479432385866604</v>
      </c>
      <c r="S131" s="395"/>
      <c r="T131" s="395"/>
      <c r="U131" s="395"/>
      <c r="V131" s="395"/>
      <c r="W131" s="395"/>
      <c r="X131" s="395"/>
      <c r="Y131" s="395"/>
      <c r="Z131" s="395"/>
      <c r="AA131" s="395"/>
      <c r="AB131" s="395"/>
      <c r="AC131" s="395"/>
    </row>
    <row r="132" spans="2:29">
      <c r="B132" s="376" t="str">
        <f>IF(LEFT(Technologies!B$254,1)="*","*R5","R5")</f>
        <v>*R5</v>
      </c>
      <c r="C132" s="376" t="str">
        <f>Technologies!C$254</f>
        <v>XPTRNMTHR1</v>
      </c>
      <c r="D132" s="376" t="str">
        <f>Technologies!D$254</f>
        <v>Delivery of Pipeline Traded TRNMTH from R1</v>
      </c>
      <c r="E132" s="415" t="str">
        <f>Commodities!C$79</f>
        <v>MTHR1</v>
      </c>
      <c r="F132" s="415" t="str">
        <f>Commodities!C$101</f>
        <v>TRNMTH</v>
      </c>
      <c r="G132" s="422">
        <v>1</v>
      </c>
      <c r="H132" s="421">
        <f t="shared" si="21"/>
        <v>3.8836967607428319</v>
      </c>
      <c r="I132" s="421">
        <f t="shared" si="21"/>
        <v>3.8643491749983703</v>
      </c>
      <c r="J132" s="421">
        <f t="shared" si="21"/>
        <v>4.0537615540441934</v>
      </c>
      <c r="K132" s="421">
        <f t="shared" si="21"/>
        <v>4.8377300222693789</v>
      </c>
      <c r="L132" s="421">
        <f t="shared" si="21"/>
        <v>4.4550025660991119</v>
      </c>
      <c r="M132" s="421">
        <f t="shared" si="21"/>
        <v>3.9733205925319934</v>
      </c>
      <c r="N132" s="421">
        <f t="shared" si="21"/>
        <v>3.9733205925319934</v>
      </c>
      <c r="O132" s="421">
        <f t="shared" si="21"/>
        <v>3.9733205925319934</v>
      </c>
      <c r="P132" s="421">
        <f t="shared" si="21"/>
        <v>3.9733205925319934</v>
      </c>
      <c r="Q132" s="421">
        <f t="shared" si="21"/>
        <v>3.9733205925319934</v>
      </c>
      <c r="S132" s="395"/>
      <c r="T132" s="395"/>
      <c r="U132" s="395"/>
      <c r="V132" s="395"/>
      <c r="W132" s="395"/>
      <c r="X132" s="395"/>
      <c r="Y132" s="395"/>
      <c r="Z132" s="395"/>
      <c r="AA132" s="395"/>
      <c r="AB132" s="395"/>
      <c r="AC132" s="395"/>
    </row>
    <row r="133" spans="2:29">
      <c r="B133" s="376" t="str">
        <f>IF(LEFT(Technologies!B$255,1)="*","*R5","R5")</f>
        <v>*R5</v>
      </c>
      <c r="C133" s="376" t="str">
        <f>Technologies!C$255</f>
        <v>XPINDPFSR1</v>
      </c>
      <c r="D133" s="376" t="str">
        <f>Technologies!D$255</f>
        <v>Delivery of Pipeline Traded INDPFS from R1</v>
      </c>
      <c r="E133" s="415" t="str">
        <f>Commodities!C$80</f>
        <v>PFSR1</v>
      </c>
      <c r="F133" s="415" t="str">
        <f>Commodities!C$102</f>
        <v>INDPFS</v>
      </c>
      <c r="G133" s="422">
        <v>1</v>
      </c>
      <c r="H133" s="421">
        <f t="shared" ref="H133:Q140" si="22">H107</f>
        <v>0.50196450690542171</v>
      </c>
      <c r="I133" s="421">
        <f t="shared" si="22"/>
        <v>0.50048731693238091</v>
      </c>
      <c r="J133" s="421">
        <f t="shared" si="22"/>
        <v>0.51494896970869142</v>
      </c>
      <c r="K133" s="421">
        <f t="shared" si="22"/>
        <v>0.57480503525288629</v>
      </c>
      <c r="L133" s="421">
        <f t="shared" si="22"/>
        <v>0.54558375833858275</v>
      </c>
      <c r="M133" s="421">
        <f t="shared" si="22"/>
        <v>0.50880729480738751</v>
      </c>
      <c r="N133" s="421">
        <f t="shared" si="22"/>
        <v>0.50880729480738751</v>
      </c>
      <c r="O133" s="421">
        <f t="shared" si="22"/>
        <v>0.50880729480738751</v>
      </c>
      <c r="P133" s="421">
        <f t="shared" si="22"/>
        <v>0.50880729480738751</v>
      </c>
      <c r="Q133" s="421">
        <f t="shared" si="22"/>
        <v>0.50880729480738751</v>
      </c>
      <c r="S133" s="395"/>
      <c r="T133" s="395"/>
      <c r="U133" s="395"/>
      <c r="V133" s="395"/>
      <c r="W133" s="395"/>
      <c r="X133" s="395"/>
      <c r="Y133" s="395"/>
      <c r="Z133" s="395"/>
      <c r="AA133" s="395"/>
      <c r="AB133" s="395"/>
      <c r="AC133" s="395"/>
    </row>
    <row r="134" spans="2:29">
      <c r="B134" s="376" t="str">
        <f>IF(LEFT(Technologies!B$256,1)="*","*R5","R5")</f>
        <v>*R5</v>
      </c>
      <c r="C134" s="376" t="str">
        <f>Technologies!C$256</f>
        <v>XPRESRFLR1</v>
      </c>
      <c r="D134" s="376" t="str">
        <f>Technologies!D$256</f>
        <v>Delivery of Pipeline Traded RESRFL from R1</v>
      </c>
      <c r="E134" s="415" t="str">
        <f>Commodities!C$82</f>
        <v>RFLR1</v>
      </c>
      <c r="F134" s="415" t="str">
        <f>Commodities!C$103</f>
        <v>RESRFL</v>
      </c>
      <c r="G134" s="422">
        <v>1</v>
      </c>
      <c r="H134" s="421">
        <f t="shared" si="22"/>
        <v>0.87695497860110183</v>
      </c>
      <c r="I134" s="421">
        <f t="shared" si="22"/>
        <v>0.87349619232276232</v>
      </c>
      <c r="J134" s="421">
        <f t="shared" si="22"/>
        <v>0.90735762321363567</v>
      </c>
      <c r="K134" s="421">
        <f t="shared" si="22"/>
        <v>1.0475084108293113</v>
      </c>
      <c r="L134" s="421">
        <f t="shared" si="22"/>
        <v>0.97908786000557646</v>
      </c>
      <c r="M134" s="421">
        <f t="shared" si="22"/>
        <v>0.89297711612765585</v>
      </c>
      <c r="N134" s="421">
        <f t="shared" si="22"/>
        <v>0.89297711612765585</v>
      </c>
      <c r="O134" s="421">
        <f t="shared" si="22"/>
        <v>0.89297711612765585</v>
      </c>
      <c r="P134" s="421">
        <f t="shared" si="22"/>
        <v>0.89297711612765585</v>
      </c>
      <c r="Q134" s="421">
        <f t="shared" si="22"/>
        <v>0.89297711612765585</v>
      </c>
      <c r="S134" s="395"/>
      <c r="T134" s="395"/>
      <c r="U134" s="395"/>
      <c r="V134" s="395"/>
      <c r="W134" s="395"/>
      <c r="X134" s="395"/>
      <c r="Y134" s="395"/>
      <c r="Z134" s="395"/>
      <c r="AA134" s="395"/>
      <c r="AB134" s="395"/>
      <c r="AC134" s="395"/>
    </row>
    <row r="135" spans="2:29">
      <c r="B135" s="376" t="str">
        <f>IF(LEFT(Technologies!B$257,1)="*","*R5","R5")</f>
        <v>*R5</v>
      </c>
      <c r="C135" s="376" t="str">
        <f>Technologies!C$257</f>
        <v>XPCOMRFLR1</v>
      </c>
      <c r="D135" s="376" t="str">
        <f>Technologies!D$257</f>
        <v>Delivery of Pipeline Traded COMRFL from R1</v>
      </c>
      <c r="E135" s="415" t="str">
        <f>Commodities!C$82</f>
        <v>RFLR1</v>
      </c>
      <c r="F135" s="415" t="str">
        <f>Commodities!C$104</f>
        <v>COMRFL</v>
      </c>
      <c r="G135" s="422">
        <v>1</v>
      </c>
      <c r="H135" s="421">
        <f t="shared" si="22"/>
        <v>0.87695497860110183</v>
      </c>
      <c r="I135" s="421">
        <f t="shared" si="22"/>
        <v>0.87349619232276232</v>
      </c>
      <c r="J135" s="421">
        <f t="shared" si="22"/>
        <v>0.90735762321363567</v>
      </c>
      <c r="K135" s="421">
        <f t="shared" si="22"/>
        <v>1.0475084108293113</v>
      </c>
      <c r="L135" s="421">
        <f t="shared" si="22"/>
        <v>0.97908786000557646</v>
      </c>
      <c r="M135" s="421">
        <f t="shared" si="22"/>
        <v>0.89297711612765585</v>
      </c>
      <c r="N135" s="421">
        <f t="shared" si="22"/>
        <v>0.89297711612765585</v>
      </c>
      <c r="O135" s="421">
        <f t="shared" si="22"/>
        <v>0.89297711612765585</v>
      </c>
      <c r="P135" s="421">
        <f t="shared" si="22"/>
        <v>0.89297711612765585</v>
      </c>
      <c r="Q135" s="421">
        <f t="shared" si="22"/>
        <v>0.89297711612765585</v>
      </c>
      <c r="S135" s="395"/>
      <c r="T135" s="395"/>
      <c r="U135" s="395"/>
      <c r="V135" s="395"/>
      <c r="W135" s="395"/>
      <c r="X135" s="395"/>
      <c r="Y135" s="395"/>
      <c r="Z135" s="395"/>
      <c r="AA135" s="395"/>
      <c r="AB135" s="395"/>
      <c r="AC135" s="395"/>
    </row>
    <row r="136" spans="2:29">
      <c r="B136" s="376" t="str">
        <f>IF(LEFT(Technologies!B$258,1)="*","*R5","R5")</f>
        <v>R5</v>
      </c>
      <c r="C136" s="376" t="str">
        <f>Technologies!C$258</f>
        <v>XPINDRFLR1</v>
      </c>
      <c r="D136" s="376" t="str">
        <f>Technologies!D$258</f>
        <v>Delivery of Pipeline Traded INDRFL from R1</v>
      </c>
      <c r="E136" s="415" t="str">
        <f>Commodities!C$82</f>
        <v>RFLR1</v>
      </c>
      <c r="F136" s="415" t="str">
        <f>Commodities!C$105</f>
        <v>INDRFL</v>
      </c>
      <c r="G136" s="422">
        <v>1</v>
      </c>
      <c r="H136" s="421">
        <f t="shared" si="22"/>
        <v>0.73377679849911459</v>
      </c>
      <c r="I136" s="421">
        <f t="shared" si="22"/>
        <v>0.73107462171916182</v>
      </c>
      <c r="J136" s="421">
        <f t="shared" si="22"/>
        <v>0.75752886460265678</v>
      </c>
      <c r="K136" s="421">
        <f t="shared" si="22"/>
        <v>0.86702166742740328</v>
      </c>
      <c r="L136" s="421">
        <f t="shared" si="22"/>
        <v>0.81356811209636037</v>
      </c>
      <c r="M136" s="421">
        <f t="shared" si="22"/>
        <v>0.74629409344173492</v>
      </c>
      <c r="N136" s="421">
        <f t="shared" si="22"/>
        <v>0.74629409344173492</v>
      </c>
      <c r="O136" s="421">
        <f t="shared" si="22"/>
        <v>0.74629409344173492</v>
      </c>
      <c r="P136" s="421">
        <f t="shared" si="22"/>
        <v>0.74629409344173492</v>
      </c>
      <c r="Q136" s="421">
        <f t="shared" si="22"/>
        <v>0.74629409344173492</v>
      </c>
      <c r="S136" s="395"/>
      <c r="T136" s="395"/>
      <c r="U136" s="395"/>
      <c r="V136" s="395"/>
      <c r="W136" s="395"/>
      <c r="X136" s="395"/>
      <c r="Y136" s="395"/>
      <c r="Z136" s="395"/>
      <c r="AA136" s="395"/>
      <c r="AB136" s="395"/>
      <c r="AC136" s="395"/>
    </row>
    <row r="137" spans="2:29">
      <c r="B137" s="376" t="str">
        <f>IF(LEFT(Technologies!B$259,1)="*","*R5","R5")</f>
        <v>*R5</v>
      </c>
      <c r="C137" s="376" t="str">
        <f>Technologies!C$259</f>
        <v>XPELCRFLR1</v>
      </c>
      <c r="D137" s="376" t="str">
        <f>Technologies!D$259</f>
        <v>Delivery of Pipeline Traded ELCRFL from R1</v>
      </c>
      <c r="E137" s="415" t="str">
        <f>Commodities!C$82</f>
        <v>RFLR1</v>
      </c>
      <c r="F137" s="415" t="str">
        <f>Commodities!C$106</f>
        <v>ELCRFL</v>
      </c>
      <c r="G137" s="422">
        <v>1</v>
      </c>
      <c r="H137" s="421">
        <f t="shared" si="22"/>
        <v>0.22242615527773235</v>
      </c>
      <c r="I137" s="421">
        <f t="shared" si="22"/>
        <v>0.22242615527773235</v>
      </c>
      <c r="J137" s="421">
        <f t="shared" si="22"/>
        <v>0.22242615527773235</v>
      </c>
      <c r="K137" s="421">
        <f t="shared" si="22"/>
        <v>0.22242615527773235</v>
      </c>
      <c r="L137" s="421">
        <f t="shared" si="22"/>
        <v>0.22242615527773235</v>
      </c>
      <c r="M137" s="421">
        <f t="shared" si="22"/>
        <v>0.22242615527773235</v>
      </c>
      <c r="N137" s="421">
        <f t="shared" si="22"/>
        <v>0.22242615527773235</v>
      </c>
      <c r="O137" s="421">
        <f t="shared" si="22"/>
        <v>0.22242615527773235</v>
      </c>
      <c r="P137" s="421">
        <f t="shared" si="22"/>
        <v>0.22242615527773235</v>
      </c>
      <c r="Q137" s="421">
        <f t="shared" si="22"/>
        <v>0.22242615527773235</v>
      </c>
      <c r="S137" s="395"/>
      <c r="T137" s="395"/>
      <c r="U137" s="395"/>
      <c r="V137" s="395"/>
      <c r="W137" s="395"/>
      <c r="X137" s="395"/>
      <c r="Y137" s="395"/>
      <c r="Z137" s="395"/>
      <c r="AA137" s="395"/>
      <c r="AB137" s="395"/>
      <c r="AC137" s="395"/>
    </row>
    <row r="138" spans="2:29">
      <c r="B138" s="376" t="str">
        <f>IF(LEFT(Technologies!B$260,1)="*","*R5","R5")</f>
        <v>*R5</v>
      </c>
      <c r="C138" s="376" t="str">
        <f>Technologies!C$260</f>
        <v>XPTRNRFHR1</v>
      </c>
      <c r="D138" s="376" t="str">
        <f>Technologies!D$260</f>
        <v>Delivery of Pipeline Traded TRNRFH from R1</v>
      </c>
      <c r="E138" s="415" t="str">
        <f>Commodities!C$81</f>
        <v>RFHR1</v>
      </c>
      <c r="F138" s="415" t="str">
        <f>Commodities!C$107</f>
        <v>TRNRFH</v>
      </c>
      <c r="G138" s="422">
        <v>1</v>
      </c>
      <c r="H138" s="421">
        <f t="shared" si="22"/>
        <v>4.1223270609128093</v>
      </c>
      <c r="I138" s="421">
        <f t="shared" si="22"/>
        <v>4.101718459337703</v>
      </c>
      <c r="J138" s="421">
        <f t="shared" si="22"/>
        <v>4.3034761517291571</v>
      </c>
      <c r="K138" s="421">
        <f t="shared" si="22"/>
        <v>5.1385412612725583</v>
      </c>
      <c r="L138" s="421">
        <f t="shared" si="22"/>
        <v>4.73086881261447</v>
      </c>
      <c r="M138" s="421">
        <f t="shared" si="22"/>
        <v>4.2177922970085273</v>
      </c>
      <c r="N138" s="421">
        <f t="shared" si="22"/>
        <v>4.2177922970085273</v>
      </c>
      <c r="O138" s="421">
        <f t="shared" si="22"/>
        <v>4.2177922970085273</v>
      </c>
      <c r="P138" s="421">
        <f t="shared" si="22"/>
        <v>4.2177922970085273</v>
      </c>
      <c r="Q138" s="421">
        <f t="shared" si="22"/>
        <v>4.2177922970085273</v>
      </c>
      <c r="S138" s="395"/>
      <c r="T138" s="395"/>
      <c r="U138" s="395"/>
      <c r="V138" s="395"/>
      <c r="W138" s="395"/>
      <c r="X138" s="395"/>
      <c r="Y138" s="395"/>
      <c r="Z138" s="395"/>
      <c r="AA138" s="395"/>
      <c r="AB138" s="395"/>
      <c r="AC138" s="395"/>
    </row>
    <row r="139" spans="2:29">
      <c r="B139" s="376" t="str">
        <f>IF(LEFT(Technologies!B$261,1)="*","*R5","R5")</f>
        <v>*R5</v>
      </c>
      <c r="C139" s="376" t="str">
        <f>Technologies!C$261</f>
        <v>XPELCRFHR1</v>
      </c>
      <c r="D139" s="376" t="str">
        <f>Technologies!D$261</f>
        <v>Delivery of Pipeline Traded ELCRFH from R1</v>
      </c>
      <c r="E139" s="415" t="str">
        <f>Commodities!C$81</f>
        <v>RFHR1</v>
      </c>
      <c r="F139" s="415" t="str">
        <f>Commodities!C$108</f>
        <v>ELCRFH</v>
      </c>
      <c r="G139" s="422">
        <v>1</v>
      </c>
      <c r="H139" s="421">
        <f t="shared" si="22"/>
        <v>1.3814876132461995</v>
      </c>
      <c r="I139" s="421">
        <f t="shared" si="22"/>
        <v>1.3753626792116402</v>
      </c>
      <c r="J139" s="421">
        <f t="shared" si="22"/>
        <v>1.4353256297475618</v>
      </c>
      <c r="K139" s="421">
        <f t="shared" si="22"/>
        <v>1.683509316150321</v>
      </c>
      <c r="L139" s="421">
        <f t="shared" si="22"/>
        <v>1.5623479240666232</v>
      </c>
      <c r="M139" s="421">
        <f t="shared" si="22"/>
        <v>1.4098601484494724</v>
      </c>
      <c r="N139" s="421">
        <f t="shared" si="22"/>
        <v>1.4098601484494724</v>
      </c>
      <c r="O139" s="421">
        <f t="shared" si="22"/>
        <v>1.4098601484494724</v>
      </c>
      <c r="P139" s="421">
        <f t="shared" si="22"/>
        <v>1.4098601484494724</v>
      </c>
      <c r="Q139" s="421">
        <f t="shared" si="22"/>
        <v>1.4098601484494724</v>
      </c>
      <c r="S139" s="395"/>
      <c r="T139" s="395"/>
      <c r="U139" s="395"/>
      <c r="V139" s="395"/>
      <c r="W139" s="395"/>
      <c r="X139" s="395"/>
      <c r="Y139" s="395"/>
      <c r="Z139" s="395"/>
      <c r="AA139" s="395"/>
      <c r="AB139" s="395"/>
      <c r="AC139" s="395"/>
    </row>
    <row r="140" spans="2:29">
      <c r="B140" s="376" t="str">
        <f>IF(LEFT(Technologies!B$262,1)="*","*R5","R5")</f>
        <v>*R5</v>
      </c>
      <c r="C140" s="376" t="str">
        <f>Technologies!C$262</f>
        <v>XPINDASPR1</v>
      </c>
      <c r="D140" s="376" t="str">
        <f>Technologies!D$262</f>
        <v>Delivery of Pipeline Traded INDASP from R1</v>
      </c>
      <c r="E140" s="415" t="str">
        <f>Commodities!C$83</f>
        <v>ASPR1</v>
      </c>
      <c r="F140" s="415" t="str">
        <f>Commodities!C$109</f>
        <v>INDASP</v>
      </c>
      <c r="G140" s="422">
        <v>1</v>
      </c>
      <c r="H140" s="421">
        <f t="shared" si="22"/>
        <v>0.99967913297423372</v>
      </c>
      <c r="I140" s="421">
        <f t="shared" si="22"/>
        <v>0.99557182426870561</v>
      </c>
      <c r="J140" s="421">
        <f t="shared" si="22"/>
        <v>1.0357822734516178</v>
      </c>
      <c r="K140" s="421">
        <f t="shared" si="22"/>
        <v>1.2022113337452325</v>
      </c>
      <c r="L140" s="421">
        <f t="shared" si="22"/>
        <v>1.1209619296420472</v>
      </c>
      <c r="M140" s="421">
        <f t="shared" si="22"/>
        <v>1.0187054212870166</v>
      </c>
      <c r="N140" s="421">
        <f t="shared" si="22"/>
        <v>1.0187054212870166</v>
      </c>
      <c r="O140" s="421">
        <f t="shared" si="22"/>
        <v>1.0187054212870166</v>
      </c>
      <c r="P140" s="421">
        <f t="shared" si="22"/>
        <v>1.0187054212870166</v>
      </c>
      <c r="Q140" s="421">
        <f t="shared" si="22"/>
        <v>1.0187054212870166</v>
      </c>
      <c r="S140" s="395"/>
      <c r="T140" s="395"/>
      <c r="U140" s="395"/>
      <c r="V140" s="395"/>
      <c r="W140" s="395"/>
      <c r="X140" s="395"/>
      <c r="Y140" s="395"/>
      <c r="Z140" s="395"/>
      <c r="AA140" s="395"/>
      <c r="AB140" s="395"/>
      <c r="AC140" s="395"/>
    </row>
    <row r="141" spans="2:29">
      <c r="B141" s="376" t="s">
        <v>588</v>
      </c>
      <c r="C141" s="376"/>
      <c r="D141" s="376"/>
      <c r="E141" s="415"/>
      <c r="F141" s="415"/>
      <c r="G141" s="422"/>
      <c r="H141" s="421"/>
      <c r="I141" s="421"/>
      <c r="J141" s="421"/>
      <c r="K141" s="421"/>
      <c r="L141" s="421"/>
      <c r="M141" s="421"/>
      <c r="N141" s="421"/>
      <c r="O141" s="421"/>
      <c r="P141" s="421"/>
      <c r="Q141" s="421"/>
      <c r="S141" s="395"/>
      <c r="T141" s="395"/>
      <c r="U141" s="395"/>
      <c r="V141" s="395"/>
      <c r="W141" s="395"/>
      <c r="X141" s="395"/>
      <c r="Y141" s="395"/>
      <c r="Z141" s="395"/>
      <c r="AA141" s="395"/>
      <c r="AB141" s="395"/>
      <c r="AC141" s="395"/>
    </row>
    <row r="142" spans="2:29">
      <c r="B142" s="376" t="str">
        <f>IF(LEFT(Technologies!B$238,1)="*","*R6","R6")</f>
        <v>R6</v>
      </c>
      <c r="C142" s="376" t="str">
        <f>Technologies!C$238</f>
        <v>XPTRGSLCR1</v>
      </c>
      <c r="D142" s="376" t="str">
        <f>Technologies!D$238</f>
        <v>Delivery of Pipeline Traded TRGSLC from R1</v>
      </c>
      <c r="E142" s="415" t="str">
        <f>Commodities!C$71</f>
        <v>GSCR1</v>
      </c>
      <c r="F142" s="415" t="str">
        <f>Commodities!C$85</f>
        <v>TRGSLC</v>
      </c>
      <c r="G142" s="422">
        <v>1</v>
      </c>
      <c r="H142" s="421">
        <f t="shared" ref="H142:Q142" si="23">H116</f>
        <v>3.5905223919625726</v>
      </c>
      <c r="I142" s="421">
        <f t="shared" si="23"/>
        <v>3.5727240542386172</v>
      </c>
      <c r="J142" s="421">
        <f t="shared" si="23"/>
        <v>3.7469693340312364</v>
      </c>
      <c r="K142" s="421">
        <f t="shared" si="23"/>
        <v>4.4681619286369019</v>
      </c>
      <c r="L142" s="421">
        <f t="shared" si="23"/>
        <v>4.1160811775230988</v>
      </c>
      <c r="M142" s="421">
        <f t="shared" si="23"/>
        <v>3.6729696413179656</v>
      </c>
      <c r="N142" s="421">
        <f t="shared" si="23"/>
        <v>3.6729696413179656</v>
      </c>
      <c r="O142" s="421">
        <f t="shared" si="23"/>
        <v>3.6729696413179656</v>
      </c>
      <c r="P142" s="421">
        <f t="shared" si="23"/>
        <v>3.6729696413179656</v>
      </c>
      <c r="Q142" s="421">
        <f t="shared" si="23"/>
        <v>3.6729696413179656</v>
      </c>
      <c r="S142" s="395"/>
      <c r="T142" s="395"/>
      <c r="U142" s="395"/>
      <c r="V142" s="395"/>
      <c r="W142" s="395"/>
      <c r="X142" s="395"/>
      <c r="Y142" s="395"/>
      <c r="Z142" s="395"/>
      <c r="AA142" s="395"/>
      <c r="AB142" s="395"/>
      <c r="AC142" s="395"/>
    </row>
    <row r="143" spans="2:29">
      <c r="B143" s="376" t="str">
        <f>IF(LEFT(Technologies!B$239,1)="*","*R6","R6")</f>
        <v>R6</v>
      </c>
      <c r="C143" s="376" t="str">
        <f>Technologies!C$239</f>
        <v>XPTRGSLRR1</v>
      </c>
      <c r="D143" s="376" t="str">
        <f>Technologies!D$239</f>
        <v>Delivery of Pipeline Traded TRGSLR from R1</v>
      </c>
      <c r="E143" s="415" t="str">
        <f>Commodities!C$72</f>
        <v>GSRR1</v>
      </c>
      <c r="F143" s="415" t="str">
        <f>Commodities!C$86</f>
        <v>TRGSLR</v>
      </c>
      <c r="G143" s="422">
        <v>1</v>
      </c>
      <c r="H143" s="421">
        <f t="shared" ref="H143:Q158" si="24">H117</f>
        <v>3.5973404005388576</v>
      </c>
      <c r="I143" s="421">
        <f t="shared" si="24"/>
        <v>3.5795060337911697</v>
      </c>
      <c r="J143" s="421">
        <f t="shared" si="24"/>
        <v>3.7541040368222358</v>
      </c>
      <c r="K143" s="421">
        <f t="shared" si="24"/>
        <v>4.4767565354655634</v>
      </c>
      <c r="L143" s="421">
        <f t="shared" si="24"/>
        <v>4.1239630702806798</v>
      </c>
      <c r="M143" s="421">
        <f t="shared" si="24"/>
        <v>3.6799545471601522</v>
      </c>
      <c r="N143" s="421">
        <f t="shared" si="24"/>
        <v>3.6799545471601522</v>
      </c>
      <c r="O143" s="421">
        <f t="shared" si="24"/>
        <v>3.6799545471601522</v>
      </c>
      <c r="P143" s="421">
        <f t="shared" si="24"/>
        <v>3.6799545471601522</v>
      </c>
      <c r="Q143" s="421">
        <f t="shared" si="24"/>
        <v>3.6799545471601522</v>
      </c>
      <c r="S143" s="395"/>
      <c r="T143" s="395"/>
      <c r="U143" s="395"/>
      <c r="V143" s="395"/>
      <c r="W143" s="395"/>
      <c r="X143" s="395"/>
      <c r="Y143" s="395"/>
      <c r="Z143" s="395"/>
      <c r="AA143" s="395"/>
      <c r="AB143" s="395"/>
      <c r="AC143" s="395"/>
    </row>
    <row r="144" spans="2:29">
      <c r="B144" s="376" t="str">
        <f>IF(LEFT(Technologies!B$240,1)="*","*R6","R6")</f>
        <v>R6</v>
      </c>
      <c r="C144" s="376" t="str">
        <f>Technologies!C$240</f>
        <v>XPRESDSLR1</v>
      </c>
      <c r="D144" s="376" t="str">
        <f>Technologies!D$240</f>
        <v>Delivery of Pipeline Traded RESDSL from R1</v>
      </c>
      <c r="E144" s="415" t="str">
        <f>Commodities!C$73</f>
        <v>DSHR1</v>
      </c>
      <c r="F144" s="415" t="str">
        <f>Commodities!C$87</f>
        <v>RESDSL</v>
      </c>
      <c r="G144" s="422">
        <v>1</v>
      </c>
      <c r="H144" s="421">
        <f t="shared" si="24"/>
        <v>3.6587024777254236</v>
      </c>
      <c r="I144" s="421">
        <f t="shared" si="24"/>
        <v>3.6405438497641418</v>
      </c>
      <c r="J144" s="421">
        <f t="shared" si="24"/>
        <v>3.818316361941227</v>
      </c>
      <c r="K144" s="421">
        <f t="shared" si="24"/>
        <v>4.5541079969235243</v>
      </c>
      <c r="L144" s="421">
        <f t="shared" si="24"/>
        <v>4.194900105098915</v>
      </c>
      <c r="M144" s="421">
        <f t="shared" si="24"/>
        <v>3.7428186997398325</v>
      </c>
      <c r="N144" s="421">
        <f t="shared" si="24"/>
        <v>3.7428186997398325</v>
      </c>
      <c r="O144" s="421">
        <f t="shared" si="24"/>
        <v>3.7428186997398325</v>
      </c>
      <c r="P144" s="421">
        <f t="shared" si="24"/>
        <v>3.7428186997398325</v>
      </c>
      <c r="Q144" s="421">
        <f t="shared" si="24"/>
        <v>3.7428186997398325</v>
      </c>
      <c r="S144" s="395"/>
      <c r="T144" s="395"/>
      <c r="U144" s="395"/>
      <c r="V144" s="395"/>
      <c r="W144" s="395"/>
      <c r="X144" s="395"/>
      <c r="Y144" s="395"/>
      <c r="Z144" s="395"/>
      <c r="AA144" s="395"/>
      <c r="AB144" s="395"/>
      <c r="AC144" s="395"/>
    </row>
    <row r="145" spans="2:29">
      <c r="B145" s="376" t="str">
        <f>IF(LEFT(Technologies!B$241,1)="*","*R6","R6")</f>
        <v>R6</v>
      </c>
      <c r="C145" s="376" t="str">
        <f>Technologies!C$241</f>
        <v>XPCOMDSLR1</v>
      </c>
      <c r="D145" s="376" t="str">
        <f>Technologies!D$241</f>
        <v>Delivery of Pipeline Traded COMDSL from R1</v>
      </c>
      <c r="E145" s="415" t="str">
        <f>Commodities!C$73</f>
        <v>DSHR1</v>
      </c>
      <c r="F145" s="415" t="str">
        <f>Commodities!C$88</f>
        <v>COMDSL</v>
      </c>
      <c r="G145" s="422">
        <v>1</v>
      </c>
      <c r="H145" s="421">
        <f t="shared" si="24"/>
        <v>1.6201179134161774</v>
      </c>
      <c r="I145" s="421">
        <f t="shared" si="24"/>
        <v>1.6127319635509734</v>
      </c>
      <c r="J145" s="421">
        <f t="shared" si="24"/>
        <v>1.685040227432526</v>
      </c>
      <c r="K145" s="421">
        <f t="shared" si="24"/>
        <v>1.9843205551535004</v>
      </c>
      <c r="L145" s="421">
        <f t="shared" si="24"/>
        <v>1.8382141705819826</v>
      </c>
      <c r="M145" s="421">
        <f t="shared" si="24"/>
        <v>1.6543318529260067</v>
      </c>
      <c r="N145" s="421">
        <f t="shared" si="24"/>
        <v>1.6543318529260067</v>
      </c>
      <c r="O145" s="421">
        <f t="shared" si="24"/>
        <v>1.6543318529260067</v>
      </c>
      <c r="P145" s="421">
        <f t="shared" si="24"/>
        <v>1.6543318529260067</v>
      </c>
      <c r="Q145" s="421">
        <f t="shared" si="24"/>
        <v>1.6543318529260067</v>
      </c>
      <c r="S145" s="395"/>
      <c r="T145" s="395"/>
      <c r="U145" s="395"/>
      <c r="V145" s="395"/>
      <c r="W145" s="395"/>
      <c r="X145" s="395"/>
      <c r="Y145" s="395"/>
      <c r="Z145" s="395"/>
      <c r="AA145" s="395"/>
      <c r="AB145" s="395"/>
      <c r="AC145" s="395"/>
    </row>
    <row r="146" spans="2:29">
      <c r="B146" s="376" t="str">
        <f>IF(LEFT(Technologies!B$242,1)="*","*R6","R6")</f>
        <v>*R6</v>
      </c>
      <c r="C146" s="376" t="str">
        <f>Technologies!C$242</f>
        <v>XPINDDSLR1</v>
      </c>
      <c r="D146" s="376" t="str">
        <f>Technologies!D$242</f>
        <v>Delivery of Pipeline Traded INDDSL from R1</v>
      </c>
      <c r="E146" s="415" t="str">
        <f>Commodities!C$73</f>
        <v>DSHR1</v>
      </c>
      <c r="F146" s="415" t="str">
        <f>Commodities!C$89</f>
        <v>INDDSL</v>
      </c>
      <c r="G146" s="422">
        <v>1</v>
      </c>
      <c r="H146" s="421">
        <f t="shared" si="24"/>
        <v>1.7223880420604547</v>
      </c>
      <c r="I146" s="421">
        <f t="shared" si="24"/>
        <v>1.7144616568392603</v>
      </c>
      <c r="J146" s="421">
        <f t="shared" si="24"/>
        <v>1.7920607692975117</v>
      </c>
      <c r="K146" s="421">
        <f t="shared" si="24"/>
        <v>2.1132396575834358</v>
      </c>
      <c r="L146" s="421">
        <f t="shared" si="24"/>
        <v>1.9564425619457091</v>
      </c>
      <c r="M146" s="421">
        <f t="shared" si="24"/>
        <v>1.759105440558808</v>
      </c>
      <c r="N146" s="421">
        <f t="shared" si="24"/>
        <v>1.759105440558808</v>
      </c>
      <c r="O146" s="421">
        <f t="shared" si="24"/>
        <v>1.759105440558808</v>
      </c>
      <c r="P146" s="421">
        <f t="shared" si="24"/>
        <v>1.759105440558808</v>
      </c>
      <c r="Q146" s="421">
        <f t="shared" si="24"/>
        <v>1.759105440558808</v>
      </c>
      <c r="S146" s="395"/>
      <c r="T146" s="395"/>
      <c r="U146" s="395"/>
      <c r="V146" s="395"/>
      <c r="W146" s="395"/>
      <c r="X146" s="395"/>
      <c r="Y146" s="395"/>
      <c r="Z146" s="395"/>
      <c r="AA146" s="395"/>
      <c r="AB146" s="395"/>
      <c r="AC146" s="395"/>
    </row>
    <row r="147" spans="2:29">
      <c r="B147" s="376" t="str">
        <f>IF(LEFT(Technologies!B$243,1)="*","*R6","R6")</f>
        <v>R6</v>
      </c>
      <c r="C147" s="376" t="str">
        <f>Technologies!C$243</f>
        <v>XPELCDSLR1</v>
      </c>
      <c r="D147" s="376" t="str">
        <f>Technologies!D$243</f>
        <v>Delivery of Pipeline Traded ELCDSL from R1</v>
      </c>
      <c r="E147" s="415" t="str">
        <f>Commodities!C$73</f>
        <v>DSHR1</v>
      </c>
      <c r="F147" s="415" t="str">
        <f>Commodities!C$90</f>
        <v>ELCDSL</v>
      </c>
      <c r="G147" s="422">
        <v>1</v>
      </c>
      <c r="H147" s="421">
        <f t="shared" si="24"/>
        <v>0.74059480707540037</v>
      </c>
      <c r="I147" s="421">
        <f t="shared" si="24"/>
        <v>0.73785660127171493</v>
      </c>
      <c r="J147" s="421">
        <f t="shared" si="24"/>
        <v>0.76466356739365637</v>
      </c>
      <c r="K147" s="421">
        <f t="shared" si="24"/>
        <v>0.87561627425606647</v>
      </c>
      <c r="L147" s="421">
        <f t="shared" si="24"/>
        <v>0.82145000485394293</v>
      </c>
      <c r="M147" s="421">
        <f t="shared" si="24"/>
        <v>0.75327899928392239</v>
      </c>
      <c r="N147" s="421">
        <f t="shared" si="24"/>
        <v>0.75327899928392239</v>
      </c>
      <c r="O147" s="421">
        <f t="shared" si="24"/>
        <v>0.75327899928392239</v>
      </c>
      <c r="P147" s="421">
        <f t="shared" si="24"/>
        <v>0.75327899928392239</v>
      </c>
      <c r="Q147" s="421">
        <f t="shared" si="24"/>
        <v>0.75327899928392239</v>
      </c>
      <c r="S147" s="395"/>
      <c r="T147" s="395"/>
      <c r="U147" s="395"/>
      <c r="V147" s="395"/>
      <c r="W147" s="395"/>
      <c r="X147" s="395"/>
      <c r="Y147" s="395"/>
      <c r="Z147" s="395"/>
      <c r="AA147" s="395"/>
      <c r="AB147" s="395"/>
      <c r="AC147" s="395"/>
    </row>
    <row r="148" spans="2:29">
      <c r="B148" s="376" t="str">
        <f>IF(LEFT(Technologies!B$244,1)="*","*R6","R6")</f>
        <v>R6</v>
      </c>
      <c r="C148" s="376" t="str">
        <f>Technologies!C$244</f>
        <v>XPTRDSLLR1</v>
      </c>
      <c r="D148" s="376" t="str">
        <f>Technologies!D$244</f>
        <v>Delivery of Pipeline Traded TRDSLL from R1</v>
      </c>
      <c r="E148" s="415" t="str">
        <f>Commodities!C$74</f>
        <v>DSLR1</v>
      </c>
      <c r="F148" s="415" t="str">
        <f>Commodities!C$91</f>
        <v>TRDSLL</v>
      </c>
      <c r="G148" s="422">
        <v>1</v>
      </c>
      <c r="H148" s="421">
        <f t="shared" si="24"/>
        <v>4.4427734639982104</v>
      </c>
      <c r="I148" s="421">
        <f t="shared" si="24"/>
        <v>4.4204714983076672</v>
      </c>
      <c r="J148" s="421">
        <f t="shared" si="24"/>
        <v>4.6388071829061115</v>
      </c>
      <c r="K148" s="421">
        <f t="shared" si="24"/>
        <v>5.5424877822196859</v>
      </c>
      <c r="L148" s="421">
        <f t="shared" si="24"/>
        <v>5.1013177722208125</v>
      </c>
      <c r="M148" s="421">
        <f t="shared" si="24"/>
        <v>4.5460828715913042</v>
      </c>
      <c r="N148" s="421">
        <f t="shared" si="24"/>
        <v>4.5460828715913042</v>
      </c>
      <c r="O148" s="421">
        <f t="shared" si="24"/>
        <v>4.5460828715913042</v>
      </c>
      <c r="P148" s="421">
        <f t="shared" si="24"/>
        <v>4.5460828715913042</v>
      </c>
      <c r="Q148" s="421">
        <f t="shared" si="24"/>
        <v>4.5460828715913042</v>
      </c>
      <c r="S148" s="395"/>
      <c r="T148" s="395"/>
      <c r="U148" s="395"/>
      <c r="V148" s="395"/>
      <c r="W148" s="395"/>
      <c r="X148" s="395"/>
      <c r="Y148" s="395"/>
      <c r="Z148" s="395"/>
      <c r="AA148" s="395"/>
      <c r="AB148" s="395"/>
      <c r="AC148" s="395"/>
    </row>
    <row r="149" spans="2:29">
      <c r="B149" s="376" t="str">
        <f>IF(LEFT(Technologies!B$245,1)="*","*R6","R6")</f>
        <v>R6</v>
      </c>
      <c r="C149" s="376" t="str">
        <f>Technologies!C$245</f>
        <v>XPTRDSLUR1</v>
      </c>
      <c r="D149" s="376" t="str">
        <f>Technologies!D$245</f>
        <v>Delivery of Pipeline Traded TRDSLU from R1</v>
      </c>
      <c r="E149" s="415" t="str">
        <f>Commodities!C$75</f>
        <v>DSUR1</v>
      </c>
      <c r="F149" s="415" t="str">
        <f>Commodities!C$92</f>
        <v>TRDSLU</v>
      </c>
      <c r="G149" s="422">
        <v>1</v>
      </c>
      <c r="H149" s="421">
        <f t="shared" si="24"/>
        <v>3.8018806578274109</v>
      </c>
      <c r="I149" s="421">
        <f t="shared" si="24"/>
        <v>3.7829654203677423</v>
      </c>
      <c r="J149" s="421">
        <f t="shared" si="24"/>
        <v>3.9681451205522058</v>
      </c>
      <c r="K149" s="421">
        <f t="shared" si="24"/>
        <v>4.7345947403254325</v>
      </c>
      <c r="L149" s="421">
        <f t="shared" si="24"/>
        <v>4.360419853008132</v>
      </c>
      <c r="M149" s="421">
        <f t="shared" si="24"/>
        <v>3.8895017224257535</v>
      </c>
      <c r="N149" s="421">
        <f t="shared" si="24"/>
        <v>3.8895017224257535</v>
      </c>
      <c r="O149" s="421">
        <f t="shared" si="24"/>
        <v>3.8895017224257535</v>
      </c>
      <c r="P149" s="421">
        <f t="shared" si="24"/>
        <v>3.8895017224257535</v>
      </c>
      <c r="Q149" s="421">
        <f t="shared" si="24"/>
        <v>3.8895017224257535</v>
      </c>
      <c r="S149" s="395"/>
      <c r="T149" s="395"/>
      <c r="U149" s="395"/>
      <c r="V149" s="395"/>
      <c r="W149" s="395"/>
      <c r="X149" s="395"/>
      <c r="Y149" s="395"/>
      <c r="Z149" s="395"/>
      <c r="AA149" s="395"/>
      <c r="AB149" s="395"/>
      <c r="AC149" s="395"/>
    </row>
    <row r="150" spans="2:29">
      <c r="B150" s="376" t="s">
        <v>519</v>
      </c>
      <c r="C150" s="376" t="str">
        <f>Technologies!C$246</f>
        <v>XPTRNJTFR1</v>
      </c>
      <c r="D150" s="376" t="str">
        <f>Technologies!D$246</f>
        <v>Delivery of Pipeline Traded TRNJTF from R1</v>
      </c>
      <c r="E150" s="415" t="str">
        <f>Commodities!C$76</f>
        <v>JTFR1</v>
      </c>
      <c r="F150" s="415" t="str">
        <f>Commodities!C$93</f>
        <v>TRNJTF</v>
      </c>
      <c r="G150" s="422">
        <v>1</v>
      </c>
      <c r="H150" s="421">
        <f t="shared" si="24"/>
        <v>0.91104502148252731</v>
      </c>
      <c r="I150" s="421">
        <f t="shared" si="24"/>
        <v>0.90740609008552431</v>
      </c>
      <c r="J150" s="421">
        <f t="shared" si="24"/>
        <v>0.94303113716863063</v>
      </c>
      <c r="K150" s="421">
        <f t="shared" si="24"/>
        <v>1.0904814449726228</v>
      </c>
      <c r="L150" s="421">
        <f t="shared" si="24"/>
        <v>1.0184973237934849</v>
      </c>
      <c r="M150" s="421">
        <f t="shared" si="24"/>
        <v>0.92790164533858943</v>
      </c>
      <c r="N150" s="421">
        <f t="shared" si="24"/>
        <v>0.92790164533858943</v>
      </c>
      <c r="O150" s="421">
        <f t="shared" si="24"/>
        <v>0.92790164533858943</v>
      </c>
      <c r="P150" s="421">
        <f t="shared" si="24"/>
        <v>0.92790164533858943</v>
      </c>
      <c r="Q150" s="421">
        <f t="shared" si="24"/>
        <v>0.92790164533858943</v>
      </c>
      <c r="S150" s="395"/>
      <c r="T150" s="395"/>
      <c r="U150" s="395"/>
      <c r="V150" s="395"/>
      <c r="W150" s="395"/>
      <c r="X150" s="395"/>
      <c r="Y150" s="395"/>
      <c r="Z150" s="395"/>
      <c r="AA150" s="395"/>
      <c r="AB150" s="395"/>
      <c r="AC150" s="395"/>
    </row>
    <row r="151" spans="2:29">
      <c r="B151" s="376" t="str">
        <f>IF(LEFT(Technologies!B$247,1)="*","*R6","R6")</f>
        <v>*R6</v>
      </c>
      <c r="C151" s="376" t="str">
        <f>Technologies!C$247</f>
        <v>XPRESKERR1</v>
      </c>
      <c r="D151" s="376" t="str">
        <f>Technologies!D$247</f>
        <v>Delivery of Pipeline Traded RESKER from R1</v>
      </c>
      <c r="E151" s="415" t="str">
        <f>Commodities!C$77</f>
        <v>KERR1</v>
      </c>
      <c r="F151" s="415" t="str">
        <f>Commodities!C$94</f>
        <v>RESKER</v>
      </c>
      <c r="G151" s="422">
        <v>1</v>
      </c>
      <c r="H151" s="421">
        <f t="shared" si="24"/>
        <v>2.3360088139261128</v>
      </c>
      <c r="I151" s="421">
        <f t="shared" si="24"/>
        <v>2.324839816568975</v>
      </c>
      <c r="J151" s="421">
        <f t="shared" si="24"/>
        <v>2.4341840204874203</v>
      </c>
      <c r="K151" s="421">
        <f t="shared" si="24"/>
        <v>2.8867542721630399</v>
      </c>
      <c r="L151" s="421">
        <f t="shared" si="24"/>
        <v>2.6658129101280625</v>
      </c>
      <c r="M151" s="421">
        <f t="shared" si="24"/>
        <v>2.387746966355611</v>
      </c>
      <c r="N151" s="421">
        <f t="shared" si="24"/>
        <v>2.387746966355611</v>
      </c>
      <c r="O151" s="421">
        <f t="shared" si="24"/>
        <v>2.387746966355611</v>
      </c>
      <c r="P151" s="421">
        <f t="shared" si="24"/>
        <v>2.387746966355611</v>
      </c>
      <c r="Q151" s="421">
        <f t="shared" si="24"/>
        <v>2.387746966355611</v>
      </c>
      <c r="S151" s="395"/>
      <c r="T151" s="395"/>
      <c r="U151" s="395"/>
      <c r="V151" s="395"/>
      <c r="W151" s="395"/>
      <c r="X151" s="395"/>
      <c r="Y151" s="395"/>
      <c r="Z151" s="395"/>
      <c r="AA151" s="395"/>
      <c r="AB151" s="395"/>
      <c r="AC151" s="395"/>
    </row>
    <row r="152" spans="2:29">
      <c r="B152" s="376" t="str">
        <f>IF(LEFT(Technologies!B$248,1)="*","*R6","R6")</f>
        <v>*R6</v>
      </c>
      <c r="C152" s="376" t="str">
        <f>Technologies!C$248</f>
        <v>XPCOMKERR1</v>
      </c>
      <c r="D152" s="376" t="str">
        <f>Technologies!D$248</f>
        <v>Delivery of Pipeline Traded COMKER from R1</v>
      </c>
      <c r="E152" s="415" t="str">
        <f>Commodities!C$77</f>
        <v>KERR1</v>
      </c>
      <c r="F152" s="415" t="str">
        <f>Commodities!C$95</f>
        <v>COMKER</v>
      </c>
      <c r="G152" s="422">
        <v>1</v>
      </c>
      <c r="H152" s="421">
        <f t="shared" si="24"/>
        <v>2.0905605051798508</v>
      </c>
      <c r="I152" s="421">
        <f t="shared" si="24"/>
        <v>2.0806885526770902</v>
      </c>
      <c r="J152" s="421">
        <f t="shared" si="24"/>
        <v>2.1773347200114577</v>
      </c>
      <c r="K152" s="421">
        <f t="shared" si="24"/>
        <v>2.5773484263311994</v>
      </c>
      <c r="L152" s="421">
        <f t="shared" si="24"/>
        <v>2.3820647708551226</v>
      </c>
      <c r="M152" s="421">
        <f t="shared" si="24"/>
        <v>2.1362903560368904</v>
      </c>
      <c r="N152" s="421">
        <f t="shared" si="24"/>
        <v>2.1362903560368904</v>
      </c>
      <c r="O152" s="421">
        <f t="shared" si="24"/>
        <v>2.1362903560368904</v>
      </c>
      <c r="P152" s="421">
        <f t="shared" si="24"/>
        <v>2.1362903560368904</v>
      </c>
      <c r="Q152" s="421">
        <f t="shared" si="24"/>
        <v>2.1362903560368904</v>
      </c>
      <c r="S152" s="395"/>
      <c r="T152" s="395"/>
      <c r="U152" s="395"/>
      <c r="V152" s="395"/>
      <c r="W152" s="395"/>
      <c r="X152" s="395"/>
      <c r="Y152" s="395"/>
      <c r="Z152" s="395"/>
      <c r="AA152" s="395"/>
      <c r="AB152" s="395"/>
      <c r="AC152" s="395"/>
    </row>
    <row r="153" spans="2:29">
      <c r="B153" s="376" t="str">
        <f>IF(LEFT(Technologies!B$249,1)="*","*R6","R6")</f>
        <v>*R6</v>
      </c>
      <c r="C153" s="376" t="str">
        <f>Technologies!C$249</f>
        <v>XPINDKERR1</v>
      </c>
      <c r="D153" s="376" t="str">
        <f>Technologies!D$249</f>
        <v>Delivery of Pipeline Traded INDKER from R1</v>
      </c>
      <c r="E153" s="415" t="str">
        <f>Commodities!C$77</f>
        <v>KERR1</v>
      </c>
      <c r="F153" s="415" t="str">
        <f>Commodities!C$96</f>
        <v>INDKER</v>
      </c>
      <c r="G153" s="422">
        <v>1</v>
      </c>
      <c r="H153" s="421">
        <f t="shared" si="24"/>
        <v>1.3814876132462</v>
      </c>
      <c r="I153" s="421">
        <f t="shared" si="24"/>
        <v>1.3753626792116402</v>
      </c>
      <c r="J153" s="421">
        <f t="shared" si="24"/>
        <v>1.4353256297475618</v>
      </c>
      <c r="K153" s="421">
        <f t="shared" si="24"/>
        <v>1.683509316150321</v>
      </c>
      <c r="L153" s="421">
        <f t="shared" si="24"/>
        <v>1.5623479240666236</v>
      </c>
      <c r="M153" s="421">
        <f t="shared" si="24"/>
        <v>1.4098601484494724</v>
      </c>
      <c r="N153" s="421">
        <f t="shared" si="24"/>
        <v>1.4098601484494724</v>
      </c>
      <c r="O153" s="421">
        <f t="shared" si="24"/>
        <v>1.4098601484494724</v>
      </c>
      <c r="P153" s="421">
        <f t="shared" si="24"/>
        <v>1.4098601484494724</v>
      </c>
      <c r="Q153" s="421">
        <f t="shared" si="24"/>
        <v>1.4098601484494724</v>
      </c>
      <c r="S153" s="395"/>
      <c r="T153" s="395"/>
      <c r="U153" s="395"/>
      <c r="V153" s="395"/>
      <c r="W153" s="395"/>
      <c r="X153" s="395"/>
      <c r="Y153" s="395"/>
      <c r="Z153" s="395"/>
      <c r="AA153" s="395"/>
      <c r="AB153" s="395"/>
      <c r="AC153" s="395"/>
    </row>
    <row r="154" spans="2:29">
      <c r="B154" s="376" t="str">
        <f>IF(LEFT(Technologies!B$250,1)="*","*R6","R6")</f>
        <v>*R6</v>
      </c>
      <c r="C154" s="376" t="str">
        <f>Technologies!C$250</f>
        <v>XPRESLPGR1</v>
      </c>
      <c r="D154" s="376" t="str">
        <f>Technologies!D$250</f>
        <v>Delivery of Pipeline Traded RESLPG from R1</v>
      </c>
      <c r="E154" s="415" t="str">
        <f>Commodities!C$78</f>
        <v>LPGR1</v>
      </c>
      <c r="F154" s="415" t="str">
        <f>Commodities!C$97</f>
        <v>RESLPG</v>
      </c>
      <c r="G154" s="422">
        <v>1</v>
      </c>
      <c r="H154" s="421">
        <f t="shared" si="24"/>
        <v>6.7131703199011481</v>
      </c>
      <c r="I154" s="421">
        <f t="shared" si="24"/>
        <v>6.6788706893076153</v>
      </c>
      <c r="J154" s="421">
        <f t="shared" si="24"/>
        <v>7.0146632123087764</v>
      </c>
      <c r="K154" s="421">
        <f t="shared" si="24"/>
        <v>8.4044918561642277</v>
      </c>
      <c r="L154" s="421">
        <f t="shared" si="24"/>
        <v>7.7259880604955224</v>
      </c>
      <c r="M154" s="421">
        <f t="shared" si="24"/>
        <v>6.8720565170394758</v>
      </c>
      <c r="N154" s="421">
        <f t="shared" si="24"/>
        <v>6.8720565170394758</v>
      </c>
      <c r="O154" s="421">
        <f t="shared" si="24"/>
        <v>6.8720565170394758</v>
      </c>
      <c r="P154" s="421">
        <f t="shared" si="24"/>
        <v>6.8720565170394758</v>
      </c>
      <c r="Q154" s="421">
        <f t="shared" si="24"/>
        <v>6.8720565170394758</v>
      </c>
      <c r="S154" s="395"/>
      <c r="T154" s="395"/>
      <c r="U154" s="395"/>
      <c r="V154" s="395"/>
      <c r="W154" s="395"/>
      <c r="X154" s="395"/>
      <c r="Y154" s="395"/>
      <c r="Z154" s="395"/>
      <c r="AA154" s="395"/>
      <c r="AB154" s="395"/>
      <c r="AC154" s="395"/>
    </row>
    <row r="155" spans="2:29">
      <c r="B155" s="376" t="str">
        <f>IF(LEFT(Technologies!B$251,1)="*","*R6","R6")</f>
        <v>*R6</v>
      </c>
      <c r="C155" s="376" t="str">
        <f>Technologies!C$251</f>
        <v>XPCOMLPGR1</v>
      </c>
      <c r="D155" s="376" t="str">
        <f>Technologies!D$251</f>
        <v>Delivery of Pipeline Traded COMLPG from R1</v>
      </c>
      <c r="E155" s="415" t="str">
        <f>Commodities!C$78</f>
        <v>LPGR1</v>
      </c>
      <c r="F155" s="415" t="str">
        <f>Commodities!C$98</f>
        <v>COMLPG</v>
      </c>
      <c r="G155" s="422">
        <v>1</v>
      </c>
      <c r="H155" s="421">
        <f t="shared" si="24"/>
        <v>2.8132694142660704</v>
      </c>
      <c r="I155" s="421">
        <f t="shared" si="24"/>
        <v>2.7995783852476435</v>
      </c>
      <c r="J155" s="421">
        <f t="shared" si="24"/>
        <v>2.9336132158573505</v>
      </c>
      <c r="K155" s="421">
        <f t="shared" si="24"/>
        <v>3.4883767501694001</v>
      </c>
      <c r="L155" s="421">
        <f t="shared" si="24"/>
        <v>3.2175454031587827</v>
      </c>
      <c r="M155" s="421">
        <f t="shared" si="24"/>
        <v>2.8766903753086801</v>
      </c>
      <c r="N155" s="421">
        <f t="shared" si="24"/>
        <v>2.8766903753086801</v>
      </c>
      <c r="O155" s="421">
        <f t="shared" si="24"/>
        <v>2.8766903753086801</v>
      </c>
      <c r="P155" s="421">
        <f t="shared" si="24"/>
        <v>2.8766903753086801</v>
      </c>
      <c r="Q155" s="421">
        <f t="shared" si="24"/>
        <v>2.8766903753086801</v>
      </c>
      <c r="S155" s="395"/>
      <c r="T155" s="395"/>
      <c r="U155" s="395"/>
      <c r="V155" s="395"/>
      <c r="W155" s="395"/>
      <c r="X155" s="395"/>
      <c r="Y155" s="395"/>
      <c r="Z155" s="395"/>
      <c r="AA155" s="395"/>
      <c r="AB155" s="395"/>
      <c r="AC155" s="395"/>
    </row>
    <row r="156" spans="2:29">
      <c r="B156" s="376" t="str">
        <f>IF(LEFT(Technologies!B$252,1)="*","*R6","R6")</f>
        <v>*R6</v>
      </c>
      <c r="C156" s="376" t="str">
        <f>Technologies!C$252</f>
        <v>XPINDLPGR1</v>
      </c>
      <c r="D156" s="376" t="str">
        <f>Technologies!D$252</f>
        <v>Delivery of Pipeline Traded INDLPG from R1</v>
      </c>
      <c r="E156" s="415" t="str">
        <f>Commodities!C$78</f>
        <v>LPGR1</v>
      </c>
      <c r="F156" s="415" t="str">
        <f>Commodities!C$99</f>
        <v>INDLPG</v>
      </c>
      <c r="G156" s="422">
        <v>1</v>
      </c>
      <c r="H156" s="421">
        <f t="shared" si="24"/>
        <v>2.4723689854518156</v>
      </c>
      <c r="I156" s="421">
        <f t="shared" si="24"/>
        <v>2.4604794076200243</v>
      </c>
      <c r="J156" s="421">
        <f t="shared" si="24"/>
        <v>2.5768780763074011</v>
      </c>
      <c r="K156" s="421">
        <f t="shared" si="24"/>
        <v>3.058646408736287</v>
      </c>
      <c r="L156" s="421">
        <f t="shared" si="24"/>
        <v>2.8234507652796976</v>
      </c>
      <c r="M156" s="421">
        <f t="shared" si="24"/>
        <v>2.5274450831993458</v>
      </c>
      <c r="N156" s="421">
        <f t="shared" si="24"/>
        <v>2.5274450831993458</v>
      </c>
      <c r="O156" s="421">
        <f t="shared" si="24"/>
        <v>2.5274450831993458</v>
      </c>
      <c r="P156" s="421">
        <f t="shared" si="24"/>
        <v>2.5274450831993458</v>
      </c>
      <c r="Q156" s="421">
        <f t="shared" si="24"/>
        <v>2.5274450831993458</v>
      </c>
      <c r="S156" s="395"/>
      <c r="T156" s="395"/>
      <c r="U156" s="395"/>
      <c r="V156" s="395"/>
      <c r="W156" s="395"/>
      <c r="X156" s="395"/>
      <c r="Y156" s="395"/>
      <c r="Z156" s="395"/>
      <c r="AA156" s="395"/>
      <c r="AB156" s="395"/>
      <c r="AC156" s="395"/>
    </row>
    <row r="157" spans="2:29">
      <c r="B157" s="376" t="str">
        <f>IF(LEFT(Technologies!B$253,1)="*","*R6","R6")</f>
        <v>*R6</v>
      </c>
      <c r="C157" s="376" t="str">
        <f>Technologies!C$253</f>
        <v>XPTRNLPGR1</v>
      </c>
      <c r="D157" s="376" t="str">
        <f>Technologies!D$253</f>
        <v>Delivery of Pipeline Traded TRNLPG from R1</v>
      </c>
      <c r="E157" s="415" t="str">
        <f>Commodities!C$78</f>
        <v>LPGR1</v>
      </c>
      <c r="F157" s="415" t="str">
        <f>Commodities!C$100</f>
        <v>TRNLPG</v>
      </c>
      <c r="G157" s="422">
        <v>1</v>
      </c>
      <c r="H157" s="421">
        <f t="shared" si="24"/>
        <v>4.0541469751499584</v>
      </c>
      <c r="I157" s="421">
        <f t="shared" si="24"/>
        <v>4.0338986638121783</v>
      </c>
      <c r="J157" s="421">
        <f t="shared" si="24"/>
        <v>4.2321291238191678</v>
      </c>
      <c r="K157" s="421">
        <f t="shared" si="24"/>
        <v>5.0525951929859358</v>
      </c>
      <c r="L157" s="421">
        <f t="shared" si="24"/>
        <v>4.6520498850386538</v>
      </c>
      <c r="M157" s="421">
        <f t="shared" si="24"/>
        <v>4.1479432385866604</v>
      </c>
      <c r="N157" s="421">
        <f t="shared" si="24"/>
        <v>4.1479432385866604</v>
      </c>
      <c r="O157" s="421">
        <f t="shared" si="24"/>
        <v>4.1479432385866604</v>
      </c>
      <c r="P157" s="421">
        <f t="shared" si="24"/>
        <v>4.1479432385866604</v>
      </c>
      <c r="Q157" s="421">
        <f t="shared" si="24"/>
        <v>4.1479432385866604</v>
      </c>
      <c r="S157" s="395"/>
      <c r="T157" s="395"/>
      <c r="U157" s="395"/>
      <c r="V157" s="395"/>
      <c r="W157" s="395"/>
      <c r="X157" s="395"/>
      <c r="Y157" s="395"/>
      <c r="Z157" s="395"/>
      <c r="AA157" s="395"/>
      <c r="AB157" s="395"/>
      <c r="AC157" s="395"/>
    </row>
    <row r="158" spans="2:29">
      <c r="B158" s="376" t="str">
        <f>IF(LEFT(Technologies!B$254,1)="*","*R6","R6")</f>
        <v>*R6</v>
      </c>
      <c r="C158" s="376" t="str">
        <f>Technologies!C$254</f>
        <v>XPTRNMTHR1</v>
      </c>
      <c r="D158" s="376" t="str">
        <f>Technologies!D$254</f>
        <v>Delivery of Pipeline Traded TRNMTH from R1</v>
      </c>
      <c r="E158" s="415" t="str">
        <f>Commodities!C$79</f>
        <v>MTHR1</v>
      </c>
      <c r="F158" s="415" t="str">
        <f>Commodities!C$101</f>
        <v>TRNMTH</v>
      </c>
      <c r="G158" s="422">
        <v>1</v>
      </c>
      <c r="H158" s="421">
        <f t="shared" si="24"/>
        <v>3.8836967607428319</v>
      </c>
      <c r="I158" s="421">
        <f t="shared" si="24"/>
        <v>3.8643491749983703</v>
      </c>
      <c r="J158" s="421">
        <f t="shared" si="24"/>
        <v>4.0537615540441934</v>
      </c>
      <c r="K158" s="421">
        <f t="shared" si="24"/>
        <v>4.8377300222693789</v>
      </c>
      <c r="L158" s="421">
        <f t="shared" si="24"/>
        <v>4.4550025660991119</v>
      </c>
      <c r="M158" s="421">
        <f t="shared" si="24"/>
        <v>3.9733205925319934</v>
      </c>
      <c r="N158" s="421">
        <f t="shared" si="24"/>
        <v>3.9733205925319934</v>
      </c>
      <c r="O158" s="421">
        <f t="shared" si="24"/>
        <v>3.9733205925319934</v>
      </c>
      <c r="P158" s="421">
        <f t="shared" si="24"/>
        <v>3.9733205925319934</v>
      </c>
      <c r="Q158" s="421">
        <f t="shared" si="24"/>
        <v>3.9733205925319934</v>
      </c>
      <c r="S158" s="395"/>
      <c r="T158" s="395"/>
      <c r="U158" s="395"/>
      <c r="V158" s="395"/>
      <c r="W158" s="395"/>
      <c r="X158" s="395"/>
      <c r="Y158" s="395"/>
      <c r="Z158" s="395"/>
      <c r="AA158" s="395"/>
      <c r="AB158" s="395"/>
      <c r="AC158" s="395"/>
    </row>
    <row r="159" spans="2:29">
      <c r="B159" s="376" t="str">
        <f>IF(LEFT(Technologies!B$255,1)="*","*R6","R6")</f>
        <v>*R6</v>
      </c>
      <c r="C159" s="376" t="str">
        <f>Technologies!C$255</f>
        <v>XPINDPFSR1</v>
      </c>
      <c r="D159" s="376" t="str">
        <f>Technologies!D$255</f>
        <v>Delivery of Pipeline Traded INDPFS from R1</v>
      </c>
      <c r="E159" s="415" t="str">
        <f>Commodities!C$80</f>
        <v>PFSR1</v>
      </c>
      <c r="F159" s="415" t="str">
        <f>Commodities!C$102</f>
        <v>INDPFS</v>
      </c>
      <c r="G159" s="422">
        <v>1</v>
      </c>
      <c r="H159" s="421">
        <f t="shared" ref="H159:Q166" si="25">H133</f>
        <v>0.50196450690542171</v>
      </c>
      <c r="I159" s="421">
        <f t="shared" si="25"/>
        <v>0.50048731693238091</v>
      </c>
      <c r="J159" s="421">
        <f t="shared" si="25"/>
        <v>0.51494896970869142</v>
      </c>
      <c r="K159" s="421">
        <f t="shared" si="25"/>
        <v>0.57480503525288629</v>
      </c>
      <c r="L159" s="421">
        <f t="shared" si="25"/>
        <v>0.54558375833858275</v>
      </c>
      <c r="M159" s="421">
        <f t="shared" si="25"/>
        <v>0.50880729480738751</v>
      </c>
      <c r="N159" s="421">
        <f t="shared" si="25"/>
        <v>0.50880729480738751</v>
      </c>
      <c r="O159" s="421">
        <f t="shared" si="25"/>
        <v>0.50880729480738751</v>
      </c>
      <c r="P159" s="421">
        <f t="shared" si="25"/>
        <v>0.50880729480738751</v>
      </c>
      <c r="Q159" s="421">
        <f t="shared" si="25"/>
        <v>0.50880729480738751</v>
      </c>
      <c r="S159" s="395"/>
      <c r="T159" s="395"/>
      <c r="U159" s="395"/>
      <c r="V159" s="395"/>
      <c r="W159" s="395"/>
      <c r="X159" s="395"/>
      <c r="Y159" s="395"/>
      <c r="Z159" s="395"/>
      <c r="AA159" s="395"/>
      <c r="AB159" s="395"/>
      <c r="AC159" s="395"/>
    </row>
    <row r="160" spans="2:29">
      <c r="B160" s="376" t="str">
        <f>IF(LEFT(Technologies!B$256,1)="*","*R6","R6")</f>
        <v>*R6</v>
      </c>
      <c r="C160" s="376" t="str">
        <f>Technologies!C$256</f>
        <v>XPRESRFLR1</v>
      </c>
      <c r="D160" s="376" t="str">
        <f>Technologies!D$256</f>
        <v>Delivery of Pipeline Traded RESRFL from R1</v>
      </c>
      <c r="E160" s="415" t="str">
        <f>Commodities!C$82</f>
        <v>RFLR1</v>
      </c>
      <c r="F160" s="415" t="str">
        <f>Commodities!C$103</f>
        <v>RESRFL</v>
      </c>
      <c r="G160" s="422">
        <v>1</v>
      </c>
      <c r="H160" s="421">
        <f t="shared" si="25"/>
        <v>0.87695497860110183</v>
      </c>
      <c r="I160" s="421">
        <f t="shared" si="25"/>
        <v>0.87349619232276232</v>
      </c>
      <c r="J160" s="421">
        <f t="shared" si="25"/>
        <v>0.90735762321363567</v>
      </c>
      <c r="K160" s="421">
        <f t="shared" si="25"/>
        <v>1.0475084108293113</v>
      </c>
      <c r="L160" s="421">
        <f t="shared" si="25"/>
        <v>0.97908786000557646</v>
      </c>
      <c r="M160" s="421">
        <f t="shared" si="25"/>
        <v>0.89297711612765585</v>
      </c>
      <c r="N160" s="421">
        <f t="shared" si="25"/>
        <v>0.89297711612765585</v>
      </c>
      <c r="O160" s="421">
        <f t="shared" si="25"/>
        <v>0.89297711612765585</v>
      </c>
      <c r="P160" s="421">
        <f t="shared" si="25"/>
        <v>0.89297711612765585</v>
      </c>
      <c r="Q160" s="421">
        <f t="shared" si="25"/>
        <v>0.89297711612765585</v>
      </c>
      <c r="S160" s="395"/>
      <c r="T160" s="395"/>
      <c r="U160" s="395"/>
      <c r="V160" s="395"/>
      <c r="W160" s="395"/>
      <c r="X160" s="395"/>
      <c r="Y160" s="395"/>
      <c r="Z160" s="395"/>
      <c r="AA160" s="395"/>
      <c r="AB160" s="395"/>
      <c r="AC160" s="395"/>
    </row>
    <row r="161" spans="2:29">
      <c r="B161" s="376" t="str">
        <f>IF(LEFT(Technologies!B$257,1)="*","*R6","R6")</f>
        <v>*R6</v>
      </c>
      <c r="C161" s="376" t="str">
        <f>Technologies!C$257</f>
        <v>XPCOMRFLR1</v>
      </c>
      <c r="D161" s="376" t="str">
        <f>Technologies!D$257</f>
        <v>Delivery of Pipeline Traded COMRFL from R1</v>
      </c>
      <c r="E161" s="415" t="str">
        <f>Commodities!C$82</f>
        <v>RFLR1</v>
      </c>
      <c r="F161" s="415" t="str">
        <f>Commodities!C$104</f>
        <v>COMRFL</v>
      </c>
      <c r="G161" s="422">
        <v>1</v>
      </c>
      <c r="H161" s="421">
        <f t="shared" si="25"/>
        <v>0.87695497860110183</v>
      </c>
      <c r="I161" s="421">
        <f t="shared" si="25"/>
        <v>0.87349619232276232</v>
      </c>
      <c r="J161" s="421">
        <f t="shared" si="25"/>
        <v>0.90735762321363567</v>
      </c>
      <c r="K161" s="421">
        <f t="shared" si="25"/>
        <v>1.0475084108293113</v>
      </c>
      <c r="L161" s="421">
        <f t="shared" si="25"/>
        <v>0.97908786000557646</v>
      </c>
      <c r="M161" s="421">
        <f t="shared" si="25"/>
        <v>0.89297711612765585</v>
      </c>
      <c r="N161" s="421">
        <f t="shared" si="25"/>
        <v>0.89297711612765585</v>
      </c>
      <c r="O161" s="421">
        <f t="shared" si="25"/>
        <v>0.89297711612765585</v>
      </c>
      <c r="P161" s="421">
        <f t="shared" si="25"/>
        <v>0.89297711612765585</v>
      </c>
      <c r="Q161" s="421">
        <f t="shared" si="25"/>
        <v>0.89297711612765585</v>
      </c>
      <c r="S161" s="395"/>
      <c r="T161" s="395"/>
      <c r="U161" s="395"/>
      <c r="V161" s="395"/>
      <c r="W161" s="395"/>
      <c r="X161" s="395"/>
      <c r="Y161" s="395"/>
      <c r="Z161" s="395"/>
      <c r="AA161" s="395"/>
      <c r="AB161" s="395"/>
      <c r="AC161" s="395"/>
    </row>
    <row r="162" spans="2:29">
      <c r="B162" s="376" t="str">
        <f>IF(LEFT(Technologies!B$258,1)="*","*R6","R6")</f>
        <v>R6</v>
      </c>
      <c r="C162" s="376" t="str">
        <f>Technologies!C$258</f>
        <v>XPINDRFLR1</v>
      </c>
      <c r="D162" s="376" t="str">
        <f>Technologies!D$258</f>
        <v>Delivery of Pipeline Traded INDRFL from R1</v>
      </c>
      <c r="E162" s="415" t="str">
        <f>Commodities!C$82</f>
        <v>RFLR1</v>
      </c>
      <c r="F162" s="415" t="str">
        <f>Commodities!C$105</f>
        <v>INDRFL</v>
      </c>
      <c r="G162" s="422">
        <v>1</v>
      </c>
      <c r="H162" s="421">
        <f t="shared" si="25"/>
        <v>0.73377679849911459</v>
      </c>
      <c r="I162" s="421">
        <f t="shared" si="25"/>
        <v>0.73107462171916182</v>
      </c>
      <c r="J162" s="421">
        <f t="shared" si="25"/>
        <v>0.75752886460265678</v>
      </c>
      <c r="K162" s="421">
        <f t="shared" si="25"/>
        <v>0.86702166742740328</v>
      </c>
      <c r="L162" s="421">
        <f t="shared" si="25"/>
        <v>0.81356811209636037</v>
      </c>
      <c r="M162" s="421">
        <f t="shared" si="25"/>
        <v>0.74629409344173492</v>
      </c>
      <c r="N162" s="421">
        <f t="shared" si="25"/>
        <v>0.74629409344173492</v>
      </c>
      <c r="O162" s="421">
        <f t="shared" si="25"/>
        <v>0.74629409344173492</v>
      </c>
      <c r="P162" s="421">
        <f t="shared" si="25"/>
        <v>0.74629409344173492</v>
      </c>
      <c r="Q162" s="421">
        <f t="shared" si="25"/>
        <v>0.74629409344173492</v>
      </c>
      <c r="S162" s="395"/>
      <c r="T162" s="395"/>
      <c r="U162" s="395"/>
      <c r="V162" s="395"/>
      <c r="W162" s="395"/>
      <c r="X162" s="395"/>
      <c r="Y162" s="395"/>
      <c r="Z162" s="395"/>
      <c r="AA162" s="395"/>
      <c r="AB162" s="395"/>
      <c r="AC162" s="395"/>
    </row>
    <row r="163" spans="2:29">
      <c r="B163" s="376" t="str">
        <f>IF(LEFT(Technologies!B$259,1)="*","*R6","R6")</f>
        <v>*R6</v>
      </c>
      <c r="C163" s="376" t="str">
        <f>Technologies!C$259</f>
        <v>XPELCRFLR1</v>
      </c>
      <c r="D163" s="376" t="str">
        <f>Technologies!D$259</f>
        <v>Delivery of Pipeline Traded ELCRFL from R1</v>
      </c>
      <c r="E163" s="415" t="str">
        <f>Commodities!C$82</f>
        <v>RFLR1</v>
      </c>
      <c r="F163" s="415" t="str">
        <f>Commodities!C$106</f>
        <v>ELCRFL</v>
      </c>
      <c r="G163" s="422">
        <v>1</v>
      </c>
      <c r="H163" s="421">
        <f t="shared" si="25"/>
        <v>0.22242615527773235</v>
      </c>
      <c r="I163" s="421">
        <f t="shared" si="25"/>
        <v>0.22242615527773235</v>
      </c>
      <c r="J163" s="421">
        <f t="shared" si="25"/>
        <v>0.22242615527773235</v>
      </c>
      <c r="K163" s="421">
        <f t="shared" si="25"/>
        <v>0.22242615527773235</v>
      </c>
      <c r="L163" s="421">
        <f t="shared" si="25"/>
        <v>0.22242615527773235</v>
      </c>
      <c r="M163" s="421">
        <f t="shared" si="25"/>
        <v>0.22242615527773235</v>
      </c>
      <c r="N163" s="421">
        <f t="shared" si="25"/>
        <v>0.22242615527773235</v>
      </c>
      <c r="O163" s="421">
        <f t="shared" si="25"/>
        <v>0.22242615527773235</v>
      </c>
      <c r="P163" s="421">
        <f t="shared" si="25"/>
        <v>0.22242615527773235</v>
      </c>
      <c r="Q163" s="421">
        <f t="shared" si="25"/>
        <v>0.22242615527773235</v>
      </c>
      <c r="S163" s="395"/>
      <c r="T163" s="395"/>
      <c r="U163" s="395"/>
      <c r="V163" s="395"/>
      <c r="W163" s="395"/>
      <c r="X163" s="395"/>
      <c r="Y163" s="395"/>
      <c r="Z163" s="395"/>
      <c r="AA163" s="395"/>
      <c r="AB163" s="395"/>
      <c r="AC163" s="395"/>
    </row>
    <row r="164" spans="2:29">
      <c r="B164" s="376" t="str">
        <f>IF(LEFT(Technologies!B$260,1)="*","*R6","R6")</f>
        <v>*R6</v>
      </c>
      <c r="C164" s="376" t="str">
        <f>Technologies!C$260</f>
        <v>XPTRNRFHR1</v>
      </c>
      <c r="D164" s="376" t="str">
        <f>Technologies!D$260</f>
        <v>Delivery of Pipeline Traded TRNRFH from R1</v>
      </c>
      <c r="E164" s="415" t="str">
        <f>Commodities!C$81</f>
        <v>RFHR1</v>
      </c>
      <c r="F164" s="415" t="str">
        <f>Commodities!C$107</f>
        <v>TRNRFH</v>
      </c>
      <c r="G164" s="422">
        <v>1</v>
      </c>
      <c r="H164" s="421">
        <f t="shared" si="25"/>
        <v>4.1223270609128093</v>
      </c>
      <c r="I164" s="421">
        <f t="shared" si="25"/>
        <v>4.101718459337703</v>
      </c>
      <c r="J164" s="421">
        <f t="shared" si="25"/>
        <v>4.3034761517291571</v>
      </c>
      <c r="K164" s="421">
        <f t="shared" si="25"/>
        <v>5.1385412612725583</v>
      </c>
      <c r="L164" s="421">
        <f t="shared" si="25"/>
        <v>4.73086881261447</v>
      </c>
      <c r="M164" s="421">
        <f t="shared" si="25"/>
        <v>4.2177922970085273</v>
      </c>
      <c r="N164" s="421">
        <f t="shared" si="25"/>
        <v>4.2177922970085273</v>
      </c>
      <c r="O164" s="421">
        <f t="shared" si="25"/>
        <v>4.2177922970085273</v>
      </c>
      <c r="P164" s="421">
        <f t="shared" si="25"/>
        <v>4.2177922970085273</v>
      </c>
      <c r="Q164" s="421">
        <f t="shared" si="25"/>
        <v>4.2177922970085273</v>
      </c>
      <c r="S164" s="395"/>
      <c r="T164" s="395"/>
      <c r="U164" s="395"/>
      <c r="V164" s="395"/>
      <c r="W164" s="395"/>
      <c r="X164" s="395"/>
      <c r="Y164" s="395"/>
      <c r="Z164" s="395"/>
      <c r="AA164" s="395"/>
      <c r="AB164" s="395"/>
      <c r="AC164" s="395"/>
    </row>
    <row r="165" spans="2:29">
      <c r="B165" s="376" t="str">
        <f>IF(LEFT(Technologies!B$261,1)="*","*R6","R6")</f>
        <v>*R6</v>
      </c>
      <c r="C165" s="376" t="str">
        <f>Technologies!C$261</f>
        <v>XPELCRFHR1</v>
      </c>
      <c r="D165" s="376" t="str">
        <f>Technologies!D$261</f>
        <v>Delivery of Pipeline Traded ELCRFH from R1</v>
      </c>
      <c r="E165" s="415" t="str">
        <f>Commodities!C$81</f>
        <v>RFHR1</v>
      </c>
      <c r="F165" s="415" t="str">
        <f>Commodities!C$108</f>
        <v>ELCRFH</v>
      </c>
      <c r="G165" s="422">
        <v>1</v>
      </c>
      <c r="H165" s="421">
        <f t="shared" si="25"/>
        <v>1.3814876132461995</v>
      </c>
      <c r="I165" s="421">
        <f t="shared" si="25"/>
        <v>1.3753626792116402</v>
      </c>
      <c r="J165" s="421">
        <f t="shared" si="25"/>
        <v>1.4353256297475618</v>
      </c>
      <c r="K165" s="421">
        <f t="shared" si="25"/>
        <v>1.683509316150321</v>
      </c>
      <c r="L165" s="421">
        <f t="shared" si="25"/>
        <v>1.5623479240666232</v>
      </c>
      <c r="M165" s="421">
        <f t="shared" si="25"/>
        <v>1.4098601484494724</v>
      </c>
      <c r="N165" s="421">
        <f t="shared" si="25"/>
        <v>1.4098601484494724</v>
      </c>
      <c r="O165" s="421">
        <f t="shared" si="25"/>
        <v>1.4098601484494724</v>
      </c>
      <c r="P165" s="421">
        <f t="shared" si="25"/>
        <v>1.4098601484494724</v>
      </c>
      <c r="Q165" s="421">
        <f t="shared" si="25"/>
        <v>1.4098601484494724</v>
      </c>
      <c r="S165" s="395"/>
      <c r="T165" s="395"/>
      <c r="U165" s="395"/>
      <c r="V165" s="395"/>
      <c r="W165" s="395"/>
      <c r="X165" s="395"/>
      <c r="Y165" s="395"/>
      <c r="Z165" s="395"/>
      <c r="AA165" s="395"/>
      <c r="AB165" s="395"/>
      <c r="AC165" s="395"/>
    </row>
    <row r="166" spans="2:29">
      <c r="B166" s="376" t="str">
        <f>IF(LEFT(Technologies!B$262,1)="*","*R6","R6")</f>
        <v>*R6</v>
      </c>
      <c r="C166" s="376" t="str">
        <f>Technologies!C$262</f>
        <v>XPINDASPR1</v>
      </c>
      <c r="D166" s="376" t="str">
        <f>Technologies!D$262</f>
        <v>Delivery of Pipeline Traded INDASP from R1</v>
      </c>
      <c r="E166" s="415" t="str">
        <f>Commodities!C$83</f>
        <v>ASPR1</v>
      </c>
      <c r="F166" s="415" t="str">
        <f>Commodities!C$109</f>
        <v>INDASP</v>
      </c>
      <c r="G166" s="422">
        <v>1</v>
      </c>
      <c r="H166" s="421">
        <f t="shared" si="25"/>
        <v>0.99967913297423372</v>
      </c>
      <c r="I166" s="421">
        <f t="shared" si="25"/>
        <v>0.99557182426870561</v>
      </c>
      <c r="J166" s="421">
        <f t="shared" si="25"/>
        <v>1.0357822734516178</v>
      </c>
      <c r="K166" s="421">
        <f t="shared" si="25"/>
        <v>1.2022113337452325</v>
      </c>
      <c r="L166" s="421">
        <f t="shared" si="25"/>
        <v>1.1209619296420472</v>
      </c>
      <c r="M166" s="421">
        <f t="shared" si="25"/>
        <v>1.0187054212870166</v>
      </c>
      <c r="N166" s="421">
        <f t="shared" si="25"/>
        <v>1.0187054212870166</v>
      </c>
      <c r="O166" s="421">
        <f t="shared" si="25"/>
        <v>1.0187054212870166</v>
      </c>
      <c r="P166" s="421">
        <f t="shared" si="25"/>
        <v>1.0187054212870166</v>
      </c>
      <c r="Q166" s="421">
        <f t="shared" si="25"/>
        <v>1.0187054212870166</v>
      </c>
      <c r="S166" s="395"/>
      <c r="T166" s="395"/>
      <c r="U166" s="395"/>
      <c r="V166" s="395"/>
      <c r="W166" s="395"/>
      <c r="X166" s="395"/>
      <c r="Y166" s="395"/>
      <c r="Z166" s="395"/>
      <c r="AA166" s="395"/>
      <c r="AB166" s="395"/>
      <c r="AC166" s="395"/>
    </row>
    <row r="167" spans="2:29">
      <c r="B167" s="376" t="s">
        <v>588</v>
      </c>
      <c r="C167" s="376"/>
      <c r="D167" s="376"/>
      <c r="E167" s="415"/>
      <c r="F167" s="415"/>
      <c r="G167" s="422"/>
      <c r="H167" s="421"/>
      <c r="I167" s="421"/>
      <c r="J167" s="421"/>
      <c r="K167" s="421"/>
      <c r="L167" s="421"/>
      <c r="M167" s="421"/>
      <c r="N167" s="421"/>
      <c r="O167" s="421"/>
      <c r="P167" s="421"/>
      <c r="Q167" s="421"/>
      <c r="S167" s="395"/>
      <c r="T167" s="395"/>
      <c r="U167" s="395"/>
      <c r="V167" s="395"/>
      <c r="W167" s="395"/>
      <c r="X167" s="395"/>
      <c r="Y167" s="395"/>
      <c r="Z167" s="395"/>
      <c r="AA167" s="395"/>
      <c r="AB167" s="395"/>
      <c r="AC167" s="395"/>
    </row>
    <row r="168" spans="2:29">
      <c r="B168" s="376" t="str">
        <f>Technologies!B263</f>
        <v>*</v>
      </c>
      <c r="C168" s="376" t="str">
        <f>Technologies!C263</f>
        <v>XPTRGSLCR3</v>
      </c>
      <c r="D168" s="376" t="str">
        <f>Technologies!D263</f>
        <v>Delivery of Pipeline Traded TRGSLC from R3</v>
      </c>
      <c r="E168" s="415" t="str">
        <f>Commodities!C117</f>
        <v>GSCR3</v>
      </c>
      <c r="F168" s="415" t="str">
        <f>Commodities!C85</f>
        <v>TRGSLC</v>
      </c>
      <c r="G168" s="422">
        <v>1</v>
      </c>
      <c r="H168" s="421">
        <f>DelivOIL!$C77*DelivOIL!P$78^5/(Conv!$I$5*Conv!$D$46)/10^6 + OILTrade!$E$16</f>
        <v>3.5905223919625726</v>
      </c>
      <c r="I168" s="421">
        <f>DelivOIL!$C77*DelivOIL!Q$78^5/(Conv!$I$5*Conv!$D$46)/10^6 + OILTrade!$E$16</f>
        <v>3.5727240542386172</v>
      </c>
      <c r="J168" s="421">
        <f>DelivOIL!$C77*DelivOIL!R$78^5/(Conv!$I$5*Conv!$D$46)/10^6 + OILTrade!$E$16</f>
        <v>3.7469693340312364</v>
      </c>
      <c r="K168" s="421">
        <f>DelivOIL!$C77*DelivOIL!S$78^5/(Conv!$I$5*Conv!$D$46)/10^6 + OILTrade!$E$16</f>
        <v>4.4681619286369019</v>
      </c>
      <c r="L168" s="421">
        <f>DelivOIL!$C77*DelivOIL!T$78^5/(Conv!$I$5*Conv!$D$46)/10^6 + OILTrade!$E$16</f>
        <v>4.1160811775230988</v>
      </c>
      <c r="M168" s="421">
        <f>DelivOIL!$C77*DelivOIL!U$78^5/(Conv!$I$5*Conv!$D$46)/10^6 + OILTrade!$E$16</f>
        <v>3.6729696413179656</v>
      </c>
      <c r="N168" s="421">
        <f>DelivOIL!$C77*DelivOIL!V$78^5/(Conv!$I$5*Conv!$D$46)/10^6 + OILTrade!$E$16</f>
        <v>3.6729696413179656</v>
      </c>
      <c r="O168" s="421">
        <f>DelivOIL!$C77*DelivOIL!W$78^5/(Conv!$I$5*Conv!$D$46)/10^6 + OILTrade!$E$16</f>
        <v>3.6729696413179656</v>
      </c>
      <c r="P168" s="421">
        <f>DelivOIL!$C77*DelivOIL!X$78^5/(Conv!$I$5*Conv!$D$46)/10^6 + OILTrade!$E$16</f>
        <v>3.6729696413179656</v>
      </c>
      <c r="Q168" s="421">
        <f>DelivOIL!$C77*DelivOIL!Y$78^5/(Conv!$I$5*Conv!$D$46)/10^6 + OILTrade!$E$16</f>
        <v>3.6729696413179656</v>
      </c>
      <c r="S168" s="395"/>
      <c r="T168" s="395"/>
      <c r="U168" s="395"/>
      <c r="V168" s="395"/>
      <c r="W168" s="395"/>
      <c r="X168" s="395"/>
      <c r="Y168" s="395"/>
      <c r="Z168" s="395"/>
      <c r="AA168" s="395"/>
      <c r="AB168" s="395"/>
      <c r="AC168" s="395"/>
    </row>
    <row r="169" spans="2:29">
      <c r="B169" s="376" t="str">
        <f>Technologies!B264</f>
        <v>*</v>
      </c>
      <c r="C169" s="376" t="str">
        <f>Technologies!C264</f>
        <v>XPTRGSLRR3</v>
      </c>
      <c r="D169" s="376" t="str">
        <f>Technologies!D264</f>
        <v>Delivery of Pipeline Traded TRGSLR from R3</v>
      </c>
      <c r="E169" s="415" t="str">
        <f>Commodities!C118</f>
        <v>GSRR3</v>
      </c>
      <c r="F169" s="415" t="str">
        <f>Commodities!C86</f>
        <v>TRGSLR</v>
      </c>
      <c r="G169" s="422">
        <v>1</v>
      </c>
      <c r="H169" s="421">
        <f>DelivOIL!$C78*DelivOIL!P$78^5/(Conv!$I$5*Conv!$D$46)/10^6 + OILTrade!$E$16</f>
        <v>3.5973404005388576</v>
      </c>
      <c r="I169" s="421">
        <f>DelivOIL!$C78*DelivOIL!Q$78^5/(Conv!$I$5*Conv!$D$46)/10^6 + OILTrade!$E$16</f>
        <v>3.5795060337911697</v>
      </c>
      <c r="J169" s="421">
        <f>DelivOIL!$C78*DelivOIL!R$78^5/(Conv!$I$5*Conv!$D$46)/10^6 + OILTrade!$E$16</f>
        <v>3.7541040368222358</v>
      </c>
      <c r="K169" s="421">
        <f>DelivOIL!$C78*DelivOIL!S$78^5/(Conv!$I$5*Conv!$D$46)/10^6 + OILTrade!$E$16</f>
        <v>4.4767565354655634</v>
      </c>
      <c r="L169" s="421">
        <f>DelivOIL!$C78*DelivOIL!T$78^5/(Conv!$I$5*Conv!$D$46)/10^6 + OILTrade!$E$16</f>
        <v>4.1239630702806798</v>
      </c>
      <c r="M169" s="421">
        <f>DelivOIL!$C78*DelivOIL!U$78^5/(Conv!$I$5*Conv!$D$46)/10^6 + OILTrade!$E$16</f>
        <v>3.6799545471601522</v>
      </c>
      <c r="N169" s="421">
        <f>DelivOIL!$C78*DelivOIL!V$78^5/(Conv!$I$5*Conv!$D$46)/10^6 + OILTrade!$E$16</f>
        <v>3.6799545471601522</v>
      </c>
      <c r="O169" s="421">
        <f>DelivOIL!$C78*DelivOIL!W$78^5/(Conv!$I$5*Conv!$D$46)/10^6 + OILTrade!$E$16</f>
        <v>3.6799545471601522</v>
      </c>
      <c r="P169" s="421">
        <f>DelivOIL!$C78*DelivOIL!X$78^5/(Conv!$I$5*Conv!$D$46)/10^6 + OILTrade!$E$16</f>
        <v>3.6799545471601522</v>
      </c>
      <c r="Q169" s="421">
        <f>DelivOIL!$C78*DelivOIL!Y$78^5/(Conv!$I$5*Conv!$D$46)/10^6 + OILTrade!$E$16</f>
        <v>3.6799545471601522</v>
      </c>
      <c r="S169" s="395"/>
      <c r="T169" s="395"/>
      <c r="U169" s="395"/>
      <c r="V169" s="395"/>
      <c r="W169" s="395"/>
      <c r="X169" s="395"/>
      <c r="Y169" s="395"/>
      <c r="Z169" s="395"/>
      <c r="AA169" s="395"/>
      <c r="AB169" s="395"/>
      <c r="AC169" s="395"/>
    </row>
    <row r="170" spans="2:29">
      <c r="B170" s="376" t="str">
        <f>Technologies!B265</f>
        <v>*</v>
      </c>
      <c r="C170" s="376" t="str">
        <f>Technologies!C265</f>
        <v>XPRESDSLR3</v>
      </c>
      <c r="D170" s="376" t="str">
        <f>Technologies!D265</f>
        <v>Delivery of Pipeline Traded RESDSL from R3</v>
      </c>
      <c r="E170" s="415" t="str">
        <f>Commodities!C119</f>
        <v>DSHR3</v>
      </c>
      <c r="F170" s="415" t="str">
        <f>Commodities!C87</f>
        <v>RESDSL</v>
      </c>
      <c r="G170" s="422">
        <v>1</v>
      </c>
      <c r="H170" s="421">
        <f>DelivOIL!$C80*DelivOIL!P$78^5/(Conv!$I$5*Conv!$D$46)/10^6 + OILTrade!$E$16</f>
        <v>3.6587024777254236</v>
      </c>
      <c r="I170" s="421">
        <f>DelivOIL!$C80*DelivOIL!Q$78^5/(Conv!$I$5*Conv!$D$46)/10^6 + OILTrade!$E$16</f>
        <v>3.6405438497641418</v>
      </c>
      <c r="J170" s="421">
        <f>DelivOIL!$C80*DelivOIL!R$78^5/(Conv!$I$5*Conv!$D$46)/10^6 + OILTrade!$E$16</f>
        <v>3.818316361941227</v>
      </c>
      <c r="K170" s="421">
        <f>DelivOIL!$C80*DelivOIL!S$78^5/(Conv!$I$5*Conv!$D$46)/10^6 + OILTrade!$E$16</f>
        <v>4.5541079969235243</v>
      </c>
      <c r="L170" s="421">
        <f>DelivOIL!$C80*DelivOIL!T$78^5/(Conv!$I$5*Conv!$D$46)/10^6 + OILTrade!$E$16</f>
        <v>4.194900105098915</v>
      </c>
      <c r="M170" s="421">
        <f>DelivOIL!$C80*DelivOIL!U$78^5/(Conv!$I$5*Conv!$D$46)/10^6 + OILTrade!$E$16</f>
        <v>3.7428186997398325</v>
      </c>
      <c r="N170" s="421">
        <f>DelivOIL!$C80*DelivOIL!V$78^5/(Conv!$I$5*Conv!$D$46)/10^6 + OILTrade!$E$16</f>
        <v>3.7428186997398325</v>
      </c>
      <c r="O170" s="421">
        <f>DelivOIL!$C80*DelivOIL!W$78^5/(Conv!$I$5*Conv!$D$46)/10^6 + OILTrade!$E$16</f>
        <v>3.7428186997398325</v>
      </c>
      <c r="P170" s="421">
        <f>DelivOIL!$C80*DelivOIL!X$78^5/(Conv!$I$5*Conv!$D$46)/10^6 + OILTrade!$E$16</f>
        <v>3.7428186997398325</v>
      </c>
      <c r="Q170" s="421">
        <f>DelivOIL!$C80*DelivOIL!Y$78^5/(Conv!$I$5*Conv!$D$46)/10^6 + OILTrade!$E$16</f>
        <v>3.7428186997398325</v>
      </c>
      <c r="S170" s="395"/>
      <c r="T170" s="395"/>
      <c r="U170" s="395"/>
      <c r="V170" s="395"/>
      <c r="W170" s="395"/>
      <c r="X170" s="395"/>
      <c r="Y170" s="395"/>
      <c r="Z170" s="395"/>
      <c r="AA170" s="395"/>
      <c r="AB170" s="395"/>
      <c r="AC170" s="395"/>
    </row>
    <row r="171" spans="2:29">
      <c r="B171" s="376" t="str">
        <f>Technologies!B266</f>
        <v>*</v>
      </c>
      <c r="C171" s="376" t="str">
        <f>Technologies!C266</f>
        <v>XPCOMDSLR3</v>
      </c>
      <c r="D171" s="376" t="str">
        <f>Technologies!D266</f>
        <v>Delivery of Pipeline Traded COMDSL from R3</v>
      </c>
      <c r="E171" s="415" t="str">
        <f>E170</f>
        <v>DSHR3</v>
      </c>
      <c r="F171" s="415" t="str">
        <f>Commodities!C88</f>
        <v>COMDSL</v>
      </c>
      <c r="G171" s="422">
        <v>1</v>
      </c>
      <c r="H171" s="421">
        <f>DelivOIL!$C81*DelivOIL!P$78^5/(Conv!$I$5*Conv!$D$46)/10^6 + OILTrade!$E$16</f>
        <v>1.6201179134161774</v>
      </c>
      <c r="I171" s="421">
        <f>DelivOIL!$C81*DelivOIL!Q$78^5/(Conv!$I$5*Conv!$D$46)/10^6 + OILTrade!$E$16</f>
        <v>1.6127319635509734</v>
      </c>
      <c r="J171" s="421">
        <f>DelivOIL!$C81*DelivOIL!R$78^5/(Conv!$I$5*Conv!$D$46)/10^6 + OILTrade!$E$16</f>
        <v>1.685040227432526</v>
      </c>
      <c r="K171" s="421">
        <f>DelivOIL!$C81*DelivOIL!S$78^5/(Conv!$I$5*Conv!$D$46)/10^6 + OILTrade!$E$16</f>
        <v>1.9843205551535004</v>
      </c>
      <c r="L171" s="421">
        <f>DelivOIL!$C81*DelivOIL!T$78^5/(Conv!$I$5*Conv!$D$46)/10^6 + OILTrade!$E$16</f>
        <v>1.8382141705819826</v>
      </c>
      <c r="M171" s="421">
        <f>DelivOIL!$C81*DelivOIL!U$78^5/(Conv!$I$5*Conv!$D$46)/10^6 + OILTrade!$E$16</f>
        <v>1.6543318529260067</v>
      </c>
      <c r="N171" s="421">
        <f>DelivOIL!$C81*DelivOIL!V$78^5/(Conv!$I$5*Conv!$D$46)/10^6 + OILTrade!$E$16</f>
        <v>1.6543318529260067</v>
      </c>
      <c r="O171" s="421">
        <f>DelivOIL!$C81*DelivOIL!W$78^5/(Conv!$I$5*Conv!$D$46)/10^6 + OILTrade!$E$16</f>
        <v>1.6543318529260067</v>
      </c>
      <c r="P171" s="421">
        <f>DelivOIL!$C81*DelivOIL!X$78^5/(Conv!$I$5*Conv!$D$46)/10^6 + OILTrade!$E$16</f>
        <v>1.6543318529260067</v>
      </c>
      <c r="Q171" s="421">
        <f>DelivOIL!$C81*DelivOIL!Y$78^5/(Conv!$I$5*Conv!$D$46)/10^6 + OILTrade!$E$16</f>
        <v>1.6543318529260067</v>
      </c>
      <c r="S171" s="395"/>
      <c r="T171" s="395"/>
      <c r="U171" s="395"/>
      <c r="V171" s="395"/>
      <c r="W171" s="395"/>
      <c r="X171" s="395"/>
      <c r="Y171" s="395"/>
      <c r="Z171" s="395"/>
      <c r="AA171" s="395"/>
      <c r="AB171" s="395"/>
      <c r="AC171" s="395"/>
    </row>
    <row r="172" spans="2:29">
      <c r="B172" s="376" t="str">
        <f>Technologies!B267</f>
        <v>*</v>
      </c>
      <c r="C172" s="376" t="str">
        <f>Technologies!C267</f>
        <v>XPINDDSLR3</v>
      </c>
      <c r="D172" s="376" t="str">
        <f>Technologies!D267</f>
        <v>Delivery of Pipeline Traded INDDSL from R3</v>
      </c>
      <c r="E172" s="415" t="str">
        <f>E171</f>
        <v>DSHR3</v>
      </c>
      <c r="F172" s="415" t="str">
        <f>Commodities!C89</f>
        <v>INDDSL</v>
      </c>
      <c r="G172" s="422">
        <v>1</v>
      </c>
      <c r="H172" s="421">
        <f>DelivOIL!$C82*DelivOIL!P$78^5/(Conv!$I$5*Conv!$D$46)/10^6 + OILTrade!$E$16</f>
        <v>1.7223880420604547</v>
      </c>
      <c r="I172" s="421">
        <f>DelivOIL!$C82*DelivOIL!Q$78^5/(Conv!$I$5*Conv!$D$46)/10^6 + OILTrade!$E$16</f>
        <v>1.7144616568392603</v>
      </c>
      <c r="J172" s="421">
        <f>DelivOIL!$C82*DelivOIL!R$78^5/(Conv!$I$5*Conv!$D$46)/10^6 + OILTrade!$E$16</f>
        <v>1.7920607692975117</v>
      </c>
      <c r="K172" s="421">
        <f>DelivOIL!$C82*DelivOIL!S$78^5/(Conv!$I$5*Conv!$D$46)/10^6 + OILTrade!$E$16</f>
        <v>2.1132396575834358</v>
      </c>
      <c r="L172" s="421">
        <f>DelivOIL!$C82*DelivOIL!T$78^5/(Conv!$I$5*Conv!$D$46)/10^6 + OILTrade!$E$16</f>
        <v>1.9564425619457091</v>
      </c>
      <c r="M172" s="421">
        <f>DelivOIL!$C82*DelivOIL!U$78^5/(Conv!$I$5*Conv!$D$46)/10^6 + OILTrade!$E$16</f>
        <v>1.759105440558808</v>
      </c>
      <c r="N172" s="421">
        <f>DelivOIL!$C82*DelivOIL!V$78^5/(Conv!$I$5*Conv!$D$46)/10^6 + OILTrade!$E$16</f>
        <v>1.759105440558808</v>
      </c>
      <c r="O172" s="421">
        <f>DelivOIL!$C82*DelivOIL!W$78^5/(Conv!$I$5*Conv!$D$46)/10^6 + OILTrade!$E$16</f>
        <v>1.759105440558808</v>
      </c>
      <c r="P172" s="421">
        <f>DelivOIL!$C82*DelivOIL!X$78^5/(Conv!$I$5*Conv!$D$46)/10^6 + OILTrade!$E$16</f>
        <v>1.759105440558808</v>
      </c>
      <c r="Q172" s="421">
        <f>DelivOIL!$C82*DelivOIL!Y$78^5/(Conv!$I$5*Conv!$D$46)/10^6 + OILTrade!$E$16</f>
        <v>1.759105440558808</v>
      </c>
      <c r="S172" s="395"/>
      <c r="T172" s="395"/>
      <c r="U172" s="395"/>
      <c r="V172" s="395"/>
      <c r="W172" s="395"/>
      <c r="X172" s="395"/>
      <c r="Y172" s="395"/>
      <c r="Z172" s="395"/>
      <c r="AA172" s="395"/>
      <c r="AB172" s="395"/>
      <c r="AC172" s="395"/>
    </row>
    <row r="173" spans="2:29">
      <c r="B173" s="376" t="str">
        <f>Technologies!B268</f>
        <v>*</v>
      </c>
      <c r="C173" s="376" t="str">
        <f>Technologies!C268</f>
        <v>XPELCDSLR3</v>
      </c>
      <c r="D173" s="376" t="str">
        <f>Technologies!D268</f>
        <v>Delivery of Pipeline Traded ELCDSL from R3</v>
      </c>
      <c r="E173" s="415" t="str">
        <f>E172</f>
        <v>DSHR3</v>
      </c>
      <c r="F173" s="415" t="str">
        <f>Commodities!C90</f>
        <v>ELCDSL</v>
      </c>
      <c r="G173" s="422">
        <v>1</v>
      </c>
      <c r="H173" s="421">
        <f>DelivOIL!$C83*DelivOIL!P$78^5/(Conv!$I$5*Conv!$D$46)/10^6 + OILTrade!$E$16</f>
        <v>0.74059480707540037</v>
      </c>
      <c r="I173" s="421">
        <f>DelivOIL!$C83*DelivOIL!Q$78^5/(Conv!$I$5*Conv!$D$46)/10^6 + OILTrade!$E$16</f>
        <v>0.73785660127171493</v>
      </c>
      <c r="J173" s="421">
        <f>DelivOIL!$C83*DelivOIL!R$78^5/(Conv!$I$5*Conv!$D$46)/10^6 + OILTrade!$E$16</f>
        <v>0.76466356739365637</v>
      </c>
      <c r="K173" s="421">
        <f>DelivOIL!$C83*DelivOIL!S$78^5/(Conv!$I$5*Conv!$D$46)/10^6 + OILTrade!$E$16</f>
        <v>0.87561627425606647</v>
      </c>
      <c r="L173" s="421">
        <f>DelivOIL!$C83*DelivOIL!T$78^5/(Conv!$I$5*Conv!$D$46)/10^6 + OILTrade!$E$16</f>
        <v>0.82145000485394293</v>
      </c>
      <c r="M173" s="421">
        <f>DelivOIL!$C83*DelivOIL!U$78^5/(Conv!$I$5*Conv!$D$46)/10^6 + OILTrade!$E$16</f>
        <v>0.75327899928392239</v>
      </c>
      <c r="N173" s="421">
        <f>DelivOIL!$C83*DelivOIL!V$78^5/(Conv!$I$5*Conv!$D$46)/10^6 + OILTrade!$E$16</f>
        <v>0.75327899928392239</v>
      </c>
      <c r="O173" s="421">
        <f>DelivOIL!$C83*DelivOIL!W$78^5/(Conv!$I$5*Conv!$D$46)/10^6 + OILTrade!$E$16</f>
        <v>0.75327899928392239</v>
      </c>
      <c r="P173" s="421">
        <f>DelivOIL!$C83*DelivOIL!X$78^5/(Conv!$I$5*Conv!$D$46)/10^6 + OILTrade!$E$16</f>
        <v>0.75327899928392239</v>
      </c>
      <c r="Q173" s="421">
        <f>DelivOIL!$C83*DelivOIL!Y$78^5/(Conv!$I$5*Conv!$D$46)/10^6 + OILTrade!$E$16</f>
        <v>0.75327899928392239</v>
      </c>
      <c r="S173" s="395"/>
      <c r="T173" s="395"/>
      <c r="U173" s="395"/>
      <c r="V173" s="395"/>
      <c r="W173" s="395"/>
      <c r="X173" s="395"/>
      <c r="Y173" s="395"/>
      <c r="Z173" s="395"/>
      <c r="AA173" s="395"/>
      <c r="AB173" s="395"/>
      <c r="AC173" s="395"/>
    </row>
    <row r="174" spans="2:29">
      <c r="B174" s="376" t="str">
        <f>Technologies!B269</f>
        <v>*</v>
      </c>
      <c r="C174" s="376" t="str">
        <f>Technologies!C269</f>
        <v>XPTRDSLLR3</v>
      </c>
      <c r="D174" s="376" t="str">
        <f>Technologies!D269</f>
        <v>Delivery of Pipeline Traded TRDSLL from R3</v>
      </c>
      <c r="E174" s="415" t="str">
        <f>Commodities!C120</f>
        <v>DSLR3</v>
      </c>
      <c r="F174" s="415" t="str">
        <f>Commodities!C91</f>
        <v>TRDSLL</v>
      </c>
      <c r="G174" s="422">
        <v>1</v>
      </c>
      <c r="H174" s="421">
        <f>DelivOIL!$C84*DelivOIL!P$78^5/(Conv!$I$5*Conv!$D$46)/10^6 + OILTrade!$E$16</f>
        <v>4.4427734639982104</v>
      </c>
      <c r="I174" s="421">
        <f>DelivOIL!$C84*DelivOIL!Q$78^5/(Conv!$I$5*Conv!$D$46)/10^6 + OILTrade!$E$16</f>
        <v>4.4204714983076672</v>
      </c>
      <c r="J174" s="421">
        <f>DelivOIL!$C84*DelivOIL!R$78^5/(Conv!$I$5*Conv!$D$46)/10^6 + OILTrade!$E$16</f>
        <v>4.6388071829061115</v>
      </c>
      <c r="K174" s="421">
        <f>DelivOIL!$C84*DelivOIL!S$78^5/(Conv!$I$5*Conv!$D$46)/10^6 + OILTrade!$E$16</f>
        <v>5.5424877822196859</v>
      </c>
      <c r="L174" s="421">
        <f>DelivOIL!$C84*DelivOIL!T$78^5/(Conv!$I$5*Conv!$D$46)/10^6 + OILTrade!$E$16</f>
        <v>5.1013177722208125</v>
      </c>
      <c r="M174" s="421">
        <f>DelivOIL!$C84*DelivOIL!U$78^5/(Conv!$I$5*Conv!$D$46)/10^6 + OILTrade!$E$16</f>
        <v>4.5460828715913042</v>
      </c>
      <c r="N174" s="421">
        <f>DelivOIL!$C84*DelivOIL!V$78^5/(Conv!$I$5*Conv!$D$46)/10^6 + OILTrade!$E$16</f>
        <v>4.5460828715913042</v>
      </c>
      <c r="O174" s="421">
        <f>DelivOIL!$C84*DelivOIL!W$78^5/(Conv!$I$5*Conv!$D$46)/10^6 + OILTrade!$E$16</f>
        <v>4.5460828715913042</v>
      </c>
      <c r="P174" s="421">
        <f>DelivOIL!$C84*DelivOIL!X$78^5/(Conv!$I$5*Conv!$D$46)/10^6 + OILTrade!$E$16</f>
        <v>4.5460828715913042</v>
      </c>
      <c r="Q174" s="421">
        <f>DelivOIL!$C84*DelivOIL!Y$78^5/(Conv!$I$5*Conv!$D$46)/10^6 + OILTrade!$E$16</f>
        <v>4.5460828715913042</v>
      </c>
      <c r="S174" s="395"/>
      <c r="T174" s="395"/>
      <c r="U174" s="395"/>
      <c r="V174" s="395"/>
      <c r="W174" s="395"/>
      <c r="X174" s="395"/>
      <c r="Y174" s="395"/>
      <c r="Z174" s="395"/>
      <c r="AA174" s="395"/>
      <c r="AB174" s="395"/>
      <c r="AC174" s="395"/>
    </row>
    <row r="175" spans="2:29">
      <c r="B175" s="376" t="str">
        <f>Technologies!B270</f>
        <v>*</v>
      </c>
      <c r="C175" s="376" t="str">
        <f>Technologies!C270</f>
        <v>XPTRDSLUR3</v>
      </c>
      <c r="D175" s="376" t="str">
        <f>Technologies!D270</f>
        <v>Delivery of Pipeline Traded TRDSLU from R3</v>
      </c>
      <c r="E175" s="415" t="str">
        <f>Commodities!C121</f>
        <v>DSUR3</v>
      </c>
      <c r="F175" s="415" t="str">
        <f>Commodities!C92</f>
        <v>TRDSLU</v>
      </c>
      <c r="G175" s="422">
        <v>1</v>
      </c>
      <c r="H175" s="421">
        <f>DelivOIL!$C85*DelivOIL!P$78^5/(Conv!$I$5*Conv!$D$46)/10^6 + OILTrade!$E$16</f>
        <v>3.8018806578274109</v>
      </c>
      <c r="I175" s="421">
        <f>DelivOIL!$C85*DelivOIL!Q$78^5/(Conv!$I$5*Conv!$D$46)/10^6 + OILTrade!$E$16</f>
        <v>3.7829654203677423</v>
      </c>
      <c r="J175" s="421">
        <f>DelivOIL!$C85*DelivOIL!R$78^5/(Conv!$I$5*Conv!$D$46)/10^6 + OILTrade!$E$16</f>
        <v>3.9681451205522058</v>
      </c>
      <c r="K175" s="421">
        <f>DelivOIL!$C85*DelivOIL!S$78^5/(Conv!$I$5*Conv!$D$46)/10^6 + OILTrade!$E$16</f>
        <v>4.7345947403254325</v>
      </c>
      <c r="L175" s="421">
        <f>DelivOIL!$C85*DelivOIL!T$78^5/(Conv!$I$5*Conv!$D$46)/10^6 + OILTrade!$E$16</f>
        <v>4.360419853008132</v>
      </c>
      <c r="M175" s="421">
        <f>DelivOIL!$C85*DelivOIL!U$78^5/(Conv!$I$5*Conv!$D$46)/10^6 + OILTrade!$E$16</f>
        <v>3.8895017224257535</v>
      </c>
      <c r="N175" s="421">
        <f>DelivOIL!$C85*DelivOIL!V$78^5/(Conv!$I$5*Conv!$D$46)/10^6 + OILTrade!$E$16</f>
        <v>3.8895017224257535</v>
      </c>
      <c r="O175" s="421">
        <f>DelivOIL!$C85*DelivOIL!W$78^5/(Conv!$I$5*Conv!$D$46)/10^6 + OILTrade!$E$16</f>
        <v>3.8895017224257535</v>
      </c>
      <c r="P175" s="421">
        <f>DelivOIL!$C85*DelivOIL!X$78^5/(Conv!$I$5*Conv!$D$46)/10^6 + OILTrade!$E$16</f>
        <v>3.8895017224257535</v>
      </c>
      <c r="Q175" s="421">
        <f>DelivOIL!$C85*DelivOIL!Y$78^5/(Conv!$I$5*Conv!$D$46)/10^6 + OILTrade!$E$16</f>
        <v>3.8895017224257535</v>
      </c>
      <c r="S175" s="395"/>
      <c r="T175" s="395"/>
      <c r="U175" s="395"/>
      <c r="V175" s="395"/>
      <c r="W175" s="395"/>
      <c r="X175" s="395"/>
      <c r="Y175" s="395"/>
      <c r="Z175" s="395"/>
      <c r="AA175" s="395"/>
      <c r="AB175" s="395"/>
      <c r="AC175" s="395"/>
    </row>
    <row r="176" spans="2:29">
      <c r="B176" s="376" t="str">
        <f>Technologies!B271</f>
        <v>*</v>
      </c>
      <c r="C176" s="376" t="str">
        <f>Technologies!C271</f>
        <v>XPTRNJTFR3</v>
      </c>
      <c r="D176" s="376" t="str">
        <f>Technologies!D271</f>
        <v>Delivery of Pipeline Traded TRNJTF from R3</v>
      </c>
      <c r="E176" s="415" t="str">
        <f>Commodities!C122</f>
        <v>JTFR3</v>
      </c>
      <c r="F176" s="415" t="str">
        <f>Commodities!C93</f>
        <v>TRNJTF</v>
      </c>
      <c r="G176" s="422">
        <v>1</v>
      </c>
      <c r="H176" s="421">
        <f>DelivOIL!$C86*DelivOIL!P$78^5/(Conv!$I$5*Conv!$D$46)/10^6 + OILTrade!$E$16</f>
        <v>0.91104502148252731</v>
      </c>
      <c r="I176" s="421">
        <f>DelivOIL!$C86*DelivOIL!Q$78^5/(Conv!$I$5*Conv!$D$46)/10^6 + OILTrade!$E$16</f>
        <v>0.90740609008552431</v>
      </c>
      <c r="J176" s="421">
        <f>DelivOIL!$C86*DelivOIL!R$78^5/(Conv!$I$5*Conv!$D$46)/10^6 + OILTrade!$E$16</f>
        <v>0.94303113716863063</v>
      </c>
      <c r="K176" s="421">
        <f>DelivOIL!$C86*DelivOIL!S$78^5/(Conv!$I$5*Conv!$D$46)/10^6 + OILTrade!$E$16</f>
        <v>1.0904814449726228</v>
      </c>
      <c r="L176" s="421">
        <f>DelivOIL!$C86*DelivOIL!T$78^5/(Conv!$I$5*Conv!$D$46)/10^6 + OILTrade!$E$16</f>
        <v>1.0184973237934849</v>
      </c>
      <c r="M176" s="421">
        <f>DelivOIL!$C86*DelivOIL!U$78^5/(Conv!$I$5*Conv!$D$46)/10^6 + OILTrade!$E$16</f>
        <v>0.92790164533858943</v>
      </c>
      <c r="N176" s="421">
        <f>DelivOIL!$C86*DelivOIL!V$78^5/(Conv!$I$5*Conv!$D$46)/10^6 + OILTrade!$E$16</f>
        <v>0.92790164533858943</v>
      </c>
      <c r="O176" s="421">
        <f>DelivOIL!$C86*DelivOIL!W$78^5/(Conv!$I$5*Conv!$D$46)/10^6 + OILTrade!$E$16</f>
        <v>0.92790164533858943</v>
      </c>
      <c r="P176" s="421">
        <f>DelivOIL!$C86*DelivOIL!X$78^5/(Conv!$I$5*Conv!$D$46)/10^6 + OILTrade!$E$16</f>
        <v>0.92790164533858943</v>
      </c>
      <c r="Q176" s="421">
        <f>DelivOIL!$C86*DelivOIL!Y$78^5/(Conv!$I$5*Conv!$D$46)/10^6 + OILTrade!$E$16</f>
        <v>0.92790164533858943</v>
      </c>
      <c r="S176" s="395"/>
      <c r="T176" s="395"/>
      <c r="U176" s="395"/>
      <c r="V176" s="395"/>
      <c r="W176" s="395"/>
      <c r="X176" s="395"/>
      <c r="Y176" s="395"/>
      <c r="Z176" s="395"/>
      <c r="AA176" s="395"/>
      <c r="AB176" s="395"/>
      <c r="AC176" s="395"/>
    </row>
    <row r="177" spans="2:29">
      <c r="B177" s="376" t="str">
        <f>Technologies!B272</f>
        <v>*</v>
      </c>
      <c r="C177" s="376" t="str">
        <f>Technologies!C272</f>
        <v>XPRESKERR3</v>
      </c>
      <c r="D177" s="376" t="str">
        <f>Technologies!D272</f>
        <v>Delivery of Pipeline Traded RESKER from R3</v>
      </c>
      <c r="E177" s="415" t="str">
        <f>Commodities!C123</f>
        <v>KERR3</v>
      </c>
      <c r="F177" s="415" t="str">
        <f>Commodities!C94</f>
        <v>RESKER</v>
      </c>
      <c r="G177" s="422">
        <v>1</v>
      </c>
      <c r="H177" s="421">
        <f>DelivOIL!$C87*DelivOIL!P$78^5/(Conv!$I$5*Conv!$D$46)/10^6 + OILTrade!$E$16</f>
        <v>2.3360088139261128</v>
      </c>
      <c r="I177" s="421">
        <f>DelivOIL!$C87*DelivOIL!Q$78^5/(Conv!$I$5*Conv!$D$46)/10^6 + OILTrade!$E$16</f>
        <v>2.324839816568975</v>
      </c>
      <c r="J177" s="421">
        <f>DelivOIL!$C87*DelivOIL!R$78^5/(Conv!$I$5*Conv!$D$46)/10^6 + OILTrade!$E$16</f>
        <v>2.4341840204874203</v>
      </c>
      <c r="K177" s="421">
        <f>DelivOIL!$C87*DelivOIL!S$78^5/(Conv!$I$5*Conv!$D$46)/10^6 + OILTrade!$E$16</f>
        <v>2.8867542721630399</v>
      </c>
      <c r="L177" s="421">
        <f>DelivOIL!$C87*DelivOIL!T$78^5/(Conv!$I$5*Conv!$D$46)/10^6 + OILTrade!$E$16</f>
        <v>2.6658129101280625</v>
      </c>
      <c r="M177" s="421">
        <f>DelivOIL!$C87*DelivOIL!U$78^5/(Conv!$I$5*Conv!$D$46)/10^6 + OILTrade!$E$16</f>
        <v>2.387746966355611</v>
      </c>
      <c r="N177" s="421">
        <f>DelivOIL!$C87*DelivOIL!V$78^5/(Conv!$I$5*Conv!$D$46)/10^6 + OILTrade!$E$16</f>
        <v>2.387746966355611</v>
      </c>
      <c r="O177" s="421">
        <f>DelivOIL!$C87*DelivOIL!W$78^5/(Conv!$I$5*Conv!$D$46)/10^6 + OILTrade!$E$16</f>
        <v>2.387746966355611</v>
      </c>
      <c r="P177" s="421">
        <f>DelivOIL!$C87*DelivOIL!X$78^5/(Conv!$I$5*Conv!$D$46)/10^6 + OILTrade!$E$16</f>
        <v>2.387746966355611</v>
      </c>
      <c r="Q177" s="421">
        <f>DelivOIL!$C87*DelivOIL!Y$78^5/(Conv!$I$5*Conv!$D$46)/10^6 + OILTrade!$E$16</f>
        <v>2.387746966355611</v>
      </c>
      <c r="S177" s="395"/>
      <c r="T177" s="395"/>
      <c r="U177" s="395"/>
      <c r="V177" s="395"/>
      <c r="W177" s="395"/>
      <c r="X177" s="395"/>
      <c r="Y177" s="395"/>
      <c r="Z177" s="395"/>
      <c r="AA177" s="395"/>
      <c r="AB177" s="395"/>
      <c r="AC177" s="395"/>
    </row>
    <row r="178" spans="2:29">
      <c r="B178" s="376" t="str">
        <f>Technologies!B273</f>
        <v>*</v>
      </c>
      <c r="C178" s="376" t="str">
        <f>Technologies!C273</f>
        <v>XPCOMKERR3</v>
      </c>
      <c r="D178" s="376" t="str">
        <f>Technologies!D273</f>
        <v>Delivery of Pipeline Traded COMKER from R3</v>
      </c>
      <c r="E178" s="415" t="str">
        <f>E177</f>
        <v>KERR3</v>
      </c>
      <c r="F178" s="415" t="str">
        <f>Commodities!C95</f>
        <v>COMKER</v>
      </c>
      <c r="G178" s="422">
        <v>1</v>
      </c>
      <c r="H178" s="421">
        <f>DelivOIL!$C88*DelivOIL!P$78^5/(Conv!$I$5*Conv!$D$46)/10^6 + OILTrade!$E$16</f>
        <v>2.0905605051798508</v>
      </c>
      <c r="I178" s="421">
        <f>DelivOIL!$C88*DelivOIL!Q$78^5/(Conv!$I$5*Conv!$D$46)/10^6 + OILTrade!$E$16</f>
        <v>2.0806885526770902</v>
      </c>
      <c r="J178" s="421">
        <f>DelivOIL!$C88*DelivOIL!R$78^5/(Conv!$I$5*Conv!$D$46)/10^6 + OILTrade!$E$16</f>
        <v>2.1773347200114577</v>
      </c>
      <c r="K178" s="421">
        <f>DelivOIL!$C88*DelivOIL!S$78^5/(Conv!$I$5*Conv!$D$46)/10^6 + OILTrade!$E$16</f>
        <v>2.5773484263311994</v>
      </c>
      <c r="L178" s="421">
        <f>DelivOIL!$C88*DelivOIL!T$78^5/(Conv!$I$5*Conv!$D$46)/10^6 + OILTrade!$E$16</f>
        <v>2.3820647708551226</v>
      </c>
      <c r="M178" s="421">
        <f>DelivOIL!$C88*DelivOIL!U$78^5/(Conv!$I$5*Conv!$D$46)/10^6 + OILTrade!$E$16</f>
        <v>2.1362903560368904</v>
      </c>
      <c r="N178" s="421">
        <f>DelivOIL!$C88*DelivOIL!V$78^5/(Conv!$I$5*Conv!$D$46)/10^6 + OILTrade!$E$16</f>
        <v>2.1362903560368904</v>
      </c>
      <c r="O178" s="421">
        <f>DelivOIL!$C88*DelivOIL!W$78^5/(Conv!$I$5*Conv!$D$46)/10^6 + OILTrade!$E$16</f>
        <v>2.1362903560368904</v>
      </c>
      <c r="P178" s="421">
        <f>DelivOIL!$C88*DelivOIL!X$78^5/(Conv!$I$5*Conv!$D$46)/10^6 + OILTrade!$E$16</f>
        <v>2.1362903560368904</v>
      </c>
      <c r="Q178" s="421">
        <f>DelivOIL!$C88*DelivOIL!Y$78^5/(Conv!$I$5*Conv!$D$46)/10^6 + OILTrade!$E$16</f>
        <v>2.1362903560368904</v>
      </c>
      <c r="S178" s="395"/>
      <c r="T178" s="395"/>
      <c r="U178" s="395"/>
      <c r="V178" s="395"/>
      <c r="W178" s="395"/>
      <c r="X178" s="395"/>
      <c r="Y178" s="395"/>
      <c r="Z178" s="395"/>
      <c r="AA178" s="395"/>
      <c r="AB178" s="395"/>
      <c r="AC178" s="395"/>
    </row>
    <row r="179" spans="2:29">
      <c r="B179" s="376" t="str">
        <f>Technologies!B274</f>
        <v>*</v>
      </c>
      <c r="C179" s="376" t="str">
        <f>Technologies!C274</f>
        <v>XPINDKERR3</v>
      </c>
      <c r="D179" s="376" t="str">
        <f>Technologies!D274</f>
        <v>Delivery of Pipeline Traded INDKER from R3</v>
      </c>
      <c r="E179" s="415" t="str">
        <f>E178</f>
        <v>KERR3</v>
      </c>
      <c r="F179" s="415" t="str">
        <f>Commodities!C96</f>
        <v>INDKER</v>
      </c>
      <c r="G179" s="422">
        <v>1</v>
      </c>
      <c r="H179" s="421">
        <f>DelivOIL!$C89*DelivOIL!P$78^5/(Conv!$I$5*Conv!$D$46)/10^6 + OILTrade!$E$16</f>
        <v>1.3814876132462</v>
      </c>
      <c r="I179" s="421">
        <f>DelivOIL!$C89*DelivOIL!Q$78^5/(Conv!$I$5*Conv!$D$46)/10^6 + OILTrade!$E$16</f>
        <v>1.3753626792116402</v>
      </c>
      <c r="J179" s="421">
        <f>DelivOIL!$C89*DelivOIL!R$78^5/(Conv!$I$5*Conv!$D$46)/10^6 + OILTrade!$E$16</f>
        <v>1.4353256297475618</v>
      </c>
      <c r="K179" s="421">
        <f>DelivOIL!$C89*DelivOIL!S$78^5/(Conv!$I$5*Conv!$D$46)/10^6 + OILTrade!$E$16</f>
        <v>1.683509316150321</v>
      </c>
      <c r="L179" s="421">
        <f>DelivOIL!$C89*DelivOIL!T$78^5/(Conv!$I$5*Conv!$D$46)/10^6 + OILTrade!$E$16</f>
        <v>1.5623479240666236</v>
      </c>
      <c r="M179" s="421">
        <f>DelivOIL!$C89*DelivOIL!U$78^5/(Conv!$I$5*Conv!$D$46)/10^6 + OILTrade!$E$16</f>
        <v>1.4098601484494724</v>
      </c>
      <c r="N179" s="421">
        <f>DelivOIL!$C89*DelivOIL!V$78^5/(Conv!$I$5*Conv!$D$46)/10^6 + OILTrade!$E$16</f>
        <v>1.4098601484494724</v>
      </c>
      <c r="O179" s="421">
        <f>DelivOIL!$C89*DelivOIL!W$78^5/(Conv!$I$5*Conv!$D$46)/10^6 + OILTrade!$E$16</f>
        <v>1.4098601484494724</v>
      </c>
      <c r="P179" s="421">
        <f>DelivOIL!$C89*DelivOIL!X$78^5/(Conv!$I$5*Conv!$D$46)/10^6 + OILTrade!$E$16</f>
        <v>1.4098601484494724</v>
      </c>
      <c r="Q179" s="421">
        <f>DelivOIL!$C89*DelivOIL!Y$78^5/(Conv!$I$5*Conv!$D$46)/10^6 + OILTrade!$E$16</f>
        <v>1.4098601484494724</v>
      </c>
      <c r="S179" s="395"/>
      <c r="T179" s="395"/>
      <c r="U179" s="395"/>
      <c r="V179" s="395"/>
      <c r="W179" s="395"/>
      <c r="X179" s="395"/>
      <c r="Y179" s="395"/>
      <c r="Z179" s="395"/>
      <c r="AA179" s="395"/>
      <c r="AB179" s="395"/>
      <c r="AC179" s="395"/>
    </row>
    <row r="180" spans="2:29">
      <c r="B180" s="376" t="str">
        <f>Technologies!B275</f>
        <v>*</v>
      </c>
      <c r="C180" s="376" t="str">
        <f>Technologies!C275</f>
        <v>XPRESLPGR3</v>
      </c>
      <c r="D180" s="376" t="str">
        <f>Technologies!D275</f>
        <v>Delivery of Pipeline Traded RESLPG from R3</v>
      </c>
      <c r="E180" s="415" t="str">
        <f>Commodities!C124</f>
        <v>LPGR3</v>
      </c>
      <c r="F180" s="415" t="str">
        <f>Commodities!C97</f>
        <v>RESLPG</v>
      </c>
      <c r="G180" s="422">
        <v>1</v>
      </c>
      <c r="H180" s="421">
        <f>DelivOIL!$C90*DelivOIL!P$78^5/(Conv!$I$5*Conv!$D$46)/10^6 + OILTrade!$E$16</f>
        <v>6.7131703199011481</v>
      </c>
      <c r="I180" s="421">
        <f>DelivOIL!$C90*DelivOIL!Q$78^5/(Conv!$I$5*Conv!$D$46)/10^6 + OILTrade!$E$16</f>
        <v>6.6788706893076153</v>
      </c>
      <c r="J180" s="421">
        <f>DelivOIL!$C90*DelivOIL!R$78^5/(Conv!$I$5*Conv!$D$46)/10^6 + OILTrade!$E$16</f>
        <v>7.0146632123087764</v>
      </c>
      <c r="K180" s="421">
        <f>DelivOIL!$C90*DelivOIL!S$78^5/(Conv!$I$5*Conv!$D$46)/10^6 + OILTrade!$E$16</f>
        <v>8.4044918561642277</v>
      </c>
      <c r="L180" s="421">
        <f>DelivOIL!$C90*DelivOIL!T$78^5/(Conv!$I$5*Conv!$D$46)/10^6 + OILTrade!$E$16</f>
        <v>7.7259880604955224</v>
      </c>
      <c r="M180" s="421">
        <f>DelivOIL!$C90*DelivOIL!U$78^5/(Conv!$I$5*Conv!$D$46)/10^6 + OILTrade!$E$16</f>
        <v>6.8720565170394758</v>
      </c>
      <c r="N180" s="421">
        <f>DelivOIL!$C90*DelivOIL!V$78^5/(Conv!$I$5*Conv!$D$46)/10^6 + OILTrade!$E$16</f>
        <v>6.8720565170394758</v>
      </c>
      <c r="O180" s="421">
        <f>DelivOIL!$C90*DelivOIL!W$78^5/(Conv!$I$5*Conv!$D$46)/10^6 + OILTrade!$E$16</f>
        <v>6.8720565170394758</v>
      </c>
      <c r="P180" s="421">
        <f>DelivOIL!$C90*DelivOIL!X$78^5/(Conv!$I$5*Conv!$D$46)/10^6 + OILTrade!$E$16</f>
        <v>6.8720565170394758</v>
      </c>
      <c r="Q180" s="421">
        <f>DelivOIL!$C90*DelivOIL!Y$78^5/(Conv!$I$5*Conv!$D$46)/10^6 + OILTrade!$E$16</f>
        <v>6.8720565170394758</v>
      </c>
      <c r="S180" s="395"/>
      <c r="T180" s="395"/>
      <c r="U180" s="395"/>
      <c r="V180" s="395"/>
      <c r="W180" s="395"/>
      <c r="X180" s="395"/>
      <c r="Y180" s="395"/>
      <c r="Z180" s="395"/>
      <c r="AA180" s="395"/>
      <c r="AB180" s="395"/>
      <c r="AC180" s="395"/>
    </row>
    <row r="181" spans="2:29">
      <c r="B181" s="376" t="str">
        <f>Technologies!B276</f>
        <v>*</v>
      </c>
      <c r="C181" s="376" t="str">
        <f>Technologies!C276</f>
        <v>XPCOMLPGR3</v>
      </c>
      <c r="D181" s="376" t="str">
        <f>Technologies!D276</f>
        <v>Delivery of Pipeline Traded COMLPG from R3</v>
      </c>
      <c r="E181" s="415" t="str">
        <f>E180</f>
        <v>LPGR3</v>
      </c>
      <c r="F181" s="415" t="str">
        <f>Commodities!C98</f>
        <v>COMLPG</v>
      </c>
      <c r="G181" s="422">
        <v>1</v>
      </c>
      <c r="H181" s="421">
        <f>DelivOIL!$C91*DelivOIL!P$78^5/(Conv!$I$5*Conv!$D$46)/10^6 + OILTrade!$E$16</f>
        <v>2.8132694142660704</v>
      </c>
      <c r="I181" s="421">
        <f>DelivOIL!$C91*DelivOIL!Q$78^5/(Conv!$I$5*Conv!$D$46)/10^6 + OILTrade!$E$16</f>
        <v>2.7995783852476435</v>
      </c>
      <c r="J181" s="421">
        <f>DelivOIL!$C91*DelivOIL!R$78^5/(Conv!$I$5*Conv!$D$46)/10^6 + OILTrade!$E$16</f>
        <v>2.9336132158573505</v>
      </c>
      <c r="K181" s="421">
        <f>DelivOIL!$C91*DelivOIL!S$78^5/(Conv!$I$5*Conv!$D$46)/10^6 + OILTrade!$E$16</f>
        <v>3.4883767501694001</v>
      </c>
      <c r="L181" s="421">
        <f>DelivOIL!$C91*DelivOIL!T$78^5/(Conv!$I$5*Conv!$D$46)/10^6 + OILTrade!$E$16</f>
        <v>3.2175454031587827</v>
      </c>
      <c r="M181" s="421">
        <f>DelivOIL!$C91*DelivOIL!U$78^5/(Conv!$I$5*Conv!$D$46)/10^6 + OILTrade!$E$16</f>
        <v>2.8766903753086801</v>
      </c>
      <c r="N181" s="421">
        <f>DelivOIL!$C91*DelivOIL!V$78^5/(Conv!$I$5*Conv!$D$46)/10^6 + OILTrade!$E$16</f>
        <v>2.8766903753086801</v>
      </c>
      <c r="O181" s="421">
        <f>DelivOIL!$C91*DelivOIL!W$78^5/(Conv!$I$5*Conv!$D$46)/10^6 + OILTrade!$E$16</f>
        <v>2.8766903753086801</v>
      </c>
      <c r="P181" s="421">
        <f>DelivOIL!$C91*DelivOIL!X$78^5/(Conv!$I$5*Conv!$D$46)/10^6 + OILTrade!$E$16</f>
        <v>2.8766903753086801</v>
      </c>
      <c r="Q181" s="421">
        <f>DelivOIL!$C91*DelivOIL!Y$78^5/(Conv!$I$5*Conv!$D$46)/10^6 + OILTrade!$E$16</f>
        <v>2.8766903753086801</v>
      </c>
      <c r="S181" s="395"/>
      <c r="T181" s="395"/>
      <c r="U181" s="395"/>
      <c r="V181" s="395"/>
      <c r="W181" s="395"/>
      <c r="X181" s="395"/>
      <c r="Y181" s="395"/>
      <c r="Z181" s="395"/>
      <c r="AA181" s="395"/>
      <c r="AB181" s="395"/>
      <c r="AC181" s="395"/>
    </row>
    <row r="182" spans="2:29">
      <c r="B182" s="376" t="str">
        <f>Technologies!B277</f>
        <v>*</v>
      </c>
      <c r="C182" s="376" t="str">
        <f>Technologies!C277</f>
        <v>XPINDLPGR3</v>
      </c>
      <c r="D182" s="376" t="str">
        <f>Technologies!D277</f>
        <v>Delivery of Pipeline Traded INDLPG from R3</v>
      </c>
      <c r="E182" s="415" t="str">
        <f>E181</f>
        <v>LPGR3</v>
      </c>
      <c r="F182" s="415" t="str">
        <f>Commodities!C99</f>
        <v>INDLPG</v>
      </c>
      <c r="G182" s="422">
        <v>1</v>
      </c>
      <c r="H182" s="421">
        <f>DelivOIL!$C92*DelivOIL!P$78^5/(Conv!$I$5*Conv!$D$46)/10^6 + OILTrade!$E$16</f>
        <v>2.4723689854518156</v>
      </c>
      <c r="I182" s="421">
        <f>DelivOIL!$C92*DelivOIL!Q$78^5/(Conv!$I$5*Conv!$D$46)/10^6 + OILTrade!$E$16</f>
        <v>2.4604794076200243</v>
      </c>
      <c r="J182" s="421">
        <f>DelivOIL!$C92*DelivOIL!R$78^5/(Conv!$I$5*Conv!$D$46)/10^6 + OILTrade!$E$16</f>
        <v>2.5768780763074011</v>
      </c>
      <c r="K182" s="421">
        <f>DelivOIL!$C92*DelivOIL!S$78^5/(Conv!$I$5*Conv!$D$46)/10^6 + OILTrade!$E$16</f>
        <v>3.058646408736287</v>
      </c>
      <c r="L182" s="421">
        <f>DelivOIL!$C92*DelivOIL!T$78^5/(Conv!$I$5*Conv!$D$46)/10^6 + OILTrade!$E$16</f>
        <v>2.8234507652796976</v>
      </c>
      <c r="M182" s="421">
        <f>DelivOIL!$C92*DelivOIL!U$78^5/(Conv!$I$5*Conv!$D$46)/10^6 + OILTrade!$E$16</f>
        <v>2.5274450831993458</v>
      </c>
      <c r="N182" s="421">
        <f>DelivOIL!$C92*DelivOIL!V$78^5/(Conv!$I$5*Conv!$D$46)/10^6 + OILTrade!$E$16</f>
        <v>2.5274450831993458</v>
      </c>
      <c r="O182" s="421">
        <f>DelivOIL!$C92*DelivOIL!W$78^5/(Conv!$I$5*Conv!$D$46)/10^6 + OILTrade!$E$16</f>
        <v>2.5274450831993458</v>
      </c>
      <c r="P182" s="421">
        <f>DelivOIL!$C92*DelivOIL!X$78^5/(Conv!$I$5*Conv!$D$46)/10^6 + OILTrade!$E$16</f>
        <v>2.5274450831993458</v>
      </c>
      <c r="Q182" s="421">
        <f>DelivOIL!$C92*DelivOIL!Y$78^5/(Conv!$I$5*Conv!$D$46)/10^6 + OILTrade!$E$16</f>
        <v>2.5274450831993458</v>
      </c>
      <c r="S182" s="395"/>
      <c r="T182" s="395"/>
      <c r="U182" s="395"/>
      <c r="V182" s="395"/>
      <c r="W182" s="395"/>
      <c r="X182" s="395"/>
      <c r="Y182" s="395"/>
      <c r="Z182" s="395"/>
      <c r="AA182" s="395"/>
      <c r="AB182" s="395"/>
      <c r="AC182" s="395"/>
    </row>
    <row r="183" spans="2:29">
      <c r="B183" s="376" t="str">
        <f>Technologies!B278</f>
        <v>*</v>
      </c>
      <c r="C183" s="376" t="str">
        <f>Technologies!C278</f>
        <v>XPTRNLPGR3</v>
      </c>
      <c r="D183" s="376" t="str">
        <f>Technologies!D278</f>
        <v>Delivery of Pipeline Traded TRNLPG from R3</v>
      </c>
      <c r="E183" s="415" t="str">
        <f>E182</f>
        <v>LPGR3</v>
      </c>
      <c r="F183" s="415" t="str">
        <f>Commodities!C100</f>
        <v>TRNLPG</v>
      </c>
      <c r="G183" s="422">
        <v>1</v>
      </c>
      <c r="H183" s="421">
        <f>DelivOIL!$C93*DelivOIL!P$78^5/(Conv!$I$5*Conv!$D$46)/10^6 + OILTrade!$E$16</f>
        <v>4.0541469751499584</v>
      </c>
      <c r="I183" s="421">
        <f>DelivOIL!$C93*DelivOIL!Q$78^5/(Conv!$I$5*Conv!$D$46)/10^6 + OILTrade!$E$16</f>
        <v>4.0338986638121783</v>
      </c>
      <c r="J183" s="421">
        <f>DelivOIL!$C93*DelivOIL!R$78^5/(Conv!$I$5*Conv!$D$46)/10^6 + OILTrade!$E$16</f>
        <v>4.2321291238191678</v>
      </c>
      <c r="K183" s="421">
        <f>DelivOIL!$C93*DelivOIL!S$78^5/(Conv!$I$5*Conv!$D$46)/10^6 + OILTrade!$E$16</f>
        <v>5.0525951929859358</v>
      </c>
      <c r="L183" s="421">
        <f>DelivOIL!$C93*DelivOIL!T$78^5/(Conv!$I$5*Conv!$D$46)/10^6 + OILTrade!$E$16</f>
        <v>4.6520498850386538</v>
      </c>
      <c r="M183" s="421">
        <f>DelivOIL!$C93*DelivOIL!U$78^5/(Conv!$I$5*Conv!$D$46)/10^6 + OILTrade!$E$16</f>
        <v>4.1479432385866604</v>
      </c>
      <c r="N183" s="421">
        <f>DelivOIL!$C93*DelivOIL!V$78^5/(Conv!$I$5*Conv!$D$46)/10^6 + OILTrade!$E$16</f>
        <v>4.1479432385866604</v>
      </c>
      <c r="O183" s="421">
        <f>DelivOIL!$C93*DelivOIL!W$78^5/(Conv!$I$5*Conv!$D$46)/10^6 + OILTrade!$E$16</f>
        <v>4.1479432385866604</v>
      </c>
      <c r="P183" s="421">
        <f>DelivOIL!$C93*DelivOIL!X$78^5/(Conv!$I$5*Conv!$D$46)/10^6 + OILTrade!$E$16</f>
        <v>4.1479432385866604</v>
      </c>
      <c r="Q183" s="421">
        <f>DelivOIL!$C93*DelivOIL!Y$78^5/(Conv!$I$5*Conv!$D$46)/10^6 + OILTrade!$E$16</f>
        <v>4.1479432385866604</v>
      </c>
      <c r="S183" s="395"/>
      <c r="T183" s="395"/>
      <c r="U183" s="395"/>
      <c r="V183" s="395"/>
      <c r="W183" s="395"/>
      <c r="X183" s="395"/>
      <c r="Y183" s="395"/>
      <c r="Z183" s="395"/>
      <c r="AA183" s="395"/>
      <c r="AB183" s="395"/>
      <c r="AC183" s="395"/>
    </row>
    <row r="184" spans="2:29">
      <c r="B184" s="376" t="str">
        <f>Technologies!B279</f>
        <v>*</v>
      </c>
      <c r="C184" s="376" t="str">
        <f>Technologies!C279</f>
        <v>XPTRNMTHR3</v>
      </c>
      <c r="D184" s="376" t="str">
        <f>Technologies!D279</f>
        <v>Delivery of Pipeline Traded TRNMTH from R3</v>
      </c>
      <c r="E184" s="415" t="str">
        <f>Commodities!C125</f>
        <v>MTHR3</v>
      </c>
      <c r="F184" s="415" t="str">
        <f>Commodities!C101</f>
        <v>TRNMTH</v>
      </c>
      <c r="G184" s="422">
        <v>1</v>
      </c>
      <c r="H184" s="421">
        <f>DelivOIL!$C94*DelivOIL!P$78^5/(Conv!$I$5*Conv!$D$46)/10^6 + OILTrade!$E$16</f>
        <v>3.8836967607428319</v>
      </c>
      <c r="I184" s="421">
        <f>DelivOIL!$C94*DelivOIL!Q$78^5/(Conv!$I$5*Conv!$D$46)/10^6 + OILTrade!$E$16</f>
        <v>3.8643491749983703</v>
      </c>
      <c r="J184" s="421">
        <f>DelivOIL!$C94*DelivOIL!R$78^5/(Conv!$I$5*Conv!$D$46)/10^6 + OILTrade!$E$16</f>
        <v>4.0537615540441934</v>
      </c>
      <c r="K184" s="421">
        <f>DelivOIL!$C94*DelivOIL!S$78^5/(Conv!$I$5*Conv!$D$46)/10^6 + OILTrade!$E$16</f>
        <v>4.8377300222693789</v>
      </c>
      <c r="L184" s="421">
        <f>DelivOIL!$C94*DelivOIL!T$78^5/(Conv!$I$5*Conv!$D$46)/10^6 + OILTrade!$E$16</f>
        <v>4.4550025660991119</v>
      </c>
      <c r="M184" s="421">
        <f>DelivOIL!$C94*DelivOIL!U$78^5/(Conv!$I$5*Conv!$D$46)/10^6 + OILTrade!$E$16</f>
        <v>3.9733205925319934</v>
      </c>
      <c r="N184" s="421">
        <f>DelivOIL!$C94*DelivOIL!V$78^5/(Conv!$I$5*Conv!$D$46)/10^6 + OILTrade!$E$16</f>
        <v>3.9733205925319934</v>
      </c>
      <c r="O184" s="421">
        <f>DelivOIL!$C94*DelivOIL!W$78^5/(Conv!$I$5*Conv!$D$46)/10^6 + OILTrade!$E$16</f>
        <v>3.9733205925319934</v>
      </c>
      <c r="P184" s="421">
        <f>DelivOIL!$C94*DelivOIL!X$78^5/(Conv!$I$5*Conv!$D$46)/10^6 + OILTrade!$E$16</f>
        <v>3.9733205925319934</v>
      </c>
      <c r="Q184" s="421">
        <f>DelivOIL!$C94*DelivOIL!Y$78^5/(Conv!$I$5*Conv!$D$46)/10^6 + OILTrade!$E$16</f>
        <v>3.9733205925319934</v>
      </c>
      <c r="S184" s="395"/>
      <c r="T184" s="395"/>
      <c r="U184" s="395"/>
      <c r="V184" s="395"/>
      <c r="W184" s="395"/>
      <c r="X184" s="395"/>
      <c r="Y184" s="395"/>
      <c r="Z184" s="395"/>
      <c r="AA184" s="395"/>
      <c r="AB184" s="395"/>
      <c r="AC184" s="395"/>
    </row>
    <row r="185" spans="2:29">
      <c r="B185" s="376" t="str">
        <f>Technologies!B280</f>
        <v>*</v>
      </c>
      <c r="C185" s="376" t="str">
        <f>Technologies!C280</f>
        <v>XPINDPFSR3</v>
      </c>
      <c r="D185" s="376" t="str">
        <f>Technologies!D280</f>
        <v>Delivery of Pipeline Traded INDPFS from R3</v>
      </c>
      <c r="E185" s="415" t="str">
        <f>Commodities!C126</f>
        <v>PFSR3</v>
      </c>
      <c r="F185" s="415" t="str">
        <f>Commodities!C102</f>
        <v>INDPFS</v>
      </c>
      <c r="G185" s="422">
        <v>1</v>
      </c>
      <c r="H185" s="421">
        <f>DelivOIL!$C95*DelivOIL!P$78^5/(Conv!$I$5*Conv!$D$46)/10^6 + OILTrade!$E$16</f>
        <v>0.50196450690542171</v>
      </c>
      <c r="I185" s="421">
        <f>DelivOIL!$C95*DelivOIL!Q$78^5/(Conv!$I$5*Conv!$D$46)/10^6 + OILTrade!$E$16</f>
        <v>0.50048731693238091</v>
      </c>
      <c r="J185" s="421">
        <f>DelivOIL!$C95*DelivOIL!R$78^5/(Conv!$I$5*Conv!$D$46)/10^6 + OILTrade!$E$16</f>
        <v>0.51494896970869142</v>
      </c>
      <c r="K185" s="421">
        <f>DelivOIL!$C95*DelivOIL!S$78^5/(Conv!$I$5*Conv!$D$46)/10^6 + OILTrade!$E$16</f>
        <v>0.57480503525288629</v>
      </c>
      <c r="L185" s="421">
        <f>DelivOIL!$C95*DelivOIL!T$78^5/(Conv!$I$5*Conv!$D$46)/10^6 + OILTrade!$E$16</f>
        <v>0.54558375833858275</v>
      </c>
      <c r="M185" s="421">
        <f>DelivOIL!$C95*DelivOIL!U$78^5/(Conv!$I$5*Conv!$D$46)/10^6 + OILTrade!$E$16</f>
        <v>0.50880729480738751</v>
      </c>
      <c r="N185" s="421">
        <f>DelivOIL!$C95*DelivOIL!V$78^5/(Conv!$I$5*Conv!$D$46)/10^6 + OILTrade!$E$16</f>
        <v>0.50880729480738751</v>
      </c>
      <c r="O185" s="421">
        <f>DelivOIL!$C95*DelivOIL!W$78^5/(Conv!$I$5*Conv!$D$46)/10^6 + OILTrade!$E$16</f>
        <v>0.50880729480738751</v>
      </c>
      <c r="P185" s="421">
        <f>DelivOIL!$C95*DelivOIL!X$78^5/(Conv!$I$5*Conv!$D$46)/10^6 + OILTrade!$E$16</f>
        <v>0.50880729480738751</v>
      </c>
      <c r="Q185" s="421">
        <f>DelivOIL!$C95*DelivOIL!Y$78^5/(Conv!$I$5*Conv!$D$46)/10^6 + OILTrade!$E$16</f>
        <v>0.50880729480738751</v>
      </c>
      <c r="S185" s="395"/>
      <c r="T185" s="395"/>
      <c r="U185" s="395"/>
      <c r="V185" s="395"/>
      <c r="W185" s="395"/>
      <c r="X185" s="395"/>
      <c r="Y185" s="395"/>
      <c r="Z185" s="395"/>
      <c r="AA185" s="395"/>
      <c r="AB185" s="395"/>
      <c r="AC185" s="395"/>
    </row>
    <row r="186" spans="2:29">
      <c r="B186" s="376" t="str">
        <f>Technologies!B281</f>
        <v>*</v>
      </c>
      <c r="C186" s="376" t="str">
        <f>Technologies!C281</f>
        <v>XPRESRFLR3</v>
      </c>
      <c r="D186" s="376" t="str">
        <f>Technologies!D281</f>
        <v>Delivery of Pipeline Traded RESRFL from R3</v>
      </c>
      <c r="E186" s="415" t="str">
        <f>Commodities!C128</f>
        <v>RFLR3</v>
      </c>
      <c r="F186" s="415" t="str">
        <f>Commodities!C103</f>
        <v>RESRFL</v>
      </c>
      <c r="G186" s="422">
        <v>1</v>
      </c>
      <c r="H186" s="421">
        <f>DelivOIL!$C96*DelivOIL!P$78^5/(Conv!$I$5*Conv!$D$46)/10^6 + OILTrade!$E$16</f>
        <v>0.87695497860110183</v>
      </c>
      <c r="I186" s="421">
        <f>DelivOIL!$C96*DelivOIL!Q$78^5/(Conv!$I$5*Conv!$D$46)/10^6 + OILTrade!$E$16</f>
        <v>0.87349619232276232</v>
      </c>
      <c r="J186" s="421">
        <f>DelivOIL!$C96*DelivOIL!R$78^5/(Conv!$I$5*Conv!$D$46)/10^6 + OILTrade!$E$16</f>
        <v>0.90735762321363567</v>
      </c>
      <c r="K186" s="421">
        <f>DelivOIL!$C96*DelivOIL!S$78^5/(Conv!$I$5*Conv!$D$46)/10^6 + OILTrade!$E$16</f>
        <v>1.0475084108293113</v>
      </c>
      <c r="L186" s="421">
        <f>DelivOIL!$C96*DelivOIL!T$78^5/(Conv!$I$5*Conv!$D$46)/10^6 + OILTrade!$E$16</f>
        <v>0.97908786000557646</v>
      </c>
      <c r="M186" s="421">
        <f>DelivOIL!$C96*DelivOIL!U$78^5/(Conv!$I$5*Conv!$D$46)/10^6 + OILTrade!$E$16</f>
        <v>0.89297711612765585</v>
      </c>
      <c r="N186" s="421">
        <f>DelivOIL!$C96*DelivOIL!V$78^5/(Conv!$I$5*Conv!$D$46)/10^6 + OILTrade!$E$16</f>
        <v>0.89297711612765585</v>
      </c>
      <c r="O186" s="421">
        <f>DelivOIL!$C96*DelivOIL!W$78^5/(Conv!$I$5*Conv!$D$46)/10^6 + OILTrade!$E$16</f>
        <v>0.89297711612765585</v>
      </c>
      <c r="P186" s="421">
        <f>DelivOIL!$C96*DelivOIL!X$78^5/(Conv!$I$5*Conv!$D$46)/10^6 + OILTrade!$E$16</f>
        <v>0.89297711612765585</v>
      </c>
      <c r="Q186" s="421">
        <f>DelivOIL!$C96*DelivOIL!Y$78^5/(Conv!$I$5*Conv!$D$46)/10^6 + OILTrade!$E$16</f>
        <v>0.89297711612765585</v>
      </c>
      <c r="S186" s="395"/>
      <c r="T186" s="395"/>
      <c r="U186" s="395"/>
      <c r="V186" s="395"/>
      <c r="W186" s="395"/>
      <c r="X186" s="395"/>
      <c r="Y186" s="395"/>
      <c r="Z186" s="395"/>
      <c r="AA186" s="395"/>
      <c r="AB186" s="395"/>
      <c r="AC186" s="395"/>
    </row>
    <row r="187" spans="2:29">
      <c r="B187" s="376" t="str">
        <f>Technologies!B282</f>
        <v>*</v>
      </c>
      <c r="C187" s="376" t="str">
        <f>Technologies!C282</f>
        <v>XPCOMRFLR3</v>
      </c>
      <c r="D187" s="376" t="str">
        <f>Technologies!D282</f>
        <v>Delivery of Pipeline Traded COMRFL from R3</v>
      </c>
      <c r="E187" s="415" t="str">
        <f>Commodities!C128</f>
        <v>RFLR3</v>
      </c>
      <c r="F187" s="415" t="str">
        <f>Commodities!C104</f>
        <v>COMRFL</v>
      </c>
      <c r="G187" s="422">
        <v>1</v>
      </c>
      <c r="H187" s="421">
        <f>DelivOIL!$C96*DelivOIL!P$78^5/(Conv!$I$5*Conv!$D$46)/10^6 + OILTrade!$E$16</f>
        <v>0.87695497860110183</v>
      </c>
      <c r="I187" s="421">
        <f>DelivOIL!$C96*DelivOIL!Q$78^5/(Conv!$I$5*Conv!$D$46)/10^6 + OILTrade!$E$16</f>
        <v>0.87349619232276232</v>
      </c>
      <c r="J187" s="421">
        <f>DelivOIL!$C96*DelivOIL!R$78^5/(Conv!$I$5*Conv!$D$46)/10^6 + OILTrade!$E$16</f>
        <v>0.90735762321363567</v>
      </c>
      <c r="K187" s="421">
        <f>DelivOIL!$C96*DelivOIL!S$78^5/(Conv!$I$5*Conv!$D$46)/10^6 + OILTrade!$E$16</f>
        <v>1.0475084108293113</v>
      </c>
      <c r="L187" s="421">
        <f>DelivOIL!$C96*DelivOIL!T$78^5/(Conv!$I$5*Conv!$D$46)/10^6 + OILTrade!$E$16</f>
        <v>0.97908786000557646</v>
      </c>
      <c r="M187" s="421">
        <f>DelivOIL!$C96*DelivOIL!U$78^5/(Conv!$I$5*Conv!$D$46)/10^6 + OILTrade!$E$16</f>
        <v>0.89297711612765585</v>
      </c>
      <c r="N187" s="421">
        <f>DelivOIL!$C96*DelivOIL!V$78^5/(Conv!$I$5*Conv!$D$46)/10^6 + OILTrade!$E$16</f>
        <v>0.89297711612765585</v>
      </c>
      <c r="O187" s="421">
        <f>DelivOIL!$C96*DelivOIL!W$78^5/(Conv!$I$5*Conv!$D$46)/10^6 + OILTrade!$E$16</f>
        <v>0.89297711612765585</v>
      </c>
      <c r="P187" s="421">
        <f>DelivOIL!$C96*DelivOIL!X$78^5/(Conv!$I$5*Conv!$D$46)/10^6 + OILTrade!$E$16</f>
        <v>0.89297711612765585</v>
      </c>
      <c r="Q187" s="421">
        <f>DelivOIL!$C96*DelivOIL!Y$78^5/(Conv!$I$5*Conv!$D$46)/10^6 + OILTrade!$E$16</f>
        <v>0.89297711612765585</v>
      </c>
      <c r="S187" s="395"/>
      <c r="T187" s="395"/>
      <c r="U187" s="395"/>
      <c r="V187" s="395"/>
      <c r="W187" s="395"/>
      <c r="X187" s="395"/>
      <c r="Y187" s="395"/>
      <c r="Z187" s="395"/>
      <c r="AA187" s="395"/>
      <c r="AB187" s="395"/>
      <c r="AC187" s="395"/>
    </row>
    <row r="188" spans="2:29">
      <c r="B188" s="376" t="str">
        <f>Technologies!B283</f>
        <v>*</v>
      </c>
      <c r="C188" s="376" t="str">
        <f>Technologies!C283</f>
        <v>XPINDRFLR3</v>
      </c>
      <c r="D188" s="376" t="str">
        <f>Technologies!D283</f>
        <v>Delivery of Pipeline Traded INDRFL from R3</v>
      </c>
      <c r="E188" s="415" t="str">
        <f>E187</f>
        <v>RFLR3</v>
      </c>
      <c r="F188" s="415" t="str">
        <f>Commodities!C105</f>
        <v>INDRFL</v>
      </c>
      <c r="G188" s="422">
        <v>1</v>
      </c>
      <c r="H188" s="421">
        <f>DelivOIL!$C97*DelivOIL!P$78^5/(Conv!$I$5*Conv!$D$46)/10^6 + OILTrade!$E$16</f>
        <v>0.73377679849911459</v>
      </c>
      <c r="I188" s="421">
        <f>DelivOIL!$C97*DelivOIL!Q$78^5/(Conv!$I$5*Conv!$D$46)/10^6 + OILTrade!$E$16</f>
        <v>0.73107462171916182</v>
      </c>
      <c r="J188" s="421">
        <f>DelivOIL!$C97*DelivOIL!R$78^5/(Conv!$I$5*Conv!$D$46)/10^6 + OILTrade!$E$16</f>
        <v>0.75752886460265678</v>
      </c>
      <c r="K188" s="421">
        <f>DelivOIL!$C97*DelivOIL!S$78^5/(Conv!$I$5*Conv!$D$46)/10^6 + OILTrade!$E$16</f>
        <v>0.86702166742740328</v>
      </c>
      <c r="L188" s="421">
        <f>DelivOIL!$C97*DelivOIL!T$78^5/(Conv!$I$5*Conv!$D$46)/10^6 + OILTrade!$E$16</f>
        <v>0.81356811209636037</v>
      </c>
      <c r="M188" s="421">
        <f>DelivOIL!$C97*DelivOIL!U$78^5/(Conv!$I$5*Conv!$D$46)/10^6 + OILTrade!$E$16</f>
        <v>0.74629409344173492</v>
      </c>
      <c r="N188" s="421">
        <f>DelivOIL!$C97*DelivOIL!V$78^5/(Conv!$I$5*Conv!$D$46)/10^6 + OILTrade!$E$16</f>
        <v>0.74629409344173492</v>
      </c>
      <c r="O188" s="421">
        <f>DelivOIL!$C97*DelivOIL!W$78^5/(Conv!$I$5*Conv!$D$46)/10^6 + OILTrade!$E$16</f>
        <v>0.74629409344173492</v>
      </c>
      <c r="P188" s="421">
        <f>DelivOIL!$C97*DelivOIL!X$78^5/(Conv!$I$5*Conv!$D$46)/10^6 + OILTrade!$E$16</f>
        <v>0.74629409344173492</v>
      </c>
      <c r="Q188" s="421">
        <f>DelivOIL!$C97*DelivOIL!Y$78^5/(Conv!$I$5*Conv!$D$46)/10^6 + OILTrade!$E$16</f>
        <v>0.74629409344173492</v>
      </c>
      <c r="S188" s="395"/>
      <c r="T188" s="395"/>
      <c r="U188" s="395"/>
      <c r="V188" s="395"/>
      <c r="W188" s="395"/>
      <c r="X188" s="395"/>
      <c r="Y188" s="395"/>
      <c r="Z188" s="395"/>
      <c r="AA188" s="395"/>
      <c r="AB188" s="395"/>
      <c r="AC188" s="395"/>
    </row>
    <row r="189" spans="2:29">
      <c r="B189" s="376" t="str">
        <f>Technologies!B284</f>
        <v>*</v>
      </c>
      <c r="C189" s="376" t="str">
        <f>Technologies!C284</f>
        <v>XPELCRFLR3</v>
      </c>
      <c r="D189" s="376" t="str">
        <f>Technologies!D284</f>
        <v>Delivery of Pipeline Traded ELCRFL from R3</v>
      </c>
      <c r="E189" s="415" t="str">
        <f>E188</f>
        <v>RFLR3</v>
      </c>
      <c r="F189" s="415" t="str">
        <f>Commodities!C106</f>
        <v>ELCRFL</v>
      </c>
      <c r="G189" s="422">
        <v>1</v>
      </c>
      <c r="H189" s="421">
        <f>DelivOIL!$C98*DelivOIL!P$78^5/(Conv!$I$5*Conv!$D$46)/10^6 + OILTrade!$E$16</f>
        <v>0.22242615527773235</v>
      </c>
      <c r="I189" s="421">
        <f>DelivOIL!$C98*DelivOIL!Q$78^5/(Conv!$I$5*Conv!$D$46)/10^6 + OILTrade!$E$16</f>
        <v>0.22242615527773235</v>
      </c>
      <c r="J189" s="421">
        <f>DelivOIL!$C98*DelivOIL!R$78^5/(Conv!$I$5*Conv!$D$46)/10^6 + OILTrade!$E$16</f>
        <v>0.22242615527773235</v>
      </c>
      <c r="K189" s="421">
        <f>DelivOIL!$C98*DelivOIL!S$78^5/(Conv!$I$5*Conv!$D$46)/10^6 + OILTrade!$E$16</f>
        <v>0.22242615527773235</v>
      </c>
      <c r="L189" s="421">
        <f>DelivOIL!$C98*DelivOIL!T$78^5/(Conv!$I$5*Conv!$D$46)/10^6 + OILTrade!$E$16</f>
        <v>0.22242615527773235</v>
      </c>
      <c r="M189" s="421">
        <f>DelivOIL!$C98*DelivOIL!U$78^5/(Conv!$I$5*Conv!$D$46)/10^6 + OILTrade!$E$16</f>
        <v>0.22242615527773235</v>
      </c>
      <c r="N189" s="421">
        <f>DelivOIL!$C98*DelivOIL!V$78^5/(Conv!$I$5*Conv!$D$46)/10^6 + OILTrade!$E$16</f>
        <v>0.22242615527773235</v>
      </c>
      <c r="O189" s="421">
        <f>DelivOIL!$C98*DelivOIL!W$78^5/(Conv!$I$5*Conv!$D$46)/10^6 + OILTrade!$E$16</f>
        <v>0.22242615527773235</v>
      </c>
      <c r="P189" s="421">
        <f>DelivOIL!$C98*DelivOIL!X$78^5/(Conv!$I$5*Conv!$D$46)/10^6 + OILTrade!$E$16</f>
        <v>0.22242615527773235</v>
      </c>
      <c r="Q189" s="421">
        <f>DelivOIL!$C98*DelivOIL!Y$78^5/(Conv!$I$5*Conv!$D$46)/10^6 + OILTrade!$E$16</f>
        <v>0.22242615527773235</v>
      </c>
      <c r="S189" s="395"/>
      <c r="T189" s="395"/>
      <c r="U189" s="395"/>
      <c r="V189" s="395"/>
      <c r="W189" s="395"/>
      <c r="X189" s="395"/>
      <c r="Y189" s="395"/>
      <c r="Z189" s="395"/>
      <c r="AA189" s="395"/>
      <c r="AB189" s="395"/>
      <c r="AC189" s="395"/>
    </row>
    <row r="190" spans="2:29">
      <c r="B190" s="376" t="str">
        <f>Technologies!B285</f>
        <v>*</v>
      </c>
      <c r="C190" s="376" t="str">
        <f>Technologies!C285</f>
        <v>XPTRNRFHR3</v>
      </c>
      <c r="D190" s="376" t="str">
        <f>Technologies!D285</f>
        <v>Delivery of Pipeline Traded TRNRFH from R3</v>
      </c>
      <c r="E190" s="415" t="str">
        <f>Commodities!C127</f>
        <v>RFHR3</v>
      </c>
      <c r="F190" s="415" t="str">
        <f>Commodities!C107</f>
        <v>TRNRFH</v>
      </c>
      <c r="G190" s="422">
        <v>1</v>
      </c>
      <c r="H190" s="421">
        <f>DelivOIL!$C99*DelivOIL!P$78^5/(Conv!$I$5*Conv!$D$46)/10^6 + OILTrade!$E$16</f>
        <v>4.1223270609128093</v>
      </c>
      <c r="I190" s="421">
        <f>DelivOIL!$C99*DelivOIL!Q$78^5/(Conv!$I$5*Conv!$D$46)/10^6 + OILTrade!$E$16</f>
        <v>4.101718459337703</v>
      </c>
      <c r="J190" s="421">
        <f>DelivOIL!$C99*DelivOIL!R$78^5/(Conv!$I$5*Conv!$D$46)/10^6 + OILTrade!$E$16</f>
        <v>4.3034761517291571</v>
      </c>
      <c r="K190" s="421">
        <f>DelivOIL!$C99*DelivOIL!S$78^5/(Conv!$I$5*Conv!$D$46)/10^6 + OILTrade!$E$16</f>
        <v>5.1385412612725583</v>
      </c>
      <c r="L190" s="421">
        <f>DelivOIL!$C99*DelivOIL!T$78^5/(Conv!$I$5*Conv!$D$46)/10^6 + OILTrade!$E$16</f>
        <v>4.73086881261447</v>
      </c>
      <c r="M190" s="421">
        <f>DelivOIL!$C99*DelivOIL!U$78^5/(Conv!$I$5*Conv!$D$46)/10^6 + OILTrade!$E$16</f>
        <v>4.2177922970085273</v>
      </c>
      <c r="N190" s="421">
        <f>DelivOIL!$C99*DelivOIL!V$78^5/(Conv!$I$5*Conv!$D$46)/10^6 + OILTrade!$E$16</f>
        <v>4.2177922970085273</v>
      </c>
      <c r="O190" s="421">
        <f>DelivOIL!$C99*DelivOIL!W$78^5/(Conv!$I$5*Conv!$D$46)/10^6 + OILTrade!$E$16</f>
        <v>4.2177922970085273</v>
      </c>
      <c r="P190" s="421">
        <f>DelivOIL!$C99*DelivOIL!X$78^5/(Conv!$I$5*Conv!$D$46)/10^6 + OILTrade!$E$16</f>
        <v>4.2177922970085273</v>
      </c>
      <c r="Q190" s="421">
        <f>DelivOIL!$C99*DelivOIL!Y$78^5/(Conv!$I$5*Conv!$D$46)/10^6 + OILTrade!$E$16</f>
        <v>4.2177922970085273</v>
      </c>
      <c r="S190" s="395"/>
      <c r="T190" s="395"/>
      <c r="U190" s="395"/>
      <c r="V190" s="395"/>
      <c r="W190" s="395"/>
      <c r="X190" s="395"/>
      <c r="Y190" s="395"/>
      <c r="Z190" s="395"/>
      <c r="AA190" s="395"/>
      <c r="AB190" s="395"/>
      <c r="AC190" s="395"/>
    </row>
    <row r="191" spans="2:29">
      <c r="B191" s="376" t="str">
        <f>Technologies!B286</f>
        <v>*</v>
      </c>
      <c r="C191" s="376" t="str">
        <f>Technologies!C286</f>
        <v>XPELCRFHR3</v>
      </c>
      <c r="D191" s="376" t="str">
        <f>Technologies!D286</f>
        <v>Delivery of Pipeline Traded ELCRFH from R3</v>
      </c>
      <c r="E191" s="415" t="str">
        <f>E190</f>
        <v>RFHR3</v>
      </c>
      <c r="F191" s="415" t="str">
        <f>Commodities!C108</f>
        <v>ELCRFH</v>
      </c>
      <c r="G191" s="422">
        <v>1</v>
      </c>
      <c r="H191" s="421">
        <f>DelivOIL!$C100*DelivOIL!P$78^5/(Conv!$I$5*Conv!$D$46)/10^6 + OILTrade!$E$16</f>
        <v>1.3814876132461995</v>
      </c>
      <c r="I191" s="421">
        <f>DelivOIL!$C100*DelivOIL!Q$78^5/(Conv!$I$5*Conv!$D$46)/10^6 + OILTrade!$E$16</f>
        <v>1.3753626792116402</v>
      </c>
      <c r="J191" s="421">
        <f>DelivOIL!$C100*DelivOIL!R$78^5/(Conv!$I$5*Conv!$D$46)/10^6 + OILTrade!$E$16</f>
        <v>1.4353256297475618</v>
      </c>
      <c r="K191" s="421">
        <f>DelivOIL!$C100*DelivOIL!S$78^5/(Conv!$I$5*Conv!$D$46)/10^6 + OILTrade!$E$16</f>
        <v>1.683509316150321</v>
      </c>
      <c r="L191" s="421">
        <f>DelivOIL!$C100*DelivOIL!T$78^5/(Conv!$I$5*Conv!$D$46)/10^6 + OILTrade!$E$16</f>
        <v>1.5623479240666232</v>
      </c>
      <c r="M191" s="421">
        <f>DelivOIL!$C100*DelivOIL!U$78^5/(Conv!$I$5*Conv!$D$46)/10^6 + OILTrade!$E$16</f>
        <v>1.4098601484494724</v>
      </c>
      <c r="N191" s="421">
        <f>DelivOIL!$C100*DelivOIL!V$78^5/(Conv!$I$5*Conv!$D$46)/10^6 + OILTrade!$E$16</f>
        <v>1.4098601484494724</v>
      </c>
      <c r="O191" s="421">
        <f>DelivOIL!$C100*DelivOIL!W$78^5/(Conv!$I$5*Conv!$D$46)/10^6 + OILTrade!$E$16</f>
        <v>1.4098601484494724</v>
      </c>
      <c r="P191" s="421">
        <f>DelivOIL!$C100*DelivOIL!X$78^5/(Conv!$I$5*Conv!$D$46)/10^6 + OILTrade!$E$16</f>
        <v>1.4098601484494724</v>
      </c>
      <c r="Q191" s="421">
        <f>DelivOIL!$C100*DelivOIL!Y$78^5/(Conv!$I$5*Conv!$D$46)/10^6 + OILTrade!$E$16</f>
        <v>1.4098601484494724</v>
      </c>
      <c r="S191" s="395"/>
      <c r="T191" s="395"/>
      <c r="U191" s="395"/>
      <c r="V191" s="395"/>
      <c r="W191" s="395"/>
      <c r="X191" s="395"/>
      <c r="Y191" s="395"/>
      <c r="Z191" s="395"/>
      <c r="AA191" s="395"/>
      <c r="AB191" s="395"/>
      <c r="AC191" s="395"/>
    </row>
    <row r="192" spans="2:29">
      <c r="B192" s="376" t="str">
        <f>Technologies!B287</f>
        <v>*</v>
      </c>
      <c r="C192" s="376" t="str">
        <f>Technologies!C287</f>
        <v>XPINDASPR3</v>
      </c>
      <c r="D192" s="376" t="str">
        <f>Technologies!D287</f>
        <v>Delivery of Pipeline Traded INDASP from R3</v>
      </c>
      <c r="E192" s="415" t="str">
        <f>Commodities!C129</f>
        <v>ASPR3</v>
      </c>
      <c r="F192" s="415" t="str">
        <f>Commodities!C109</f>
        <v>INDASP</v>
      </c>
      <c r="G192" s="422">
        <v>1</v>
      </c>
      <c r="H192" s="421">
        <f>DelivOIL!$C101*DelivOIL!P$78^5/(Conv!$I$5*Conv!$D$46)/10^6 + OILTrade!$E$16</f>
        <v>0.99967913297423372</v>
      </c>
      <c r="I192" s="421">
        <f>DelivOIL!$C101*DelivOIL!Q$78^5/(Conv!$I$5*Conv!$D$46)/10^6 + OILTrade!$E$16</f>
        <v>0.99557182426870561</v>
      </c>
      <c r="J192" s="421">
        <f>DelivOIL!$C101*DelivOIL!R$78^5/(Conv!$I$5*Conv!$D$46)/10^6 + OILTrade!$E$16</f>
        <v>1.0357822734516178</v>
      </c>
      <c r="K192" s="421">
        <f>DelivOIL!$C101*DelivOIL!S$78^5/(Conv!$I$5*Conv!$D$46)/10^6 + OILTrade!$E$16</f>
        <v>1.2022113337452325</v>
      </c>
      <c r="L192" s="421">
        <f>DelivOIL!$C101*DelivOIL!T$78^5/(Conv!$I$5*Conv!$D$46)/10^6 + OILTrade!$E$16</f>
        <v>1.1209619296420472</v>
      </c>
      <c r="M192" s="421">
        <f>DelivOIL!$C101*DelivOIL!U$78^5/(Conv!$I$5*Conv!$D$46)/10^6 + OILTrade!$E$16</f>
        <v>1.0187054212870166</v>
      </c>
      <c r="N192" s="421">
        <f>DelivOIL!$C101*DelivOIL!V$78^5/(Conv!$I$5*Conv!$D$46)/10^6 + OILTrade!$E$16</f>
        <v>1.0187054212870166</v>
      </c>
      <c r="O192" s="421">
        <f>DelivOIL!$C101*DelivOIL!W$78^5/(Conv!$I$5*Conv!$D$46)/10^6 + OILTrade!$E$16</f>
        <v>1.0187054212870166</v>
      </c>
      <c r="P192" s="421">
        <f>DelivOIL!$C101*DelivOIL!X$78^5/(Conv!$I$5*Conv!$D$46)/10^6 + OILTrade!$E$16</f>
        <v>1.0187054212870166</v>
      </c>
      <c r="Q192" s="421">
        <f>DelivOIL!$C101*DelivOIL!Y$78^5/(Conv!$I$5*Conv!$D$46)/10^6 + OILTrade!$E$16</f>
        <v>1.0187054212870166</v>
      </c>
      <c r="S192" s="395"/>
      <c r="T192" s="395"/>
      <c r="U192" s="395"/>
      <c r="V192" s="395"/>
      <c r="W192" s="395"/>
      <c r="X192" s="395"/>
      <c r="Y192" s="395"/>
      <c r="Z192" s="395"/>
      <c r="AA192" s="395"/>
      <c r="AB192" s="395"/>
      <c r="AC192" s="395"/>
    </row>
    <row r="193" spans="2:29">
      <c r="B193" s="376" t="s">
        <v>588</v>
      </c>
      <c r="C193" s="376"/>
      <c r="D193" s="376"/>
      <c r="E193" s="415"/>
      <c r="F193" s="415"/>
      <c r="G193" s="422"/>
      <c r="H193" s="423"/>
      <c r="I193" s="423"/>
      <c r="J193" s="423"/>
      <c r="K193" s="423"/>
      <c r="L193" s="423"/>
      <c r="M193" s="423"/>
      <c r="N193" s="423"/>
      <c r="O193" s="423"/>
      <c r="P193" s="423"/>
      <c r="Q193" s="423"/>
    </row>
    <row r="194" spans="2:29">
      <c r="B194" s="376" t="str">
        <f>Technologies!B288</f>
        <v>*</v>
      </c>
      <c r="C194" s="376" t="str">
        <f>Technologies!C288</f>
        <v>XPTRGSLCR4</v>
      </c>
      <c r="D194" s="376" t="str">
        <f>Technologies!D288</f>
        <v>Delivery of Pipeline Traded TRGSLC from R4</v>
      </c>
      <c r="E194" s="415" t="str">
        <f>Commodities!C130</f>
        <v>GSCR4</v>
      </c>
      <c r="F194" s="415" t="str">
        <f>Commodities!C85</f>
        <v>TRGSLC</v>
      </c>
      <c r="G194" s="422">
        <v>1</v>
      </c>
      <c r="H194" s="421">
        <f>DelivOIL!$C77*DelivOIL!P$78^5/(Conv!$I$5*Conv!$D$46)/10^6 + OILTrade!$E$17</f>
        <v>3.5905223919625726</v>
      </c>
      <c r="I194" s="421">
        <f>DelivOIL!$C77*DelivOIL!Q$78^5/(Conv!$I$5*Conv!$D$46)/10^6 + OILTrade!$E$17</f>
        <v>3.5727240542386172</v>
      </c>
      <c r="J194" s="421">
        <f>DelivOIL!$C77*DelivOIL!R$78^5/(Conv!$I$5*Conv!$D$46)/10^6 + OILTrade!$E$17</f>
        <v>3.7469693340312364</v>
      </c>
      <c r="K194" s="421">
        <f>DelivOIL!$C77*DelivOIL!S$78^5/(Conv!$I$5*Conv!$D$46)/10^6 + OILTrade!$E$17</f>
        <v>4.4681619286369019</v>
      </c>
      <c r="L194" s="421">
        <f>DelivOIL!$C77*DelivOIL!T$78^5/(Conv!$I$5*Conv!$D$46)/10^6 + OILTrade!$E$17</f>
        <v>4.1160811775230988</v>
      </c>
      <c r="M194" s="421">
        <f>DelivOIL!$C77*DelivOIL!U$78^5/(Conv!$I$5*Conv!$D$46)/10^6 + OILTrade!$E$17</f>
        <v>3.6729696413179656</v>
      </c>
      <c r="N194" s="421">
        <f>DelivOIL!$C77*DelivOIL!V$78^5/(Conv!$I$5*Conv!$D$46)/10^6 + OILTrade!$E$17</f>
        <v>3.6729696413179656</v>
      </c>
      <c r="O194" s="421">
        <f>DelivOIL!$C77*DelivOIL!W$78^5/(Conv!$I$5*Conv!$D$46)/10^6 + OILTrade!$E$17</f>
        <v>3.6729696413179656</v>
      </c>
      <c r="P194" s="421">
        <f>DelivOIL!$C77*DelivOIL!X$78^5/(Conv!$I$5*Conv!$D$46)/10^6 + OILTrade!$E$17</f>
        <v>3.6729696413179656</v>
      </c>
      <c r="Q194" s="421">
        <f>DelivOIL!$C77*DelivOIL!Y$78^5/(Conv!$I$5*Conv!$D$46)/10^6 + OILTrade!$E$17</f>
        <v>3.6729696413179656</v>
      </c>
      <c r="S194" s="395"/>
      <c r="T194" s="395"/>
      <c r="U194" s="395"/>
      <c r="V194" s="395"/>
      <c r="W194" s="395"/>
      <c r="X194" s="395"/>
      <c r="Y194" s="395"/>
      <c r="Z194" s="395"/>
      <c r="AA194" s="395"/>
      <c r="AB194" s="395"/>
      <c r="AC194" s="395"/>
    </row>
    <row r="195" spans="2:29">
      <c r="B195" s="376" t="str">
        <f>Technologies!B289</f>
        <v>*</v>
      </c>
      <c r="C195" s="376" t="str">
        <f>Technologies!C289</f>
        <v>XPTRGSLRR4</v>
      </c>
      <c r="D195" s="376" t="str">
        <f>Technologies!D289</f>
        <v>Delivery of Pipeline Traded TRGSLR from R4</v>
      </c>
      <c r="E195" s="415" t="str">
        <f>Commodities!C131</f>
        <v>GSRR4</v>
      </c>
      <c r="F195" s="415" t="str">
        <f>Commodities!C86</f>
        <v>TRGSLR</v>
      </c>
      <c r="G195" s="422">
        <v>1</v>
      </c>
      <c r="H195" s="421">
        <f>DelivOIL!$C78*DelivOIL!P$78^5/(Conv!$I$5*Conv!$D$46)/10^6 + OILTrade!$E$17</f>
        <v>3.5973404005388576</v>
      </c>
      <c r="I195" s="421">
        <f>DelivOIL!$C78*DelivOIL!Q$78^5/(Conv!$I$5*Conv!$D$46)/10^6 + OILTrade!$E$17</f>
        <v>3.5795060337911697</v>
      </c>
      <c r="J195" s="421">
        <f>DelivOIL!$C78*DelivOIL!R$78^5/(Conv!$I$5*Conv!$D$46)/10^6 + OILTrade!$E$17</f>
        <v>3.7541040368222358</v>
      </c>
      <c r="K195" s="421">
        <f>DelivOIL!$C78*DelivOIL!S$78^5/(Conv!$I$5*Conv!$D$46)/10^6 + OILTrade!$E$17</f>
        <v>4.4767565354655634</v>
      </c>
      <c r="L195" s="421">
        <f>DelivOIL!$C78*DelivOIL!T$78^5/(Conv!$I$5*Conv!$D$46)/10^6 + OILTrade!$E$17</f>
        <v>4.1239630702806798</v>
      </c>
      <c r="M195" s="421">
        <f>DelivOIL!$C78*DelivOIL!U$78^5/(Conv!$I$5*Conv!$D$46)/10^6 + OILTrade!$E$17</f>
        <v>3.6799545471601522</v>
      </c>
      <c r="N195" s="421">
        <f>DelivOIL!$C78*DelivOIL!V$78^5/(Conv!$I$5*Conv!$D$46)/10^6 + OILTrade!$E$17</f>
        <v>3.6799545471601522</v>
      </c>
      <c r="O195" s="421">
        <f>DelivOIL!$C78*DelivOIL!W$78^5/(Conv!$I$5*Conv!$D$46)/10^6 + OILTrade!$E$17</f>
        <v>3.6799545471601522</v>
      </c>
      <c r="P195" s="421">
        <f>DelivOIL!$C78*DelivOIL!X$78^5/(Conv!$I$5*Conv!$D$46)/10^6 + OILTrade!$E$17</f>
        <v>3.6799545471601522</v>
      </c>
      <c r="Q195" s="421">
        <f>DelivOIL!$C78*DelivOIL!Y$78^5/(Conv!$I$5*Conv!$D$46)/10^6 + OILTrade!$E$17</f>
        <v>3.6799545471601522</v>
      </c>
      <c r="S195" s="395"/>
      <c r="T195" s="395"/>
      <c r="U195" s="395"/>
      <c r="V195" s="395"/>
      <c r="W195" s="395"/>
      <c r="X195" s="395"/>
      <c r="Y195" s="395"/>
      <c r="Z195" s="395"/>
      <c r="AA195" s="395"/>
      <c r="AB195" s="395"/>
      <c r="AC195" s="395"/>
    </row>
    <row r="196" spans="2:29">
      <c r="B196" s="376" t="str">
        <f>Technologies!B290</f>
        <v>*</v>
      </c>
      <c r="C196" s="376" t="str">
        <f>Technologies!C290</f>
        <v>XPRESDSLR4</v>
      </c>
      <c r="D196" s="376" t="str">
        <f>Technologies!D290</f>
        <v>Delivery of Pipeline Traded RESDSL from R4</v>
      </c>
      <c r="E196" s="415" t="str">
        <f>Commodities!C132</f>
        <v>DSHR4</v>
      </c>
      <c r="F196" s="415" t="str">
        <f>Commodities!C87</f>
        <v>RESDSL</v>
      </c>
      <c r="G196" s="422">
        <v>1</v>
      </c>
      <c r="H196" s="421">
        <f>DelivOIL!$C80*DelivOIL!P$78^5/(Conv!$I$5*Conv!$D$46)/10^6 + OILTrade!$E$17</f>
        <v>3.6587024777254236</v>
      </c>
      <c r="I196" s="421">
        <f>DelivOIL!$C80*DelivOIL!Q$78^5/(Conv!$I$5*Conv!$D$46)/10^6 + OILTrade!$E$17</f>
        <v>3.6405438497641418</v>
      </c>
      <c r="J196" s="421">
        <f>DelivOIL!$C80*DelivOIL!R$78^5/(Conv!$I$5*Conv!$D$46)/10^6 + OILTrade!$E$17</f>
        <v>3.818316361941227</v>
      </c>
      <c r="K196" s="421">
        <f>DelivOIL!$C80*DelivOIL!S$78^5/(Conv!$I$5*Conv!$D$46)/10^6 + OILTrade!$E$17</f>
        <v>4.5541079969235243</v>
      </c>
      <c r="L196" s="421">
        <f>DelivOIL!$C80*DelivOIL!T$78^5/(Conv!$I$5*Conv!$D$46)/10^6 + OILTrade!$E$17</f>
        <v>4.194900105098915</v>
      </c>
      <c r="M196" s="421">
        <f>DelivOIL!$C80*DelivOIL!U$78^5/(Conv!$I$5*Conv!$D$46)/10^6 + OILTrade!$E$17</f>
        <v>3.7428186997398325</v>
      </c>
      <c r="N196" s="421">
        <f>DelivOIL!$C80*DelivOIL!V$78^5/(Conv!$I$5*Conv!$D$46)/10^6 + OILTrade!$E$17</f>
        <v>3.7428186997398325</v>
      </c>
      <c r="O196" s="421">
        <f>DelivOIL!$C80*DelivOIL!W$78^5/(Conv!$I$5*Conv!$D$46)/10^6 + OILTrade!$E$17</f>
        <v>3.7428186997398325</v>
      </c>
      <c r="P196" s="421">
        <f>DelivOIL!$C80*DelivOIL!X$78^5/(Conv!$I$5*Conv!$D$46)/10^6 + OILTrade!$E$17</f>
        <v>3.7428186997398325</v>
      </c>
      <c r="Q196" s="421">
        <f>DelivOIL!$C80*DelivOIL!Y$78^5/(Conv!$I$5*Conv!$D$46)/10^6 + OILTrade!$E$17</f>
        <v>3.7428186997398325</v>
      </c>
      <c r="S196" s="395"/>
      <c r="T196" s="395"/>
      <c r="U196" s="395"/>
      <c r="V196" s="395"/>
      <c r="W196" s="395"/>
      <c r="X196" s="395"/>
      <c r="Y196" s="395"/>
      <c r="Z196" s="395"/>
      <c r="AA196" s="395"/>
      <c r="AB196" s="395"/>
      <c r="AC196" s="395"/>
    </row>
    <row r="197" spans="2:29">
      <c r="B197" s="376" t="str">
        <f>Technologies!B291</f>
        <v>*</v>
      </c>
      <c r="C197" s="376" t="str">
        <f>Technologies!C291</f>
        <v>XPCOMDSLR4</v>
      </c>
      <c r="D197" s="376" t="str">
        <f>Technologies!D291</f>
        <v>Delivery of Pipeline Traded COMDSL from R4</v>
      </c>
      <c r="E197" s="415" t="str">
        <f>E196</f>
        <v>DSHR4</v>
      </c>
      <c r="F197" s="415" t="str">
        <f>Commodities!C88</f>
        <v>COMDSL</v>
      </c>
      <c r="G197" s="422">
        <v>1</v>
      </c>
      <c r="H197" s="421">
        <f>DelivOIL!$C81*DelivOIL!P$78^5/(Conv!$I$5*Conv!$D$46)/10^6 + OILTrade!$E$17</f>
        <v>1.6201179134161774</v>
      </c>
      <c r="I197" s="421">
        <f>DelivOIL!$C81*DelivOIL!Q$78^5/(Conv!$I$5*Conv!$D$46)/10^6 + OILTrade!$E$17</f>
        <v>1.6127319635509734</v>
      </c>
      <c r="J197" s="421">
        <f>DelivOIL!$C81*DelivOIL!R$78^5/(Conv!$I$5*Conv!$D$46)/10^6 + OILTrade!$E$17</f>
        <v>1.685040227432526</v>
      </c>
      <c r="K197" s="421">
        <f>DelivOIL!$C81*DelivOIL!S$78^5/(Conv!$I$5*Conv!$D$46)/10^6 + OILTrade!$E$17</f>
        <v>1.9843205551535004</v>
      </c>
      <c r="L197" s="421">
        <f>DelivOIL!$C81*DelivOIL!T$78^5/(Conv!$I$5*Conv!$D$46)/10^6 + OILTrade!$E$17</f>
        <v>1.8382141705819826</v>
      </c>
      <c r="M197" s="421">
        <f>DelivOIL!$C81*DelivOIL!U$78^5/(Conv!$I$5*Conv!$D$46)/10^6 + OILTrade!$E$17</f>
        <v>1.6543318529260067</v>
      </c>
      <c r="N197" s="421">
        <f>DelivOIL!$C81*DelivOIL!V$78^5/(Conv!$I$5*Conv!$D$46)/10^6 + OILTrade!$E$17</f>
        <v>1.6543318529260067</v>
      </c>
      <c r="O197" s="421">
        <f>DelivOIL!$C81*DelivOIL!W$78^5/(Conv!$I$5*Conv!$D$46)/10^6 + OILTrade!$E$17</f>
        <v>1.6543318529260067</v>
      </c>
      <c r="P197" s="421">
        <f>DelivOIL!$C81*DelivOIL!X$78^5/(Conv!$I$5*Conv!$D$46)/10^6 + OILTrade!$E$17</f>
        <v>1.6543318529260067</v>
      </c>
      <c r="Q197" s="421">
        <f>DelivOIL!$C81*DelivOIL!Y$78^5/(Conv!$I$5*Conv!$D$46)/10^6 + OILTrade!$E$17</f>
        <v>1.6543318529260067</v>
      </c>
      <c r="S197" s="395"/>
      <c r="T197" s="395"/>
      <c r="U197" s="395"/>
      <c r="V197" s="395"/>
      <c r="W197" s="395"/>
      <c r="X197" s="395"/>
      <c r="Y197" s="395"/>
      <c r="Z197" s="395"/>
      <c r="AA197" s="395"/>
      <c r="AB197" s="395"/>
      <c r="AC197" s="395"/>
    </row>
    <row r="198" spans="2:29">
      <c r="B198" s="376" t="str">
        <f>Technologies!B292</f>
        <v>*</v>
      </c>
      <c r="C198" s="376" t="str">
        <f>Technologies!C292</f>
        <v>XPINDDSLR4</v>
      </c>
      <c r="D198" s="376" t="str">
        <f>Technologies!D292</f>
        <v>Delivery of Pipeline Traded INDDSL from R4</v>
      </c>
      <c r="E198" s="415" t="str">
        <f>E197</f>
        <v>DSHR4</v>
      </c>
      <c r="F198" s="415" t="str">
        <f>Commodities!C89</f>
        <v>INDDSL</v>
      </c>
      <c r="G198" s="422">
        <v>1</v>
      </c>
      <c r="H198" s="421">
        <f>DelivOIL!$C82*DelivOIL!P$78^5/(Conv!$I$5*Conv!$D$46)/10^6 + OILTrade!$E$17</f>
        <v>1.7223880420604547</v>
      </c>
      <c r="I198" s="421">
        <f>DelivOIL!$C82*DelivOIL!Q$78^5/(Conv!$I$5*Conv!$D$46)/10^6 + OILTrade!$E$17</f>
        <v>1.7144616568392603</v>
      </c>
      <c r="J198" s="421">
        <f>DelivOIL!$C82*DelivOIL!R$78^5/(Conv!$I$5*Conv!$D$46)/10^6 + OILTrade!$E$17</f>
        <v>1.7920607692975117</v>
      </c>
      <c r="K198" s="421">
        <f>DelivOIL!$C82*DelivOIL!S$78^5/(Conv!$I$5*Conv!$D$46)/10^6 + OILTrade!$E$17</f>
        <v>2.1132396575834358</v>
      </c>
      <c r="L198" s="421">
        <f>DelivOIL!$C82*DelivOIL!T$78^5/(Conv!$I$5*Conv!$D$46)/10^6 + OILTrade!$E$17</f>
        <v>1.9564425619457091</v>
      </c>
      <c r="M198" s="421">
        <f>DelivOIL!$C82*DelivOIL!U$78^5/(Conv!$I$5*Conv!$D$46)/10^6 + OILTrade!$E$17</f>
        <v>1.759105440558808</v>
      </c>
      <c r="N198" s="421">
        <f>DelivOIL!$C82*DelivOIL!V$78^5/(Conv!$I$5*Conv!$D$46)/10^6 + OILTrade!$E$17</f>
        <v>1.759105440558808</v>
      </c>
      <c r="O198" s="421">
        <f>DelivOIL!$C82*DelivOIL!W$78^5/(Conv!$I$5*Conv!$D$46)/10^6 + OILTrade!$E$17</f>
        <v>1.759105440558808</v>
      </c>
      <c r="P198" s="421">
        <f>DelivOIL!$C82*DelivOIL!X$78^5/(Conv!$I$5*Conv!$D$46)/10^6 + OILTrade!$E$17</f>
        <v>1.759105440558808</v>
      </c>
      <c r="Q198" s="421">
        <f>DelivOIL!$C82*DelivOIL!Y$78^5/(Conv!$I$5*Conv!$D$46)/10^6 + OILTrade!$E$17</f>
        <v>1.759105440558808</v>
      </c>
      <c r="S198" s="395"/>
      <c r="T198" s="395"/>
      <c r="U198" s="395"/>
      <c r="V198" s="395"/>
      <c r="W198" s="395"/>
      <c r="X198" s="395"/>
      <c r="Y198" s="395"/>
      <c r="Z198" s="395"/>
      <c r="AA198" s="395"/>
      <c r="AB198" s="395"/>
      <c r="AC198" s="395"/>
    </row>
    <row r="199" spans="2:29">
      <c r="B199" s="376" t="str">
        <f>Technologies!B293</f>
        <v>*</v>
      </c>
      <c r="C199" s="376" t="str">
        <f>Technologies!C293</f>
        <v>XPELCDSLR4</v>
      </c>
      <c r="D199" s="376" t="str">
        <f>Technologies!D293</f>
        <v>Delivery of Pipeline Traded ELCDSL from R4</v>
      </c>
      <c r="E199" s="415" t="str">
        <f>E198</f>
        <v>DSHR4</v>
      </c>
      <c r="F199" s="415" t="str">
        <f>Commodities!C90</f>
        <v>ELCDSL</v>
      </c>
      <c r="G199" s="422">
        <v>1</v>
      </c>
      <c r="H199" s="421">
        <f>DelivOIL!$C83*DelivOIL!P$78^5/(Conv!$I$5*Conv!$D$46)/10^6 + OILTrade!$E$17</f>
        <v>0.74059480707540037</v>
      </c>
      <c r="I199" s="421">
        <f>DelivOIL!$C83*DelivOIL!Q$78^5/(Conv!$I$5*Conv!$D$46)/10^6 + OILTrade!$E$17</f>
        <v>0.73785660127171493</v>
      </c>
      <c r="J199" s="421">
        <f>DelivOIL!$C83*DelivOIL!R$78^5/(Conv!$I$5*Conv!$D$46)/10^6 + OILTrade!$E$17</f>
        <v>0.76466356739365637</v>
      </c>
      <c r="K199" s="421">
        <f>DelivOIL!$C83*DelivOIL!S$78^5/(Conv!$I$5*Conv!$D$46)/10^6 + OILTrade!$E$17</f>
        <v>0.87561627425606647</v>
      </c>
      <c r="L199" s="421">
        <f>DelivOIL!$C83*DelivOIL!T$78^5/(Conv!$I$5*Conv!$D$46)/10^6 + OILTrade!$E$17</f>
        <v>0.82145000485394293</v>
      </c>
      <c r="M199" s="421">
        <f>DelivOIL!$C83*DelivOIL!U$78^5/(Conv!$I$5*Conv!$D$46)/10^6 + OILTrade!$E$17</f>
        <v>0.75327899928392239</v>
      </c>
      <c r="N199" s="421">
        <f>DelivOIL!$C83*DelivOIL!V$78^5/(Conv!$I$5*Conv!$D$46)/10^6 + OILTrade!$E$17</f>
        <v>0.75327899928392239</v>
      </c>
      <c r="O199" s="421">
        <f>DelivOIL!$C83*DelivOIL!W$78^5/(Conv!$I$5*Conv!$D$46)/10^6 + OILTrade!$E$17</f>
        <v>0.75327899928392239</v>
      </c>
      <c r="P199" s="421">
        <f>DelivOIL!$C83*DelivOIL!X$78^5/(Conv!$I$5*Conv!$D$46)/10^6 + OILTrade!$E$17</f>
        <v>0.75327899928392239</v>
      </c>
      <c r="Q199" s="421">
        <f>DelivOIL!$C83*DelivOIL!Y$78^5/(Conv!$I$5*Conv!$D$46)/10^6 + OILTrade!$E$17</f>
        <v>0.75327899928392239</v>
      </c>
      <c r="S199" s="395"/>
      <c r="T199" s="395"/>
      <c r="U199" s="395"/>
      <c r="V199" s="395"/>
      <c r="W199" s="395"/>
      <c r="X199" s="395"/>
      <c r="Y199" s="395"/>
      <c r="Z199" s="395"/>
      <c r="AA199" s="395"/>
      <c r="AB199" s="395"/>
      <c r="AC199" s="395"/>
    </row>
    <row r="200" spans="2:29">
      <c r="B200" s="376" t="str">
        <f>Technologies!B294</f>
        <v>*</v>
      </c>
      <c r="C200" s="376" t="str">
        <f>Technologies!C294</f>
        <v>XPTRDSLLR4</v>
      </c>
      <c r="D200" s="376" t="str">
        <f>Technologies!D294</f>
        <v>Delivery of Pipeline Traded TRDSLL from R4</v>
      </c>
      <c r="E200" s="415" t="str">
        <f>Commodities!C133</f>
        <v>DSLR4</v>
      </c>
      <c r="F200" s="415" t="str">
        <f>Commodities!C91</f>
        <v>TRDSLL</v>
      </c>
      <c r="G200" s="422">
        <v>1</v>
      </c>
      <c r="H200" s="421">
        <f>DelivOIL!$C84*DelivOIL!P$78^5/(Conv!$I$5*Conv!$D$46)/10^6 + OILTrade!$E$17</f>
        <v>4.4427734639982104</v>
      </c>
      <c r="I200" s="421">
        <f>DelivOIL!$C84*DelivOIL!Q$78^5/(Conv!$I$5*Conv!$D$46)/10^6 + OILTrade!$E$17</f>
        <v>4.4204714983076672</v>
      </c>
      <c r="J200" s="421">
        <f>DelivOIL!$C84*DelivOIL!R$78^5/(Conv!$I$5*Conv!$D$46)/10^6 + OILTrade!$E$17</f>
        <v>4.6388071829061115</v>
      </c>
      <c r="K200" s="421">
        <f>DelivOIL!$C84*DelivOIL!S$78^5/(Conv!$I$5*Conv!$D$46)/10^6 + OILTrade!$E$17</f>
        <v>5.5424877822196859</v>
      </c>
      <c r="L200" s="421">
        <f>DelivOIL!$C84*DelivOIL!T$78^5/(Conv!$I$5*Conv!$D$46)/10^6 + OILTrade!$E$17</f>
        <v>5.1013177722208125</v>
      </c>
      <c r="M200" s="421">
        <f>DelivOIL!$C84*DelivOIL!U$78^5/(Conv!$I$5*Conv!$D$46)/10^6 + OILTrade!$E$17</f>
        <v>4.5460828715913042</v>
      </c>
      <c r="N200" s="421">
        <f>DelivOIL!$C84*DelivOIL!V$78^5/(Conv!$I$5*Conv!$D$46)/10^6 + OILTrade!$E$17</f>
        <v>4.5460828715913042</v>
      </c>
      <c r="O200" s="421">
        <f>DelivOIL!$C84*DelivOIL!W$78^5/(Conv!$I$5*Conv!$D$46)/10^6 + OILTrade!$E$17</f>
        <v>4.5460828715913042</v>
      </c>
      <c r="P200" s="421">
        <f>DelivOIL!$C84*DelivOIL!X$78^5/(Conv!$I$5*Conv!$D$46)/10^6 + OILTrade!$E$17</f>
        <v>4.5460828715913042</v>
      </c>
      <c r="Q200" s="421">
        <f>DelivOIL!$C84*DelivOIL!Y$78^5/(Conv!$I$5*Conv!$D$46)/10^6 + OILTrade!$E$17</f>
        <v>4.5460828715913042</v>
      </c>
      <c r="S200" s="395"/>
      <c r="T200" s="395"/>
      <c r="U200" s="395"/>
      <c r="V200" s="395"/>
      <c r="W200" s="395"/>
      <c r="X200" s="395"/>
      <c r="Y200" s="395"/>
      <c r="Z200" s="395"/>
      <c r="AA200" s="395"/>
      <c r="AB200" s="395"/>
      <c r="AC200" s="395"/>
    </row>
    <row r="201" spans="2:29">
      <c r="B201" s="376" t="str">
        <f>Technologies!B295</f>
        <v>*</v>
      </c>
      <c r="C201" s="376" t="str">
        <f>Technologies!C295</f>
        <v>XPTRDSLUR4</v>
      </c>
      <c r="D201" s="376" t="str">
        <f>Technologies!D295</f>
        <v>Delivery of Pipeline Traded TRDSLU from R4</v>
      </c>
      <c r="E201" s="415" t="str">
        <f>Commodities!C134</f>
        <v>DSUR4</v>
      </c>
      <c r="F201" s="415" t="str">
        <f>Commodities!C92</f>
        <v>TRDSLU</v>
      </c>
      <c r="G201" s="422">
        <v>1</v>
      </c>
      <c r="H201" s="421">
        <f>DelivOIL!$C85*DelivOIL!P$78^5/(Conv!$I$5*Conv!$D$46)/10^6 + OILTrade!$E$17</f>
        <v>3.8018806578274109</v>
      </c>
      <c r="I201" s="421">
        <f>DelivOIL!$C85*DelivOIL!Q$78^5/(Conv!$I$5*Conv!$D$46)/10^6 + OILTrade!$E$17</f>
        <v>3.7829654203677423</v>
      </c>
      <c r="J201" s="421">
        <f>DelivOIL!$C85*DelivOIL!R$78^5/(Conv!$I$5*Conv!$D$46)/10^6 + OILTrade!$E$17</f>
        <v>3.9681451205522058</v>
      </c>
      <c r="K201" s="421">
        <f>DelivOIL!$C85*DelivOIL!S$78^5/(Conv!$I$5*Conv!$D$46)/10^6 + OILTrade!$E$17</f>
        <v>4.7345947403254325</v>
      </c>
      <c r="L201" s="421">
        <f>DelivOIL!$C85*DelivOIL!T$78^5/(Conv!$I$5*Conv!$D$46)/10^6 + OILTrade!$E$17</f>
        <v>4.360419853008132</v>
      </c>
      <c r="M201" s="421">
        <f>DelivOIL!$C85*DelivOIL!U$78^5/(Conv!$I$5*Conv!$D$46)/10^6 + OILTrade!$E$17</f>
        <v>3.8895017224257535</v>
      </c>
      <c r="N201" s="421">
        <f>DelivOIL!$C85*DelivOIL!V$78^5/(Conv!$I$5*Conv!$D$46)/10^6 + OILTrade!$E$17</f>
        <v>3.8895017224257535</v>
      </c>
      <c r="O201" s="421">
        <f>DelivOIL!$C85*DelivOIL!W$78^5/(Conv!$I$5*Conv!$D$46)/10^6 + OILTrade!$E$17</f>
        <v>3.8895017224257535</v>
      </c>
      <c r="P201" s="421">
        <f>DelivOIL!$C85*DelivOIL!X$78^5/(Conv!$I$5*Conv!$D$46)/10^6 + OILTrade!$E$17</f>
        <v>3.8895017224257535</v>
      </c>
      <c r="Q201" s="421">
        <f>DelivOIL!$C85*DelivOIL!Y$78^5/(Conv!$I$5*Conv!$D$46)/10^6 + OILTrade!$E$17</f>
        <v>3.8895017224257535</v>
      </c>
      <c r="S201" s="395"/>
      <c r="T201" s="395"/>
      <c r="U201" s="395"/>
      <c r="V201" s="395"/>
      <c r="W201" s="395"/>
      <c r="X201" s="395"/>
      <c r="Y201" s="395"/>
      <c r="Z201" s="395"/>
      <c r="AA201" s="395"/>
      <c r="AB201" s="395"/>
      <c r="AC201" s="395"/>
    </row>
    <row r="202" spans="2:29">
      <c r="B202" s="376" t="str">
        <f>Technologies!B296</f>
        <v>*</v>
      </c>
      <c r="C202" s="376" t="str">
        <f>Technologies!C296</f>
        <v>XPTRNJTFR4</v>
      </c>
      <c r="D202" s="376" t="str">
        <f>Technologies!D296</f>
        <v>Delivery of Pipeline Traded TRNJTF from R4</v>
      </c>
      <c r="E202" s="415" t="str">
        <f>Commodities!C135</f>
        <v>JTFR4</v>
      </c>
      <c r="F202" s="415" t="str">
        <f>Commodities!C93</f>
        <v>TRNJTF</v>
      </c>
      <c r="G202" s="422">
        <v>1</v>
      </c>
      <c r="H202" s="421">
        <f>DelivOIL!$C86*DelivOIL!P$78^5/(Conv!$I$5*Conv!$D$46)/10^6 + OILTrade!$E$17</f>
        <v>0.91104502148252731</v>
      </c>
      <c r="I202" s="421">
        <f>DelivOIL!$C86*DelivOIL!Q$78^5/(Conv!$I$5*Conv!$D$46)/10^6 + OILTrade!$E$17</f>
        <v>0.90740609008552431</v>
      </c>
      <c r="J202" s="421">
        <f>DelivOIL!$C86*DelivOIL!R$78^5/(Conv!$I$5*Conv!$D$46)/10^6 + OILTrade!$E$17</f>
        <v>0.94303113716863063</v>
      </c>
      <c r="K202" s="421">
        <f>DelivOIL!$C86*DelivOIL!S$78^5/(Conv!$I$5*Conv!$D$46)/10^6 + OILTrade!$E$17</f>
        <v>1.0904814449726228</v>
      </c>
      <c r="L202" s="421">
        <f>DelivOIL!$C86*DelivOIL!T$78^5/(Conv!$I$5*Conv!$D$46)/10^6 + OILTrade!$E$17</f>
        <v>1.0184973237934849</v>
      </c>
      <c r="M202" s="421">
        <f>DelivOIL!$C86*DelivOIL!U$78^5/(Conv!$I$5*Conv!$D$46)/10^6 + OILTrade!$E$17</f>
        <v>0.92790164533858943</v>
      </c>
      <c r="N202" s="421">
        <f>DelivOIL!$C86*DelivOIL!V$78^5/(Conv!$I$5*Conv!$D$46)/10^6 + OILTrade!$E$17</f>
        <v>0.92790164533858943</v>
      </c>
      <c r="O202" s="421">
        <f>DelivOIL!$C86*DelivOIL!W$78^5/(Conv!$I$5*Conv!$D$46)/10^6 + OILTrade!$E$17</f>
        <v>0.92790164533858943</v>
      </c>
      <c r="P202" s="421">
        <f>DelivOIL!$C86*DelivOIL!X$78^5/(Conv!$I$5*Conv!$D$46)/10^6 + OILTrade!$E$17</f>
        <v>0.92790164533858943</v>
      </c>
      <c r="Q202" s="421">
        <f>DelivOIL!$C86*DelivOIL!Y$78^5/(Conv!$I$5*Conv!$D$46)/10^6 + OILTrade!$E$17</f>
        <v>0.92790164533858943</v>
      </c>
      <c r="S202" s="395"/>
      <c r="T202" s="395"/>
      <c r="U202" s="395"/>
      <c r="V202" s="395"/>
      <c r="W202" s="395"/>
      <c r="X202" s="395"/>
      <c r="Y202" s="395"/>
      <c r="Z202" s="395"/>
      <c r="AA202" s="395"/>
      <c r="AB202" s="395"/>
      <c r="AC202" s="395"/>
    </row>
    <row r="203" spans="2:29">
      <c r="B203" s="376" t="str">
        <f>Technologies!B297</f>
        <v>*</v>
      </c>
      <c r="C203" s="376" t="str">
        <f>Technologies!C297</f>
        <v>XPRESKERR4</v>
      </c>
      <c r="D203" s="376" t="str">
        <f>Technologies!D297</f>
        <v>Delivery of Pipeline Traded RESKER from R4</v>
      </c>
      <c r="E203" s="415" t="str">
        <f>Commodities!C136</f>
        <v>KERR4</v>
      </c>
      <c r="F203" s="415" t="str">
        <f>Commodities!C94</f>
        <v>RESKER</v>
      </c>
      <c r="G203" s="422">
        <v>1</v>
      </c>
      <c r="H203" s="421">
        <f>DelivOIL!$C87*DelivOIL!P$78^5/(Conv!$I$5*Conv!$D$46)/10^6 + OILTrade!$E$17</f>
        <v>2.3360088139261128</v>
      </c>
      <c r="I203" s="421">
        <f>DelivOIL!$C87*DelivOIL!Q$78^5/(Conv!$I$5*Conv!$D$46)/10^6 + OILTrade!$E$17</f>
        <v>2.324839816568975</v>
      </c>
      <c r="J203" s="421">
        <f>DelivOIL!$C87*DelivOIL!R$78^5/(Conv!$I$5*Conv!$D$46)/10^6 + OILTrade!$E$17</f>
        <v>2.4341840204874203</v>
      </c>
      <c r="K203" s="421">
        <f>DelivOIL!$C87*DelivOIL!S$78^5/(Conv!$I$5*Conv!$D$46)/10^6 + OILTrade!$E$17</f>
        <v>2.8867542721630399</v>
      </c>
      <c r="L203" s="421">
        <f>DelivOIL!$C87*DelivOIL!T$78^5/(Conv!$I$5*Conv!$D$46)/10^6 + OILTrade!$E$17</f>
        <v>2.6658129101280625</v>
      </c>
      <c r="M203" s="421">
        <f>DelivOIL!$C87*DelivOIL!U$78^5/(Conv!$I$5*Conv!$D$46)/10^6 + OILTrade!$E$17</f>
        <v>2.387746966355611</v>
      </c>
      <c r="N203" s="421">
        <f>DelivOIL!$C87*DelivOIL!V$78^5/(Conv!$I$5*Conv!$D$46)/10^6 + OILTrade!$E$17</f>
        <v>2.387746966355611</v>
      </c>
      <c r="O203" s="421">
        <f>DelivOIL!$C87*DelivOIL!W$78^5/(Conv!$I$5*Conv!$D$46)/10^6 + OILTrade!$E$17</f>
        <v>2.387746966355611</v>
      </c>
      <c r="P203" s="421">
        <f>DelivOIL!$C87*DelivOIL!X$78^5/(Conv!$I$5*Conv!$D$46)/10^6 + OILTrade!$E$17</f>
        <v>2.387746966355611</v>
      </c>
      <c r="Q203" s="421">
        <f>DelivOIL!$C87*DelivOIL!Y$78^5/(Conv!$I$5*Conv!$D$46)/10^6 + OILTrade!$E$17</f>
        <v>2.387746966355611</v>
      </c>
      <c r="S203" s="395"/>
      <c r="T203" s="395"/>
      <c r="U203" s="395"/>
      <c r="V203" s="395"/>
      <c r="W203" s="395"/>
      <c r="X203" s="395"/>
      <c r="Y203" s="395"/>
      <c r="Z203" s="395"/>
      <c r="AA203" s="395"/>
      <c r="AB203" s="395"/>
      <c r="AC203" s="395"/>
    </row>
    <row r="204" spans="2:29">
      <c r="B204" s="376" t="str">
        <f>Technologies!B298</f>
        <v>*</v>
      </c>
      <c r="C204" s="376" t="str">
        <f>Technologies!C298</f>
        <v>XPCOMKERR4</v>
      </c>
      <c r="D204" s="376" t="str">
        <f>Technologies!D298</f>
        <v>Delivery of Pipeline Traded COMKER from R4</v>
      </c>
      <c r="E204" s="415" t="str">
        <f>E203</f>
        <v>KERR4</v>
      </c>
      <c r="F204" s="415" t="str">
        <f>Commodities!C95</f>
        <v>COMKER</v>
      </c>
      <c r="G204" s="422">
        <v>1</v>
      </c>
      <c r="H204" s="421">
        <f>DelivOIL!$C88*DelivOIL!P$78^5/(Conv!$I$5*Conv!$D$46)/10^6 + OILTrade!$E$17</f>
        <v>2.0905605051798508</v>
      </c>
      <c r="I204" s="421">
        <f>DelivOIL!$C88*DelivOIL!Q$78^5/(Conv!$I$5*Conv!$D$46)/10^6 + OILTrade!$E$17</f>
        <v>2.0806885526770902</v>
      </c>
      <c r="J204" s="421">
        <f>DelivOIL!$C88*DelivOIL!R$78^5/(Conv!$I$5*Conv!$D$46)/10^6 + OILTrade!$E$17</f>
        <v>2.1773347200114577</v>
      </c>
      <c r="K204" s="421">
        <f>DelivOIL!$C88*DelivOIL!S$78^5/(Conv!$I$5*Conv!$D$46)/10^6 + OILTrade!$E$17</f>
        <v>2.5773484263311994</v>
      </c>
      <c r="L204" s="421">
        <f>DelivOIL!$C88*DelivOIL!T$78^5/(Conv!$I$5*Conv!$D$46)/10^6 + OILTrade!$E$17</f>
        <v>2.3820647708551226</v>
      </c>
      <c r="M204" s="421">
        <f>DelivOIL!$C88*DelivOIL!U$78^5/(Conv!$I$5*Conv!$D$46)/10^6 + OILTrade!$E$17</f>
        <v>2.1362903560368904</v>
      </c>
      <c r="N204" s="421">
        <f>DelivOIL!$C88*DelivOIL!V$78^5/(Conv!$I$5*Conv!$D$46)/10^6 + OILTrade!$E$17</f>
        <v>2.1362903560368904</v>
      </c>
      <c r="O204" s="421">
        <f>DelivOIL!$C88*DelivOIL!W$78^5/(Conv!$I$5*Conv!$D$46)/10^6 + OILTrade!$E$17</f>
        <v>2.1362903560368904</v>
      </c>
      <c r="P204" s="421">
        <f>DelivOIL!$C88*DelivOIL!X$78^5/(Conv!$I$5*Conv!$D$46)/10^6 + OILTrade!$E$17</f>
        <v>2.1362903560368904</v>
      </c>
      <c r="Q204" s="421">
        <f>DelivOIL!$C88*DelivOIL!Y$78^5/(Conv!$I$5*Conv!$D$46)/10^6 + OILTrade!$E$17</f>
        <v>2.1362903560368904</v>
      </c>
      <c r="S204" s="395"/>
      <c r="T204" s="395"/>
      <c r="U204" s="395"/>
      <c r="V204" s="395"/>
      <c r="W204" s="395"/>
      <c r="X204" s="395"/>
      <c r="Y204" s="395"/>
      <c r="Z204" s="395"/>
      <c r="AA204" s="395"/>
      <c r="AB204" s="395"/>
      <c r="AC204" s="395"/>
    </row>
    <row r="205" spans="2:29">
      <c r="B205" s="376" t="str">
        <f>Technologies!B299</f>
        <v>*</v>
      </c>
      <c r="C205" s="376" t="str">
        <f>Technologies!C299</f>
        <v>XPINDKERR4</v>
      </c>
      <c r="D205" s="376" t="str">
        <f>Technologies!D299</f>
        <v>Delivery of Pipeline Traded INDKER from R4</v>
      </c>
      <c r="E205" s="415" t="str">
        <f>E204</f>
        <v>KERR4</v>
      </c>
      <c r="F205" s="415" t="str">
        <f>Commodities!C96</f>
        <v>INDKER</v>
      </c>
      <c r="G205" s="422">
        <v>1</v>
      </c>
      <c r="H205" s="421">
        <f>DelivOIL!$C89*DelivOIL!P$78^5/(Conv!$I$5*Conv!$D$46)/10^6 + OILTrade!$E$17</f>
        <v>1.3814876132462</v>
      </c>
      <c r="I205" s="421">
        <f>DelivOIL!$C89*DelivOIL!Q$78^5/(Conv!$I$5*Conv!$D$46)/10^6 + OILTrade!$E$17</f>
        <v>1.3753626792116402</v>
      </c>
      <c r="J205" s="421">
        <f>DelivOIL!$C89*DelivOIL!R$78^5/(Conv!$I$5*Conv!$D$46)/10^6 + OILTrade!$E$17</f>
        <v>1.4353256297475618</v>
      </c>
      <c r="K205" s="421">
        <f>DelivOIL!$C89*DelivOIL!S$78^5/(Conv!$I$5*Conv!$D$46)/10^6 + OILTrade!$E$17</f>
        <v>1.683509316150321</v>
      </c>
      <c r="L205" s="421">
        <f>DelivOIL!$C89*DelivOIL!T$78^5/(Conv!$I$5*Conv!$D$46)/10^6 + OILTrade!$E$17</f>
        <v>1.5623479240666236</v>
      </c>
      <c r="M205" s="421">
        <f>DelivOIL!$C89*DelivOIL!U$78^5/(Conv!$I$5*Conv!$D$46)/10^6 + OILTrade!$E$17</f>
        <v>1.4098601484494724</v>
      </c>
      <c r="N205" s="421">
        <f>DelivOIL!$C89*DelivOIL!V$78^5/(Conv!$I$5*Conv!$D$46)/10^6 + OILTrade!$E$17</f>
        <v>1.4098601484494724</v>
      </c>
      <c r="O205" s="421">
        <f>DelivOIL!$C89*DelivOIL!W$78^5/(Conv!$I$5*Conv!$D$46)/10^6 + OILTrade!$E$17</f>
        <v>1.4098601484494724</v>
      </c>
      <c r="P205" s="421">
        <f>DelivOIL!$C89*DelivOIL!X$78^5/(Conv!$I$5*Conv!$D$46)/10^6 + OILTrade!$E$17</f>
        <v>1.4098601484494724</v>
      </c>
      <c r="Q205" s="421">
        <f>DelivOIL!$C89*DelivOIL!Y$78^5/(Conv!$I$5*Conv!$D$46)/10^6 + OILTrade!$E$17</f>
        <v>1.4098601484494724</v>
      </c>
      <c r="S205" s="395"/>
      <c r="T205" s="395"/>
      <c r="U205" s="395"/>
      <c r="V205" s="395"/>
      <c r="W205" s="395"/>
      <c r="X205" s="395"/>
      <c r="Y205" s="395"/>
      <c r="Z205" s="395"/>
      <c r="AA205" s="395"/>
      <c r="AB205" s="395"/>
      <c r="AC205" s="395"/>
    </row>
    <row r="206" spans="2:29">
      <c r="B206" s="376" t="str">
        <f>Technologies!B300</f>
        <v>*</v>
      </c>
      <c r="C206" s="376" t="str">
        <f>Technologies!C300</f>
        <v>XPRESLPGR4</v>
      </c>
      <c r="D206" s="376" t="str">
        <f>Technologies!D300</f>
        <v>Delivery of Pipeline Traded RESLPG from R4</v>
      </c>
      <c r="E206" s="415" t="str">
        <f>Commodities!C137</f>
        <v>LPGR4</v>
      </c>
      <c r="F206" s="415" t="str">
        <f>Commodities!C97</f>
        <v>RESLPG</v>
      </c>
      <c r="G206" s="422">
        <v>1</v>
      </c>
      <c r="H206" s="421">
        <f>DelivOIL!$C90*DelivOIL!P$78^5/(Conv!$I$5*Conv!$D$46)/10^6 + OILTrade!$E$17</f>
        <v>6.7131703199011481</v>
      </c>
      <c r="I206" s="421">
        <f>DelivOIL!$C90*DelivOIL!Q$78^5/(Conv!$I$5*Conv!$D$46)/10^6 + OILTrade!$E$17</f>
        <v>6.6788706893076153</v>
      </c>
      <c r="J206" s="421">
        <f>DelivOIL!$C90*DelivOIL!R$78^5/(Conv!$I$5*Conv!$D$46)/10^6 + OILTrade!$E$17</f>
        <v>7.0146632123087764</v>
      </c>
      <c r="K206" s="421">
        <f>DelivOIL!$C90*DelivOIL!S$78^5/(Conv!$I$5*Conv!$D$46)/10^6 + OILTrade!$E$17</f>
        <v>8.4044918561642277</v>
      </c>
      <c r="L206" s="421">
        <f>DelivOIL!$C90*DelivOIL!T$78^5/(Conv!$I$5*Conv!$D$46)/10^6 + OILTrade!$E$17</f>
        <v>7.7259880604955224</v>
      </c>
      <c r="M206" s="421">
        <f>DelivOIL!$C90*DelivOIL!U$78^5/(Conv!$I$5*Conv!$D$46)/10^6 + OILTrade!$E$17</f>
        <v>6.8720565170394758</v>
      </c>
      <c r="N206" s="421">
        <f>DelivOIL!$C90*DelivOIL!V$78^5/(Conv!$I$5*Conv!$D$46)/10^6 + OILTrade!$E$17</f>
        <v>6.8720565170394758</v>
      </c>
      <c r="O206" s="421">
        <f>DelivOIL!$C90*DelivOIL!W$78^5/(Conv!$I$5*Conv!$D$46)/10^6 + OILTrade!$E$17</f>
        <v>6.8720565170394758</v>
      </c>
      <c r="P206" s="421">
        <f>DelivOIL!$C90*DelivOIL!X$78^5/(Conv!$I$5*Conv!$D$46)/10^6 + OILTrade!$E$17</f>
        <v>6.8720565170394758</v>
      </c>
      <c r="Q206" s="421">
        <f>DelivOIL!$C90*DelivOIL!Y$78^5/(Conv!$I$5*Conv!$D$46)/10^6 + OILTrade!$E$17</f>
        <v>6.8720565170394758</v>
      </c>
      <c r="S206" s="395"/>
      <c r="T206" s="395"/>
      <c r="U206" s="395"/>
      <c r="V206" s="395"/>
      <c r="W206" s="395"/>
      <c r="X206" s="395"/>
      <c r="Y206" s="395"/>
      <c r="Z206" s="395"/>
      <c r="AA206" s="395"/>
      <c r="AB206" s="395"/>
      <c r="AC206" s="395"/>
    </row>
    <row r="207" spans="2:29">
      <c r="B207" s="376" t="str">
        <f>Technologies!B301</f>
        <v>*</v>
      </c>
      <c r="C207" s="376" t="str">
        <f>Technologies!C301</f>
        <v>XPCOMLPGR4</v>
      </c>
      <c r="D207" s="376" t="str">
        <f>Technologies!D301</f>
        <v>Delivery of Pipeline Traded COMLPG from R4</v>
      </c>
      <c r="E207" s="415" t="str">
        <f>E206</f>
        <v>LPGR4</v>
      </c>
      <c r="F207" s="415" t="str">
        <f>Commodities!C98</f>
        <v>COMLPG</v>
      </c>
      <c r="G207" s="422">
        <v>1</v>
      </c>
      <c r="H207" s="421">
        <f>DelivOIL!$C91*DelivOIL!P$78^5/(Conv!$I$5*Conv!$D$46)/10^6 + OILTrade!$E$17</f>
        <v>2.8132694142660704</v>
      </c>
      <c r="I207" s="421">
        <f>DelivOIL!$C91*DelivOIL!Q$78^5/(Conv!$I$5*Conv!$D$46)/10^6 + OILTrade!$E$17</f>
        <v>2.7995783852476435</v>
      </c>
      <c r="J207" s="421">
        <f>DelivOIL!$C91*DelivOIL!R$78^5/(Conv!$I$5*Conv!$D$46)/10^6 + OILTrade!$E$17</f>
        <v>2.9336132158573505</v>
      </c>
      <c r="K207" s="421">
        <f>DelivOIL!$C91*DelivOIL!S$78^5/(Conv!$I$5*Conv!$D$46)/10^6 + OILTrade!$E$17</f>
        <v>3.4883767501694001</v>
      </c>
      <c r="L207" s="421">
        <f>DelivOIL!$C91*DelivOIL!T$78^5/(Conv!$I$5*Conv!$D$46)/10^6 + OILTrade!$E$17</f>
        <v>3.2175454031587827</v>
      </c>
      <c r="M207" s="421">
        <f>DelivOIL!$C91*DelivOIL!U$78^5/(Conv!$I$5*Conv!$D$46)/10^6 + OILTrade!$E$17</f>
        <v>2.8766903753086801</v>
      </c>
      <c r="N207" s="421">
        <f>DelivOIL!$C91*DelivOIL!V$78^5/(Conv!$I$5*Conv!$D$46)/10^6 + OILTrade!$E$17</f>
        <v>2.8766903753086801</v>
      </c>
      <c r="O207" s="421">
        <f>DelivOIL!$C91*DelivOIL!W$78^5/(Conv!$I$5*Conv!$D$46)/10^6 + OILTrade!$E$17</f>
        <v>2.8766903753086801</v>
      </c>
      <c r="P207" s="421">
        <f>DelivOIL!$C91*DelivOIL!X$78^5/(Conv!$I$5*Conv!$D$46)/10^6 + OILTrade!$E$17</f>
        <v>2.8766903753086801</v>
      </c>
      <c r="Q207" s="421">
        <f>DelivOIL!$C91*DelivOIL!Y$78^5/(Conv!$I$5*Conv!$D$46)/10^6 + OILTrade!$E$17</f>
        <v>2.8766903753086801</v>
      </c>
      <c r="S207" s="395"/>
      <c r="T207" s="395"/>
      <c r="U207" s="395"/>
      <c r="V207" s="395"/>
      <c r="W207" s="395"/>
      <c r="X207" s="395"/>
      <c r="Y207" s="395"/>
      <c r="Z207" s="395"/>
      <c r="AA207" s="395"/>
      <c r="AB207" s="395"/>
      <c r="AC207" s="395"/>
    </row>
    <row r="208" spans="2:29">
      <c r="B208" s="376" t="str">
        <f>Technologies!B302</f>
        <v>*</v>
      </c>
      <c r="C208" s="376" t="str">
        <f>Technologies!C302</f>
        <v>XPINDLPGR4</v>
      </c>
      <c r="D208" s="376" t="str">
        <f>Technologies!D302</f>
        <v>Delivery of Pipeline Traded INDLPG from R4</v>
      </c>
      <c r="E208" s="415" t="str">
        <f>E207</f>
        <v>LPGR4</v>
      </c>
      <c r="F208" s="415" t="str">
        <f>Commodities!C99</f>
        <v>INDLPG</v>
      </c>
      <c r="G208" s="422">
        <v>1</v>
      </c>
      <c r="H208" s="421">
        <f>DelivOIL!$C92*DelivOIL!P$78^5/(Conv!$I$5*Conv!$D$46)/10^6 + OILTrade!$E$17</f>
        <v>2.4723689854518156</v>
      </c>
      <c r="I208" s="421">
        <f>DelivOIL!$C92*DelivOIL!Q$78^5/(Conv!$I$5*Conv!$D$46)/10^6 + OILTrade!$E$17</f>
        <v>2.4604794076200243</v>
      </c>
      <c r="J208" s="421">
        <f>DelivOIL!$C92*DelivOIL!R$78^5/(Conv!$I$5*Conv!$D$46)/10^6 + OILTrade!$E$17</f>
        <v>2.5768780763074011</v>
      </c>
      <c r="K208" s="421">
        <f>DelivOIL!$C92*DelivOIL!S$78^5/(Conv!$I$5*Conv!$D$46)/10^6 + OILTrade!$E$17</f>
        <v>3.058646408736287</v>
      </c>
      <c r="L208" s="421">
        <f>DelivOIL!$C92*DelivOIL!T$78^5/(Conv!$I$5*Conv!$D$46)/10^6 + OILTrade!$E$17</f>
        <v>2.8234507652796976</v>
      </c>
      <c r="M208" s="421">
        <f>DelivOIL!$C92*DelivOIL!U$78^5/(Conv!$I$5*Conv!$D$46)/10^6 + OILTrade!$E$17</f>
        <v>2.5274450831993458</v>
      </c>
      <c r="N208" s="421">
        <f>DelivOIL!$C92*DelivOIL!V$78^5/(Conv!$I$5*Conv!$D$46)/10^6 + OILTrade!$E$17</f>
        <v>2.5274450831993458</v>
      </c>
      <c r="O208" s="421">
        <f>DelivOIL!$C92*DelivOIL!W$78^5/(Conv!$I$5*Conv!$D$46)/10^6 + OILTrade!$E$17</f>
        <v>2.5274450831993458</v>
      </c>
      <c r="P208" s="421">
        <f>DelivOIL!$C92*DelivOIL!X$78^5/(Conv!$I$5*Conv!$D$46)/10^6 + OILTrade!$E$17</f>
        <v>2.5274450831993458</v>
      </c>
      <c r="Q208" s="421">
        <f>DelivOIL!$C92*DelivOIL!Y$78^5/(Conv!$I$5*Conv!$D$46)/10^6 + OILTrade!$E$17</f>
        <v>2.5274450831993458</v>
      </c>
      <c r="S208" s="395"/>
      <c r="T208" s="395"/>
      <c r="U208" s="395"/>
      <c r="V208" s="395"/>
      <c r="W208" s="395"/>
      <c r="X208" s="395"/>
      <c r="Y208" s="395"/>
      <c r="Z208" s="395"/>
      <c r="AA208" s="395"/>
      <c r="AB208" s="395"/>
      <c r="AC208" s="395"/>
    </row>
    <row r="209" spans="2:29">
      <c r="B209" s="376" t="str">
        <f>Technologies!B303</f>
        <v>*</v>
      </c>
      <c r="C209" s="376" t="str">
        <f>Technologies!C303</f>
        <v>XPTRNLPGR4</v>
      </c>
      <c r="D209" s="376" t="str">
        <f>Technologies!D303</f>
        <v>Delivery of Pipeline Traded TRNLPG from R4</v>
      </c>
      <c r="E209" s="415" t="str">
        <f>E208</f>
        <v>LPGR4</v>
      </c>
      <c r="F209" s="415" t="str">
        <f>Commodities!C100</f>
        <v>TRNLPG</v>
      </c>
      <c r="G209" s="422">
        <v>1</v>
      </c>
      <c r="H209" s="421">
        <f>DelivOIL!$C93*DelivOIL!P$78^5/(Conv!$I$5*Conv!$D$46)/10^6 + OILTrade!$E$17</f>
        <v>4.0541469751499584</v>
      </c>
      <c r="I209" s="421">
        <f>DelivOIL!$C93*DelivOIL!Q$78^5/(Conv!$I$5*Conv!$D$46)/10^6 + OILTrade!$E$17</f>
        <v>4.0338986638121783</v>
      </c>
      <c r="J209" s="421">
        <f>DelivOIL!$C93*DelivOIL!R$78^5/(Conv!$I$5*Conv!$D$46)/10^6 + OILTrade!$E$17</f>
        <v>4.2321291238191678</v>
      </c>
      <c r="K209" s="421">
        <f>DelivOIL!$C93*DelivOIL!S$78^5/(Conv!$I$5*Conv!$D$46)/10^6 + OILTrade!$E$17</f>
        <v>5.0525951929859358</v>
      </c>
      <c r="L209" s="421">
        <f>DelivOIL!$C93*DelivOIL!T$78^5/(Conv!$I$5*Conv!$D$46)/10^6 + OILTrade!$E$17</f>
        <v>4.6520498850386538</v>
      </c>
      <c r="M209" s="421">
        <f>DelivOIL!$C93*DelivOIL!U$78^5/(Conv!$I$5*Conv!$D$46)/10^6 + OILTrade!$E$17</f>
        <v>4.1479432385866604</v>
      </c>
      <c r="N209" s="421">
        <f>DelivOIL!$C93*DelivOIL!V$78^5/(Conv!$I$5*Conv!$D$46)/10^6 + OILTrade!$E$17</f>
        <v>4.1479432385866604</v>
      </c>
      <c r="O209" s="421">
        <f>DelivOIL!$C93*DelivOIL!W$78^5/(Conv!$I$5*Conv!$D$46)/10^6 + OILTrade!$E$17</f>
        <v>4.1479432385866604</v>
      </c>
      <c r="P209" s="421">
        <f>DelivOIL!$C93*DelivOIL!X$78^5/(Conv!$I$5*Conv!$D$46)/10^6 + OILTrade!$E$17</f>
        <v>4.1479432385866604</v>
      </c>
      <c r="Q209" s="421">
        <f>DelivOIL!$C93*DelivOIL!Y$78^5/(Conv!$I$5*Conv!$D$46)/10^6 + OILTrade!$E$17</f>
        <v>4.1479432385866604</v>
      </c>
      <c r="S209" s="395"/>
      <c r="T209" s="395"/>
      <c r="U209" s="395"/>
      <c r="V209" s="395"/>
      <c r="W209" s="395"/>
      <c r="X209" s="395"/>
      <c r="Y209" s="395"/>
      <c r="Z209" s="395"/>
      <c r="AA209" s="395"/>
      <c r="AB209" s="395"/>
      <c r="AC209" s="395"/>
    </row>
    <row r="210" spans="2:29">
      <c r="B210" s="376" t="str">
        <f>Technologies!B304</f>
        <v>*</v>
      </c>
      <c r="C210" s="376" t="str">
        <f>Technologies!C304</f>
        <v>XPTRNMTHR4</v>
      </c>
      <c r="D210" s="376" t="str">
        <f>Technologies!D304</f>
        <v>Delivery of Pipeline Traded TRNMTH from R4</v>
      </c>
      <c r="E210" s="415" t="str">
        <f>Commodities!C138</f>
        <v>MTHR4</v>
      </c>
      <c r="F210" s="415" t="str">
        <f>Commodities!C101</f>
        <v>TRNMTH</v>
      </c>
      <c r="G210" s="422">
        <v>1</v>
      </c>
      <c r="H210" s="421">
        <f>DelivOIL!$C94*DelivOIL!P$78^5/(Conv!$I$5*Conv!$D$46)/10^6 + OILTrade!$E$17</f>
        <v>3.8836967607428319</v>
      </c>
      <c r="I210" s="421">
        <f>DelivOIL!$C94*DelivOIL!Q$78^5/(Conv!$I$5*Conv!$D$46)/10^6 + OILTrade!$E$17</f>
        <v>3.8643491749983703</v>
      </c>
      <c r="J210" s="421">
        <f>DelivOIL!$C94*DelivOIL!R$78^5/(Conv!$I$5*Conv!$D$46)/10^6 + OILTrade!$E$17</f>
        <v>4.0537615540441934</v>
      </c>
      <c r="K210" s="421">
        <f>DelivOIL!$C94*DelivOIL!S$78^5/(Conv!$I$5*Conv!$D$46)/10^6 + OILTrade!$E$17</f>
        <v>4.8377300222693789</v>
      </c>
      <c r="L210" s="421">
        <f>DelivOIL!$C94*DelivOIL!T$78^5/(Conv!$I$5*Conv!$D$46)/10^6 + OILTrade!$E$17</f>
        <v>4.4550025660991119</v>
      </c>
      <c r="M210" s="421">
        <f>DelivOIL!$C94*DelivOIL!U$78^5/(Conv!$I$5*Conv!$D$46)/10^6 + OILTrade!$E$17</f>
        <v>3.9733205925319934</v>
      </c>
      <c r="N210" s="421">
        <f>DelivOIL!$C94*DelivOIL!V$78^5/(Conv!$I$5*Conv!$D$46)/10^6 + OILTrade!$E$17</f>
        <v>3.9733205925319934</v>
      </c>
      <c r="O210" s="421">
        <f>DelivOIL!$C94*DelivOIL!W$78^5/(Conv!$I$5*Conv!$D$46)/10^6 + OILTrade!$E$17</f>
        <v>3.9733205925319934</v>
      </c>
      <c r="P210" s="421">
        <f>DelivOIL!$C94*DelivOIL!X$78^5/(Conv!$I$5*Conv!$D$46)/10^6 + OILTrade!$E$17</f>
        <v>3.9733205925319934</v>
      </c>
      <c r="Q210" s="421">
        <f>DelivOIL!$C94*DelivOIL!Y$78^5/(Conv!$I$5*Conv!$D$46)/10^6 + OILTrade!$E$17</f>
        <v>3.9733205925319934</v>
      </c>
      <c r="S210" s="395"/>
      <c r="T210" s="395"/>
      <c r="U210" s="395"/>
      <c r="V210" s="395"/>
      <c r="W210" s="395"/>
      <c r="X210" s="395"/>
      <c r="Y210" s="395"/>
      <c r="Z210" s="395"/>
      <c r="AA210" s="395"/>
      <c r="AB210" s="395"/>
      <c r="AC210" s="395"/>
    </row>
    <row r="211" spans="2:29">
      <c r="B211" s="376" t="str">
        <f>Technologies!B305</f>
        <v>*</v>
      </c>
      <c r="C211" s="376" t="str">
        <f>Technologies!C305</f>
        <v>XPINDPFSR4</v>
      </c>
      <c r="D211" s="376" t="str">
        <f>Technologies!D305</f>
        <v>Delivery of Pipeline Traded INDPFS from R4</v>
      </c>
      <c r="E211" s="415" t="str">
        <f>Commodities!C139</f>
        <v>PFSR4</v>
      </c>
      <c r="F211" s="415" t="str">
        <f>Commodities!C102</f>
        <v>INDPFS</v>
      </c>
      <c r="G211" s="422">
        <v>1</v>
      </c>
      <c r="H211" s="421">
        <f>DelivOIL!$C95*DelivOIL!P$78^5/(Conv!$I$5*Conv!$D$46)/10^6 + OILTrade!$E$17</f>
        <v>0.50196450690542171</v>
      </c>
      <c r="I211" s="421">
        <f>DelivOIL!$C95*DelivOIL!Q$78^5/(Conv!$I$5*Conv!$D$46)/10^6 + OILTrade!$E$17</f>
        <v>0.50048731693238091</v>
      </c>
      <c r="J211" s="421">
        <f>DelivOIL!$C95*DelivOIL!R$78^5/(Conv!$I$5*Conv!$D$46)/10^6 + OILTrade!$E$17</f>
        <v>0.51494896970869142</v>
      </c>
      <c r="K211" s="421">
        <f>DelivOIL!$C95*DelivOIL!S$78^5/(Conv!$I$5*Conv!$D$46)/10^6 + OILTrade!$E$17</f>
        <v>0.57480503525288629</v>
      </c>
      <c r="L211" s="421">
        <f>DelivOIL!$C95*DelivOIL!T$78^5/(Conv!$I$5*Conv!$D$46)/10^6 + OILTrade!$E$17</f>
        <v>0.54558375833858275</v>
      </c>
      <c r="M211" s="421">
        <f>DelivOIL!$C95*DelivOIL!U$78^5/(Conv!$I$5*Conv!$D$46)/10^6 + OILTrade!$E$17</f>
        <v>0.50880729480738751</v>
      </c>
      <c r="N211" s="421">
        <f>DelivOIL!$C95*DelivOIL!V$78^5/(Conv!$I$5*Conv!$D$46)/10^6 + OILTrade!$E$17</f>
        <v>0.50880729480738751</v>
      </c>
      <c r="O211" s="421">
        <f>DelivOIL!$C95*DelivOIL!W$78^5/(Conv!$I$5*Conv!$D$46)/10^6 + OILTrade!$E$17</f>
        <v>0.50880729480738751</v>
      </c>
      <c r="P211" s="421">
        <f>DelivOIL!$C95*DelivOIL!X$78^5/(Conv!$I$5*Conv!$D$46)/10^6 + OILTrade!$E$17</f>
        <v>0.50880729480738751</v>
      </c>
      <c r="Q211" s="421">
        <f>DelivOIL!$C95*DelivOIL!Y$78^5/(Conv!$I$5*Conv!$D$46)/10^6 + OILTrade!$E$17</f>
        <v>0.50880729480738751</v>
      </c>
      <c r="S211" s="395"/>
      <c r="T211" s="395"/>
      <c r="U211" s="395"/>
      <c r="V211" s="395"/>
      <c r="W211" s="395"/>
      <c r="X211" s="395"/>
      <c r="Y211" s="395"/>
      <c r="Z211" s="395"/>
      <c r="AA211" s="395"/>
      <c r="AB211" s="395"/>
      <c r="AC211" s="395"/>
    </row>
    <row r="212" spans="2:29">
      <c r="B212" s="376" t="str">
        <f>Technologies!B306</f>
        <v>*</v>
      </c>
      <c r="C212" s="376" t="str">
        <f>Technologies!C306</f>
        <v>XPRESRFLR4</v>
      </c>
      <c r="D212" s="376" t="str">
        <f>Technologies!D306</f>
        <v>Delivery of Pipeline Traded RESRFL from R4</v>
      </c>
      <c r="E212" s="415" t="str">
        <f>Commodities!C141</f>
        <v>RFLR4</v>
      </c>
      <c r="F212" s="415" t="str">
        <f>Commodities!C103</f>
        <v>RESRFL</v>
      </c>
      <c r="G212" s="422">
        <v>1</v>
      </c>
      <c r="H212" s="421">
        <f>DelivOIL!$C96*DelivOIL!P$78^5/(Conv!$I$5*Conv!$D$46)/10^6 + OILTrade!$E$17</f>
        <v>0.87695497860110183</v>
      </c>
      <c r="I212" s="421">
        <f>DelivOIL!$C96*DelivOIL!Q$78^5/(Conv!$I$5*Conv!$D$46)/10^6 + OILTrade!$E$17</f>
        <v>0.87349619232276232</v>
      </c>
      <c r="J212" s="421">
        <f>DelivOIL!$C96*DelivOIL!R$78^5/(Conv!$I$5*Conv!$D$46)/10^6 + OILTrade!$E$17</f>
        <v>0.90735762321363567</v>
      </c>
      <c r="K212" s="421">
        <f>DelivOIL!$C96*DelivOIL!S$78^5/(Conv!$I$5*Conv!$D$46)/10^6 + OILTrade!$E$17</f>
        <v>1.0475084108293113</v>
      </c>
      <c r="L212" s="421">
        <f>DelivOIL!$C96*DelivOIL!T$78^5/(Conv!$I$5*Conv!$D$46)/10^6 + OILTrade!$E$17</f>
        <v>0.97908786000557646</v>
      </c>
      <c r="M212" s="421">
        <f>DelivOIL!$C96*DelivOIL!U$78^5/(Conv!$I$5*Conv!$D$46)/10^6 + OILTrade!$E$17</f>
        <v>0.89297711612765585</v>
      </c>
      <c r="N212" s="421">
        <f>DelivOIL!$C96*DelivOIL!V$78^5/(Conv!$I$5*Conv!$D$46)/10^6 + OILTrade!$E$17</f>
        <v>0.89297711612765585</v>
      </c>
      <c r="O212" s="421">
        <f>DelivOIL!$C96*DelivOIL!W$78^5/(Conv!$I$5*Conv!$D$46)/10^6 + OILTrade!$E$17</f>
        <v>0.89297711612765585</v>
      </c>
      <c r="P212" s="421">
        <f>DelivOIL!$C96*DelivOIL!X$78^5/(Conv!$I$5*Conv!$D$46)/10^6 + OILTrade!$E$17</f>
        <v>0.89297711612765585</v>
      </c>
      <c r="Q212" s="421">
        <f>DelivOIL!$C96*DelivOIL!Y$78^5/(Conv!$I$5*Conv!$D$46)/10^6 + OILTrade!$E$17</f>
        <v>0.89297711612765585</v>
      </c>
      <c r="S212" s="395"/>
      <c r="T212" s="395"/>
      <c r="U212" s="395"/>
      <c r="V212" s="395"/>
      <c r="W212" s="395"/>
      <c r="X212" s="395"/>
      <c r="Y212" s="395"/>
      <c r="Z212" s="395"/>
      <c r="AA212" s="395"/>
      <c r="AB212" s="395"/>
      <c r="AC212" s="395"/>
    </row>
    <row r="213" spans="2:29">
      <c r="B213" s="376" t="str">
        <f>Technologies!B307</f>
        <v>*</v>
      </c>
      <c r="C213" s="376" t="str">
        <f>Technologies!C307</f>
        <v>XPCOMRFLR4</v>
      </c>
      <c r="D213" s="376" t="str">
        <f>Technologies!D307</f>
        <v>Delivery of Pipeline Traded COMRFL from R4</v>
      </c>
      <c r="E213" s="415" t="str">
        <f>Commodities!C141</f>
        <v>RFLR4</v>
      </c>
      <c r="F213" s="415" t="str">
        <f>Commodities!C104</f>
        <v>COMRFL</v>
      </c>
      <c r="G213" s="422">
        <v>1</v>
      </c>
      <c r="H213" s="421">
        <f>DelivOIL!$C96*DelivOIL!P$78^5/(Conv!$I$5*Conv!$D$46)/10^6 + OILTrade!$E$17</f>
        <v>0.87695497860110183</v>
      </c>
      <c r="I213" s="421">
        <f>DelivOIL!$C96*DelivOIL!Q$78^5/(Conv!$I$5*Conv!$D$46)/10^6 + OILTrade!$E$17</f>
        <v>0.87349619232276232</v>
      </c>
      <c r="J213" s="421">
        <f>DelivOIL!$C96*DelivOIL!R$78^5/(Conv!$I$5*Conv!$D$46)/10^6 + OILTrade!$E$17</f>
        <v>0.90735762321363567</v>
      </c>
      <c r="K213" s="421">
        <f>DelivOIL!$C96*DelivOIL!S$78^5/(Conv!$I$5*Conv!$D$46)/10^6 + OILTrade!$E$17</f>
        <v>1.0475084108293113</v>
      </c>
      <c r="L213" s="421">
        <f>DelivOIL!$C96*DelivOIL!T$78^5/(Conv!$I$5*Conv!$D$46)/10^6 + OILTrade!$E$17</f>
        <v>0.97908786000557646</v>
      </c>
      <c r="M213" s="421">
        <f>DelivOIL!$C96*DelivOIL!U$78^5/(Conv!$I$5*Conv!$D$46)/10^6 + OILTrade!$E$17</f>
        <v>0.89297711612765585</v>
      </c>
      <c r="N213" s="421">
        <f>DelivOIL!$C96*DelivOIL!V$78^5/(Conv!$I$5*Conv!$D$46)/10^6 + OILTrade!$E$17</f>
        <v>0.89297711612765585</v>
      </c>
      <c r="O213" s="421">
        <f>DelivOIL!$C96*DelivOIL!W$78^5/(Conv!$I$5*Conv!$D$46)/10^6 + OILTrade!$E$17</f>
        <v>0.89297711612765585</v>
      </c>
      <c r="P213" s="421">
        <f>DelivOIL!$C96*DelivOIL!X$78^5/(Conv!$I$5*Conv!$D$46)/10^6 + OILTrade!$E$17</f>
        <v>0.89297711612765585</v>
      </c>
      <c r="Q213" s="421">
        <f>DelivOIL!$C96*DelivOIL!Y$78^5/(Conv!$I$5*Conv!$D$46)/10^6 + OILTrade!$E$17</f>
        <v>0.89297711612765585</v>
      </c>
      <c r="S213" s="395"/>
      <c r="T213" s="395"/>
      <c r="U213" s="395"/>
      <c r="V213" s="395"/>
      <c r="W213" s="395"/>
      <c r="X213" s="395"/>
      <c r="Y213" s="395"/>
      <c r="Z213" s="395"/>
      <c r="AA213" s="395"/>
      <c r="AB213" s="395"/>
      <c r="AC213" s="395"/>
    </row>
    <row r="214" spans="2:29">
      <c r="B214" s="376" t="str">
        <f>Technologies!B308</f>
        <v>*</v>
      </c>
      <c r="C214" s="376" t="str">
        <f>Technologies!C308</f>
        <v>XPINDRFLR4</v>
      </c>
      <c r="D214" s="376" t="str">
        <f>Technologies!D308</f>
        <v>Delivery of Pipeline Traded INDRFL from R4</v>
      </c>
      <c r="E214" s="415" t="str">
        <f>E213</f>
        <v>RFLR4</v>
      </c>
      <c r="F214" s="415" t="str">
        <f>Commodities!C105</f>
        <v>INDRFL</v>
      </c>
      <c r="G214" s="422">
        <v>1</v>
      </c>
      <c r="H214" s="421">
        <f>DelivOIL!$C97*DelivOIL!P$78^5/(Conv!$I$5*Conv!$D$46)/10^6 + OILTrade!$E$17</f>
        <v>0.73377679849911459</v>
      </c>
      <c r="I214" s="421">
        <f>DelivOIL!$C97*DelivOIL!Q$78^5/(Conv!$I$5*Conv!$D$46)/10^6 + OILTrade!$E$17</f>
        <v>0.73107462171916182</v>
      </c>
      <c r="J214" s="421">
        <f>DelivOIL!$C97*DelivOIL!R$78^5/(Conv!$I$5*Conv!$D$46)/10^6 + OILTrade!$E$17</f>
        <v>0.75752886460265678</v>
      </c>
      <c r="K214" s="421">
        <f>DelivOIL!$C97*DelivOIL!S$78^5/(Conv!$I$5*Conv!$D$46)/10^6 + OILTrade!$E$17</f>
        <v>0.86702166742740328</v>
      </c>
      <c r="L214" s="421">
        <f>DelivOIL!$C97*DelivOIL!T$78^5/(Conv!$I$5*Conv!$D$46)/10^6 + OILTrade!$E$17</f>
        <v>0.81356811209636037</v>
      </c>
      <c r="M214" s="421">
        <f>DelivOIL!$C97*DelivOIL!U$78^5/(Conv!$I$5*Conv!$D$46)/10^6 + OILTrade!$E$17</f>
        <v>0.74629409344173492</v>
      </c>
      <c r="N214" s="421">
        <f>DelivOIL!$C97*DelivOIL!V$78^5/(Conv!$I$5*Conv!$D$46)/10^6 + OILTrade!$E$17</f>
        <v>0.74629409344173492</v>
      </c>
      <c r="O214" s="421">
        <f>DelivOIL!$C97*DelivOIL!W$78^5/(Conv!$I$5*Conv!$D$46)/10^6 + OILTrade!$E$17</f>
        <v>0.74629409344173492</v>
      </c>
      <c r="P214" s="421">
        <f>DelivOIL!$C97*DelivOIL!X$78^5/(Conv!$I$5*Conv!$D$46)/10^6 + OILTrade!$E$17</f>
        <v>0.74629409344173492</v>
      </c>
      <c r="Q214" s="421">
        <f>DelivOIL!$C97*DelivOIL!Y$78^5/(Conv!$I$5*Conv!$D$46)/10^6 + OILTrade!$E$17</f>
        <v>0.74629409344173492</v>
      </c>
      <c r="S214" s="395"/>
      <c r="T214" s="395"/>
      <c r="U214" s="395"/>
      <c r="V214" s="395"/>
      <c r="W214" s="395"/>
      <c r="X214" s="395"/>
      <c r="Y214" s="395"/>
      <c r="Z214" s="395"/>
      <c r="AA214" s="395"/>
      <c r="AB214" s="395"/>
      <c r="AC214" s="395"/>
    </row>
    <row r="215" spans="2:29">
      <c r="B215" s="376" t="str">
        <f>Technologies!B309</f>
        <v>*</v>
      </c>
      <c r="C215" s="376" t="str">
        <f>Technologies!C309</f>
        <v>XPELCRFLR4</v>
      </c>
      <c r="D215" s="376" t="str">
        <f>Technologies!D309</f>
        <v>Delivery of Pipeline Traded ELCRFL from R4</v>
      </c>
      <c r="E215" s="415" t="str">
        <f>E214</f>
        <v>RFLR4</v>
      </c>
      <c r="F215" s="415" t="str">
        <f>Commodities!C106</f>
        <v>ELCRFL</v>
      </c>
      <c r="G215" s="422">
        <v>1</v>
      </c>
      <c r="H215" s="421">
        <f>DelivOIL!$C98*DelivOIL!P$78^5/(Conv!$I$5*Conv!$D$46)/10^6 + OILTrade!$E$17</f>
        <v>0.22242615527773235</v>
      </c>
      <c r="I215" s="421">
        <f>DelivOIL!$C98*DelivOIL!Q$78^5/(Conv!$I$5*Conv!$D$46)/10^6 + OILTrade!$E$17</f>
        <v>0.22242615527773235</v>
      </c>
      <c r="J215" s="421">
        <f>DelivOIL!$C98*DelivOIL!R$78^5/(Conv!$I$5*Conv!$D$46)/10^6 + OILTrade!$E$17</f>
        <v>0.22242615527773235</v>
      </c>
      <c r="K215" s="421">
        <f>DelivOIL!$C98*DelivOIL!S$78^5/(Conv!$I$5*Conv!$D$46)/10^6 + OILTrade!$E$17</f>
        <v>0.22242615527773235</v>
      </c>
      <c r="L215" s="421">
        <f>DelivOIL!$C98*DelivOIL!T$78^5/(Conv!$I$5*Conv!$D$46)/10^6 + OILTrade!$E$17</f>
        <v>0.22242615527773235</v>
      </c>
      <c r="M215" s="421">
        <f>DelivOIL!$C98*DelivOIL!U$78^5/(Conv!$I$5*Conv!$D$46)/10^6 + OILTrade!$E$17</f>
        <v>0.22242615527773235</v>
      </c>
      <c r="N215" s="421">
        <f>DelivOIL!$C98*DelivOIL!V$78^5/(Conv!$I$5*Conv!$D$46)/10^6 + OILTrade!$E$17</f>
        <v>0.22242615527773235</v>
      </c>
      <c r="O215" s="421">
        <f>DelivOIL!$C98*DelivOIL!W$78^5/(Conv!$I$5*Conv!$D$46)/10^6 + OILTrade!$E$17</f>
        <v>0.22242615527773235</v>
      </c>
      <c r="P215" s="421">
        <f>DelivOIL!$C98*DelivOIL!X$78^5/(Conv!$I$5*Conv!$D$46)/10^6 + OILTrade!$E$17</f>
        <v>0.22242615527773235</v>
      </c>
      <c r="Q215" s="421">
        <f>DelivOIL!$C98*DelivOIL!Y$78^5/(Conv!$I$5*Conv!$D$46)/10^6 + OILTrade!$E$17</f>
        <v>0.22242615527773235</v>
      </c>
      <c r="S215" s="395"/>
      <c r="T215" s="395"/>
      <c r="U215" s="395"/>
      <c r="V215" s="395"/>
      <c r="W215" s="395"/>
      <c r="X215" s="395"/>
      <c r="Y215" s="395"/>
      <c r="Z215" s="395"/>
      <c r="AA215" s="395"/>
      <c r="AB215" s="395"/>
      <c r="AC215" s="395"/>
    </row>
    <row r="216" spans="2:29">
      <c r="B216" s="376" t="str">
        <f>Technologies!B310</f>
        <v>*</v>
      </c>
      <c r="C216" s="376" t="str">
        <f>Technologies!C310</f>
        <v>XPTRNRFHR4</v>
      </c>
      <c r="D216" s="376" t="str">
        <f>Technologies!D310</f>
        <v>Delivery of Pipeline Traded TRNRFH from R4</v>
      </c>
      <c r="E216" s="415" t="str">
        <f>Commodities!C140</f>
        <v>RFHR4</v>
      </c>
      <c r="F216" s="415" t="str">
        <f>Commodities!C107</f>
        <v>TRNRFH</v>
      </c>
      <c r="G216" s="422">
        <v>1</v>
      </c>
      <c r="H216" s="421">
        <f>DelivOIL!$C99*DelivOIL!P$78^5/(Conv!$I$5*Conv!$D$46)/10^6 + OILTrade!$E$17</f>
        <v>4.1223270609128093</v>
      </c>
      <c r="I216" s="421">
        <f>DelivOIL!$C99*DelivOIL!Q$78^5/(Conv!$I$5*Conv!$D$46)/10^6 + OILTrade!$E$17</f>
        <v>4.101718459337703</v>
      </c>
      <c r="J216" s="421">
        <f>DelivOIL!$C99*DelivOIL!R$78^5/(Conv!$I$5*Conv!$D$46)/10^6 + OILTrade!$E$17</f>
        <v>4.3034761517291571</v>
      </c>
      <c r="K216" s="421">
        <f>DelivOIL!$C99*DelivOIL!S$78^5/(Conv!$I$5*Conv!$D$46)/10^6 + OILTrade!$E$17</f>
        <v>5.1385412612725583</v>
      </c>
      <c r="L216" s="421">
        <f>DelivOIL!$C99*DelivOIL!T$78^5/(Conv!$I$5*Conv!$D$46)/10^6 + OILTrade!$E$17</f>
        <v>4.73086881261447</v>
      </c>
      <c r="M216" s="421">
        <f>DelivOIL!$C99*DelivOIL!U$78^5/(Conv!$I$5*Conv!$D$46)/10^6 + OILTrade!$E$17</f>
        <v>4.2177922970085273</v>
      </c>
      <c r="N216" s="421">
        <f>DelivOIL!$C99*DelivOIL!V$78^5/(Conv!$I$5*Conv!$D$46)/10^6 + OILTrade!$E$17</f>
        <v>4.2177922970085273</v>
      </c>
      <c r="O216" s="421">
        <f>DelivOIL!$C99*DelivOIL!W$78^5/(Conv!$I$5*Conv!$D$46)/10^6 + OILTrade!$E$17</f>
        <v>4.2177922970085273</v>
      </c>
      <c r="P216" s="421">
        <f>DelivOIL!$C99*DelivOIL!X$78^5/(Conv!$I$5*Conv!$D$46)/10^6 + OILTrade!$E$17</f>
        <v>4.2177922970085273</v>
      </c>
      <c r="Q216" s="421">
        <f>DelivOIL!$C99*DelivOIL!Y$78^5/(Conv!$I$5*Conv!$D$46)/10^6 + OILTrade!$E$17</f>
        <v>4.2177922970085273</v>
      </c>
      <c r="S216" s="395"/>
      <c r="T216" s="395"/>
      <c r="U216" s="395"/>
      <c r="V216" s="395"/>
      <c r="W216" s="395"/>
      <c r="X216" s="395"/>
      <c r="Y216" s="395"/>
      <c r="Z216" s="395"/>
      <c r="AA216" s="395"/>
      <c r="AB216" s="395"/>
      <c r="AC216" s="395"/>
    </row>
    <row r="217" spans="2:29">
      <c r="B217" s="376" t="str">
        <f>Technologies!B311</f>
        <v>*</v>
      </c>
      <c r="C217" s="376" t="str">
        <f>Technologies!C311</f>
        <v>XPELCRFHR4</v>
      </c>
      <c r="D217" s="376" t="str">
        <f>Technologies!D311</f>
        <v>Delivery of Pipeline Traded ELCRFH from R4</v>
      </c>
      <c r="E217" s="415" t="str">
        <f>E216</f>
        <v>RFHR4</v>
      </c>
      <c r="F217" s="415" t="str">
        <f>Commodities!C108</f>
        <v>ELCRFH</v>
      </c>
      <c r="G217" s="422">
        <v>1</v>
      </c>
      <c r="H217" s="421">
        <f>DelivOIL!$C100*DelivOIL!P$78^5/(Conv!$I$5*Conv!$D$46)/10^6 + OILTrade!$E$17</f>
        <v>1.3814876132461995</v>
      </c>
      <c r="I217" s="421">
        <f>DelivOIL!$C100*DelivOIL!Q$78^5/(Conv!$I$5*Conv!$D$46)/10^6 + OILTrade!$E$17</f>
        <v>1.3753626792116402</v>
      </c>
      <c r="J217" s="421">
        <f>DelivOIL!$C100*DelivOIL!R$78^5/(Conv!$I$5*Conv!$D$46)/10^6 + OILTrade!$E$17</f>
        <v>1.4353256297475618</v>
      </c>
      <c r="K217" s="421">
        <f>DelivOIL!$C100*DelivOIL!S$78^5/(Conv!$I$5*Conv!$D$46)/10^6 + OILTrade!$E$17</f>
        <v>1.683509316150321</v>
      </c>
      <c r="L217" s="421">
        <f>DelivOIL!$C100*DelivOIL!T$78^5/(Conv!$I$5*Conv!$D$46)/10^6 + OILTrade!$E$17</f>
        <v>1.5623479240666232</v>
      </c>
      <c r="M217" s="421">
        <f>DelivOIL!$C100*DelivOIL!U$78^5/(Conv!$I$5*Conv!$D$46)/10^6 + OILTrade!$E$17</f>
        <v>1.4098601484494724</v>
      </c>
      <c r="N217" s="421">
        <f>DelivOIL!$C100*DelivOIL!V$78^5/(Conv!$I$5*Conv!$D$46)/10^6 + OILTrade!$E$17</f>
        <v>1.4098601484494724</v>
      </c>
      <c r="O217" s="421">
        <f>DelivOIL!$C100*DelivOIL!W$78^5/(Conv!$I$5*Conv!$D$46)/10^6 + OILTrade!$E$17</f>
        <v>1.4098601484494724</v>
      </c>
      <c r="P217" s="421">
        <f>DelivOIL!$C100*DelivOIL!X$78^5/(Conv!$I$5*Conv!$D$46)/10^6 + OILTrade!$E$17</f>
        <v>1.4098601484494724</v>
      </c>
      <c r="Q217" s="421">
        <f>DelivOIL!$C100*DelivOIL!Y$78^5/(Conv!$I$5*Conv!$D$46)/10^6 + OILTrade!$E$17</f>
        <v>1.4098601484494724</v>
      </c>
      <c r="S217" s="395"/>
      <c r="T217" s="395"/>
      <c r="U217" s="395"/>
      <c r="V217" s="395"/>
      <c r="W217" s="395"/>
      <c r="X217" s="395"/>
      <c r="Y217" s="395"/>
      <c r="Z217" s="395"/>
      <c r="AA217" s="395"/>
      <c r="AB217" s="395"/>
      <c r="AC217" s="395"/>
    </row>
    <row r="218" spans="2:29">
      <c r="B218" s="376" t="str">
        <f>Technologies!B312</f>
        <v>*</v>
      </c>
      <c r="C218" s="376" t="str">
        <f>Technologies!C312</f>
        <v>XPINDASPR4</v>
      </c>
      <c r="D218" s="376" t="str">
        <f>Technologies!D312</f>
        <v>Delivery of Pipeline Traded INDASP from R4</v>
      </c>
      <c r="E218" s="415" t="str">
        <f>Commodities!C142</f>
        <v>ASPR4</v>
      </c>
      <c r="F218" s="415" t="str">
        <f>Commodities!C109</f>
        <v>INDASP</v>
      </c>
      <c r="G218" s="422">
        <v>1</v>
      </c>
      <c r="H218" s="421">
        <f>DelivOIL!$C101*DelivOIL!P$78^5/(Conv!$I$5*Conv!$D$46)/10^6 + OILTrade!$E$17</f>
        <v>0.99967913297423372</v>
      </c>
      <c r="I218" s="421">
        <f>DelivOIL!$C101*DelivOIL!Q$78^5/(Conv!$I$5*Conv!$D$46)/10^6 + OILTrade!$E$17</f>
        <v>0.99557182426870561</v>
      </c>
      <c r="J218" s="421">
        <f>DelivOIL!$C101*DelivOIL!R$78^5/(Conv!$I$5*Conv!$D$46)/10^6 + OILTrade!$E$17</f>
        <v>1.0357822734516178</v>
      </c>
      <c r="K218" s="421">
        <f>DelivOIL!$C101*DelivOIL!S$78^5/(Conv!$I$5*Conv!$D$46)/10^6 + OILTrade!$E$17</f>
        <v>1.2022113337452325</v>
      </c>
      <c r="L218" s="421">
        <f>DelivOIL!$C101*DelivOIL!T$78^5/(Conv!$I$5*Conv!$D$46)/10^6 + OILTrade!$E$17</f>
        <v>1.1209619296420472</v>
      </c>
      <c r="M218" s="421">
        <f>DelivOIL!$C101*DelivOIL!U$78^5/(Conv!$I$5*Conv!$D$46)/10^6 + OILTrade!$E$17</f>
        <v>1.0187054212870166</v>
      </c>
      <c r="N218" s="421">
        <f>DelivOIL!$C101*DelivOIL!V$78^5/(Conv!$I$5*Conv!$D$46)/10^6 + OILTrade!$E$17</f>
        <v>1.0187054212870166</v>
      </c>
      <c r="O218" s="421">
        <f>DelivOIL!$C101*DelivOIL!W$78^5/(Conv!$I$5*Conv!$D$46)/10^6 + OILTrade!$E$17</f>
        <v>1.0187054212870166</v>
      </c>
      <c r="P218" s="421">
        <f>DelivOIL!$C101*DelivOIL!X$78^5/(Conv!$I$5*Conv!$D$46)/10^6 + OILTrade!$E$17</f>
        <v>1.0187054212870166</v>
      </c>
      <c r="Q218" s="421">
        <f>DelivOIL!$C101*DelivOIL!Y$78^5/(Conv!$I$5*Conv!$D$46)/10^6 + OILTrade!$E$17</f>
        <v>1.0187054212870166</v>
      </c>
      <c r="S218" s="395"/>
      <c r="T218" s="395"/>
      <c r="U218" s="395"/>
      <c r="V218" s="395"/>
      <c r="W218" s="395"/>
      <c r="X218" s="395"/>
      <c r="Y218" s="395"/>
      <c r="Z218" s="395"/>
      <c r="AA218" s="395"/>
      <c r="AB218" s="395"/>
      <c r="AC218" s="395"/>
    </row>
    <row r="219" spans="2:29">
      <c r="B219" s="376" t="s">
        <v>588</v>
      </c>
      <c r="C219" s="376"/>
      <c r="D219" s="376"/>
      <c r="E219" s="415"/>
      <c r="F219" s="415"/>
      <c r="G219" s="422"/>
      <c r="H219" s="423"/>
      <c r="I219" s="423"/>
      <c r="J219" s="423"/>
      <c r="K219" s="423"/>
      <c r="L219" s="423"/>
      <c r="M219" s="423"/>
      <c r="N219" s="423"/>
      <c r="O219" s="423"/>
      <c r="P219" s="423"/>
      <c r="Q219" s="423"/>
    </row>
    <row r="220" spans="2:29">
      <c r="B220" s="376" t="str">
        <f>LEFT(Technologies!B313,2)</f>
        <v>*</v>
      </c>
      <c r="C220" s="376" t="str">
        <f>Technologies!C313</f>
        <v>XPTRGSLCR5</v>
      </c>
      <c r="D220" s="376" t="str">
        <f>Technologies!D313</f>
        <v>Delivery of Pipeline Traded TRGSLC from R5</v>
      </c>
      <c r="E220" s="415" t="str">
        <f>Commodities!C143</f>
        <v>GSCR5</v>
      </c>
      <c r="F220" s="415" t="str">
        <f>Commodities!C85</f>
        <v>TRGSLC</v>
      </c>
      <c r="G220" s="422">
        <v>1</v>
      </c>
      <c r="H220" s="421">
        <f>DelivOIL!$C77*DelivOIL!P$78^5/(Conv!$I$5*Conv!$D$46)/10^6 + OILTrade!$E$18</f>
        <v>3.4150723940531296</v>
      </c>
      <c r="I220" s="421">
        <f>DelivOIL!$C77*DelivOIL!Q$78^5/(Conv!$I$5*Conv!$D$46)/10^6 + OILTrade!$E$18</f>
        <v>3.3972740563291741</v>
      </c>
      <c r="J220" s="421">
        <f>DelivOIL!$C77*DelivOIL!R$78^5/(Conv!$I$5*Conv!$D$46)/10^6 + OILTrade!$E$18</f>
        <v>3.5715193361217934</v>
      </c>
      <c r="K220" s="421">
        <f>DelivOIL!$C77*DelivOIL!S$78^5/(Conv!$I$5*Conv!$D$46)/10^6 + OILTrade!$E$18</f>
        <v>4.2927119307274593</v>
      </c>
      <c r="L220" s="421">
        <f>DelivOIL!$C77*DelivOIL!T$78^5/(Conv!$I$5*Conv!$D$46)/10^6 + OILTrade!$E$18</f>
        <v>3.9406311796136557</v>
      </c>
      <c r="M220" s="421">
        <f>DelivOIL!$C77*DelivOIL!U$78^5/(Conv!$I$5*Conv!$D$46)/10^6 + OILTrade!$E$18</f>
        <v>3.4975196434085225</v>
      </c>
      <c r="N220" s="421">
        <f>DelivOIL!$C77*DelivOIL!V$78^5/(Conv!$I$5*Conv!$D$46)/10^6 + OILTrade!$E$18</f>
        <v>3.4975196434085225</v>
      </c>
      <c r="O220" s="421">
        <f>DelivOIL!$C77*DelivOIL!W$78^5/(Conv!$I$5*Conv!$D$46)/10^6 + OILTrade!$E$18</f>
        <v>3.4975196434085225</v>
      </c>
      <c r="P220" s="421">
        <f>DelivOIL!$C77*DelivOIL!X$78^5/(Conv!$I$5*Conv!$D$46)/10^6 + OILTrade!$E$18</f>
        <v>3.4975196434085225</v>
      </c>
      <c r="Q220" s="421">
        <f>DelivOIL!$C77*DelivOIL!Y$78^5/(Conv!$I$5*Conv!$D$46)/10^6 + OILTrade!$E$18</f>
        <v>3.4975196434085225</v>
      </c>
      <c r="S220" s="395"/>
      <c r="T220" s="395"/>
      <c r="U220" s="395"/>
      <c r="V220" s="395"/>
      <c r="W220" s="395"/>
      <c r="X220" s="395"/>
      <c r="Y220" s="395"/>
      <c r="Z220" s="395"/>
      <c r="AA220" s="395"/>
      <c r="AB220" s="395"/>
      <c r="AC220" s="395"/>
    </row>
    <row r="221" spans="2:29">
      <c r="B221" s="376" t="str">
        <f>Technologies!B314</f>
        <v>*</v>
      </c>
      <c r="C221" s="376" t="str">
        <f>Technologies!C314</f>
        <v>XPTRGSLRR5</v>
      </c>
      <c r="D221" s="376" t="str">
        <f>Technologies!D314</f>
        <v>Delivery of Pipeline Traded TRGSLR from R5</v>
      </c>
      <c r="E221" s="415" t="str">
        <f>Commodities!C144</f>
        <v>GSRR5</v>
      </c>
      <c r="F221" s="415" t="str">
        <f>Commodities!C86</f>
        <v>TRGSLR</v>
      </c>
      <c r="G221" s="422">
        <v>1</v>
      </c>
      <c r="H221" s="421">
        <f>DelivOIL!$C78*DelivOIL!P$78^5/(Conv!$I$5*Conv!$D$46)/10^6 + OILTrade!$E$18</f>
        <v>3.4218904026294146</v>
      </c>
      <c r="I221" s="421">
        <f>DelivOIL!$C78*DelivOIL!Q$78^5/(Conv!$I$5*Conv!$D$46)/10^6 + OILTrade!$E$18</f>
        <v>3.4040560358817267</v>
      </c>
      <c r="J221" s="421">
        <f>DelivOIL!$C78*DelivOIL!R$78^5/(Conv!$I$5*Conv!$D$46)/10^6 + OILTrade!$E$18</f>
        <v>3.5786540389127928</v>
      </c>
      <c r="K221" s="421">
        <f>DelivOIL!$C78*DelivOIL!S$78^5/(Conv!$I$5*Conv!$D$46)/10^6 + OILTrade!$E$18</f>
        <v>4.3013065375561208</v>
      </c>
      <c r="L221" s="421">
        <f>DelivOIL!$C78*DelivOIL!T$78^5/(Conv!$I$5*Conv!$D$46)/10^6 + OILTrade!$E$18</f>
        <v>3.9485130723712372</v>
      </c>
      <c r="M221" s="421">
        <f>DelivOIL!$C78*DelivOIL!U$78^5/(Conv!$I$5*Conv!$D$46)/10^6 + OILTrade!$E$18</f>
        <v>3.5045045492507092</v>
      </c>
      <c r="N221" s="421">
        <f>DelivOIL!$C78*DelivOIL!V$78^5/(Conv!$I$5*Conv!$D$46)/10^6 + OILTrade!$E$18</f>
        <v>3.5045045492507092</v>
      </c>
      <c r="O221" s="421">
        <f>DelivOIL!$C78*DelivOIL!W$78^5/(Conv!$I$5*Conv!$D$46)/10^6 + OILTrade!$E$18</f>
        <v>3.5045045492507092</v>
      </c>
      <c r="P221" s="421">
        <f>DelivOIL!$C78*DelivOIL!X$78^5/(Conv!$I$5*Conv!$D$46)/10^6 + OILTrade!$E$18</f>
        <v>3.5045045492507092</v>
      </c>
      <c r="Q221" s="421">
        <f>DelivOIL!$C78*DelivOIL!Y$78^5/(Conv!$I$5*Conv!$D$46)/10^6 + OILTrade!$E$18</f>
        <v>3.5045045492507092</v>
      </c>
      <c r="S221" s="395"/>
      <c r="T221" s="395"/>
      <c r="U221" s="395"/>
      <c r="V221" s="395"/>
      <c r="W221" s="395"/>
      <c r="X221" s="395"/>
      <c r="Y221" s="395"/>
      <c r="Z221" s="395"/>
      <c r="AA221" s="395"/>
      <c r="AB221" s="395"/>
      <c r="AC221" s="395"/>
    </row>
    <row r="222" spans="2:29">
      <c r="B222" s="376" t="str">
        <f>Technologies!B315</f>
        <v>*</v>
      </c>
      <c r="C222" s="376" t="str">
        <f>Technologies!C315</f>
        <v>XPRESDSLR5</v>
      </c>
      <c r="D222" s="376" t="str">
        <f>Technologies!D315</f>
        <v>Delivery of Pipeline Traded RESDSL from R5</v>
      </c>
      <c r="E222" s="415" t="str">
        <f>Commodities!C145</f>
        <v>DSHR5</v>
      </c>
      <c r="F222" s="415" t="str">
        <f>Commodities!C87</f>
        <v>RESDSL</v>
      </c>
      <c r="G222" s="422">
        <v>1</v>
      </c>
      <c r="H222" s="421">
        <f>DelivOIL!$C80*DelivOIL!P$78^5/(Conv!$I$5*Conv!$D$46)/10^6 + OILTrade!$E$18</f>
        <v>3.4832524798159805</v>
      </c>
      <c r="I222" s="421">
        <f>DelivOIL!$C80*DelivOIL!Q$78^5/(Conv!$I$5*Conv!$D$46)/10^6 + OILTrade!$E$18</f>
        <v>3.4650938518546988</v>
      </c>
      <c r="J222" s="421">
        <f>DelivOIL!$C80*DelivOIL!R$78^5/(Conv!$I$5*Conv!$D$46)/10^6 + OILTrade!$E$18</f>
        <v>3.642866364031784</v>
      </c>
      <c r="K222" s="421">
        <f>DelivOIL!$C80*DelivOIL!S$78^5/(Conv!$I$5*Conv!$D$46)/10^6 + OILTrade!$E$18</f>
        <v>4.3786579990140817</v>
      </c>
      <c r="L222" s="421">
        <f>DelivOIL!$C80*DelivOIL!T$78^5/(Conv!$I$5*Conv!$D$46)/10^6 + OILTrade!$E$18</f>
        <v>4.0194501071894724</v>
      </c>
      <c r="M222" s="421">
        <f>DelivOIL!$C80*DelivOIL!U$78^5/(Conv!$I$5*Conv!$D$46)/10^6 + OILTrade!$E$18</f>
        <v>3.5673687018303895</v>
      </c>
      <c r="N222" s="421">
        <f>DelivOIL!$C80*DelivOIL!V$78^5/(Conv!$I$5*Conv!$D$46)/10^6 + OILTrade!$E$18</f>
        <v>3.5673687018303895</v>
      </c>
      <c r="O222" s="421">
        <f>DelivOIL!$C80*DelivOIL!W$78^5/(Conv!$I$5*Conv!$D$46)/10^6 + OILTrade!$E$18</f>
        <v>3.5673687018303895</v>
      </c>
      <c r="P222" s="421">
        <f>DelivOIL!$C80*DelivOIL!X$78^5/(Conv!$I$5*Conv!$D$46)/10^6 + OILTrade!$E$18</f>
        <v>3.5673687018303895</v>
      </c>
      <c r="Q222" s="421">
        <f>DelivOIL!$C80*DelivOIL!Y$78^5/(Conv!$I$5*Conv!$D$46)/10^6 + OILTrade!$E$18</f>
        <v>3.5673687018303895</v>
      </c>
      <c r="S222" s="395"/>
      <c r="T222" s="395"/>
      <c r="U222" s="395"/>
      <c r="V222" s="395"/>
      <c r="W222" s="395"/>
      <c r="X222" s="395"/>
      <c r="Y222" s="395"/>
      <c r="Z222" s="395"/>
      <c r="AA222" s="395"/>
      <c r="AB222" s="395"/>
      <c r="AC222" s="395"/>
    </row>
    <row r="223" spans="2:29">
      <c r="B223" s="376" t="str">
        <f>Technologies!B316</f>
        <v>*</v>
      </c>
      <c r="C223" s="376" t="str">
        <f>Technologies!C316</f>
        <v>XPCOMDSLR5</v>
      </c>
      <c r="D223" s="376" t="str">
        <f>Technologies!D316</f>
        <v>Delivery of Pipeline Traded COMDSL from R5</v>
      </c>
      <c r="E223" s="415" t="str">
        <f>E222</f>
        <v>DSHR5</v>
      </c>
      <c r="F223" s="415" t="str">
        <f>Commodities!C88</f>
        <v>COMDSL</v>
      </c>
      <c r="G223" s="422">
        <v>1</v>
      </c>
      <c r="H223" s="421">
        <f>DelivOIL!$C81*DelivOIL!P$78^5/(Conv!$I$5*Conv!$D$46)/10^6 + OILTrade!$E$18</f>
        <v>1.4446679155067348</v>
      </c>
      <c r="I223" s="421">
        <f>DelivOIL!$C81*DelivOIL!Q$78^5/(Conv!$I$5*Conv!$D$46)/10^6 + OILTrade!$E$18</f>
        <v>1.4372819656415308</v>
      </c>
      <c r="J223" s="421">
        <f>DelivOIL!$C81*DelivOIL!R$78^5/(Conv!$I$5*Conv!$D$46)/10^6 + OILTrade!$E$18</f>
        <v>1.5095902295230832</v>
      </c>
      <c r="K223" s="421">
        <f>DelivOIL!$C81*DelivOIL!S$78^5/(Conv!$I$5*Conv!$D$46)/10^6 + OILTrade!$E$18</f>
        <v>1.8088705572440575</v>
      </c>
      <c r="L223" s="421">
        <f>DelivOIL!$C81*DelivOIL!T$78^5/(Conv!$I$5*Conv!$D$46)/10^6 + OILTrade!$E$18</f>
        <v>1.66276417267254</v>
      </c>
      <c r="M223" s="421">
        <f>DelivOIL!$C81*DelivOIL!U$78^5/(Conv!$I$5*Conv!$D$46)/10^6 + OILTrade!$E$18</f>
        <v>1.4788818550165639</v>
      </c>
      <c r="N223" s="421">
        <f>DelivOIL!$C81*DelivOIL!V$78^5/(Conv!$I$5*Conv!$D$46)/10^6 + OILTrade!$E$18</f>
        <v>1.4788818550165639</v>
      </c>
      <c r="O223" s="421">
        <f>DelivOIL!$C81*DelivOIL!W$78^5/(Conv!$I$5*Conv!$D$46)/10^6 + OILTrade!$E$18</f>
        <v>1.4788818550165639</v>
      </c>
      <c r="P223" s="421">
        <f>DelivOIL!$C81*DelivOIL!X$78^5/(Conv!$I$5*Conv!$D$46)/10^6 + OILTrade!$E$18</f>
        <v>1.4788818550165639</v>
      </c>
      <c r="Q223" s="421">
        <f>DelivOIL!$C81*DelivOIL!Y$78^5/(Conv!$I$5*Conv!$D$46)/10^6 + OILTrade!$E$18</f>
        <v>1.4788818550165639</v>
      </c>
      <c r="S223" s="395"/>
      <c r="T223" s="395"/>
      <c r="U223" s="395"/>
      <c r="V223" s="395"/>
      <c r="W223" s="395"/>
      <c r="X223" s="395"/>
      <c r="Y223" s="395"/>
      <c r="Z223" s="395"/>
      <c r="AA223" s="395"/>
      <c r="AB223" s="395"/>
      <c r="AC223" s="395"/>
    </row>
    <row r="224" spans="2:29">
      <c r="B224" s="376" t="str">
        <f>Technologies!B317</f>
        <v>*</v>
      </c>
      <c r="C224" s="376" t="str">
        <f>Technologies!C317</f>
        <v>XPINDDSLR5</v>
      </c>
      <c r="D224" s="376" t="str">
        <f>Technologies!D317</f>
        <v>Delivery of Pipeline Traded INDDSL from R5</v>
      </c>
      <c r="E224" s="415" t="str">
        <f>E223</f>
        <v>DSHR5</v>
      </c>
      <c r="F224" s="415" t="str">
        <f>Commodities!C89</f>
        <v>INDDSL</v>
      </c>
      <c r="G224" s="422">
        <v>1</v>
      </c>
      <c r="H224" s="421">
        <f>DelivOIL!$C82*DelivOIL!P$78^5/(Conv!$I$5*Conv!$D$46)/10^6 + OILTrade!$E$18</f>
        <v>1.5469380441510121</v>
      </c>
      <c r="I224" s="421">
        <f>DelivOIL!$C82*DelivOIL!Q$78^5/(Conv!$I$5*Conv!$D$46)/10^6 + OILTrade!$E$18</f>
        <v>1.5390116589298175</v>
      </c>
      <c r="J224" s="421">
        <f>DelivOIL!$C82*DelivOIL!R$78^5/(Conv!$I$5*Conv!$D$46)/10^6 + OILTrade!$E$18</f>
        <v>1.6166107713880691</v>
      </c>
      <c r="K224" s="421">
        <f>DelivOIL!$C82*DelivOIL!S$78^5/(Conv!$I$5*Conv!$D$46)/10^6 + OILTrade!$E$18</f>
        <v>1.937789659673993</v>
      </c>
      <c r="L224" s="421">
        <f>DelivOIL!$C82*DelivOIL!T$78^5/(Conv!$I$5*Conv!$D$46)/10^6 + OILTrade!$E$18</f>
        <v>1.7809925640362665</v>
      </c>
      <c r="M224" s="421">
        <f>DelivOIL!$C82*DelivOIL!U$78^5/(Conv!$I$5*Conv!$D$46)/10^6 + OILTrade!$E$18</f>
        <v>1.5836554426493652</v>
      </c>
      <c r="N224" s="421">
        <f>DelivOIL!$C82*DelivOIL!V$78^5/(Conv!$I$5*Conv!$D$46)/10^6 + OILTrade!$E$18</f>
        <v>1.5836554426493652</v>
      </c>
      <c r="O224" s="421">
        <f>DelivOIL!$C82*DelivOIL!W$78^5/(Conv!$I$5*Conv!$D$46)/10^6 + OILTrade!$E$18</f>
        <v>1.5836554426493652</v>
      </c>
      <c r="P224" s="421">
        <f>DelivOIL!$C82*DelivOIL!X$78^5/(Conv!$I$5*Conv!$D$46)/10^6 + OILTrade!$E$18</f>
        <v>1.5836554426493652</v>
      </c>
      <c r="Q224" s="421">
        <f>DelivOIL!$C82*DelivOIL!Y$78^5/(Conv!$I$5*Conv!$D$46)/10^6 + OILTrade!$E$18</f>
        <v>1.5836554426493652</v>
      </c>
      <c r="S224" s="395"/>
      <c r="T224" s="395"/>
      <c r="U224" s="395"/>
      <c r="V224" s="395"/>
      <c r="W224" s="395"/>
      <c r="X224" s="395"/>
      <c r="Y224" s="395"/>
      <c r="Z224" s="395"/>
      <c r="AA224" s="395"/>
      <c r="AB224" s="395"/>
      <c r="AC224" s="395"/>
    </row>
    <row r="225" spans="2:29">
      <c r="B225" s="376" t="str">
        <f>Technologies!B318</f>
        <v>*</v>
      </c>
      <c r="C225" s="376" t="str">
        <f>Technologies!C318</f>
        <v>XPELCDSLR5</v>
      </c>
      <c r="D225" s="376" t="str">
        <f>Technologies!D318</f>
        <v>Delivery of Pipeline Traded ELCDSL from R5</v>
      </c>
      <c r="E225" s="415" t="str">
        <f>E224</f>
        <v>DSHR5</v>
      </c>
      <c r="F225" s="415" t="str">
        <f>Commodities!C90</f>
        <v>ELCDSL</v>
      </c>
      <c r="G225" s="422">
        <v>1</v>
      </c>
      <c r="H225" s="421">
        <f>DelivOIL!$C83*DelivOIL!P$78^5/(Conv!$I$5*Conv!$D$46)/10^6 + OILTrade!$E$18</f>
        <v>0.56514480916595755</v>
      </c>
      <c r="I225" s="421">
        <f>DelivOIL!$C83*DelivOIL!Q$78^5/(Conv!$I$5*Conv!$D$46)/10^6 + OILTrade!$E$18</f>
        <v>0.56240660336227211</v>
      </c>
      <c r="J225" s="421">
        <f>DelivOIL!$C83*DelivOIL!R$78^5/(Conv!$I$5*Conv!$D$46)/10^6 + OILTrade!$E$18</f>
        <v>0.58921356948421355</v>
      </c>
      <c r="K225" s="421">
        <f>DelivOIL!$C83*DelivOIL!S$78^5/(Conv!$I$5*Conv!$D$46)/10^6 + OILTrade!$E$18</f>
        <v>0.70016627634662365</v>
      </c>
      <c r="L225" s="421">
        <f>DelivOIL!$C83*DelivOIL!T$78^5/(Conv!$I$5*Conv!$D$46)/10^6 + OILTrade!$E$18</f>
        <v>0.6460000069445001</v>
      </c>
      <c r="M225" s="421">
        <f>DelivOIL!$C83*DelivOIL!U$78^5/(Conv!$I$5*Conv!$D$46)/10^6 + OILTrade!$E$18</f>
        <v>0.57782900137447957</v>
      </c>
      <c r="N225" s="421">
        <f>DelivOIL!$C83*DelivOIL!V$78^5/(Conv!$I$5*Conv!$D$46)/10^6 + OILTrade!$E$18</f>
        <v>0.57782900137447957</v>
      </c>
      <c r="O225" s="421">
        <f>DelivOIL!$C83*DelivOIL!W$78^5/(Conv!$I$5*Conv!$D$46)/10^6 + OILTrade!$E$18</f>
        <v>0.57782900137447957</v>
      </c>
      <c r="P225" s="421">
        <f>DelivOIL!$C83*DelivOIL!X$78^5/(Conv!$I$5*Conv!$D$46)/10^6 + OILTrade!$E$18</f>
        <v>0.57782900137447957</v>
      </c>
      <c r="Q225" s="421">
        <f>DelivOIL!$C83*DelivOIL!Y$78^5/(Conv!$I$5*Conv!$D$46)/10^6 + OILTrade!$E$18</f>
        <v>0.57782900137447957</v>
      </c>
      <c r="S225" s="395"/>
      <c r="T225" s="395"/>
      <c r="U225" s="395"/>
      <c r="V225" s="395"/>
      <c r="W225" s="395"/>
      <c r="X225" s="395"/>
      <c r="Y225" s="395"/>
      <c r="Z225" s="395"/>
      <c r="AA225" s="395"/>
      <c r="AB225" s="395"/>
      <c r="AC225" s="395"/>
    </row>
    <row r="226" spans="2:29">
      <c r="B226" s="376" t="str">
        <f>Technologies!B319</f>
        <v>*</v>
      </c>
      <c r="C226" s="376" t="str">
        <f>Technologies!C319</f>
        <v>XPTRDSLLR5</v>
      </c>
      <c r="D226" s="376" t="str">
        <f>Technologies!D319</f>
        <v>Delivery of Pipeline Traded TRDSLL from R5</v>
      </c>
      <c r="E226" s="415" t="str">
        <f>Commodities!C146</f>
        <v>DSLR5</v>
      </c>
      <c r="F226" s="415" t="str">
        <f>Commodities!C91</f>
        <v>TRDSLL</v>
      </c>
      <c r="G226" s="422">
        <v>1</v>
      </c>
      <c r="H226" s="421">
        <f>DelivOIL!$C84*DelivOIL!P$78^5/(Conv!$I$5*Conv!$D$46)/10^6 + OILTrade!$E$18</f>
        <v>4.2673234660887678</v>
      </c>
      <c r="I226" s="421">
        <f>DelivOIL!$C84*DelivOIL!Q$78^5/(Conv!$I$5*Conv!$D$46)/10^6 + OILTrade!$E$18</f>
        <v>4.2450215003982246</v>
      </c>
      <c r="J226" s="421">
        <f>DelivOIL!$C84*DelivOIL!R$78^5/(Conv!$I$5*Conv!$D$46)/10^6 + OILTrade!$E$18</f>
        <v>4.4633571849966689</v>
      </c>
      <c r="K226" s="421">
        <f>DelivOIL!$C84*DelivOIL!S$78^5/(Conv!$I$5*Conv!$D$46)/10^6 + OILTrade!$E$18</f>
        <v>5.3670377843102433</v>
      </c>
      <c r="L226" s="421">
        <f>DelivOIL!$C84*DelivOIL!T$78^5/(Conv!$I$5*Conv!$D$46)/10^6 + OILTrade!$E$18</f>
        <v>4.9258677743113699</v>
      </c>
      <c r="M226" s="421">
        <f>DelivOIL!$C84*DelivOIL!U$78^5/(Conv!$I$5*Conv!$D$46)/10^6 + OILTrade!$E$18</f>
        <v>4.3706328736818616</v>
      </c>
      <c r="N226" s="421">
        <f>DelivOIL!$C84*DelivOIL!V$78^5/(Conv!$I$5*Conv!$D$46)/10^6 + OILTrade!$E$18</f>
        <v>4.3706328736818616</v>
      </c>
      <c r="O226" s="421">
        <f>DelivOIL!$C84*DelivOIL!W$78^5/(Conv!$I$5*Conv!$D$46)/10^6 + OILTrade!$E$18</f>
        <v>4.3706328736818616</v>
      </c>
      <c r="P226" s="421">
        <f>DelivOIL!$C84*DelivOIL!X$78^5/(Conv!$I$5*Conv!$D$46)/10^6 + OILTrade!$E$18</f>
        <v>4.3706328736818616</v>
      </c>
      <c r="Q226" s="421">
        <f>DelivOIL!$C84*DelivOIL!Y$78^5/(Conv!$I$5*Conv!$D$46)/10^6 + OILTrade!$E$18</f>
        <v>4.3706328736818616</v>
      </c>
      <c r="S226" s="395"/>
      <c r="T226" s="395"/>
      <c r="U226" s="395"/>
      <c r="V226" s="395"/>
      <c r="W226" s="395"/>
      <c r="X226" s="395"/>
      <c r="Y226" s="395"/>
      <c r="Z226" s="395"/>
      <c r="AA226" s="395"/>
      <c r="AB226" s="395"/>
      <c r="AC226" s="395"/>
    </row>
    <row r="227" spans="2:29">
      <c r="B227" s="376" t="str">
        <f>Technologies!B320</f>
        <v>*</v>
      </c>
      <c r="C227" s="376" t="str">
        <f>Technologies!C320</f>
        <v>XPTRDSLUR5</v>
      </c>
      <c r="D227" s="376" t="str">
        <f>Technologies!D320</f>
        <v>Delivery of Pipeline Traded TRDSLU from R5</v>
      </c>
      <c r="E227" s="415" t="str">
        <f>Commodities!C147</f>
        <v>DSUR5</v>
      </c>
      <c r="F227" s="415" t="str">
        <f>Commodities!C92</f>
        <v>TRDSLU</v>
      </c>
      <c r="G227" s="422">
        <v>1</v>
      </c>
      <c r="H227" s="421">
        <f>DelivOIL!$C85*DelivOIL!P$78^5/(Conv!$I$5*Conv!$D$46)/10^6 + OILTrade!$E$18</f>
        <v>3.6264306599179679</v>
      </c>
      <c r="I227" s="421">
        <f>DelivOIL!$C85*DelivOIL!Q$78^5/(Conv!$I$5*Conv!$D$46)/10^6 + OILTrade!$E$18</f>
        <v>3.6075154224582993</v>
      </c>
      <c r="J227" s="421">
        <f>DelivOIL!$C85*DelivOIL!R$78^5/(Conv!$I$5*Conv!$D$46)/10^6 + OILTrade!$E$18</f>
        <v>3.7926951226427628</v>
      </c>
      <c r="K227" s="421">
        <f>DelivOIL!$C85*DelivOIL!S$78^5/(Conv!$I$5*Conv!$D$46)/10^6 + OILTrade!$E$18</f>
        <v>4.5591447424159899</v>
      </c>
      <c r="L227" s="421">
        <f>DelivOIL!$C85*DelivOIL!T$78^5/(Conv!$I$5*Conv!$D$46)/10^6 + OILTrade!$E$18</f>
        <v>4.1849698550986894</v>
      </c>
      <c r="M227" s="421">
        <f>DelivOIL!$C85*DelivOIL!U$78^5/(Conv!$I$5*Conv!$D$46)/10^6 + OILTrade!$E$18</f>
        <v>3.7140517245163105</v>
      </c>
      <c r="N227" s="421">
        <f>DelivOIL!$C85*DelivOIL!V$78^5/(Conv!$I$5*Conv!$D$46)/10^6 + OILTrade!$E$18</f>
        <v>3.7140517245163105</v>
      </c>
      <c r="O227" s="421">
        <f>DelivOIL!$C85*DelivOIL!W$78^5/(Conv!$I$5*Conv!$D$46)/10^6 + OILTrade!$E$18</f>
        <v>3.7140517245163105</v>
      </c>
      <c r="P227" s="421">
        <f>DelivOIL!$C85*DelivOIL!X$78^5/(Conv!$I$5*Conv!$D$46)/10^6 + OILTrade!$E$18</f>
        <v>3.7140517245163105</v>
      </c>
      <c r="Q227" s="421">
        <f>DelivOIL!$C85*DelivOIL!Y$78^5/(Conv!$I$5*Conv!$D$46)/10^6 + OILTrade!$E$18</f>
        <v>3.7140517245163105</v>
      </c>
      <c r="S227" s="395"/>
      <c r="T227" s="395"/>
      <c r="U227" s="395"/>
      <c r="V227" s="395"/>
      <c r="W227" s="395"/>
      <c r="X227" s="395"/>
      <c r="Y227" s="395"/>
      <c r="Z227" s="395"/>
      <c r="AA227" s="395"/>
      <c r="AB227" s="395"/>
      <c r="AC227" s="395"/>
    </row>
    <row r="228" spans="2:29">
      <c r="B228" s="376" t="str">
        <f>Technologies!B321</f>
        <v>*</v>
      </c>
      <c r="C228" s="376" t="str">
        <f>Technologies!C321</f>
        <v>XPTRNJTFR5</v>
      </c>
      <c r="D228" s="376" t="str">
        <f>Technologies!D321</f>
        <v>Delivery of Pipeline Traded TRNJTF from R5</v>
      </c>
      <c r="E228" s="415" t="str">
        <f>Commodities!C148</f>
        <v>JTFR5</v>
      </c>
      <c r="F228" s="415" t="str">
        <f>Commodities!C93</f>
        <v>TRNJTF</v>
      </c>
      <c r="G228" s="422">
        <v>1</v>
      </c>
      <c r="H228" s="421">
        <f>DelivOIL!$C86*DelivOIL!P$78^5/(Conv!$I$5*Conv!$D$46)/10^6 + OILTrade!$E$18</f>
        <v>0.73559502357308448</v>
      </c>
      <c r="I228" s="421">
        <f>DelivOIL!$C86*DelivOIL!Q$78^5/(Conv!$I$5*Conv!$D$46)/10^6 + OILTrade!$E$18</f>
        <v>0.73195609217608149</v>
      </c>
      <c r="J228" s="421">
        <f>DelivOIL!$C86*DelivOIL!R$78^5/(Conv!$I$5*Conv!$D$46)/10^6 + OILTrade!$E$18</f>
        <v>0.76758113925918781</v>
      </c>
      <c r="K228" s="421">
        <f>DelivOIL!$C86*DelivOIL!S$78^5/(Conv!$I$5*Conv!$D$46)/10^6 + OILTrade!$E$18</f>
        <v>0.91503144706318007</v>
      </c>
      <c r="L228" s="421">
        <f>DelivOIL!$C86*DelivOIL!T$78^5/(Conv!$I$5*Conv!$D$46)/10^6 + OILTrade!$E$18</f>
        <v>0.84304732588404219</v>
      </c>
      <c r="M228" s="421">
        <f>DelivOIL!$C86*DelivOIL!U$78^5/(Conv!$I$5*Conv!$D$46)/10^6 + OILTrade!$E$18</f>
        <v>0.75245164742914661</v>
      </c>
      <c r="N228" s="421">
        <f>DelivOIL!$C86*DelivOIL!V$78^5/(Conv!$I$5*Conv!$D$46)/10^6 + OILTrade!$E$18</f>
        <v>0.75245164742914661</v>
      </c>
      <c r="O228" s="421">
        <f>DelivOIL!$C86*DelivOIL!W$78^5/(Conv!$I$5*Conv!$D$46)/10^6 + OILTrade!$E$18</f>
        <v>0.75245164742914661</v>
      </c>
      <c r="P228" s="421">
        <f>DelivOIL!$C86*DelivOIL!X$78^5/(Conv!$I$5*Conv!$D$46)/10^6 + OILTrade!$E$18</f>
        <v>0.75245164742914661</v>
      </c>
      <c r="Q228" s="421">
        <f>DelivOIL!$C86*DelivOIL!Y$78^5/(Conv!$I$5*Conv!$D$46)/10^6 + OILTrade!$E$18</f>
        <v>0.75245164742914661</v>
      </c>
      <c r="S228" s="395"/>
      <c r="T228" s="395"/>
      <c r="U228" s="395"/>
      <c r="V228" s="395"/>
      <c r="W228" s="395"/>
      <c r="X228" s="395"/>
      <c r="Y228" s="395"/>
      <c r="Z228" s="395"/>
      <c r="AA228" s="395"/>
      <c r="AB228" s="395"/>
      <c r="AC228" s="395"/>
    </row>
    <row r="229" spans="2:29">
      <c r="B229" s="376" t="str">
        <f>Technologies!B322</f>
        <v>*</v>
      </c>
      <c r="C229" s="376" t="str">
        <f>Technologies!C322</f>
        <v>XPRESKERR5</v>
      </c>
      <c r="D229" s="376" t="str">
        <f>Technologies!D322</f>
        <v>Delivery of Pipeline Traded RESKER from R5</v>
      </c>
      <c r="E229" s="415" t="str">
        <f>Commodities!C149</f>
        <v>KERR5</v>
      </c>
      <c r="F229" s="415" t="str">
        <f>Commodities!C94</f>
        <v>RESKER</v>
      </c>
      <c r="G229" s="422">
        <v>1</v>
      </c>
      <c r="H229" s="421">
        <f>DelivOIL!$C87*DelivOIL!P$78^5/(Conv!$I$5*Conv!$D$46)/10^6 + OILTrade!$E$18</f>
        <v>2.1605588160166698</v>
      </c>
      <c r="I229" s="421">
        <f>DelivOIL!$C87*DelivOIL!Q$78^5/(Conv!$I$5*Conv!$D$46)/10^6 + OILTrade!$E$18</f>
        <v>2.1493898186595319</v>
      </c>
      <c r="J229" s="421">
        <f>DelivOIL!$C87*DelivOIL!R$78^5/(Conv!$I$5*Conv!$D$46)/10^6 + OILTrade!$E$18</f>
        <v>2.2587340225779773</v>
      </c>
      <c r="K229" s="421">
        <f>DelivOIL!$C87*DelivOIL!S$78^5/(Conv!$I$5*Conv!$D$46)/10^6 + OILTrade!$E$18</f>
        <v>2.7113042742535969</v>
      </c>
      <c r="L229" s="421">
        <f>DelivOIL!$C87*DelivOIL!T$78^5/(Conv!$I$5*Conv!$D$46)/10^6 + OILTrade!$E$18</f>
        <v>2.4903629122186195</v>
      </c>
      <c r="M229" s="421">
        <f>DelivOIL!$C87*DelivOIL!U$78^5/(Conv!$I$5*Conv!$D$46)/10^6 + OILTrade!$E$18</f>
        <v>2.212296968446168</v>
      </c>
      <c r="N229" s="421">
        <f>DelivOIL!$C87*DelivOIL!V$78^5/(Conv!$I$5*Conv!$D$46)/10^6 + OILTrade!$E$18</f>
        <v>2.212296968446168</v>
      </c>
      <c r="O229" s="421">
        <f>DelivOIL!$C87*DelivOIL!W$78^5/(Conv!$I$5*Conv!$D$46)/10^6 + OILTrade!$E$18</f>
        <v>2.212296968446168</v>
      </c>
      <c r="P229" s="421">
        <f>DelivOIL!$C87*DelivOIL!X$78^5/(Conv!$I$5*Conv!$D$46)/10^6 + OILTrade!$E$18</f>
        <v>2.212296968446168</v>
      </c>
      <c r="Q229" s="421">
        <f>DelivOIL!$C87*DelivOIL!Y$78^5/(Conv!$I$5*Conv!$D$46)/10^6 + OILTrade!$E$18</f>
        <v>2.212296968446168</v>
      </c>
      <c r="S229" s="395"/>
      <c r="T229" s="395"/>
      <c r="U229" s="395"/>
      <c r="V229" s="395"/>
      <c r="W229" s="395"/>
      <c r="X229" s="395"/>
      <c r="Y229" s="395"/>
      <c r="Z229" s="395"/>
      <c r="AA229" s="395"/>
      <c r="AB229" s="395"/>
      <c r="AC229" s="395"/>
    </row>
    <row r="230" spans="2:29">
      <c r="B230" s="376" t="str">
        <f>Technologies!B323</f>
        <v>*</v>
      </c>
      <c r="C230" s="376" t="str">
        <f>Technologies!C323</f>
        <v>XPCOMKERR5</v>
      </c>
      <c r="D230" s="376" t="str">
        <f>Technologies!D323</f>
        <v>Delivery of Pipeline Traded COMKER from R5</v>
      </c>
      <c r="E230" s="415" t="str">
        <f>E229</f>
        <v>KERR5</v>
      </c>
      <c r="F230" s="415" t="str">
        <f>Commodities!C95</f>
        <v>COMKER</v>
      </c>
      <c r="G230" s="422">
        <v>1</v>
      </c>
      <c r="H230" s="421">
        <f>DelivOIL!$C88*DelivOIL!P$78^5/(Conv!$I$5*Conv!$D$46)/10^6 + OILTrade!$E$18</f>
        <v>1.915110507270408</v>
      </c>
      <c r="I230" s="421">
        <f>DelivOIL!$C88*DelivOIL!Q$78^5/(Conv!$I$5*Conv!$D$46)/10^6 + OILTrade!$E$18</f>
        <v>1.9052385547676474</v>
      </c>
      <c r="J230" s="421">
        <f>DelivOIL!$C88*DelivOIL!R$78^5/(Conv!$I$5*Conv!$D$46)/10^6 + OILTrade!$E$18</f>
        <v>2.0018847221020151</v>
      </c>
      <c r="K230" s="421">
        <f>DelivOIL!$C88*DelivOIL!S$78^5/(Conv!$I$5*Conv!$D$46)/10^6 + OILTrade!$E$18</f>
        <v>2.4018984284217564</v>
      </c>
      <c r="L230" s="421">
        <f>DelivOIL!$C88*DelivOIL!T$78^5/(Conv!$I$5*Conv!$D$46)/10^6 + OILTrade!$E$18</f>
        <v>2.2066147729456795</v>
      </c>
      <c r="M230" s="421">
        <f>DelivOIL!$C88*DelivOIL!U$78^5/(Conv!$I$5*Conv!$D$46)/10^6 + OILTrade!$E$18</f>
        <v>1.9608403581274478</v>
      </c>
      <c r="N230" s="421">
        <f>DelivOIL!$C88*DelivOIL!V$78^5/(Conv!$I$5*Conv!$D$46)/10^6 + OILTrade!$E$18</f>
        <v>1.9608403581274478</v>
      </c>
      <c r="O230" s="421">
        <f>DelivOIL!$C88*DelivOIL!W$78^5/(Conv!$I$5*Conv!$D$46)/10^6 + OILTrade!$E$18</f>
        <v>1.9608403581274478</v>
      </c>
      <c r="P230" s="421">
        <f>DelivOIL!$C88*DelivOIL!X$78^5/(Conv!$I$5*Conv!$D$46)/10^6 + OILTrade!$E$18</f>
        <v>1.9608403581274478</v>
      </c>
      <c r="Q230" s="421">
        <f>DelivOIL!$C88*DelivOIL!Y$78^5/(Conv!$I$5*Conv!$D$46)/10^6 + OILTrade!$E$18</f>
        <v>1.9608403581274478</v>
      </c>
      <c r="S230" s="395"/>
      <c r="T230" s="395"/>
      <c r="U230" s="395"/>
      <c r="V230" s="395"/>
      <c r="W230" s="395"/>
      <c r="X230" s="395"/>
      <c r="Y230" s="395"/>
      <c r="Z230" s="395"/>
      <c r="AA230" s="395"/>
      <c r="AB230" s="395"/>
      <c r="AC230" s="395"/>
    </row>
    <row r="231" spans="2:29">
      <c r="B231" s="376" t="str">
        <f>Technologies!B324</f>
        <v>*</v>
      </c>
      <c r="C231" s="376" t="str">
        <f>Technologies!C324</f>
        <v>XPINDKERR5</v>
      </c>
      <c r="D231" s="376" t="str">
        <f>Technologies!D324</f>
        <v>Delivery of Pipeline Traded INDKER from R5</v>
      </c>
      <c r="E231" s="415" t="str">
        <f>E230</f>
        <v>KERR5</v>
      </c>
      <c r="F231" s="415" t="str">
        <f>Commodities!C96</f>
        <v>INDKER</v>
      </c>
      <c r="G231" s="422">
        <v>1</v>
      </c>
      <c r="H231" s="421">
        <f>DelivOIL!$C89*DelivOIL!P$78^5/(Conv!$I$5*Conv!$D$46)/10^6 + OILTrade!$E$18</f>
        <v>1.2060376153367571</v>
      </c>
      <c r="I231" s="421">
        <f>DelivOIL!$C89*DelivOIL!Q$78^5/(Conv!$I$5*Conv!$D$46)/10^6 + OILTrade!$E$18</f>
        <v>1.1999126813021976</v>
      </c>
      <c r="J231" s="421">
        <f>DelivOIL!$C89*DelivOIL!R$78^5/(Conv!$I$5*Conv!$D$46)/10^6 + OILTrade!$E$18</f>
        <v>1.2598756318381192</v>
      </c>
      <c r="K231" s="421">
        <f>DelivOIL!$C89*DelivOIL!S$78^5/(Conv!$I$5*Conv!$D$46)/10^6 + OILTrade!$E$18</f>
        <v>1.5080593182408784</v>
      </c>
      <c r="L231" s="421">
        <f>DelivOIL!$C89*DelivOIL!T$78^5/(Conv!$I$5*Conv!$D$46)/10^6 + OILTrade!$E$18</f>
        <v>1.3868979261571808</v>
      </c>
      <c r="M231" s="421">
        <f>DelivOIL!$C89*DelivOIL!U$78^5/(Conv!$I$5*Conv!$D$46)/10^6 + OILTrade!$E$18</f>
        <v>1.2344101505400298</v>
      </c>
      <c r="N231" s="421">
        <f>DelivOIL!$C89*DelivOIL!V$78^5/(Conv!$I$5*Conv!$D$46)/10^6 + OILTrade!$E$18</f>
        <v>1.2344101505400298</v>
      </c>
      <c r="O231" s="421">
        <f>DelivOIL!$C89*DelivOIL!W$78^5/(Conv!$I$5*Conv!$D$46)/10^6 + OILTrade!$E$18</f>
        <v>1.2344101505400298</v>
      </c>
      <c r="P231" s="421">
        <f>DelivOIL!$C89*DelivOIL!X$78^5/(Conv!$I$5*Conv!$D$46)/10^6 + OILTrade!$E$18</f>
        <v>1.2344101505400298</v>
      </c>
      <c r="Q231" s="421">
        <f>DelivOIL!$C89*DelivOIL!Y$78^5/(Conv!$I$5*Conv!$D$46)/10^6 + OILTrade!$E$18</f>
        <v>1.2344101505400298</v>
      </c>
      <c r="S231" s="395"/>
      <c r="T231" s="395"/>
      <c r="U231" s="395"/>
      <c r="V231" s="395"/>
      <c r="W231" s="395"/>
      <c r="X231" s="395"/>
      <c r="Y231" s="395"/>
      <c r="Z231" s="395"/>
      <c r="AA231" s="395"/>
      <c r="AB231" s="395"/>
      <c r="AC231" s="395"/>
    </row>
    <row r="232" spans="2:29">
      <c r="B232" s="376" t="str">
        <f>Technologies!B325</f>
        <v>*</v>
      </c>
      <c r="C232" s="376" t="str">
        <f>Technologies!C325</f>
        <v>XPRESLPGR5</v>
      </c>
      <c r="D232" s="376" t="str">
        <f>Technologies!D325</f>
        <v>Delivery of Pipeline Traded RESLPG from R5</v>
      </c>
      <c r="E232" s="415" t="str">
        <f>Commodities!C150</f>
        <v>LPGR5</v>
      </c>
      <c r="F232" s="415" t="str">
        <f>Commodities!C97</f>
        <v>RESLPG</v>
      </c>
      <c r="G232" s="422">
        <v>1</v>
      </c>
      <c r="H232" s="421">
        <f>DelivOIL!$C90*DelivOIL!P$78^5/(Conv!$I$5*Conv!$D$46)/10^6 + OILTrade!$E$18</f>
        <v>6.5377203219917055</v>
      </c>
      <c r="I232" s="421">
        <f>DelivOIL!$C90*DelivOIL!Q$78^5/(Conv!$I$5*Conv!$D$46)/10^6 + OILTrade!$E$18</f>
        <v>6.5034206913981727</v>
      </c>
      <c r="J232" s="421">
        <f>DelivOIL!$C90*DelivOIL!R$78^5/(Conv!$I$5*Conv!$D$46)/10^6 + OILTrade!$E$18</f>
        <v>6.8392132143993338</v>
      </c>
      <c r="K232" s="421">
        <f>DelivOIL!$C90*DelivOIL!S$78^5/(Conv!$I$5*Conv!$D$46)/10^6 + OILTrade!$E$18</f>
        <v>8.2290418582547851</v>
      </c>
      <c r="L232" s="421">
        <f>DelivOIL!$C90*DelivOIL!T$78^5/(Conv!$I$5*Conv!$D$46)/10^6 + OILTrade!$E$18</f>
        <v>7.5505380625860798</v>
      </c>
      <c r="M232" s="421">
        <f>DelivOIL!$C90*DelivOIL!U$78^5/(Conv!$I$5*Conv!$D$46)/10^6 + OILTrade!$E$18</f>
        <v>6.6966065191300332</v>
      </c>
      <c r="N232" s="421">
        <f>DelivOIL!$C90*DelivOIL!V$78^5/(Conv!$I$5*Conv!$D$46)/10^6 + OILTrade!$E$18</f>
        <v>6.6966065191300332</v>
      </c>
      <c r="O232" s="421">
        <f>DelivOIL!$C90*DelivOIL!W$78^5/(Conv!$I$5*Conv!$D$46)/10^6 + OILTrade!$E$18</f>
        <v>6.6966065191300332</v>
      </c>
      <c r="P232" s="421">
        <f>DelivOIL!$C90*DelivOIL!X$78^5/(Conv!$I$5*Conv!$D$46)/10^6 + OILTrade!$E$18</f>
        <v>6.6966065191300332</v>
      </c>
      <c r="Q232" s="421">
        <f>DelivOIL!$C90*DelivOIL!Y$78^5/(Conv!$I$5*Conv!$D$46)/10^6 + OILTrade!$E$18</f>
        <v>6.6966065191300332</v>
      </c>
      <c r="S232" s="395"/>
      <c r="T232" s="395"/>
      <c r="U232" s="395"/>
      <c r="V232" s="395"/>
      <c r="W232" s="395"/>
      <c r="X232" s="395"/>
      <c r="Y232" s="395"/>
      <c r="Z232" s="395"/>
      <c r="AA232" s="395"/>
      <c r="AB232" s="395"/>
      <c r="AC232" s="395"/>
    </row>
    <row r="233" spans="2:29">
      <c r="B233" s="376" t="str">
        <f>Technologies!B326</f>
        <v>*</v>
      </c>
      <c r="C233" s="376" t="str">
        <f>Technologies!C326</f>
        <v>XPCOMLPGR5</v>
      </c>
      <c r="D233" s="376" t="str">
        <f>Technologies!D326</f>
        <v>Delivery of Pipeline Traded COMLPG from R5</v>
      </c>
      <c r="E233" s="415" t="str">
        <f>E232</f>
        <v>LPGR5</v>
      </c>
      <c r="F233" s="415" t="str">
        <f>Commodities!C98</f>
        <v>COMLPG</v>
      </c>
      <c r="G233" s="422">
        <v>1</v>
      </c>
      <c r="H233" s="421">
        <f>DelivOIL!$C91*DelivOIL!P$78^5/(Conv!$I$5*Conv!$D$46)/10^6 + OILTrade!$E$18</f>
        <v>2.6378194163566273</v>
      </c>
      <c r="I233" s="421">
        <f>DelivOIL!$C91*DelivOIL!Q$78^5/(Conv!$I$5*Conv!$D$46)/10^6 + OILTrade!$E$18</f>
        <v>2.6241283873382004</v>
      </c>
      <c r="J233" s="421">
        <f>DelivOIL!$C91*DelivOIL!R$78^5/(Conv!$I$5*Conv!$D$46)/10^6 + OILTrade!$E$18</f>
        <v>2.7581632179479074</v>
      </c>
      <c r="K233" s="421">
        <f>DelivOIL!$C91*DelivOIL!S$78^5/(Conv!$I$5*Conv!$D$46)/10^6 + OILTrade!$E$18</f>
        <v>3.312926752259957</v>
      </c>
      <c r="L233" s="421">
        <f>DelivOIL!$C91*DelivOIL!T$78^5/(Conv!$I$5*Conv!$D$46)/10^6 + OILTrade!$E$18</f>
        <v>3.0420954052493396</v>
      </c>
      <c r="M233" s="421">
        <f>DelivOIL!$C91*DelivOIL!U$78^5/(Conv!$I$5*Conv!$D$46)/10^6 + OILTrade!$E$18</f>
        <v>2.7012403773992371</v>
      </c>
      <c r="N233" s="421">
        <f>DelivOIL!$C91*DelivOIL!V$78^5/(Conv!$I$5*Conv!$D$46)/10^6 + OILTrade!$E$18</f>
        <v>2.7012403773992371</v>
      </c>
      <c r="O233" s="421">
        <f>DelivOIL!$C91*DelivOIL!W$78^5/(Conv!$I$5*Conv!$D$46)/10^6 + OILTrade!$E$18</f>
        <v>2.7012403773992371</v>
      </c>
      <c r="P233" s="421">
        <f>DelivOIL!$C91*DelivOIL!X$78^5/(Conv!$I$5*Conv!$D$46)/10^6 + OILTrade!$E$18</f>
        <v>2.7012403773992371</v>
      </c>
      <c r="Q233" s="421">
        <f>DelivOIL!$C91*DelivOIL!Y$78^5/(Conv!$I$5*Conv!$D$46)/10^6 + OILTrade!$E$18</f>
        <v>2.7012403773992371</v>
      </c>
      <c r="S233" s="395"/>
      <c r="T233" s="395"/>
      <c r="U233" s="395"/>
      <c r="V233" s="395"/>
      <c r="W233" s="395"/>
      <c r="X233" s="395"/>
      <c r="Y233" s="395"/>
      <c r="Z233" s="395"/>
      <c r="AA233" s="395"/>
      <c r="AB233" s="395"/>
      <c r="AC233" s="395"/>
    </row>
    <row r="234" spans="2:29">
      <c r="B234" s="376" t="str">
        <f>Technologies!B327</f>
        <v>*</v>
      </c>
      <c r="C234" s="376" t="str">
        <f>Technologies!C327</f>
        <v>XPINDLPGR5</v>
      </c>
      <c r="D234" s="376" t="str">
        <f>Technologies!D327</f>
        <v>Delivery of Pipeline Traded INDLPG from R5</v>
      </c>
      <c r="E234" s="415" t="str">
        <f>E233</f>
        <v>LPGR5</v>
      </c>
      <c r="F234" s="415" t="str">
        <f>Commodities!C99</f>
        <v>INDLPG</v>
      </c>
      <c r="G234" s="422">
        <v>1</v>
      </c>
      <c r="H234" s="421">
        <f>DelivOIL!$C92*DelivOIL!P$78^5/(Conv!$I$5*Conv!$D$46)/10^6 + OILTrade!$E$18</f>
        <v>2.2969189875423726</v>
      </c>
      <c r="I234" s="421">
        <f>DelivOIL!$C92*DelivOIL!Q$78^5/(Conv!$I$5*Conv!$D$46)/10^6 + OILTrade!$E$18</f>
        <v>2.2850294097105812</v>
      </c>
      <c r="J234" s="421">
        <f>DelivOIL!$C92*DelivOIL!R$78^5/(Conv!$I$5*Conv!$D$46)/10^6 + OILTrade!$E$18</f>
        <v>2.401428078397958</v>
      </c>
      <c r="K234" s="421">
        <f>DelivOIL!$C92*DelivOIL!S$78^5/(Conv!$I$5*Conv!$D$46)/10^6 + OILTrade!$E$18</f>
        <v>2.883196410826844</v>
      </c>
      <c r="L234" s="421">
        <f>DelivOIL!$C92*DelivOIL!T$78^5/(Conv!$I$5*Conv!$D$46)/10^6 + OILTrade!$E$18</f>
        <v>2.6480007673702546</v>
      </c>
      <c r="M234" s="421">
        <f>DelivOIL!$C92*DelivOIL!U$78^5/(Conv!$I$5*Conv!$D$46)/10^6 + OILTrade!$E$18</f>
        <v>2.3519950852899028</v>
      </c>
      <c r="N234" s="421">
        <f>DelivOIL!$C92*DelivOIL!V$78^5/(Conv!$I$5*Conv!$D$46)/10^6 + OILTrade!$E$18</f>
        <v>2.3519950852899028</v>
      </c>
      <c r="O234" s="421">
        <f>DelivOIL!$C92*DelivOIL!W$78^5/(Conv!$I$5*Conv!$D$46)/10^6 + OILTrade!$E$18</f>
        <v>2.3519950852899028</v>
      </c>
      <c r="P234" s="421">
        <f>DelivOIL!$C92*DelivOIL!X$78^5/(Conv!$I$5*Conv!$D$46)/10^6 + OILTrade!$E$18</f>
        <v>2.3519950852899028</v>
      </c>
      <c r="Q234" s="421">
        <f>DelivOIL!$C92*DelivOIL!Y$78^5/(Conv!$I$5*Conv!$D$46)/10^6 + OILTrade!$E$18</f>
        <v>2.3519950852899028</v>
      </c>
      <c r="S234" s="395"/>
      <c r="T234" s="395"/>
      <c r="U234" s="395"/>
      <c r="V234" s="395"/>
      <c r="W234" s="395"/>
      <c r="X234" s="395"/>
      <c r="Y234" s="395"/>
      <c r="Z234" s="395"/>
      <c r="AA234" s="395"/>
      <c r="AB234" s="395"/>
      <c r="AC234" s="395"/>
    </row>
    <row r="235" spans="2:29">
      <c r="B235" s="376" t="str">
        <f>Technologies!B328</f>
        <v>*</v>
      </c>
      <c r="C235" s="376" t="str">
        <f>Technologies!C328</f>
        <v>XPTRNLPGR5</v>
      </c>
      <c r="D235" s="376" t="str">
        <f>Technologies!D328</f>
        <v>Delivery of Pipeline Traded TRNLPG from R5</v>
      </c>
      <c r="E235" s="415" t="str">
        <f>E234</f>
        <v>LPGR5</v>
      </c>
      <c r="F235" s="415" t="str">
        <f>Commodities!C100</f>
        <v>TRNLPG</v>
      </c>
      <c r="G235" s="422">
        <v>1</v>
      </c>
      <c r="H235" s="421">
        <f>DelivOIL!$C93*DelivOIL!P$78^5/(Conv!$I$5*Conv!$D$46)/10^6 + OILTrade!$E$18</f>
        <v>3.8786969772405153</v>
      </c>
      <c r="I235" s="421">
        <f>DelivOIL!$C93*DelivOIL!Q$78^5/(Conv!$I$5*Conv!$D$46)/10^6 + OILTrade!$E$18</f>
        <v>3.8584486659027357</v>
      </c>
      <c r="J235" s="421">
        <f>DelivOIL!$C93*DelivOIL!R$78^5/(Conv!$I$5*Conv!$D$46)/10^6 + OILTrade!$E$18</f>
        <v>4.0566791259097252</v>
      </c>
      <c r="K235" s="421">
        <f>DelivOIL!$C93*DelivOIL!S$78^5/(Conv!$I$5*Conv!$D$46)/10^6 + OILTrade!$E$18</f>
        <v>4.8771451950764932</v>
      </c>
      <c r="L235" s="421">
        <f>DelivOIL!$C93*DelivOIL!T$78^5/(Conv!$I$5*Conv!$D$46)/10^6 + OILTrade!$E$18</f>
        <v>4.4765998871292112</v>
      </c>
      <c r="M235" s="421">
        <f>DelivOIL!$C93*DelivOIL!U$78^5/(Conv!$I$5*Conv!$D$46)/10^6 + OILTrade!$E$18</f>
        <v>3.9724932406772173</v>
      </c>
      <c r="N235" s="421">
        <f>DelivOIL!$C93*DelivOIL!V$78^5/(Conv!$I$5*Conv!$D$46)/10^6 + OILTrade!$E$18</f>
        <v>3.9724932406772173</v>
      </c>
      <c r="O235" s="421">
        <f>DelivOIL!$C93*DelivOIL!W$78^5/(Conv!$I$5*Conv!$D$46)/10^6 + OILTrade!$E$18</f>
        <v>3.9724932406772173</v>
      </c>
      <c r="P235" s="421">
        <f>DelivOIL!$C93*DelivOIL!X$78^5/(Conv!$I$5*Conv!$D$46)/10^6 + OILTrade!$E$18</f>
        <v>3.9724932406772173</v>
      </c>
      <c r="Q235" s="421">
        <f>DelivOIL!$C93*DelivOIL!Y$78^5/(Conv!$I$5*Conv!$D$46)/10^6 + OILTrade!$E$18</f>
        <v>3.9724932406772173</v>
      </c>
      <c r="S235" s="395"/>
      <c r="T235" s="395"/>
      <c r="U235" s="395"/>
      <c r="V235" s="395"/>
      <c r="W235" s="395"/>
      <c r="X235" s="395"/>
      <c r="Y235" s="395"/>
      <c r="Z235" s="395"/>
      <c r="AA235" s="395"/>
      <c r="AB235" s="395"/>
      <c r="AC235" s="395"/>
    </row>
    <row r="236" spans="2:29">
      <c r="B236" s="376" t="str">
        <f>Technologies!B329</f>
        <v>*</v>
      </c>
      <c r="C236" s="376" t="str">
        <f>Technologies!C329</f>
        <v>XPTRNMTHR5</v>
      </c>
      <c r="D236" s="376" t="str">
        <f>Technologies!D329</f>
        <v>Delivery of Pipeline Traded TRNMTH from R5</v>
      </c>
      <c r="E236" s="415" t="str">
        <f>Commodities!C151</f>
        <v>MTHR5</v>
      </c>
      <c r="F236" s="415" t="str">
        <f>Commodities!C101</f>
        <v>TRNMTH</v>
      </c>
      <c r="G236" s="422">
        <v>1</v>
      </c>
      <c r="H236" s="421">
        <f>DelivOIL!$C94*DelivOIL!P$78^5/(Conv!$I$5*Conv!$D$46)/10^6 + OILTrade!$E$18</f>
        <v>3.7082467628333888</v>
      </c>
      <c r="I236" s="421">
        <f>DelivOIL!$C94*DelivOIL!Q$78^5/(Conv!$I$5*Conv!$D$46)/10^6 + OILTrade!$E$18</f>
        <v>3.6888991770889272</v>
      </c>
      <c r="J236" s="421">
        <f>DelivOIL!$C94*DelivOIL!R$78^5/(Conv!$I$5*Conv!$D$46)/10^6 + OILTrade!$E$18</f>
        <v>3.8783115561347503</v>
      </c>
      <c r="K236" s="421">
        <f>DelivOIL!$C94*DelivOIL!S$78^5/(Conv!$I$5*Conv!$D$46)/10^6 + OILTrade!$E$18</f>
        <v>4.6622800243599363</v>
      </c>
      <c r="L236" s="421">
        <f>DelivOIL!$C94*DelivOIL!T$78^5/(Conv!$I$5*Conv!$D$46)/10^6 + OILTrade!$E$18</f>
        <v>4.2795525681896693</v>
      </c>
      <c r="M236" s="421">
        <f>DelivOIL!$C94*DelivOIL!U$78^5/(Conv!$I$5*Conv!$D$46)/10^6 + OILTrade!$E$18</f>
        <v>3.7978705946225504</v>
      </c>
      <c r="N236" s="421">
        <f>DelivOIL!$C94*DelivOIL!V$78^5/(Conv!$I$5*Conv!$D$46)/10^6 + OILTrade!$E$18</f>
        <v>3.7978705946225504</v>
      </c>
      <c r="O236" s="421">
        <f>DelivOIL!$C94*DelivOIL!W$78^5/(Conv!$I$5*Conv!$D$46)/10^6 + OILTrade!$E$18</f>
        <v>3.7978705946225504</v>
      </c>
      <c r="P236" s="421">
        <f>DelivOIL!$C94*DelivOIL!X$78^5/(Conv!$I$5*Conv!$D$46)/10^6 + OILTrade!$E$18</f>
        <v>3.7978705946225504</v>
      </c>
      <c r="Q236" s="421">
        <f>DelivOIL!$C94*DelivOIL!Y$78^5/(Conv!$I$5*Conv!$D$46)/10^6 + OILTrade!$E$18</f>
        <v>3.7978705946225504</v>
      </c>
      <c r="S236" s="395"/>
      <c r="T236" s="395"/>
      <c r="U236" s="395"/>
      <c r="V236" s="395"/>
      <c r="W236" s="395"/>
      <c r="X236" s="395"/>
      <c r="Y236" s="395"/>
      <c r="Z236" s="395"/>
      <c r="AA236" s="395"/>
      <c r="AB236" s="395"/>
      <c r="AC236" s="395"/>
    </row>
    <row r="237" spans="2:29">
      <c r="B237" s="376" t="str">
        <f>Technologies!B330</f>
        <v>*</v>
      </c>
      <c r="C237" s="376" t="str">
        <f>Technologies!C330</f>
        <v>XPINDPFSR5</v>
      </c>
      <c r="D237" s="376" t="str">
        <f>Technologies!D330</f>
        <v>Delivery of Pipeline Traded INDPFS from R5</v>
      </c>
      <c r="E237" s="415" t="str">
        <f>Commodities!C152</f>
        <v>PFSR5</v>
      </c>
      <c r="F237" s="415" t="str">
        <f>Commodities!C102</f>
        <v>INDPFS</v>
      </c>
      <c r="G237" s="422">
        <v>1</v>
      </c>
      <c r="H237" s="421">
        <f>DelivOIL!$C95*DelivOIL!P$78^5/(Conv!$I$5*Conv!$D$46)/10^6 + OILTrade!$E$18</f>
        <v>0.32651450899597889</v>
      </c>
      <c r="I237" s="421">
        <f>DelivOIL!$C95*DelivOIL!Q$78^5/(Conv!$I$5*Conv!$D$46)/10^6 + OILTrade!$E$18</f>
        <v>0.32503731902293809</v>
      </c>
      <c r="J237" s="421">
        <f>DelivOIL!$C95*DelivOIL!R$78^5/(Conv!$I$5*Conv!$D$46)/10^6 + OILTrade!$E$18</f>
        <v>0.33949897179924859</v>
      </c>
      <c r="K237" s="421">
        <f>DelivOIL!$C95*DelivOIL!S$78^5/(Conv!$I$5*Conv!$D$46)/10^6 + OILTrade!$E$18</f>
        <v>0.39935503734344346</v>
      </c>
      <c r="L237" s="421">
        <f>DelivOIL!$C95*DelivOIL!T$78^5/(Conv!$I$5*Conv!$D$46)/10^6 + OILTrade!$E$18</f>
        <v>0.37013376042914004</v>
      </c>
      <c r="M237" s="421">
        <f>DelivOIL!$C95*DelivOIL!U$78^5/(Conv!$I$5*Conv!$D$46)/10^6 + OILTrade!$E$18</f>
        <v>0.33335729689794469</v>
      </c>
      <c r="N237" s="421">
        <f>DelivOIL!$C95*DelivOIL!V$78^5/(Conv!$I$5*Conv!$D$46)/10^6 + OILTrade!$E$18</f>
        <v>0.33335729689794469</v>
      </c>
      <c r="O237" s="421">
        <f>DelivOIL!$C95*DelivOIL!W$78^5/(Conv!$I$5*Conv!$D$46)/10^6 + OILTrade!$E$18</f>
        <v>0.33335729689794469</v>
      </c>
      <c r="P237" s="421">
        <f>DelivOIL!$C95*DelivOIL!X$78^5/(Conv!$I$5*Conv!$D$46)/10^6 + OILTrade!$E$18</f>
        <v>0.33335729689794469</v>
      </c>
      <c r="Q237" s="421">
        <f>DelivOIL!$C95*DelivOIL!Y$78^5/(Conv!$I$5*Conv!$D$46)/10^6 + OILTrade!$E$18</f>
        <v>0.33335729689794469</v>
      </c>
      <c r="S237" s="395"/>
      <c r="T237" s="395"/>
      <c r="U237" s="395"/>
      <c r="V237" s="395"/>
      <c r="W237" s="395"/>
      <c r="X237" s="395"/>
      <c r="Y237" s="395"/>
      <c r="Z237" s="395"/>
      <c r="AA237" s="395"/>
      <c r="AB237" s="395"/>
      <c r="AC237" s="395"/>
    </row>
    <row r="238" spans="2:29">
      <c r="B238" s="376" t="str">
        <f>Technologies!B331</f>
        <v>*</v>
      </c>
      <c r="C238" s="376" t="str">
        <f>Technologies!C331</f>
        <v>XPRESRFLR5</v>
      </c>
      <c r="D238" s="376" t="str">
        <f>Technologies!D331</f>
        <v>Delivery of Pipeline Traded RESRFL from R5</v>
      </c>
      <c r="E238" s="415" t="str">
        <f>Commodities!C154</f>
        <v>RFLR5</v>
      </c>
      <c r="F238" s="415" t="str">
        <f>Commodities!C103</f>
        <v>RESRFL</v>
      </c>
      <c r="G238" s="422">
        <v>1</v>
      </c>
      <c r="H238" s="421">
        <f>DelivOIL!$C95*DelivOIL!P$78^5/(Conv!$I$5*Conv!$D$46)/10^6 + OILTrade!$E$18</f>
        <v>0.32651450899597889</v>
      </c>
      <c r="I238" s="421">
        <f>DelivOIL!$C95*DelivOIL!Q$78^5/(Conv!$I$5*Conv!$D$46)/10^6 + OILTrade!$E$18</f>
        <v>0.32503731902293809</v>
      </c>
      <c r="J238" s="421">
        <f>DelivOIL!$C95*DelivOIL!R$78^5/(Conv!$I$5*Conv!$D$46)/10^6 + OILTrade!$E$18</f>
        <v>0.33949897179924859</v>
      </c>
      <c r="K238" s="421">
        <f>DelivOIL!$C95*DelivOIL!S$78^5/(Conv!$I$5*Conv!$D$46)/10^6 + OILTrade!$E$18</f>
        <v>0.39935503734344346</v>
      </c>
      <c r="L238" s="421">
        <f>DelivOIL!$C95*DelivOIL!T$78^5/(Conv!$I$5*Conv!$D$46)/10^6 + OILTrade!$E$18</f>
        <v>0.37013376042914004</v>
      </c>
      <c r="M238" s="421">
        <f>DelivOIL!$C95*DelivOIL!U$78^5/(Conv!$I$5*Conv!$D$46)/10^6 + OILTrade!$E$18</f>
        <v>0.33335729689794469</v>
      </c>
      <c r="N238" s="421">
        <f>DelivOIL!$C95*DelivOIL!V$78^5/(Conv!$I$5*Conv!$D$46)/10^6 + OILTrade!$E$18</f>
        <v>0.33335729689794469</v>
      </c>
      <c r="O238" s="421">
        <f>DelivOIL!$C95*DelivOIL!W$78^5/(Conv!$I$5*Conv!$D$46)/10^6 + OILTrade!$E$18</f>
        <v>0.33335729689794469</v>
      </c>
      <c r="P238" s="421">
        <f>DelivOIL!$C95*DelivOIL!X$78^5/(Conv!$I$5*Conv!$D$46)/10^6 + OILTrade!$E$18</f>
        <v>0.33335729689794469</v>
      </c>
      <c r="Q238" s="421">
        <f>DelivOIL!$C95*DelivOIL!Y$78^5/(Conv!$I$5*Conv!$D$46)/10^6 + OILTrade!$E$18</f>
        <v>0.33335729689794469</v>
      </c>
      <c r="S238" s="395"/>
      <c r="T238" s="395"/>
      <c r="U238" s="395"/>
      <c r="V238" s="395"/>
      <c r="W238" s="395"/>
      <c r="X238" s="395"/>
      <c r="Y238" s="395"/>
      <c r="Z238" s="395"/>
      <c r="AA238" s="395"/>
      <c r="AB238" s="395"/>
      <c r="AC238" s="395"/>
    </row>
    <row r="239" spans="2:29">
      <c r="B239" s="376" t="str">
        <f>Technologies!B332</f>
        <v>*</v>
      </c>
      <c r="C239" s="376" t="str">
        <f>Technologies!C332</f>
        <v>XPCOMRFLR5</v>
      </c>
      <c r="D239" s="376" t="str">
        <f>Technologies!D332</f>
        <v>Delivery of Pipeline Traded COMRFL from R5</v>
      </c>
      <c r="E239" s="415" t="str">
        <f>Commodities!C154</f>
        <v>RFLR5</v>
      </c>
      <c r="F239" s="415" t="str">
        <f>Commodities!C104</f>
        <v>COMRFL</v>
      </c>
      <c r="G239" s="422">
        <v>1</v>
      </c>
      <c r="H239" s="421">
        <f>DelivOIL!$C97*DelivOIL!P$78^5/(Conv!$I$5*Conv!$D$46)/10^6 + OILTrade!$E$18</f>
        <v>0.55832680058967177</v>
      </c>
      <c r="I239" s="421">
        <f>DelivOIL!$C97*DelivOIL!Q$78^5/(Conv!$I$5*Conv!$D$46)/10^6 + OILTrade!$E$18</f>
        <v>0.555624623809719</v>
      </c>
      <c r="J239" s="421">
        <f>DelivOIL!$C97*DelivOIL!R$78^5/(Conv!$I$5*Conv!$D$46)/10^6 + OILTrade!$E$18</f>
        <v>0.58207886669321396</v>
      </c>
      <c r="K239" s="421">
        <f>DelivOIL!$C97*DelivOIL!S$78^5/(Conv!$I$5*Conv!$D$46)/10^6 + OILTrade!$E$18</f>
        <v>0.69157166951796045</v>
      </c>
      <c r="L239" s="421">
        <f>DelivOIL!$C97*DelivOIL!T$78^5/(Conv!$I$5*Conv!$D$46)/10^6 + OILTrade!$E$18</f>
        <v>0.63811811418691755</v>
      </c>
      <c r="M239" s="421">
        <f>DelivOIL!$C97*DelivOIL!U$78^5/(Conv!$I$5*Conv!$D$46)/10^6 + OILTrade!$E$18</f>
        <v>0.5708440955322921</v>
      </c>
      <c r="N239" s="421">
        <f>DelivOIL!$C97*DelivOIL!V$78^5/(Conv!$I$5*Conv!$D$46)/10^6 + OILTrade!$E$18</f>
        <v>0.5708440955322921</v>
      </c>
      <c r="O239" s="421">
        <f>DelivOIL!$C97*DelivOIL!W$78^5/(Conv!$I$5*Conv!$D$46)/10^6 + OILTrade!$E$18</f>
        <v>0.5708440955322921</v>
      </c>
      <c r="P239" s="421">
        <f>DelivOIL!$C97*DelivOIL!X$78^5/(Conv!$I$5*Conv!$D$46)/10^6 + OILTrade!$E$18</f>
        <v>0.5708440955322921</v>
      </c>
      <c r="Q239" s="421">
        <f>DelivOIL!$C97*DelivOIL!Y$78^5/(Conv!$I$5*Conv!$D$46)/10^6 + OILTrade!$E$18</f>
        <v>0.5708440955322921</v>
      </c>
      <c r="S239" s="395"/>
      <c r="T239" s="395"/>
      <c r="U239" s="395"/>
      <c r="V239" s="395"/>
      <c r="W239" s="395"/>
      <c r="X239" s="395"/>
      <c r="Y239" s="395"/>
      <c r="Z239" s="395"/>
      <c r="AA239" s="395"/>
      <c r="AB239" s="395"/>
      <c r="AC239" s="395"/>
    </row>
    <row r="240" spans="2:29">
      <c r="B240" s="376" t="str">
        <f>Technologies!B333</f>
        <v>*</v>
      </c>
      <c r="C240" s="376" t="str">
        <f>Technologies!C333</f>
        <v>XPINDRFLR5</v>
      </c>
      <c r="D240" s="376" t="str">
        <f>Technologies!D333</f>
        <v>Delivery of Pipeline Traded INDRFL from R5</v>
      </c>
      <c r="E240" s="415" t="str">
        <f>E239</f>
        <v>RFLR5</v>
      </c>
      <c r="F240" s="415" t="str">
        <f>Commodities!C105</f>
        <v>INDRFL</v>
      </c>
      <c r="G240" s="422">
        <v>1</v>
      </c>
      <c r="H240" s="421">
        <f>DelivOIL!$C97*DelivOIL!P$78^5/(Conv!$I$5*Conv!$D$46)/10^6 + OILTrade!$E$18</f>
        <v>0.55832680058967177</v>
      </c>
      <c r="I240" s="421">
        <f>DelivOIL!$C97*DelivOIL!Q$78^5/(Conv!$I$5*Conv!$D$46)/10^6 + OILTrade!$E$18</f>
        <v>0.555624623809719</v>
      </c>
      <c r="J240" s="421">
        <f>DelivOIL!$C97*DelivOIL!R$78^5/(Conv!$I$5*Conv!$D$46)/10^6 + OILTrade!$E$18</f>
        <v>0.58207886669321396</v>
      </c>
      <c r="K240" s="421">
        <f>DelivOIL!$C97*DelivOIL!S$78^5/(Conv!$I$5*Conv!$D$46)/10^6 + OILTrade!$E$18</f>
        <v>0.69157166951796045</v>
      </c>
      <c r="L240" s="421">
        <f>DelivOIL!$C97*DelivOIL!T$78^5/(Conv!$I$5*Conv!$D$46)/10^6 + OILTrade!$E$18</f>
        <v>0.63811811418691755</v>
      </c>
      <c r="M240" s="421">
        <f>DelivOIL!$C97*DelivOIL!U$78^5/(Conv!$I$5*Conv!$D$46)/10^6 + OILTrade!$E$18</f>
        <v>0.5708440955322921</v>
      </c>
      <c r="N240" s="421">
        <f>DelivOIL!$C97*DelivOIL!V$78^5/(Conv!$I$5*Conv!$D$46)/10^6 + OILTrade!$E$18</f>
        <v>0.5708440955322921</v>
      </c>
      <c r="O240" s="421">
        <f>DelivOIL!$C97*DelivOIL!W$78^5/(Conv!$I$5*Conv!$D$46)/10^6 + OILTrade!$E$18</f>
        <v>0.5708440955322921</v>
      </c>
      <c r="P240" s="421">
        <f>DelivOIL!$C97*DelivOIL!X$78^5/(Conv!$I$5*Conv!$D$46)/10^6 + OILTrade!$E$18</f>
        <v>0.5708440955322921</v>
      </c>
      <c r="Q240" s="421">
        <f>DelivOIL!$C97*DelivOIL!Y$78^5/(Conv!$I$5*Conv!$D$46)/10^6 + OILTrade!$E$18</f>
        <v>0.5708440955322921</v>
      </c>
      <c r="S240" s="395"/>
      <c r="T240" s="395"/>
      <c r="U240" s="395"/>
      <c r="V240" s="395"/>
      <c r="W240" s="395"/>
      <c r="X240" s="395"/>
      <c r="Y240" s="395"/>
      <c r="Z240" s="395"/>
      <c r="AA240" s="395"/>
      <c r="AB240" s="395"/>
      <c r="AC240" s="395"/>
    </row>
    <row r="241" spans="2:29">
      <c r="B241" s="376" t="str">
        <f>Technologies!B334</f>
        <v>*</v>
      </c>
      <c r="C241" s="376" t="str">
        <f>Technologies!C334</f>
        <v>XPELCRFLR5</v>
      </c>
      <c r="D241" s="376" t="str">
        <f>Technologies!D334</f>
        <v>Delivery of Pipeline Traded ELCRFL from R5</v>
      </c>
      <c r="E241" s="415" t="str">
        <f>E240</f>
        <v>RFLR5</v>
      </c>
      <c r="F241" s="415" t="str">
        <f>Commodities!C106</f>
        <v>ELCRFL</v>
      </c>
      <c r="G241" s="422">
        <v>1</v>
      </c>
      <c r="H241" s="421">
        <f>DelivOIL!$C98*DelivOIL!P$78^5/(Conv!$I$5*Conv!$D$46)/10^6 + OILTrade!$E$18</f>
        <v>4.6976157368289556E-2</v>
      </c>
      <c r="I241" s="421">
        <f>DelivOIL!$C98*DelivOIL!Q$78^5/(Conv!$I$5*Conv!$D$46)/10^6 + OILTrade!$E$18</f>
        <v>4.6976157368289556E-2</v>
      </c>
      <c r="J241" s="421">
        <f>DelivOIL!$C98*DelivOIL!R$78^5/(Conv!$I$5*Conv!$D$46)/10^6 + OILTrade!$E$18</f>
        <v>4.6976157368289556E-2</v>
      </c>
      <c r="K241" s="421">
        <f>DelivOIL!$C98*DelivOIL!S$78^5/(Conv!$I$5*Conv!$D$46)/10^6 + OILTrade!$E$18</f>
        <v>4.6976157368289556E-2</v>
      </c>
      <c r="L241" s="421">
        <f>DelivOIL!$C98*DelivOIL!T$78^5/(Conv!$I$5*Conv!$D$46)/10^6 + OILTrade!$E$18</f>
        <v>4.6976157368289556E-2</v>
      </c>
      <c r="M241" s="421">
        <f>DelivOIL!$C98*DelivOIL!U$78^5/(Conv!$I$5*Conv!$D$46)/10^6 + OILTrade!$E$18</f>
        <v>4.6976157368289556E-2</v>
      </c>
      <c r="N241" s="421">
        <f>DelivOIL!$C98*DelivOIL!V$78^5/(Conv!$I$5*Conv!$D$46)/10^6 + OILTrade!$E$18</f>
        <v>4.6976157368289556E-2</v>
      </c>
      <c r="O241" s="421">
        <f>DelivOIL!$C98*DelivOIL!W$78^5/(Conv!$I$5*Conv!$D$46)/10^6 + OILTrade!$E$18</f>
        <v>4.6976157368289556E-2</v>
      </c>
      <c r="P241" s="421">
        <f>DelivOIL!$C98*DelivOIL!X$78^5/(Conv!$I$5*Conv!$D$46)/10^6 + OILTrade!$E$18</f>
        <v>4.6976157368289556E-2</v>
      </c>
      <c r="Q241" s="421">
        <f>DelivOIL!$C98*DelivOIL!Y$78^5/(Conv!$I$5*Conv!$D$46)/10^6 + OILTrade!$E$18</f>
        <v>4.6976157368289556E-2</v>
      </c>
      <c r="S241" s="395"/>
      <c r="T241" s="395"/>
      <c r="U241" s="395"/>
      <c r="V241" s="395"/>
      <c r="W241" s="395"/>
      <c r="X241" s="395"/>
      <c r="Y241" s="395"/>
      <c r="Z241" s="395"/>
      <c r="AA241" s="395"/>
      <c r="AB241" s="395"/>
      <c r="AC241" s="395"/>
    </row>
    <row r="242" spans="2:29">
      <c r="B242" s="376" t="str">
        <f>Technologies!B335</f>
        <v>*</v>
      </c>
      <c r="C242" s="376" t="str">
        <f>Technologies!C335</f>
        <v>XPTRNRFHR5</v>
      </c>
      <c r="D242" s="376" t="str">
        <f>Technologies!D335</f>
        <v>Delivery of Pipeline Traded TRNRFH from R5</v>
      </c>
      <c r="E242" s="415" t="str">
        <f>Commodities!C153</f>
        <v>RFHR5</v>
      </c>
      <c r="F242" s="415" t="str">
        <f>Commodities!C107</f>
        <v>TRNRFH</v>
      </c>
      <c r="G242" s="422">
        <v>1</v>
      </c>
      <c r="H242" s="421">
        <f>DelivOIL!$C99*DelivOIL!P$78^5/(Conv!$I$5*Conv!$D$46)/10^6 + OILTrade!$E$18</f>
        <v>3.9468770630033663</v>
      </c>
      <c r="I242" s="421">
        <f>DelivOIL!$C99*DelivOIL!Q$78^5/(Conv!$I$5*Conv!$D$46)/10^6 + OILTrade!$E$18</f>
        <v>3.9262684614282599</v>
      </c>
      <c r="J242" s="421">
        <f>DelivOIL!$C99*DelivOIL!R$78^5/(Conv!$I$5*Conv!$D$46)/10^6 + OILTrade!$E$18</f>
        <v>4.1280261538197145</v>
      </c>
      <c r="K242" s="421">
        <f>DelivOIL!$C99*DelivOIL!S$78^5/(Conv!$I$5*Conv!$D$46)/10^6 + OILTrade!$E$18</f>
        <v>4.9630912633631157</v>
      </c>
      <c r="L242" s="421">
        <f>DelivOIL!$C99*DelivOIL!T$78^5/(Conv!$I$5*Conv!$D$46)/10^6 + OILTrade!$E$18</f>
        <v>4.5554188147050274</v>
      </c>
      <c r="M242" s="421">
        <f>DelivOIL!$C99*DelivOIL!U$78^5/(Conv!$I$5*Conv!$D$46)/10^6 + OILTrade!$E$18</f>
        <v>4.0423422990990847</v>
      </c>
      <c r="N242" s="421">
        <f>DelivOIL!$C99*DelivOIL!V$78^5/(Conv!$I$5*Conv!$D$46)/10^6 + OILTrade!$E$18</f>
        <v>4.0423422990990847</v>
      </c>
      <c r="O242" s="421">
        <f>DelivOIL!$C99*DelivOIL!W$78^5/(Conv!$I$5*Conv!$D$46)/10^6 + OILTrade!$E$18</f>
        <v>4.0423422990990847</v>
      </c>
      <c r="P242" s="421">
        <f>DelivOIL!$C99*DelivOIL!X$78^5/(Conv!$I$5*Conv!$D$46)/10^6 + OILTrade!$E$18</f>
        <v>4.0423422990990847</v>
      </c>
      <c r="Q242" s="421">
        <f>DelivOIL!$C99*DelivOIL!Y$78^5/(Conv!$I$5*Conv!$D$46)/10^6 + OILTrade!$E$18</f>
        <v>4.0423422990990847</v>
      </c>
      <c r="S242" s="395"/>
      <c r="T242" s="395"/>
      <c r="U242" s="395"/>
      <c r="V242" s="395"/>
      <c r="W242" s="395"/>
      <c r="X242" s="395"/>
      <c r="Y242" s="395"/>
      <c r="Z242" s="395"/>
      <c r="AA242" s="395"/>
      <c r="AB242" s="395"/>
      <c r="AC242" s="395"/>
    </row>
    <row r="243" spans="2:29">
      <c r="B243" s="376" t="str">
        <f>Technologies!B336</f>
        <v>*</v>
      </c>
      <c r="C243" s="376" t="str">
        <f>Technologies!C336</f>
        <v>XPELCRFHR5</v>
      </c>
      <c r="D243" s="376" t="str">
        <f>Technologies!D336</f>
        <v>Delivery of Pipeline Traded ELCRFH from R5</v>
      </c>
      <c r="E243" s="415" t="str">
        <f>E242</f>
        <v>RFHR5</v>
      </c>
      <c r="F243" s="415" t="str">
        <f>Commodities!C108</f>
        <v>ELCRFH</v>
      </c>
      <c r="G243" s="422">
        <v>1</v>
      </c>
      <c r="H243" s="421">
        <f>DelivOIL!$C100*DelivOIL!P$78^5/(Conv!$I$5*Conv!$D$46)/10^6 + OILTrade!$E$18</f>
        <v>1.2060376153367567</v>
      </c>
      <c r="I243" s="421">
        <f>DelivOIL!$C100*DelivOIL!Q$78^5/(Conv!$I$5*Conv!$D$46)/10^6 + OILTrade!$E$18</f>
        <v>1.1999126813021974</v>
      </c>
      <c r="J243" s="421">
        <f>DelivOIL!$C100*DelivOIL!R$78^5/(Conv!$I$5*Conv!$D$46)/10^6 + OILTrade!$E$18</f>
        <v>1.259875631838119</v>
      </c>
      <c r="K243" s="421">
        <f>DelivOIL!$C100*DelivOIL!S$78^5/(Conv!$I$5*Conv!$D$46)/10^6 + OILTrade!$E$18</f>
        <v>1.5080593182408781</v>
      </c>
      <c r="L243" s="421">
        <f>DelivOIL!$C100*DelivOIL!T$78^5/(Conv!$I$5*Conv!$D$46)/10^6 + OILTrade!$E$18</f>
        <v>1.3868979261571805</v>
      </c>
      <c r="M243" s="421">
        <f>DelivOIL!$C100*DelivOIL!U$78^5/(Conv!$I$5*Conv!$D$46)/10^6 + OILTrade!$E$18</f>
        <v>1.2344101505400298</v>
      </c>
      <c r="N243" s="421">
        <f>DelivOIL!$C100*DelivOIL!V$78^5/(Conv!$I$5*Conv!$D$46)/10^6 + OILTrade!$E$18</f>
        <v>1.2344101505400298</v>
      </c>
      <c r="O243" s="421">
        <f>DelivOIL!$C100*DelivOIL!W$78^5/(Conv!$I$5*Conv!$D$46)/10^6 + OILTrade!$E$18</f>
        <v>1.2344101505400298</v>
      </c>
      <c r="P243" s="421">
        <f>DelivOIL!$C100*DelivOIL!X$78^5/(Conv!$I$5*Conv!$D$46)/10^6 + OILTrade!$E$18</f>
        <v>1.2344101505400298</v>
      </c>
      <c r="Q243" s="421">
        <f>DelivOIL!$C100*DelivOIL!Y$78^5/(Conv!$I$5*Conv!$D$46)/10^6 + OILTrade!$E$18</f>
        <v>1.2344101505400298</v>
      </c>
      <c r="S243" s="395"/>
      <c r="T243" s="395"/>
      <c r="U243" s="395"/>
      <c r="V243" s="395"/>
      <c r="W243" s="395"/>
      <c r="X243" s="395"/>
      <c r="Y243" s="395"/>
      <c r="Z243" s="395"/>
      <c r="AA243" s="395"/>
      <c r="AB243" s="395"/>
      <c r="AC243" s="395"/>
    </row>
    <row r="244" spans="2:29">
      <c r="B244" s="376" t="str">
        <f>Technologies!B337</f>
        <v>*</v>
      </c>
      <c r="C244" s="376" t="str">
        <f>Technologies!C337</f>
        <v>XPINDASPR5</v>
      </c>
      <c r="D244" s="376" t="str">
        <f>Technologies!D337</f>
        <v>Delivery of Pipeline Traded INDASP from R5</v>
      </c>
      <c r="E244" s="415" t="str">
        <f>Commodities!C155</f>
        <v>ASPR5</v>
      </c>
      <c r="F244" s="415" t="str">
        <f>Commodities!C109</f>
        <v>INDASP</v>
      </c>
      <c r="G244" s="422">
        <v>1</v>
      </c>
      <c r="H244" s="421">
        <f>DelivOIL!$C101*DelivOIL!P$78^5/(Conv!$I$5*Conv!$D$46)/10^6 + OILTrade!$E$18</f>
        <v>0.8242291350647909</v>
      </c>
      <c r="I244" s="421">
        <f>DelivOIL!$C101*DelivOIL!Q$78^5/(Conv!$I$5*Conv!$D$46)/10^6 + OILTrade!$E$18</f>
        <v>0.82012182635926278</v>
      </c>
      <c r="J244" s="421">
        <f>DelivOIL!$C101*DelivOIL!R$78^5/(Conv!$I$5*Conv!$D$46)/10^6 + OILTrade!$E$18</f>
        <v>0.86033227554217495</v>
      </c>
      <c r="K244" s="421">
        <f>DelivOIL!$C101*DelivOIL!S$78^5/(Conv!$I$5*Conv!$D$46)/10^6 + OILTrade!$E$18</f>
        <v>1.0267613358357899</v>
      </c>
      <c r="L244" s="421">
        <f>DelivOIL!$C101*DelivOIL!T$78^5/(Conv!$I$5*Conv!$D$46)/10^6 + OILTrade!$E$18</f>
        <v>0.94551193173260439</v>
      </c>
      <c r="M244" s="421">
        <f>DelivOIL!$C101*DelivOIL!U$78^5/(Conv!$I$5*Conv!$D$46)/10^6 + OILTrade!$E$18</f>
        <v>0.84325542337757387</v>
      </c>
      <c r="N244" s="421">
        <f>DelivOIL!$C101*DelivOIL!V$78^5/(Conv!$I$5*Conv!$D$46)/10^6 + OILTrade!$E$18</f>
        <v>0.84325542337757387</v>
      </c>
      <c r="O244" s="421">
        <f>DelivOIL!$C101*DelivOIL!W$78^5/(Conv!$I$5*Conv!$D$46)/10^6 + OILTrade!$E$18</f>
        <v>0.84325542337757387</v>
      </c>
      <c r="P244" s="421">
        <f>DelivOIL!$C101*DelivOIL!X$78^5/(Conv!$I$5*Conv!$D$46)/10^6 + OILTrade!$E$18</f>
        <v>0.84325542337757387</v>
      </c>
      <c r="Q244" s="421">
        <f>DelivOIL!$C101*DelivOIL!Y$78^5/(Conv!$I$5*Conv!$D$46)/10^6 + OILTrade!$E$18</f>
        <v>0.84325542337757387</v>
      </c>
      <c r="S244" s="395"/>
      <c r="T244" s="395"/>
      <c r="U244" s="395"/>
      <c r="V244" s="395"/>
      <c r="W244" s="395"/>
      <c r="X244" s="395"/>
      <c r="Y244" s="395"/>
      <c r="Z244" s="395"/>
      <c r="AA244" s="395"/>
      <c r="AB244" s="395"/>
      <c r="AC244" s="395"/>
    </row>
    <row r="245" spans="2:29">
      <c r="B245" s="376" t="s">
        <v>588</v>
      </c>
      <c r="C245" s="376"/>
      <c r="D245" s="376"/>
      <c r="E245" s="415"/>
      <c r="F245" s="415"/>
      <c r="G245" s="422"/>
      <c r="H245" s="423"/>
      <c r="I245" s="423"/>
      <c r="J245" s="423"/>
      <c r="K245" s="423"/>
      <c r="L245" s="423"/>
      <c r="M245" s="423"/>
      <c r="N245" s="423"/>
      <c r="O245" s="423"/>
      <c r="P245" s="423"/>
      <c r="Q245" s="423"/>
    </row>
    <row r="246" spans="2:29">
      <c r="B246" s="376" t="str">
        <f>Technologies!B338</f>
        <v>*</v>
      </c>
      <c r="C246" s="376" t="str">
        <f>Technologies!C338</f>
        <v>XPTRGSLCR6</v>
      </c>
      <c r="D246" s="376" t="str">
        <f>Technologies!D338</f>
        <v>Delivery of Pipeline Traded TRGSLC from R6</v>
      </c>
      <c r="E246" s="415" t="str">
        <f>Commodities!C156</f>
        <v>GSCR6</v>
      </c>
      <c r="F246" s="415" t="str">
        <f>Commodities!C85</f>
        <v>TRGSLC</v>
      </c>
      <c r="G246" s="422">
        <v>1</v>
      </c>
      <c r="H246" s="421">
        <f>DelivOIL!$D77*DelivOIL!P$79^5/(Conv!$I$5*Conv!$D$46)/10^6 + OILTrade!$F$19</f>
        <v>3.4596037369628401</v>
      </c>
      <c r="I246" s="421">
        <f>DelivOIL!$D77*DelivOIL!Q$79^5/(Conv!$I$5*Conv!$D$46)/10^6 + OILTrade!$F$19</f>
        <v>3.1199240876013761</v>
      </c>
      <c r="J246" s="421">
        <f>DelivOIL!$D77*DelivOIL!R$79^5/(Conv!$I$5*Conv!$D$46)/10^6 + OILTrade!$F$19</f>
        <v>3.5093602945249134</v>
      </c>
      <c r="K246" s="421">
        <f>DelivOIL!$D77*DelivOIL!S$79^5/(Conv!$I$5*Conv!$D$46)/10^6 + OILTrade!$F$19</f>
        <v>3.9868186069013465</v>
      </c>
      <c r="L246" s="421">
        <f>DelivOIL!$D77*DelivOIL!T$79^5/(Conv!$I$5*Conv!$D$46)/10^6 + OILTrade!$F$19</f>
        <v>3.6662063587902569</v>
      </c>
      <c r="M246" s="421">
        <f>DelivOIL!$D77*DelivOIL!U$79^5/(Conv!$I$5*Conv!$D$46)/10^6 + OILTrade!$F$19</f>
        <v>3.5077723316565614</v>
      </c>
      <c r="N246" s="421">
        <f>DelivOIL!$D77*DelivOIL!V$79^5/(Conv!$I$5*Conv!$D$46)/10^6 + OILTrade!$F$19</f>
        <v>3.5077723316565614</v>
      </c>
      <c r="O246" s="421">
        <f>DelivOIL!$D77*DelivOIL!W$79^5/(Conv!$I$5*Conv!$D$46)/10^6 + OILTrade!$F$19</f>
        <v>3.5077723316565614</v>
      </c>
      <c r="P246" s="421">
        <f>DelivOIL!$D77*DelivOIL!X$79^5/(Conv!$I$5*Conv!$D$46)/10^6 + OILTrade!$F$19</f>
        <v>3.5077723316565614</v>
      </c>
      <c r="Q246" s="421">
        <f>DelivOIL!$D77*DelivOIL!Y$79^5/(Conv!$I$5*Conv!$D$46)/10^6 + OILTrade!$F$19</f>
        <v>3.5077723316565614</v>
      </c>
      <c r="S246" s="395"/>
      <c r="T246" s="395"/>
      <c r="U246" s="395"/>
      <c r="V246" s="395"/>
      <c r="W246" s="395"/>
      <c r="X246" s="395"/>
      <c r="Y246" s="395"/>
      <c r="Z246" s="395"/>
      <c r="AA246" s="395"/>
      <c r="AB246" s="395"/>
      <c r="AC246" s="395"/>
    </row>
    <row r="247" spans="2:29">
      <c r="B247" s="376" t="str">
        <f>Technologies!B339</f>
        <v>*</v>
      </c>
      <c r="C247" s="376" t="str">
        <f>Technologies!C339</f>
        <v>XPTRGSLRR6</v>
      </c>
      <c r="D247" s="376" t="str">
        <f>Technologies!D339</f>
        <v>Delivery of Pipeline Traded TRGSLR from R6</v>
      </c>
      <c r="E247" s="415" t="str">
        <f>Commodities!C157</f>
        <v>GSRR6</v>
      </c>
      <c r="F247" s="415" t="str">
        <f>Commodities!C86</f>
        <v>TRGSLR</v>
      </c>
      <c r="G247" s="422">
        <v>1</v>
      </c>
      <c r="H247" s="421">
        <f>DelivOIL!$D78*DelivOIL!P$79^5/(Conv!$I$5*Conv!$D$46)/10^6 + OILTrade!$F$19</f>
        <v>3.3982416597762732</v>
      </c>
      <c r="I247" s="421">
        <f>DelivOIL!$D78*DelivOIL!Q$79^5/(Conv!$I$5*Conv!$D$46)/10^6 + OILTrade!$F$19</f>
        <v>3.0649980458763948</v>
      </c>
      <c r="J247" s="421">
        <f>DelivOIL!$D78*DelivOIL!R$79^5/(Conv!$I$5*Conv!$D$46)/10^6 + OILTrade!$F$19</f>
        <v>3.4470554615108551</v>
      </c>
      <c r="K247" s="421">
        <f>DelivOIL!$D78*DelivOIL!S$79^5/(Conv!$I$5*Conv!$D$46)/10^6 + OILTrade!$F$19</f>
        <v>3.9154671953369977</v>
      </c>
      <c r="L247" s="421">
        <f>DelivOIL!$D78*DelivOIL!T$79^5/(Conv!$I$5*Conv!$D$46)/10^6 + OILTrade!$F$19</f>
        <v>3.6009297056111711</v>
      </c>
      <c r="M247" s="421">
        <f>DelivOIL!$D78*DelivOIL!U$79^5/(Conv!$I$5*Conv!$D$46)/10^6 + OILTrade!$F$19</f>
        <v>3.4454975863600081</v>
      </c>
      <c r="N247" s="421">
        <f>DelivOIL!$D78*DelivOIL!V$79^5/(Conv!$I$5*Conv!$D$46)/10^6 + OILTrade!$F$19</f>
        <v>3.4454975863600081</v>
      </c>
      <c r="O247" s="421">
        <f>DelivOIL!$D78*DelivOIL!W$79^5/(Conv!$I$5*Conv!$D$46)/10^6 + OILTrade!$F$19</f>
        <v>3.4454975863600081</v>
      </c>
      <c r="P247" s="421">
        <f>DelivOIL!$D78*DelivOIL!X$79^5/(Conv!$I$5*Conv!$D$46)/10^6 + OILTrade!$F$19</f>
        <v>3.4454975863600081</v>
      </c>
      <c r="Q247" s="421">
        <f>DelivOIL!$D78*DelivOIL!Y$79^5/(Conv!$I$5*Conv!$D$46)/10^6 + OILTrade!$F$19</f>
        <v>3.4454975863600081</v>
      </c>
      <c r="S247" s="395"/>
      <c r="T247" s="395"/>
      <c r="U247" s="395"/>
      <c r="V247" s="395"/>
      <c r="W247" s="395"/>
      <c r="X247" s="395"/>
      <c r="Y247" s="395"/>
      <c r="Z247" s="395"/>
      <c r="AA247" s="395"/>
      <c r="AB247" s="395"/>
      <c r="AC247" s="395"/>
    </row>
    <row r="248" spans="2:29">
      <c r="B248" s="376" t="str">
        <f>Technologies!B341</f>
        <v>*</v>
      </c>
      <c r="C248" s="376" t="str">
        <f>Technologies!C341</f>
        <v>XPCOMDSLR6</v>
      </c>
      <c r="D248" s="376" t="str">
        <f>Technologies!D341</f>
        <v>Delivery of Pipeline Traded COMDSL from R6</v>
      </c>
      <c r="E248" s="415" t="str">
        <f>Commodities!C158</f>
        <v>DSHR6</v>
      </c>
      <c r="F248" s="415" t="str">
        <f>Commodities!C88</f>
        <v>COMDSL</v>
      </c>
      <c r="G248" s="422">
        <v>1</v>
      </c>
      <c r="H248" s="421">
        <f>DelivOIL!$D81*DelivOIL!P$79^5/(Conv!$I$5*Conv!$D$46)/10^6 + OILTrade!$F$19</f>
        <v>1.1960248896361863</v>
      </c>
      <c r="I248" s="421">
        <f>DelivOIL!$D81*DelivOIL!Q$79^5/(Conv!$I$5*Conv!$D$46)/10^6 + OILTrade!$F$19</f>
        <v>1.0937634373021032</v>
      </c>
      <c r="J248" s="421">
        <f>DelivOIL!$D81*DelivOIL!R$79^5/(Conv!$I$5*Conv!$D$46)/10^6 + OILTrade!$F$19</f>
        <v>1.2110042322285577</v>
      </c>
      <c r="K248" s="421">
        <f>DelivOIL!$D81*DelivOIL!S$79^5/(Conv!$I$5*Conv!$D$46)/10^6 + OILTrade!$F$19</f>
        <v>1.3547443136387263</v>
      </c>
      <c r="L248" s="421">
        <f>DelivOIL!$D81*DelivOIL!T$79^5/(Conv!$I$5*Conv!$D$46)/10^6 + OILTrade!$F$19</f>
        <v>1.2582231526284402</v>
      </c>
      <c r="M248" s="421">
        <f>DelivOIL!$D81*DelivOIL!U$79^5/(Conv!$I$5*Conv!$D$46)/10^6 + OILTrade!$F$19</f>
        <v>1.2105261718281908</v>
      </c>
      <c r="N248" s="421">
        <f>DelivOIL!$D81*DelivOIL!V$79^5/(Conv!$I$5*Conv!$D$46)/10^6 + OILTrade!$F$19</f>
        <v>1.2105261718281908</v>
      </c>
      <c r="O248" s="421">
        <f>DelivOIL!$D81*DelivOIL!W$79^5/(Conv!$I$5*Conv!$D$46)/10^6 + OILTrade!$F$19</f>
        <v>1.2105261718281908</v>
      </c>
      <c r="P248" s="421">
        <f>DelivOIL!$D81*DelivOIL!X$79^5/(Conv!$I$5*Conv!$D$46)/10^6 + OILTrade!$F$19</f>
        <v>1.2105261718281908</v>
      </c>
      <c r="Q248" s="421">
        <f>DelivOIL!$D81*DelivOIL!Y$79^5/(Conv!$I$5*Conv!$D$46)/10^6 + OILTrade!$F$19</f>
        <v>1.2105261718281908</v>
      </c>
      <c r="S248" s="395"/>
      <c r="T248" s="395"/>
      <c r="U248" s="395"/>
      <c r="V248" s="395"/>
      <c r="W248" s="395"/>
      <c r="X248" s="395"/>
      <c r="Y248" s="395"/>
      <c r="Z248" s="395"/>
      <c r="AA248" s="395"/>
      <c r="AB248" s="395"/>
      <c r="AC248" s="395"/>
    </row>
    <row r="249" spans="2:29">
      <c r="B249" s="376" t="str">
        <f>Technologies!B342</f>
        <v>*</v>
      </c>
      <c r="C249" s="376" t="str">
        <f>Technologies!C342</f>
        <v>XPINDDSLR6</v>
      </c>
      <c r="D249" s="376" t="str">
        <f>Technologies!D342</f>
        <v>Delivery of Pipeline Traded INDDSL from R6</v>
      </c>
      <c r="E249" s="415" t="str">
        <f>E248</f>
        <v>DSHR6</v>
      </c>
      <c r="F249" s="415" t="str">
        <f>Commodities!C89</f>
        <v>INDDSL</v>
      </c>
      <c r="G249" s="422">
        <v>1</v>
      </c>
      <c r="H249" s="421">
        <f>DelivOIL!$D82*DelivOIL!P$79^5/(Conv!$I$5*Conv!$D$46)/10^6 + OILTrade!$F$19</f>
        <v>1.6937395157049984</v>
      </c>
      <c r="I249" s="421">
        <f>DelivOIL!$D82*DelivOIL!Q$79^5/(Conv!$I$5*Conv!$D$46)/10^6 + OILTrade!$F$19</f>
        <v>1.5392746646269428</v>
      </c>
      <c r="J249" s="421">
        <f>DelivOIL!$D82*DelivOIL!R$79^5/(Conv!$I$5*Conv!$D$46)/10^6 + OILTrade!$F$19</f>
        <v>1.7163656555648044</v>
      </c>
      <c r="K249" s="421">
        <f>DelivOIL!$D82*DelivOIL!S$79^5/(Conv!$I$5*Conv!$D$46)/10^6 + OILTrade!$F$19</f>
        <v>1.9334835407717716</v>
      </c>
      <c r="L249" s="421">
        <f>DelivOIL!$D82*DelivOIL!T$79^5/(Conv!$I$5*Conv!$D$46)/10^6 + OILTrade!$F$19</f>
        <v>1.7876893395254658</v>
      </c>
      <c r="M249" s="421">
        <f>DelivOIL!$D82*DelivOIL!U$79^5/(Conv!$I$5*Conv!$D$46)/10^6 + OILTrade!$F$19</f>
        <v>1.7156435503446694</v>
      </c>
      <c r="N249" s="421">
        <f>DelivOIL!$D82*DelivOIL!V$79^5/(Conv!$I$5*Conv!$D$46)/10^6 + OILTrade!$F$19</f>
        <v>1.7156435503446694</v>
      </c>
      <c r="O249" s="421">
        <f>DelivOIL!$D82*DelivOIL!W$79^5/(Conv!$I$5*Conv!$D$46)/10^6 + OILTrade!$F$19</f>
        <v>1.7156435503446694</v>
      </c>
      <c r="P249" s="421">
        <f>DelivOIL!$D82*DelivOIL!X$79^5/(Conv!$I$5*Conv!$D$46)/10^6 + OILTrade!$F$19</f>
        <v>1.7156435503446694</v>
      </c>
      <c r="Q249" s="421">
        <f>DelivOIL!$D82*DelivOIL!Y$79^5/(Conv!$I$5*Conv!$D$46)/10^6 + OILTrade!$F$19</f>
        <v>1.7156435503446694</v>
      </c>
      <c r="S249" s="395"/>
      <c r="T249" s="395"/>
      <c r="U249" s="395"/>
      <c r="V249" s="395"/>
      <c r="W249" s="395"/>
      <c r="X249" s="395"/>
      <c r="Y249" s="395"/>
      <c r="Z249" s="395"/>
      <c r="AA249" s="395"/>
      <c r="AB249" s="395"/>
      <c r="AC249" s="395"/>
    </row>
    <row r="250" spans="2:29">
      <c r="B250" s="376" t="str">
        <f>Technologies!B343</f>
        <v>*</v>
      </c>
      <c r="C250" s="376" t="str">
        <f>Technologies!C343</f>
        <v>XPELCDSLR6</v>
      </c>
      <c r="D250" s="376" t="str">
        <f>Technologies!D343</f>
        <v>Delivery of Pipeline Traded ELCDSL from R6</v>
      </c>
      <c r="E250" s="415" t="str">
        <f>E249</f>
        <v>DSHR6</v>
      </c>
      <c r="F250" s="415" t="str">
        <f>Commodities!C90</f>
        <v>ELCDSL</v>
      </c>
      <c r="G250" s="422">
        <v>1</v>
      </c>
      <c r="H250" s="421">
        <f>DelivOIL!$D83*DelivOIL!P$79^5/(Conv!$I$5*Conv!$D$46)/10^6 + OILTrade!$F$19</f>
        <v>0.78694437505907988</v>
      </c>
      <c r="I250" s="421">
        <f>DelivOIL!$D83*DelivOIL!Q$79^5/(Conv!$I$5*Conv!$D$46)/10^6 + OILTrade!$F$19</f>
        <v>0.72758982580223464</v>
      </c>
      <c r="J250" s="421">
        <f>DelivOIL!$D83*DelivOIL!R$79^5/(Conv!$I$5*Conv!$D$46)/10^6 + OILTrade!$F$19</f>
        <v>0.79563867880150541</v>
      </c>
      <c r="K250" s="421">
        <f>DelivOIL!$D83*DelivOIL!S$79^5/(Conv!$I$5*Conv!$D$46)/10^6 + OILTrade!$F$19</f>
        <v>0.87906823654307142</v>
      </c>
      <c r="L250" s="421">
        <f>DelivOIL!$D83*DelivOIL!T$79^5/(Conv!$I$5*Conv!$D$46)/10^6 + OILTrade!$F$19</f>
        <v>0.82304546476787066</v>
      </c>
      <c r="M250" s="421">
        <f>DelivOIL!$D83*DelivOIL!U$79^5/(Conv!$I$5*Conv!$D$46)/10^6 + OILTrade!$F$19</f>
        <v>0.79536120318450909</v>
      </c>
      <c r="N250" s="421">
        <f>DelivOIL!$D83*DelivOIL!V$79^5/(Conv!$I$5*Conv!$D$46)/10^6 + OILTrade!$F$19</f>
        <v>0.79536120318450909</v>
      </c>
      <c r="O250" s="421">
        <f>DelivOIL!$D83*DelivOIL!W$79^5/(Conv!$I$5*Conv!$D$46)/10^6 + OILTrade!$F$19</f>
        <v>0.79536120318450909</v>
      </c>
      <c r="P250" s="421">
        <f>DelivOIL!$D83*DelivOIL!X$79^5/(Conv!$I$5*Conv!$D$46)/10^6 + OILTrade!$F$19</f>
        <v>0.79536120318450909</v>
      </c>
      <c r="Q250" s="421">
        <f>DelivOIL!$D83*DelivOIL!Y$79^5/(Conv!$I$5*Conv!$D$46)/10^6 + OILTrade!$F$19</f>
        <v>0.79536120318450909</v>
      </c>
      <c r="S250" s="395"/>
      <c r="T250" s="395"/>
      <c r="U250" s="395"/>
      <c r="V250" s="395"/>
      <c r="W250" s="395"/>
      <c r="X250" s="395"/>
      <c r="Y250" s="395"/>
      <c r="Z250" s="395"/>
      <c r="AA250" s="395"/>
      <c r="AB250" s="395"/>
      <c r="AC250" s="395"/>
    </row>
    <row r="251" spans="2:29">
      <c r="B251" s="376" t="str">
        <f>Technologies!B344</f>
        <v>*</v>
      </c>
      <c r="C251" s="376" t="str">
        <f>Technologies!C344</f>
        <v>XPTRDSLLR6</v>
      </c>
      <c r="D251" s="376" t="str">
        <f>Technologies!D344</f>
        <v>Delivery of Pipeline Traded TRDSLL from R6</v>
      </c>
      <c r="E251" s="415" t="str">
        <f>Commodities!C159</f>
        <v>DSLR6</v>
      </c>
      <c r="F251" s="415" t="str">
        <f>Commodities!C91</f>
        <v>TRDSLL</v>
      </c>
      <c r="G251" s="422">
        <v>1</v>
      </c>
      <c r="H251" s="421">
        <f>DelivOIL!$D84*DelivOIL!P$79^5/(Conv!$I$5*Conv!$D$46)/10^6 + OILTrade!$F$19</f>
        <v>3.9232283201502267</v>
      </c>
      <c r="I251" s="421">
        <f>DelivOIL!$D84*DelivOIL!Q$79^5/(Conv!$I$5*Conv!$D$46)/10^6 + OILTrade!$F$19</f>
        <v>3.5349208473012261</v>
      </c>
      <c r="J251" s="421">
        <f>DelivOIL!$D84*DelivOIL!R$79^5/(Conv!$I$5*Conv!$D$46)/10^6 + OILTrade!$F$19</f>
        <v>3.9801079217422388</v>
      </c>
      <c r="K251" s="421">
        <f>DelivOIL!$D84*DelivOIL!S$79^5/(Conv!$I$5*Conv!$D$46)/10^6 + OILTrade!$F$19</f>
        <v>4.5259181609430872</v>
      </c>
      <c r="L251" s="421">
        <f>DelivOIL!$D84*DelivOIL!T$79^5/(Conv!$I$5*Conv!$D$46)/10^6 + OILTrade!$F$19</f>
        <v>4.1594077383655677</v>
      </c>
      <c r="M251" s="421">
        <f>DelivOIL!$D84*DelivOIL!U$79^5/(Conv!$I$5*Conv!$D$46)/10^6 + OILTrade!$F$19</f>
        <v>3.9782926294527337</v>
      </c>
      <c r="N251" s="421">
        <f>DelivOIL!$D84*DelivOIL!V$79^5/(Conv!$I$5*Conv!$D$46)/10^6 + OILTrade!$F$19</f>
        <v>3.9782926294527337</v>
      </c>
      <c r="O251" s="421">
        <f>DelivOIL!$D84*DelivOIL!W$79^5/(Conv!$I$5*Conv!$D$46)/10^6 + OILTrade!$F$19</f>
        <v>3.9782926294527337</v>
      </c>
      <c r="P251" s="421">
        <f>DelivOIL!$D84*DelivOIL!X$79^5/(Conv!$I$5*Conv!$D$46)/10^6 + OILTrade!$F$19</f>
        <v>3.9782926294527337</v>
      </c>
      <c r="Q251" s="421">
        <f>DelivOIL!$D84*DelivOIL!Y$79^5/(Conv!$I$5*Conv!$D$46)/10^6 + OILTrade!$F$19</f>
        <v>3.9782926294527337</v>
      </c>
      <c r="S251" s="395"/>
      <c r="T251" s="395"/>
      <c r="U251" s="395"/>
      <c r="V251" s="395"/>
      <c r="W251" s="395"/>
      <c r="X251" s="395"/>
      <c r="Y251" s="395"/>
      <c r="Z251" s="395"/>
      <c r="AA251" s="395"/>
      <c r="AB251" s="395"/>
      <c r="AC251" s="395"/>
    </row>
    <row r="252" spans="2:29">
      <c r="B252" s="376" t="str">
        <f>Technologies!B345</f>
        <v>*</v>
      </c>
      <c r="C252" s="376" t="str">
        <f>Technologies!C345</f>
        <v>XPTRDSLUR6</v>
      </c>
      <c r="D252" s="376" t="str">
        <f>Technologies!D345</f>
        <v>Delivery of Pipeline Traded TRDSLU from R6</v>
      </c>
      <c r="E252" s="415" t="str">
        <f>Commodities!C160</f>
        <v>DSUR6</v>
      </c>
      <c r="F252" s="415" t="str">
        <f>Commodities!C92</f>
        <v>TRDSLU</v>
      </c>
      <c r="G252" s="422">
        <v>1</v>
      </c>
      <c r="H252" s="421">
        <f>DelivOIL!$D85*DelivOIL!P$79^5/(Conv!$I$5*Conv!$D$46)/10^6 + OILTrade!$F$19</f>
        <v>3.1937014024877213</v>
      </c>
      <c r="I252" s="421">
        <f>DelivOIL!$D85*DelivOIL!Q$79^5/(Conv!$I$5*Conv!$D$46)/10^6 + OILTrade!$F$19</f>
        <v>2.881911240126461</v>
      </c>
      <c r="J252" s="421">
        <f>DelivOIL!$D85*DelivOIL!R$79^5/(Conv!$I$5*Conv!$D$46)/10^6 + OILTrade!$F$19</f>
        <v>3.239372684797329</v>
      </c>
      <c r="K252" s="421">
        <f>DelivOIL!$D85*DelivOIL!S$79^5/(Conv!$I$5*Conv!$D$46)/10^6 + OILTrade!$F$19</f>
        <v>3.6776291567891715</v>
      </c>
      <c r="L252" s="421">
        <f>DelivOIL!$D85*DelivOIL!T$79^5/(Conv!$I$5*Conv!$D$46)/10^6 + OILTrade!$F$19</f>
        <v>3.3833408616808871</v>
      </c>
      <c r="M252" s="421">
        <f>DelivOIL!$D85*DelivOIL!U$79^5/(Conv!$I$5*Conv!$D$46)/10^6 + OILTrade!$F$19</f>
        <v>3.2379151020381682</v>
      </c>
      <c r="N252" s="421">
        <f>DelivOIL!$D85*DelivOIL!V$79^5/(Conv!$I$5*Conv!$D$46)/10^6 + OILTrade!$F$19</f>
        <v>3.2379151020381682</v>
      </c>
      <c r="O252" s="421">
        <f>DelivOIL!$D85*DelivOIL!W$79^5/(Conv!$I$5*Conv!$D$46)/10^6 + OILTrade!$F$19</f>
        <v>3.2379151020381682</v>
      </c>
      <c r="P252" s="421">
        <f>DelivOIL!$D85*DelivOIL!X$79^5/(Conv!$I$5*Conv!$D$46)/10^6 + OILTrade!$F$19</f>
        <v>3.2379151020381682</v>
      </c>
      <c r="Q252" s="421">
        <f>DelivOIL!$D85*DelivOIL!Y$79^5/(Conv!$I$5*Conv!$D$46)/10^6 + OILTrade!$F$19</f>
        <v>3.2379151020381682</v>
      </c>
      <c r="S252" s="395"/>
      <c r="T252" s="395"/>
      <c r="U252" s="395"/>
      <c r="V252" s="395"/>
      <c r="W252" s="395"/>
      <c r="X252" s="395"/>
      <c r="Y252" s="395"/>
      <c r="Z252" s="395"/>
      <c r="AA252" s="395"/>
      <c r="AB252" s="395"/>
      <c r="AC252" s="395"/>
    </row>
    <row r="253" spans="2:29">
      <c r="B253" s="376" t="str">
        <f>Technologies!B346</f>
        <v>*</v>
      </c>
      <c r="C253" s="376" t="str">
        <f>Technologies!C346</f>
        <v>XPTRNJTFR6</v>
      </c>
      <c r="D253" s="376" t="str">
        <f>Technologies!D346</f>
        <v>Delivery of Pipeline Traded TRNJTF from R6</v>
      </c>
      <c r="E253" s="415" t="str">
        <f>Commodities!C161</f>
        <v>JTFR6</v>
      </c>
      <c r="F253" s="415" t="str">
        <f>Commodities!C93</f>
        <v>TRNJTF</v>
      </c>
      <c r="G253" s="422">
        <v>1</v>
      </c>
      <c r="H253" s="421">
        <f>DelivOIL!$D86*DelivOIL!P$79^5/(Conv!$I$5*Conv!$D$46)/10^6 + OILTrade!$F$19</f>
        <v>0.75285433217765507</v>
      </c>
      <c r="I253" s="421">
        <f>DelivOIL!$D86*DelivOIL!Q$79^5/(Conv!$I$5*Conv!$D$46)/10^6 + OILTrade!$F$19</f>
        <v>0.6970753581772462</v>
      </c>
      <c r="J253" s="421">
        <f>DelivOIL!$D86*DelivOIL!R$79^5/(Conv!$I$5*Conv!$D$46)/10^6 + OILTrade!$F$19</f>
        <v>0.76102488268258506</v>
      </c>
      <c r="K253" s="421">
        <f>DelivOIL!$D86*DelivOIL!S$79^5/(Conv!$I$5*Conv!$D$46)/10^6 + OILTrade!$F$19</f>
        <v>0.83942856345176775</v>
      </c>
      <c r="L253" s="421">
        <f>DelivOIL!$D86*DelivOIL!T$79^5/(Conv!$I$5*Conv!$D$46)/10^6 + OILTrade!$F$19</f>
        <v>0.78678065744615733</v>
      </c>
      <c r="M253" s="421">
        <f>DelivOIL!$D86*DelivOIL!U$79^5/(Conv!$I$5*Conv!$D$46)/10^6 + OILTrade!$F$19</f>
        <v>0.760764122464203</v>
      </c>
      <c r="N253" s="421">
        <f>DelivOIL!$D86*DelivOIL!V$79^5/(Conv!$I$5*Conv!$D$46)/10^6 + OILTrade!$F$19</f>
        <v>0.760764122464203</v>
      </c>
      <c r="O253" s="421">
        <f>DelivOIL!$D86*DelivOIL!W$79^5/(Conv!$I$5*Conv!$D$46)/10^6 + OILTrade!$F$19</f>
        <v>0.760764122464203</v>
      </c>
      <c r="P253" s="421">
        <f>DelivOIL!$D86*DelivOIL!X$79^5/(Conv!$I$5*Conv!$D$46)/10^6 + OILTrade!$F$19</f>
        <v>0.760764122464203</v>
      </c>
      <c r="Q253" s="421">
        <f>DelivOIL!$D86*DelivOIL!Y$79^5/(Conv!$I$5*Conv!$D$46)/10^6 + OILTrade!$F$19</f>
        <v>0.760764122464203</v>
      </c>
      <c r="S253" s="395"/>
      <c r="T253" s="395"/>
      <c r="U253" s="395"/>
      <c r="V253" s="395"/>
      <c r="W253" s="395"/>
      <c r="X253" s="395"/>
      <c r="Y253" s="395"/>
      <c r="Z253" s="395"/>
      <c r="AA253" s="395"/>
      <c r="AB253" s="395"/>
      <c r="AC253" s="395"/>
    </row>
    <row r="254" spans="2:29">
      <c r="B254" s="376" t="str">
        <f>Technologies!B347</f>
        <v>*</v>
      </c>
      <c r="C254" s="376" t="str">
        <f>Technologies!C347</f>
        <v>XPRESKERR6</v>
      </c>
      <c r="D254" s="376" t="str">
        <f>Technologies!D347</f>
        <v>Delivery of Pipeline Traded RESKER from R6</v>
      </c>
      <c r="E254" s="415" t="str">
        <f>Commodities!C162</f>
        <v>KERR6</v>
      </c>
      <c r="F254" s="415" t="str">
        <f>Commodities!C94</f>
        <v>RESKER</v>
      </c>
      <c r="G254" s="422">
        <v>1</v>
      </c>
      <c r="H254" s="421">
        <f>DelivOIL!$D87*DelivOIL!P$79^5/(Conv!$I$5*Conv!$D$46)/10^6 + OILTrade!$F$19</f>
        <v>2.9005270337074616</v>
      </c>
      <c r="I254" s="421">
        <f>DelivOIL!$D87*DelivOIL!Q$79^5/(Conv!$I$5*Conv!$D$46)/10^6 + OILTrade!$F$19</f>
        <v>2.6194868185515552</v>
      </c>
      <c r="J254" s="421">
        <f>DelivOIL!$D87*DelivOIL!R$79^5/(Conv!$I$5*Conv!$D$46)/10^6 + OILTrade!$F$19</f>
        <v>2.9416940381746084</v>
      </c>
      <c r="K254" s="421">
        <f>DelivOIL!$D87*DelivOIL!S$79^5/(Conv!$I$5*Conv!$D$46)/10^6 + OILTrade!$F$19</f>
        <v>3.3367279682039519</v>
      </c>
      <c r="L254" s="421">
        <f>DelivOIL!$D87*DelivOIL!T$79^5/(Conv!$I$5*Conv!$D$46)/10^6 + OILTrade!$F$19</f>
        <v>3.071463518714145</v>
      </c>
      <c r="M254" s="421">
        <f>DelivOIL!$D87*DelivOIL!U$79^5/(Conv!$I$5*Conv!$D$46)/10^6 + OILTrade!$F$19</f>
        <v>2.9403802078435297</v>
      </c>
      <c r="N254" s="421">
        <f>DelivOIL!$D87*DelivOIL!V$79^5/(Conv!$I$5*Conv!$D$46)/10^6 + OILTrade!$F$19</f>
        <v>2.9403802078435297</v>
      </c>
      <c r="O254" s="421">
        <f>DelivOIL!$D87*DelivOIL!W$79^5/(Conv!$I$5*Conv!$D$46)/10^6 + OILTrade!$F$19</f>
        <v>2.9403802078435297</v>
      </c>
      <c r="P254" s="421">
        <f>DelivOIL!$D87*DelivOIL!X$79^5/(Conv!$I$5*Conv!$D$46)/10^6 + OILTrade!$F$19</f>
        <v>2.9403802078435297</v>
      </c>
      <c r="Q254" s="421">
        <f>DelivOIL!$D87*DelivOIL!Y$79^5/(Conv!$I$5*Conv!$D$46)/10^6 + OILTrade!$F$19</f>
        <v>2.9403802078435297</v>
      </c>
      <c r="S254" s="395"/>
      <c r="T254" s="395"/>
      <c r="U254" s="395"/>
      <c r="V254" s="395"/>
      <c r="W254" s="395"/>
      <c r="X254" s="395"/>
      <c r="Y254" s="395"/>
      <c r="Z254" s="395"/>
      <c r="AA254" s="395"/>
      <c r="AB254" s="395"/>
      <c r="AC254" s="395"/>
    </row>
    <row r="255" spans="2:29">
      <c r="B255" s="376" t="str">
        <f>Technologies!B348</f>
        <v>*</v>
      </c>
      <c r="C255" s="376" t="str">
        <f>Technologies!C348</f>
        <v>XPCOMKERR6</v>
      </c>
      <c r="D255" s="376" t="str">
        <f>Technologies!D348</f>
        <v>Delivery of Pipeline Traded COMKER from R6</v>
      </c>
      <c r="E255" s="415" t="str">
        <f>E254</f>
        <v>KERR6</v>
      </c>
      <c r="F255" s="415" t="str">
        <f>Commodities!C95</f>
        <v>COMKER</v>
      </c>
      <c r="G255" s="422">
        <v>1</v>
      </c>
      <c r="H255" s="421">
        <f>DelivOIL!$D88*DelivOIL!P$79^5/(Conv!$I$5*Conv!$D$46)/10^6 + OILTrade!$F$19</f>
        <v>3.0232511880805935</v>
      </c>
      <c r="I255" s="421">
        <f>DelivOIL!$D88*DelivOIL!Q$79^5/(Conv!$I$5*Conv!$D$46)/10^6 + OILTrade!$F$19</f>
        <v>2.7293389020015155</v>
      </c>
      <c r="J255" s="421">
        <f>DelivOIL!$D88*DelivOIL!R$79^5/(Conv!$I$5*Conv!$D$46)/10^6 + OILTrade!$F$19</f>
        <v>3.0663037042027241</v>
      </c>
      <c r="K255" s="421">
        <f>DelivOIL!$D88*DelivOIL!S$79^5/(Conv!$I$5*Conv!$D$46)/10^6 + OILTrade!$F$19</f>
        <v>3.4794307913326485</v>
      </c>
      <c r="L255" s="421">
        <f>DelivOIL!$D88*DelivOIL!T$79^5/(Conv!$I$5*Conv!$D$46)/10^6 + OILTrade!$F$19</f>
        <v>3.2020168250723162</v>
      </c>
      <c r="M255" s="421">
        <f>DelivOIL!$D88*DelivOIL!U$79^5/(Conv!$I$5*Conv!$D$46)/10^6 + OILTrade!$F$19</f>
        <v>3.0649296984366345</v>
      </c>
      <c r="N255" s="421">
        <f>DelivOIL!$D88*DelivOIL!V$79^5/(Conv!$I$5*Conv!$D$46)/10^6 + OILTrade!$F$19</f>
        <v>3.0649296984366345</v>
      </c>
      <c r="O255" s="421">
        <f>DelivOIL!$D88*DelivOIL!W$79^5/(Conv!$I$5*Conv!$D$46)/10^6 + OILTrade!$F$19</f>
        <v>3.0649296984366345</v>
      </c>
      <c r="P255" s="421">
        <f>DelivOIL!$D88*DelivOIL!X$79^5/(Conv!$I$5*Conv!$D$46)/10^6 + OILTrade!$F$19</f>
        <v>3.0649296984366345</v>
      </c>
      <c r="Q255" s="421">
        <f>DelivOIL!$D88*DelivOIL!Y$79^5/(Conv!$I$5*Conv!$D$46)/10^6 + OILTrade!$F$19</f>
        <v>3.0649296984366345</v>
      </c>
      <c r="S255" s="395"/>
      <c r="T255" s="395"/>
      <c r="U255" s="395"/>
      <c r="V255" s="395"/>
      <c r="W255" s="395"/>
      <c r="X255" s="395"/>
      <c r="Y255" s="395"/>
      <c r="Z255" s="395"/>
      <c r="AA255" s="395"/>
      <c r="AB255" s="395"/>
      <c r="AC255" s="395"/>
    </row>
    <row r="256" spans="2:29">
      <c r="B256" s="376" t="str">
        <f>Technologies!B349</f>
        <v>*</v>
      </c>
      <c r="C256" s="376" t="str">
        <f>Technologies!C349</f>
        <v>XPINDKERR6</v>
      </c>
      <c r="D256" s="376" t="str">
        <f>Technologies!D349</f>
        <v>Delivery of Pipeline Traded INDKER from R6</v>
      </c>
      <c r="E256" s="415" t="str">
        <f>E255</f>
        <v>KERR6</v>
      </c>
      <c r="F256" s="415" t="str">
        <f>Commodities!C96</f>
        <v>INDKER</v>
      </c>
      <c r="G256" s="422">
        <v>1</v>
      </c>
      <c r="H256" s="421">
        <f>DelivOIL!$D89*DelivOIL!P$79^5/(Conv!$I$5*Conv!$D$46)/10^6 + OILTrade!$F$19</f>
        <v>1.5641973527555819</v>
      </c>
      <c r="I256" s="421">
        <f>DelivOIL!$D89*DelivOIL!Q$79^5/(Conv!$I$5*Conv!$D$46)/10^6 + OILTrade!$F$19</f>
        <v>1.4233196876519851</v>
      </c>
      <c r="J256" s="421">
        <f>DelivOIL!$D89*DelivOIL!R$79^5/(Conv!$I$5*Conv!$D$46)/10^6 + OILTrade!$F$19</f>
        <v>1.5848332303129051</v>
      </c>
      <c r="K256" s="421">
        <f>DelivOIL!$D89*DelivOIL!S$79^5/(Conv!$I$5*Conv!$D$46)/10^6 + OILTrade!$F$19</f>
        <v>1.7828527830248153</v>
      </c>
      <c r="L256" s="421">
        <f>DelivOIL!$D89*DelivOIL!T$79^5/(Conv!$I$5*Conv!$D$46)/10^6 + OILTrade!$F$19</f>
        <v>1.6498830717029527</v>
      </c>
      <c r="M256" s="421">
        <f>DelivOIL!$D89*DelivOIL!U$79^5/(Conv!$I$5*Conv!$D$46)/10^6 + OILTrade!$F$19</f>
        <v>1.5841746436075044</v>
      </c>
      <c r="N256" s="421">
        <f>DelivOIL!$D89*DelivOIL!V$79^5/(Conv!$I$5*Conv!$D$46)/10^6 + OILTrade!$F$19</f>
        <v>1.5841746436075044</v>
      </c>
      <c r="O256" s="421">
        <f>DelivOIL!$D89*DelivOIL!W$79^5/(Conv!$I$5*Conv!$D$46)/10^6 + OILTrade!$F$19</f>
        <v>1.5841746436075044</v>
      </c>
      <c r="P256" s="421">
        <f>DelivOIL!$D89*DelivOIL!X$79^5/(Conv!$I$5*Conv!$D$46)/10^6 + OILTrade!$F$19</f>
        <v>1.5841746436075044</v>
      </c>
      <c r="Q256" s="421">
        <f>DelivOIL!$D89*DelivOIL!Y$79^5/(Conv!$I$5*Conv!$D$46)/10^6 + OILTrade!$F$19</f>
        <v>1.5841746436075044</v>
      </c>
      <c r="S256" s="395"/>
      <c r="T256" s="395"/>
      <c r="U256" s="395"/>
      <c r="V256" s="395"/>
      <c r="W256" s="395"/>
      <c r="X256" s="395"/>
      <c r="Y256" s="395"/>
      <c r="Z256" s="395"/>
      <c r="AA256" s="395"/>
      <c r="AB256" s="395"/>
      <c r="AC256" s="395"/>
    </row>
    <row r="257" spans="2:29">
      <c r="B257" s="376" t="str">
        <f>Technologies!B350</f>
        <v>*</v>
      </c>
      <c r="C257" s="376" t="str">
        <f>Technologies!C350</f>
        <v>XPRESLPGR6</v>
      </c>
      <c r="D257" s="376" t="str">
        <f>Technologies!D350</f>
        <v>Delivery of Pipeline Traded RESLPG from R6</v>
      </c>
      <c r="E257" s="415" t="str">
        <f>Commodities!C163</f>
        <v>LPGR6</v>
      </c>
      <c r="F257" s="415" t="str">
        <f>Commodities!C97</f>
        <v>RESLPG</v>
      </c>
      <c r="G257" s="422">
        <v>1</v>
      </c>
      <c r="H257" s="421">
        <f>DelivOIL!$D90*DelivOIL!P$79^5/(Conv!$I$5*Conv!$D$46)/10^6 + OILTrade!$F$19</f>
        <v>3.6641439942513929</v>
      </c>
      <c r="I257" s="421">
        <f>DelivOIL!$D90*DelivOIL!Q$79^5/(Conv!$I$5*Conv!$D$46)/10^6 + OILTrade!$F$19</f>
        <v>3.3030108933513103</v>
      </c>
      <c r="J257" s="421">
        <f>DelivOIL!$D90*DelivOIL!R$79^5/(Conv!$I$5*Conv!$D$46)/10^6 + OILTrade!$F$19</f>
        <v>3.7170430712384399</v>
      </c>
      <c r="K257" s="421">
        <f>DelivOIL!$D90*DelivOIL!S$79^5/(Conv!$I$5*Conv!$D$46)/10^6 + OILTrade!$F$19</f>
        <v>4.2246566454491736</v>
      </c>
      <c r="L257" s="421">
        <f>DelivOIL!$D90*DelivOIL!T$79^5/(Conv!$I$5*Conv!$D$46)/10^6 + OILTrade!$F$19</f>
        <v>3.8837952027205418</v>
      </c>
      <c r="M257" s="421">
        <f>DelivOIL!$D90*DelivOIL!U$79^5/(Conv!$I$5*Conv!$D$46)/10^6 + OILTrade!$F$19</f>
        <v>3.7153548159784022</v>
      </c>
      <c r="N257" s="421">
        <f>DelivOIL!$D90*DelivOIL!V$79^5/(Conv!$I$5*Conv!$D$46)/10^6 + OILTrade!$F$19</f>
        <v>3.7153548159784022</v>
      </c>
      <c r="O257" s="421">
        <f>DelivOIL!$D90*DelivOIL!W$79^5/(Conv!$I$5*Conv!$D$46)/10^6 + OILTrade!$F$19</f>
        <v>3.7153548159784022</v>
      </c>
      <c r="P257" s="421">
        <f>DelivOIL!$D90*DelivOIL!X$79^5/(Conv!$I$5*Conv!$D$46)/10^6 + OILTrade!$F$19</f>
        <v>3.7153548159784022</v>
      </c>
      <c r="Q257" s="421">
        <f>DelivOIL!$D90*DelivOIL!Y$79^5/(Conv!$I$5*Conv!$D$46)/10^6 + OILTrade!$F$19</f>
        <v>3.7153548159784022</v>
      </c>
      <c r="S257" s="395"/>
      <c r="T257" s="395"/>
      <c r="U257" s="395"/>
      <c r="V257" s="395"/>
      <c r="W257" s="395"/>
      <c r="X257" s="395"/>
      <c r="Y257" s="395"/>
      <c r="Z257" s="395"/>
      <c r="AA257" s="395"/>
      <c r="AB257" s="395"/>
      <c r="AC257" s="395"/>
    </row>
    <row r="258" spans="2:29">
      <c r="B258" s="376" t="str">
        <f>Technologies!B351</f>
        <v>*</v>
      </c>
      <c r="C258" s="376" t="str">
        <f>Technologies!C351</f>
        <v>XPCOMLPGR6</v>
      </c>
      <c r="D258" s="376" t="str">
        <f>Technologies!D351</f>
        <v>Delivery of Pipeline Traded COMLPG from R6</v>
      </c>
      <c r="E258" s="415" t="str">
        <f>E257</f>
        <v>LPGR6</v>
      </c>
      <c r="F258" s="415" t="str">
        <f>Commodities!C98</f>
        <v>COMLPG</v>
      </c>
      <c r="G258" s="422">
        <v>1</v>
      </c>
      <c r="H258" s="421">
        <f>DelivOIL!$D91*DelivOIL!P$79^5/(Conv!$I$5*Conv!$D$46)/10^6 + OILTrade!$F$19</f>
        <v>3.4118776769288437</v>
      </c>
      <c r="I258" s="421">
        <f>DelivOIL!$D91*DelivOIL!Q$79^5/(Conv!$I$5*Conv!$D$46)/10^6 + OILTrade!$F$19</f>
        <v>3.0772038329263904</v>
      </c>
      <c r="J258" s="421">
        <f>DelivOIL!$D91*DelivOIL!R$79^5/(Conv!$I$5*Conv!$D$46)/10^6 + OILTrade!$F$19</f>
        <v>3.4609009799584238</v>
      </c>
      <c r="K258" s="421">
        <f>DelivOIL!$D91*DelivOIL!S$79^5/(Conv!$I$5*Conv!$D$46)/10^6 + OILTrade!$F$19</f>
        <v>3.9313230645735193</v>
      </c>
      <c r="L258" s="421">
        <f>DelivOIL!$D91*DelivOIL!T$79^5/(Conv!$I$5*Conv!$D$46)/10^6 + OILTrade!$F$19</f>
        <v>3.6154356285398563</v>
      </c>
      <c r="M258" s="421">
        <f>DelivOIL!$D91*DelivOIL!U$79^5/(Conv!$I$5*Conv!$D$46)/10^6 + OILTrade!$F$19</f>
        <v>3.4593364186481308</v>
      </c>
      <c r="N258" s="421">
        <f>DelivOIL!$D91*DelivOIL!V$79^5/(Conv!$I$5*Conv!$D$46)/10^6 + OILTrade!$F$19</f>
        <v>3.4593364186481308</v>
      </c>
      <c r="O258" s="421">
        <f>DelivOIL!$D91*DelivOIL!W$79^5/(Conv!$I$5*Conv!$D$46)/10^6 + OILTrade!$F$19</f>
        <v>3.4593364186481308</v>
      </c>
      <c r="P258" s="421">
        <f>DelivOIL!$D91*DelivOIL!X$79^5/(Conv!$I$5*Conv!$D$46)/10^6 + OILTrade!$F$19</f>
        <v>3.4593364186481308</v>
      </c>
      <c r="Q258" s="421">
        <f>DelivOIL!$D91*DelivOIL!Y$79^5/(Conv!$I$5*Conv!$D$46)/10^6 + OILTrade!$F$19</f>
        <v>3.4593364186481308</v>
      </c>
      <c r="S258" s="395"/>
      <c r="T258" s="395"/>
      <c r="U258" s="395"/>
      <c r="V258" s="395"/>
      <c r="W258" s="395"/>
      <c r="X258" s="395"/>
      <c r="Y258" s="395"/>
      <c r="Z258" s="395"/>
      <c r="AA258" s="395"/>
      <c r="AB258" s="395"/>
      <c r="AC258" s="395"/>
    </row>
    <row r="259" spans="2:29">
      <c r="B259" s="376" t="str">
        <f>Technologies!B352</f>
        <v>*</v>
      </c>
      <c r="C259" s="376" t="str">
        <f>Technologies!C352</f>
        <v>XPINDLPGR6</v>
      </c>
      <c r="D259" s="376" t="str">
        <f>Technologies!D352</f>
        <v>Delivery of Pipeline Traded INDLPG from R6</v>
      </c>
      <c r="E259" s="415" t="str">
        <f>E258</f>
        <v>LPGR6</v>
      </c>
      <c r="F259" s="415" t="str">
        <f>Commodities!C99</f>
        <v>INDLPG</v>
      </c>
      <c r="G259" s="422">
        <v>1</v>
      </c>
      <c r="H259" s="421">
        <f>DelivOIL!$D92*DelivOIL!P$79^5/(Conv!$I$5*Conv!$D$46)/10^6 + OILTrade!$F$19</f>
        <v>2.927799068012602</v>
      </c>
      <c r="I259" s="421">
        <f>DelivOIL!$D92*DelivOIL!Q$79^5/(Conv!$I$5*Conv!$D$46)/10^6 + OILTrade!$F$19</f>
        <v>2.6438983926515465</v>
      </c>
      <c r="J259" s="421">
        <f>DelivOIL!$D92*DelivOIL!R$79^5/(Conv!$I$5*Conv!$D$46)/10^6 + OILTrade!$F$19</f>
        <v>2.9693850750697455</v>
      </c>
      <c r="K259" s="421">
        <f>DelivOIL!$D92*DelivOIL!S$79^5/(Conv!$I$5*Conv!$D$46)/10^6 + OILTrade!$F$19</f>
        <v>3.3684397066769955</v>
      </c>
      <c r="L259" s="421">
        <f>DelivOIL!$D92*DelivOIL!T$79^5/(Conv!$I$5*Conv!$D$46)/10^6 + OILTrade!$F$19</f>
        <v>3.1004753645715168</v>
      </c>
      <c r="M259" s="421">
        <f>DelivOIL!$D92*DelivOIL!U$79^5/(Conv!$I$5*Conv!$D$46)/10^6 + OILTrade!$F$19</f>
        <v>2.968057872419775</v>
      </c>
      <c r="N259" s="421">
        <f>DelivOIL!$D92*DelivOIL!V$79^5/(Conv!$I$5*Conv!$D$46)/10^6 + OILTrade!$F$19</f>
        <v>2.968057872419775</v>
      </c>
      <c r="O259" s="421">
        <f>DelivOIL!$D92*DelivOIL!W$79^5/(Conv!$I$5*Conv!$D$46)/10^6 + OILTrade!$F$19</f>
        <v>2.968057872419775</v>
      </c>
      <c r="P259" s="421">
        <f>DelivOIL!$D92*DelivOIL!X$79^5/(Conv!$I$5*Conv!$D$46)/10^6 + OILTrade!$F$19</f>
        <v>2.968057872419775</v>
      </c>
      <c r="Q259" s="421">
        <f>DelivOIL!$D92*DelivOIL!Y$79^5/(Conv!$I$5*Conv!$D$46)/10^6 + OILTrade!$F$19</f>
        <v>2.968057872419775</v>
      </c>
      <c r="S259" s="395"/>
      <c r="T259" s="395"/>
      <c r="U259" s="395"/>
      <c r="V259" s="395"/>
      <c r="W259" s="395"/>
      <c r="X259" s="395"/>
      <c r="Y259" s="395"/>
      <c r="Z259" s="395"/>
      <c r="AA259" s="395"/>
      <c r="AB259" s="395"/>
      <c r="AC259" s="395"/>
    </row>
    <row r="260" spans="2:29">
      <c r="B260" s="376" t="str">
        <f>Technologies!B353</f>
        <v>*</v>
      </c>
      <c r="C260" s="376" t="str">
        <f>Technologies!C353</f>
        <v>XPTRNLPGR6</v>
      </c>
      <c r="D260" s="376" t="str">
        <f>Technologies!D353</f>
        <v>Delivery of Pipeline Traded TRNLPG from R6</v>
      </c>
      <c r="E260" s="415" t="str">
        <f>E259</f>
        <v>LPGR6</v>
      </c>
      <c r="F260" s="415" t="str">
        <f>Commodities!C100</f>
        <v>TRNLPG</v>
      </c>
      <c r="G260" s="422">
        <v>1</v>
      </c>
      <c r="H260" s="421">
        <f>DelivOIL!$D93*DelivOIL!P$79^5/(Conv!$I$5*Conv!$D$46)/10^6 + OILTrade!$F$19</f>
        <v>4.3118548089984774</v>
      </c>
      <c r="I260" s="421">
        <f>DelivOIL!$D93*DelivOIL!Q$79^5/(Conv!$I$5*Conv!$D$46)/10^6 + OILTrade!$F$19</f>
        <v>3.8827857782261019</v>
      </c>
      <c r="J260" s="421">
        <f>DelivOIL!$D93*DelivOIL!R$79^5/(Conv!$I$5*Conv!$D$46)/10^6 + OILTrade!$F$19</f>
        <v>4.3747051974979394</v>
      </c>
      <c r="K260" s="421">
        <f>DelivOIL!$D93*DelivOIL!S$79^5/(Conv!$I$5*Conv!$D$46)/10^6 + OILTrade!$F$19</f>
        <v>4.9778104341839597</v>
      </c>
      <c r="L260" s="421">
        <f>DelivOIL!$D93*DelivOIL!T$79^5/(Conv!$I$5*Conv!$D$46)/10^6 + OILTrade!$F$19</f>
        <v>4.5728265418331091</v>
      </c>
      <c r="M260" s="421">
        <f>DelivOIL!$D93*DelivOIL!U$79^5/(Conv!$I$5*Conv!$D$46)/10^6 + OILTrade!$F$19</f>
        <v>4.3726993496642308</v>
      </c>
      <c r="N260" s="421">
        <f>DelivOIL!$D93*DelivOIL!V$79^5/(Conv!$I$5*Conv!$D$46)/10^6 + OILTrade!$F$19</f>
        <v>4.3726993496642308</v>
      </c>
      <c r="O260" s="421">
        <f>DelivOIL!$D93*DelivOIL!W$79^5/(Conv!$I$5*Conv!$D$46)/10^6 + OILTrade!$F$19</f>
        <v>4.3726993496642308</v>
      </c>
      <c r="P260" s="421">
        <f>DelivOIL!$D93*DelivOIL!X$79^5/(Conv!$I$5*Conv!$D$46)/10^6 + OILTrade!$F$19</f>
        <v>4.3726993496642308</v>
      </c>
      <c r="Q260" s="421">
        <f>DelivOIL!$D93*DelivOIL!Y$79^5/(Conv!$I$5*Conv!$D$46)/10^6 + OILTrade!$F$19</f>
        <v>4.3726993496642308</v>
      </c>
      <c r="S260" s="395"/>
      <c r="T260" s="395"/>
      <c r="U260" s="395"/>
      <c r="V260" s="395"/>
      <c r="W260" s="395"/>
      <c r="X260" s="395"/>
      <c r="Y260" s="395"/>
      <c r="Z260" s="395"/>
      <c r="AA260" s="395"/>
      <c r="AB260" s="395"/>
      <c r="AC260" s="395"/>
    </row>
    <row r="261" spans="2:29">
      <c r="B261" s="376" t="str">
        <f>Technologies!B354</f>
        <v>*</v>
      </c>
      <c r="C261" s="376" t="str">
        <f>Technologies!C354</f>
        <v>XPTRNMTHR6</v>
      </c>
      <c r="D261" s="376" t="str">
        <f>Technologies!D354</f>
        <v>Delivery of Pipeline Traded TRNMTH from R6</v>
      </c>
      <c r="E261" s="415" t="str">
        <f>Commodities!C164</f>
        <v>MTHR6</v>
      </c>
      <c r="F261" s="415" t="str">
        <f>Commodities!C101</f>
        <v>TRNMTH</v>
      </c>
      <c r="G261" s="422">
        <v>1</v>
      </c>
      <c r="H261" s="421">
        <f>DelivOIL!$D94*DelivOIL!P$79^5/(Conv!$I$5*Conv!$D$46)/10^6 + OILTrade!$F$19</f>
        <v>0.88239649512707141</v>
      </c>
      <c r="I261" s="421">
        <f>DelivOIL!$D94*DelivOIL!Q$79^5/(Conv!$I$5*Conv!$D$46)/10^6 + OILTrade!$F$19</f>
        <v>0.81303033515220391</v>
      </c>
      <c r="J261" s="421">
        <f>DelivOIL!$D94*DelivOIL!R$79^5/(Conv!$I$5*Conv!$D$46)/10^6 + OILTrade!$F$19</f>
        <v>0.89255730793448418</v>
      </c>
      <c r="K261" s="421">
        <f>DelivOIL!$D94*DelivOIL!S$79^5/(Conv!$I$5*Conv!$D$46)/10^6 + OILTrade!$F$19</f>
        <v>0.9900593211987242</v>
      </c>
      <c r="L261" s="421">
        <f>DelivOIL!$D94*DelivOIL!T$79^5/(Conv!$I$5*Conv!$D$46)/10^6 + OILTrade!$F$19</f>
        <v>0.92458692526867026</v>
      </c>
      <c r="M261" s="421">
        <f>DelivOIL!$D94*DelivOIL!U$79^5/(Conv!$I$5*Conv!$D$46)/10^6 + OILTrade!$F$19</f>
        <v>0.89223302920136827</v>
      </c>
      <c r="N261" s="421">
        <f>DelivOIL!$D94*DelivOIL!V$79^5/(Conv!$I$5*Conv!$D$46)/10^6 + OILTrade!$F$19</f>
        <v>0.89223302920136827</v>
      </c>
      <c r="O261" s="421">
        <f>DelivOIL!$D94*DelivOIL!W$79^5/(Conv!$I$5*Conv!$D$46)/10^6 + OILTrade!$F$19</f>
        <v>0.89223302920136827</v>
      </c>
      <c r="P261" s="421">
        <f>DelivOIL!$D94*DelivOIL!X$79^5/(Conv!$I$5*Conv!$D$46)/10^6 + OILTrade!$F$19</f>
        <v>0.89223302920136827</v>
      </c>
      <c r="Q261" s="421">
        <f>DelivOIL!$D94*DelivOIL!Y$79^5/(Conv!$I$5*Conv!$D$46)/10^6 + OILTrade!$F$19</f>
        <v>0.89223302920136827</v>
      </c>
      <c r="S261" s="395"/>
      <c r="T261" s="395"/>
      <c r="U261" s="395"/>
      <c r="V261" s="395"/>
      <c r="W261" s="395"/>
      <c r="X261" s="395"/>
      <c r="Y261" s="395"/>
      <c r="Z261" s="395"/>
      <c r="AA261" s="395"/>
      <c r="AB261" s="395"/>
      <c r="AC261" s="395"/>
    </row>
    <row r="262" spans="2:29">
      <c r="B262" s="376" t="str">
        <f>Technologies!B355</f>
        <v>*</v>
      </c>
      <c r="C262" s="376" t="str">
        <f>Technologies!C355</f>
        <v>XPINDPFSR6</v>
      </c>
      <c r="D262" s="376" t="str">
        <f>Technologies!D355</f>
        <v>Delivery of Pipeline Traded INDPFS from R6</v>
      </c>
      <c r="E262" s="415" t="str">
        <f>Commodities!C165</f>
        <v>PFSR6</v>
      </c>
      <c r="F262" s="415" t="str">
        <f>Commodities!C102</f>
        <v>INDPFS</v>
      </c>
      <c r="G262" s="422">
        <v>1</v>
      </c>
      <c r="H262" s="421">
        <f>DelivOIL!$D95*DelivOIL!P$79^5/(Conv!$I$5*Conv!$D$46)/10^6 + OILTrade!$F$19</f>
        <v>1.3187490440093179</v>
      </c>
      <c r="I262" s="421">
        <f>DelivOIL!$D95*DelivOIL!Q$79^5/(Conv!$I$5*Conv!$D$46)/10^6 + OILTrade!$F$19</f>
        <v>1.2036155207520636</v>
      </c>
      <c r="J262" s="421">
        <f>DelivOIL!$D95*DelivOIL!R$79^5/(Conv!$I$5*Conv!$D$46)/10^6 + OILTrade!$F$19</f>
        <v>1.3356138982566732</v>
      </c>
      <c r="K262" s="421">
        <f>DelivOIL!$D95*DelivOIL!S$79^5/(Conv!$I$5*Conv!$D$46)/10^6 + OILTrade!$F$19</f>
        <v>1.497447136767422</v>
      </c>
      <c r="L262" s="421">
        <f>DelivOIL!$D95*DelivOIL!T$79^5/(Conv!$I$5*Conv!$D$46)/10^6 + OILTrade!$F$19</f>
        <v>1.3887764589866107</v>
      </c>
      <c r="M262" s="421">
        <f>DelivOIL!$D95*DelivOIL!U$79^5/(Conv!$I$5*Conv!$D$46)/10^6 + OILTrade!$F$19</f>
        <v>1.3350756624212949</v>
      </c>
      <c r="N262" s="421">
        <f>DelivOIL!$D95*DelivOIL!V$79^5/(Conv!$I$5*Conv!$D$46)/10^6 + OILTrade!$F$19</f>
        <v>1.3350756624212949</v>
      </c>
      <c r="O262" s="421">
        <f>DelivOIL!$D95*DelivOIL!W$79^5/(Conv!$I$5*Conv!$D$46)/10^6 + OILTrade!$F$19</f>
        <v>1.3350756624212949</v>
      </c>
      <c r="P262" s="421">
        <f>DelivOIL!$D95*DelivOIL!X$79^5/(Conv!$I$5*Conv!$D$46)/10^6 + OILTrade!$F$19</f>
        <v>1.3350756624212949</v>
      </c>
      <c r="Q262" s="421">
        <f>DelivOIL!$D95*DelivOIL!Y$79^5/(Conv!$I$5*Conv!$D$46)/10^6 + OILTrade!$F$19</f>
        <v>1.3350756624212949</v>
      </c>
      <c r="S262" s="395"/>
      <c r="T262" s="395"/>
      <c r="U262" s="395"/>
      <c r="V262" s="395"/>
      <c r="W262" s="395"/>
      <c r="X262" s="395"/>
      <c r="Y262" s="395"/>
      <c r="Z262" s="395"/>
      <c r="AA262" s="395"/>
      <c r="AB262" s="395"/>
      <c r="AC262" s="395"/>
    </row>
    <row r="263" spans="2:29">
      <c r="B263" s="376" t="str">
        <f>Technologies!B356</f>
        <v>*</v>
      </c>
      <c r="C263" s="376" t="str">
        <f>Technologies!C356</f>
        <v>XPRESRFLR6</v>
      </c>
      <c r="D263" s="376" t="str">
        <f>Technologies!D356</f>
        <v>Delivery of Pipeline Traded RESRFL from R6</v>
      </c>
      <c r="E263" s="415" t="str">
        <f>Commodities!C167</f>
        <v>RFLR6</v>
      </c>
      <c r="F263" s="415" t="str">
        <f>Commodities!C103</f>
        <v>RESRFL</v>
      </c>
      <c r="G263" s="422">
        <v>1</v>
      </c>
      <c r="H263" s="421">
        <f>DelivOIL!$D96*DelivOIL!P$79^5/(Conv!$I$5*Conv!$D$46)/10^6 + OILTrade!$F$19</f>
        <v>0.36422784332940406</v>
      </c>
      <c r="I263" s="421">
        <f>DelivOIL!$D96*DelivOIL!Q$79^5/(Conv!$I$5*Conv!$D$46)/10^6 + OILTrade!$F$19</f>
        <v>0.34921042725237084</v>
      </c>
      <c r="J263" s="421">
        <f>DelivOIL!$D96*DelivOIL!R$79^5/(Conv!$I$5*Conv!$D$46)/10^6 + OILTrade!$F$19</f>
        <v>0.36642760692688514</v>
      </c>
      <c r="K263" s="421">
        <f>DelivOIL!$D96*DelivOIL!S$79^5/(Conv!$I$5*Conv!$D$46)/10^6 + OILTrade!$F$19</f>
        <v>0.38753629021089592</v>
      </c>
      <c r="L263" s="421">
        <f>DelivOIL!$D96*DelivOIL!T$79^5/(Conv!$I$5*Conv!$D$46)/10^6 + OILTrade!$F$19</f>
        <v>0.3733618539786161</v>
      </c>
      <c r="M263" s="421">
        <f>DelivOIL!$D96*DelivOIL!U$79^5/(Conv!$I$5*Conv!$D$46)/10^6 + OILTrade!$F$19</f>
        <v>0.36635740225270541</v>
      </c>
      <c r="N263" s="421">
        <f>DelivOIL!$D96*DelivOIL!V$79^5/(Conv!$I$5*Conv!$D$46)/10^6 + OILTrade!$F$19</f>
        <v>0.36635740225270541</v>
      </c>
      <c r="O263" s="421">
        <f>DelivOIL!$D96*DelivOIL!W$79^5/(Conv!$I$5*Conv!$D$46)/10^6 + OILTrade!$F$19</f>
        <v>0.36635740225270541</v>
      </c>
      <c r="P263" s="421">
        <f>DelivOIL!$D96*DelivOIL!X$79^5/(Conv!$I$5*Conv!$D$46)/10^6 + OILTrade!$F$19</f>
        <v>0.36635740225270541</v>
      </c>
      <c r="Q263" s="421">
        <f>DelivOIL!$D96*DelivOIL!Y$79^5/(Conv!$I$5*Conv!$D$46)/10^6 + OILTrade!$F$19</f>
        <v>0.36635740225270541</v>
      </c>
      <c r="S263" s="395"/>
      <c r="T263" s="395"/>
      <c r="U263" s="395"/>
      <c r="V263" s="395"/>
      <c r="W263" s="395"/>
      <c r="X263" s="395"/>
      <c r="Y263" s="395"/>
      <c r="Z263" s="395"/>
      <c r="AA263" s="395"/>
      <c r="AB263" s="395"/>
      <c r="AC263" s="395"/>
    </row>
    <row r="264" spans="2:29">
      <c r="B264" s="376" t="str">
        <f>Technologies!B357</f>
        <v>*</v>
      </c>
      <c r="C264" s="376" t="str">
        <f>Technologies!C357</f>
        <v>XPCOMRFLR6</v>
      </c>
      <c r="D264" s="376" t="str">
        <f>Technologies!D357</f>
        <v>Delivery of Pipeline Traded COMRFL from R6</v>
      </c>
      <c r="E264" s="415" t="str">
        <f>Commodities!C167</f>
        <v>RFLR6</v>
      </c>
      <c r="F264" s="415" t="str">
        <f>Commodities!C104</f>
        <v>COMRFL</v>
      </c>
      <c r="G264" s="422">
        <v>1</v>
      </c>
      <c r="H264" s="421">
        <f>DelivOIL!$D96*DelivOIL!P$79^5/(Conv!$I$5*Conv!$D$46)/10^6 + OILTrade!$F$19</f>
        <v>0.36422784332940406</v>
      </c>
      <c r="I264" s="421">
        <f>DelivOIL!$D96*DelivOIL!Q$79^5/(Conv!$I$5*Conv!$D$46)/10^6 + OILTrade!$F$19</f>
        <v>0.34921042725237084</v>
      </c>
      <c r="J264" s="421">
        <f>DelivOIL!$D96*DelivOIL!R$79^5/(Conv!$I$5*Conv!$D$46)/10^6 + OILTrade!$F$19</f>
        <v>0.36642760692688514</v>
      </c>
      <c r="K264" s="421">
        <f>DelivOIL!$D96*DelivOIL!S$79^5/(Conv!$I$5*Conv!$D$46)/10^6 + OILTrade!$F$19</f>
        <v>0.38753629021089592</v>
      </c>
      <c r="L264" s="421">
        <f>DelivOIL!$D96*DelivOIL!T$79^5/(Conv!$I$5*Conv!$D$46)/10^6 + OILTrade!$F$19</f>
        <v>0.3733618539786161</v>
      </c>
      <c r="M264" s="421">
        <f>DelivOIL!$D96*DelivOIL!U$79^5/(Conv!$I$5*Conv!$D$46)/10^6 + OILTrade!$F$19</f>
        <v>0.36635740225270541</v>
      </c>
      <c r="N264" s="421">
        <f>DelivOIL!$D96*DelivOIL!V$79^5/(Conv!$I$5*Conv!$D$46)/10^6 + OILTrade!$F$19</f>
        <v>0.36635740225270541</v>
      </c>
      <c r="O264" s="421">
        <f>DelivOIL!$D96*DelivOIL!W$79^5/(Conv!$I$5*Conv!$D$46)/10^6 + OILTrade!$F$19</f>
        <v>0.36635740225270541</v>
      </c>
      <c r="P264" s="421">
        <f>DelivOIL!$D96*DelivOIL!X$79^5/(Conv!$I$5*Conv!$D$46)/10^6 + OILTrade!$F$19</f>
        <v>0.36635740225270541</v>
      </c>
      <c r="Q264" s="421">
        <f>DelivOIL!$D96*DelivOIL!Y$79^5/(Conv!$I$5*Conv!$D$46)/10^6 + OILTrade!$F$19</f>
        <v>0.36635740225270541</v>
      </c>
      <c r="S264" s="395"/>
      <c r="T264" s="395"/>
      <c r="U264" s="395"/>
      <c r="V264" s="395"/>
      <c r="W264" s="395"/>
      <c r="X264" s="395"/>
      <c r="Y264" s="395"/>
      <c r="Z264" s="395"/>
      <c r="AA264" s="395"/>
      <c r="AB264" s="395"/>
      <c r="AC264" s="395"/>
    </row>
    <row r="265" spans="2:29">
      <c r="B265" s="376" t="str">
        <f>Technologies!B358</f>
        <v>*</v>
      </c>
      <c r="C265" s="376" t="str">
        <f>Technologies!C358</f>
        <v>XPINDRFLR6</v>
      </c>
      <c r="D265" s="376" t="str">
        <f>Technologies!D358</f>
        <v>Delivery of Pipeline Traded INDRFL from R6</v>
      </c>
      <c r="E265" s="415" t="str">
        <f>E264</f>
        <v>RFLR6</v>
      </c>
      <c r="F265" s="415" t="str">
        <f>Commodities!C105</f>
        <v>INDRFL</v>
      </c>
      <c r="G265" s="422">
        <v>1</v>
      </c>
      <c r="H265" s="421">
        <f>DelivOIL!$D97*DelivOIL!P$79^5/(Conv!$I$5*Conv!$D$46)/10^6 + OILTrade!$F$19</f>
        <v>0.43922593766854023</v>
      </c>
      <c r="I265" s="421">
        <f>DelivOIL!$D97*DelivOIL!Q$79^5/(Conv!$I$5*Conv!$D$46)/10^6 + OILTrade!$F$19</f>
        <v>0.41634225602734681</v>
      </c>
      <c r="J265" s="421">
        <f>DelivOIL!$D97*DelivOIL!R$79^5/(Conv!$I$5*Conv!$D$46)/10^6 + OILTrade!$F$19</f>
        <v>0.44257795838851144</v>
      </c>
      <c r="K265" s="421">
        <f>DelivOIL!$D97*DelivOIL!S$79^5/(Conv!$I$5*Conv!$D$46)/10^6 + OILTrade!$F$19</f>
        <v>0.4747435710117659</v>
      </c>
      <c r="L265" s="421">
        <f>DelivOIL!$D97*DelivOIL!T$79^5/(Conv!$I$5*Conv!$D$46)/10^6 + OILTrade!$F$19</f>
        <v>0.45314443008638727</v>
      </c>
      <c r="M265" s="421">
        <f>DelivOIL!$D97*DelivOIL!U$79^5/(Conv!$I$5*Conv!$D$46)/10^6 + OILTrade!$F$19</f>
        <v>0.44247097983738037</v>
      </c>
      <c r="N265" s="421">
        <f>DelivOIL!$D97*DelivOIL!V$79^5/(Conv!$I$5*Conv!$D$46)/10^6 + OILTrade!$F$19</f>
        <v>0.44247097983738037</v>
      </c>
      <c r="O265" s="421">
        <f>DelivOIL!$D97*DelivOIL!W$79^5/(Conv!$I$5*Conv!$D$46)/10^6 + OILTrade!$F$19</f>
        <v>0.44247097983738037</v>
      </c>
      <c r="P265" s="421">
        <f>DelivOIL!$D97*DelivOIL!X$79^5/(Conv!$I$5*Conv!$D$46)/10^6 + OILTrade!$F$19</f>
        <v>0.44247097983738037</v>
      </c>
      <c r="Q265" s="421">
        <f>DelivOIL!$D97*DelivOIL!Y$79^5/(Conv!$I$5*Conv!$D$46)/10^6 + OILTrade!$F$19</f>
        <v>0.44247097983738037</v>
      </c>
      <c r="S265" s="395"/>
      <c r="T265" s="395"/>
      <c r="U265" s="395"/>
      <c r="V265" s="395"/>
      <c r="W265" s="395"/>
      <c r="X265" s="395"/>
      <c r="Y265" s="395"/>
      <c r="Z265" s="395"/>
      <c r="AA265" s="395"/>
      <c r="AB265" s="395"/>
      <c r="AC265" s="395"/>
    </row>
    <row r="266" spans="2:29">
      <c r="B266" s="376" t="str">
        <f>Technologies!B359</f>
        <v>*</v>
      </c>
      <c r="C266" s="376" t="str">
        <f>Technologies!C359</f>
        <v>XPELCRFLR6</v>
      </c>
      <c r="D266" s="376" t="str">
        <f>Technologies!D359</f>
        <v>Delivery of Pipeline Traded ELCRFL from R6</v>
      </c>
      <c r="E266" s="415" t="str">
        <f>E265</f>
        <v>RFLR6</v>
      </c>
      <c r="F266" s="415" t="str">
        <f>Commodities!C106</f>
        <v>ELCRFL</v>
      </c>
      <c r="G266" s="422">
        <v>1</v>
      </c>
      <c r="H266" s="421">
        <f>DelivOIL!$D98*DelivOIL!P$79^5/(Conv!$I$5*Conv!$D$46)/10^6 + OILTrade!$F$19</f>
        <v>0.71194628071994448</v>
      </c>
      <c r="I266" s="421">
        <f>DelivOIL!$D98*DelivOIL!Q$79^5/(Conv!$I$5*Conv!$D$46)/10^6 + OILTrade!$F$19</f>
        <v>0.66045799702725938</v>
      </c>
      <c r="J266" s="421">
        <f>DelivOIL!$D98*DelivOIL!R$79^5/(Conv!$I$5*Conv!$D$46)/10^6 + OILTrade!$F$19</f>
        <v>0.71948832733987977</v>
      </c>
      <c r="K266" s="421">
        <f>DelivOIL!$D98*DelivOIL!S$79^5/(Conv!$I$5*Conv!$D$46)/10^6 + OILTrade!$F$19</f>
        <v>0.79186095574220239</v>
      </c>
      <c r="L266" s="421">
        <f>DelivOIL!$D98*DelivOIL!T$79^5/(Conv!$I$5*Conv!$D$46)/10^6 + OILTrade!$F$19</f>
        <v>0.74326288866010026</v>
      </c>
      <c r="M266" s="421">
        <f>DelivOIL!$D98*DelivOIL!U$79^5/(Conv!$I$5*Conv!$D$46)/10^6 + OILTrade!$F$19</f>
        <v>0.71924762559983491</v>
      </c>
      <c r="N266" s="421">
        <f>DelivOIL!$D98*DelivOIL!V$79^5/(Conv!$I$5*Conv!$D$46)/10^6 + OILTrade!$F$19</f>
        <v>0.71924762559983491</v>
      </c>
      <c r="O266" s="421">
        <f>DelivOIL!$D98*DelivOIL!W$79^5/(Conv!$I$5*Conv!$D$46)/10^6 + OILTrade!$F$19</f>
        <v>0.71924762559983491</v>
      </c>
      <c r="P266" s="421">
        <f>DelivOIL!$D98*DelivOIL!X$79^5/(Conv!$I$5*Conv!$D$46)/10^6 + OILTrade!$F$19</f>
        <v>0.71924762559983491</v>
      </c>
      <c r="Q266" s="421">
        <f>DelivOIL!$D98*DelivOIL!Y$79^5/(Conv!$I$5*Conv!$D$46)/10^6 + OILTrade!$F$19</f>
        <v>0.71924762559983491</v>
      </c>
      <c r="S266" s="395"/>
      <c r="T266" s="395"/>
      <c r="U266" s="395"/>
      <c r="V266" s="395"/>
      <c r="W266" s="395"/>
      <c r="X266" s="395"/>
      <c r="Y266" s="395"/>
      <c r="Z266" s="395"/>
      <c r="AA266" s="395"/>
      <c r="AB266" s="395"/>
      <c r="AC266" s="395"/>
    </row>
    <row r="267" spans="2:29">
      <c r="B267" s="376" t="str">
        <f>Technologies!B360</f>
        <v>*</v>
      </c>
      <c r="C267" s="376" t="str">
        <f>Technologies!C360</f>
        <v>XPTRNRFHR6</v>
      </c>
      <c r="D267" s="376" t="str">
        <f>Technologies!D360</f>
        <v>Delivery of Pipeline Traded TRNRFH from R6</v>
      </c>
      <c r="E267" s="415" t="str">
        <f>Commodities!C166</f>
        <v>RFHR6</v>
      </c>
      <c r="F267" s="415" t="str">
        <f>Commodities!C107</f>
        <v>TRNRFH</v>
      </c>
      <c r="G267" s="422">
        <v>1</v>
      </c>
      <c r="H267" s="421">
        <f>DelivOIL!$D99*DelivOIL!P$79^5/(Conv!$I$5*Conv!$D$46)/10^6 + OILTrade!$F$19</f>
        <v>1.0187566666527741</v>
      </c>
      <c r="I267" s="421">
        <f>DelivOIL!$D99*DelivOIL!Q$79^5/(Conv!$I$5*Conv!$D$46)/10^6 + OILTrade!$F$19</f>
        <v>0.93508820565216089</v>
      </c>
      <c r="J267" s="421">
        <f>DelivOIL!$D99*DelivOIL!R$79^5/(Conv!$I$5*Conv!$D$46)/10^6 + OILTrade!$F$19</f>
        <v>1.0310124924101691</v>
      </c>
      <c r="K267" s="421">
        <f>DelivOIL!$D99*DelivOIL!S$79^5/(Conv!$I$5*Conv!$D$46)/10^6 + OILTrade!$F$19</f>
        <v>1.1486180135639432</v>
      </c>
      <c r="L267" s="421">
        <f>DelivOIL!$D99*DelivOIL!T$79^5/(Conv!$I$5*Conv!$D$46)/10^6 + OILTrade!$F$19</f>
        <v>1.0696461545555274</v>
      </c>
      <c r="M267" s="421">
        <f>DelivOIL!$D99*DelivOIL!U$79^5/(Conv!$I$5*Conv!$D$46)/10^6 + OILTrade!$F$19</f>
        <v>1.0306213520825962</v>
      </c>
      <c r="N267" s="421">
        <f>DelivOIL!$D99*DelivOIL!V$79^5/(Conv!$I$5*Conv!$D$46)/10^6 + OILTrade!$F$19</f>
        <v>1.0306213520825962</v>
      </c>
      <c r="O267" s="421">
        <f>DelivOIL!$D99*DelivOIL!W$79^5/(Conv!$I$5*Conv!$D$46)/10^6 + OILTrade!$F$19</f>
        <v>1.0306213520825962</v>
      </c>
      <c r="P267" s="421">
        <f>DelivOIL!$D99*DelivOIL!X$79^5/(Conv!$I$5*Conv!$D$46)/10^6 + OILTrade!$F$19</f>
        <v>1.0306213520825962</v>
      </c>
      <c r="Q267" s="421">
        <f>DelivOIL!$D99*DelivOIL!Y$79^5/(Conv!$I$5*Conv!$D$46)/10^6 + OILTrade!$F$19</f>
        <v>1.0306213520825962</v>
      </c>
      <c r="S267" s="395"/>
      <c r="T267" s="395"/>
      <c r="U267" s="395"/>
      <c r="V267" s="395"/>
      <c r="W267" s="395"/>
      <c r="X267" s="395"/>
      <c r="Y267" s="395"/>
      <c r="Z267" s="395"/>
      <c r="AA267" s="395"/>
      <c r="AB267" s="395"/>
      <c r="AC267" s="395"/>
    </row>
    <row r="268" spans="2:29">
      <c r="B268" s="376" t="str">
        <f>Technologies!B361</f>
        <v>*</v>
      </c>
      <c r="C268" s="376" t="str">
        <f>Technologies!C361</f>
        <v>XPELCRFHR6</v>
      </c>
      <c r="D268" s="376" t="str">
        <f>Technologies!D361</f>
        <v>Delivery of Pipeline Traded ELCRFH from R6</v>
      </c>
      <c r="E268" s="415" t="str">
        <f>E267</f>
        <v>RFHR6</v>
      </c>
      <c r="F268" s="415" t="str">
        <f>Commodities!C108</f>
        <v>ELCRFH</v>
      </c>
      <c r="G268" s="422">
        <v>1</v>
      </c>
      <c r="H268" s="421">
        <f>DelivOIL!$D100*DelivOIL!P$79^5/(Conv!$I$5*Conv!$D$46)/10^6 + OILTrade!$F$19</f>
        <v>0.22104966322741679</v>
      </c>
      <c r="I268" s="421">
        <f>DelivOIL!$D100*DelivOIL!Q$79^5/(Conv!$I$5*Conv!$D$46)/10^6 + OILTrade!$F$19</f>
        <v>0.22104966322741679</v>
      </c>
      <c r="J268" s="421">
        <f>DelivOIL!$D100*DelivOIL!R$79^5/(Conv!$I$5*Conv!$D$46)/10^6 + OILTrade!$F$19</f>
        <v>0.22104966322741679</v>
      </c>
      <c r="K268" s="421">
        <f>DelivOIL!$D100*DelivOIL!S$79^5/(Conv!$I$5*Conv!$D$46)/10^6 + OILTrade!$F$19</f>
        <v>0.22104966322741679</v>
      </c>
      <c r="L268" s="421">
        <f>DelivOIL!$D100*DelivOIL!T$79^5/(Conv!$I$5*Conv!$D$46)/10^6 + OILTrade!$F$19</f>
        <v>0.22104966322741679</v>
      </c>
      <c r="M268" s="421">
        <f>DelivOIL!$D100*DelivOIL!U$79^5/(Conv!$I$5*Conv!$D$46)/10^6 + OILTrade!$F$19</f>
        <v>0.22104966322741679</v>
      </c>
      <c r="N268" s="421">
        <f>DelivOIL!$D100*DelivOIL!V$79^5/(Conv!$I$5*Conv!$D$46)/10^6 + OILTrade!$F$19</f>
        <v>0.22104966322741679</v>
      </c>
      <c r="O268" s="421">
        <f>DelivOIL!$D100*DelivOIL!W$79^5/(Conv!$I$5*Conv!$D$46)/10^6 + OILTrade!$F$19</f>
        <v>0.22104966322741679</v>
      </c>
      <c r="P268" s="421">
        <f>DelivOIL!$D100*DelivOIL!X$79^5/(Conv!$I$5*Conv!$D$46)/10^6 + OILTrade!$F$19</f>
        <v>0.22104966322741679</v>
      </c>
      <c r="Q268" s="421">
        <f>DelivOIL!$D100*DelivOIL!Y$79^5/(Conv!$I$5*Conv!$D$46)/10^6 + OILTrade!$F$19</f>
        <v>0.22104966322741679</v>
      </c>
      <c r="S268" s="395"/>
      <c r="T268" s="395"/>
      <c r="U268" s="395"/>
      <c r="V268" s="395"/>
      <c r="W268" s="395"/>
      <c r="X268" s="395"/>
      <c r="Y268" s="395"/>
      <c r="Z268" s="395"/>
      <c r="AA268" s="395"/>
      <c r="AB268" s="395"/>
      <c r="AC268" s="395"/>
    </row>
    <row r="269" spans="2:29">
      <c r="B269" s="376" t="str">
        <f>Technologies!B362</f>
        <v>*</v>
      </c>
      <c r="C269" s="376" t="str">
        <f>Technologies!C362</f>
        <v>XPINDASPR6</v>
      </c>
      <c r="D269" s="376" t="str">
        <f>Technologies!D362</f>
        <v>Delivery of Pipeline Traded INDASP from R6</v>
      </c>
      <c r="E269" s="415" t="str">
        <f>Commodities!C168</f>
        <v>ASPR6</v>
      </c>
      <c r="F269" s="415" t="str">
        <f>Commodities!C109</f>
        <v>INDASP</v>
      </c>
      <c r="G269" s="422">
        <v>1</v>
      </c>
      <c r="H269" s="421">
        <f>DelivOIL!$D101*DelivOIL!P$79^5/(Conv!$I$5*Conv!$D$46)/10^6 + OILTrade!$F$19</f>
        <v>0.99830264092391818</v>
      </c>
      <c r="I269" s="421">
        <f>DelivOIL!$D101*DelivOIL!Q$79^5/(Conv!$I$5*Conv!$D$46)/10^6 + OILTrade!$F$19</f>
        <v>0.91677952507716687</v>
      </c>
      <c r="J269" s="421">
        <f>DelivOIL!$D101*DelivOIL!R$79^5/(Conv!$I$5*Conv!$D$46)/10^6 + OILTrade!$F$19</f>
        <v>1.0102442147388158</v>
      </c>
      <c r="K269" s="421">
        <f>DelivOIL!$D101*DelivOIL!S$79^5/(Conv!$I$5*Conv!$D$46)/10^6 + OILTrade!$F$19</f>
        <v>1.1248342097091597</v>
      </c>
      <c r="L269" s="421">
        <f>DelivOIL!$D101*DelivOIL!T$79^5/(Conv!$I$5*Conv!$D$46)/10^6 + OILTrade!$F$19</f>
        <v>1.0478872701624982</v>
      </c>
      <c r="M269" s="421">
        <f>DelivOIL!$D101*DelivOIL!U$79^5/(Conv!$I$5*Conv!$D$46)/10^6 + OILTrade!$F$19</f>
        <v>1.0098631036504113</v>
      </c>
      <c r="N269" s="421">
        <f>DelivOIL!$D101*DelivOIL!V$79^5/(Conv!$I$5*Conv!$D$46)/10^6 + OILTrade!$F$19</f>
        <v>1.0098631036504113</v>
      </c>
      <c r="O269" s="421">
        <f>DelivOIL!$D101*DelivOIL!W$79^5/(Conv!$I$5*Conv!$D$46)/10^6 + OILTrade!$F$19</f>
        <v>1.0098631036504113</v>
      </c>
      <c r="P269" s="421">
        <f>DelivOIL!$D101*DelivOIL!X$79^5/(Conv!$I$5*Conv!$D$46)/10^6 + OILTrade!$F$19</f>
        <v>1.0098631036504113</v>
      </c>
      <c r="Q269" s="421">
        <f>DelivOIL!$D101*DelivOIL!Y$79^5/(Conv!$I$5*Conv!$D$46)/10^6 + OILTrade!$F$19</f>
        <v>1.0098631036504113</v>
      </c>
      <c r="S269" s="395"/>
      <c r="T269" s="395"/>
      <c r="U269" s="395"/>
      <c r="V269" s="395"/>
      <c r="W269" s="395"/>
      <c r="X269" s="395"/>
      <c r="Y269" s="395"/>
      <c r="Z269" s="395"/>
      <c r="AA269" s="395"/>
      <c r="AB269" s="395"/>
      <c r="AC269" s="395"/>
    </row>
    <row r="270" spans="2:29">
      <c r="B270" s="376" t="s">
        <v>588</v>
      </c>
      <c r="C270" s="376"/>
      <c r="D270" s="376"/>
      <c r="E270" s="415"/>
      <c r="F270" s="415"/>
      <c r="G270" s="422"/>
      <c r="H270" s="423"/>
      <c r="I270" s="423"/>
      <c r="J270" s="423"/>
      <c r="K270" s="423"/>
      <c r="L270" s="423"/>
      <c r="M270" s="423"/>
      <c r="N270" s="423"/>
      <c r="O270" s="423"/>
      <c r="P270" s="423"/>
      <c r="Q270" s="423"/>
    </row>
    <row r="271" spans="2:29">
      <c r="B271" s="376" t="s">
        <v>588</v>
      </c>
      <c r="C271" s="376" t="str">
        <f>Technologies!C338</f>
        <v>XPTRGSLCR6</v>
      </c>
      <c r="D271" s="376" t="str">
        <f>Technologies!D338</f>
        <v>Delivery of Pipeline Traded TRGSLC from R6</v>
      </c>
      <c r="E271" s="415" t="str">
        <f>Commodities!C156</f>
        <v>GSCR6</v>
      </c>
      <c r="F271" s="415" t="str">
        <f>Commodities!C85</f>
        <v>TRGSLC</v>
      </c>
      <c r="G271" s="422">
        <v>1</v>
      </c>
      <c r="H271" s="421">
        <f>DelivOIL!$E77*DelivOIL!P$80^5/(Conv!$I$5*Conv!$D$46)/10^6 + OILTrade!$G$19</f>
        <v>3.432932439573694</v>
      </c>
      <c r="I271" s="421">
        <f>DelivOIL!$E77*DelivOIL!Q$80^5/(Conv!$I$5*Conv!$D$46)/10^6 + OILTrade!$G$19</f>
        <v>3.1089853213405503</v>
      </c>
      <c r="J271" s="421">
        <f>DelivOIL!$E77*DelivOIL!R$80^5/(Conv!$I$5*Conv!$D$46)/10^6 + OILTrade!$G$19</f>
        <v>3.4803844828907868</v>
      </c>
      <c r="K271" s="421">
        <f>DelivOIL!$E77*DelivOIL!S$80^5/(Conv!$I$5*Conv!$D$46)/10^6 + OILTrade!$G$19</f>
        <v>3.9357289365887334</v>
      </c>
      <c r="L271" s="421">
        <f>DelivOIL!$E77*DelivOIL!T$80^5/(Conv!$I$5*Conv!$D$46)/10^6 + OILTrade!$G$19</f>
        <v>3.6299660978638411</v>
      </c>
      <c r="M271" s="421">
        <f>DelivOIL!$E77*DelivOIL!U$80^5/(Conv!$I$5*Conv!$D$46)/10^6 + OILTrade!$G$19</f>
        <v>3.478870067776338</v>
      </c>
      <c r="N271" s="421">
        <f>DelivOIL!$E77*DelivOIL!V$80^5/(Conv!$I$5*Conv!$D$46)/10^6 + OILTrade!$G$19</f>
        <v>3.478870067776338</v>
      </c>
      <c r="O271" s="421">
        <f>DelivOIL!$E77*DelivOIL!W$80^5/(Conv!$I$5*Conv!$D$46)/10^6 + OILTrade!$G$19</f>
        <v>3.478870067776338</v>
      </c>
      <c r="P271" s="421">
        <f>DelivOIL!$E77*DelivOIL!X$80^5/(Conv!$I$5*Conv!$D$46)/10^6 + OILTrade!$G$19</f>
        <v>3.478870067776338</v>
      </c>
      <c r="Q271" s="421">
        <f>DelivOIL!$E77*DelivOIL!Y$80^5/(Conv!$I$5*Conv!$D$46)/10^6 + OILTrade!$G$19</f>
        <v>3.478870067776338</v>
      </c>
      <c r="S271" s="395"/>
      <c r="T271" s="395"/>
      <c r="U271" s="395"/>
      <c r="V271" s="395"/>
      <c r="W271" s="395"/>
      <c r="X271" s="395"/>
      <c r="Y271" s="395"/>
      <c r="Z271" s="395"/>
      <c r="AA271" s="395"/>
      <c r="AB271" s="395"/>
      <c r="AC271" s="395"/>
    </row>
    <row r="272" spans="2:29">
      <c r="B272" s="376" t="s">
        <v>588</v>
      </c>
      <c r="C272" s="376" t="str">
        <f>Technologies!C339</f>
        <v>XPTRGSLRR6</v>
      </c>
      <c r="D272" s="376" t="str">
        <f>Technologies!D339</f>
        <v>Delivery of Pipeline Traded TRGSLR from R6</v>
      </c>
      <c r="E272" s="415" t="str">
        <f>Commodities!C157</f>
        <v>GSRR6</v>
      </c>
      <c r="F272" s="415" t="str">
        <f>Commodities!C86</f>
        <v>TRGSLR</v>
      </c>
      <c r="G272" s="422">
        <v>1</v>
      </c>
      <c r="H272" s="421">
        <f>DelivOIL!$E78*DelivOIL!P$80^5/(Conv!$I$5*Conv!$D$46)/10^6 + OILTrade!$G$19</f>
        <v>3.2965722680479921</v>
      </c>
      <c r="I272" s="421">
        <f>DelivOIL!$E78*DelivOIL!Q$80^5/(Conv!$I$5*Conv!$D$46)/10^6 + OILTrade!$G$19</f>
        <v>2.9869274508405943</v>
      </c>
      <c r="J272" s="421">
        <f>DelivOIL!$E78*DelivOIL!R$80^5/(Conv!$I$5*Conv!$D$46)/10^6 + OILTrade!$G$19</f>
        <v>3.3419292984151028</v>
      </c>
      <c r="K272" s="421">
        <f>DelivOIL!$E78*DelivOIL!S$80^5/(Conv!$I$5*Conv!$D$46)/10^6 + OILTrade!$G$19</f>
        <v>3.7771702442235147</v>
      </c>
      <c r="L272" s="421">
        <f>DelivOIL!$E78*DelivOIL!T$80^5/(Conv!$I$5*Conv!$D$46)/10^6 + OILTrade!$G$19</f>
        <v>3.4849068685769846</v>
      </c>
      <c r="M272" s="421">
        <f>DelivOIL!$E78*DelivOIL!U$80^5/(Conv!$I$5*Conv!$D$46)/10^6 + OILTrade!$G$19</f>
        <v>3.3404817448951101</v>
      </c>
      <c r="N272" s="421">
        <f>DelivOIL!$E78*DelivOIL!V$80^5/(Conv!$I$5*Conv!$D$46)/10^6 + OILTrade!$G$19</f>
        <v>3.3404817448951101</v>
      </c>
      <c r="O272" s="421">
        <f>DelivOIL!$E78*DelivOIL!W$80^5/(Conv!$I$5*Conv!$D$46)/10^6 + OILTrade!$G$19</f>
        <v>3.3404817448951101</v>
      </c>
      <c r="P272" s="421">
        <f>DelivOIL!$E78*DelivOIL!X$80^5/(Conv!$I$5*Conv!$D$46)/10^6 + OILTrade!$G$19</f>
        <v>3.3404817448951101</v>
      </c>
      <c r="Q272" s="421">
        <f>DelivOIL!$E78*DelivOIL!Y$80^5/(Conv!$I$5*Conv!$D$46)/10^6 + OILTrade!$G$19</f>
        <v>3.3404817448951101</v>
      </c>
      <c r="S272" s="395"/>
      <c r="T272" s="395"/>
      <c r="U272" s="395"/>
      <c r="V272" s="395"/>
      <c r="W272" s="395"/>
      <c r="X272" s="395"/>
      <c r="Y272" s="395"/>
      <c r="Z272" s="395"/>
      <c r="AA272" s="395"/>
      <c r="AB272" s="395"/>
      <c r="AC272" s="395"/>
    </row>
    <row r="273" spans="2:29">
      <c r="B273" s="376" t="s">
        <v>588</v>
      </c>
      <c r="C273" s="376" t="str">
        <f>Technologies!C340</f>
        <v>XPRESDSLR6</v>
      </c>
      <c r="D273" s="376" t="str">
        <f>Technologies!D340</f>
        <v>Delivery of Pipeline Traded RESDSL from R6</v>
      </c>
      <c r="E273" s="415" t="str">
        <f>Commodities!C158</f>
        <v>DSHR6</v>
      </c>
      <c r="F273" s="415" t="str">
        <f>Commodities!C87</f>
        <v>RESDSL</v>
      </c>
      <c r="G273" s="422">
        <v>1</v>
      </c>
      <c r="H273" s="421">
        <f>DelivOIL!$E80*DelivOIL!P$80^5/(Conv!$I$5*Conv!$D$46)/10^6 + OILTrade!$G$19</f>
        <v>2.6011353932669112</v>
      </c>
      <c r="I273" s="421">
        <f>DelivOIL!$E80*DelivOIL!Q$80^5/(Conv!$I$5*Conv!$D$46)/10^6 + OILTrade!$G$19</f>
        <v>2.364432311290817</v>
      </c>
      <c r="J273" s="421">
        <f>DelivOIL!$E80*DelivOIL!R$80^5/(Conv!$I$5*Conv!$D$46)/10^6 + OILTrade!$G$19</f>
        <v>2.6358078575891137</v>
      </c>
      <c r="K273" s="421">
        <f>DelivOIL!$E80*DelivOIL!S$80^5/(Conv!$I$5*Conv!$D$46)/10^6 + OILTrade!$G$19</f>
        <v>2.9685209131609018</v>
      </c>
      <c r="L273" s="421">
        <f>DelivOIL!$E80*DelivOIL!T$80^5/(Conv!$I$5*Conv!$D$46)/10^6 + OILTrade!$G$19</f>
        <v>2.7451047992140163</v>
      </c>
      <c r="M273" s="421">
        <f>DelivOIL!$E80*DelivOIL!U$80^5/(Conv!$I$5*Conv!$D$46)/10^6 + OILTrade!$G$19</f>
        <v>2.6347012982008517</v>
      </c>
      <c r="N273" s="421">
        <f>DelivOIL!$E80*DelivOIL!V$80^5/(Conv!$I$5*Conv!$D$46)/10^6 + OILTrade!$G$19</f>
        <v>2.6347012982008517</v>
      </c>
      <c r="O273" s="421">
        <f>DelivOIL!$E80*DelivOIL!W$80^5/(Conv!$I$5*Conv!$D$46)/10^6 + OILTrade!$G$19</f>
        <v>2.6347012982008517</v>
      </c>
      <c r="P273" s="421">
        <f>DelivOIL!$E80*DelivOIL!X$80^5/(Conv!$I$5*Conv!$D$46)/10^6 + OILTrade!$G$19</f>
        <v>2.6347012982008517</v>
      </c>
      <c r="Q273" s="421">
        <f>DelivOIL!$E80*DelivOIL!Y$80^5/(Conv!$I$5*Conv!$D$46)/10^6 + OILTrade!$G$19</f>
        <v>2.6347012982008517</v>
      </c>
      <c r="S273" s="395"/>
      <c r="T273" s="395"/>
      <c r="U273" s="395"/>
      <c r="V273" s="395"/>
      <c r="W273" s="395"/>
      <c r="X273" s="395"/>
      <c r="Y273" s="395"/>
      <c r="Z273" s="395"/>
      <c r="AA273" s="395"/>
      <c r="AB273" s="395"/>
      <c r="AC273" s="395"/>
    </row>
    <row r="274" spans="2:29">
      <c r="B274" s="376" t="s">
        <v>588</v>
      </c>
      <c r="C274" s="376" t="str">
        <f>Technologies!C341</f>
        <v>XPCOMDSLR6</v>
      </c>
      <c r="D274" s="376" t="str">
        <f>Technologies!D341</f>
        <v>Delivery of Pipeline Traded COMDSL from R6</v>
      </c>
      <c r="E274" s="415" t="str">
        <f>E273</f>
        <v>DSHR6</v>
      </c>
      <c r="F274" s="415" t="str">
        <f>Commodities!C88</f>
        <v>COMDSL</v>
      </c>
      <c r="G274" s="422">
        <v>1</v>
      </c>
      <c r="H274" s="421">
        <f>DelivOIL!$E81*DelivOIL!P$80^5/(Conv!$I$5*Conv!$D$46)/10^6 + OILTrade!$G$19</f>
        <v>1.1761716008233252</v>
      </c>
      <c r="I274" s="421">
        <f>DelivOIL!$E81*DelivOIL!Q$80^5/(Conv!$I$5*Conv!$D$46)/10^6 + OILTrade!$G$19</f>
        <v>1.0889275645662755</v>
      </c>
      <c r="J274" s="421">
        <f>DelivOIL!$E81*DelivOIL!R$80^5/(Conv!$I$5*Conv!$D$46)/10^6 + OILTrade!$G$19</f>
        <v>1.1889511798182157</v>
      </c>
      <c r="K274" s="421">
        <f>DelivOIL!$E81*DelivOIL!S$80^5/(Conv!$I$5*Conv!$D$46)/10^6 + OILTrade!$G$19</f>
        <v>1.3115825779443733</v>
      </c>
      <c r="L274" s="421">
        <f>DelivOIL!$E81*DelivOIL!T$80^5/(Conv!$I$5*Conv!$D$46)/10^6 + OILTrade!$G$19</f>
        <v>1.229235853166367</v>
      </c>
      <c r="M274" s="421">
        <f>DelivOIL!$E81*DelivOIL!U$80^5/(Conv!$I$5*Conv!$D$46)/10^6 + OILTrade!$G$19</f>
        <v>1.1885433240920285</v>
      </c>
      <c r="N274" s="421">
        <f>DelivOIL!$E81*DelivOIL!V$80^5/(Conv!$I$5*Conv!$D$46)/10^6 + OILTrade!$G$19</f>
        <v>1.1885433240920285</v>
      </c>
      <c r="O274" s="421">
        <f>DelivOIL!$E81*DelivOIL!W$80^5/(Conv!$I$5*Conv!$D$46)/10^6 + OILTrade!$G$19</f>
        <v>1.1885433240920285</v>
      </c>
      <c r="P274" s="421">
        <f>DelivOIL!$E81*DelivOIL!X$80^5/(Conv!$I$5*Conv!$D$46)/10^6 + OILTrade!$G$19</f>
        <v>1.1885433240920285</v>
      </c>
      <c r="Q274" s="421">
        <f>DelivOIL!$E81*DelivOIL!Y$80^5/(Conv!$I$5*Conv!$D$46)/10^6 + OILTrade!$G$19</f>
        <v>1.1885433240920285</v>
      </c>
      <c r="S274" s="395"/>
      <c r="T274" s="395"/>
      <c r="U274" s="395"/>
      <c r="V274" s="395"/>
      <c r="W274" s="395"/>
      <c r="X274" s="395"/>
      <c r="Y274" s="395"/>
      <c r="Z274" s="395"/>
      <c r="AA274" s="395"/>
      <c r="AB274" s="395"/>
      <c r="AC274" s="395"/>
    </row>
    <row r="275" spans="2:29">
      <c r="B275" s="376" t="s">
        <v>588</v>
      </c>
      <c r="C275" s="376" t="str">
        <f>Technologies!C342</f>
        <v>XPINDDSLR6</v>
      </c>
      <c r="D275" s="376" t="str">
        <f>Technologies!D342</f>
        <v>Delivery of Pipeline Traded INDDSL from R6</v>
      </c>
      <c r="E275" s="415" t="str">
        <f>E274</f>
        <v>DSHR6</v>
      </c>
      <c r="F275" s="415" t="str">
        <f>Commodities!C89</f>
        <v>INDDSL</v>
      </c>
      <c r="G275" s="422">
        <v>1</v>
      </c>
      <c r="H275" s="421">
        <f>DelivOIL!$E82*DelivOIL!P$80^5/(Conv!$I$5*Conv!$D$46)/10^6 + OILTrade!$G$19</f>
        <v>1.653432201163282</v>
      </c>
      <c r="I275" s="421">
        <f>DelivOIL!$E82*DelivOIL!Q$80^5/(Conv!$I$5*Conv!$D$46)/10^6 + OILTrade!$G$19</f>
        <v>1.5161301113161216</v>
      </c>
      <c r="J275" s="421">
        <f>DelivOIL!$E82*DelivOIL!R$80^5/(Conv!$I$5*Conv!$D$46)/10^6 + OILTrade!$G$19</f>
        <v>1.6735443254831095</v>
      </c>
      <c r="K275" s="421">
        <f>DelivOIL!$E82*DelivOIL!S$80^5/(Conv!$I$5*Conv!$D$46)/10^6 + OILTrade!$G$19</f>
        <v>1.866538001222636</v>
      </c>
      <c r="L275" s="421">
        <f>DelivOIL!$E82*DelivOIL!T$80^5/(Conv!$I$5*Conv!$D$46)/10^6 + OILTrade!$G$19</f>
        <v>1.7369431556703643</v>
      </c>
      <c r="M275" s="421">
        <f>DelivOIL!$E82*DelivOIL!U$80^5/(Conv!$I$5*Conv!$D$46)/10^6 + OILTrade!$G$19</f>
        <v>1.6729024541763229</v>
      </c>
      <c r="N275" s="421">
        <f>DelivOIL!$E82*DelivOIL!V$80^5/(Conv!$I$5*Conv!$D$46)/10^6 + OILTrade!$G$19</f>
        <v>1.6729024541763229</v>
      </c>
      <c r="O275" s="421">
        <f>DelivOIL!$E82*DelivOIL!W$80^5/(Conv!$I$5*Conv!$D$46)/10^6 + OILTrade!$G$19</f>
        <v>1.6729024541763229</v>
      </c>
      <c r="P275" s="421">
        <f>DelivOIL!$E82*DelivOIL!X$80^5/(Conv!$I$5*Conv!$D$46)/10^6 + OILTrade!$G$19</f>
        <v>1.6729024541763229</v>
      </c>
      <c r="Q275" s="421">
        <f>DelivOIL!$E82*DelivOIL!Y$80^5/(Conv!$I$5*Conv!$D$46)/10^6 + OILTrade!$G$19</f>
        <v>1.6729024541763229</v>
      </c>
      <c r="S275" s="395"/>
      <c r="T275" s="395"/>
      <c r="U275" s="395"/>
      <c r="V275" s="395"/>
      <c r="W275" s="395"/>
      <c r="X275" s="395"/>
      <c r="Y275" s="395"/>
      <c r="Z275" s="395"/>
      <c r="AA275" s="395"/>
      <c r="AB275" s="395"/>
      <c r="AC275" s="395"/>
    </row>
    <row r="276" spans="2:29">
      <c r="B276" s="376" t="s">
        <v>588</v>
      </c>
      <c r="C276" s="376" t="str">
        <f>Technologies!C343</f>
        <v>XPELCDSLR6</v>
      </c>
      <c r="D276" s="376" t="str">
        <f>Technologies!D343</f>
        <v>Delivery of Pipeline Traded ELCDSL from R6</v>
      </c>
      <c r="E276" s="415" t="str">
        <f>E275</f>
        <v>DSHR6</v>
      </c>
      <c r="F276" s="415" t="str">
        <f>Commodities!C90</f>
        <v>ELCDSL</v>
      </c>
      <c r="G276" s="422">
        <v>1</v>
      </c>
      <c r="H276" s="421">
        <f>DelivOIL!$E83*DelivOIL!P$80^5/(Conv!$I$5*Conv!$D$46)/10^6 + OILTrade!$G$19</f>
        <v>0.80799913770393017</v>
      </c>
      <c r="I276" s="421">
        <f>DelivOIL!$E83*DelivOIL!Q$80^5/(Conv!$I$5*Conv!$D$46)/10^6 + OILTrade!$G$19</f>
        <v>0.75937131421639426</v>
      </c>
      <c r="J276" s="421">
        <f>DelivOIL!$E83*DelivOIL!R$80^5/(Conv!$I$5*Conv!$D$46)/10^6 + OILTrade!$G$19</f>
        <v>0.81512218173386919</v>
      </c>
      <c r="K276" s="421">
        <f>DelivOIL!$E83*DelivOIL!S$80^5/(Conv!$I$5*Conv!$D$46)/10^6 + OILTrade!$G$19</f>
        <v>0.88347410855828501</v>
      </c>
      <c r="L276" s="421">
        <f>DelivOIL!$E83*DelivOIL!T$80^5/(Conv!$I$5*Conv!$D$46)/10^6 + OILTrade!$G$19</f>
        <v>0.83757593409185516</v>
      </c>
      <c r="M276" s="421">
        <f>DelivOIL!$E83*DelivOIL!U$80^5/(Conv!$I$5*Conv!$D$46)/10^6 + OILTrade!$G$19</f>
        <v>0.81489485231271552</v>
      </c>
      <c r="N276" s="421">
        <f>DelivOIL!$E83*DelivOIL!V$80^5/(Conv!$I$5*Conv!$D$46)/10^6 + OILTrade!$G$19</f>
        <v>0.81489485231271552</v>
      </c>
      <c r="O276" s="421">
        <f>DelivOIL!$E83*DelivOIL!W$80^5/(Conv!$I$5*Conv!$D$46)/10^6 + OILTrade!$G$19</f>
        <v>0.81489485231271552</v>
      </c>
      <c r="P276" s="421">
        <f>DelivOIL!$E83*DelivOIL!X$80^5/(Conv!$I$5*Conv!$D$46)/10^6 + OILTrade!$G$19</f>
        <v>0.81489485231271552</v>
      </c>
      <c r="Q276" s="421">
        <f>DelivOIL!$E83*DelivOIL!Y$80^5/(Conv!$I$5*Conv!$D$46)/10^6 + OILTrade!$G$19</f>
        <v>0.81489485231271552</v>
      </c>
      <c r="S276" s="395"/>
      <c r="T276" s="395"/>
      <c r="U276" s="395"/>
      <c r="V276" s="395"/>
      <c r="W276" s="395"/>
      <c r="X276" s="395"/>
      <c r="Y276" s="395"/>
      <c r="Z276" s="395"/>
      <c r="AA276" s="395"/>
      <c r="AB276" s="395"/>
      <c r="AC276" s="395"/>
    </row>
    <row r="277" spans="2:29">
      <c r="B277" s="376" t="s">
        <v>588</v>
      </c>
      <c r="C277" s="376" t="str">
        <f>Technologies!C344</f>
        <v>XPTRDSLLR6</v>
      </c>
      <c r="D277" s="376" t="str">
        <f>Technologies!D344</f>
        <v>Delivery of Pipeline Traded TRDSLL from R6</v>
      </c>
      <c r="E277" s="415" t="str">
        <f>Commodities!C159</f>
        <v>DSLR6</v>
      </c>
      <c r="F277" s="415" t="str">
        <f>Commodities!C91</f>
        <v>TRDSLL</v>
      </c>
      <c r="G277" s="422">
        <v>1</v>
      </c>
      <c r="H277" s="421">
        <f>DelivOIL!$E84*DelivOIL!P$80^5/(Conv!$I$5*Conv!$D$46)/10^6 + OILTrade!$G$19</f>
        <v>3.8897390141847947</v>
      </c>
      <c r="I277" s="421">
        <f>DelivOIL!$E84*DelivOIL!Q$80^5/(Conv!$I$5*Conv!$D$46)/10^6 + OILTrade!$G$19</f>
        <v>3.5178791875154021</v>
      </c>
      <c r="J277" s="421">
        <f>DelivOIL!$E84*DelivOIL!R$80^5/(Conv!$I$5*Conv!$D$46)/10^6 + OILTrade!$G$19</f>
        <v>3.9442093508843277</v>
      </c>
      <c r="K277" s="421">
        <f>DelivOIL!$E84*DelivOIL!S$80^5/(Conv!$I$5*Conv!$D$46)/10^6 + OILTrade!$G$19</f>
        <v>4.4669005560122121</v>
      </c>
      <c r="L277" s="421">
        <f>DelivOIL!$E84*DelivOIL!T$80^5/(Conv!$I$5*Conv!$D$46)/10^6 + OILTrade!$G$19</f>
        <v>4.1159145159748087</v>
      </c>
      <c r="M277" s="421">
        <f>DelivOIL!$E84*DelivOIL!U$80^5/(Conv!$I$5*Conv!$D$46)/10^6 + OILTrade!$G$19</f>
        <v>3.942470949428448</v>
      </c>
      <c r="N277" s="421">
        <f>DelivOIL!$E84*DelivOIL!V$80^5/(Conv!$I$5*Conv!$D$46)/10^6 + OILTrade!$G$19</f>
        <v>3.942470949428448</v>
      </c>
      <c r="O277" s="421">
        <f>DelivOIL!$E84*DelivOIL!W$80^5/(Conv!$I$5*Conv!$D$46)/10^6 + OILTrade!$G$19</f>
        <v>3.942470949428448</v>
      </c>
      <c r="P277" s="421">
        <f>DelivOIL!$E84*DelivOIL!X$80^5/(Conv!$I$5*Conv!$D$46)/10^6 + OILTrade!$G$19</f>
        <v>3.942470949428448</v>
      </c>
      <c r="Q277" s="421">
        <f>DelivOIL!$E84*DelivOIL!Y$80^5/(Conv!$I$5*Conv!$D$46)/10^6 + OILTrade!$G$19</f>
        <v>3.942470949428448</v>
      </c>
      <c r="S277" s="395"/>
      <c r="T277" s="395"/>
      <c r="U277" s="395"/>
      <c r="V277" s="395"/>
      <c r="W277" s="395"/>
      <c r="X277" s="395"/>
      <c r="Y277" s="395"/>
      <c r="Z277" s="395"/>
      <c r="AA277" s="395"/>
      <c r="AB277" s="395"/>
      <c r="AC277" s="395"/>
    </row>
    <row r="278" spans="2:29">
      <c r="B278" s="376" t="s">
        <v>588</v>
      </c>
      <c r="C278" s="376" t="str">
        <f>Technologies!C345</f>
        <v>XPTRDSLUR6</v>
      </c>
      <c r="D278" s="376" t="str">
        <f>Technologies!D345</f>
        <v>Delivery of Pipeline Traded TRDSLU from R6</v>
      </c>
      <c r="E278" s="415" t="str">
        <f>Commodities!C160</f>
        <v>DSUR6</v>
      </c>
      <c r="F278" s="415" t="str">
        <f>Commodities!C92</f>
        <v>TRDSLU</v>
      </c>
      <c r="G278" s="422">
        <v>1</v>
      </c>
      <c r="H278" s="421">
        <f>DelivOIL!$E85*DelivOIL!P$80^5/(Conv!$I$5*Conv!$D$46)/10^6 + OILTrade!$G$19</f>
        <v>3.1602120965222888</v>
      </c>
      <c r="I278" s="421">
        <f>DelivOIL!$E85*DelivOIL!Q$80^5/(Conv!$I$5*Conv!$D$46)/10^6 + OILTrade!$G$19</f>
        <v>2.8648695803406374</v>
      </c>
      <c r="J278" s="421">
        <f>DelivOIL!$E85*DelivOIL!R$80^5/(Conv!$I$5*Conv!$D$46)/10^6 + OILTrade!$G$19</f>
        <v>3.2034741139394183</v>
      </c>
      <c r="K278" s="421">
        <f>DelivOIL!$E85*DelivOIL!S$80^5/(Conv!$I$5*Conv!$D$46)/10^6 + OILTrade!$G$19</f>
        <v>3.6186115518582955</v>
      </c>
      <c r="L278" s="421">
        <f>DelivOIL!$E85*DelivOIL!T$80^5/(Conv!$I$5*Conv!$D$46)/10^6 + OILTrade!$G$19</f>
        <v>3.3398476392901268</v>
      </c>
      <c r="M278" s="421">
        <f>DelivOIL!$E85*DelivOIL!U$80^5/(Conv!$I$5*Conv!$D$46)/10^6 + OILTrade!$G$19</f>
        <v>3.2020934220138826</v>
      </c>
      <c r="N278" s="421">
        <f>DelivOIL!$E85*DelivOIL!V$80^5/(Conv!$I$5*Conv!$D$46)/10^6 + OILTrade!$G$19</f>
        <v>3.2020934220138826</v>
      </c>
      <c r="O278" s="421">
        <f>DelivOIL!$E85*DelivOIL!W$80^5/(Conv!$I$5*Conv!$D$46)/10^6 + OILTrade!$G$19</f>
        <v>3.2020934220138826</v>
      </c>
      <c r="P278" s="421">
        <f>DelivOIL!$E85*DelivOIL!X$80^5/(Conv!$I$5*Conv!$D$46)/10^6 + OILTrade!$G$19</f>
        <v>3.2020934220138826</v>
      </c>
      <c r="Q278" s="421">
        <f>DelivOIL!$E85*DelivOIL!Y$80^5/(Conv!$I$5*Conv!$D$46)/10^6 + OILTrade!$G$19</f>
        <v>3.2020934220138826</v>
      </c>
      <c r="S278" s="395"/>
      <c r="T278" s="395"/>
      <c r="U278" s="395"/>
      <c r="V278" s="395"/>
      <c r="W278" s="395"/>
      <c r="X278" s="395"/>
      <c r="Y278" s="395"/>
      <c r="Z278" s="395"/>
      <c r="AA278" s="395"/>
      <c r="AB278" s="395"/>
      <c r="AC278" s="395"/>
    </row>
    <row r="279" spans="2:29">
      <c r="B279" s="376" t="s">
        <v>588</v>
      </c>
      <c r="C279" s="376" t="str">
        <f>Technologies!C346</f>
        <v>XPTRNJTFR6</v>
      </c>
      <c r="D279" s="376" t="str">
        <f>Technologies!D346</f>
        <v>Delivery of Pipeline Traded TRNJTF from R6</v>
      </c>
      <c r="E279" s="415" t="str">
        <f>Commodities!C161</f>
        <v>JTFR6</v>
      </c>
      <c r="F279" s="415" t="str">
        <f>Commodities!C93</f>
        <v>TRNJTF</v>
      </c>
      <c r="G279" s="422">
        <v>1</v>
      </c>
      <c r="H279" s="421">
        <f>DelivOIL!$E86*DelivOIL!P$80^5/(Conv!$I$5*Conv!$D$46)/10^6 + OILTrade!$G$19</f>
        <v>1.0739014721790485</v>
      </c>
      <c r="I279" s="421">
        <f>DelivOIL!$E86*DelivOIL!Q$80^5/(Conv!$I$5*Conv!$D$46)/10^6 + OILTrade!$G$19</f>
        <v>0.99738416169130828</v>
      </c>
      <c r="J279" s="421">
        <f>DelivOIL!$E86*DelivOIL!R$80^5/(Conv!$I$5*Conv!$D$46)/10^6 + OILTrade!$G$19</f>
        <v>1.0851097914614525</v>
      </c>
      <c r="K279" s="421">
        <f>DelivOIL!$E86*DelivOIL!S$80^5/(Conv!$I$5*Conv!$D$46)/10^6 + OILTrade!$G$19</f>
        <v>1.1926635586704595</v>
      </c>
      <c r="L279" s="421">
        <f>DelivOIL!$E86*DelivOIL!T$80^5/(Conv!$I$5*Conv!$D$46)/10^6 + OILTrade!$G$19</f>
        <v>1.1204414312012245</v>
      </c>
      <c r="M279" s="421">
        <f>DelivOIL!$E86*DelivOIL!U$80^5/(Conv!$I$5*Conv!$D$46)/10^6 + OILTrade!$G$19</f>
        <v>1.0847520819311081</v>
      </c>
      <c r="N279" s="421">
        <f>DelivOIL!$E86*DelivOIL!V$80^5/(Conv!$I$5*Conv!$D$46)/10^6 + OILTrade!$G$19</f>
        <v>1.0847520819311081</v>
      </c>
      <c r="O279" s="421">
        <f>DelivOIL!$E86*DelivOIL!W$80^5/(Conv!$I$5*Conv!$D$46)/10^6 + OILTrade!$G$19</f>
        <v>1.0847520819311081</v>
      </c>
      <c r="P279" s="421">
        <f>DelivOIL!$E86*DelivOIL!X$80^5/(Conv!$I$5*Conv!$D$46)/10^6 + OILTrade!$G$19</f>
        <v>1.0847520819311081</v>
      </c>
      <c r="Q279" s="421">
        <f>DelivOIL!$E86*DelivOIL!Y$80^5/(Conv!$I$5*Conv!$D$46)/10^6 + OILTrade!$G$19</f>
        <v>1.0847520819311081</v>
      </c>
      <c r="S279" s="395"/>
      <c r="T279" s="395"/>
      <c r="U279" s="395"/>
      <c r="V279" s="395"/>
      <c r="W279" s="395"/>
      <c r="X279" s="395"/>
      <c r="Y279" s="395"/>
      <c r="Z279" s="395"/>
      <c r="AA279" s="395"/>
      <c r="AB279" s="395"/>
      <c r="AC279" s="395"/>
    </row>
    <row r="280" spans="2:29">
      <c r="B280" s="376" t="s">
        <v>588</v>
      </c>
      <c r="C280" s="376" t="str">
        <f>Technologies!C347</f>
        <v>XPRESKERR6</v>
      </c>
      <c r="D280" s="376" t="str">
        <f>Technologies!D347</f>
        <v>Delivery of Pipeline Traded RESKER from R6</v>
      </c>
      <c r="E280" s="415" t="str">
        <f>Commodities!C162</f>
        <v>KERR6</v>
      </c>
      <c r="F280" s="415" t="str">
        <f>Commodities!C94</f>
        <v>RESKER</v>
      </c>
      <c r="G280" s="422">
        <v>1</v>
      </c>
      <c r="H280" s="421">
        <f>DelivOIL!$E87*DelivOIL!P$80^5/(Conv!$I$5*Conv!$D$46)/10^6 + OILTrade!$G$19</f>
        <v>2.1920548786898046</v>
      </c>
      <c r="I280" s="421">
        <f>DelivOIL!$E87*DelivOIL!Q$80^5/(Conv!$I$5*Conv!$D$46)/10^6 + OILTrade!$G$19</f>
        <v>1.9982586997909482</v>
      </c>
      <c r="J280" s="421">
        <f>DelivOIL!$E87*DelivOIL!R$80^5/(Conv!$I$5*Conv!$D$46)/10^6 + OILTrade!$G$19</f>
        <v>2.2204423041620616</v>
      </c>
      <c r="K280" s="421">
        <f>DelivOIL!$E87*DelivOIL!S$80^5/(Conv!$I$5*Conv!$D$46)/10^6 + OILTrade!$G$19</f>
        <v>2.4928448360652471</v>
      </c>
      <c r="L280" s="421">
        <f>DelivOIL!$E87*DelivOIL!T$80^5/(Conv!$I$5*Conv!$D$46)/10^6 + OILTrade!$G$19</f>
        <v>2.3099271113534465</v>
      </c>
      <c r="M280" s="421">
        <f>DelivOIL!$E87*DelivOIL!U$80^5/(Conv!$I$5*Conv!$D$46)/10^6 + OILTrade!$G$19</f>
        <v>2.2195363295571697</v>
      </c>
      <c r="N280" s="421">
        <f>DelivOIL!$E87*DelivOIL!V$80^5/(Conv!$I$5*Conv!$D$46)/10^6 + OILTrade!$G$19</f>
        <v>2.2195363295571697</v>
      </c>
      <c r="O280" s="421">
        <f>DelivOIL!$E87*DelivOIL!W$80^5/(Conv!$I$5*Conv!$D$46)/10^6 + OILTrade!$G$19</f>
        <v>2.2195363295571697</v>
      </c>
      <c r="P280" s="421">
        <f>DelivOIL!$E87*DelivOIL!X$80^5/(Conv!$I$5*Conv!$D$46)/10^6 + OILTrade!$G$19</f>
        <v>2.2195363295571697</v>
      </c>
      <c r="Q280" s="421">
        <f>DelivOIL!$E87*DelivOIL!Y$80^5/(Conv!$I$5*Conv!$D$46)/10^6 + OILTrade!$G$19</f>
        <v>2.2195363295571697</v>
      </c>
      <c r="S280" s="395"/>
      <c r="T280" s="395"/>
      <c r="U280" s="395"/>
      <c r="V280" s="395"/>
      <c r="W280" s="395"/>
      <c r="X280" s="395"/>
      <c r="Y280" s="395"/>
      <c r="Z280" s="395"/>
      <c r="AA280" s="395"/>
      <c r="AB280" s="395"/>
      <c r="AC280" s="395"/>
    </row>
    <row r="281" spans="2:29">
      <c r="B281" s="376" t="s">
        <v>588</v>
      </c>
      <c r="C281" s="376" t="str">
        <f>Technologies!C348</f>
        <v>XPCOMKERR6</v>
      </c>
      <c r="D281" s="376" t="str">
        <f>Technologies!D348</f>
        <v>Delivery of Pipeline Traded COMKER from R6</v>
      </c>
      <c r="E281" s="415" t="str">
        <f>E280</f>
        <v>KERR6</v>
      </c>
      <c r="F281" s="415" t="str">
        <f>Commodities!C95</f>
        <v>COMKER</v>
      </c>
      <c r="G281" s="422">
        <v>1</v>
      </c>
      <c r="H281" s="421">
        <f>DelivOIL!$E88*DelivOIL!P$80^5/(Conv!$I$5*Conv!$D$46)/10^6 + OILTrade!$G$19</f>
        <v>2.2193269129949451</v>
      </c>
      <c r="I281" s="421">
        <f>DelivOIL!$E88*DelivOIL!Q$80^5/(Conv!$I$5*Conv!$D$46)/10^6 + OILTrade!$G$19</f>
        <v>2.0226702738909395</v>
      </c>
      <c r="J281" s="421">
        <f>DelivOIL!$E88*DelivOIL!R$80^5/(Conv!$I$5*Conv!$D$46)/10^6 + OILTrade!$G$19</f>
        <v>2.2481333410571982</v>
      </c>
      <c r="K281" s="421">
        <f>DelivOIL!$E88*DelivOIL!S$80^5/(Conv!$I$5*Conv!$D$46)/10^6 + OILTrade!$G$19</f>
        <v>2.5245565745382907</v>
      </c>
      <c r="L281" s="421">
        <f>DelivOIL!$E88*DelivOIL!T$80^5/(Conv!$I$5*Conv!$D$46)/10^6 + OILTrade!$G$19</f>
        <v>2.3389389572108179</v>
      </c>
      <c r="M281" s="421">
        <f>DelivOIL!$E88*DelivOIL!U$80^5/(Conv!$I$5*Conv!$D$46)/10^6 + OILTrade!$G$19</f>
        <v>2.247213994133415</v>
      </c>
      <c r="N281" s="421">
        <f>DelivOIL!$E88*DelivOIL!V$80^5/(Conv!$I$5*Conv!$D$46)/10^6 + OILTrade!$G$19</f>
        <v>2.247213994133415</v>
      </c>
      <c r="O281" s="421">
        <f>DelivOIL!$E88*DelivOIL!W$80^5/(Conv!$I$5*Conv!$D$46)/10^6 + OILTrade!$G$19</f>
        <v>2.247213994133415</v>
      </c>
      <c r="P281" s="421">
        <f>DelivOIL!$E88*DelivOIL!X$80^5/(Conv!$I$5*Conv!$D$46)/10^6 + OILTrade!$G$19</f>
        <v>2.247213994133415</v>
      </c>
      <c r="Q281" s="421">
        <f>DelivOIL!$E88*DelivOIL!Y$80^5/(Conv!$I$5*Conv!$D$46)/10^6 + OILTrade!$G$19</f>
        <v>2.247213994133415</v>
      </c>
      <c r="S281" s="395"/>
      <c r="T281" s="395"/>
      <c r="U281" s="395"/>
      <c r="V281" s="395"/>
      <c r="W281" s="395"/>
      <c r="X281" s="395"/>
      <c r="Y281" s="395"/>
      <c r="Z281" s="395"/>
      <c r="AA281" s="395"/>
      <c r="AB281" s="395"/>
      <c r="AC281" s="395"/>
    </row>
    <row r="282" spans="2:29">
      <c r="B282" s="376" t="s">
        <v>588</v>
      </c>
      <c r="C282" s="376" t="str">
        <f>Technologies!C349</f>
        <v>XPINDKERR6</v>
      </c>
      <c r="D282" s="376" t="str">
        <f>Technologies!D349</f>
        <v>Delivery of Pipeline Traded INDKER from R6</v>
      </c>
      <c r="E282" s="415" t="str">
        <f>E281</f>
        <v>KERR6</v>
      </c>
      <c r="F282" s="415" t="str">
        <f>Commodities!C96</f>
        <v>INDKER</v>
      </c>
      <c r="G282" s="422">
        <v>1</v>
      </c>
      <c r="H282" s="421">
        <f>DelivOIL!$E89*DelivOIL!P$80^5/(Conv!$I$5*Conv!$D$46)/10^6 + OILTrade!$G$19</f>
        <v>1.8170644069941244</v>
      </c>
      <c r="I282" s="421">
        <f>DelivOIL!$E89*DelivOIL!Q$80^5/(Conv!$I$5*Conv!$D$46)/10^6 + OILTrade!$G$19</f>
        <v>1.6625995559160689</v>
      </c>
      <c r="J282" s="421">
        <f>DelivOIL!$E89*DelivOIL!R$80^5/(Conv!$I$5*Conv!$D$46)/10^6 + OILTrade!$G$19</f>
        <v>1.8396905468539306</v>
      </c>
      <c r="K282" s="421">
        <f>DelivOIL!$E89*DelivOIL!S$80^5/(Conv!$I$5*Conv!$D$46)/10^6 + OILTrade!$G$19</f>
        <v>2.0568084320608979</v>
      </c>
      <c r="L282" s="421">
        <f>DelivOIL!$E89*DelivOIL!T$80^5/(Conv!$I$5*Conv!$D$46)/10^6 + OILTrade!$G$19</f>
        <v>1.9110142308145921</v>
      </c>
      <c r="M282" s="421">
        <f>DelivOIL!$E89*DelivOIL!U$80^5/(Conv!$I$5*Conv!$D$46)/10^6 + OILTrade!$G$19</f>
        <v>1.8389684416337957</v>
      </c>
      <c r="N282" s="421">
        <f>DelivOIL!$E89*DelivOIL!V$80^5/(Conv!$I$5*Conv!$D$46)/10^6 + OILTrade!$G$19</f>
        <v>1.8389684416337957</v>
      </c>
      <c r="O282" s="421">
        <f>DelivOIL!$E89*DelivOIL!W$80^5/(Conv!$I$5*Conv!$D$46)/10^6 + OILTrade!$G$19</f>
        <v>1.8389684416337957</v>
      </c>
      <c r="P282" s="421">
        <f>DelivOIL!$E89*DelivOIL!X$80^5/(Conv!$I$5*Conv!$D$46)/10^6 + OILTrade!$G$19</f>
        <v>1.8389684416337957</v>
      </c>
      <c r="Q282" s="421">
        <f>DelivOIL!$E89*DelivOIL!Y$80^5/(Conv!$I$5*Conv!$D$46)/10^6 + OILTrade!$G$19</f>
        <v>1.8389684416337957</v>
      </c>
      <c r="S282" s="395"/>
      <c r="T282" s="395"/>
      <c r="U282" s="395"/>
      <c r="V282" s="395"/>
      <c r="W282" s="395"/>
      <c r="X282" s="395"/>
      <c r="Y282" s="395"/>
      <c r="Z282" s="395"/>
      <c r="AA282" s="395"/>
      <c r="AB282" s="395"/>
      <c r="AC282" s="395"/>
    </row>
    <row r="283" spans="2:29">
      <c r="B283" s="376" t="s">
        <v>588</v>
      </c>
      <c r="C283" s="376" t="str">
        <f>Technologies!C350</f>
        <v>XPRESLPGR6</v>
      </c>
      <c r="D283" s="376" t="str">
        <f>Technologies!D350</f>
        <v>Delivery of Pipeline Traded RESLPG from R6</v>
      </c>
      <c r="E283" s="415" t="str">
        <f>Commodities!C163</f>
        <v>LPGR6</v>
      </c>
      <c r="F283" s="415" t="str">
        <f>Commodities!C97</f>
        <v>RESLPG</v>
      </c>
      <c r="G283" s="422">
        <v>1</v>
      </c>
      <c r="H283" s="421">
        <f>DelivOIL!$E90*DelivOIL!P$80^5/(Conv!$I$5*Conv!$D$46)/10^6 + OILTrade!$G$19</f>
        <v>2.7852216248266095</v>
      </c>
      <c r="I283" s="421">
        <f>DelivOIL!$E90*DelivOIL!Q$80^5/(Conv!$I$5*Conv!$D$46)/10^6 + OILTrade!$G$19</f>
        <v>2.5292104364657586</v>
      </c>
      <c r="J283" s="421">
        <f>DelivOIL!$E90*DelivOIL!R$80^5/(Conv!$I$5*Conv!$D$46)/10^6 + OILTrade!$G$19</f>
        <v>2.8227223566312882</v>
      </c>
      <c r="K283" s="421">
        <f>DelivOIL!$E90*DelivOIL!S$80^5/(Conv!$I$5*Conv!$D$46)/10^6 + OILTrade!$G$19</f>
        <v>3.1825751478539472</v>
      </c>
      <c r="L283" s="421">
        <f>DelivOIL!$E90*DelivOIL!T$80^5/(Conv!$I$5*Conv!$D$46)/10^6 + OILTrade!$G$19</f>
        <v>2.9409347587512737</v>
      </c>
      <c r="M283" s="421">
        <f>DelivOIL!$E90*DelivOIL!U$80^5/(Conv!$I$5*Conv!$D$46)/10^6 + OILTrade!$G$19</f>
        <v>2.821525534090509</v>
      </c>
      <c r="N283" s="421">
        <f>DelivOIL!$E90*DelivOIL!V$80^5/(Conv!$I$5*Conv!$D$46)/10^6 + OILTrade!$G$19</f>
        <v>2.821525534090509</v>
      </c>
      <c r="O283" s="421">
        <f>DelivOIL!$E90*DelivOIL!W$80^5/(Conv!$I$5*Conv!$D$46)/10^6 + OILTrade!$G$19</f>
        <v>2.821525534090509</v>
      </c>
      <c r="P283" s="421">
        <f>DelivOIL!$E90*DelivOIL!X$80^5/(Conv!$I$5*Conv!$D$46)/10^6 + OILTrade!$G$19</f>
        <v>2.821525534090509</v>
      </c>
      <c r="Q283" s="421">
        <f>DelivOIL!$E90*DelivOIL!Y$80^5/(Conv!$I$5*Conv!$D$46)/10^6 + OILTrade!$G$19</f>
        <v>2.821525534090509</v>
      </c>
      <c r="S283" s="395"/>
      <c r="T283" s="395"/>
      <c r="U283" s="395"/>
      <c r="V283" s="395"/>
      <c r="W283" s="395"/>
      <c r="X283" s="395"/>
      <c r="Y283" s="395"/>
      <c r="Z283" s="395"/>
      <c r="AA283" s="395"/>
      <c r="AB283" s="395"/>
      <c r="AC283" s="395"/>
    </row>
    <row r="284" spans="2:29">
      <c r="B284" s="376" t="s">
        <v>588</v>
      </c>
      <c r="C284" s="376" t="str">
        <f>Technologies!C351</f>
        <v>XPCOMLPGR6</v>
      </c>
      <c r="D284" s="376" t="str">
        <f>Technologies!D351</f>
        <v>Delivery of Pipeline Traded COMLPG from R6</v>
      </c>
      <c r="E284" s="415" t="str">
        <f>E283</f>
        <v>LPGR6</v>
      </c>
      <c r="F284" s="415" t="str">
        <f>Commodities!C98</f>
        <v>COMLPG</v>
      </c>
      <c r="G284" s="422">
        <v>1</v>
      </c>
      <c r="H284" s="421">
        <f>DelivOIL!$E91*DelivOIL!P$80^5/(Conv!$I$5*Conv!$D$46)/10^6 + OILTrade!$G$19</f>
        <v>2.907945779199741</v>
      </c>
      <c r="I284" s="421">
        <f>DelivOIL!$E91*DelivOIL!Q$80^5/(Conv!$I$5*Conv!$D$46)/10^6 + OILTrade!$G$19</f>
        <v>2.6390625199157185</v>
      </c>
      <c r="J284" s="421">
        <f>DelivOIL!$E91*DelivOIL!R$80^5/(Conv!$I$5*Conv!$D$46)/10^6 + OILTrade!$G$19</f>
        <v>2.9473320226594031</v>
      </c>
      <c r="K284" s="421">
        <f>DelivOIL!$E91*DelivOIL!S$80^5/(Conv!$I$5*Conv!$D$46)/10^6 + OILTrade!$G$19</f>
        <v>3.3252779709826426</v>
      </c>
      <c r="L284" s="421">
        <f>DelivOIL!$E91*DelivOIL!T$80^5/(Conv!$I$5*Conv!$D$46)/10^6 + OILTrade!$G$19</f>
        <v>3.0714880651094432</v>
      </c>
      <c r="M284" s="421">
        <f>DelivOIL!$E91*DelivOIL!U$80^5/(Conv!$I$5*Conv!$D$46)/10^6 + OILTrade!$G$19</f>
        <v>2.9460750246836129</v>
      </c>
      <c r="N284" s="421">
        <f>DelivOIL!$E91*DelivOIL!V$80^5/(Conv!$I$5*Conv!$D$46)/10^6 + OILTrade!$G$19</f>
        <v>2.9460750246836129</v>
      </c>
      <c r="O284" s="421">
        <f>DelivOIL!$E91*DelivOIL!W$80^5/(Conv!$I$5*Conv!$D$46)/10^6 + OILTrade!$G$19</f>
        <v>2.9460750246836129</v>
      </c>
      <c r="P284" s="421">
        <f>DelivOIL!$E91*DelivOIL!X$80^5/(Conv!$I$5*Conv!$D$46)/10^6 + OILTrade!$G$19</f>
        <v>2.9460750246836129</v>
      </c>
      <c r="Q284" s="421">
        <f>DelivOIL!$E91*DelivOIL!Y$80^5/(Conv!$I$5*Conv!$D$46)/10^6 + OILTrade!$G$19</f>
        <v>2.9460750246836129</v>
      </c>
      <c r="S284" s="395"/>
      <c r="T284" s="395"/>
      <c r="U284" s="395"/>
      <c r="V284" s="395"/>
      <c r="W284" s="395"/>
      <c r="X284" s="395"/>
      <c r="Y284" s="395"/>
      <c r="Z284" s="395"/>
      <c r="AA284" s="395"/>
      <c r="AB284" s="395"/>
      <c r="AC284" s="395"/>
    </row>
    <row r="285" spans="2:29">
      <c r="B285" s="376" t="s">
        <v>588</v>
      </c>
      <c r="C285" s="376" t="str">
        <f>Technologies!C352</f>
        <v>XPINDLPGR6</v>
      </c>
      <c r="D285" s="376" t="str">
        <f>Technologies!D352</f>
        <v>Delivery of Pipeline Traded INDLPG from R6</v>
      </c>
      <c r="E285" s="415" t="str">
        <f>E284</f>
        <v>LPGR6</v>
      </c>
      <c r="F285" s="415" t="str">
        <f>Commodities!C99</f>
        <v>INDLPG</v>
      </c>
      <c r="G285" s="422">
        <v>1</v>
      </c>
      <c r="H285" s="421">
        <f>DelivOIL!$E92*DelivOIL!P$80^5/(Conv!$I$5*Conv!$D$46)/10^6 + OILTrade!$G$19</f>
        <v>1.8647904670281212</v>
      </c>
      <c r="I285" s="421">
        <f>DelivOIL!$E92*DelivOIL!Q$80^5/(Conv!$I$5*Conv!$D$46)/10^6 + OILTrade!$G$19</f>
        <v>1.7053198105910545</v>
      </c>
      <c r="J285" s="421">
        <f>DelivOIL!$E92*DelivOIL!R$80^5/(Conv!$I$5*Conv!$D$46)/10^6 + OILTrade!$G$19</f>
        <v>1.8881498614204206</v>
      </c>
      <c r="K285" s="421">
        <f>DelivOIL!$E92*DelivOIL!S$80^5/(Conv!$I$5*Conv!$D$46)/10^6 + OILTrade!$G$19</f>
        <v>2.1123039743887251</v>
      </c>
      <c r="L285" s="421">
        <f>DelivOIL!$E92*DelivOIL!T$80^5/(Conv!$I$5*Conv!$D$46)/10^6 + OILTrade!$G$19</f>
        <v>1.9617849610649927</v>
      </c>
      <c r="M285" s="421">
        <f>DelivOIL!$E92*DelivOIL!U$80^5/(Conv!$I$5*Conv!$D$46)/10^6 + OILTrade!$G$19</f>
        <v>1.8874043546422259</v>
      </c>
      <c r="N285" s="421">
        <f>DelivOIL!$E92*DelivOIL!V$80^5/(Conv!$I$5*Conv!$D$46)/10^6 + OILTrade!$G$19</f>
        <v>1.8874043546422259</v>
      </c>
      <c r="O285" s="421">
        <f>DelivOIL!$E92*DelivOIL!W$80^5/(Conv!$I$5*Conv!$D$46)/10^6 + OILTrade!$G$19</f>
        <v>1.8874043546422259</v>
      </c>
      <c r="P285" s="421">
        <f>DelivOIL!$E92*DelivOIL!X$80^5/(Conv!$I$5*Conv!$D$46)/10^6 + OILTrade!$G$19</f>
        <v>1.8874043546422259</v>
      </c>
      <c r="Q285" s="421">
        <f>DelivOIL!$E92*DelivOIL!Y$80^5/(Conv!$I$5*Conv!$D$46)/10^6 + OILTrade!$G$19</f>
        <v>1.8874043546422259</v>
      </c>
      <c r="S285" s="395"/>
      <c r="T285" s="395"/>
      <c r="U285" s="395"/>
      <c r="V285" s="395"/>
      <c r="W285" s="395"/>
      <c r="X285" s="395"/>
      <c r="Y285" s="395"/>
      <c r="Z285" s="395"/>
      <c r="AA285" s="395"/>
      <c r="AB285" s="395"/>
      <c r="AC285" s="395"/>
    </row>
    <row r="286" spans="2:29">
      <c r="B286" s="376" t="s">
        <v>588</v>
      </c>
      <c r="C286" s="376" t="str">
        <f>Technologies!C353</f>
        <v>XPTRNLPGR6</v>
      </c>
      <c r="D286" s="376" t="str">
        <f>Technologies!D353</f>
        <v>Delivery of Pipeline Traded TRNLPG from R6</v>
      </c>
      <c r="E286" s="415" t="str">
        <f>E285</f>
        <v>LPGR6</v>
      </c>
      <c r="F286" s="415" t="str">
        <f>Commodities!C100</f>
        <v>TRNLPG</v>
      </c>
      <c r="G286" s="422">
        <v>1</v>
      </c>
      <c r="H286" s="421">
        <f>DelivOIL!$E93*DelivOIL!P$80^5/(Conv!$I$5*Conv!$D$46)/10^6 + OILTrade!$G$19</f>
        <v>3.2215741737088557</v>
      </c>
      <c r="I286" s="421">
        <f>DelivOIL!$E93*DelivOIL!Q$80^5/(Conv!$I$5*Conv!$D$46)/10^6 + OILTrade!$G$19</f>
        <v>2.9197956220656183</v>
      </c>
      <c r="J286" s="421">
        <f>DelivOIL!$E93*DelivOIL!R$80^5/(Conv!$I$5*Conv!$D$46)/10^6 + OILTrade!$G$19</f>
        <v>3.2657789469534766</v>
      </c>
      <c r="K286" s="421">
        <f>DelivOIL!$E93*DelivOIL!S$80^5/(Conv!$I$5*Conv!$D$46)/10^6 + OILTrade!$G$19</f>
        <v>3.6899629634226447</v>
      </c>
      <c r="L286" s="421">
        <f>DelivOIL!$E93*DelivOIL!T$80^5/(Conv!$I$5*Conv!$D$46)/10^6 + OILTrade!$G$19</f>
        <v>3.4051242924692136</v>
      </c>
      <c r="M286" s="421">
        <f>DelivOIL!$E93*DelivOIL!U$80^5/(Conv!$I$5*Conv!$D$46)/10^6 + OILTrade!$G$19</f>
        <v>3.2643681673104359</v>
      </c>
      <c r="N286" s="421">
        <f>DelivOIL!$E93*DelivOIL!V$80^5/(Conv!$I$5*Conv!$D$46)/10^6 + OILTrade!$G$19</f>
        <v>3.2643681673104359</v>
      </c>
      <c r="O286" s="421">
        <f>DelivOIL!$E93*DelivOIL!W$80^5/(Conv!$I$5*Conv!$D$46)/10^6 + OILTrade!$G$19</f>
        <v>3.2643681673104359</v>
      </c>
      <c r="P286" s="421">
        <f>DelivOIL!$E93*DelivOIL!X$80^5/(Conv!$I$5*Conv!$D$46)/10^6 + OILTrade!$G$19</f>
        <v>3.2643681673104359</v>
      </c>
      <c r="Q286" s="421">
        <f>DelivOIL!$E93*DelivOIL!Y$80^5/(Conv!$I$5*Conv!$D$46)/10^6 + OILTrade!$G$19</f>
        <v>3.2643681673104359</v>
      </c>
      <c r="S286" s="395"/>
      <c r="T286" s="395"/>
      <c r="U286" s="395"/>
      <c r="V286" s="395"/>
      <c r="W286" s="395"/>
      <c r="X286" s="395"/>
      <c r="Y286" s="395"/>
      <c r="Z286" s="395"/>
      <c r="AA286" s="395"/>
      <c r="AB286" s="395"/>
      <c r="AC286" s="395"/>
    </row>
    <row r="287" spans="2:29">
      <c r="B287" s="376" t="s">
        <v>588</v>
      </c>
      <c r="C287" s="376" t="str">
        <f>Technologies!C354</f>
        <v>XPTRNMTHR6</v>
      </c>
      <c r="D287" s="376" t="str">
        <f>Technologies!D354</f>
        <v>Delivery of Pipeline Traded TRNMTH from R6</v>
      </c>
      <c r="E287" s="415" t="str">
        <f>Commodities!C164</f>
        <v>MTHR6</v>
      </c>
      <c r="F287" s="415" t="str">
        <f>Commodities!C101</f>
        <v>TRNMTH</v>
      </c>
      <c r="G287" s="422">
        <v>1</v>
      </c>
      <c r="H287" s="421">
        <f>DelivOIL!$E94*DelivOIL!P$80^5/(Conv!$I$5*Conv!$D$46)/10^6 + OILTrade!$G$19</f>
        <v>0.70572900905965286</v>
      </c>
      <c r="I287" s="421">
        <f>DelivOIL!$E94*DelivOIL!Q$80^5/(Conv!$I$5*Conv!$D$46)/10^6 + OILTrade!$G$19</f>
        <v>0.66782791134142638</v>
      </c>
      <c r="J287" s="421">
        <f>DelivOIL!$E94*DelivOIL!R$80^5/(Conv!$I$5*Conv!$D$46)/10^6 + OILTrade!$G$19</f>
        <v>0.71128079337710526</v>
      </c>
      <c r="K287" s="421">
        <f>DelivOIL!$E94*DelivOIL!S$80^5/(Conv!$I$5*Conv!$D$46)/10^6 + OILTrade!$G$19</f>
        <v>0.76455508928437033</v>
      </c>
      <c r="L287" s="421">
        <f>DelivOIL!$E94*DelivOIL!T$80^5/(Conv!$I$5*Conv!$D$46)/10^6 + OILTrade!$G$19</f>
        <v>0.72878151212671205</v>
      </c>
      <c r="M287" s="421">
        <f>DelivOIL!$E94*DelivOIL!U$80^5/(Conv!$I$5*Conv!$D$46)/10^6 + OILTrade!$G$19</f>
        <v>0.71110361015179446</v>
      </c>
      <c r="N287" s="421">
        <f>DelivOIL!$E94*DelivOIL!V$80^5/(Conv!$I$5*Conv!$D$46)/10^6 + OILTrade!$G$19</f>
        <v>0.71110361015179446</v>
      </c>
      <c r="O287" s="421">
        <f>DelivOIL!$E94*DelivOIL!W$80^5/(Conv!$I$5*Conv!$D$46)/10^6 + OILTrade!$G$19</f>
        <v>0.71110361015179446</v>
      </c>
      <c r="P287" s="421">
        <f>DelivOIL!$E94*DelivOIL!X$80^5/(Conv!$I$5*Conv!$D$46)/10^6 + OILTrade!$G$19</f>
        <v>0.71110361015179446</v>
      </c>
      <c r="Q287" s="421">
        <f>DelivOIL!$E94*DelivOIL!Y$80^5/(Conv!$I$5*Conv!$D$46)/10^6 + OILTrade!$G$19</f>
        <v>0.71110361015179446</v>
      </c>
      <c r="S287" s="395"/>
      <c r="T287" s="395"/>
      <c r="U287" s="395"/>
      <c r="V287" s="395"/>
      <c r="W287" s="395"/>
      <c r="X287" s="395"/>
      <c r="Y287" s="395"/>
      <c r="Z287" s="395"/>
      <c r="AA287" s="395"/>
      <c r="AB287" s="395"/>
      <c r="AC287" s="395"/>
    </row>
    <row r="288" spans="2:29">
      <c r="B288" s="376" t="s">
        <v>588</v>
      </c>
      <c r="C288" s="376" t="str">
        <f>Technologies!C355</f>
        <v>XPINDPFSR6</v>
      </c>
      <c r="D288" s="376" t="str">
        <f>Technologies!D355</f>
        <v>Delivery of Pipeline Traded INDPFS from R6</v>
      </c>
      <c r="E288" s="415" t="str">
        <f>Commodities!C165</f>
        <v>PFSR6</v>
      </c>
      <c r="F288" s="415" t="str">
        <f>Commodities!C102</f>
        <v>INDPFS</v>
      </c>
      <c r="G288" s="422">
        <v>1</v>
      </c>
      <c r="H288" s="421">
        <f>DelivOIL!$E95*DelivOIL!P$80^5/(Conv!$I$5*Conv!$D$46)/10^6 + OILTrade!$G$19</f>
        <v>1.2988957551964568</v>
      </c>
      <c r="I288" s="421">
        <f>DelivOIL!$E95*DelivOIL!Q$80^5/(Conv!$I$5*Conv!$D$46)/10^6 + OILTrade!$G$19</f>
        <v>1.1987796480162358</v>
      </c>
      <c r="J288" s="421">
        <f>DelivOIL!$E95*DelivOIL!R$80^5/(Conv!$I$5*Conv!$D$46)/10^6 + OILTrade!$G$19</f>
        <v>1.313560845846331</v>
      </c>
      <c r="K288" s="421">
        <f>DelivOIL!$E95*DelivOIL!S$80^5/(Conv!$I$5*Conv!$D$46)/10^6 + OILTrade!$G$19</f>
        <v>1.454285401073069</v>
      </c>
      <c r="L288" s="421">
        <f>DelivOIL!$E95*DelivOIL!T$80^5/(Conv!$I$5*Conv!$D$46)/10^6 + OILTrade!$G$19</f>
        <v>1.3597891595245373</v>
      </c>
      <c r="M288" s="421">
        <f>DelivOIL!$E95*DelivOIL!U$80^5/(Conv!$I$5*Conv!$D$46)/10^6 + OILTrade!$G$19</f>
        <v>1.3130928146851324</v>
      </c>
      <c r="N288" s="421">
        <f>DelivOIL!$E95*DelivOIL!V$80^5/(Conv!$I$5*Conv!$D$46)/10^6 + OILTrade!$G$19</f>
        <v>1.3130928146851324</v>
      </c>
      <c r="O288" s="421">
        <f>DelivOIL!$E95*DelivOIL!W$80^5/(Conv!$I$5*Conv!$D$46)/10^6 + OILTrade!$G$19</f>
        <v>1.3130928146851324</v>
      </c>
      <c r="P288" s="421">
        <f>DelivOIL!$E95*DelivOIL!X$80^5/(Conv!$I$5*Conv!$D$46)/10^6 + OILTrade!$G$19</f>
        <v>1.3130928146851324</v>
      </c>
      <c r="Q288" s="421">
        <f>DelivOIL!$E95*DelivOIL!Y$80^5/(Conv!$I$5*Conv!$D$46)/10^6 + OILTrade!$G$19</f>
        <v>1.3130928146851324</v>
      </c>
      <c r="S288" s="395"/>
      <c r="T288" s="395"/>
      <c r="U288" s="395"/>
      <c r="V288" s="395"/>
      <c r="W288" s="395"/>
      <c r="X288" s="395"/>
      <c r="Y288" s="395"/>
      <c r="Z288" s="395"/>
      <c r="AA288" s="395"/>
      <c r="AB288" s="395"/>
      <c r="AC288" s="395"/>
    </row>
    <row r="289" spans="2:29">
      <c r="B289" s="376" t="s">
        <v>588</v>
      </c>
      <c r="C289" s="376" t="str">
        <f>Technologies!C356</f>
        <v>XPRESRFLR6</v>
      </c>
      <c r="D289" s="376" t="str">
        <f>Technologies!D356</f>
        <v>Delivery of Pipeline Traded RESRFL from R6</v>
      </c>
      <c r="E289" s="415" t="str">
        <f>Commodities!C167</f>
        <v>RFLR6</v>
      </c>
      <c r="F289" s="415" t="str">
        <f>Commodities!C103</f>
        <v>RESRFL</v>
      </c>
      <c r="G289" s="422">
        <v>1</v>
      </c>
      <c r="H289" s="421">
        <f>DelivOIL!$E96*DelivOIL!P$80^5/(Conv!$I$5*Conv!$D$46)/10^6 + OILTrade!$G$19</f>
        <v>0.4807347260422451</v>
      </c>
      <c r="I289" s="421">
        <f>DelivOIL!$E96*DelivOIL!Q$80^5/(Conv!$I$5*Conv!$D$46)/10^6 + OILTrade!$G$19</f>
        <v>0.46643242501649923</v>
      </c>
      <c r="J289" s="421">
        <f>DelivOIL!$E96*DelivOIL!R$80^5/(Conv!$I$5*Conv!$D$46)/10^6 + OILTrade!$G$19</f>
        <v>0.48282973899222714</v>
      </c>
      <c r="K289" s="421">
        <f>DelivOIL!$E96*DelivOIL!S$80^5/(Conv!$I$5*Conv!$D$46)/10^6 + OILTrade!$G$19</f>
        <v>0.50293324688176122</v>
      </c>
      <c r="L289" s="421">
        <f>DelivOIL!$E96*DelivOIL!T$80^5/(Conv!$I$5*Conv!$D$46)/10^6 + OILTrade!$G$19</f>
        <v>0.48943378380339952</v>
      </c>
      <c r="M289" s="421">
        <f>DelivOIL!$E96*DelivOIL!U$80^5/(Conv!$I$5*Conv!$D$46)/10^6 + OILTrade!$G$19</f>
        <v>0.48276287739777024</v>
      </c>
      <c r="N289" s="421">
        <f>DelivOIL!$E96*DelivOIL!V$80^5/(Conv!$I$5*Conv!$D$46)/10^6 + OILTrade!$G$19</f>
        <v>0.48276287739777024</v>
      </c>
      <c r="O289" s="421">
        <f>DelivOIL!$E96*DelivOIL!W$80^5/(Conv!$I$5*Conv!$D$46)/10^6 + OILTrade!$G$19</f>
        <v>0.48276287739777024</v>
      </c>
      <c r="P289" s="421">
        <f>DelivOIL!$E96*DelivOIL!X$80^5/(Conv!$I$5*Conv!$D$46)/10^6 + OILTrade!$G$19</f>
        <v>0.48276287739777024</v>
      </c>
      <c r="Q289" s="421">
        <f>DelivOIL!$E96*DelivOIL!Y$80^5/(Conv!$I$5*Conv!$D$46)/10^6 + OILTrade!$G$19</f>
        <v>0.48276287739777024</v>
      </c>
      <c r="S289" s="395"/>
      <c r="T289" s="395"/>
      <c r="U289" s="395"/>
      <c r="V289" s="395"/>
      <c r="W289" s="395"/>
      <c r="X289" s="395"/>
      <c r="Y289" s="395"/>
      <c r="Z289" s="395"/>
      <c r="AA289" s="395"/>
      <c r="AB289" s="395"/>
      <c r="AC289" s="395"/>
    </row>
    <row r="290" spans="2:29">
      <c r="B290" s="376" t="s">
        <v>588</v>
      </c>
      <c r="C290" s="376" t="str">
        <f>Technologies!C357</f>
        <v>XPCOMRFLR6</v>
      </c>
      <c r="D290" s="376" t="str">
        <f>Technologies!D357</f>
        <v>Delivery of Pipeline Traded COMRFL from R6</v>
      </c>
      <c r="E290" s="415" t="str">
        <f>Commodities!C167</f>
        <v>RFLR6</v>
      </c>
      <c r="F290" s="415" t="str">
        <f>Commodities!C104</f>
        <v>COMRFL</v>
      </c>
      <c r="G290" s="422">
        <v>1</v>
      </c>
      <c r="H290" s="421">
        <f>DelivOIL!$E96*DelivOIL!P$80^5/(Conv!$I$5*Conv!$D$46)/10^6 + OILTrade!$G$19</f>
        <v>0.4807347260422451</v>
      </c>
      <c r="I290" s="421">
        <f>DelivOIL!$E96*DelivOIL!Q$80^5/(Conv!$I$5*Conv!$D$46)/10^6 + OILTrade!$G$19</f>
        <v>0.46643242501649923</v>
      </c>
      <c r="J290" s="421">
        <f>DelivOIL!$E96*DelivOIL!R$80^5/(Conv!$I$5*Conv!$D$46)/10^6 + OILTrade!$G$19</f>
        <v>0.48282973899222714</v>
      </c>
      <c r="K290" s="421">
        <f>DelivOIL!$E96*DelivOIL!S$80^5/(Conv!$I$5*Conv!$D$46)/10^6 + OILTrade!$G$19</f>
        <v>0.50293324688176122</v>
      </c>
      <c r="L290" s="421">
        <f>DelivOIL!$E96*DelivOIL!T$80^5/(Conv!$I$5*Conv!$D$46)/10^6 + OILTrade!$G$19</f>
        <v>0.48943378380339952</v>
      </c>
      <c r="M290" s="421">
        <f>DelivOIL!$E96*DelivOIL!U$80^5/(Conv!$I$5*Conv!$D$46)/10^6 + OILTrade!$G$19</f>
        <v>0.48276287739777024</v>
      </c>
      <c r="N290" s="421">
        <f>DelivOIL!$E96*DelivOIL!V$80^5/(Conv!$I$5*Conv!$D$46)/10^6 + OILTrade!$G$19</f>
        <v>0.48276287739777024</v>
      </c>
      <c r="O290" s="421">
        <f>DelivOIL!$E96*DelivOIL!W$80^5/(Conv!$I$5*Conv!$D$46)/10^6 + OILTrade!$G$19</f>
        <v>0.48276287739777024</v>
      </c>
      <c r="P290" s="421">
        <f>DelivOIL!$E96*DelivOIL!X$80^5/(Conv!$I$5*Conv!$D$46)/10^6 + OILTrade!$G$19</f>
        <v>0.48276287739777024</v>
      </c>
      <c r="Q290" s="421">
        <f>DelivOIL!$E96*DelivOIL!Y$80^5/(Conv!$I$5*Conv!$D$46)/10^6 + OILTrade!$G$19</f>
        <v>0.48276287739777024</v>
      </c>
      <c r="S290" s="395"/>
      <c r="T290" s="395"/>
      <c r="U290" s="395"/>
      <c r="V290" s="395"/>
      <c r="W290" s="395"/>
      <c r="X290" s="395"/>
      <c r="Y290" s="395"/>
      <c r="Z290" s="395"/>
      <c r="AA290" s="395"/>
      <c r="AB290" s="395"/>
      <c r="AC290" s="395"/>
    </row>
    <row r="291" spans="2:29">
      <c r="B291" s="376" t="s">
        <v>588</v>
      </c>
      <c r="C291" s="376" t="str">
        <f>Technologies!C358</f>
        <v>XPINDRFLR6</v>
      </c>
      <c r="D291" s="376" t="str">
        <f>Technologies!D358</f>
        <v>Delivery of Pipeline Traded INDRFL from R6</v>
      </c>
      <c r="E291" s="415" t="str">
        <f>E290</f>
        <v>RFLR6</v>
      </c>
      <c r="F291" s="415" t="str">
        <f>Commodities!C105</f>
        <v>INDRFL</v>
      </c>
      <c r="G291" s="422">
        <v>1</v>
      </c>
      <c r="H291" s="421">
        <f>DelivOIL!$E97*DelivOIL!P$80^5/(Conv!$I$5*Conv!$D$46)/10^6 + OILTrade!$G$19</f>
        <v>0.50118875177110045</v>
      </c>
      <c r="I291" s="421">
        <f>DelivOIL!$E97*DelivOIL!Q$80^5/(Conv!$I$5*Conv!$D$46)/10^6 + OILTrade!$G$19</f>
        <v>0.48474110559149264</v>
      </c>
      <c r="J291" s="421">
        <f>DelivOIL!$E97*DelivOIL!R$80^5/(Conv!$I$5*Conv!$D$46)/10^6 + OILTrade!$G$19</f>
        <v>0.50359801666357973</v>
      </c>
      <c r="K291" s="421">
        <f>DelivOIL!$E97*DelivOIL!S$80^5/(Conv!$I$5*Conv!$D$46)/10^6 + OILTrade!$G$19</f>
        <v>0.52671705073654396</v>
      </c>
      <c r="L291" s="421">
        <f>DelivOIL!$E97*DelivOIL!T$80^5/(Conv!$I$5*Conv!$D$46)/10^6 + OILTrade!$G$19</f>
        <v>0.51119266819642806</v>
      </c>
      <c r="M291" s="421">
        <f>DelivOIL!$E97*DelivOIL!U$80^5/(Conv!$I$5*Conv!$D$46)/10^6 + OILTrade!$G$19</f>
        <v>0.50352112582995434</v>
      </c>
      <c r="N291" s="421">
        <f>DelivOIL!$E97*DelivOIL!V$80^5/(Conv!$I$5*Conv!$D$46)/10^6 + OILTrade!$G$19</f>
        <v>0.50352112582995434</v>
      </c>
      <c r="O291" s="421">
        <f>DelivOIL!$E97*DelivOIL!W$80^5/(Conv!$I$5*Conv!$D$46)/10^6 + OILTrade!$G$19</f>
        <v>0.50352112582995434</v>
      </c>
      <c r="P291" s="421">
        <f>DelivOIL!$E97*DelivOIL!X$80^5/(Conv!$I$5*Conv!$D$46)/10^6 + OILTrade!$G$19</f>
        <v>0.50352112582995434</v>
      </c>
      <c r="Q291" s="421">
        <f>DelivOIL!$E97*DelivOIL!Y$80^5/(Conv!$I$5*Conv!$D$46)/10^6 + OILTrade!$G$19</f>
        <v>0.50352112582995434</v>
      </c>
      <c r="S291" s="395"/>
      <c r="T291" s="395"/>
      <c r="U291" s="395"/>
      <c r="V291" s="395"/>
      <c r="W291" s="395"/>
      <c r="X291" s="395"/>
      <c r="Y291" s="395"/>
      <c r="Z291" s="395"/>
      <c r="AA291" s="395"/>
      <c r="AB291" s="395"/>
      <c r="AC291" s="395"/>
    </row>
    <row r="292" spans="2:29">
      <c r="B292" s="376" t="s">
        <v>588</v>
      </c>
      <c r="C292" s="376" t="str">
        <f>Technologies!C359</f>
        <v>XPELCRFLR6</v>
      </c>
      <c r="D292" s="376" t="str">
        <f>Technologies!D359</f>
        <v>Delivery of Pipeline Traded ELCRFL from R6</v>
      </c>
      <c r="E292" s="415" t="str">
        <f>E291</f>
        <v>RFLR6</v>
      </c>
      <c r="F292" s="415" t="str">
        <f>Commodities!C106</f>
        <v>ELCRFL</v>
      </c>
      <c r="G292" s="422">
        <v>1</v>
      </c>
      <c r="H292" s="421">
        <f>DelivOIL!$E98*DelivOIL!P$80^5/(Conv!$I$5*Conv!$D$46)/10^6 + OILTrade!$G$19</f>
        <v>0.34437455451654297</v>
      </c>
      <c r="I292" s="421">
        <f>DelivOIL!$E98*DelivOIL!Q$80^5/(Conv!$I$5*Conv!$D$46)/10^6 + OILTrade!$G$19</f>
        <v>0.34437455451654297</v>
      </c>
      <c r="J292" s="421">
        <f>DelivOIL!$E98*DelivOIL!R$80^5/(Conv!$I$5*Conv!$D$46)/10^6 + OILTrade!$G$19</f>
        <v>0.34437455451654297</v>
      </c>
      <c r="K292" s="421">
        <f>DelivOIL!$E98*DelivOIL!S$80^5/(Conv!$I$5*Conv!$D$46)/10^6 + OILTrade!$G$19</f>
        <v>0.34437455451654297</v>
      </c>
      <c r="L292" s="421">
        <f>DelivOIL!$E98*DelivOIL!T$80^5/(Conv!$I$5*Conv!$D$46)/10^6 + OILTrade!$G$19</f>
        <v>0.34437455451654297</v>
      </c>
      <c r="M292" s="421">
        <f>DelivOIL!$E98*DelivOIL!U$80^5/(Conv!$I$5*Conv!$D$46)/10^6 + OILTrade!$G$19</f>
        <v>0.34437455451654297</v>
      </c>
      <c r="N292" s="421">
        <f>DelivOIL!$E98*DelivOIL!V$80^5/(Conv!$I$5*Conv!$D$46)/10^6 + OILTrade!$G$19</f>
        <v>0.34437455451654297</v>
      </c>
      <c r="O292" s="421">
        <f>DelivOIL!$E98*DelivOIL!W$80^5/(Conv!$I$5*Conv!$D$46)/10^6 + OILTrade!$G$19</f>
        <v>0.34437455451654297</v>
      </c>
      <c r="P292" s="421">
        <f>DelivOIL!$E98*DelivOIL!X$80^5/(Conv!$I$5*Conv!$D$46)/10^6 + OILTrade!$G$19</f>
        <v>0.34437455451654297</v>
      </c>
      <c r="Q292" s="421">
        <f>DelivOIL!$E98*DelivOIL!Y$80^5/(Conv!$I$5*Conv!$D$46)/10^6 + OILTrade!$G$19</f>
        <v>0.34437455451654297</v>
      </c>
      <c r="S292" s="395"/>
      <c r="T292" s="395"/>
      <c r="U292" s="395"/>
      <c r="V292" s="395"/>
      <c r="W292" s="395"/>
      <c r="X292" s="395"/>
      <c r="Y292" s="395"/>
      <c r="Z292" s="395"/>
      <c r="AA292" s="395"/>
      <c r="AB292" s="395"/>
      <c r="AC292" s="395"/>
    </row>
    <row r="293" spans="2:29">
      <c r="B293" s="376" t="s">
        <v>588</v>
      </c>
      <c r="C293" s="376" t="str">
        <f>Technologies!C360</f>
        <v>XPTRNRFHR6</v>
      </c>
      <c r="D293" s="376" t="str">
        <f>Technologies!D360</f>
        <v>Delivery of Pipeline Traded TRNRFH from R6</v>
      </c>
      <c r="E293" s="415" t="str">
        <f>Commodities!C166</f>
        <v>RFHR6</v>
      </c>
      <c r="F293" s="415" t="str">
        <f>Commodities!C107</f>
        <v>TRNRFH</v>
      </c>
      <c r="G293" s="422">
        <v>1</v>
      </c>
      <c r="H293" s="421">
        <f>DelivOIL!$E99*DelivOIL!P$80^5/(Conv!$I$5*Conv!$D$46)/10^6 + OILTrade!$G$19</f>
        <v>0.35119256309282809</v>
      </c>
      <c r="I293" s="421">
        <f>DelivOIL!$E99*DelivOIL!Q$80^5/(Conv!$I$5*Conv!$D$46)/10^6 + OILTrade!$G$19</f>
        <v>0.3504774480415408</v>
      </c>
      <c r="J293" s="421">
        <f>DelivOIL!$E99*DelivOIL!R$80^5/(Conv!$I$5*Conv!$D$46)/10^6 + OILTrade!$G$19</f>
        <v>0.35129731374032719</v>
      </c>
      <c r="K293" s="421">
        <f>DelivOIL!$E99*DelivOIL!S$80^5/(Conv!$I$5*Conv!$D$46)/10^6 + OILTrade!$G$19</f>
        <v>0.35230248913480389</v>
      </c>
      <c r="L293" s="421">
        <f>DelivOIL!$E99*DelivOIL!T$80^5/(Conv!$I$5*Conv!$D$46)/10^6 + OILTrade!$G$19</f>
        <v>0.35162751598088582</v>
      </c>
      <c r="M293" s="421">
        <f>DelivOIL!$E99*DelivOIL!U$80^5/(Conv!$I$5*Conv!$D$46)/10^6 + OILTrade!$G$19</f>
        <v>0.35129397066060436</v>
      </c>
      <c r="N293" s="421">
        <f>DelivOIL!$E99*DelivOIL!V$80^5/(Conv!$I$5*Conv!$D$46)/10^6 + OILTrade!$G$19</f>
        <v>0.35129397066060436</v>
      </c>
      <c r="O293" s="421">
        <f>DelivOIL!$E99*DelivOIL!W$80^5/(Conv!$I$5*Conv!$D$46)/10^6 + OILTrade!$G$19</f>
        <v>0.35129397066060436</v>
      </c>
      <c r="P293" s="421">
        <f>DelivOIL!$E99*DelivOIL!X$80^5/(Conv!$I$5*Conv!$D$46)/10^6 + OILTrade!$G$19</f>
        <v>0.35129397066060436</v>
      </c>
      <c r="Q293" s="421">
        <f>DelivOIL!$E99*DelivOIL!Y$80^5/(Conv!$I$5*Conv!$D$46)/10^6 + OILTrade!$G$19</f>
        <v>0.35129397066060436</v>
      </c>
      <c r="S293" s="395"/>
      <c r="T293" s="395"/>
      <c r="U293" s="395"/>
      <c r="V293" s="395"/>
      <c r="W293" s="395"/>
      <c r="X293" s="395"/>
      <c r="Y293" s="395"/>
      <c r="Z293" s="395"/>
      <c r="AA293" s="395"/>
      <c r="AB293" s="395"/>
      <c r="AC293" s="395"/>
    </row>
    <row r="294" spans="2:29">
      <c r="B294" s="376" t="s">
        <v>588</v>
      </c>
      <c r="C294" s="376" t="str">
        <f>Technologies!C361</f>
        <v>XPELCRFHR6</v>
      </c>
      <c r="D294" s="376" t="str">
        <f>Technologies!D361</f>
        <v>Delivery of Pipeline Traded ELCRFH from R6</v>
      </c>
      <c r="E294" s="415" t="str">
        <f>E293</f>
        <v>RFHR6</v>
      </c>
      <c r="F294" s="415" t="str">
        <f>Commodities!C108</f>
        <v>ELCRFH</v>
      </c>
      <c r="G294" s="422">
        <v>1</v>
      </c>
      <c r="H294" s="421">
        <f>DelivOIL!$E100*DelivOIL!P$80^5/(Conv!$I$5*Conv!$D$46)/10^6 + OILTrade!$G$19</f>
        <v>0.34437455451654297</v>
      </c>
      <c r="I294" s="421">
        <f>DelivOIL!$E100*DelivOIL!Q$80^5/(Conv!$I$5*Conv!$D$46)/10^6 + OILTrade!$G$19</f>
        <v>0.34437455451654297</v>
      </c>
      <c r="J294" s="421">
        <f>DelivOIL!$E100*DelivOIL!R$80^5/(Conv!$I$5*Conv!$D$46)/10^6 + OILTrade!$G$19</f>
        <v>0.34437455451654297</v>
      </c>
      <c r="K294" s="421">
        <f>DelivOIL!$E100*DelivOIL!S$80^5/(Conv!$I$5*Conv!$D$46)/10^6 + OILTrade!$G$19</f>
        <v>0.34437455451654297</v>
      </c>
      <c r="L294" s="421">
        <f>DelivOIL!$E100*DelivOIL!T$80^5/(Conv!$I$5*Conv!$D$46)/10^6 + OILTrade!$G$19</f>
        <v>0.34437455451654297</v>
      </c>
      <c r="M294" s="421">
        <f>DelivOIL!$E100*DelivOIL!U$80^5/(Conv!$I$5*Conv!$D$46)/10^6 + OILTrade!$G$19</f>
        <v>0.34437455451654297</v>
      </c>
      <c r="N294" s="421">
        <f>DelivOIL!$E100*DelivOIL!V$80^5/(Conv!$I$5*Conv!$D$46)/10^6 + OILTrade!$G$19</f>
        <v>0.34437455451654297</v>
      </c>
      <c r="O294" s="421">
        <f>DelivOIL!$E100*DelivOIL!W$80^5/(Conv!$I$5*Conv!$D$46)/10^6 + OILTrade!$G$19</f>
        <v>0.34437455451654297</v>
      </c>
      <c r="P294" s="421">
        <f>DelivOIL!$E100*DelivOIL!X$80^5/(Conv!$I$5*Conv!$D$46)/10^6 + OILTrade!$G$19</f>
        <v>0.34437455451654297</v>
      </c>
      <c r="Q294" s="421">
        <f>DelivOIL!$E100*DelivOIL!Y$80^5/(Conv!$I$5*Conv!$D$46)/10^6 + OILTrade!$G$19</f>
        <v>0.34437455451654297</v>
      </c>
      <c r="S294" s="395"/>
      <c r="T294" s="395"/>
      <c r="U294" s="395"/>
      <c r="V294" s="395"/>
      <c r="W294" s="395"/>
      <c r="X294" s="395"/>
      <c r="Y294" s="395"/>
      <c r="Z294" s="395"/>
      <c r="AA294" s="395"/>
      <c r="AB294" s="395"/>
      <c r="AC294" s="395"/>
    </row>
    <row r="295" spans="2:29">
      <c r="B295" s="376" t="s">
        <v>588</v>
      </c>
      <c r="C295" s="376" t="str">
        <f>Technologies!C362</f>
        <v>XPINDASPR6</v>
      </c>
      <c r="D295" s="376" t="str">
        <f>Technologies!D362</f>
        <v>Delivery of Pipeline Traded INDASP from R6</v>
      </c>
      <c r="E295" s="415" t="str">
        <f>Commodities!C168</f>
        <v>ASPR6</v>
      </c>
      <c r="F295" s="415" t="str">
        <f>Commodities!C109</f>
        <v>INDASP</v>
      </c>
      <c r="G295" s="422">
        <v>1</v>
      </c>
      <c r="H295" s="421">
        <f>DelivOIL!$E101*DelivOIL!P$80^5/(Conv!$I$5*Conv!$D$46)/10^6 + OILTrade!$G$19</f>
        <v>1.203443635128465</v>
      </c>
      <c r="I295" s="421">
        <f>DelivOIL!$E101*DelivOIL!Q$80^5/(Conv!$I$5*Conv!$D$46)/10^6 + OILTrade!$G$19</f>
        <v>1.1133391386662659</v>
      </c>
      <c r="J295" s="421">
        <f>DelivOIL!$E101*DelivOIL!R$80^5/(Conv!$I$5*Conv!$D$46)/10^6 + OILTrade!$G$19</f>
        <v>1.2166422167133515</v>
      </c>
      <c r="K295" s="421">
        <f>DelivOIL!$E101*DelivOIL!S$80^5/(Conv!$I$5*Conv!$D$46)/10^6 + OILTrade!$G$19</f>
        <v>1.343294316417416</v>
      </c>
      <c r="L295" s="421">
        <f>DelivOIL!$E101*DelivOIL!T$80^5/(Conv!$I$5*Conv!$D$46)/10^6 + OILTrade!$G$19</f>
        <v>1.2582476990237375</v>
      </c>
      <c r="M295" s="421">
        <f>DelivOIL!$E101*DelivOIL!U$80^5/(Conv!$I$5*Conv!$D$46)/10^6 + OILTrade!$G$19</f>
        <v>1.2162209886682731</v>
      </c>
      <c r="N295" s="421">
        <f>DelivOIL!$E101*DelivOIL!V$80^5/(Conv!$I$5*Conv!$D$46)/10^6 + OILTrade!$G$19</f>
        <v>1.2162209886682731</v>
      </c>
      <c r="O295" s="421">
        <f>DelivOIL!$E101*DelivOIL!W$80^5/(Conv!$I$5*Conv!$D$46)/10^6 + OILTrade!$G$19</f>
        <v>1.2162209886682731</v>
      </c>
      <c r="P295" s="421">
        <f>DelivOIL!$E101*DelivOIL!X$80^5/(Conv!$I$5*Conv!$D$46)/10^6 + OILTrade!$G$19</f>
        <v>1.2162209886682731</v>
      </c>
      <c r="Q295" s="421">
        <f>DelivOIL!$E101*DelivOIL!Y$80^5/(Conv!$I$5*Conv!$D$46)/10^6 + OILTrade!$G$19</f>
        <v>1.2162209886682731</v>
      </c>
      <c r="S295" s="395"/>
      <c r="T295" s="395"/>
      <c r="U295" s="395"/>
      <c r="V295" s="395"/>
      <c r="W295" s="395"/>
      <c r="X295" s="395"/>
      <c r="Y295" s="395"/>
      <c r="Z295" s="395"/>
      <c r="AA295" s="395"/>
      <c r="AB295" s="395"/>
      <c r="AC295" s="395"/>
    </row>
    <row r="296" spans="2:29">
      <c r="B296" s="376" t="s">
        <v>588</v>
      </c>
      <c r="C296" s="376"/>
      <c r="D296" s="376"/>
      <c r="E296" s="415"/>
      <c r="F296" s="415"/>
      <c r="G296" s="422"/>
      <c r="H296" s="423"/>
      <c r="I296" s="423"/>
      <c r="J296" s="423"/>
      <c r="K296" s="423"/>
      <c r="L296" s="423"/>
      <c r="M296" s="423"/>
      <c r="N296" s="423"/>
      <c r="O296" s="423"/>
      <c r="P296" s="423"/>
      <c r="Q296" s="423"/>
    </row>
    <row r="297" spans="2:29">
      <c r="B297" s="376" t="s">
        <v>588</v>
      </c>
      <c r="C297" s="376" t="str">
        <f>Technologies!C338</f>
        <v>XPTRGSLCR6</v>
      </c>
      <c r="D297" s="376" t="str">
        <f>Technologies!D338</f>
        <v>Delivery of Pipeline Traded TRGSLC from R6</v>
      </c>
      <c r="E297" s="415" t="str">
        <f>Commodities!C156</f>
        <v>GSCR6</v>
      </c>
      <c r="F297" s="415" t="str">
        <f>Commodities!C85</f>
        <v>TRGSLC</v>
      </c>
      <c r="G297" s="422">
        <v>1</v>
      </c>
      <c r="H297" s="421">
        <f>DelivOIL!$F77*DelivOIL!P$81^5/(Conv!$I$5*Conv!$D$46)/10^6 + OILTrade!$H$19</f>
        <v>2.9724369478801975</v>
      </c>
      <c r="I297" s="421">
        <f>DelivOIL!$F77*DelivOIL!Q$81^5/(Conv!$I$5*Conv!$D$46)/10^6 + OILTrade!$H$19</f>
        <v>2.9570885837700658</v>
      </c>
      <c r="J297" s="421">
        <f>DelivOIL!$F77*DelivOIL!R$81^5/(Conv!$I$5*Conv!$D$46)/10^6 + OILTrade!$H$19</f>
        <v>3.1073486833483166</v>
      </c>
      <c r="K297" s="421">
        <f>DelivOIL!$F77*DelivOIL!S$81^5/(Conv!$I$5*Conv!$D$46)/10^6 + OILTrade!$H$19</f>
        <v>3.7292678033928777</v>
      </c>
      <c r="L297" s="421">
        <f>DelivOIL!$F77*DelivOIL!T$81^5/(Conv!$I$5*Conv!$D$46)/10^6 + OILTrade!$H$19</f>
        <v>3.4256516091125535</v>
      </c>
      <c r="M297" s="421">
        <f>DelivOIL!$F77*DelivOIL!U$81^5/(Conv!$I$5*Conv!$D$46)/10^6 + OILTrade!$H$19</f>
        <v>3.0435351831542814</v>
      </c>
      <c r="N297" s="421">
        <f>DelivOIL!$F77*DelivOIL!V$81^5/(Conv!$I$5*Conv!$D$46)/10^6 + OILTrade!$H$19</f>
        <v>3.0435351831542814</v>
      </c>
      <c r="O297" s="421">
        <f>DelivOIL!$F77*DelivOIL!W$81^5/(Conv!$I$5*Conv!$D$46)/10^6 + OILTrade!$H$19</f>
        <v>3.0435351831542814</v>
      </c>
      <c r="P297" s="421">
        <f>DelivOIL!$F77*DelivOIL!X$81^5/(Conv!$I$5*Conv!$D$46)/10^6 + OILTrade!$H$19</f>
        <v>3.0435351831542814</v>
      </c>
      <c r="Q297" s="421">
        <f>DelivOIL!$F77*DelivOIL!Y$81^5/(Conv!$I$5*Conv!$D$46)/10^6 + OILTrade!$H$19</f>
        <v>3.0435351831542814</v>
      </c>
      <c r="S297" s="395"/>
      <c r="T297" s="395"/>
      <c r="U297" s="395"/>
      <c r="V297" s="395"/>
      <c r="W297" s="395"/>
      <c r="X297" s="395"/>
      <c r="Y297" s="395"/>
      <c r="Z297" s="395"/>
      <c r="AA297" s="395"/>
      <c r="AB297" s="395"/>
      <c r="AC297" s="395"/>
    </row>
    <row r="298" spans="2:29">
      <c r="B298" s="376" t="s">
        <v>588</v>
      </c>
      <c r="C298" s="376" t="str">
        <f>Technologies!C339</f>
        <v>XPTRGSLRR6</v>
      </c>
      <c r="D298" s="376" t="str">
        <f>Technologies!D339</f>
        <v>Delivery of Pipeline Traded TRGSLR from R6</v>
      </c>
      <c r="E298" s="415" t="str">
        <f>Commodities!C157</f>
        <v>GSRR6</v>
      </c>
      <c r="F298" s="415" t="str">
        <f>Commodities!C86</f>
        <v>TRGSLR</v>
      </c>
      <c r="G298" s="422">
        <v>1</v>
      </c>
      <c r="H298" s="421">
        <f>DelivOIL!$F78*DelivOIL!P$81^5/(Conv!$I$5*Conv!$D$46)/10^6 + OILTrade!$H$19</f>
        <v>2.9247108878462011</v>
      </c>
      <c r="I298" s="421">
        <f>DelivOIL!$F78*DelivOIL!Q$81^5/(Conv!$I$5*Conv!$D$46)/10^6 + OILTrade!$H$19</f>
        <v>2.9096147269021984</v>
      </c>
      <c r="J298" s="421">
        <f>DelivOIL!$F78*DelivOIL!R$81^5/(Conv!$I$5*Conv!$D$46)/10^6 + OILTrade!$H$19</f>
        <v>3.0574057638113237</v>
      </c>
      <c r="K298" s="421">
        <f>DelivOIL!$F78*DelivOIL!S$81^5/(Conv!$I$5*Conv!$D$46)/10^6 + OILTrade!$H$19</f>
        <v>3.6691055555922407</v>
      </c>
      <c r="L298" s="421">
        <f>DelivOIL!$F78*DelivOIL!T$81^5/(Conv!$I$5*Conv!$D$46)/10^6 + OILTrade!$H$19</f>
        <v>3.3704783598094812</v>
      </c>
      <c r="M298" s="421">
        <f>DelivOIL!$F78*DelivOIL!U$81^5/(Conv!$I$5*Conv!$D$46)/10^6 + OILTrade!$H$19</f>
        <v>2.9946408422589741</v>
      </c>
      <c r="N298" s="421">
        <f>DelivOIL!$F78*DelivOIL!V$81^5/(Conv!$I$5*Conv!$D$46)/10^6 + OILTrade!$H$19</f>
        <v>2.9946408422589741</v>
      </c>
      <c r="O298" s="421">
        <f>DelivOIL!$F78*DelivOIL!W$81^5/(Conv!$I$5*Conv!$D$46)/10^6 + OILTrade!$H$19</f>
        <v>2.9946408422589741</v>
      </c>
      <c r="P298" s="421">
        <f>DelivOIL!$F78*DelivOIL!X$81^5/(Conv!$I$5*Conv!$D$46)/10^6 + OILTrade!$H$19</f>
        <v>2.9946408422589741</v>
      </c>
      <c r="Q298" s="421">
        <f>DelivOIL!$F78*DelivOIL!Y$81^5/(Conv!$I$5*Conv!$D$46)/10^6 + OILTrade!$H$19</f>
        <v>2.9946408422589741</v>
      </c>
      <c r="S298" s="395"/>
      <c r="T298" s="395"/>
      <c r="U298" s="395"/>
      <c r="V298" s="395"/>
      <c r="W298" s="395"/>
      <c r="X298" s="395"/>
      <c r="Y298" s="395"/>
      <c r="Z298" s="395"/>
      <c r="AA298" s="395"/>
      <c r="AB298" s="395"/>
      <c r="AC298" s="395"/>
    </row>
    <row r="299" spans="2:29">
      <c r="B299" s="376" t="s">
        <v>588</v>
      </c>
      <c r="C299" s="376" t="str">
        <f>Technologies!C340</f>
        <v>XPRESDSLR6</v>
      </c>
      <c r="D299" s="376" t="str">
        <f>Technologies!D340</f>
        <v>Delivery of Pipeline Traded RESDSL from R6</v>
      </c>
      <c r="E299" s="415" t="str">
        <f>Commodities!C158</f>
        <v>DSHR6</v>
      </c>
      <c r="F299" s="415" t="str">
        <f>Commodities!C87</f>
        <v>RESDSL</v>
      </c>
      <c r="G299" s="422">
        <v>1</v>
      </c>
      <c r="H299" s="421">
        <f>DelivOIL!$F80*DelivOIL!P$81^5/(Conv!$I$5*Conv!$D$46)/10^6 + OILTrade!$H$19</f>
        <v>3.4019714881861578</v>
      </c>
      <c r="I299" s="421">
        <f>DelivOIL!$F80*DelivOIL!Q$81^5/(Conv!$I$5*Conv!$D$46)/10^6 + OILTrade!$H$19</f>
        <v>3.3843532955808664</v>
      </c>
      <c r="J299" s="421">
        <f>DelivOIL!$F80*DelivOIL!R$81^5/(Conv!$I$5*Conv!$D$46)/10^6 + OILTrade!$H$19</f>
        <v>3.5568349591812529</v>
      </c>
      <c r="K299" s="421">
        <f>DelivOIL!$F80*DelivOIL!S$81^5/(Conv!$I$5*Conv!$D$46)/10^6 + OILTrade!$H$19</f>
        <v>4.2707280335986004</v>
      </c>
      <c r="L299" s="421">
        <f>DelivOIL!$F80*DelivOIL!T$81^5/(Conv!$I$5*Conv!$D$46)/10^6 + OILTrade!$H$19</f>
        <v>3.9222108528402009</v>
      </c>
      <c r="M299" s="421">
        <f>DelivOIL!$F80*DelivOIL!U$81^5/(Conv!$I$5*Conv!$D$46)/10^6 + OILTrade!$H$19</f>
        <v>3.4835842512120427</v>
      </c>
      <c r="N299" s="421">
        <f>DelivOIL!$F80*DelivOIL!V$81^5/(Conv!$I$5*Conv!$D$46)/10^6 + OILTrade!$H$19</f>
        <v>3.4835842512120427</v>
      </c>
      <c r="O299" s="421">
        <f>DelivOIL!$F80*DelivOIL!W$81^5/(Conv!$I$5*Conv!$D$46)/10^6 + OILTrade!$H$19</f>
        <v>3.4835842512120427</v>
      </c>
      <c r="P299" s="421">
        <f>DelivOIL!$F80*DelivOIL!X$81^5/(Conv!$I$5*Conv!$D$46)/10^6 + OILTrade!$H$19</f>
        <v>3.4835842512120427</v>
      </c>
      <c r="Q299" s="421">
        <f>DelivOIL!$F80*DelivOIL!Y$81^5/(Conv!$I$5*Conv!$D$46)/10^6 + OILTrade!$H$19</f>
        <v>3.4835842512120427</v>
      </c>
      <c r="S299" s="395"/>
      <c r="T299" s="395"/>
      <c r="U299" s="395"/>
      <c r="V299" s="395"/>
      <c r="W299" s="395"/>
      <c r="X299" s="395"/>
      <c r="Y299" s="395"/>
      <c r="Z299" s="395"/>
      <c r="AA299" s="395"/>
      <c r="AB299" s="395"/>
      <c r="AC299" s="395"/>
    </row>
    <row r="300" spans="2:29">
      <c r="B300" s="376" t="s">
        <v>588</v>
      </c>
      <c r="C300" s="376" t="str">
        <f>Technologies!C341</f>
        <v>XPCOMDSLR6</v>
      </c>
      <c r="D300" s="376" t="str">
        <f>Technologies!D341</f>
        <v>Delivery of Pipeline Traded COMDSL from R6</v>
      </c>
      <c r="E300" s="415" t="str">
        <f>E299</f>
        <v>DSHR6</v>
      </c>
      <c r="F300" s="415" t="str">
        <f>Commodities!C88</f>
        <v>COMDSL</v>
      </c>
      <c r="G300" s="422">
        <v>1</v>
      </c>
      <c r="H300" s="421">
        <f>DelivOIL!$F81*DelivOIL!P$81^5/(Conv!$I$5*Conv!$D$46)/10^6 + OILTrade!$H$19</f>
        <v>1.0838485722492244</v>
      </c>
      <c r="I300" s="421">
        <f>DelivOIL!$F81*DelivOIL!Q$81^5/(Conv!$I$5*Conv!$D$46)/10^6 + OILTrade!$H$19</f>
        <v>1.0784802477130515</v>
      </c>
      <c r="J300" s="421">
        <f>DelivOIL!$F81*DelivOIL!R$81^5/(Conv!$I$5*Conv!$D$46)/10^6 + OILTrade!$H$19</f>
        <v>1.1310360102415946</v>
      </c>
      <c r="K300" s="421">
        <f>DelivOIL!$F81*DelivOIL!S$81^5/(Conv!$I$5*Conv!$D$46)/10^6 + OILTrade!$H$19</f>
        <v>1.3485617118534245</v>
      </c>
      <c r="L300" s="421">
        <f>DelivOIL!$F81*DelivOIL!T$81^5/(Conv!$I$5*Conv!$D$46)/10^6 + OILTrade!$H$19</f>
        <v>1.2423673152624195</v>
      </c>
      <c r="M300" s="421">
        <f>DelivOIL!$F81*DelivOIL!U$81^5/(Conv!$I$5*Conv!$D$46)/10^6 + OILTrade!$H$19</f>
        <v>1.1087162648685633</v>
      </c>
      <c r="N300" s="421">
        <f>DelivOIL!$F81*DelivOIL!V$81^5/(Conv!$I$5*Conv!$D$46)/10^6 + OILTrade!$H$19</f>
        <v>1.1087162648685633</v>
      </c>
      <c r="O300" s="421">
        <f>DelivOIL!$F81*DelivOIL!W$81^5/(Conv!$I$5*Conv!$D$46)/10^6 + OILTrade!$H$19</f>
        <v>1.1087162648685633</v>
      </c>
      <c r="P300" s="421">
        <f>DelivOIL!$F81*DelivOIL!X$81^5/(Conv!$I$5*Conv!$D$46)/10^6 + OILTrade!$H$19</f>
        <v>1.1087162648685633</v>
      </c>
      <c r="Q300" s="421">
        <f>DelivOIL!$F81*DelivOIL!Y$81^5/(Conv!$I$5*Conv!$D$46)/10^6 + OILTrade!$H$19</f>
        <v>1.1087162648685633</v>
      </c>
      <c r="S300" s="395"/>
      <c r="T300" s="395"/>
      <c r="U300" s="395"/>
      <c r="V300" s="395"/>
      <c r="W300" s="395"/>
      <c r="X300" s="395"/>
      <c r="Y300" s="395"/>
      <c r="Z300" s="395"/>
      <c r="AA300" s="395"/>
      <c r="AB300" s="395"/>
      <c r="AC300" s="395"/>
    </row>
    <row r="301" spans="2:29">
      <c r="B301" s="376" t="s">
        <v>588</v>
      </c>
      <c r="C301" s="376" t="str">
        <f>Technologies!C342</f>
        <v>XPINDDSLR6</v>
      </c>
      <c r="D301" s="376" t="str">
        <f>Technologies!D342</f>
        <v>Delivery of Pipeline Traded INDDSL from R6</v>
      </c>
      <c r="E301" s="415" t="str">
        <f>E300</f>
        <v>DSHR6</v>
      </c>
      <c r="F301" s="415" t="str">
        <f>Commodities!C89</f>
        <v>INDDSL</v>
      </c>
      <c r="G301" s="422">
        <v>1</v>
      </c>
      <c r="H301" s="421">
        <f>DelivOIL!$F82*DelivOIL!P$81^5/(Conv!$I$5*Conv!$D$46)/10^6 + OILTrade!$H$19</f>
        <v>1.2952068381140625</v>
      </c>
      <c r="I301" s="421">
        <f>DelivOIL!$F82*DelivOIL!Q$81^5/(Conv!$I$5*Conv!$D$46)/10^6 + OILTrade!$H$19</f>
        <v>1.288721613842176</v>
      </c>
      <c r="J301" s="421">
        <f>DelivOIL!$F82*DelivOIL!R$81^5/(Conv!$I$5*Conv!$D$46)/10^6 + OILTrade!$H$19</f>
        <v>1.3522117967625635</v>
      </c>
      <c r="K301" s="421">
        <f>DelivOIL!$F82*DelivOIL!S$81^5/(Conv!$I$5*Conv!$D$46)/10^6 + OILTrade!$H$19</f>
        <v>1.6149945235419558</v>
      </c>
      <c r="L301" s="421">
        <f>DelivOIL!$F82*DelivOIL!T$81^5/(Conv!$I$5*Conv!$D$46)/10^6 + OILTrade!$H$19</f>
        <v>1.4867059907474525</v>
      </c>
      <c r="M301" s="421">
        <f>DelivOIL!$F82*DelivOIL!U$81^5/(Conv!$I$5*Conv!$D$46)/10^6 + OILTrade!$H$19</f>
        <v>1.3252483459763515</v>
      </c>
      <c r="N301" s="421">
        <f>DelivOIL!$F82*DelivOIL!V$81^5/(Conv!$I$5*Conv!$D$46)/10^6 + OILTrade!$H$19</f>
        <v>1.3252483459763515</v>
      </c>
      <c r="O301" s="421">
        <f>DelivOIL!$F82*DelivOIL!W$81^5/(Conv!$I$5*Conv!$D$46)/10^6 + OILTrade!$H$19</f>
        <v>1.3252483459763515</v>
      </c>
      <c r="P301" s="421">
        <f>DelivOIL!$F82*DelivOIL!X$81^5/(Conv!$I$5*Conv!$D$46)/10^6 + OILTrade!$H$19</f>
        <v>1.3252483459763515</v>
      </c>
      <c r="Q301" s="421">
        <f>DelivOIL!$F82*DelivOIL!Y$81^5/(Conv!$I$5*Conv!$D$46)/10^6 + OILTrade!$H$19</f>
        <v>1.3252483459763515</v>
      </c>
      <c r="S301" s="395"/>
      <c r="T301" s="395"/>
      <c r="U301" s="395"/>
      <c r="V301" s="395"/>
      <c r="W301" s="395"/>
      <c r="X301" s="395"/>
      <c r="Y301" s="395"/>
      <c r="Z301" s="395"/>
      <c r="AA301" s="395"/>
      <c r="AB301" s="395"/>
      <c r="AC301" s="395"/>
    </row>
    <row r="302" spans="2:29">
      <c r="B302" s="376" t="s">
        <v>588</v>
      </c>
      <c r="C302" s="376" t="str">
        <f>Technologies!C343</f>
        <v>XPELCDSLR6</v>
      </c>
      <c r="D302" s="376" t="str">
        <f>Technologies!D343</f>
        <v>Delivery of Pipeline Traded ELCDSL from R6</v>
      </c>
      <c r="E302" s="415" t="str">
        <f>E301</f>
        <v>DSHR6</v>
      </c>
      <c r="F302" s="415" t="str">
        <f>Commodities!C90</f>
        <v>ELCDSL</v>
      </c>
      <c r="G302" s="422">
        <v>1</v>
      </c>
      <c r="H302" s="421">
        <f>DelivOIL!$F83*DelivOIL!P$81^5/(Conv!$I$5*Conv!$D$46)/10^6 + OILTrade!$H$19</f>
        <v>0.4974998346887059</v>
      </c>
      <c r="I302" s="421">
        <f>DelivOIL!$F83*DelivOIL!Q$81^5/(Conv!$I$5*Conv!$D$46)/10^6 + OILTrade!$H$19</f>
        <v>0.49523000619354562</v>
      </c>
      <c r="J302" s="421">
        <f>DelivOIL!$F83*DelivOIL!R$81^5/(Conv!$I$5*Conv!$D$46)/10^6 + OILTrade!$H$19</f>
        <v>0.51745157021568133</v>
      </c>
      <c r="K302" s="421">
        <f>DelivOIL!$F83*DelivOIL!S$81^5/(Conv!$I$5*Conv!$D$46)/10^6 + OILTrade!$H$19</f>
        <v>0.60942552458846855</v>
      </c>
      <c r="L302" s="421">
        <f>DelivOIL!$F83*DelivOIL!T$81^5/(Conv!$I$5*Conv!$D$46)/10^6 + OILTrade!$H$19</f>
        <v>0.56452453811039249</v>
      </c>
      <c r="M302" s="421">
        <f>DelivOIL!$F83*DelivOIL!U$81^5/(Conv!$I$5*Conv!$D$46)/10^6 + OILTrade!$H$19</f>
        <v>0.50801436244050702</v>
      </c>
      <c r="N302" s="421">
        <f>DelivOIL!$F83*DelivOIL!V$81^5/(Conv!$I$5*Conv!$D$46)/10^6 + OILTrade!$H$19</f>
        <v>0.50801436244050702</v>
      </c>
      <c r="O302" s="421">
        <f>DelivOIL!$F83*DelivOIL!W$81^5/(Conv!$I$5*Conv!$D$46)/10^6 + OILTrade!$H$19</f>
        <v>0.50801436244050702</v>
      </c>
      <c r="P302" s="421">
        <f>DelivOIL!$F83*DelivOIL!X$81^5/(Conv!$I$5*Conv!$D$46)/10^6 + OILTrade!$H$19</f>
        <v>0.50801436244050702</v>
      </c>
      <c r="Q302" s="421">
        <f>DelivOIL!$F83*DelivOIL!Y$81^5/(Conv!$I$5*Conv!$D$46)/10^6 + OILTrade!$H$19</f>
        <v>0.50801436244050702</v>
      </c>
      <c r="S302" s="395"/>
      <c r="T302" s="395"/>
      <c r="U302" s="395"/>
      <c r="V302" s="395"/>
      <c r="W302" s="395"/>
      <c r="X302" s="395"/>
      <c r="Y302" s="395"/>
      <c r="Z302" s="395"/>
      <c r="AA302" s="395"/>
      <c r="AB302" s="395"/>
      <c r="AC302" s="395"/>
    </row>
    <row r="303" spans="2:29">
      <c r="B303" s="376" t="s">
        <v>588</v>
      </c>
      <c r="C303" s="376" t="str">
        <f>Technologies!C344</f>
        <v>XPTRDSLLR6</v>
      </c>
      <c r="D303" s="376" t="str">
        <f>Technologies!D344</f>
        <v>Delivery of Pipeline Traded TRDSLL from R6</v>
      </c>
      <c r="E303" s="415" t="str">
        <f>Commodities!C159</f>
        <v>DSLR6</v>
      </c>
      <c r="F303" s="415" t="str">
        <f>Commodities!C91</f>
        <v>TRDSLL</v>
      </c>
      <c r="G303" s="422">
        <v>1</v>
      </c>
      <c r="H303" s="421">
        <f>DelivOIL!$F84*DelivOIL!P$81^5/(Conv!$I$5*Conv!$D$46)/10^6 + OILTrade!$H$19</f>
        <v>3.4633335653727251</v>
      </c>
      <c r="I303" s="421">
        <f>DelivOIL!$F84*DelivOIL!Q$81^5/(Conv!$I$5*Conv!$D$46)/10^6 + OILTrade!$H$19</f>
        <v>3.4453911115538389</v>
      </c>
      <c r="J303" s="421">
        <f>DelivOIL!$F84*DelivOIL!R$81^5/(Conv!$I$5*Conv!$D$46)/10^6 + OILTrade!$H$19</f>
        <v>3.6210472843002455</v>
      </c>
      <c r="K303" s="421">
        <f>DelivOIL!$F84*DelivOIL!S$81^5/(Conv!$I$5*Conv!$D$46)/10^6 + OILTrade!$H$19</f>
        <v>4.3480794950565622</v>
      </c>
      <c r="L303" s="421">
        <f>DelivOIL!$F84*DelivOIL!T$81^5/(Conv!$I$5*Conv!$D$46)/10^6 + OILTrade!$H$19</f>
        <v>3.993147887658437</v>
      </c>
      <c r="M303" s="421">
        <f>DelivOIL!$F84*DelivOIL!U$81^5/(Conv!$I$5*Conv!$D$46)/10^6 + OILTrade!$H$19</f>
        <v>3.5464484037917243</v>
      </c>
      <c r="N303" s="421">
        <f>DelivOIL!$F84*DelivOIL!V$81^5/(Conv!$I$5*Conv!$D$46)/10^6 + OILTrade!$H$19</f>
        <v>3.5464484037917243</v>
      </c>
      <c r="O303" s="421">
        <f>DelivOIL!$F84*DelivOIL!W$81^5/(Conv!$I$5*Conv!$D$46)/10^6 + OILTrade!$H$19</f>
        <v>3.5464484037917243</v>
      </c>
      <c r="P303" s="421">
        <f>DelivOIL!$F84*DelivOIL!X$81^5/(Conv!$I$5*Conv!$D$46)/10^6 + OILTrade!$H$19</f>
        <v>3.5464484037917243</v>
      </c>
      <c r="Q303" s="421">
        <f>DelivOIL!$F84*DelivOIL!Y$81^5/(Conv!$I$5*Conv!$D$46)/10^6 + OILTrade!$H$19</f>
        <v>3.5464484037917243</v>
      </c>
      <c r="S303" s="395"/>
      <c r="T303" s="395"/>
      <c r="U303" s="395"/>
      <c r="V303" s="395"/>
      <c r="W303" s="395"/>
      <c r="X303" s="395"/>
      <c r="Y303" s="395"/>
      <c r="Z303" s="395"/>
      <c r="AA303" s="395"/>
      <c r="AB303" s="395"/>
      <c r="AC303" s="395"/>
    </row>
    <row r="304" spans="2:29">
      <c r="B304" s="376" t="s">
        <v>588</v>
      </c>
      <c r="C304" s="376" t="str">
        <f>Technologies!C345</f>
        <v>XPTRDSLUR6</v>
      </c>
      <c r="D304" s="376" t="str">
        <f>Technologies!D345</f>
        <v>Delivery of Pipeline Traded TRDSLU from R6</v>
      </c>
      <c r="E304" s="415" t="str">
        <f>Commodities!C160</f>
        <v>DSUR6</v>
      </c>
      <c r="F304" s="415" t="str">
        <f>Commodities!C92</f>
        <v>TRDSLU</v>
      </c>
      <c r="G304" s="422">
        <v>1</v>
      </c>
      <c r="H304" s="421">
        <f>DelivOIL!$F85*DelivOIL!P$81^5/(Conv!$I$5*Conv!$D$46)/10^6 + OILTrade!$H$19</f>
        <v>2.8224407592019256</v>
      </c>
      <c r="I304" s="421">
        <f>DelivOIL!$F85*DelivOIL!Q$81^5/(Conv!$I$5*Conv!$D$46)/10^6 + OILTrade!$H$19</f>
        <v>2.8078850336139141</v>
      </c>
      <c r="J304" s="421">
        <f>DelivOIL!$F85*DelivOIL!R$81^5/(Conv!$I$5*Conv!$D$46)/10^6 + OILTrade!$H$19</f>
        <v>2.9503852219463393</v>
      </c>
      <c r="K304" s="421">
        <f>DelivOIL!$F85*DelivOIL!S$81^5/(Conv!$I$5*Conv!$D$46)/10^6 + OILTrade!$H$19</f>
        <v>3.540186453162308</v>
      </c>
      <c r="L304" s="421">
        <f>DelivOIL!$F85*DelivOIL!T$81^5/(Conv!$I$5*Conv!$D$46)/10^6 + OILTrade!$H$19</f>
        <v>3.2522499684457564</v>
      </c>
      <c r="M304" s="421">
        <f>DelivOIL!$F85*DelivOIL!U$81^5/(Conv!$I$5*Conv!$D$46)/10^6 + OILTrade!$H$19</f>
        <v>2.8898672546261741</v>
      </c>
      <c r="N304" s="421">
        <f>DelivOIL!$F85*DelivOIL!V$81^5/(Conv!$I$5*Conv!$D$46)/10^6 + OILTrade!$H$19</f>
        <v>2.8898672546261741</v>
      </c>
      <c r="O304" s="421">
        <f>DelivOIL!$F85*DelivOIL!W$81^5/(Conv!$I$5*Conv!$D$46)/10^6 + OILTrade!$H$19</f>
        <v>2.8898672546261741</v>
      </c>
      <c r="P304" s="421">
        <f>DelivOIL!$F85*DelivOIL!X$81^5/(Conv!$I$5*Conv!$D$46)/10^6 + OILTrade!$H$19</f>
        <v>2.8898672546261741</v>
      </c>
      <c r="Q304" s="421">
        <f>DelivOIL!$F85*DelivOIL!Y$81^5/(Conv!$I$5*Conv!$D$46)/10^6 + OILTrade!$H$19</f>
        <v>2.8898672546261741</v>
      </c>
      <c r="S304" s="395"/>
      <c r="T304" s="395"/>
      <c r="U304" s="395"/>
      <c r="V304" s="395"/>
      <c r="W304" s="395"/>
      <c r="X304" s="395"/>
      <c r="Y304" s="395"/>
      <c r="Z304" s="395"/>
      <c r="AA304" s="395"/>
      <c r="AB304" s="395"/>
      <c r="AC304" s="395"/>
    </row>
    <row r="305" spans="2:29">
      <c r="B305" s="376" t="s">
        <v>588</v>
      </c>
      <c r="C305" s="376" t="str">
        <f>Technologies!C346</f>
        <v>XPTRNJTFR6</v>
      </c>
      <c r="D305" s="376" t="str">
        <f>Technologies!D346</f>
        <v>Delivery of Pipeline Traded TRNJTF from R6</v>
      </c>
      <c r="E305" s="415" t="str">
        <f>Commodities!C161</f>
        <v>JTFR6</v>
      </c>
      <c r="F305" s="415" t="str">
        <f>Commodities!C93</f>
        <v>TRNJTF</v>
      </c>
      <c r="G305" s="422">
        <v>1</v>
      </c>
      <c r="H305" s="421">
        <f>DelivOIL!$F86*DelivOIL!P$81^5/(Conv!$I$5*Conv!$D$46)/10^6 + OILTrade!$H$19</f>
        <v>0.674768057672118</v>
      </c>
      <c r="I305" s="421">
        <f>DelivOIL!$F86*DelivOIL!Q$81^5/(Conv!$I$5*Conv!$D$46)/10^6 + OILTrade!$H$19</f>
        <v>0.67156147455990733</v>
      </c>
      <c r="J305" s="421">
        <f>DelivOIL!$F86*DelivOIL!R$81^5/(Conv!$I$5*Conv!$D$46)/10^6 + OILTrade!$H$19</f>
        <v>0.70295384278165451</v>
      </c>
      <c r="K305" s="421">
        <f>DelivOIL!$F86*DelivOIL!S$81^5/(Conv!$I$5*Conv!$D$46)/10^6 + OILTrade!$H$19</f>
        <v>0.83288530213368717</v>
      </c>
      <c r="L305" s="421">
        <f>DelivOIL!$F86*DelivOIL!T$81^5/(Conv!$I$5*Conv!$D$46)/10^6 + OILTrade!$H$19</f>
        <v>0.76945374980751624</v>
      </c>
      <c r="M305" s="421">
        <f>DelivOIL!$F86*DelivOIL!U$81^5/(Conv!$I$5*Conv!$D$46)/10^6 + OILTrade!$H$19</f>
        <v>0.68962191433736075</v>
      </c>
      <c r="N305" s="421">
        <f>DelivOIL!$F86*DelivOIL!V$81^5/(Conv!$I$5*Conv!$D$46)/10^6 + OILTrade!$H$19</f>
        <v>0.68962191433736075</v>
      </c>
      <c r="O305" s="421">
        <f>DelivOIL!$F86*DelivOIL!W$81^5/(Conv!$I$5*Conv!$D$46)/10^6 + OILTrade!$H$19</f>
        <v>0.68962191433736075</v>
      </c>
      <c r="P305" s="421">
        <f>DelivOIL!$F86*DelivOIL!X$81^5/(Conv!$I$5*Conv!$D$46)/10^6 + OILTrade!$H$19</f>
        <v>0.68962191433736075</v>
      </c>
      <c r="Q305" s="421">
        <f>DelivOIL!$F86*DelivOIL!Y$81^5/(Conv!$I$5*Conv!$D$46)/10^6 + OILTrade!$H$19</f>
        <v>0.68962191433736075</v>
      </c>
      <c r="S305" s="395"/>
      <c r="T305" s="395"/>
      <c r="U305" s="395"/>
      <c r="V305" s="395"/>
      <c r="W305" s="395"/>
      <c r="X305" s="395"/>
      <c r="Y305" s="395"/>
      <c r="Z305" s="395"/>
      <c r="AA305" s="395"/>
      <c r="AB305" s="395"/>
      <c r="AC305" s="395"/>
    </row>
    <row r="306" spans="2:29">
      <c r="B306" s="376" t="s">
        <v>588</v>
      </c>
      <c r="C306" s="376" t="str">
        <f>Technologies!C347</f>
        <v>XPRESKERR6</v>
      </c>
      <c r="D306" s="376" t="str">
        <f>Technologies!D347</f>
        <v>Delivery of Pipeline Traded RESKER from R6</v>
      </c>
      <c r="E306" s="415" t="str">
        <f>Commodities!C162</f>
        <v>KERR6</v>
      </c>
      <c r="F306" s="415" t="str">
        <f>Commodities!C94</f>
        <v>RESKER</v>
      </c>
      <c r="G306" s="422">
        <v>1</v>
      </c>
      <c r="H306" s="421">
        <f>DelivOIL!$F87*DelivOIL!P$81^5/(Conv!$I$5*Conv!$D$46)/10^6 + OILTrade!$H$19</f>
        <v>2.3042721074042571</v>
      </c>
      <c r="I306" s="421">
        <f>DelivOIL!$F87*DelivOIL!Q$81^5/(Conv!$I$5*Conv!$D$46)/10^6 + OILTrade!$H$19</f>
        <v>2.2924545876199307</v>
      </c>
      <c r="J306" s="421">
        <f>DelivOIL!$F87*DelivOIL!R$81^5/(Conv!$I$5*Conv!$D$46)/10^6 + OILTrade!$H$19</f>
        <v>2.4081478098304148</v>
      </c>
      <c r="K306" s="421">
        <f>DelivOIL!$F87*DelivOIL!S$81^5/(Conv!$I$5*Conv!$D$46)/10^6 + OILTrade!$H$19</f>
        <v>2.8869963341839728</v>
      </c>
      <c r="L306" s="421">
        <f>DelivOIL!$F87*DelivOIL!T$81^5/(Conv!$I$5*Conv!$D$46)/10^6 + OILTrade!$H$19</f>
        <v>2.6532261188695454</v>
      </c>
      <c r="M306" s="421">
        <f>DelivOIL!$F87*DelivOIL!U$81^5/(Conv!$I$5*Conv!$D$46)/10^6 + OILTrade!$H$19</f>
        <v>2.3590144106199835</v>
      </c>
      <c r="N306" s="421">
        <f>DelivOIL!$F87*DelivOIL!V$81^5/(Conv!$I$5*Conv!$D$46)/10^6 + OILTrade!$H$19</f>
        <v>2.3590144106199835</v>
      </c>
      <c r="O306" s="421">
        <f>DelivOIL!$F87*DelivOIL!W$81^5/(Conv!$I$5*Conv!$D$46)/10^6 + OILTrade!$H$19</f>
        <v>2.3590144106199835</v>
      </c>
      <c r="P306" s="421">
        <f>DelivOIL!$F87*DelivOIL!X$81^5/(Conv!$I$5*Conv!$D$46)/10^6 + OILTrade!$H$19</f>
        <v>2.3590144106199835</v>
      </c>
      <c r="Q306" s="421">
        <f>DelivOIL!$F87*DelivOIL!Y$81^5/(Conv!$I$5*Conv!$D$46)/10^6 + OILTrade!$H$19</f>
        <v>2.3590144106199835</v>
      </c>
      <c r="S306" s="395"/>
      <c r="T306" s="395"/>
      <c r="U306" s="395"/>
      <c r="V306" s="395"/>
      <c r="W306" s="395"/>
      <c r="X306" s="395"/>
      <c r="Y306" s="395"/>
      <c r="Z306" s="395"/>
      <c r="AA306" s="395"/>
      <c r="AB306" s="395"/>
      <c r="AC306" s="395"/>
    </row>
    <row r="307" spans="2:29">
      <c r="B307" s="376" t="s">
        <v>588</v>
      </c>
      <c r="C307" s="376" t="str">
        <f>Technologies!C348</f>
        <v>XPCOMKERR6</v>
      </c>
      <c r="D307" s="376" t="str">
        <f>Technologies!D348</f>
        <v>Delivery of Pipeline Traded COMKER from R6</v>
      </c>
      <c r="E307" s="415" t="str">
        <f>E306</f>
        <v>KERR6</v>
      </c>
      <c r="F307" s="415" t="str">
        <f>Commodities!C95</f>
        <v>COMKER</v>
      </c>
      <c r="G307" s="422">
        <v>1</v>
      </c>
      <c r="H307" s="421">
        <f>DelivOIL!$F88*DelivOIL!P$81^5/(Conv!$I$5*Conv!$D$46)/10^6 + OILTrade!$H$19</f>
        <v>2.2020019787599807</v>
      </c>
      <c r="I307" s="421">
        <f>DelivOIL!$F88*DelivOIL!Q$81^5/(Conv!$I$5*Conv!$D$46)/10^6 + OILTrade!$H$19</f>
        <v>2.1907248943316446</v>
      </c>
      <c r="J307" s="421">
        <f>DelivOIL!$F88*DelivOIL!R$81^5/(Conv!$I$5*Conv!$D$46)/10^6 + OILTrade!$H$19</f>
        <v>2.3011272679654304</v>
      </c>
      <c r="K307" s="421">
        <f>DelivOIL!$F88*DelivOIL!S$81^5/(Conv!$I$5*Conv!$D$46)/10^6 + OILTrade!$H$19</f>
        <v>2.7580772317540401</v>
      </c>
      <c r="L307" s="421">
        <f>DelivOIL!$F88*DelivOIL!T$81^5/(Conv!$I$5*Conv!$D$46)/10^6 + OILTrade!$H$19</f>
        <v>2.5349977275058198</v>
      </c>
      <c r="M307" s="421">
        <f>DelivOIL!$F88*DelivOIL!U$81^5/(Conv!$I$5*Conv!$D$46)/10^6 + OILTrade!$H$19</f>
        <v>2.2542408229871835</v>
      </c>
      <c r="N307" s="421">
        <f>DelivOIL!$F88*DelivOIL!V$81^5/(Conv!$I$5*Conv!$D$46)/10^6 + OILTrade!$H$19</f>
        <v>2.2542408229871835</v>
      </c>
      <c r="O307" s="421">
        <f>DelivOIL!$F88*DelivOIL!W$81^5/(Conv!$I$5*Conv!$D$46)/10^6 + OILTrade!$H$19</f>
        <v>2.2542408229871835</v>
      </c>
      <c r="P307" s="421">
        <f>DelivOIL!$F88*DelivOIL!X$81^5/(Conv!$I$5*Conv!$D$46)/10^6 + OILTrade!$H$19</f>
        <v>2.2542408229871835</v>
      </c>
      <c r="Q307" s="421">
        <f>DelivOIL!$F88*DelivOIL!Y$81^5/(Conv!$I$5*Conv!$D$46)/10^6 + OILTrade!$H$19</f>
        <v>2.2542408229871835</v>
      </c>
      <c r="S307" s="395"/>
      <c r="T307" s="395"/>
      <c r="U307" s="395"/>
      <c r="V307" s="395"/>
      <c r="W307" s="395"/>
      <c r="X307" s="395"/>
      <c r="Y307" s="395"/>
      <c r="Z307" s="395"/>
      <c r="AA307" s="395"/>
      <c r="AB307" s="395"/>
      <c r="AC307" s="395"/>
    </row>
    <row r="308" spans="2:29">
      <c r="B308" s="376" t="s">
        <v>588</v>
      </c>
      <c r="C308" s="376" t="str">
        <f>Technologies!C349</f>
        <v>XPINDKERR6</v>
      </c>
      <c r="D308" s="376" t="str">
        <f>Technologies!D349</f>
        <v>Delivery of Pipeline Traded INDKER from R6</v>
      </c>
      <c r="E308" s="415" t="str">
        <f>E307</f>
        <v>KERR6</v>
      </c>
      <c r="F308" s="415" t="str">
        <f>Commodities!C96</f>
        <v>INDKER</v>
      </c>
      <c r="G308" s="422">
        <v>1</v>
      </c>
      <c r="H308" s="421">
        <f>DelivOIL!$F89*DelivOIL!P$81^5/(Conv!$I$5*Conv!$D$46)/10^6 + OILTrade!$H$19</f>
        <v>1.5065651039789003</v>
      </c>
      <c r="I308" s="421">
        <f>DelivOIL!$F89*DelivOIL!Q$81^5/(Conv!$I$5*Conv!$D$46)/10^6 + OILTrade!$H$19</f>
        <v>1.4989629799712998</v>
      </c>
      <c r="J308" s="421">
        <f>DelivOIL!$F89*DelivOIL!R$81^5/(Conv!$I$5*Conv!$D$46)/10^6 + OILTrade!$H$19</f>
        <v>1.573387583283532</v>
      </c>
      <c r="K308" s="421">
        <f>DelivOIL!$F89*DelivOIL!S$81^5/(Conv!$I$5*Conv!$D$46)/10^6 + OILTrade!$H$19</f>
        <v>1.8814273352304858</v>
      </c>
      <c r="L308" s="421">
        <f>DelivOIL!$F89*DelivOIL!T$81^5/(Conv!$I$5*Conv!$D$46)/10^6 + OILTrade!$H$19</f>
        <v>1.7310446662324848</v>
      </c>
      <c r="M308" s="421">
        <f>DelivOIL!$F89*DelivOIL!U$81^5/(Conv!$I$5*Conv!$D$46)/10^6 + OILTrade!$H$19</f>
        <v>1.5417804270841389</v>
      </c>
      <c r="N308" s="421">
        <f>DelivOIL!$F89*DelivOIL!V$81^5/(Conv!$I$5*Conv!$D$46)/10^6 + OILTrade!$H$19</f>
        <v>1.5417804270841389</v>
      </c>
      <c r="O308" s="421">
        <f>DelivOIL!$F89*DelivOIL!W$81^5/(Conv!$I$5*Conv!$D$46)/10^6 + OILTrade!$H$19</f>
        <v>1.5417804270841389</v>
      </c>
      <c r="P308" s="421">
        <f>DelivOIL!$F89*DelivOIL!X$81^5/(Conv!$I$5*Conv!$D$46)/10^6 + OILTrade!$H$19</f>
        <v>1.5417804270841389</v>
      </c>
      <c r="Q308" s="421">
        <f>DelivOIL!$F89*DelivOIL!Y$81^5/(Conv!$I$5*Conv!$D$46)/10^6 + OILTrade!$H$19</f>
        <v>1.5417804270841389</v>
      </c>
      <c r="S308" s="395"/>
      <c r="T308" s="395"/>
      <c r="U308" s="395"/>
      <c r="V308" s="395"/>
      <c r="W308" s="395"/>
      <c r="X308" s="395"/>
      <c r="Y308" s="395"/>
      <c r="Z308" s="395"/>
      <c r="AA308" s="395"/>
      <c r="AB308" s="395"/>
      <c r="AC308" s="395"/>
    </row>
    <row r="309" spans="2:29">
      <c r="B309" s="376" t="s">
        <v>588</v>
      </c>
      <c r="C309" s="376" t="str">
        <f>Technologies!C350</f>
        <v>XPRESLPGR6</v>
      </c>
      <c r="D309" s="376" t="str">
        <f>Technologies!D350</f>
        <v>Delivery of Pipeline Traded RESLPG from R6</v>
      </c>
      <c r="E309" s="415" t="str">
        <f>Commodities!C163</f>
        <v>LPGR6</v>
      </c>
      <c r="F309" s="415" t="str">
        <f>Commodities!C97</f>
        <v>RESLPG</v>
      </c>
      <c r="G309" s="422">
        <v>1</v>
      </c>
      <c r="H309" s="421">
        <f>DelivOIL!$F90*DelivOIL!P$81^5/(Conv!$I$5*Conv!$D$46)/10^6 + OILTrade!$H$19</f>
        <v>5.5223721554108254</v>
      </c>
      <c r="I309" s="421">
        <f>DelivOIL!$F90*DelivOIL!Q$81^5/(Conv!$I$5*Conv!$D$46)/10^6 + OILTrade!$H$19</f>
        <v>5.4935489364246628</v>
      </c>
      <c r="J309" s="421">
        <f>DelivOIL!$F90*DelivOIL!R$81^5/(Conv!$I$5*Conv!$D$46)/10^6 + OILTrade!$H$19</f>
        <v>5.7757275271819415</v>
      </c>
      <c r="K309" s="421">
        <f>DelivOIL!$F90*DelivOIL!S$81^5/(Conv!$I$5*Conv!$D$46)/10^6 + OILTrade!$H$19</f>
        <v>6.9436507573125725</v>
      </c>
      <c r="L309" s="421">
        <f>DelivOIL!$F90*DelivOIL!T$81^5/(Conv!$I$5*Conv!$D$46)/10^6 + OILTrade!$H$19</f>
        <v>6.3734795004481137</v>
      </c>
      <c r="M309" s="421">
        <f>DelivOIL!$F90*DelivOIL!U$81^5/(Conv!$I$5*Conv!$D$46)/10^6 + OILTrade!$H$19</f>
        <v>5.6558899681321089</v>
      </c>
      <c r="N309" s="421">
        <f>DelivOIL!$F90*DelivOIL!V$81^5/(Conv!$I$5*Conv!$D$46)/10^6 + OILTrade!$H$19</f>
        <v>5.6558899681321089</v>
      </c>
      <c r="O309" s="421">
        <f>DelivOIL!$F90*DelivOIL!W$81^5/(Conv!$I$5*Conv!$D$46)/10^6 + OILTrade!$H$19</f>
        <v>5.6558899681321089</v>
      </c>
      <c r="P309" s="421">
        <f>DelivOIL!$F90*DelivOIL!X$81^5/(Conv!$I$5*Conv!$D$46)/10^6 + OILTrade!$H$19</f>
        <v>5.6558899681321089</v>
      </c>
      <c r="Q309" s="421">
        <f>DelivOIL!$F90*DelivOIL!Y$81^5/(Conv!$I$5*Conv!$D$46)/10^6 + OILTrade!$H$19</f>
        <v>5.6558899681321089</v>
      </c>
      <c r="S309" s="395"/>
      <c r="T309" s="395"/>
      <c r="U309" s="395"/>
      <c r="V309" s="395"/>
      <c r="W309" s="395"/>
      <c r="X309" s="395"/>
      <c r="Y309" s="395"/>
      <c r="Z309" s="395"/>
      <c r="AA309" s="395"/>
      <c r="AB309" s="395"/>
      <c r="AC309" s="395"/>
    </row>
    <row r="310" spans="2:29">
      <c r="B310" s="376" t="s">
        <v>588</v>
      </c>
      <c r="C310" s="376" t="str">
        <f>Technologies!C351</f>
        <v>XPCOMLPGR6</v>
      </c>
      <c r="D310" s="376" t="str">
        <f>Technologies!D351</f>
        <v>Delivery of Pipeline Traded COMLPG from R6</v>
      </c>
      <c r="E310" s="415" t="str">
        <f>E309</f>
        <v>LPGR6</v>
      </c>
      <c r="F310" s="415" t="str">
        <f>Commodities!C98</f>
        <v>COMLPG</v>
      </c>
      <c r="G310" s="422">
        <v>1</v>
      </c>
      <c r="H310" s="421">
        <f>DelivOIL!$F91*DelivOIL!P$81^5/(Conv!$I$5*Conv!$D$46)/10^6 + OILTrade!$H$19</f>
        <v>3.1497051708636103</v>
      </c>
      <c r="I310" s="421">
        <f>DelivOIL!$F91*DelivOIL!Q$81^5/(Conv!$I$5*Conv!$D$46)/10^6 + OILTrade!$H$19</f>
        <v>3.1334200521364277</v>
      </c>
      <c r="J310" s="421">
        <f>DelivOIL!$F91*DelivOIL!R$81^5/(Conv!$I$5*Conv!$D$46)/10^6 + OILTrade!$H$19</f>
        <v>3.2928509559142904</v>
      </c>
      <c r="K310" s="421">
        <f>DelivOIL!$F91*DelivOIL!S$81^5/(Conv!$I$5*Conv!$D$46)/10^6 + OILTrade!$H$19</f>
        <v>3.9527275809380971</v>
      </c>
      <c r="L310" s="421">
        <f>DelivOIL!$F91*DelivOIL!T$81^5/(Conv!$I$5*Conv!$D$46)/10^6 + OILTrade!$H$19</f>
        <v>3.6305808208096781</v>
      </c>
      <c r="M310" s="421">
        <f>DelivOIL!$F91*DelivOIL!U$81^5/(Conv!$I$5*Conv!$D$46)/10^6 + OILTrade!$H$19</f>
        <v>3.2251427350511355</v>
      </c>
      <c r="N310" s="421">
        <f>DelivOIL!$F91*DelivOIL!V$81^5/(Conv!$I$5*Conv!$D$46)/10^6 + OILTrade!$H$19</f>
        <v>3.2251427350511355</v>
      </c>
      <c r="O310" s="421">
        <f>DelivOIL!$F91*DelivOIL!W$81^5/(Conv!$I$5*Conv!$D$46)/10^6 + OILTrade!$H$19</f>
        <v>3.2251427350511355</v>
      </c>
      <c r="P310" s="421">
        <f>DelivOIL!$F91*DelivOIL!X$81^5/(Conv!$I$5*Conv!$D$46)/10^6 + OILTrade!$H$19</f>
        <v>3.2251427350511355</v>
      </c>
      <c r="Q310" s="421">
        <f>DelivOIL!$F91*DelivOIL!Y$81^5/(Conv!$I$5*Conv!$D$46)/10^6 + OILTrade!$H$19</f>
        <v>3.2251427350511355</v>
      </c>
      <c r="S310" s="395"/>
      <c r="T310" s="395"/>
      <c r="U310" s="395"/>
      <c r="V310" s="395"/>
      <c r="W310" s="395"/>
      <c r="X310" s="395"/>
      <c r="Y310" s="395"/>
      <c r="Z310" s="395"/>
      <c r="AA310" s="395"/>
      <c r="AB310" s="395"/>
      <c r="AC310" s="395"/>
    </row>
    <row r="311" spans="2:29">
      <c r="B311" s="376" t="s">
        <v>588</v>
      </c>
      <c r="C311" s="376" t="str">
        <f>Technologies!C352</f>
        <v>XPINDLPGR6</v>
      </c>
      <c r="D311" s="376" t="str">
        <f>Technologies!D352</f>
        <v>Delivery of Pipeline Traded INDLPG from R6</v>
      </c>
      <c r="E311" s="415" t="str">
        <f>E310</f>
        <v>LPGR6</v>
      </c>
      <c r="F311" s="415" t="str">
        <f>Commodities!C99</f>
        <v>INDLPG</v>
      </c>
      <c r="G311" s="422">
        <v>1</v>
      </c>
      <c r="H311" s="421">
        <f>DelivOIL!$F92*DelivOIL!P$81^5/(Conv!$I$5*Conv!$D$46)/10^6 + OILTrade!$H$19</f>
        <v>2.6247185104896564</v>
      </c>
      <c r="I311" s="421">
        <f>DelivOIL!$F92*DelivOIL!Q$81^5/(Conv!$I$5*Conv!$D$46)/10^6 + OILTrade!$H$19</f>
        <v>2.6112076265898931</v>
      </c>
      <c r="J311" s="421">
        <f>DelivOIL!$F92*DelivOIL!R$81^5/(Conv!$I$5*Conv!$D$46)/10^6 + OILTrade!$H$19</f>
        <v>2.7434788410073674</v>
      </c>
      <c r="K311" s="421">
        <f>DelivOIL!$F92*DelivOIL!S$81^5/(Conv!$I$5*Conv!$D$46)/10^6 + OILTrade!$H$19</f>
        <v>3.2909428551311004</v>
      </c>
      <c r="L311" s="421">
        <f>DelivOIL!$F92*DelivOIL!T$81^5/(Conv!$I$5*Conv!$D$46)/10^6 + OILTrade!$H$19</f>
        <v>3.0236750784758861</v>
      </c>
      <c r="M311" s="421">
        <f>DelivOIL!$F92*DelivOIL!U$81^5/(Conv!$I$5*Conv!$D$46)/10^6 + OILTrade!$H$19</f>
        <v>2.6873049852027586</v>
      </c>
      <c r="N311" s="421">
        <f>DelivOIL!$F92*DelivOIL!V$81^5/(Conv!$I$5*Conv!$D$46)/10^6 + OILTrade!$H$19</f>
        <v>2.6873049852027586</v>
      </c>
      <c r="O311" s="421">
        <f>DelivOIL!$F92*DelivOIL!W$81^5/(Conv!$I$5*Conv!$D$46)/10^6 + OILTrade!$H$19</f>
        <v>2.6873049852027586</v>
      </c>
      <c r="P311" s="421">
        <f>DelivOIL!$F92*DelivOIL!X$81^5/(Conv!$I$5*Conv!$D$46)/10^6 + OILTrade!$H$19</f>
        <v>2.6873049852027586</v>
      </c>
      <c r="Q311" s="421">
        <f>DelivOIL!$F92*DelivOIL!Y$81^5/(Conv!$I$5*Conv!$D$46)/10^6 + OILTrade!$H$19</f>
        <v>2.6873049852027586</v>
      </c>
      <c r="S311" s="395"/>
      <c r="T311" s="395"/>
      <c r="U311" s="395"/>
      <c r="V311" s="395"/>
      <c r="W311" s="395"/>
      <c r="X311" s="395"/>
      <c r="Y311" s="395"/>
      <c r="Z311" s="395"/>
      <c r="AA311" s="395"/>
      <c r="AB311" s="395"/>
      <c r="AC311" s="395"/>
    </row>
    <row r="312" spans="2:29">
      <c r="B312" s="376" t="s">
        <v>588</v>
      </c>
      <c r="C312" s="376" t="str">
        <f>Technologies!C353</f>
        <v>XPTRNLPGR6</v>
      </c>
      <c r="D312" s="376" t="str">
        <f>Technologies!D353</f>
        <v>Delivery of Pipeline Traded TRNLPG from R6</v>
      </c>
      <c r="E312" s="415" t="str">
        <f>E311</f>
        <v>LPGR6</v>
      </c>
      <c r="F312" s="415" t="str">
        <f>Commodities!C100</f>
        <v>TRNLPG</v>
      </c>
      <c r="G312" s="422">
        <v>1</v>
      </c>
      <c r="H312" s="421">
        <f>DelivOIL!$F93*DelivOIL!P$81^5/(Conv!$I$5*Conv!$D$46)/10^6 + OILTrade!$H$19</f>
        <v>4.3905827317474975</v>
      </c>
      <c r="I312" s="421">
        <f>DelivOIL!$F93*DelivOIL!Q$81^5/(Conv!$I$5*Conv!$D$46)/10^6 + OILTrade!$H$19</f>
        <v>4.3677403307009639</v>
      </c>
      <c r="J312" s="421">
        <f>DelivOIL!$F93*DelivOIL!R$81^5/(Conv!$I$5*Conv!$D$46)/10^6 + OILTrade!$H$19</f>
        <v>4.5913668638761065</v>
      </c>
      <c r="K312" s="421">
        <f>DelivOIL!$F93*DelivOIL!S$81^5/(Conv!$I$5*Conv!$D$46)/10^6 + OILTrade!$H$19</f>
        <v>5.5169460237546319</v>
      </c>
      <c r="L312" s="421">
        <f>DelivOIL!$F93*DelivOIL!T$81^5/(Conv!$I$5*Conv!$D$46)/10^6 + OILTrade!$H$19</f>
        <v>5.0650853026895479</v>
      </c>
      <c r="M312" s="421">
        <f>DelivOIL!$F93*DelivOIL!U$81^5/(Conv!$I$5*Conv!$D$46)/10^6 + OILTrade!$H$19</f>
        <v>4.4963955983291148</v>
      </c>
      <c r="N312" s="421">
        <f>DelivOIL!$F93*DelivOIL!V$81^5/(Conv!$I$5*Conv!$D$46)/10^6 + OILTrade!$H$19</f>
        <v>4.4963955983291148</v>
      </c>
      <c r="O312" s="421">
        <f>DelivOIL!$F93*DelivOIL!W$81^5/(Conv!$I$5*Conv!$D$46)/10^6 + OILTrade!$H$19</f>
        <v>4.4963955983291148</v>
      </c>
      <c r="P312" s="421">
        <f>DelivOIL!$F93*DelivOIL!X$81^5/(Conv!$I$5*Conv!$D$46)/10^6 + OILTrade!$H$19</f>
        <v>4.4963955983291148</v>
      </c>
      <c r="Q312" s="421">
        <f>DelivOIL!$F93*DelivOIL!Y$81^5/(Conv!$I$5*Conv!$D$46)/10^6 + OILTrade!$H$19</f>
        <v>4.4963955983291148</v>
      </c>
      <c r="S312" s="395"/>
      <c r="T312" s="395"/>
      <c r="U312" s="395"/>
      <c r="V312" s="395"/>
      <c r="W312" s="395"/>
      <c r="X312" s="395"/>
      <c r="Y312" s="395"/>
      <c r="Z312" s="395"/>
      <c r="AA312" s="395"/>
      <c r="AB312" s="395"/>
      <c r="AC312" s="395"/>
    </row>
    <row r="313" spans="2:29">
      <c r="B313" s="376" t="s">
        <v>588</v>
      </c>
      <c r="C313" s="376" t="str">
        <f>Technologies!C354</f>
        <v>XPTRNMTHR6</v>
      </c>
      <c r="D313" s="376" t="str">
        <f>Technologies!D354</f>
        <v>Delivery of Pipeline Traded TRNMTH from R6</v>
      </c>
      <c r="E313" s="415" t="str">
        <f>Commodities!C164</f>
        <v>MTHR6</v>
      </c>
      <c r="F313" s="415" t="str">
        <f>Commodities!C101</f>
        <v>TRNMTH</v>
      </c>
      <c r="G313" s="422">
        <v>1</v>
      </c>
      <c r="H313" s="421">
        <f>DelivOIL!$F94*DelivOIL!P$81^5/(Conv!$I$5*Conv!$D$46)/10^6 + OILTrade!$H$19</f>
        <v>3.6610558140849925</v>
      </c>
      <c r="I313" s="421">
        <f>DelivOIL!$F94*DelivOIL!Q$81^5/(Conv!$I$5*Conv!$D$46)/10^6 + OILTrade!$H$19</f>
        <v>3.6420685185778581</v>
      </c>
      <c r="J313" s="421">
        <f>DelivOIL!$F94*DelivOIL!R$81^5/(Conv!$I$5*Conv!$D$46)/10^6 + OILTrade!$H$19</f>
        <v>3.8279536652392148</v>
      </c>
      <c r="K313" s="421">
        <f>DelivOIL!$F94*DelivOIL!S$81^5/(Conv!$I$5*Conv!$D$46)/10^6 + OILTrade!$H$19</f>
        <v>4.597323093087768</v>
      </c>
      <c r="L313" s="421">
        <f>DelivOIL!$F94*DelivOIL!T$81^5/(Conv!$I$5*Conv!$D$46)/10^6 + OILTrade!$H$19</f>
        <v>4.2217227776283055</v>
      </c>
      <c r="M313" s="421">
        <f>DelivOIL!$F94*DelivOIL!U$81^5/(Conv!$I$5*Conv!$D$46)/10^6 + OILTrade!$H$19</f>
        <v>3.749010673215138</v>
      </c>
      <c r="N313" s="421">
        <f>DelivOIL!$F94*DelivOIL!V$81^5/(Conv!$I$5*Conv!$D$46)/10^6 + OILTrade!$H$19</f>
        <v>3.749010673215138</v>
      </c>
      <c r="O313" s="421">
        <f>DelivOIL!$F94*DelivOIL!W$81^5/(Conv!$I$5*Conv!$D$46)/10^6 + OILTrade!$H$19</f>
        <v>3.749010673215138</v>
      </c>
      <c r="P313" s="421">
        <f>DelivOIL!$F94*DelivOIL!X$81^5/(Conv!$I$5*Conv!$D$46)/10^6 + OILTrade!$H$19</f>
        <v>3.749010673215138</v>
      </c>
      <c r="Q313" s="421">
        <f>DelivOIL!$F94*DelivOIL!Y$81^5/(Conv!$I$5*Conv!$D$46)/10^6 + OILTrade!$H$19</f>
        <v>3.749010673215138</v>
      </c>
      <c r="S313" s="395"/>
      <c r="T313" s="395"/>
      <c r="U313" s="395"/>
      <c r="V313" s="395"/>
      <c r="W313" s="395"/>
      <c r="X313" s="395"/>
      <c r="Y313" s="395"/>
      <c r="Z313" s="395"/>
      <c r="AA313" s="395"/>
      <c r="AB313" s="395"/>
      <c r="AC313" s="395"/>
    </row>
    <row r="314" spans="2:29">
      <c r="B314" s="376" t="s">
        <v>588</v>
      </c>
      <c r="C314" s="376" t="str">
        <f>Technologies!C355</f>
        <v>XPINDPFSR6</v>
      </c>
      <c r="D314" s="376" t="str">
        <f>Technologies!D355</f>
        <v>Delivery of Pipeline Traded INDPFS from R6</v>
      </c>
      <c r="E314" s="415" t="str">
        <f>Commodities!C165</f>
        <v>PFSR6</v>
      </c>
      <c r="F314" s="415" t="str">
        <f>Commodities!C102</f>
        <v>INDPFS</v>
      </c>
      <c r="G314" s="422">
        <v>1</v>
      </c>
      <c r="H314" s="421">
        <f>DelivOIL!$F95*DelivOIL!P$81^5/(Conv!$I$5*Conv!$D$46)/10^6 + OILTrade!$H$19</f>
        <v>0.32023161170529318</v>
      </c>
      <c r="I314" s="421">
        <f>DelivOIL!$F95*DelivOIL!Q$81^5/(Conv!$I$5*Conv!$D$46)/10^6 + OILTrade!$H$19</f>
        <v>0.31889853782718314</v>
      </c>
      <c r="J314" s="421">
        <f>DelivOIL!$F95*DelivOIL!R$81^5/(Conv!$I$5*Conv!$D$46)/10^6 + OILTrade!$H$19</f>
        <v>0.33194929764970732</v>
      </c>
      <c r="K314" s="421">
        <f>DelivOIL!$F95*DelivOIL!S$81^5/(Conv!$I$5*Conv!$D$46)/10^6 + OILTrade!$H$19</f>
        <v>0.38596574704324904</v>
      </c>
      <c r="L314" s="421">
        <f>DelivOIL!$F95*DelivOIL!T$81^5/(Conv!$I$5*Conv!$D$46)/10^6 + OILTrade!$H$19</f>
        <v>0.3595953264132678</v>
      </c>
      <c r="M314" s="421">
        <f>DelivOIL!$F95*DelivOIL!U$81^5/(Conv!$I$5*Conv!$D$46)/10^6 + OILTrade!$H$19</f>
        <v>0.32640681054365256</v>
      </c>
      <c r="N314" s="421">
        <f>DelivOIL!$F95*DelivOIL!V$81^5/(Conv!$I$5*Conv!$D$46)/10^6 + OILTrade!$H$19</f>
        <v>0.32640681054365256</v>
      </c>
      <c r="O314" s="421">
        <f>DelivOIL!$F95*DelivOIL!W$81^5/(Conv!$I$5*Conv!$D$46)/10^6 + OILTrade!$H$19</f>
        <v>0.32640681054365256</v>
      </c>
      <c r="P314" s="421">
        <f>DelivOIL!$F95*DelivOIL!X$81^5/(Conv!$I$5*Conv!$D$46)/10^6 + OILTrade!$H$19</f>
        <v>0.32640681054365256</v>
      </c>
      <c r="Q314" s="421">
        <f>DelivOIL!$F95*DelivOIL!Y$81^5/(Conv!$I$5*Conv!$D$46)/10^6 + OILTrade!$H$19</f>
        <v>0.32640681054365256</v>
      </c>
      <c r="S314" s="395"/>
      <c r="T314" s="395"/>
      <c r="U314" s="395"/>
      <c r="V314" s="395"/>
      <c r="W314" s="395"/>
      <c r="X314" s="395"/>
      <c r="Y314" s="395"/>
      <c r="Z314" s="395"/>
      <c r="AA314" s="395"/>
      <c r="AB314" s="395"/>
      <c r="AC314" s="395"/>
    </row>
    <row r="315" spans="2:29">
      <c r="B315" s="376" t="s">
        <v>588</v>
      </c>
      <c r="C315" s="376" t="str">
        <f>Technologies!C356</f>
        <v>XPRESRFLR6</v>
      </c>
      <c r="D315" s="376" t="str">
        <f>Technologies!D356</f>
        <v>Delivery of Pipeline Traded RESRFL from R6</v>
      </c>
      <c r="E315" s="415" t="str">
        <f>Commodities!C167</f>
        <v>RFLR6</v>
      </c>
      <c r="F315" s="415" t="str">
        <f>Commodities!C103</f>
        <v>RESRFL</v>
      </c>
      <c r="G315" s="422">
        <v>1</v>
      </c>
      <c r="H315" s="421">
        <f>DelivOIL!$F96*DelivOIL!P$81^5/(Conv!$I$5*Conv!$D$46)/10^6 + OILTrade!$H$19</f>
        <v>1.3020248466903477</v>
      </c>
      <c r="I315" s="421">
        <f>DelivOIL!$F96*DelivOIL!Q$81^5/(Conv!$I$5*Conv!$D$46)/10^6 + OILTrade!$H$19</f>
        <v>1.2955035933947283</v>
      </c>
      <c r="J315" s="421">
        <f>DelivOIL!$F96*DelivOIL!R$81^5/(Conv!$I$5*Conv!$D$46)/10^6 + OILTrade!$H$19</f>
        <v>1.3593464995535629</v>
      </c>
      <c r="K315" s="421">
        <f>DelivOIL!$F96*DelivOIL!S$81^5/(Conv!$I$5*Conv!$D$46)/10^6 + OILTrade!$H$19</f>
        <v>1.623589130370618</v>
      </c>
      <c r="L315" s="421">
        <f>DelivOIL!$F96*DelivOIL!T$81^5/(Conv!$I$5*Conv!$D$46)/10^6 + OILTrade!$H$19</f>
        <v>1.4945878835050346</v>
      </c>
      <c r="M315" s="421">
        <f>DelivOIL!$F96*DelivOIL!U$81^5/(Conv!$I$5*Conv!$D$46)/10^6 + OILTrade!$H$19</f>
        <v>1.3322332518185382</v>
      </c>
      <c r="N315" s="421">
        <f>DelivOIL!$F96*DelivOIL!V$81^5/(Conv!$I$5*Conv!$D$46)/10^6 + OILTrade!$H$19</f>
        <v>1.3322332518185382</v>
      </c>
      <c r="O315" s="421">
        <f>DelivOIL!$F96*DelivOIL!W$81^5/(Conv!$I$5*Conv!$D$46)/10^6 + OILTrade!$H$19</f>
        <v>1.3322332518185382</v>
      </c>
      <c r="P315" s="421">
        <f>DelivOIL!$F96*DelivOIL!X$81^5/(Conv!$I$5*Conv!$D$46)/10^6 + OILTrade!$H$19</f>
        <v>1.3322332518185382</v>
      </c>
      <c r="Q315" s="421">
        <f>DelivOIL!$F96*DelivOIL!Y$81^5/(Conv!$I$5*Conv!$D$46)/10^6 + OILTrade!$H$19</f>
        <v>1.3322332518185382</v>
      </c>
      <c r="S315" s="395"/>
      <c r="T315" s="395"/>
      <c r="U315" s="395"/>
      <c r="V315" s="395"/>
      <c r="W315" s="395"/>
      <c r="X315" s="395"/>
      <c r="Y315" s="395"/>
      <c r="Z315" s="395"/>
      <c r="AA315" s="395"/>
      <c r="AB315" s="395"/>
      <c r="AC315" s="395"/>
    </row>
    <row r="316" spans="2:29">
      <c r="B316" s="376" t="s">
        <v>588</v>
      </c>
      <c r="C316" s="376" t="str">
        <f>Technologies!C357</f>
        <v>XPCOMRFLR6</v>
      </c>
      <c r="D316" s="376" t="str">
        <f>Technologies!D357</f>
        <v>Delivery of Pipeline Traded COMRFL from R6</v>
      </c>
      <c r="E316" s="415" t="str">
        <f>Commodities!C167</f>
        <v>RFLR6</v>
      </c>
      <c r="F316" s="415" t="str">
        <f>Commodities!C104</f>
        <v>COMRFL</v>
      </c>
      <c r="G316" s="422">
        <v>1</v>
      </c>
      <c r="H316" s="421">
        <f>DelivOIL!$F96*DelivOIL!P$81^5/(Conv!$I$5*Conv!$D$46)/10^6 + OILTrade!$H$19</f>
        <v>1.3020248466903477</v>
      </c>
      <c r="I316" s="421">
        <f>DelivOIL!$F96*DelivOIL!Q$81^5/(Conv!$I$5*Conv!$D$46)/10^6 + OILTrade!$H$19</f>
        <v>1.2955035933947283</v>
      </c>
      <c r="J316" s="421">
        <f>DelivOIL!$F96*DelivOIL!R$81^5/(Conv!$I$5*Conv!$D$46)/10^6 + OILTrade!$H$19</f>
        <v>1.3593464995535629</v>
      </c>
      <c r="K316" s="421">
        <f>DelivOIL!$F96*DelivOIL!S$81^5/(Conv!$I$5*Conv!$D$46)/10^6 + OILTrade!$H$19</f>
        <v>1.623589130370618</v>
      </c>
      <c r="L316" s="421">
        <f>DelivOIL!$F96*DelivOIL!T$81^5/(Conv!$I$5*Conv!$D$46)/10^6 + OILTrade!$H$19</f>
        <v>1.4945878835050346</v>
      </c>
      <c r="M316" s="421">
        <f>DelivOIL!$F96*DelivOIL!U$81^5/(Conv!$I$5*Conv!$D$46)/10^6 + OILTrade!$H$19</f>
        <v>1.3322332518185382</v>
      </c>
      <c r="N316" s="421">
        <f>DelivOIL!$F96*DelivOIL!V$81^5/(Conv!$I$5*Conv!$D$46)/10^6 + OILTrade!$H$19</f>
        <v>1.3322332518185382</v>
      </c>
      <c r="O316" s="421">
        <f>DelivOIL!$F96*DelivOIL!W$81^5/(Conv!$I$5*Conv!$D$46)/10^6 + OILTrade!$H$19</f>
        <v>1.3322332518185382</v>
      </c>
      <c r="P316" s="421">
        <f>DelivOIL!$F96*DelivOIL!X$81^5/(Conv!$I$5*Conv!$D$46)/10^6 + OILTrade!$H$19</f>
        <v>1.3322332518185382</v>
      </c>
      <c r="Q316" s="421">
        <f>DelivOIL!$F96*DelivOIL!Y$81^5/(Conv!$I$5*Conv!$D$46)/10^6 + OILTrade!$H$19</f>
        <v>1.3322332518185382</v>
      </c>
      <c r="S316" s="395"/>
      <c r="T316" s="395"/>
      <c r="U316" s="395"/>
      <c r="V316" s="395"/>
      <c r="W316" s="395"/>
      <c r="X316" s="395"/>
      <c r="Y316" s="395"/>
      <c r="Z316" s="395"/>
      <c r="AA316" s="395"/>
      <c r="AB316" s="395"/>
      <c r="AC316" s="395"/>
    </row>
    <row r="317" spans="2:29">
      <c r="B317" s="376" t="s">
        <v>588</v>
      </c>
      <c r="C317" s="376" t="str">
        <f>Technologies!C358</f>
        <v>XPINDRFLR6</v>
      </c>
      <c r="D317" s="376" t="str">
        <f>Technologies!D358</f>
        <v>Delivery of Pipeline Traded INDRFL from R6</v>
      </c>
      <c r="E317" s="415" t="str">
        <f>E316</f>
        <v>RFLR6</v>
      </c>
      <c r="F317" s="415" t="str">
        <f>Commodities!C105</f>
        <v>INDRFL</v>
      </c>
      <c r="G317" s="422">
        <v>1</v>
      </c>
      <c r="H317" s="421">
        <f>DelivOIL!$F97*DelivOIL!P$81^5/(Conv!$I$5*Conv!$D$46)/10^6 + OILTrade!$H$19</f>
        <v>1.3633869238769136</v>
      </c>
      <c r="I317" s="421">
        <f>DelivOIL!$F97*DelivOIL!Q$81^5/(Conv!$I$5*Conv!$D$46)/10^6 + OILTrade!$H$19</f>
        <v>1.3565414093677002</v>
      </c>
      <c r="J317" s="421">
        <f>DelivOIL!$F97*DelivOIL!R$81^5/(Conv!$I$5*Conv!$D$46)/10^6 + OILTrade!$H$19</f>
        <v>1.4235588246725537</v>
      </c>
      <c r="K317" s="421">
        <f>DelivOIL!$F97*DelivOIL!S$81^5/(Conv!$I$5*Conv!$D$46)/10^6 + OILTrade!$H$19</f>
        <v>1.7009405918285787</v>
      </c>
      <c r="L317" s="421">
        <f>DelivOIL!$F97*DelivOIL!T$81^5/(Conv!$I$5*Conv!$D$46)/10^6 + OILTrade!$H$19</f>
        <v>1.5655249183232698</v>
      </c>
      <c r="M317" s="421">
        <f>DelivOIL!$F97*DelivOIL!U$81^5/(Conv!$I$5*Conv!$D$46)/10^6 + OILTrade!$H$19</f>
        <v>1.3950974043982185</v>
      </c>
      <c r="N317" s="421">
        <f>DelivOIL!$F97*DelivOIL!V$81^5/(Conv!$I$5*Conv!$D$46)/10^6 + OILTrade!$H$19</f>
        <v>1.3950974043982185</v>
      </c>
      <c r="O317" s="421">
        <f>DelivOIL!$F97*DelivOIL!W$81^5/(Conv!$I$5*Conv!$D$46)/10^6 + OILTrade!$H$19</f>
        <v>1.3950974043982185</v>
      </c>
      <c r="P317" s="421">
        <f>DelivOIL!$F97*DelivOIL!X$81^5/(Conv!$I$5*Conv!$D$46)/10^6 + OILTrade!$H$19</f>
        <v>1.3950974043982185</v>
      </c>
      <c r="Q317" s="421">
        <f>DelivOIL!$F97*DelivOIL!Y$81^5/(Conv!$I$5*Conv!$D$46)/10^6 + OILTrade!$H$19</f>
        <v>1.3950974043982185</v>
      </c>
      <c r="S317" s="395"/>
      <c r="T317" s="395"/>
      <c r="U317" s="395"/>
      <c r="V317" s="395"/>
      <c r="W317" s="395"/>
      <c r="X317" s="395"/>
      <c r="Y317" s="395"/>
      <c r="Z317" s="395"/>
      <c r="AA317" s="395"/>
      <c r="AB317" s="395"/>
      <c r="AC317" s="395"/>
    </row>
    <row r="318" spans="2:29">
      <c r="B318" s="376" t="s">
        <v>588</v>
      </c>
      <c r="C318" s="376" t="str">
        <f>Technologies!C359</f>
        <v>XPELCRFLR6</v>
      </c>
      <c r="D318" s="376" t="str">
        <f>Technologies!D359</f>
        <v>Delivery of Pipeline Traded ELCRFL from R6</v>
      </c>
      <c r="E318" s="415" t="str">
        <f>E317</f>
        <v>RFLR6</v>
      </c>
      <c r="F318" s="415" t="str">
        <f>Commodities!C106</f>
        <v>ELCRFL</v>
      </c>
      <c r="G318" s="422">
        <v>1</v>
      </c>
      <c r="H318" s="421">
        <f>DelivOIL!$F98*DelivOIL!P$81^5/(Conv!$I$5*Conv!$D$46)/10^6 + OILTrade!$H$19</f>
        <v>1.2815708209614924</v>
      </c>
      <c r="I318" s="421">
        <f>DelivOIL!$F98*DelivOIL!Q$81^5/(Conv!$I$5*Conv!$D$46)/10^6 + OILTrade!$H$19</f>
        <v>1.2751576547370711</v>
      </c>
      <c r="J318" s="421">
        <f>DelivOIL!$F98*DelivOIL!R$81^5/(Conv!$I$5*Conv!$D$46)/10^6 + OILTrade!$H$19</f>
        <v>1.3379423911805657</v>
      </c>
      <c r="K318" s="421">
        <f>DelivOIL!$F98*DelivOIL!S$81^5/(Conv!$I$5*Conv!$D$46)/10^6 + OILTrade!$H$19</f>
        <v>1.597805309884631</v>
      </c>
      <c r="L318" s="421">
        <f>DelivOIL!$F98*DelivOIL!T$81^5/(Conv!$I$5*Conv!$D$46)/10^6 + OILTrade!$H$19</f>
        <v>1.4709422052322891</v>
      </c>
      <c r="M318" s="421">
        <f>DelivOIL!$F98*DelivOIL!U$81^5/(Conv!$I$5*Conv!$D$46)/10^6 + OILTrade!$H$19</f>
        <v>1.3112785342919779</v>
      </c>
      <c r="N318" s="421">
        <f>DelivOIL!$F98*DelivOIL!V$81^5/(Conv!$I$5*Conv!$D$46)/10^6 + OILTrade!$H$19</f>
        <v>1.3112785342919779</v>
      </c>
      <c r="O318" s="421">
        <f>DelivOIL!$F98*DelivOIL!W$81^5/(Conv!$I$5*Conv!$D$46)/10^6 + OILTrade!$H$19</f>
        <v>1.3112785342919779</v>
      </c>
      <c r="P318" s="421">
        <f>DelivOIL!$F98*DelivOIL!X$81^5/(Conv!$I$5*Conv!$D$46)/10^6 + OILTrade!$H$19</f>
        <v>1.3112785342919779</v>
      </c>
      <c r="Q318" s="421">
        <f>DelivOIL!$F98*DelivOIL!Y$81^5/(Conv!$I$5*Conv!$D$46)/10^6 + OILTrade!$H$19</f>
        <v>1.3112785342919779</v>
      </c>
      <c r="S318" s="395"/>
      <c r="T318" s="395"/>
      <c r="U318" s="395"/>
      <c r="V318" s="395"/>
      <c r="W318" s="395"/>
      <c r="X318" s="395"/>
      <c r="Y318" s="395"/>
      <c r="Z318" s="395"/>
      <c r="AA318" s="395"/>
      <c r="AB318" s="395"/>
      <c r="AC318" s="395"/>
    </row>
    <row r="319" spans="2:29">
      <c r="B319" s="376" t="s">
        <v>588</v>
      </c>
      <c r="C319" s="376" t="str">
        <f>Technologies!C360</f>
        <v>XPTRNRFHR6</v>
      </c>
      <c r="D319" s="376" t="str">
        <f>Technologies!D360</f>
        <v>Delivery of Pipeline Traded TRNRFH from R6</v>
      </c>
      <c r="E319" s="415" t="str">
        <f>Commodities!C166</f>
        <v>RFHR6</v>
      </c>
      <c r="F319" s="415" t="str">
        <f>Commodities!C107</f>
        <v>TRNRFH</v>
      </c>
      <c r="G319" s="422">
        <v>1</v>
      </c>
      <c r="H319" s="421">
        <f>DelivOIL!$F99*DelivOIL!P$81^5/(Conv!$I$5*Conv!$D$46)/10^6 + OILTrade!$H$19</f>
        <v>5.3382859238511262</v>
      </c>
      <c r="I319" s="421">
        <f>DelivOIL!$F99*DelivOIL!Q$81^5/(Conv!$I$5*Conv!$D$46)/10^6 + OILTrade!$H$19</f>
        <v>5.310435488505747</v>
      </c>
      <c r="J319" s="421">
        <f>DelivOIL!$F99*DelivOIL!R$81^5/(Conv!$I$5*Conv!$D$46)/10^6 + OILTrade!$H$19</f>
        <v>5.5830905518249665</v>
      </c>
      <c r="K319" s="421">
        <f>DelivOIL!$F99*DelivOIL!S$81^5/(Conv!$I$5*Conv!$D$46)/10^6 + OILTrade!$H$19</f>
        <v>6.7115963729386889</v>
      </c>
      <c r="L319" s="421">
        <f>DelivOIL!$F99*DelivOIL!T$81^5/(Conv!$I$5*Conv!$D$46)/10^6 + OILTrade!$H$19</f>
        <v>6.1606683959934063</v>
      </c>
      <c r="M319" s="421">
        <f>DelivOIL!$F99*DelivOIL!U$81^5/(Conv!$I$5*Conv!$D$46)/10^6 + OILTrade!$H$19</f>
        <v>5.4672975103930677</v>
      </c>
      <c r="N319" s="421">
        <f>DelivOIL!$F99*DelivOIL!V$81^5/(Conv!$I$5*Conv!$D$46)/10^6 + OILTrade!$H$19</f>
        <v>5.4672975103930677</v>
      </c>
      <c r="O319" s="421">
        <f>DelivOIL!$F99*DelivOIL!W$81^5/(Conv!$I$5*Conv!$D$46)/10^6 + OILTrade!$H$19</f>
        <v>5.4672975103930677</v>
      </c>
      <c r="P319" s="421">
        <f>DelivOIL!$F99*DelivOIL!X$81^5/(Conv!$I$5*Conv!$D$46)/10^6 + OILTrade!$H$19</f>
        <v>5.4672975103930677</v>
      </c>
      <c r="Q319" s="421">
        <f>DelivOIL!$F99*DelivOIL!Y$81^5/(Conv!$I$5*Conv!$D$46)/10^6 + OILTrade!$H$19</f>
        <v>5.4672975103930677</v>
      </c>
      <c r="S319" s="395"/>
      <c r="T319" s="395"/>
      <c r="U319" s="395"/>
      <c r="V319" s="395"/>
      <c r="W319" s="395"/>
      <c r="X319" s="395"/>
      <c r="Y319" s="395"/>
      <c r="Z319" s="395"/>
      <c r="AA319" s="395"/>
      <c r="AB319" s="395"/>
      <c r="AC319" s="395"/>
    </row>
    <row r="320" spans="2:29">
      <c r="B320" s="376" t="s">
        <v>588</v>
      </c>
      <c r="C320" s="376" t="str">
        <f>Technologies!C361</f>
        <v>XPELCRFHR6</v>
      </c>
      <c r="D320" s="376" t="str">
        <f>Technologies!D361</f>
        <v>Delivery of Pipeline Traded ELCRFH from R6</v>
      </c>
      <c r="E320" s="415" t="str">
        <f>E319</f>
        <v>RFHR6</v>
      </c>
      <c r="F320" s="415" t="str">
        <f>Commodities!C108</f>
        <v>ELCRFH</v>
      </c>
      <c r="G320" s="422">
        <v>1</v>
      </c>
      <c r="H320" s="421">
        <f>DelivOIL!$F100*DelivOIL!P$81^5/(Conv!$I$5*Conv!$D$46)/10^6 + OILTrade!$H$19</f>
        <v>0.61340598048555217</v>
      </c>
      <c r="I320" s="421">
        <f>DelivOIL!$F100*DelivOIL!Q$81^5/(Conv!$I$5*Conv!$D$46)/10^6 + OILTrade!$H$19</f>
        <v>0.61052365858693602</v>
      </c>
      <c r="J320" s="421">
        <f>DelivOIL!$F100*DelivOIL!R$81^5/(Conv!$I$5*Conv!$D$46)/10^6 + OILTrade!$H$19</f>
        <v>0.63874151766266385</v>
      </c>
      <c r="K320" s="421">
        <f>DelivOIL!$F100*DelivOIL!S$81^5/(Conv!$I$5*Conv!$D$46)/10^6 + OILTrade!$H$19</f>
        <v>0.75553384067572693</v>
      </c>
      <c r="L320" s="421">
        <f>DelivOIL!$F100*DelivOIL!T$81^5/(Conv!$I$5*Conv!$D$46)/10^6 + OILTrade!$H$19</f>
        <v>0.69851671498928103</v>
      </c>
      <c r="M320" s="421">
        <f>DelivOIL!$F100*DelivOIL!U$81^5/(Conv!$I$5*Conv!$D$46)/10^6 + OILTrade!$H$19</f>
        <v>0.62675776175768061</v>
      </c>
      <c r="N320" s="421">
        <f>DelivOIL!$F100*DelivOIL!V$81^5/(Conv!$I$5*Conv!$D$46)/10^6 + OILTrade!$H$19</f>
        <v>0.62675776175768061</v>
      </c>
      <c r="O320" s="421">
        <f>DelivOIL!$F100*DelivOIL!W$81^5/(Conv!$I$5*Conv!$D$46)/10^6 + OILTrade!$H$19</f>
        <v>0.62675776175768061</v>
      </c>
      <c r="P320" s="421">
        <f>DelivOIL!$F100*DelivOIL!X$81^5/(Conv!$I$5*Conv!$D$46)/10^6 + OILTrade!$H$19</f>
        <v>0.62675776175768061</v>
      </c>
      <c r="Q320" s="421">
        <f>DelivOIL!$F100*DelivOIL!Y$81^5/(Conv!$I$5*Conv!$D$46)/10^6 + OILTrade!$H$19</f>
        <v>0.62675776175768061</v>
      </c>
      <c r="S320" s="395"/>
      <c r="T320" s="395"/>
      <c r="U320" s="395"/>
      <c r="V320" s="395"/>
      <c r="W320" s="395"/>
      <c r="X320" s="395"/>
      <c r="Y320" s="395"/>
      <c r="Z320" s="395"/>
      <c r="AA320" s="395"/>
      <c r="AB320" s="395"/>
      <c r="AC320" s="395"/>
    </row>
    <row r="321" spans="2:29">
      <c r="B321" s="376" t="s">
        <v>588</v>
      </c>
      <c r="C321" s="376" t="str">
        <f>Technologies!C362</f>
        <v>XPINDASPR6</v>
      </c>
      <c r="D321" s="376" t="str">
        <f>Technologies!D362</f>
        <v>Delivery of Pipeline Traded INDASP from R6</v>
      </c>
      <c r="E321" s="415" t="str">
        <f>Commodities!C168</f>
        <v>ASPR6</v>
      </c>
      <c r="F321" s="415" t="str">
        <f>Commodities!C109</f>
        <v>INDASP</v>
      </c>
      <c r="G321" s="422">
        <v>1</v>
      </c>
      <c r="H321" s="421">
        <f>DelivOIL!$F101*DelivOIL!P$81^5/(Conv!$I$5*Conv!$D$46)/10^6 + OILTrade!$H$19</f>
        <v>1.4520210353686192</v>
      </c>
      <c r="I321" s="421">
        <f>DelivOIL!$F101*DelivOIL!Q$81^5/(Conv!$I$5*Conv!$D$46)/10^6 + OILTrade!$H$19</f>
        <v>1.4447071435508805</v>
      </c>
      <c r="J321" s="421">
        <f>DelivOIL!$F101*DelivOIL!R$81^5/(Conv!$I$5*Conv!$D$46)/10^6 + OILTrade!$H$19</f>
        <v>1.5163099609555399</v>
      </c>
      <c r="K321" s="421">
        <f>DelivOIL!$F101*DelivOIL!S$81^5/(Conv!$I$5*Conv!$D$46)/10^6 + OILTrade!$H$19</f>
        <v>1.8126704806011873</v>
      </c>
      <c r="L321" s="421">
        <f>DelivOIL!$F101*DelivOIL!T$81^5/(Conv!$I$5*Conv!$D$46)/10^6 + OILTrade!$H$19</f>
        <v>1.667989524171831</v>
      </c>
      <c r="M321" s="421">
        <f>DelivOIL!$F101*DelivOIL!U$81^5/(Conv!$I$5*Conv!$D$46)/10^6 + OILTrade!$H$19</f>
        <v>1.4859011803466451</v>
      </c>
      <c r="N321" s="421">
        <f>DelivOIL!$F101*DelivOIL!V$81^5/(Conv!$I$5*Conv!$D$46)/10^6 + OILTrade!$H$19</f>
        <v>1.4859011803466451</v>
      </c>
      <c r="O321" s="421">
        <f>DelivOIL!$F101*DelivOIL!W$81^5/(Conv!$I$5*Conv!$D$46)/10^6 + OILTrade!$H$19</f>
        <v>1.4859011803466451</v>
      </c>
      <c r="P321" s="421">
        <f>DelivOIL!$F101*DelivOIL!X$81^5/(Conv!$I$5*Conv!$D$46)/10^6 + OILTrade!$H$19</f>
        <v>1.4859011803466451</v>
      </c>
      <c r="Q321" s="421">
        <f>DelivOIL!$F101*DelivOIL!Y$81^5/(Conv!$I$5*Conv!$D$46)/10^6 + OILTrade!$H$19</f>
        <v>1.4859011803466451</v>
      </c>
      <c r="S321" s="395"/>
      <c r="T321" s="395"/>
      <c r="U321" s="395"/>
      <c r="V321" s="395"/>
      <c r="W321" s="395"/>
      <c r="X321" s="395"/>
      <c r="Y321" s="395"/>
      <c r="Z321" s="395"/>
      <c r="AA321" s="395"/>
      <c r="AB321" s="395"/>
      <c r="AC321" s="395"/>
    </row>
    <row r="322" spans="2:29">
      <c r="B322" s="376" t="s">
        <v>588</v>
      </c>
      <c r="C322" s="376"/>
      <c r="D322" s="376"/>
      <c r="E322" s="415"/>
      <c r="F322" s="415"/>
      <c r="G322" s="422"/>
      <c r="H322" s="423"/>
      <c r="I322" s="423"/>
      <c r="J322" s="423"/>
      <c r="K322" s="423"/>
      <c r="L322" s="423"/>
      <c r="M322" s="423"/>
      <c r="N322" s="423"/>
      <c r="O322" s="423"/>
      <c r="P322" s="423"/>
      <c r="Q322" s="423"/>
    </row>
    <row r="323" spans="2:29">
      <c r="B323" s="376" t="s">
        <v>588</v>
      </c>
      <c r="C323" s="376" t="str">
        <f>Technologies!C263</f>
        <v>XPTRGSLCR3</v>
      </c>
      <c r="D323" s="376" t="str">
        <f>Technologies!D263</f>
        <v>Delivery of Pipeline Traded TRGSLC from R3</v>
      </c>
      <c r="E323" s="415" t="str">
        <f>Commodities!C117</f>
        <v>GSCR3</v>
      </c>
      <c r="F323" s="415" t="str">
        <f>Commodities!C85</f>
        <v>TRGSLC</v>
      </c>
      <c r="G323" s="422">
        <v>1</v>
      </c>
      <c r="H323" s="421">
        <f>DelivOIL!$G77*DelivOIL!P$82^5/(Conv!$I$5*Conv!$D$46)/10^6 + OILTrade!$I$16</f>
        <v>3.555370174157058</v>
      </c>
      <c r="I323" s="421">
        <f>DelivOIL!$G77*DelivOIL!Q$82^5/(Conv!$I$5*Conv!$D$46)/10^6 + OILTrade!$I$16</f>
        <v>3.2056789140775721</v>
      </c>
      <c r="J323" s="421">
        <f>DelivOIL!$G77*DelivOIL!R$82^5/(Conv!$I$5*Conv!$D$46)/10^6 + OILTrade!$I$16</f>
        <v>3.606593240784119</v>
      </c>
      <c r="K323" s="421">
        <f>DelivOIL!$G77*DelivOIL!S$82^5/(Conv!$I$5*Conv!$D$46)/10^6 + OILTrade!$I$16</f>
        <v>4.098124008683226</v>
      </c>
      <c r="L323" s="421">
        <f>DelivOIL!$G77*DelivOIL!T$82^5/(Conv!$I$5*Conv!$D$46)/10^6 + OILTrade!$I$16</f>
        <v>3.7680621364172828</v>
      </c>
      <c r="M323" s="421">
        <f>DelivOIL!$G77*DelivOIL!U$82^5/(Conv!$I$5*Conv!$D$46)/10^6 + OILTrade!$I$16</f>
        <v>3.604958474799647</v>
      </c>
      <c r="N323" s="421">
        <f>DelivOIL!$G77*DelivOIL!V$82^5/(Conv!$I$5*Conv!$D$46)/10^6 + OILTrade!$I$16</f>
        <v>3.604958474799647</v>
      </c>
      <c r="O323" s="421">
        <f>DelivOIL!$G77*DelivOIL!W$82^5/(Conv!$I$5*Conv!$D$46)/10^6 + OILTrade!$I$16</f>
        <v>3.604958474799647</v>
      </c>
      <c r="P323" s="421">
        <f>DelivOIL!$G77*DelivOIL!X$82^5/(Conv!$I$5*Conv!$D$46)/10^6 + OILTrade!$I$16</f>
        <v>3.604958474799647</v>
      </c>
      <c r="Q323" s="421">
        <f>DelivOIL!$G77*DelivOIL!Y$82^5/(Conv!$I$5*Conv!$D$46)/10^6 + OILTrade!$I$16</f>
        <v>3.604958474799647</v>
      </c>
      <c r="S323" s="395"/>
      <c r="T323" s="395"/>
      <c r="U323" s="395"/>
      <c r="V323" s="395"/>
      <c r="W323" s="395"/>
      <c r="X323" s="395"/>
      <c r="Y323" s="395"/>
      <c r="Z323" s="395"/>
      <c r="AA323" s="395"/>
      <c r="AB323" s="395"/>
      <c r="AC323" s="395"/>
    </row>
    <row r="324" spans="2:29">
      <c r="B324" s="376" t="s">
        <v>588</v>
      </c>
      <c r="C324" s="376" t="str">
        <f>Technologies!C264</f>
        <v>XPTRGSLRR3</v>
      </c>
      <c r="D324" s="376" t="str">
        <f>Technologies!D264</f>
        <v>Delivery of Pipeline Traded TRGSLR from R3</v>
      </c>
      <c r="E324" s="415" t="str">
        <f>Commodities!C118</f>
        <v>GSRR3</v>
      </c>
      <c r="F324" s="415" t="str">
        <f>Commodities!C86</f>
        <v>TRGSLR</v>
      </c>
      <c r="G324" s="422">
        <v>1</v>
      </c>
      <c r="H324" s="421">
        <f>DelivOIL!$G78*DelivOIL!P$82^5/(Conv!$I$5*Conv!$D$46)/10^6 + OILTrade!$I$16</f>
        <v>3.5417341570044876</v>
      </c>
      <c r="I324" s="421">
        <f>DelivOIL!$G78*DelivOIL!Q$82^5/(Conv!$I$5*Conv!$D$46)/10^6 + OILTrade!$I$16</f>
        <v>3.1934731270275756</v>
      </c>
      <c r="J324" s="421">
        <f>DelivOIL!$G78*DelivOIL!R$82^5/(Conv!$I$5*Conv!$D$46)/10^6 + OILTrade!$I$16</f>
        <v>3.5927477223365498</v>
      </c>
      <c r="K324" s="421">
        <f>DelivOIL!$G78*DelivOIL!S$82^5/(Conv!$I$5*Conv!$D$46)/10^6 + OILTrade!$I$16</f>
        <v>4.0822681394467031</v>
      </c>
      <c r="L324" s="421">
        <f>DelivOIL!$G78*DelivOIL!T$82^5/(Conv!$I$5*Conv!$D$46)/10^6 + OILTrade!$I$16</f>
        <v>3.7535562134885967</v>
      </c>
      <c r="M324" s="421">
        <f>DelivOIL!$G78*DelivOIL!U$82^5/(Conv!$I$5*Conv!$D$46)/10^6 + OILTrade!$I$16</f>
        <v>3.5911196425115235</v>
      </c>
      <c r="N324" s="421">
        <f>DelivOIL!$G78*DelivOIL!V$82^5/(Conv!$I$5*Conv!$D$46)/10^6 + OILTrade!$I$16</f>
        <v>3.5911196425115235</v>
      </c>
      <c r="O324" s="421">
        <f>DelivOIL!$G78*DelivOIL!W$82^5/(Conv!$I$5*Conv!$D$46)/10^6 + OILTrade!$I$16</f>
        <v>3.5911196425115235</v>
      </c>
      <c r="P324" s="421">
        <f>DelivOIL!$G78*DelivOIL!X$82^5/(Conv!$I$5*Conv!$D$46)/10^6 + OILTrade!$I$16</f>
        <v>3.5911196425115235</v>
      </c>
      <c r="Q324" s="421">
        <f>DelivOIL!$G78*DelivOIL!Y$82^5/(Conv!$I$5*Conv!$D$46)/10^6 + OILTrade!$I$16</f>
        <v>3.5911196425115235</v>
      </c>
      <c r="S324" s="395"/>
      <c r="T324" s="395"/>
      <c r="U324" s="395"/>
      <c r="V324" s="395"/>
      <c r="W324" s="395"/>
      <c r="X324" s="395"/>
      <c r="Y324" s="395"/>
      <c r="Z324" s="395"/>
      <c r="AA324" s="395"/>
      <c r="AB324" s="395"/>
      <c r="AC324" s="395"/>
    </row>
    <row r="325" spans="2:29">
      <c r="B325" s="376" t="s">
        <v>588</v>
      </c>
      <c r="C325" s="376" t="str">
        <f>Technologies!C265</f>
        <v>XPRESDSLR3</v>
      </c>
      <c r="D325" s="376" t="str">
        <f>Technologies!D265</f>
        <v>Delivery of Pipeline Traded RESDSL from R3</v>
      </c>
      <c r="E325" s="415" t="str">
        <f>Commodities!C119</f>
        <v>DSHR3</v>
      </c>
      <c r="F325" s="415" t="str">
        <f>Commodities!C87</f>
        <v>RESDSL</v>
      </c>
      <c r="G325" s="422">
        <v>1</v>
      </c>
      <c r="H325" s="421">
        <f>DelivOIL!$G80*DelivOIL!P$82^5/(Conv!$I$5*Conv!$D$46)/10^6 + OILTrade!$I$16</f>
        <v>2.7440271535791312</v>
      </c>
      <c r="I325" s="421">
        <f>DelivOIL!$G80*DelivOIL!Q$82^5/(Conv!$I$5*Conv!$D$46)/10^6 + OILTrade!$I$16</f>
        <v>2.4794345846028327</v>
      </c>
      <c r="J325" s="421">
        <f>DelivOIL!$G80*DelivOIL!R$82^5/(Conv!$I$5*Conv!$D$46)/10^6 + OILTrade!$I$16</f>
        <v>2.7827848931537993</v>
      </c>
      <c r="K325" s="421">
        <f>DelivOIL!$G80*DelivOIL!S$82^5/(Conv!$I$5*Conv!$D$46)/10^6 + OILTrade!$I$16</f>
        <v>3.1546997891101789</v>
      </c>
      <c r="L325" s="421">
        <f>DelivOIL!$G80*DelivOIL!T$82^5/(Conv!$I$5*Conv!$D$46)/10^6 + OILTrade!$I$16</f>
        <v>2.9049597221604877</v>
      </c>
      <c r="M325" s="421">
        <f>DelivOIL!$G80*DelivOIL!U$82^5/(Conv!$I$5*Conv!$D$46)/10^6 + OILTrade!$I$16</f>
        <v>2.7815479536563461</v>
      </c>
      <c r="N325" s="421">
        <f>DelivOIL!$G80*DelivOIL!V$82^5/(Conv!$I$5*Conv!$D$46)/10^6 + OILTrade!$I$16</f>
        <v>2.7815479536563461</v>
      </c>
      <c r="O325" s="421">
        <f>DelivOIL!$G80*DelivOIL!W$82^5/(Conv!$I$5*Conv!$D$46)/10^6 + OILTrade!$I$16</f>
        <v>2.7815479536563461</v>
      </c>
      <c r="P325" s="421">
        <f>DelivOIL!$G80*DelivOIL!X$82^5/(Conv!$I$5*Conv!$D$46)/10^6 + OILTrade!$I$16</f>
        <v>2.7815479536563461</v>
      </c>
      <c r="Q325" s="421">
        <f>DelivOIL!$G80*DelivOIL!Y$82^5/(Conv!$I$5*Conv!$D$46)/10^6 + OILTrade!$I$16</f>
        <v>2.7815479536563461</v>
      </c>
      <c r="S325" s="395"/>
      <c r="T325" s="395"/>
      <c r="U325" s="395"/>
      <c r="V325" s="395"/>
      <c r="W325" s="395"/>
      <c r="X325" s="395"/>
      <c r="Y325" s="395"/>
      <c r="Z325" s="395"/>
      <c r="AA325" s="395"/>
      <c r="AB325" s="395"/>
      <c r="AC325" s="395"/>
    </row>
    <row r="326" spans="2:29">
      <c r="B326" s="376" t="s">
        <v>588</v>
      </c>
      <c r="C326" s="376" t="str">
        <f>Technologies!C266</f>
        <v>XPCOMDSLR3</v>
      </c>
      <c r="D326" s="376" t="str">
        <f>Technologies!D266</f>
        <v>Delivery of Pipeline Traded COMDSL from R3</v>
      </c>
      <c r="E326" s="415" t="str">
        <f>E325</f>
        <v>DSHR3</v>
      </c>
      <c r="F326" s="415" t="str">
        <f>Commodities!C88</f>
        <v>COMDSL</v>
      </c>
      <c r="G326" s="422">
        <v>1</v>
      </c>
      <c r="H326" s="421">
        <f>DelivOIL!$G81*DelivOIL!P$82^5/(Conv!$I$5*Conv!$D$46)/10^6 + OILTrade!$I$16</f>
        <v>1.094069078118137</v>
      </c>
      <c r="I326" s="421">
        <f>DelivOIL!$G81*DelivOIL!Q$82^5/(Conv!$I$5*Conv!$D$46)/10^6 + OILTrade!$I$16</f>
        <v>1.0025343515533636</v>
      </c>
      <c r="J326" s="421">
        <f>DelivOIL!$G81*DelivOIL!R$82^5/(Conv!$I$5*Conv!$D$46)/10^6 + OILTrade!$I$16</f>
        <v>1.1074771609980218</v>
      </c>
      <c r="K326" s="421">
        <f>DelivOIL!$G81*DelivOIL!S$82^5/(Conv!$I$5*Conv!$D$46)/10^6 + OILTrade!$I$16</f>
        <v>1.2361396114910397</v>
      </c>
      <c r="L326" s="421">
        <f>DelivOIL!$G81*DelivOIL!T$82^5/(Conv!$I$5*Conv!$D$46)/10^6 + OILTrade!$I$16</f>
        <v>1.1497430477895252</v>
      </c>
      <c r="M326" s="421">
        <f>DelivOIL!$G81*DelivOIL!U$82^5/(Conv!$I$5*Conv!$D$46)/10^6 + OILTrade!$I$16</f>
        <v>1.1070492467934976</v>
      </c>
      <c r="N326" s="421">
        <f>DelivOIL!$G81*DelivOIL!V$82^5/(Conv!$I$5*Conv!$D$46)/10^6 + OILTrade!$I$16</f>
        <v>1.1070492467934976</v>
      </c>
      <c r="O326" s="421">
        <f>DelivOIL!$G81*DelivOIL!W$82^5/(Conv!$I$5*Conv!$D$46)/10^6 + OILTrade!$I$16</f>
        <v>1.1070492467934976</v>
      </c>
      <c r="P326" s="421">
        <f>DelivOIL!$G81*DelivOIL!X$82^5/(Conv!$I$5*Conv!$D$46)/10^6 + OILTrade!$I$16</f>
        <v>1.1070492467934976</v>
      </c>
      <c r="Q326" s="421">
        <f>DelivOIL!$G81*DelivOIL!Y$82^5/(Conv!$I$5*Conv!$D$46)/10^6 + OILTrade!$I$16</f>
        <v>1.1070492467934976</v>
      </c>
      <c r="S326" s="395"/>
      <c r="T326" s="395"/>
      <c r="U326" s="395"/>
      <c r="V326" s="395"/>
      <c r="W326" s="395"/>
      <c r="X326" s="395"/>
      <c r="Y326" s="395"/>
      <c r="Z326" s="395"/>
      <c r="AA326" s="395"/>
      <c r="AB326" s="395"/>
      <c r="AC326" s="395"/>
    </row>
    <row r="327" spans="2:29">
      <c r="B327" s="376" t="s">
        <v>588</v>
      </c>
      <c r="C327" s="376" t="str">
        <f>Technologies!C267</f>
        <v>XPINDDSLR3</v>
      </c>
      <c r="D327" s="376" t="str">
        <f>Technologies!D267</f>
        <v>Delivery of Pipeline Traded INDDSL from R3</v>
      </c>
      <c r="E327" s="415" t="str">
        <f>E326</f>
        <v>DSHR3</v>
      </c>
      <c r="F327" s="415" t="str">
        <f>Commodities!C89</f>
        <v>INDDSL</v>
      </c>
      <c r="G327" s="422">
        <v>1</v>
      </c>
      <c r="H327" s="421">
        <f>DelivOIL!$G82*DelivOIL!P$82^5/(Conv!$I$5*Conv!$D$46)/10^6 + OILTrade!$I$16</f>
        <v>1.3940614554746817</v>
      </c>
      <c r="I327" s="421">
        <f>DelivOIL!$G82*DelivOIL!Q$82^5/(Conv!$I$5*Conv!$D$46)/10^6 + OILTrade!$I$16</f>
        <v>1.2710616666532673</v>
      </c>
      <c r="J327" s="421">
        <f>DelivOIL!$G82*DelivOIL!R$82^5/(Conv!$I$5*Conv!$D$46)/10^6 + OILTrade!$I$16</f>
        <v>1.412078566844527</v>
      </c>
      <c r="K327" s="421">
        <f>DelivOIL!$G82*DelivOIL!S$82^5/(Conv!$I$5*Conv!$D$46)/10^6 + OILTrade!$I$16</f>
        <v>1.5849687346945198</v>
      </c>
      <c r="L327" s="421">
        <f>DelivOIL!$G82*DelivOIL!T$82^5/(Conv!$I$5*Conv!$D$46)/10^6 + OILTrade!$I$16</f>
        <v>1.4688733522206094</v>
      </c>
      <c r="M327" s="421">
        <f>DelivOIL!$G82*DelivOIL!U$82^5/(Conv!$I$5*Conv!$D$46)/10^6 + OILTrade!$I$16</f>
        <v>1.4115035571321979</v>
      </c>
      <c r="N327" s="421">
        <f>DelivOIL!$G82*DelivOIL!V$82^5/(Conv!$I$5*Conv!$D$46)/10^6 + OILTrade!$I$16</f>
        <v>1.4115035571321979</v>
      </c>
      <c r="O327" s="421">
        <f>DelivOIL!$G82*DelivOIL!W$82^5/(Conv!$I$5*Conv!$D$46)/10^6 + OILTrade!$I$16</f>
        <v>1.4115035571321979</v>
      </c>
      <c r="P327" s="421">
        <f>DelivOIL!$G82*DelivOIL!X$82^5/(Conv!$I$5*Conv!$D$46)/10^6 + OILTrade!$I$16</f>
        <v>1.4115035571321979</v>
      </c>
      <c r="Q327" s="421">
        <f>DelivOIL!$G82*DelivOIL!Y$82^5/(Conv!$I$5*Conv!$D$46)/10^6 + OILTrade!$I$16</f>
        <v>1.4115035571321979</v>
      </c>
      <c r="S327" s="395"/>
      <c r="T327" s="395"/>
      <c r="U327" s="395"/>
      <c r="V327" s="395"/>
      <c r="W327" s="395"/>
      <c r="X327" s="395"/>
      <c r="Y327" s="395"/>
      <c r="Z327" s="395"/>
      <c r="AA327" s="395"/>
      <c r="AB327" s="395"/>
      <c r="AC327" s="395"/>
    </row>
    <row r="328" spans="2:29">
      <c r="B328" s="376" t="s">
        <v>588</v>
      </c>
      <c r="C328" s="376" t="str">
        <f>Technologies!C268</f>
        <v>XPELCDSLR3</v>
      </c>
      <c r="D328" s="376" t="str">
        <f>Technologies!D268</f>
        <v>Delivery of Pipeline Traded ELCDSL from R3</v>
      </c>
      <c r="E328" s="415" t="str">
        <f>E327</f>
        <v>DSHR3</v>
      </c>
      <c r="F328" s="415" t="str">
        <f>Commodities!C90</f>
        <v>ELCDSL</v>
      </c>
      <c r="G328" s="422">
        <v>1</v>
      </c>
      <c r="H328" s="421">
        <f>DelivOIL!$G83*DelivOIL!P$82^5/(Conv!$I$5*Conv!$D$46)/10^6 + OILTrade!$I$16</f>
        <v>1.0463430180841411</v>
      </c>
      <c r="I328" s="421">
        <f>DelivOIL!$G83*DelivOIL!Q$82^5/(Conv!$I$5*Conv!$D$46)/10^6 + OILTrade!$I$16</f>
        <v>0.95981409687837893</v>
      </c>
      <c r="J328" s="421">
        <f>DelivOIL!$G83*DelivOIL!R$82^5/(Conv!$I$5*Conv!$D$46)/10^6 + OILTrade!$I$16</f>
        <v>1.0590178464315325</v>
      </c>
      <c r="K328" s="421">
        <f>DelivOIL!$G83*DelivOIL!S$82^5/(Conv!$I$5*Conv!$D$46)/10^6 + OILTrade!$I$16</f>
        <v>1.1806440691632134</v>
      </c>
      <c r="L328" s="421">
        <f>DelivOIL!$G83*DelivOIL!T$82^5/(Conv!$I$5*Conv!$D$46)/10^6 + OILTrade!$I$16</f>
        <v>1.0989723175391253</v>
      </c>
      <c r="M328" s="421">
        <f>DelivOIL!$G83*DelivOIL!U$82^5/(Conv!$I$5*Conv!$D$46)/10^6 + OILTrade!$I$16</f>
        <v>1.0586133337850683</v>
      </c>
      <c r="N328" s="421">
        <f>DelivOIL!$G83*DelivOIL!V$82^5/(Conv!$I$5*Conv!$D$46)/10^6 + OILTrade!$I$16</f>
        <v>1.0586133337850683</v>
      </c>
      <c r="O328" s="421">
        <f>DelivOIL!$G83*DelivOIL!W$82^5/(Conv!$I$5*Conv!$D$46)/10^6 + OILTrade!$I$16</f>
        <v>1.0586133337850683</v>
      </c>
      <c r="P328" s="421">
        <f>DelivOIL!$G83*DelivOIL!X$82^5/(Conv!$I$5*Conv!$D$46)/10^6 + OILTrade!$I$16</f>
        <v>1.0586133337850683</v>
      </c>
      <c r="Q328" s="421">
        <f>DelivOIL!$G83*DelivOIL!Y$82^5/(Conv!$I$5*Conv!$D$46)/10^6 + OILTrade!$I$16</f>
        <v>1.0586133337850683</v>
      </c>
      <c r="S328" s="395"/>
      <c r="T328" s="395"/>
      <c r="U328" s="395"/>
      <c r="V328" s="395"/>
      <c r="W328" s="395"/>
      <c r="X328" s="395"/>
      <c r="Y328" s="395"/>
      <c r="Z328" s="395"/>
      <c r="AA328" s="395"/>
      <c r="AB328" s="395"/>
      <c r="AC328" s="395"/>
    </row>
    <row r="329" spans="2:29">
      <c r="B329" s="376" t="s">
        <v>588</v>
      </c>
      <c r="C329" s="376" t="str">
        <f>Technologies!C269</f>
        <v>XPTRDSLLR3</v>
      </c>
      <c r="D329" s="376" t="str">
        <f>Technologies!D269</f>
        <v>Delivery of Pipeline Traded TRDSLL from R3</v>
      </c>
      <c r="E329" s="415" t="str">
        <f>Commodities!C120</f>
        <v>DSLR3</v>
      </c>
      <c r="F329" s="415" t="str">
        <f>Commodities!C91</f>
        <v>TRDSLL</v>
      </c>
      <c r="G329" s="422">
        <v>1</v>
      </c>
      <c r="H329" s="421">
        <f>DelivOIL!$G84*DelivOIL!P$82^5/(Conv!$I$5*Conv!$D$46)/10^6 + OILTrade!$I$16</f>
        <v>3.7871824657507513</v>
      </c>
      <c r="I329" s="421">
        <f>DelivOIL!$G84*DelivOIL!Q$82^5/(Conv!$I$5*Conv!$D$46)/10^6 + OILTrade!$I$16</f>
        <v>3.4131772939274967</v>
      </c>
      <c r="J329" s="421">
        <f>DelivOIL!$G84*DelivOIL!R$82^5/(Conv!$I$5*Conv!$D$46)/10^6 + OILTrade!$I$16</f>
        <v>3.8419670543927813</v>
      </c>
      <c r="K329" s="421">
        <f>DelivOIL!$G84*DelivOIL!S$82^5/(Conv!$I$5*Conv!$D$46)/10^6 + OILTrade!$I$16</f>
        <v>4.3676737857040964</v>
      </c>
      <c r="L329" s="421">
        <f>DelivOIL!$G84*DelivOIL!T$82^5/(Conv!$I$5*Conv!$D$46)/10^6 + OILTrade!$I$16</f>
        <v>4.0146628262049386</v>
      </c>
      <c r="M329" s="421">
        <f>DelivOIL!$G84*DelivOIL!U$82^5/(Conv!$I$5*Conv!$D$46)/10^6 + OILTrade!$I$16</f>
        <v>3.8402186236977327</v>
      </c>
      <c r="N329" s="421">
        <f>DelivOIL!$G84*DelivOIL!V$82^5/(Conv!$I$5*Conv!$D$46)/10^6 + OILTrade!$I$16</f>
        <v>3.8402186236977327</v>
      </c>
      <c r="O329" s="421">
        <f>DelivOIL!$G84*DelivOIL!W$82^5/(Conv!$I$5*Conv!$D$46)/10^6 + OILTrade!$I$16</f>
        <v>3.8402186236977327</v>
      </c>
      <c r="P329" s="421">
        <f>DelivOIL!$G84*DelivOIL!X$82^5/(Conv!$I$5*Conv!$D$46)/10^6 + OILTrade!$I$16</f>
        <v>3.8402186236977327</v>
      </c>
      <c r="Q329" s="421">
        <f>DelivOIL!$G84*DelivOIL!Y$82^5/(Conv!$I$5*Conv!$D$46)/10^6 + OILTrade!$I$16</f>
        <v>3.8402186236977327</v>
      </c>
      <c r="S329" s="395"/>
      <c r="T329" s="395"/>
      <c r="U329" s="395"/>
      <c r="V329" s="395"/>
      <c r="W329" s="395"/>
      <c r="X329" s="395"/>
      <c r="Y329" s="395"/>
      <c r="Z329" s="395"/>
      <c r="AA329" s="395"/>
      <c r="AB329" s="395"/>
      <c r="AC329" s="395"/>
    </row>
    <row r="330" spans="2:29">
      <c r="B330" s="376" t="s">
        <v>588</v>
      </c>
      <c r="C330" s="376" t="str">
        <f>Technologies!C270</f>
        <v>XPTRDSLUR3</v>
      </c>
      <c r="D330" s="376" t="str">
        <f>Technologies!D270</f>
        <v>Delivery of Pipeline Traded TRDSLU from R3</v>
      </c>
      <c r="E330" s="415" t="str">
        <f>Commodities!C121</f>
        <v>DSUR3</v>
      </c>
      <c r="F330" s="415" t="str">
        <f>Commodities!C92</f>
        <v>TRDSLU</v>
      </c>
      <c r="G330" s="422">
        <v>1</v>
      </c>
      <c r="H330" s="421">
        <f>DelivOIL!$G85*DelivOIL!P$82^5/(Conv!$I$5*Conv!$D$46)/10^6 + OILTrade!$I$16</f>
        <v>3.1462896595799519</v>
      </c>
      <c r="I330" s="421">
        <f>DelivOIL!$G85*DelivOIL!Q$82^5/(Conv!$I$5*Conv!$D$46)/10^6 + OILTrade!$I$16</f>
        <v>2.8395053025777033</v>
      </c>
      <c r="J330" s="421">
        <f>DelivOIL!$G85*DelivOIL!R$82^5/(Conv!$I$5*Conv!$D$46)/10^6 + OILTrade!$I$16</f>
        <v>3.1912276873570669</v>
      </c>
      <c r="K330" s="421">
        <f>DelivOIL!$G85*DelivOIL!S$82^5/(Conv!$I$5*Conv!$D$46)/10^6 + OILTrade!$I$16</f>
        <v>3.6224479315875713</v>
      </c>
      <c r="L330" s="421">
        <f>DelivOIL!$G85*DelivOIL!T$82^5/(Conv!$I$5*Conv!$D$46)/10^6 + OILTrade!$I$16</f>
        <v>3.332884448556714</v>
      </c>
      <c r="M330" s="421">
        <f>DelivOIL!$G85*DelivOIL!U$82^5/(Conv!$I$5*Conv!$D$46)/10^6 + OILTrade!$I$16</f>
        <v>3.1897935061559655</v>
      </c>
      <c r="N330" s="421">
        <f>DelivOIL!$G85*DelivOIL!V$82^5/(Conv!$I$5*Conv!$D$46)/10^6 + OILTrade!$I$16</f>
        <v>3.1897935061559655</v>
      </c>
      <c r="O330" s="421">
        <f>DelivOIL!$G85*DelivOIL!W$82^5/(Conv!$I$5*Conv!$D$46)/10^6 + OILTrade!$I$16</f>
        <v>3.1897935061559655</v>
      </c>
      <c r="P330" s="421">
        <f>DelivOIL!$G85*DelivOIL!X$82^5/(Conv!$I$5*Conv!$D$46)/10^6 + OILTrade!$I$16</f>
        <v>3.1897935061559655</v>
      </c>
      <c r="Q330" s="421">
        <f>DelivOIL!$G85*DelivOIL!Y$82^5/(Conv!$I$5*Conv!$D$46)/10^6 + OILTrade!$I$16</f>
        <v>3.1897935061559655</v>
      </c>
      <c r="S330" s="395"/>
      <c r="T330" s="395"/>
      <c r="U330" s="395"/>
      <c r="V330" s="395"/>
      <c r="W330" s="395"/>
      <c r="X330" s="395"/>
      <c r="Y330" s="395"/>
      <c r="Z330" s="395"/>
      <c r="AA330" s="395"/>
      <c r="AB330" s="395"/>
      <c r="AC330" s="395"/>
    </row>
    <row r="331" spans="2:29">
      <c r="B331" s="376" t="s">
        <v>588</v>
      </c>
      <c r="C331" s="376" t="str">
        <f>Technologies!C271</f>
        <v>XPTRNJTFR3</v>
      </c>
      <c r="D331" s="376" t="str">
        <f>Technologies!D271</f>
        <v>Delivery of Pipeline Traded TRNJTF from R3</v>
      </c>
      <c r="E331" s="415" t="str">
        <f>Commodities!C122</f>
        <v>JTFR3</v>
      </c>
      <c r="F331" s="415" t="str">
        <f>Commodities!C93</f>
        <v>TRNJTF</v>
      </c>
      <c r="G331" s="422">
        <v>1</v>
      </c>
      <c r="H331" s="421">
        <f>DelivOIL!$G86*DelivOIL!P$82^5/(Conv!$I$5*Conv!$D$46)/10^6 + OILTrade!$I$16</f>
        <v>0.93043687228729433</v>
      </c>
      <c r="I331" s="421">
        <f>DelivOIL!$G86*DelivOIL!Q$82^5/(Conv!$I$5*Conv!$D$46)/10^6 + OILTrade!$I$16</f>
        <v>0.85606490695341597</v>
      </c>
      <c r="J331" s="421">
        <f>DelivOIL!$G86*DelivOIL!R$82^5/(Conv!$I$5*Conv!$D$46)/10^6 + OILTrade!$I$16</f>
        <v>0.94133093962720094</v>
      </c>
      <c r="K331" s="421">
        <f>DelivOIL!$G86*DelivOIL!S$82^5/(Conv!$I$5*Conv!$D$46)/10^6 + OILTrade!$I$16</f>
        <v>1.045869180652778</v>
      </c>
      <c r="L331" s="421">
        <f>DelivOIL!$G86*DelivOIL!T$82^5/(Conv!$I$5*Conv!$D$46)/10^6 + OILTrade!$I$16</f>
        <v>0.97567197264529715</v>
      </c>
      <c r="M331" s="421">
        <f>DelivOIL!$G86*DelivOIL!U$82^5/(Conv!$I$5*Conv!$D$46)/10^6 + OILTrade!$I$16</f>
        <v>0.940983259336025</v>
      </c>
      <c r="N331" s="421">
        <f>DelivOIL!$G86*DelivOIL!V$82^5/(Conv!$I$5*Conv!$D$46)/10^6 + OILTrade!$I$16</f>
        <v>0.940983259336025</v>
      </c>
      <c r="O331" s="421">
        <f>DelivOIL!$G86*DelivOIL!W$82^5/(Conv!$I$5*Conv!$D$46)/10^6 + OILTrade!$I$16</f>
        <v>0.940983259336025</v>
      </c>
      <c r="P331" s="421">
        <f>DelivOIL!$G86*DelivOIL!X$82^5/(Conv!$I$5*Conv!$D$46)/10^6 + OILTrade!$I$16</f>
        <v>0.940983259336025</v>
      </c>
      <c r="Q331" s="421">
        <f>DelivOIL!$G86*DelivOIL!Y$82^5/(Conv!$I$5*Conv!$D$46)/10^6 + OILTrade!$I$16</f>
        <v>0.940983259336025</v>
      </c>
      <c r="S331" s="395"/>
      <c r="T331" s="395"/>
      <c r="U331" s="395"/>
      <c r="V331" s="395"/>
      <c r="W331" s="395"/>
      <c r="X331" s="395"/>
      <c r="Y331" s="395"/>
      <c r="Z331" s="395"/>
      <c r="AA331" s="395"/>
      <c r="AB331" s="395"/>
      <c r="AC331" s="395"/>
    </row>
    <row r="332" spans="2:29">
      <c r="B332" s="376" t="s">
        <v>588</v>
      </c>
      <c r="C332" s="376" t="str">
        <f>Technologies!C272</f>
        <v>XPRESKERR3</v>
      </c>
      <c r="D332" s="376" t="str">
        <f>Technologies!D272</f>
        <v>Delivery of Pipeline Traded RESKER from R3</v>
      </c>
      <c r="E332" s="415" t="str">
        <f>Commodities!C123</f>
        <v>KERR3</v>
      </c>
      <c r="F332" s="415" t="str">
        <f>Commodities!C94</f>
        <v>RESKER</v>
      </c>
      <c r="G332" s="422">
        <v>1</v>
      </c>
      <c r="H332" s="421">
        <f>DelivOIL!$G87*DelivOIL!P$82^5/(Conv!$I$5*Conv!$D$46)/10^6 + OILTrade!$I$16</f>
        <v>2.9281133851388299</v>
      </c>
      <c r="I332" s="421">
        <f>DelivOIL!$G87*DelivOIL!Q$82^5/(Conv!$I$5*Conv!$D$46)/10^6 + OILTrade!$I$16</f>
        <v>2.6442127097777748</v>
      </c>
      <c r="J332" s="421">
        <f>DelivOIL!$G87*DelivOIL!R$82^5/(Conv!$I$5*Conv!$D$46)/10^6 + OILTrade!$I$16</f>
        <v>2.9696993921959733</v>
      </c>
      <c r="K332" s="421">
        <f>DelivOIL!$G87*DelivOIL!S$82^5/(Conv!$I$5*Conv!$D$46)/10^6 + OILTrade!$I$16</f>
        <v>3.3687540238032239</v>
      </c>
      <c r="L332" s="421">
        <f>DelivOIL!$G87*DelivOIL!T$82^5/(Conv!$I$5*Conv!$D$46)/10^6 + OILTrade!$I$16</f>
        <v>3.1007896816977447</v>
      </c>
      <c r="M332" s="421">
        <f>DelivOIL!$G87*DelivOIL!U$82^5/(Conv!$I$5*Conv!$D$46)/10^6 + OILTrade!$I$16</f>
        <v>2.9683721895460038</v>
      </c>
      <c r="N332" s="421">
        <f>DelivOIL!$G87*DelivOIL!V$82^5/(Conv!$I$5*Conv!$D$46)/10^6 + OILTrade!$I$16</f>
        <v>2.9683721895460038</v>
      </c>
      <c r="O332" s="421">
        <f>DelivOIL!$G87*DelivOIL!W$82^5/(Conv!$I$5*Conv!$D$46)/10^6 + OILTrade!$I$16</f>
        <v>2.9683721895460038</v>
      </c>
      <c r="P332" s="421">
        <f>DelivOIL!$G87*DelivOIL!X$82^5/(Conv!$I$5*Conv!$D$46)/10^6 + OILTrade!$I$16</f>
        <v>2.9683721895460038</v>
      </c>
      <c r="Q332" s="421">
        <f>DelivOIL!$G87*DelivOIL!Y$82^5/(Conv!$I$5*Conv!$D$46)/10^6 + OILTrade!$I$16</f>
        <v>2.9683721895460038</v>
      </c>
      <c r="S332" s="395"/>
      <c r="T332" s="395"/>
      <c r="U332" s="395"/>
      <c r="V332" s="395"/>
      <c r="W332" s="395"/>
      <c r="X332" s="395"/>
      <c r="Y332" s="395"/>
      <c r="Z332" s="395"/>
      <c r="AA332" s="395"/>
      <c r="AB332" s="395"/>
      <c r="AC332" s="395"/>
    </row>
    <row r="333" spans="2:29">
      <c r="B333" s="376" t="s">
        <v>588</v>
      </c>
      <c r="C333" s="376" t="str">
        <f>Technologies!C273</f>
        <v>XPCOMKERR3</v>
      </c>
      <c r="D333" s="376" t="str">
        <f>Technologies!D273</f>
        <v>Delivery of Pipeline Traded COMKER from R3</v>
      </c>
      <c r="E333" s="415" t="str">
        <f>E332</f>
        <v>KERR3</v>
      </c>
      <c r="F333" s="415" t="str">
        <f>Commodities!C95</f>
        <v>COMKER</v>
      </c>
      <c r="G333" s="422">
        <v>1</v>
      </c>
      <c r="H333" s="421">
        <f>DelivOIL!$G88*DelivOIL!P$82^5/(Conv!$I$5*Conv!$D$46)/10^6 + OILTrade!$I$16</f>
        <v>2.9962934709016795</v>
      </c>
      <c r="I333" s="421">
        <f>DelivOIL!$G88*DelivOIL!Q$82^5/(Conv!$I$5*Conv!$D$46)/10^6 + OILTrade!$I$16</f>
        <v>2.7052416450277512</v>
      </c>
      <c r="J333" s="421">
        <f>DelivOIL!$G88*DelivOIL!R$82^5/(Conv!$I$5*Conv!$D$46)/10^6 + OILTrade!$I$16</f>
        <v>3.038926984433814</v>
      </c>
      <c r="K333" s="421">
        <f>DelivOIL!$G88*DelivOIL!S$82^5/(Conv!$I$5*Conv!$D$46)/10^6 + OILTrade!$I$16</f>
        <v>3.4480333699858314</v>
      </c>
      <c r="L333" s="421">
        <f>DelivOIL!$G88*DelivOIL!T$82^5/(Conv!$I$5*Conv!$D$46)/10^6 + OILTrade!$I$16</f>
        <v>3.1733192963411709</v>
      </c>
      <c r="M333" s="421">
        <f>DelivOIL!$G88*DelivOIL!U$82^5/(Conv!$I$5*Conv!$D$46)/10^6 + OILTrade!$I$16</f>
        <v>3.0375663509866153</v>
      </c>
      <c r="N333" s="421">
        <f>DelivOIL!$G88*DelivOIL!V$82^5/(Conv!$I$5*Conv!$D$46)/10^6 + OILTrade!$I$16</f>
        <v>3.0375663509866153</v>
      </c>
      <c r="O333" s="421">
        <f>DelivOIL!$G88*DelivOIL!W$82^5/(Conv!$I$5*Conv!$D$46)/10^6 + OILTrade!$I$16</f>
        <v>3.0375663509866153</v>
      </c>
      <c r="P333" s="421">
        <f>DelivOIL!$G88*DelivOIL!X$82^5/(Conv!$I$5*Conv!$D$46)/10^6 + OILTrade!$I$16</f>
        <v>3.0375663509866153</v>
      </c>
      <c r="Q333" s="421">
        <f>DelivOIL!$G88*DelivOIL!Y$82^5/(Conv!$I$5*Conv!$D$46)/10^6 + OILTrade!$I$16</f>
        <v>3.0375663509866153</v>
      </c>
      <c r="S333" s="395"/>
      <c r="T333" s="395"/>
      <c r="U333" s="395"/>
      <c r="V333" s="395"/>
      <c r="W333" s="395"/>
      <c r="X333" s="395"/>
      <c r="Y333" s="395"/>
      <c r="Z333" s="395"/>
      <c r="AA333" s="395"/>
      <c r="AB333" s="395"/>
      <c r="AC333" s="395"/>
    </row>
    <row r="334" spans="2:29">
      <c r="B334" s="376" t="s">
        <v>588</v>
      </c>
      <c r="C334" s="376" t="str">
        <f>Technologies!C274</f>
        <v>XPINDKERR3</v>
      </c>
      <c r="D334" s="376" t="str">
        <f>Technologies!D274</f>
        <v>Delivery of Pipeline Traded INDKER from R3</v>
      </c>
      <c r="E334" s="415" t="str">
        <f>E333</f>
        <v>KERR3</v>
      </c>
      <c r="F334" s="415" t="str">
        <f>Commodities!C96</f>
        <v>INDKER</v>
      </c>
      <c r="G334" s="422">
        <v>1</v>
      </c>
      <c r="H334" s="421">
        <f>DelivOIL!$G89*DelivOIL!P$82^5/(Conv!$I$5*Conv!$D$46)/10^6 + OILTrade!$I$16</f>
        <v>1.8304140043569284</v>
      </c>
      <c r="I334" s="421">
        <f>DelivOIL!$G89*DelivOIL!Q$82^5/(Conv!$I$5*Conv!$D$46)/10^6 + OILTrade!$I$16</f>
        <v>1.6616468522531274</v>
      </c>
      <c r="J334" s="421">
        <f>DelivOIL!$G89*DelivOIL!R$82^5/(Conv!$I$5*Conv!$D$46)/10^6 + OILTrade!$I$16</f>
        <v>1.8551351571667167</v>
      </c>
      <c r="K334" s="421">
        <f>DelivOIL!$G89*DelivOIL!S$82^5/(Conv!$I$5*Conv!$D$46)/10^6 + OILTrade!$I$16</f>
        <v>2.0923565502632182</v>
      </c>
      <c r="L334" s="421">
        <f>DelivOIL!$G89*DelivOIL!T$82^5/(Conv!$I$5*Conv!$D$46)/10^6 + OILTrade!$I$16</f>
        <v>1.9330628859385506</v>
      </c>
      <c r="M334" s="421">
        <f>DelivOIL!$G89*DelivOIL!U$82^5/(Conv!$I$5*Conv!$D$46)/10^6 + OILTrade!$I$16</f>
        <v>1.8543461903521248</v>
      </c>
      <c r="N334" s="421">
        <f>DelivOIL!$G89*DelivOIL!V$82^5/(Conv!$I$5*Conv!$D$46)/10^6 + OILTrade!$I$16</f>
        <v>1.8543461903521248</v>
      </c>
      <c r="O334" s="421">
        <f>DelivOIL!$G89*DelivOIL!W$82^5/(Conv!$I$5*Conv!$D$46)/10^6 + OILTrade!$I$16</f>
        <v>1.8543461903521248</v>
      </c>
      <c r="P334" s="421">
        <f>DelivOIL!$G89*DelivOIL!X$82^5/(Conv!$I$5*Conv!$D$46)/10^6 + OILTrade!$I$16</f>
        <v>1.8543461903521248</v>
      </c>
      <c r="Q334" s="421">
        <f>DelivOIL!$G89*DelivOIL!Y$82^5/(Conv!$I$5*Conv!$D$46)/10^6 + OILTrade!$I$16</f>
        <v>1.8543461903521248</v>
      </c>
      <c r="S334" s="395"/>
      <c r="T334" s="395"/>
      <c r="U334" s="395"/>
      <c r="V334" s="395"/>
      <c r="W334" s="395"/>
      <c r="X334" s="395"/>
      <c r="Y334" s="395"/>
      <c r="Z334" s="395"/>
      <c r="AA334" s="395"/>
      <c r="AB334" s="395"/>
      <c r="AC334" s="395"/>
    </row>
    <row r="335" spans="2:29">
      <c r="B335" s="376" t="s">
        <v>588</v>
      </c>
      <c r="C335" s="376" t="str">
        <f>Technologies!C275</f>
        <v>XPRESLPGR3</v>
      </c>
      <c r="D335" s="376" t="str">
        <f>Technologies!D275</f>
        <v>Delivery of Pipeline Traded RESLPG from R3</v>
      </c>
      <c r="E335" s="415" t="str">
        <f>Commodities!C124</f>
        <v>LPGR3</v>
      </c>
      <c r="F335" s="415" t="str">
        <f>Commodities!C97</f>
        <v>RESLPG</v>
      </c>
      <c r="G335" s="422">
        <v>1</v>
      </c>
      <c r="H335" s="421">
        <f>DelivOIL!$G90*DelivOIL!P$82^5/(Conv!$I$5*Conv!$D$46)/10^6 + OILTrade!$I$16</f>
        <v>4.912153880837792</v>
      </c>
      <c r="I335" s="421">
        <f>DelivOIL!$G90*DelivOIL!Q$82^5/(Conv!$I$5*Conv!$D$46)/10^6 + OILTrade!$I$16</f>
        <v>4.420154725552135</v>
      </c>
      <c r="J335" s="421">
        <f>DelivOIL!$G90*DelivOIL!R$82^5/(Conv!$I$5*Conv!$D$46)/10^6 + OILTrade!$I$16</f>
        <v>4.984222326317175</v>
      </c>
      <c r="K335" s="421">
        <f>DelivOIL!$G90*DelivOIL!S$82^5/(Conv!$I$5*Conv!$D$46)/10^6 + OILTrade!$I$16</f>
        <v>5.6757829977171443</v>
      </c>
      <c r="L335" s="421">
        <f>DelivOIL!$G90*DelivOIL!T$82^5/(Conv!$I$5*Conv!$D$46)/10^6 + OILTrade!$I$16</f>
        <v>5.2114014678215037</v>
      </c>
      <c r="M335" s="421">
        <f>DelivOIL!$G90*DelivOIL!U$82^5/(Conv!$I$5*Conv!$D$46)/10^6 + OILTrade!$I$16</f>
        <v>4.9819222874678566</v>
      </c>
      <c r="N335" s="421">
        <f>DelivOIL!$G90*DelivOIL!V$82^5/(Conv!$I$5*Conv!$D$46)/10^6 + OILTrade!$I$16</f>
        <v>4.9819222874678566</v>
      </c>
      <c r="O335" s="421">
        <f>DelivOIL!$G90*DelivOIL!W$82^5/(Conv!$I$5*Conv!$D$46)/10^6 + OILTrade!$I$16</f>
        <v>4.9819222874678566</v>
      </c>
      <c r="P335" s="421">
        <f>DelivOIL!$G90*DelivOIL!X$82^5/(Conv!$I$5*Conv!$D$46)/10^6 + OILTrade!$I$16</f>
        <v>4.9819222874678566</v>
      </c>
      <c r="Q335" s="421">
        <f>DelivOIL!$G90*DelivOIL!Y$82^5/(Conv!$I$5*Conv!$D$46)/10^6 + OILTrade!$I$16</f>
        <v>4.9819222874678566</v>
      </c>
      <c r="S335" s="395"/>
      <c r="T335" s="395"/>
      <c r="U335" s="395"/>
      <c r="V335" s="395"/>
      <c r="W335" s="395"/>
      <c r="X335" s="395"/>
      <c r="Y335" s="395"/>
      <c r="Z335" s="395"/>
      <c r="AA335" s="395"/>
      <c r="AB335" s="395"/>
      <c r="AC335" s="395"/>
    </row>
    <row r="336" spans="2:29">
      <c r="B336" s="376" t="s">
        <v>588</v>
      </c>
      <c r="C336" s="376" t="str">
        <f>Technologies!C276</f>
        <v>XPCOMLPGR3</v>
      </c>
      <c r="D336" s="376" t="str">
        <f>Technologies!D276</f>
        <v>Delivery of Pipeline Traded COMLPG from R3</v>
      </c>
      <c r="E336" s="415" t="str">
        <f>E335</f>
        <v>LPGR3</v>
      </c>
      <c r="F336" s="415" t="str">
        <f>Commodities!C98</f>
        <v>COMLPG</v>
      </c>
      <c r="G336" s="422">
        <v>1</v>
      </c>
      <c r="H336" s="421">
        <f>DelivOIL!$G91*DelivOIL!P$82^5/(Conv!$I$5*Conv!$D$46)/10^6 + OILTrade!$I$16</f>
        <v>2.7644811793079866</v>
      </c>
      <c r="I336" s="421">
        <f>DelivOIL!$G91*DelivOIL!Q$82^5/(Conv!$I$5*Conv!$D$46)/10^6 + OILTrade!$I$16</f>
        <v>2.4977432651778266</v>
      </c>
      <c r="J336" s="421">
        <f>DelivOIL!$G91*DelivOIL!R$82^5/(Conv!$I$5*Conv!$D$46)/10^6 + OILTrade!$I$16</f>
        <v>2.8035531708251518</v>
      </c>
      <c r="K336" s="421">
        <f>DelivOIL!$G91*DelivOIL!S$82^5/(Conv!$I$5*Conv!$D$46)/10^6 + OILTrade!$I$16</f>
        <v>3.1784835929649615</v>
      </c>
      <c r="L336" s="421">
        <f>DelivOIL!$G91*DelivOIL!T$82^5/(Conv!$I$5*Conv!$D$46)/10^6 + OILTrade!$I$16</f>
        <v>2.926718606553516</v>
      </c>
      <c r="M336" s="421">
        <f>DelivOIL!$G91*DelivOIL!U$82^5/(Conv!$I$5*Conv!$D$46)/10^6 + OILTrade!$I$16</f>
        <v>2.8023062020885301</v>
      </c>
      <c r="N336" s="421">
        <f>DelivOIL!$G91*DelivOIL!V$82^5/(Conv!$I$5*Conv!$D$46)/10^6 + OILTrade!$I$16</f>
        <v>2.8023062020885301</v>
      </c>
      <c r="O336" s="421">
        <f>DelivOIL!$G91*DelivOIL!W$82^5/(Conv!$I$5*Conv!$D$46)/10^6 + OILTrade!$I$16</f>
        <v>2.8023062020885301</v>
      </c>
      <c r="P336" s="421">
        <f>DelivOIL!$G91*DelivOIL!X$82^5/(Conv!$I$5*Conv!$D$46)/10^6 + OILTrade!$I$16</f>
        <v>2.8023062020885301</v>
      </c>
      <c r="Q336" s="421">
        <f>DelivOIL!$G91*DelivOIL!Y$82^5/(Conv!$I$5*Conv!$D$46)/10^6 + OILTrade!$I$16</f>
        <v>2.8023062020885301</v>
      </c>
      <c r="S336" s="395"/>
      <c r="T336" s="395"/>
      <c r="U336" s="395"/>
      <c r="V336" s="395"/>
      <c r="W336" s="395"/>
      <c r="X336" s="395"/>
      <c r="Y336" s="395"/>
      <c r="Z336" s="395"/>
      <c r="AA336" s="395"/>
      <c r="AB336" s="395"/>
      <c r="AC336" s="395"/>
    </row>
    <row r="337" spans="2:29">
      <c r="B337" s="376" t="s">
        <v>588</v>
      </c>
      <c r="C337" s="376" t="str">
        <f>Technologies!C277</f>
        <v>XPINDLPGR3</v>
      </c>
      <c r="D337" s="376" t="str">
        <f>Technologies!D277</f>
        <v>Delivery of Pipeline Traded INDLPG from R3</v>
      </c>
      <c r="E337" s="415" t="str">
        <f>E336</f>
        <v>LPGR3</v>
      </c>
      <c r="F337" s="415" t="str">
        <f>Commodities!C99</f>
        <v>INDLPG</v>
      </c>
      <c r="G337" s="422">
        <v>1</v>
      </c>
      <c r="H337" s="421">
        <f>DelivOIL!$G92*DelivOIL!P$82^5/(Conv!$I$5*Conv!$D$46)/10^6 + OILTrade!$I$16</f>
        <v>2.4440347762225874</v>
      </c>
      <c r="I337" s="421">
        <f>DelivOIL!$G92*DelivOIL!Q$82^5/(Conv!$I$5*Conv!$D$46)/10^6 + OILTrade!$I$16</f>
        <v>2.2109072695029299</v>
      </c>
      <c r="J337" s="421">
        <f>DelivOIL!$G92*DelivOIL!R$82^5/(Conv!$I$5*Conv!$D$46)/10^6 + OILTrade!$I$16</f>
        <v>2.478183487307295</v>
      </c>
      <c r="K337" s="421">
        <f>DelivOIL!$G92*DelivOIL!S$82^5/(Conv!$I$5*Conv!$D$46)/10^6 + OILTrade!$I$16</f>
        <v>2.8058706659066992</v>
      </c>
      <c r="L337" s="421">
        <f>DelivOIL!$G92*DelivOIL!T$82^5/(Conv!$I$5*Conv!$D$46)/10^6 + OILTrade!$I$16</f>
        <v>2.5858294177294039</v>
      </c>
      <c r="M337" s="421">
        <f>DelivOIL!$G92*DelivOIL!U$82^5/(Conv!$I$5*Conv!$D$46)/10^6 + OILTrade!$I$16</f>
        <v>2.4770936433176463</v>
      </c>
      <c r="N337" s="421">
        <f>DelivOIL!$G92*DelivOIL!V$82^5/(Conv!$I$5*Conv!$D$46)/10^6 + OILTrade!$I$16</f>
        <v>2.4770936433176463</v>
      </c>
      <c r="O337" s="421">
        <f>DelivOIL!$G92*DelivOIL!W$82^5/(Conv!$I$5*Conv!$D$46)/10^6 + OILTrade!$I$16</f>
        <v>2.4770936433176463</v>
      </c>
      <c r="P337" s="421">
        <f>DelivOIL!$G92*DelivOIL!X$82^5/(Conv!$I$5*Conv!$D$46)/10^6 + OILTrade!$I$16</f>
        <v>2.4770936433176463</v>
      </c>
      <c r="Q337" s="421">
        <f>DelivOIL!$G92*DelivOIL!Y$82^5/(Conv!$I$5*Conv!$D$46)/10^6 + OILTrade!$I$16</f>
        <v>2.4770936433176463</v>
      </c>
      <c r="S337" s="395"/>
      <c r="T337" s="395"/>
      <c r="U337" s="395"/>
      <c r="V337" s="395"/>
      <c r="W337" s="395"/>
      <c r="X337" s="395"/>
      <c r="Y337" s="395"/>
      <c r="Z337" s="395"/>
      <c r="AA337" s="395"/>
      <c r="AB337" s="395"/>
      <c r="AC337" s="395"/>
    </row>
    <row r="338" spans="2:29">
      <c r="B338" s="376" t="s">
        <v>588</v>
      </c>
      <c r="C338" s="376" t="str">
        <f>Technologies!C278</f>
        <v>XPTRNLPGR3</v>
      </c>
      <c r="D338" s="376" t="str">
        <f>Technologies!D278</f>
        <v>Delivery of Pipeline Traded TRNLPG from R3</v>
      </c>
      <c r="E338" s="415" t="str">
        <f>E337</f>
        <v>LPGR3</v>
      </c>
      <c r="F338" s="415" t="str">
        <f>Commodities!C100</f>
        <v>TRNLPG</v>
      </c>
      <c r="G338" s="422">
        <v>1</v>
      </c>
      <c r="H338" s="421">
        <f>DelivOIL!$G93*DelivOIL!P$82^5/(Conv!$I$5*Conv!$D$46)/10^6 + OILTrade!$I$16</f>
        <v>3.6508222942250503</v>
      </c>
      <c r="I338" s="421">
        <f>DelivOIL!$G93*DelivOIL!Q$82^5/(Conv!$I$5*Conv!$D$46)/10^6 + OILTrade!$I$16</f>
        <v>3.291119423427542</v>
      </c>
      <c r="J338" s="421">
        <f>DelivOIL!$G93*DelivOIL!R$82^5/(Conv!$I$5*Conv!$D$46)/10^6 + OILTrade!$I$16</f>
        <v>3.703511869917099</v>
      </c>
      <c r="K338" s="421">
        <f>DelivOIL!$G93*DelivOIL!S$82^5/(Conv!$I$5*Conv!$D$46)/10^6 + OILTrade!$I$16</f>
        <v>4.2091150933388795</v>
      </c>
      <c r="L338" s="421">
        <f>DelivOIL!$G93*DelivOIL!T$82^5/(Conv!$I$5*Conv!$D$46)/10^6 + OILTrade!$I$16</f>
        <v>3.8696035969180835</v>
      </c>
      <c r="M338" s="421">
        <f>DelivOIL!$G93*DelivOIL!U$82^5/(Conv!$I$5*Conv!$D$46)/10^6 + OILTrade!$I$16</f>
        <v>3.7018303008165065</v>
      </c>
      <c r="N338" s="421">
        <f>DelivOIL!$G93*DelivOIL!V$82^5/(Conv!$I$5*Conv!$D$46)/10^6 + OILTrade!$I$16</f>
        <v>3.7018303008165065</v>
      </c>
      <c r="O338" s="421">
        <f>DelivOIL!$G93*DelivOIL!W$82^5/(Conv!$I$5*Conv!$D$46)/10^6 + OILTrade!$I$16</f>
        <v>3.7018303008165065</v>
      </c>
      <c r="P338" s="421">
        <f>DelivOIL!$G93*DelivOIL!X$82^5/(Conv!$I$5*Conv!$D$46)/10^6 + OILTrade!$I$16</f>
        <v>3.7018303008165065</v>
      </c>
      <c r="Q338" s="421">
        <f>DelivOIL!$G93*DelivOIL!Y$82^5/(Conv!$I$5*Conv!$D$46)/10^6 + OILTrade!$I$16</f>
        <v>3.7018303008165065</v>
      </c>
      <c r="S338" s="395"/>
      <c r="T338" s="395"/>
      <c r="U338" s="395"/>
      <c r="V338" s="395"/>
      <c r="W338" s="395"/>
      <c r="X338" s="395"/>
      <c r="Y338" s="395"/>
      <c r="Z338" s="395"/>
      <c r="AA338" s="395"/>
      <c r="AB338" s="395"/>
      <c r="AC338" s="395"/>
    </row>
    <row r="339" spans="2:29">
      <c r="B339" s="376" t="s">
        <v>588</v>
      </c>
      <c r="C339" s="376" t="str">
        <f>Technologies!C279</f>
        <v>XPTRNMTHR3</v>
      </c>
      <c r="D339" s="376" t="str">
        <f>Technologies!D279</f>
        <v>Delivery of Pipeline Traded TRNMTH from R3</v>
      </c>
      <c r="E339" s="415" t="str">
        <f>Commodities!C125</f>
        <v>MTHR3</v>
      </c>
      <c r="F339" s="415" t="str">
        <f>Commodities!C101</f>
        <v>TRNMTH</v>
      </c>
      <c r="G339" s="422">
        <v>1</v>
      </c>
      <c r="H339" s="421">
        <f>DelivOIL!$G94*DelivOIL!P$82^5/(Conv!$I$5*Conv!$D$46)/10^6 + OILTrade!$I$16</f>
        <v>3.7667284400218972</v>
      </c>
      <c r="I339" s="421">
        <f>DelivOIL!$G94*DelivOIL!Q$82^5/(Conv!$I$5*Conv!$D$46)/10^6 + OILTrade!$I$16</f>
        <v>3.3948686133525046</v>
      </c>
      <c r="J339" s="421">
        <f>DelivOIL!$G94*DelivOIL!R$82^5/(Conv!$I$5*Conv!$D$46)/10^6 + OILTrade!$I$16</f>
        <v>3.8211987767214302</v>
      </c>
      <c r="K339" s="421">
        <f>DelivOIL!$G94*DelivOIL!S$82^5/(Conv!$I$5*Conv!$D$46)/10^6 + OILTrade!$I$16</f>
        <v>4.3438899818493146</v>
      </c>
      <c r="L339" s="421">
        <f>DelivOIL!$G94*DelivOIL!T$82^5/(Conv!$I$5*Conv!$D$46)/10^6 + OILTrade!$I$16</f>
        <v>3.9929039418119112</v>
      </c>
      <c r="M339" s="421">
        <f>DelivOIL!$G94*DelivOIL!U$82^5/(Conv!$I$5*Conv!$D$46)/10^6 + OILTrade!$I$16</f>
        <v>3.8194603752655505</v>
      </c>
      <c r="N339" s="421">
        <f>DelivOIL!$G94*DelivOIL!V$82^5/(Conv!$I$5*Conv!$D$46)/10^6 + OILTrade!$I$16</f>
        <v>3.8194603752655505</v>
      </c>
      <c r="O339" s="421">
        <f>DelivOIL!$G94*DelivOIL!W$82^5/(Conv!$I$5*Conv!$D$46)/10^6 + OILTrade!$I$16</f>
        <v>3.8194603752655505</v>
      </c>
      <c r="P339" s="421">
        <f>DelivOIL!$G94*DelivOIL!X$82^5/(Conv!$I$5*Conv!$D$46)/10^6 + OILTrade!$I$16</f>
        <v>3.8194603752655505</v>
      </c>
      <c r="Q339" s="421">
        <f>DelivOIL!$G94*DelivOIL!Y$82^5/(Conv!$I$5*Conv!$D$46)/10^6 + OILTrade!$I$16</f>
        <v>3.8194603752655505</v>
      </c>
      <c r="S339" s="395"/>
      <c r="T339" s="395"/>
      <c r="U339" s="395"/>
      <c r="V339" s="395"/>
      <c r="W339" s="395"/>
      <c r="X339" s="395"/>
      <c r="Y339" s="395"/>
      <c r="Z339" s="395"/>
      <c r="AA339" s="395"/>
      <c r="AB339" s="395"/>
      <c r="AC339" s="395"/>
    </row>
    <row r="340" spans="2:29">
      <c r="B340" s="376" t="s">
        <v>588</v>
      </c>
      <c r="C340" s="376" t="str">
        <f>Technologies!C280</f>
        <v>XPINDPFSR3</v>
      </c>
      <c r="D340" s="376" t="str">
        <f>Technologies!D280</f>
        <v>Delivery of Pipeline Traded INDPFS from R3</v>
      </c>
      <c r="E340" s="415" t="str">
        <f>Commodities!C126</f>
        <v>PFSR3</v>
      </c>
      <c r="F340" s="415" t="str">
        <f>Commodities!C102</f>
        <v>INDPFS</v>
      </c>
      <c r="G340" s="422">
        <v>1</v>
      </c>
      <c r="H340" s="421">
        <f>DelivOIL!$G95*DelivOIL!P$82^5/(Conv!$I$5*Conv!$D$46)/10^6 + OILTrade!$I$16</f>
        <v>1.4281514983561068</v>
      </c>
      <c r="I340" s="421">
        <f>DelivOIL!$G95*DelivOIL!Q$82^5/(Conv!$I$5*Conv!$D$46)/10^6 + OILTrade!$I$16</f>
        <v>1.3015761342782559</v>
      </c>
      <c r="J340" s="421">
        <f>DelivOIL!$G95*DelivOIL!R$82^5/(Conv!$I$5*Conv!$D$46)/10^6 + OILTrade!$I$16</f>
        <v>1.4466923629634478</v>
      </c>
      <c r="K340" s="421">
        <f>DelivOIL!$G95*DelivOIL!S$82^5/(Conv!$I$5*Conv!$D$46)/10^6 + OILTrade!$I$16</f>
        <v>1.6246084077858236</v>
      </c>
      <c r="L340" s="421">
        <f>DelivOIL!$G95*DelivOIL!T$82^5/(Conv!$I$5*Conv!$D$46)/10^6 + OILTrade!$I$16</f>
        <v>1.5051381595423234</v>
      </c>
      <c r="M340" s="421">
        <f>DelivOIL!$G95*DelivOIL!U$82^5/(Conv!$I$5*Conv!$D$46)/10^6 + OILTrade!$I$16</f>
        <v>1.4461006378525041</v>
      </c>
      <c r="N340" s="421">
        <f>DelivOIL!$G95*DelivOIL!V$82^5/(Conv!$I$5*Conv!$D$46)/10^6 + OILTrade!$I$16</f>
        <v>1.4461006378525041</v>
      </c>
      <c r="O340" s="421">
        <f>DelivOIL!$G95*DelivOIL!W$82^5/(Conv!$I$5*Conv!$D$46)/10^6 + OILTrade!$I$16</f>
        <v>1.4461006378525041</v>
      </c>
      <c r="P340" s="421">
        <f>DelivOIL!$G95*DelivOIL!X$82^5/(Conv!$I$5*Conv!$D$46)/10^6 + OILTrade!$I$16</f>
        <v>1.4461006378525041</v>
      </c>
      <c r="Q340" s="421">
        <f>DelivOIL!$G95*DelivOIL!Y$82^5/(Conv!$I$5*Conv!$D$46)/10^6 + OILTrade!$I$16</f>
        <v>1.4461006378525041</v>
      </c>
      <c r="S340" s="395"/>
      <c r="T340" s="395"/>
      <c r="U340" s="395"/>
      <c r="V340" s="395"/>
      <c r="W340" s="395"/>
      <c r="X340" s="395"/>
      <c r="Y340" s="395"/>
      <c r="Z340" s="395"/>
      <c r="AA340" s="395"/>
      <c r="AB340" s="395"/>
      <c r="AC340" s="395"/>
    </row>
    <row r="341" spans="2:29">
      <c r="B341" s="376" t="s">
        <v>588</v>
      </c>
      <c r="C341" s="376" t="str">
        <f>Technologies!C281</f>
        <v>XPRESRFLR3</v>
      </c>
      <c r="D341" s="376" t="str">
        <f>Technologies!D281</f>
        <v>Delivery of Pipeline Traded RESRFL from R3</v>
      </c>
      <c r="E341" s="415" t="str">
        <f>Commodities!C128</f>
        <v>RFLR3</v>
      </c>
      <c r="F341" s="415" t="str">
        <f>Commodities!C103</f>
        <v>RESRFL</v>
      </c>
      <c r="G341" s="422">
        <v>1</v>
      </c>
      <c r="H341" s="421">
        <f>DelivOIL!$G96*DelivOIL!P$82^5/(Conv!$I$5*Conv!$D$46)/10^6 + OILTrade!$I$16</f>
        <v>0.47363029767619308</v>
      </c>
      <c r="I341" s="421">
        <f>DelivOIL!$G96*DelivOIL!Q$82^5/(Conv!$I$5*Conv!$D$46)/10^6 + OILTrade!$I$16</f>
        <v>0.44717104077856318</v>
      </c>
      <c r="J341" s="421">
        <f>DelivOIL!$G96*DelivOIL!R$82^5/(Conv!$I$5*Conv!$D$46)/10^6 + OILTrade!$I$16</f>
        <v>0.47750607163365988</v>
      </c>
      <c r="K341" s="421">
        <f>DelivOIL!$G96*DelivOIL!S$82^5/(Conv!$I$5*Conv!$D$46)/10^6 + OILTrade!$I$16</f>
        <v>0.51469756122929788</v>
      </c>
      <c r="L341" s="421">
        <f>DelivOIL!$G96*DelivOIL!T$82^5/(Conv!$I$5*Conv!$D$46)/10^6 + OILTrade!$I$16</f>
        <v>0.4897235545343287</v>
      </c>
      <c r="M341" s="421">
        <f>DelivOIL!$G96*DelivOIL!U$82^5/(Conv!$I$5*Conv!$D$46)/10^6 + OILTrade!$I$16</f>
        <v>0.4773823776839145</v>
      </c>
      <c r="N341" s="421">
        <f>DelivOIL!$G96*DelivOIL!V$82^5/(Conv!$I$5*Conv!$D$46)/10^6 + OILTrade!$I$16</f>
        <v>0.4773823776839145</v>
      </c>
      <c r="O341" s="421">
        <f>DelivOIL!$G96*DelivOIL!W$82^5/(Conv!$I$5*Conv!$D$46)/10^6 + OILTrade!$I$16</f>
        <v>0.4773823776839145</v>
      </c>
      <c r="P341" s="421">
        <f>DelivOIL!$G96*DelivOIL!X$82^5/(Conv!$I$5*Conv!$D$46)/10^6 + OILTrade!$I$16</f>
        <v>0.4773823776839145</v>
      </c>
      <c r="Q341" s="421">
        <f>DelivOIL!$G96*DelivOIL!Y$82^5/(Conv!$I$5*Conv!$D$46)/10^6 + OILTrade!$I$16</f>
        <v>0.4773823776839145</v>
      </c>
      <c r="S341" s="395"/>
      <c r="T341" s="395"/>
      <c r="U341" s="395"/>
      <c r="V341" s="395"/>
      <c r="W341" s="395"/>
      <c r="X341" s="395"/>
      <c r="Y341" s="395"/>
      <c r="Z341" s="395"/>
      <c r="AA341" s="395"/>
      <c r="AB341" s="395"/>
      <c r="AC341" s="395"/>
    </row>
    <row r="342" spans="2:29">
      <c r="B342" s="376" t="s">
        <v>588</v>
      </c>
      <c r="C342" s="376" t="str">
        <f>Technologies!C282</f>
        <v>XPCOMRFLR3</v>
      </c>
      <c r="D342" s="376" t="str">
        <f>Technologies!D282</f>
        <v>Delivery of Pipeline Traded COMRFL from R3</v>
      </c>
      <c r="E342" s="415" t="str">
        <f>Commodities!C128</f>
        <v>RFLR3</v>
      </c>
      <c r="F342" s="415" t="str">
        <f>Commodities!C104</f>
        <v>COMRFL</v>
      </c>
      <c r="G342" s="422">
        <v>1</v>
      </c>
      <c r="H342" s="421">
        <f>DelivOIL!$G96*DelivOIL!P$82^5/(Conv!$I$5*Conv!$D$46)/10^6 + OILTrade!$I$16</f>
        <v>0.47363029767619308</v>
      </c>
      <c r="I342" s="421">
        <f>DelivOIL!$G96*DelivOIL!Q$82^5/(Conv!$I$5*Conv!$D$46)/10^6 + OILTrade!$I$16</f>
        <v>0.44717104077856318</v>
      </c>
      <c r="J342" s="421">
        <f>DelivOIL!$G96*DelivOIL!R$82^5/(Conv!$I$5*Conv!$D$46)/10^6 + OILTrade!$I$16</f>
        <v>0.47750607163365988</v>
      </c>
      <c r="K342" s="421">
        <f>DelivOIL!$G96*DelivOIL!S$82^5/(Conv!$I$5*Conv!$D$46)/10^6 + OILTrade!$I$16</f>
        <v>0.51469756122929788</v>
      </c>
      <c r="L342" s="421">
        <f>DelivOIL!$G96*DelivOIL!T$82^5/(Conv!$I$5*Conv!$D$46)/10^6 + OILTrade!$I$16</f>
        <v>0.4897235545343287</v>
      </c>
      <c r="M342" s="421">
        <f>DelivOIL!$G96*DelivOIL!U$82^5/(Conv!$I$5*Conv!$D$46)/10^6 + OILTrade!$I$16</f>
        <v>0.4773823776839145</v>
      </c>
      <c r="N342" s="421">
        <f>DelivOIL!$G96*DelivOIL!V$82^5/(Conv!$I$5*Conv!$D$46)/10^6 + OILTrade!$I$16</f>
        <v>0.4773823776839145</v>
      </c>
      <c r="O342" s="421">
        <f>DelivOIL!$G96*DelivOIL!W$82^5/(Conv!$I$5*Conv!$D$46)/10^6 + OILTrade!$I$16</f>
        <v>0.4773823776839145</v>
      </c>
      <c r="P342" s="421">
        <f>DelivOIL!$G96*DelivOIL!X$82^5/(Conv!$I$5*Conv!$D$46)/10^6 + OILTrade!$I$16</f>
        <v>0.4773823776839145</v>
      </c>
      <c r="Q342" s="421">
        <f>DelivOIL!$G96*DelivOIL!Y$82^5/(Conv!$I$5*Conv!$D$46)/10^6 + OILTrade!$I$16</f>
        <v>0.4773823776839145</v>
      </c>
      <c r="S342" s="395"/>
      <c r="T342" s="395"/>
      <c r="U342" s="395"/>
      <c r="V342" s="395"/>
      <c r="W342" s="395"/>
      <c r="X342" s="395"/>
      <c r="Y342" s="395"/>
      <c r="Z342" s="395"/>
      <c r="AA342" s="395"/>
      <c r="AB342" s="395"/>
      <c r="AC342" s="395"/>
    </row>
    <row r="343" spans="2:29">
      <c r="B343" s="376" t="s">
        <v>588</v>
      </c>
      <c r="C343" s="376" t="str">
        <f>Technologies!C283</f>
        <v>XPINDRFLR3</v>
      </c>
      <c r="D343" s="376" t="str">
        <f>Technologies!D283</f>
        <v>Delivery of Pipeline Traded INDRFL from R3</v>
      </c>
      <c r="E343" s="415" t="str">
        <f>E342</f>
        <v>RFLR3</v>
      </c>
      <c r="F343" s="415" t="str">
        <f>Commodities!C105</f>
        <v>INDRFL</v>
      </c>
      <c r="G343" s="422">
        <v>1</v>
      </c>
      <c r="H343" s="421">
        <f>DelivOIL!$G97*DelivOIL!P$82^5/(Conv!$I$5*Conv!$D$46)/10^6 + OILTrade!$I$16</f>
        <v>0.28272605754021007</v>
      </c>
      <c r="I343" s="421">
        <f>DelivOIL!$G97*DelivOIL!Q$82^5/(Conv!$I$5*Conv!$D$46)/10^6 + OILTrade!$I$16</f>
        <v>0.27629002207862446</v>
      </c>
      <c r="J343" s="421">
        <f>DelivOIL!$G97*DelivOIL!R$82^5/(Conv!$I$5*Conv!$D$46)/10^6 + OILTrade!$I$16</f>
        <v>0.283668813367702</v>
      </c>
      <c r="K343" s="421">
        <f>DelivOIL!$G97*DelivOIL!S$82^5/(Conv!$I$5*Conv!$D$46)/10^6 + OILTrade!$I$16</f>
        <v>0.29271539191799234</v>
      </c>
      <c r="L343" s="421">
        <f>DelivOIL!$G97*DelivOIL!T$82^5/(Conv!$I$5*Conv!$D$46)/10^6 + OILTrade!$I$16</f>
        <v>0.28664063353272956</v>
      </c>
      <c r="M343" s="421">
        <f>DelivOIL!$G97*DelivOIL!U$82^5/(Conv!$I$5*Conv!$D$46)/10^6 + OILTrade!$I$16</f>
        <v>0.28363872565019638</v>
      </c>
      <c r="N343" s="421">
        <f>DelivOIL!$G97*DelivOIL!V$82^5/(Conv!$I$5*Conv!$D$46)/10^6 + OILTrade!$I$16</f>
        <v>0.28363872565019638</v>
      </c>
      <c r="O343" s="421">
        <f>DelivOIL!$G97*DelivOIL!W$82^5/(Conv!$I$5*Conv!$D$46)/10^6 + OILTrade!$I$16</f>
        <v>0.28363872565019638</v>
      </c>
      <c r="P343" s="421">
        <f>DelivOIL!$G97*DelivOIL!X$82^5/(Conv!$I$5*Conv!$D$46)/10^6 + OILTrade!$I$16</f>
        <v>0.28363872565019638</v>
      </c>
      <c r="Q343" s="421">
        <f>DelivOIL!$G97*DelivOIL!Y$82^5/(Conv!$I$5*Conv!$D$46)/10^6 + OILTrade!$I$16</f>
        <v>0.28363872565019638</v>
      </c>
      <c r="S343" s="395"/>
      <c r="T343" s="395"/>
      <c r="U343" s="395"/>
      <c r="V343" s="395"/>
      <c r="W343" s="395"/>
      <c r="X343" s="395"/>
      <c r="Y343" s="395"/>
      <c r="Z343" s="395"/>
      <c r="AA343" s="395"/>
      <c r="AB343" s="395"/>
      <c r="AC343" s="395"/>
    </row>
    <row r="344" spans="2:29">
      <c r="B344" s="376" t="s">
        <v>588</v>
      </c>
      <c r="C344" s="376" t="str">
        <f>Technologies!C284</f>
        <v>XPELCRFLR3</v>
      </c>
      <c r="D344" s="376" t="str">
        <f>Technologies!D284</f>
        <v>Delivery of Pipeline Traded ELCRFL from R3</v>
      </c>
      <c r="E344" s="415" t="str">
        <f>E343</f>
        <v>RFLR3</v>
      </c>
      <c r="F344" s="415" t="str">
        <f>Commodities!C106</f>
        <v>ELCRFL</v>
      </c>
      <c r="G344" s="422">
        <v>1</v>
      </c>
      <c r="H344" s="421">
        <f>DelivOIL!$G98*DelivOIL!P$82^5/(Conv!$I$5*Conv!$D$46)/10^6 + OILTrade!$I$16</f>
        <v>0.22136398035364413</v>
      </c>
      <c r="I344" s="421">
        <f>DelivOIL!$G98*DelivOIL!Q$82^5/(Conv!$I$5*Conv!$D$46)/10^6 + OILTrade!$I$16</f>
        <v>0.22136398035364413</v>
      </c>
      <c r="J344" s="421">
        <f>DelivOIL!$G98*DelivOIL!R$82^5/(Conv!$I$5*Conv!$D$46)/10^6 + OILTrade!$I$16</f>
        <v>0.22136398035364413</v>
      </c>
      <c r="K344" s="421">
        <f>DelivOIL!$G98*DelivOIL!S$82^5/(Conv!$I$5*Conv!$D$46)/10^6 + OILTrade!$I$16</f>
        <v>0.22136398035364413</v>
      </c>
      <c r="L344" s="421">
        <f>DelivOIL!$G98*DelivOIL!T$82^5/(Conv!$I$5*Conv!$D$46)/10^6 + OILTrade!$I$16</f>
        <v>0.22136398035364413</v>
      </c>
      <c r="M344" s="421">
        <f>DelivOIL!$G98*DelivOIL!U$82^5/(Conv!$I$5*Conv!$D$46)/10^6 + OILTrade!$I$16</f>
        <v>0.22136398035364413</v>
      </c>
      <c r="N344" s="421">
        <f>DelivOIL!$G98*DelivOIL!V$82^5/(Conv!$I$5*Conv!$D$46)/10^6 + OILTrade!$I$16</f>
        <v>0.22136398035364413</v>
      </c>
      <c r="O344" s="421">
        <f>DelivOIL!$G98*DelivOIL!W$82^5/(Conv!$I$5*Conv!$D$46)/10^6 + OILTrade!$I$16</f>
        <v>0.22136398035364413</v>
      </c>
      <c r="P344" s="421">
        <f>DelivOIL!$G98*DelivOIL!X$82^5/(Conv!$I$5*Conv!$D$46)/10^6 + OILTrade!$I$16</f>
        <v>0.22136398035364413</v>
      </c>
      <c r="Q344" s="421">
        <f>DelivOIL!$G98*DelivOIL!Y$82^5/(Conv!$I$5*Conv!$D$46)/10^6 + OILTrade!$I$16</f>
        <v>0.22136398035364413</v>
      </c>
      <c r="S344" s="395"/>
      <c r="T344" s="395"/>
      <c r="U344" s="395"/>
      <c r="V344" s="395"/>
      <c r="W344" s="395"/>
      <c r="X344" s="395"/>
      <c r="Y344" s="395"/>
      <c r="Z344" s="395"/>
      <c r="AA344" s="395"/>
      <c r="AB344" s="395"/>
      <c r="AC344" s="395"/>
    </row>
    <row r="345" spans="2:29">
      <c r="B345" s="376" t="s">
        <v>588</v>
      </c>
      <c r="C345" s="376" t="str">
        <f>Technologies!C285</f>
        <v>XPTRNRFHR3</v>
      </c>
      <c r="D345" s="376" t="str">
        <f>Technologies!D285</f>
        <v>Delivery of Pipeline Traded TRNRFH from R3</v>
      </c>
      <c r="E345" s="415" t="str">
        <f>Commodities!C127</f>
        <v>RFHR3</v>
      </c>
      <c r="F345" s="415" t="str">
        <f>Commodities!C107</f>
        <v>TRNRFH</v>
      </c>
      <c r="G345" s="422">
        <v>1</v>
      </c>
      <c r="H345" s="421">
        <f>DelivOIL!$G99*DelivOIL!P$82^5/(Conv!$I$5*Conv!$D$46)/10^6 + OILTrade!$I$16</f>
        <v>0.22136398035364413</v>
      </c>
      <c r="I345" s="421">
        <f>DelivOIL!$G99*DelivOIL!Q$82^5/(Conv!$I$5*Conv!$D$46)/10^6 + OILTrade!$I$16</f>
        <v>0.22136398035364413</v>
      </c>
      <c r="J345" s="421">
        <f>DelivOIL!$G99*DelivOIL!R$82^5/(Conv!$I$5*Conv!$D$46)/10^6 + OILTrade!$I$16</f>
        <v>0.22136398035364413</v>
      </c>
      <c r="K345" s="421">
        <f>DelivOIL!$G99*DelivOIL!S$82^5/(Conv!$I$5*Conv!$D$46)/10^6 + OILTrade!$I$16</f>
        <v>0.22136398035364413</v>
      </c>
      <c r="L345" s="421">
        <f>DelivOIL!$G99*DelivOIL!T$82^5/(Conv!$I$5*Conv!$D$46)/10^6 + OILTrade!$I$16</f>
        <v>0.22136398035364413</v>
      </c>
      <c r="M345" s="421">
        <f>DelivOIL!$G99*DelivOIL!U$82^5/(Conv!$I$5*Conv!$D$46)/10^6 + OILTrade!$I$16</f>
        <v>0.22136398035364413</v>
      </c>
      <c r="N345" s="421">
        <f>DelivOIL!$G99*DelivOIL!V$82^5/(Conv!$I$5*Conv!$D$46)/10^6 + OILTrade!$I$16</f>
        <v>0.22136398035364413</v>
      </c>
      <c r="O345" s="421">
        <f>DelivOIL!$G99*DelivOIL!W$82^5/(Conv!$I$5*Conv!$D$46)/10^6 + OILTrade!$I$16</f>
        <v>0.22136398035364413</v>
      </c>
      <c r="P345" s="421">
        <f>DelivOIL!$G99*DelivOIL!X$82^5/(Conv!$I$5*Conv!$D$46)/10^6 + OILTrade!$I$16</f>
        <v>0.22136398035364413</v>
      </c>
      <c r="Q345" s="421">
        <f>DelivOIL!$G99*DelivOIL!Y$82^5/(Conv!$I$5*Conv!$D$46)/10^6 + OILTrade!$I$16</f>
        <v>0.22136398035364413</v>
      </c>
      <c r="S345" s="395"/>
      <c r="T345" s="395"/>
      <c r="U345" s="395"/>
      <c r="V345" s="395"/>
      <c r="W345" s="395"/>
      <c r="X345" s="395"/>
      <c r="Y345" s="395"/>
      <c r="Z345" s="395"/>
      <c r="AA345" s="395"/>
      <c r="AB345" s="395"/>
      <c r="AC345" s="395"/>
    </row>
    <row r="346" spans="2:29">
      <c r="B346" s="376" t="s">
        <v>588</v>
      </c>
      <c r="C346" s="376" t="str">
        <f>Technologies!C286</f>
        <v>XPELCRFHR3</v>
      </c>
      <c r="D346" s="376" t="str">
        <f>Technologies!D286</f>
        <v>Delivery of Pipeline Traded ELCRFH from R3</v>
      </c>
      <c r="E346" s="415" t="str">
        <f>E345</f>
        <v>RFHR3</v>
      </c>
      <c r="F346" s="415" t="str">
        <f>Commodities!C108</f>
        <v>ELCRFH</v>
      </c>
      <c r="G346" s="422">
        <v>1</v>
      </c>
      <c r="H346" s="421">
        <f>DelivOIL!$G100*DelivOIL!P$82^5/(Conv!$I$5*Conv!$D$46)/10^6 + OILTrade!$I$16</f>
        <v>0.22136398035364413</v>
      </c>
      <c r="I346" s="421">
        <f>DelivOIL!$G100*DelivOIL!Q$82^5/(Conv!$I$5*Conv!$D$46)/10^6 + OILTrade!$I$16</f>
        <v>0.22136398035364413</v>
      </c>
      <c r="J346" s="421">
        <f>DelivOIL!$G100*DelivOIL!R$82^5/(Conv!$I$5*Conv!$D$46)/10^6 + OILTrade!$I$16</f>
        <v>0.22136398035364413</v>
      </c>
      <c r="K346" s="421">
        <f>DelivOIL!$G100*DelivOIL!S$82^5/(Conv!$I$5*Conv!$D$46)/10^6 + OILTrade!$I$16</f>
        <v>0.22136398035364413</v>
      </c>
      <c r="L346" s="421">
        <f>DelivOIL!$G100*DelivOIL!T$82^5/(Conv!$I$5*Conv!$D$46)/10^6 + OILTrade!$I$16</f>
        <v>0.22136398035364413</v>
      </c>
      <c r="M346" s="421">
        <f>DelivOIL!$G100*DelivOIL!U$82^5/(Conv!$I$5*Conv!$D$46)/10^6 + OILTrade!$I$16</f>
        <v>0.22136398035364413</v>
      </c>
      <c r="N346" s="421">
        <f>DelivOIL!$G100*DelivOIL!V$82^5/(Conv!$I$5*Conv!$D$46)/10^6 + OILTrade!$I$16</f>
        <v>0.22136398035364413</v>
      </c>
      <c r="O346" s="421">
        <f>DelivOIL!$G100*DelivOIL!W$82^5/(Conv!$I$5*Conv!$D$46)/10^6 + OILTrade!$I$16</f>
        <v>0.22136398035364413</v>
      </c>
      <c r="P346" s="421">
        <f>DelivOIL!$G100*DelivOIL!X$82^5/(Conv!$I$5*Conv!$D$46)/10^6 + OILTrade!$I$16</f>
        <v>0.22136398035364413</v>
      </c>
      <c r="Q346" s="421">
        <f>DelivOIL!$G100*DelivOIL!Y$82^5/(Conv!$I$5*Conv!$D$46)/10^6 + OILTrade!$I$16</f>
        <v>0.22136398035364413</v>
      </c>
      <c r="S346" s="395"/>
      <c r="T346" s="395"/>
      <c r="U346" s="395"/>
      <c r="V346" s="395"/>
      <c r="W346" s="395"/>
      <c r="X346" s="395"/>
      <c r="Y346" s="395"/>
      <c r="Z346" s="395"/>
      <c r="AA346" s="395"/>
      <c r="AB346" s="395"/>
      <c r="AC346" s="395"/>
    </row>
    <row r="347" spans="2:29">
      <c r="B347" s="376" t="s">
        <v>588</v>
      </c>
      <c r="C347" s="376" t="str">
        <f>Technologies!C287</f>
        <v>XPINDASPR3</v>
      </c>
      <c r="D347" s="376" t="str">
        <f>Technologies!D287</f>
        <v>Delivery of Pipeline Traded INDASP from R3</v>
      </c>
      <c r="E347" s="415" t="str">
        <f>Commodities!C129</f>
        <v>ASPR3</v>
      </c>
      <c r="F347" s="415" t="str">
        <f>Commodities!C109</f>
        <v>INDASP</v>
      </c>
      <c r="G347" s="422">
        <v>1</v>
      </c>
      <c r="H347" s="421">
        <f>DelivOIL!$G101*DelivOIL!P$82^5/(Conv!$I$5*Conv!$D$46)/10^6 + OILTrade!$I$16</f>
        <v>0.83498475221930291</v>
      </c>
      <c r="I347" s="421">
        <f>DelivOIL!$G101*DelivOIL!Q$82^5/(Conv!$I$5*Conv!$D$46)/10^6 + OILTrade!$I$16</f>
        <v>0.77062439760344659</v>
      </c>
      <c r="J347" s="421">
        <f>DelivOIL!$G101*DelivOIL!R$82^5/(Conv!$I$5*Conv!$D$46)/10^6 + OILTrade!$I$16</f>
        <v>0.84441231049422216</v>
      </c>
      <c r="K347" s="421">
        <f>DelivOIL!$G101*DelivOIL!S$82^5/(Conv!$I$5*Conv!$D$46)/10^6 + OILTrade!$I$16</f>
        <v>0.93487809599712524</v>
      </c>
      <c r="L347" s="421">
        <f>DelivOIL!$G101*DelivOIL!T$82^5/(Conv!$I$5*Conv!$D$46)/10^6 + OILTrade!$I$16</f>
        <v>0.87413051214449777</v>
      </c>
      <c r="M347" s="421">
        <f>DelivOIL!$G101*DelivOIL!U$82^5/(Conv!$I$5*Conv!$D$46)/10^6 + OILTrade!$I$16</f>
        <v>0.84411143331916594</v>
      </c>
      <c r="N347" s="421">
        <f>DelivOIL!$G101*DelivOIL!V$82^5/(Conv!$I$5*Conv!$D$46)/10^6 + OILTrade!$I$16</f>
        <v>0.84411143331916594</v>
      </c>
      <c r="O347" s="421">
        <f>DelivOIL!$G101*DelivOIL!W$82^5/(Conv!$I$5*Conv!$D$46)/10^6 + OILTrade!$I$16</f>
        <v>0.84411143331916594</v>
      </c>
      <c r="P347" s="421">
        <f>DelivOIL!$G101*DelivOIL!X$82^5/(Conv!$I$5*Conv!$D$46)/10^6 + OILTrade!$I$16</f>
        <v>0.84411143331916594</v>
      </c>
      <c r="Q347" s="421">
        <f>DelivOIL!$G101*DelivOIL!Y$82^5/(Conv!$I$5*Conv!$D$46)/10^6 + OILTrade!$I$16</f>
        <v>0.84411143331916594</v>
      </c>
      <c r="S347" s="395"/>
      <c r="T347" s="395"/>
      <c r="U347" s="395"/>
      <c r="V347" s="395"/>
      <c r="W347" s="395"/>
      <c r="X347" s="395"/>
      <c r="Y347" s="395"/>
      <c r="Z347" s="395"/>
      <c r="AA347" s="395"/>
      <c r="AB347" s="395"/>
      <c r="AC347" s="395"/>
    </row>
    <row r="348" spans="2:29">
      <c r="B348" s="376" t="s">
        <v>588</v>
      </c>
      <c r="C348" s="376"/>
      <c r="D348" s="376"/>
      <c r="E348" s="415"/>
      <c r="F348" s="415"/>
      <c r="G348" s="422"/>
      <c r="H348" s="423"/>
      <c r="I348" s="423"/>
      <c r="J348" s="423"/>
      <c r="K348" s="423"/>
      <c r="L348" s="423"/>
      <c r="M348" s="423"/>
      <c r="N348" s="423"/>
      <c r="O348" s="423"/>
      <c r="P348" s="423"/>
      <c r="Q348" s="423"/>
    </row>
    <row r="349" spans="2:29">
      <c r="B349" s="376" t="s">
        <v>588</v>
      </c>
      <c r="C349" s="376" t="str">
        <f>Technologies!C288</f>
        <v>XPTRGSLCR4</v>
      </c>
      <c r="D349" s="376" t="str">
        <f>Technologies!D288</f>
        <v>Delivery of Pipeline Traded TRGSLC from R4</v>
      </c>
      <c r="E349" s="415" t="str">
        <f>Commodities!C130</f>
        <v>GSCR4</v>
      </c>
      <c r="F349" s="415" t="str">
        <f>Commodities!C85</f>
        <v>TRGSLC</v>
      </c>
      <c r="G349" s="422">
        <v>1</v>
      </c>
      <c r="H349" s="421">
        <f>DelivOIL!$G77*DelivOIL!P$82^5/(Conv!$I$5*Conv!$D$46)/10^6 + OILTrade!$I$17</f>
        <v>3.555370174157058</v>
      </c>
      <c r="I349" s="421">
        <f>DelivOIL!$G77*DelivOIL!Q$82^5/(Conv!$I$5*Conv!$D$46)/10^6 + OILTrade!$I$17</f>
        <v>3.2056789140775721</v>
      </c>
      <c r="J349" s="421">
        <f>DelivOIL!$G77*DelivOIL!R$82^5/(Conv!$I$5*Conv!$D$46)/10^6 + OILTrade!$I$17</f>
        <v>3.606593240784119</v>
      </c>
      <c r="K349" s="421">
        <f>DelivOIL!$G77*DelivOIL!S$82^5/(Conv!$I$5*Conv!$D$46)/10^6 + OILTrade!$I$17</f>
        <v>4.098124008683226</v>
      </c>
      <c r="L349" s="421">
        <f>DelivOIL!$G77*DelivOIL!T$82^5/(Conv!$I$5*Conv!$D$46)/10^6 + OILTrade!$I$17</f>
        <v>3.7680621364172828</v>
      </c>
      <c r="M349" s="421">
        <f>DelivOIL!$G77*DelivOIL!U$82^5/(Conv!$I$5*Conv!$D$46)/10^6 + OILTrade!$I$17</f>
        <v>3.604958474799647</v>
      </c>
      <c r="N349" s="421">
        <f>DelivOIL!$G77*DelivOIL!V$82^5/(Conv!$I$5*Conv!$D$46)/10^6 + OILTrade!$I$17</f>
        <v>3.604958474799647</v>
      </c>
      <c r="O349" s="421">
        <f>DelivOIL!$G77*DelivOIL!W$82^5/(Conv!$I$5*Conv!$D$46)/10^6 + OILTrade!$I$17</f>
        <v>3.604958474799647</v>
      </c>
      <c r="P349" s="421">
        <f>DelivOIL!$G77*DelivOIL!X$82^5/(Conv!$I$5*Conv!$D$46)/10^6 + OILTrade!$I$17</f>
        <v>3.604958474799647</v>
      </c>
      <c r="Q349" s="421">
        <f>DelivOIL!$G77*DelivOIL!Y$82^5/(Conv!$I$5*Conv!$D$46)/10^6 + OILTrade!$I$17</f>
        <v>3.604958474799647</v>
      </c>
      <c r="S349" s="395"/>
      <c r="T349" s="395"/>
      <c r="U349" s="395"/>
      <c r="V349" s="395"/>
      <c r="W349" s="395"/>
      <c r="X349" s="395"/>
      <c r="Y349" s="395"/>
      <c r="Z349" s="395"/>
      <c r="AA349" s="395"/>
      <c r="AB349" s="395"/>
      <c r="AC349" s="395"/>
    </row>
    <row r="350" spans="2:29">
      <c r="B350" s="376" t="s">
        <v>588</v>
      </c>
      <c r="C350" s="376" t="str">
        <f>Technologies!C289</f>
        <v>XPTRGSLRR4</v>
      </c>
      <c r="D350" s="376" t="str">
        <f>Technologies!D289</f>
        <v>Delivery of Pipeline Traded TRGSLR from R4</v>
      </c>
      <c r="E350" s="415" t="str">
        <f>Commodities!C131</f>
        <v>GSRR4</v>
      </c>
      <c r="F350" s="415" t="str">
        <f>Commodities!C86</f>
        <v>TRGSLR</v>
      </c>
      <c r="G350" s="422">
        <v>1</v>
      </c>
      <c r="H350" s="421">
        <f>DelivOIL!$G78*DelivOIL!P$82^5/(Conv!$I$5*Conv!$D$46)/10^6 + OILTrade!$I$17</f>
        <v>3.5417341570044876</v>
      </c>
      <c r="I350" s="421">
        <f>DelivOIL!$G78*DelivOIL!Q$82^5/(Conv!$I$5*Conv!$D$46)/10^6 + OILTrade!$I$17</f>
        <v>3.1934731270275756</v>
      </c>
      <c r="J350" s="421">
        <f>DelivOIL!$G78*DelivOIL!R$82^5/(Conv!$I$5*Conv!$D$46)/10^6 + OILTrade!$I$17</f>
        <v>3.5927477223365498</v>
      </c>
      <c r="K350" s="421">
        <f>DelivOIL!$G78*DelivOIL!S$82^5/(Conv!$I$5*Conv!$D$46)/10^6 + OILTrade!$I$17</f>
        <v>4.0822681394467031</v>
      </c>
      <c r="L350" s="421">
        <f>DelivOIL!$G78*DelivOIL!T$82^5/(Conv!$I$5*Conv!$D$46)/10^6 + OILTrade!$I$17</f>
        <v>3.7535562134885967</v>
      </c>
      <c r="M350" s="421">
        <f>DelivOIL!$G78*DelivOIL!U$82^5/(Conv!$I$5*Conv!$D$46)/10^6 + OILTrade!$I$17</f>
        <v>3.5911196425115235</v>
      </c>
      <c r="N350" s="421">
        <f>DelivOIL!$G78*DelivOIL!V$82^5/(Conv!$I$5*Conv!$D$46)/10^6 + OILTrade!$I$17</f>
        <v>3.5911196425115235</v>
      </c>
      <c r="O350" s="421">
        <f>DelivOIL!$G78*DelivOIL!W$82^5/(Conv!$I$5*Conv!$D$46)/10^6 + OILTrade!$I$17</f>
        <v>3.5911196425115235</v>
      </c>
      <c r="P350" s="421">
        <f>DelivOIL!$G78*DelivOIL!X$82^5/(Conv!$I$5*Conv!$D$46)/10^6 + OILTrade!$I$17</f>
        <v>3.5911196425115235</v>
      </c>
      <c r="Q350" s="421">
        <f>DelivOIL!$G78*DelivOIL!Y$82^5/(Conv!$I$5*Conv!$D$46)/10^6 + OILTrade!$I$17</f>
        <v>3.5911196425115235</v>
      </c>
      <c r="S350" s="395"/>
      <c r="T350" s="395"/>
      <c r="U350" s="395"/>
      <c r="V350" s="395"/>
      <c r="W350" s="395"/>
      <c r="X350" s="395"/>
      <c r="Y350" s="395"/>
      <c r="Z350" s="395"/>
      <c r="AA350" s="395"/>
      <c r="AB350" s="395"/>
      <c r="AC350" s="395"/>
    </row>
    <row r="351" spans="2:29">
      <c r="B351" s="376" t="s">
        <v>588</v>
      </c>
      <c r="C351" s="376" t="str">
        <f>Technologies!C290</f>
        <v>XPRESDSLR4</v>
      </c>
      <c r="D351" s="376" t="str">
        <f>Technologies!D290</f>
        <v>Delivery of Pipeline Traded RESDSL from R4</v>
      </c>
      <c r="E351" s="415" t="str">
        <f>Commodities!C132</f>
        <v>DSHR4</v>
      </c>
      <c r="F351" s="415" t="str">
        <f>Commodities!C87</f>
        <v>RESDSL</v>
      </c>
      <c r="G351" s="422">
        <v>1</v>
      </c>
      <c r="H351" s="421">
        <f>DelivOIL!$G80*DelivOIL!P$82^5/(Conv!$I$5*Conv!$D$46)/10^6 + OILTrade!$I$17</f>
        <v>2.7440271535791312</v>
      </c>
      <c r="I351" s="421">
        <f>DelivOIL!$G80*DelivOIL!Q$82^5/(Conv!$I$5*Conv!$D$46)/10^6 + OILTrade!$I$17</f>
        <v>2.4794345846028327</v>
      </c>
      <c r="J351" s="421">
        <f>DelivOIL!$G80*DelivOIL!R$82^5/(Conv!$I$5*Conv!$D$46)/10^6 + OILTrade!$I$17</f>
        <v>2.7827848931537993</v>
      </c>
      <c r="K351" s="421">
        <f>DelivOIL!$G80*DelivOIL!S$82^5/(Conv!$I$5*Conv!$D$46)/10^6 + OILTrade!$I$17</f>
        <v>3.1546997891101789</v>
      </c>
      <c r="L351" s="421">
        <f>DelivOIL!$G80*DelivOIL!T$82^5/(Conv!$I$5*Conv!$D$46)/10^6 + OILTrade!$I$17</f>
        <v>2.9049597221604877</v>
      </c>
      <c r="M351" s="421">
        <f>DelivOIL!$G80*DelivOIL!U$82^5/(Conv!$I$5*Conv!$D$46)/10^6 + OILTrade!$I$17</f>
        <v>2.7815479536563461</v>
      </c>
      <c r="N351" s="421">
        <f>DelivOIL!$G80*DelivOIL!V$82^5/(Conv!$I$5*Conv!$D$46)/10^6 + OILTrade!$I$17</f>
        <v>2.7815479536563461</v>
      </c>
      <c r="O351" s="421">
        <f>DelivOIL!$G80*DelivOIL!W$82^5/(Conv!$I$5*Conv!$D$46)/10^6 + OILTrade!$I$17</f>
        <v>2.7815479536563461</v>
      </c>
      <c r="P351" s="421">
        <f>DelivOIL!$G80*DelivOIL!X$82^5/(Conv!$I$5*Conv!$D$46)/10^6 + OILTrade!$I$17</f>
        <v>2.7815479536563461</v>
      </c>
      <c r="Q351" s="421">
        <f>DelivOIL!$G80*DelivOIL!Y$82^5/(Conv!$I$5*Conv!$D$46)/10^6 + OILTrade!$I$17</f>
        <v>2.7815479536563461</v>
      </c>
      <c r="S351" s="395"/>
      <c r="T351" s="395"/>
      <c r="U351" s="395"/>
      <c r="V351" s="395"/>
      <c r="W351" s="395"/>
      <c r="X351" s="395"/>
      <c r="Y351" s="395"/>
      <c r="Z351" s="395"/>
      <c r="AA351" s="395"/>
      <c r="AB351" s="395"/>
      <c r="AC351" s="395"/>
    </row>
    <row r="352" spans="2:29">
      <c r="B352" s="376" t="s">
        <v>588</v>
      </c>
      <c r="C352" s="376" t="str">
        <f>Technologies!C291</f>
        <v>XPCOMDSLR4</v>
      </c>
      <c r="D352" s="376" t="str">
        <f>Technologies!D291</f>
        <v>Delivery of Pipeline Traded COMDSL from R4</v>
      </c>
      <c r="E352" s="415" t="str">
        <f>E351</f>
        <v>DSHR4</v>
      </c>
      <c r="F352" s="415" t="str">
        <f>Commodities!C88</f>
        <v>COMDSL</v>
      </c>
      <c r="G352" s="422">
        <v>1</v>
      </c>
      <c r="H352" s="421">
        <f>DelivOIL!$G81*DelivOIL!P$82^5/(Conv!$I$5*Conv!$D$46)/10^6 + OILTrade!$I$17</f>
        <v>1.094069078118137</v>
      </c>
      <c r="I352" s="421">
        <f>DelivOIL!$G81*DelivOIL!Q$82^5/(Conv!$I$5*Conv!$D$46)/10^6 + OILTrade!$I$17</f>
        <v>1.0025343515533636</v>
      </c>
      <c r="J352" s="421">
        <f>DelivOIL!$G81*DelivOIL!R$82^5/(Conv!$I$5*Conv!$D$46)/10^6 + OILTrade!$I$17</f>
        <v>1.1074771609980218</v>
      </c>
      <c r="K352" s="421">
        <f>DelivOIL!$G81*DelivOIL!S$82^5/(Conv!$I$5*Conv!$D$46)/10^6 + OILTrade!$I$17</f>
        <v>1.2361396114910397</v>
      </c>
      <c r="L352" s="421">
        <f>DelivOIL!$G81*DelivOIL!T$82^5/(Conv!$I$5*Conv!$D$46)/10^6 + OILTrade!$I$17</f>
        <v>1.1497430477895252</v>
      </c>
      <c r="M352" s="421">
        <f>DelivOIL!$G81*DelivOIL!U$82^5/(Conv!$I$5*Conv!$D$46)/10^6 + OILTrade!$I$17</f>
        <v>1.1070492467934976</v>
      </c>
      <c r="N352" s="421">
        <f>DelivOIL!$G81*DelivOIL!V$82^5/(Conv!$I$5*Conv!$D$46)/10^6 + OILTrade!$I$17</f>
        <v>1.1070492467934976</v>
      </c>
      <c r="O352" s="421">
        <f>DelivOIL!$G81*DelivOIL!W$82^5/(Conv!$I$5*Conv!$D$46)/10^6 + OILTrade!$I$17</f>
        <v>1.1070492467934976</v>
      </c>
      <c r="P352" s="421">
        <f>DelivOIL!$G81*DelivOIL!X$82^5/(Conv!$I$5*Conv!$D$46)/10^6 + OILTrade!$I$17</f>
        <v>1.1070492467934976</v>
      </c>
      <c r="Q352" s="421">
        <f>DelivOIL!$G81*DelivOIL!Y$82^5/(Conv!$I$5*Conv!$D$46)/10^6 + OILTrade!$I$17</f>
        <v>1.1070492467934976</v>
      </c>
      <c r="S352" s="395"/>
      <c r="T352" s="395"/>
      <c r="U352" s="395"/>
      <c r="V352" s="395"/>
      <c r="W352" s="395"/>
      <c r="X352" s="395"/>
      <c r="Y352" s="395"/>
      <c r="Z352" s="395"/>
      <c r="AA352" s="395"/>
      <c r="AB352" s="395"/>
      <c r="AC352" s="395"/>
    </row>
    <row r="353" spans="2:29">
      <c r="B353" s="376" t="s">
        <v>588</v>
      </c>
      <c r="C353" s="376" t="str">
        <f>Technologies!C292</f>
        <v>XPINDDSLR4</v>
      </c>
      <c r="D353" s="376" t="str">
        <f>Technologies!D292</f>
        <v>Delivery of Pipeline Traded INDDSL from R4</v>
      </c>
      <c r="E353" s="415" t="str">
        <f>E352</f>
        <v>DSHR4</v>
      </c>
      <c r="F353" s="415" t="str">
        <f>Commodities!C89</f>
        <v>INDDSL</v>
      </c>
      <c r="G353" s="422">
        <v>1</v>
      </c>
      <c r="H353" s="421">
        <f>DelivOIL!$G82*DelivOIL!P$82^5/(Conv!$I$5*Conv!$D$46)/10^6 + OILTrade!$I$17</f>
        <v>1.3940614554746817</v>
      </c>
      <c r="I353" s="421">
        <f>DelivOIL!$G82*DelivOIL!Q$82^5/(Conv!$I$5*Conv!$D$46)/10^6 + OILTrade!$I$17</f>
        <v>1.2710616666532673</v>
      </c>
      <c r="J353" s="421">
        <f>DelivOIL!$G82*DelivOIL!R$82^5/(Conv!$I$5*Conv!$D$46)/10^6 + OILTrade!$I$17</f>
        <v>1.412078566844527</v>
      </c>
      <c r="K353" s="421">
        <f>DelivOIL!$G82*DelivOIL!S$82^5/(Conv!$I$5*Conv!$D$46)/10^6 + OILTrade!$I$17</f>
        <v>1.5849687346945198</v>
      </c>
      <c r="L353" s="421">
        <f>DelivOIL!$G82*DelivOIL!T$82^5/(Conv!$I$5*Conv!$D$46)/10^6 + OILTrade!$I$17</f>
        <v>1.4688733522206094</v>
      </c>
      <c r="M353" s="421">
        <f>DelivOIL!$G82*DelivOIL!U$82^5/(Conv!$I$5*Conv!$D$46)/10^6 + OILTrade!$I$17</f>
        <v>1.4115035571321979</v>
      </c>
      <c r="N353" s="421">
        <f>DelivOIL!$G82*DelivOIL!V$82^5/(Conv!$I$5*Conv!$D$46)/10^6 + OILTrade!$I$17</f>
        <v>1.4115035571321979</v>
      </c>
      <c r="O353" s="421">
        <f>DelivOIL!$G82*DelivOIL!W$82^5/(Conv!$I$5*Conv!$D$46)/10^6 + OILTrade!$I$17</f>
        <v>1.4115035571321979</v>
      </c>
      <c r="P353" s="421">
        <f>DelivOIL!$G82*DelivOIL!X$82^5/(Conv!$I$5*Conv!$D$46)/10^6 + OILTrade!$I$17</f>
        <v>1.4115035571321979</v>
      </c>
      <c r="Q353" s="421">
        <f>DelivOIL!$G82*DelivOIL!Y$82^5/(Conv!$I$5*Conv!$D$46)/10^6 + OILTrade!$I$17</f>
        <v>1.4115035571321979</v>
      </c>
      <c r="S353" s="395"/>
      <c r="T353" s="395"/>
      <c r="U353" s="395"/>
      <c r="V353" s="395"/>
      <c r="W353" s="395"/>
      <c r="X353" s="395"/>
      <c r="Y353" s="395"/>
      <c r="Z353" s="395"/>
      <c r="AA353" s="395"/>
      <c r="AB353" s="395"/>
      <c r="AC353" s="395"/>
    </row>
    <row r="354" spans="2:29">
      <c r="B354" s="376" t="s">
        <v>588</v>
      </c>
      <c r="C354" s="376" t="str">
        <f>Technologies!C293</f>
        <v>XPELCDSLR4</v>
      </c>
      <c r="D354" s="376" t="str">
        <f>Technologies!D293</f>
        <v>Delivery of Pipeline Traded ELCDSL from R4</v>
      </c>
      <c r="E354" s="415" t="str">
        <f>E353</f>
        <v>DSHR4</v>
      </c>
      <c r="F354" s="415" t="str">
        <f>Commodities!C90</f>
        <v>ELCDSL</v>
      </c>
      <c r="G354" s="422">
        <v>1</v>
      </c>
      <c r="H354" s="421">
        <f>DelivOIL!$G83*DelivOIL!P$82^5/(Conv!$I$5*Conv!$D$46)/10^6 + OILTrade!$I$17</f>
        <v>1.0463430180841411</v>
      </c>
      <c r="I354" s="421">
        <f>DelivOIL!$G83*DelivOIL!Q$82^5/(Conv!$I$5*Conv!$D$46)/10^6 + OILTrade!$I$17</f>
        <v>0.95981409687837893</v>
      </c>
      <c r="J354" s="421">
        <f>DelivOIL!$G83*DelivOIL!R$82^5/(Conv!$I$5*Conv!$D$46)/10^6 + OILTrade!$I$17</f>
        <v>1.0590178464315325</v>
      </c>
      <c r="K354" s="421">
        <f>DelivOIL!$G83*DelivOIL!S$82^5/(Conv!$I$5*Conv!$D$46)/10^6 + OILTrade!$I$17</f>
        <v>1.1806440691632134</v>
      </c>
      <c r="L354" s="421">
        <f>DelivOIL!$G83*DelivOIL!T$82^5/(Conv!$I$5*Conv!$D$46)/10^6 + OILTrade!$I$17</f>
        <v>1.0989723175391253</v>
      </c>
      <c r="M354" s="421">
        <f>DelivOIL!$G83*DelivOIL!U$82^5/(Conv!$I$5*Conv!$D$46)/10^6 + OILTrade!$I$17</f>
        <v>1.0586133337850683</v>
      </c>
      <c r="N354" s="421">
        <f>DelivOIL!$G83*DelivOIL!V$82^5/(Conv!$I$5*Conv!$D$46)/10^6 + OILTrade!$I$17</f>
        <v>1.0586133337850683</v>
      </c>
      <c r="O354" s="421">
        <f>DelivOIL!$G83*DelivOIL!W$82^5/(Conv!$I$5*Conv!$D$46)/10^6 + OILTrade!$I$17</f>
        <v>1.0586133337850683</v>
      </c>
      <c r="P354" s="421">
        <f>DelivOIL!$G83*DelivOIL!X$82^5/(Conv!$I$5*Conv!$D$46)/10^6 + OILTrade!$I$17</f>
        <v>1.0586133337850683</v>
      </c>
      <c r="Q354" s="421">
        <f>DelivOIL!$G83*DelivOIL!Y$82^5/(Conv!$I$5*Conv!$D$46)/10^6 + OILTrade!$I$17</f>
        <v>1.0586133337850683</v>
      </c>
      <c r="S354" s="395"/>
      <c r="T354" s="395"/>
      <c r="U354" s="395"/>
      <c r="V354" s="395"/>
      <c r="W354" s="395"/>
      <c r="X354" s="395"/>
      <c r="Y354" s="395"/>
      <c r="Z354" s="395"/>
      <c r="AA354" s="395"/>
      <c r="AB354" s="395"/>
      <c r="AC354" s="395"/>
    </row>
    <row r="355" spans="2:29">
      <c r="B355" s="376" t="s">
        <v>588</v>
      </c>
      <c r="C355" s="376" t="str">
        <f>Technologies!C294</f>
        <v>XPTRDSLLR4</v>
      </c>
      <c r="D355" s="376" t="str">
        <f>Technologies!D294</f>
        <v>Delivery of Pipeline Traded TRDSLL from R4</v>
      </c>
      <c r="E355" s="415" t="str">
        <f>Commodities!C133</f>
        <v>DSLR4</v>
      </c>
      <c r="F355" s="415" t="str">
        <f>Commodities!C91</f>
        <v>TRDSLL</v>
      </c>
      <c r="G355" s="422">
        <v>1</v>
      </c>
      <c r="H355" s="421">
        <f>DelivOIL!$G84*DelivOIL!P$82^5/(Conv!$I$5*Conv!$D$46)/10^6 + OILTrade!$I$17</f>
        <v>3.7871824657507513</v>
      </c>
      <c r="I355" s="421">
        <f>DelivOIL!$G84*DelivOIL!Q$82^5/(Conv!$I$5*Conv!$D$46)/10^6 + OILTrade!$I$17</f>
        <v>3.4131772939274967</v>
      </c>
      <c r="J355" s="421">
        <f>DelivOIL!$G84*DelivOIL!R$82^5/(Conv!$I$5*Conv!$D$46)/10^6 + OILTrade!$I$17</f>
        <v>3.8419670543927813</v>
      </c>
      <c r="K355" s="421">
        <f>DelivOIL!$G84*DelivOIL!S$82^5/(Conv!$I$5*Conv!$D$46)/10^6 + OILTrade!$I$17</f>
        <v>4.3676737857040964</v>
      </c>
      <c r="L355" s="421">
        <f>DelivOIL!$G84*DelivOIL!T$82^5/(Conv!$I$5*Conv!$D$46)/10^6 + OILTrade!$I$17</f>
        <v>4.0146628262049386</v>
      </c>
      <c r="M355" s="421">
        <f>DelivOIL!$G84*DelivOIL!U$82^5/(Conv!$I$5*Conv!$D$46)/10^6 + OILTrade!$I$17</f>
        <v>3.8402186236977327</v>
      </c>
      <c r="N355" s="421">
        <f>DelivOIL!$G84*DelivOIL!V$82^5/(Conv!$I$5*Conv!$D$46)/10^6 + OILTrade!$I$17</f>
        <v>3.8402186236977327</v>
      </c>
      <c r="O355" s="421">
        <f>DelivOIL!$G84*DelivOIL!W$82^5/(Conv!$I$5*Conv!$D$46)/10^6 + OILTrade!$I$17</f>
        <v>3.8402186236977327</v>
      </c>
      <c r="P355" s="421">
        <f>DelivOIL!$G84*DelivOIL!X$82^5/(Conv!$I$5*Conv!$D$46)/10^6 + OILTrade!$I$17</f>
        <v>3.8402186236977327</v>
      </c>
      <c r="Q355" s="421">
        <f>DelivOIL!$G84*DelivOIL!Y$82^5/(Conv!$I$5*Conv!$D$46)/10^6 + OILTrade!$I$17</f>
        <v>3.8402186236977327</v>
      </c>
      <c r="S355" s="395"/>
      <c r="T355" s="395"/>
      <c r="U355" s="395"/>
      <c r="V355" s="395"/>
      <c r="W355" s="395"/>
      <c r="X355" s="395"/>
      <c r="Y355" s="395"/>
      <c r="Z355" s="395"/>
      <c r="AA355" s="395"/>
      <c r="AB355" s="395"/>
      <c r="AC355" s="395"/>
    </row>
    <row r="356" spans="2:29">
      <c r="B356" s="376" t="s">
        <v>588</v>
      </c>
      <c r="C356" s="376" t="str">
        <f>Technologies!C295</f>
        <v>XPTRDSLUR4</v>
      </c>
      <c r="D356" s="376" t="str">
        <f>Technologies!D295</f>
        <v>Delivery of Pipeline Traded TRDSLU from R4</v>
      </c>
      <c r="E356" s="415" t="str">
        <f>Commodities!C134</f>
        <v>DSUR4</v>
      </c>
      <c r="F356" s="415" t="str">
        <f>Commodities!C92</f>
        <v>TRDSLU</v>
      </c>
      <c r="G356" s="422">
        <v>1</v>
      </c>
      <c r="H356" s="421">
        <f>DelivOIL!$G85*DelivOIL!P$82^5/(Conv!$I$5*Conv!$D$46)/10^6 + OILTrade!$I$17</f>
        <v>3.1462896595799519</v>
      </c>
      <c r="I356" s="421">
        <f>DelivOIL!$G85*DelivOIL!Q$82^5/(Conv!$I$5*Conv!$D$46)/10^6 + OILTrade!$I$17</f>
        <v>2.8395053025777033</v>
      </c>
      <c r="J356" s="421">
        <f>DelivOIL!$G85*DelivOIL!R$82^5/(Conv!$I$5*Conv!$D$46)/10^6 + OILTrade!$I$17</f>
        <v>3.1912276873570669</v>
      </c>
      <c r="K356" s="421">
        <f>DelivOIL!$G85*DelivOIL!S$82^5/(Conv!$I$5*Conv!$D$46)/10^6 + OILTrade!$I$17</f>
        <v>3.6224479315875713</v>
      </c>
      <c r="L356" s="421">
        <f>DelivOIL!$G85*DelivOIL!T$82^5/(Conv!$I$5*Conv!$D$46)/10^6 + OILTrade!$I$17</f>
        <v>3.332884448556714</v>
      </c>
      <c r="M356" s="421">
        <f>DelivOIL!$G85*DelivOIL!U$82^5/(Conv!$I$5*Conv!$D$46)/10^6 + OILTrade!$I$17</f>
        <v>3.1897935061559655</v>
      </c>
      <c r="N356" s="421">
        <f>DelivOIL!$G85*DelivOIL!V$82^5/(Conv!$I$5*Conv!$D$46)/10^6 + OILTrade!$I$17</f>
        <v>3.1897935061559655</v>
      </c>
      <c r="O356" s="421">
        <f>DelivOIL!$G85*DelivOIL!W$82^5/(Conv!$I$5*Conv!$D$46)/10^6 + OILTrade!$I$17</f>
        <v>3.1897935061559655</v>
      </c>
      <c r="P356" s="421">
        <f>DelivOIL!$G85*DelivOIL!X$82^5/(Conv!$I$5*Conv!$D$46)/10^6 + OILTrade!$I$17</f>
        <v>3.1897935061559655</v>
      </c>
      <c r="Q356" s="421">
        <f>DelivOIL!$G85*DelivOIL!Y$82^5/(Conv!$I$5*Conv!$D$46)/10^6 + OILTrade!$I$17</f>
        <v>3.1897935061559655</v>
      </c>
      <c r="S356" s="395"/>
      <c r="T356" s="395"/>
      <c r="U356" s="395"/>
      <c r="V356" s="395"/>
      <c r="W356" s="395"/>
      <c r="X356" s="395"/>
      <c r="Y356" s="395"/>
      <c r="Z356" s="395"/>
      <c r="AA356" s="395"/>
      <c r="AB356" s="395"/>
      <c r="AC356" s="395"/>
    </row>
    <row r="357" spans="2:29">
      <c r="B357" s="376" t="s">
        <v>588</v>
      </c>
      <c r="C357" s="376" t="str">
        <f>Technologies!C296</f>
        <v>XPTRNJTFR4</v>
      </c>
      <c r="D357" s="376" t="str">
        <f>Technologies!D296</f>
        <v>Delivery of Pipeline Traded TRNJTF from R4</v>
      </c>
      <c r="E357" s="415" t="str">
        <f>Commodities!C135</f>
        <v>JTFR4</v>
      </c>
      <c r="F357" s="415" t="str">
        <f>Commodities!C93</f>
        <v>TRNJTF</v>
      </c>
      <c r="G357" s="422">
        <v>1</v>
      </c>
      <c r="H357" s="421">
        <f>DelivOIL!$G86*DelivOIL!P$82^5/(Conv!$I$5*Conv!$D$46)/10^6 + OILTrade!$I$17</f>
        <v>0.93043687228729433</v>
      </c>
      <c r="I357" s="421">
        <f>DelivOIL!$G86*DelivOIL!Q$82^5/(Conv!$I$5*Conv!$D$46)/10^6 + OILTrade!$I$17</f>
        <v>0.85606490695341597</v>
      </c>
      <c r="J357" s="421">
        <f>DelivOIL!$G86*DelivOIL!R$82^5/(Conv!$I$5*Conv!$D$46)/10^6 + OILTrade!$I$17</f>
        <v>0.94133093962720094</v>
      </c>
      <c r="K357" s="421">
        <f>DelivOIL!$G86*DelivOIL!S$82^5/(Conv!$I$5*Conv!$D$46)/10^6 + OILTrade!$I$17</f>
        <v>1.045869180652778</v>
      </c>
      <c r="L357" s="421">
        <f>DelivOIL!$G86*DelivOIL!T$82^5/(Conv!$I$5*Conv!$D$46)/10^6 + OILTrade!$I$17</f>
        <v>0.97567197264529715</v>
      </c>
      <c r="M357" s="421">
        <f>DelivOIL!$G86*DelivOIL!U$82^5/(Conv!$I$5*Conv!$D$46)/10^6 + OILTrade!$I$17</f>
        <v>0.940983259336025</v>
      </c>
      <c r="N357" s="421">
        <f>DelivOIL!$G86*DelivOIL!V$82^5/(Conv!$I$5*Conv!$D$46)/10^6 + OILTrade!$I$17</f>
        <v>0.940983259336025</v>
      </c>
      <c r="O357" s="421">
        <f>DelivOIL!$G86*DelivOIL!W$82^5/(Conv!$I$5*Conv!$D$46)/10^6 + OILTrade!$I$17</f>
        <v>0.940983259336025</v>
      </c>
      <c r="P357" s="421">
        <f>DelivOIL!$G86*DelivOIL!X$82^5/(Conv!$I$5*Conv!$D$46)/10^6 + OILTrade!$I$17</f>
        <v>0.940983259336025</v>
      </c>
      <c r="Q357" s="421">
        <f>DelivOIL!$G86*DelivOIL!Y$82^5/(Conv!$I$5*Conv!$D$46)/10^6 + OILTrade!$I$17</f>
        <v>0.940983259336025</v>
      </c>
      <c r="S357" s="395"/>
      <c r="T357" s="395"/>
      <c r="U357" s="395"/>
      <c r="V357" s="395"/>
      <c r="W357" s="395"/>
      <c r="X357" s="395"/>
      <c r="Y357" s="395"/>
      <c r="Z357" s="395"/>
      <c r="AA357" s="395"/>
      <c r="AB357" s="395"/>
      <c r="AC357" s="395"/>
    </row>
    <row r="358" spans="2:29">
      <c r="B358" s="376" t="s">
        <v>588</v>
      </c>
      <c r="C358" s="376" t="str">
        <f>Technologies!C297</f>
        <v>XPRESKERR4</v>
      </c>
      <c r="D358" s="376" t="str">
        <f>Technologies!D297</f>
        <v>Delivery of Pipeline Traded RESKER from R4</v>
      </c>
      <c r="E358" s="415" t="str">
        <f>Commodities!C136</f>
        <v>KERR4</v>
      </c>
      <c r="F358" s="415" t="str">
        <f>Commodities!C94</f>
        <v>RESKER</v>
      </c>
      <c r="G358" s="422">
        <v>1</v>
      </c>
      <c r="H358" s="421">
        <f>DelivOIL!$G87*DelivOIL!P$82^5/(Conv!$I$5*Conv!$D$46)/10^6 + OILTrade!$I$17</f>
        <v>2.9281133851388299</v>
      </c>
      <c r="I358" s="421">
        <f>DelivOIL!$G87*DelivOIL!Q$82^5/(Conv!$I$5*Conv!$D$46)/10^6 + OILTrade!$I$17</f>
        <v>2.6442127097777748</v>
      </c>
      <c r="J358" s="421">
        <f>DelivOIL!$G87*DelivOIL!R$82^5/(Conv!$I$5*Conv!$D$46)/10^6 + OILTrade!$I$17</f>
        <v>2.9696993921959733</v>
      </c>
      <c r="K358" s="421">
        <f>DelivOIL!$G87*DelivOIL!S$82^5/(Conv!$I$5*Conv!$D$46)/10^6 + OILTrade!$I$17</f>
        <v>3.3687540238032239</v>
      </c>
      <c r="L358" s="421">
        <f>DelivOIL!$G87*DelivOIL!T$82^5/(Conv!$I$5*Conv!$D$46)/10^6 + OILTrade!$I$17</f>
        <v>3.1007896816977447</v>
      </c>
      <c r="M358" s="421">
        <f>DelivOIL!$G87*DelivOIL!U$82^5/(Conv!$I$5*Conv!$D$46)/10^6 + OILTrade!$I$17</f>
        <v>2.9683721895460038</v>
      </c>
      <c r="N358" s="421">
        <f>DelivOIL!$G87*DelivOIL!V$82^5/(Conv!$I$5*Conv!$D$46)/10^6 + OILTrade!$I$17</f>
        <v>2.9683721895460038</v>
      </c>
      <c r="O358" s="421">
        <f>DelivOIL!$G87*DelivOIL!W$82^5/(Conv!$I$5*Conv!$D$46)/10^6 + OILTrade!$I$17</f>
        <v>2.9683721895460038</v>
      </c>
      <c r="P358" s="421">
        <f>DelivOIL!$G87*DelivOIL!X$82^5/(Conv!$I$5*Conv!$D$46)/10^6 + OILTrade!$I$17</f>
        <v>2.9683721895460038</v>
      </c>
      <c r="Q358" s="421">
        <f>DelivOIL!$G87*DelivOIL!Y$82^5/(Conv!$I$5*Conv!$D$46)/10^6 + OILTrade!$I$17</f>
        <v>2.9683721895460038</v>
      </c>
      <c r="S358" s="395"/>
      <c r="T358" s="395"/>
      <c r="U358" s="395"/>
      <c r="V358" s="395"/>
      <c r="W358" s="395"/>
      <c r="X358" s="395"/>
      <c r="Y358" s="395"/>
      <c r="Z358" s="395"/>
      <c r="AA358" s="395"/>
      <c r="AB358" s="395"/>
      <c r="AC358" s="395"/>
    </row>
    <row r="359" spans="2:29">
      <c r="B359" s="376" t="s">
        <v>588</v>
      </c>
      <c r="C359" s="376" t="str">
        <f>Technologies!C298</f>
        <v>XPCOMKERR4</v>
      </c>
      <c r="D359" s="376" t="str">
        <f>Technologies!D298</f>
        <v>Delivery of Pipeline Traded COMKER from R4</v>
      </c>
      <c r="E359" s="415" t="str">
        <f>E358</f>
        <v>KERR4</v>
      </c>
      <c r="F359" s="415" t="str">
        <f>Commodities!C95</f>
        <v>COMKER</v>
      </c>
      <c r="G359" s="422">
        <v>1</v>
      </c>
      <c r="H359" s="421">
        <f>DelivOIL!$G88*DelivOIL!P$82^5/(Conv!$I$5*Conv!$D$46)/10^6 + OILTrade!$I$17</f>
        <v>2.9962934709016795</v>
      </c>
      <c r="I359" s="421">
        <f>DelivOIL!$G88*DelivOIL!Q$82^5/(Conv!$I$5*Conv!$D$46)/10^6 + OILTrade!$I$17</f>
        <v>2.7052416450277512</v>
      </c>
      <c r="J359" s="421">
        <f>DelivOIL!$G88*DelivOIL!R$82^5/(Conv!$I$5*Conv!$D$46)/10^6 + OILTrade!$I$17</f>
        <v>3.038926984433814</v>
      </c>
      <c r="K359" s="421">
        <f>DelivOIL!$G88*DelivOIL!S$82^5/(Conv!$I$5*Conv!$D$46)/10^6 + OILTrade!$I$17</f>
        <v>3.4480333699858314</v>
      </c>
      <c r="L359" s="421">
        <f>DelivOIL!$G88*DelivOIL!T$82^5/(Conv!$I$5*Conv!$D$46)/10^6 + OILTrade!$I$17</f>
        <v>3.1733192963411709</v>
      </c>
      <c r="M359" s="421">
        <f>DelivOIL!$G88*DelivOIL!U$82^5/(Conv!$I$5*Conv!$D$46)/10^6 + OILTrade!$I$17</f>
        <v>3.0375663509866153</v>
      </c>
      <c r="N359" s="421">
        <f>DelivOIL!$G88*DelivOIL!V$82^5/(Conv!$I$5*Conv!$D$46)/10^6 + OILTrade!$I$17</f>
        <v>3.0375663509866153</v>
      </c>
      <c r="O359" s="421">
        <f>DelivOIL!$G88*DelivOIL!W$82^5/(Conv!$I$5*Conv!$D$46)/10^6 + OILTrade!$I$17</f>
        <v>3.0375663509866153</v>
      </c>
      <c r="P359" s="421">
        <f>DelivOIL!$G88*DelivOIL!X$82^5/(Conv!$I$5*Conv!$D$46)/10^6 + OILTrade!$I$17</f>
        <v>3.0375663509866153</v>
      </c>
      <c r="Q359" s="421">
        <f>DelivOIL!$G88*DelivOIL!Y$82^5/(Conv!$I$5*Conv!$D$46)/10^6 + OILTrade!$I$17</f>
        <v>3.0375663509866153</v>
      </c>
      <c r="S359" s="395"/>
      <c r="T359" s="395"/>
      <c r="U359" s="395"/>
      <c r="V359" s="395"/>
      <c r="W359" s="395"/>
      <c r="X359" s="395"/>
      <c r="Y359" s="395"/>
      <c r="Z359" s="395"/>
      <c r="AA359" s="395"/>
      <c r="AB359" s="395"/>
      <c r="AC359" s="395"/>
    </row>
    <row r="360" spans="2:29">
      <c r="B360" s="376" t="s">
        <v>588</v>
      </c>
      <c r="C360" s="376" t="str">
        <f>Technologies!C299</f>
        <v>XPINDKERR4</v>
      </c>
      <c r="D360" s="376" t="str">
        <f>Technologies!D299</f>
        <v>Delivery of Pipeline Traded INDKER from R4</v>
      </c>
      <c r="E360" s="415" t="str">
        <f>E359</f>
        <v>KERR4</v>
      </c>
      <c r="F360" s="415" t="str">
        <f>Commodities!C96</f>
        <v>INDKER</v>
      </c>
      <c r="G360" s="422">
        <v>1</v>
      </c>
      <c r="H360" s="421">
        <f>DelivOIL!$G89*DelivOIL!P$82^5/(Conv!$I$5*Conv!$D$46)/10^6 + OILTrade!$I$17</f>
        <v>1.8304140043569284</v>
      </c>
      <c r="I360" s="421">
        <f>DelivOIL!$G89*DelivOIL!Q$82^5/(Conv!$I$5*Conv!$D$46)/10^6 + OILTrade!$I$17</f>
        <v>1.6616468522531274</v>
      </c>
      <c r="J360" s="421">
        <f>DelivOIL!$G89*DelivOIL!R$82^5/(Conv!$I$5*Conv!$D$46)/10^6 + OILTrade!$I$17</f>
        <v>1.8551351571667167</v>
      </c>
      <c r="K360" s="421">
        <f>DelivOIL!$G89*DelivOIL!S$82^5/(Conv!$I$5*Conv!$D$46)/10^6 + OILTrade!$I$17</f>
        <v>2.0923565502632182</v>
      </c>
      <c r="L360" s="421">
        <f>DelivOIL!$G89*DelivOIL!T$82^5/(Conv!$I$5*Conv!$D$46)/10^6 + OILTrade!$I$17</f>
        <v>1.9330628859385506</v>
      </c>
      <c r="M360" s="421">
        <f>DelivOIL!$G89*DelivOIL!U$82^5/(Conv!$I$5*Conv!$D$46)/10^6 + OILTrade!$I$17</f>
        <v>1.8543461903521248</v>
      </c>
      <c r="N360" s="421">
        <f>DelivOIL!$G89*DelivOIL!V$82^5/(Conv!$I$5*Conv!$D$46)/10^6 + OILTrade!$I$17</f>
        <v>1.8543461903521248</v>
      </c>
      <c r="O360" s="421">
        <f>DelivOIL!$G89*DelivOIL!W$82^5/(Conv!$I$5*Conv!$D$46)/10^6 + OILTrade!$I$17</f>
        <v>1.8543461903521248</v>
      </c>
      <c r="P360" s="421">
        <f>DelivOIL!$G89*DelivOIL!X$82^5/(Conv!$I$5*Conv!$D$46)/10^6 + OILTrade!$I$17</f>
        <v>1.8543461903521248</v>
      </c>
      <c r="Q360" s="421">
        <f>DelivOIL!$G89*DelivOIL!Y$82^5/(Conv!$I$5*Conv!$D$46)/10^6 + OILTrade!$I$17</f>
        <v>1.8543461903521248</v>
      </c>
      <c r="S360" s="395"/>
      <c r="T360" s="395"/>
      <c r="U360" s="395"/>
      <c r="V360" s="395"/>
      <c r="W360" s="395"/>
      <c r="X360" s="395"/>
      <c r="Y360" s="395"/>
      <c r="Z360" s="395"/>
      <c r="AA360" s="395"/>
      <c r="AB360" s="395"/>
      <c r="AC360" s="395"/>
    </row>
    <row r="361" spans="2:29">
      <c r="B361" s="376" t="s">
        <v>588</v>
      </c>
      <c r="C361" s="376" t="str">
        <f>Technologies!C300</f>
        <v>XPRESLPGR4</v>
      </c>
      <c r="D361" s="376" t="str">
        <f>Technologies!D300</f>
        <v>Delivery of Pipeline Traded RESLPG from R4</v>
      </c>
      <c r="E361" s="415" t="str">
        <f>Commodities!C137</f>
        <v>LPGR4</v>
      </c>
      <c r="F361" s="415" t="str">
        <f>Commodities!C97</f>
        <v>RESLPG</v>
      </c>
      <c r="G361" s="422">
        <v>1</v>
      </c>
      <c r="H361" s="421">
        <f>DelivOIL!$G90*DelivOIL!P$82^5/(Conv!$I$5*Conv!$D$46)/10^6 + OILTrade!$I$17</f>
        <v>4.912153880837792</v>
      </c>
      <c r="I361" s="421">
        <f>DelivOIL!$G90*DelivOIL!Q$82^5/(Conv!$I$5*Conv!$D$46)/10^6 + OILTrade!$I$17</f>
        <v>4.420154725552135</v>
      </c>
      <c r="J361" s="421">
        <f>DelivOIL!$G90*DelivOIL!R$82^5/(Conv!$I$5*Conv!$D$46)/10^6 + OILTrade!$I$17</f>
        <v>4.984222326317175</v>
      </c>
      <c r="K361" s="421">
        <f>DelivOIL!$G90*DelivOIL!S$82^5/(Conv!$I$5*Conv!$D$46)/10^6 + OILTrade!$I$17</f>
        <v>5.6757829977171443</v>
      </c>
      <c r="L361" s="421">
        <f>DelivOIL!$G90*DelivOIL!T$82^5/(Conv!$I$5*Conv!$D$46)/10^6 + OILTrade!$I$17</f>
        <v>5.2114014678215037</v>
      </c>
      <c r="M361" s="421">
        <f>DelivOIL!$G90*DelivOIL!U$82^5/(Conv!$I$5*Conv!$D$46)/10^6 + OILTrade!$I$17</f>
        <v>4.9819222874678566</v>
      </c>
      <c r="N361" s="421">
        <f>DelivOIL!$G90*DelivOIL!V$82^5/(Conv!$I$5*Conv!$D$46)/10^6 + OILTrade!$I$17</f>
        <v>4.9819222874678566</v>
      </c>
      <c r="O361" s="421">
        <f>DelivOIL!$G90*DelivOIL!W$82^5/(Conv!$I$5*Conv!$D$46)/10^6 + OILTrade!$I$17</f>
        <v>4.9819222874678566</v>
      </c>
      <c r="P361" s="421">
        <f>DelivOIL!$G90*DelivOIL!X$82^5/(Conv!$I$5*Conv!$D$46)/10^6 + OILTrade!$I$17</f>
        <v>4.9819222874678566</v>
      </c>
      <c r="Q361" s="421">
        <f>DelivOIL!$G90*DelivOIL!Y$82^5/(Conv!$I$5*Conv!$D$46)/10^6 + OILTrade!$I$17</f>
        <v>4.9819222874678566</v>
      </c>
      <c r="S361" s="395"/>
      <c r="T361" s="395"/>
      <c r="U361" s="395"/>
      <c r="V361" s="395"/>
      <c r="W361" s="395"/>
      <c r="X361" s="395"/>
      <c r="Y361" s="395"/>
      <c r="Z361" s="395"/>
      <c r="AA361" s="395"/>
      <c r="AB361" s="395"/>
      <c r="AC361" s="395"/>
    </row>
    <row r="362" spans="2:29">
      <c r="B362" s="376" t="s">
        <v>588</v>
      </c>
      <c r="C362" s="376" t="str">
        <f>Technologies!C301</f>
        <v>XPCOMLPGR4</v>
      </c>
      <c r="D362" s="376" t="str">
        <f>Technologies!D301</f>
        <v>Delivery of Pipeline Traded COMLPG from R4</v>
      </c>
      <c r="E362" s="415" t="str">
        <f>E361</f>
        <v>LPGR4</v>
      </c>
      <c r="F362" s="415" t="str">
        <f>Commodities!C98</f>
        <v>COMLPG</v>
      </c>
      <c r="G362" s="422">
        <v>1</v>
      </c>
      <c r="H362" s="421">
        <f>DelivOIL!$G91*DelivOIL!P$82^5/(Conv!$I$5*Conv!$D$46)/10^6 + OILTrade!$I$17</f>
        <v>2.7644811793079866</v>
      </c>
      <c r="I362" s="421">
        <f>DelivOIL!$G91*DelivOIL!Q$82^5/(Conv!$I$5*Conv!$D$46)/10^6 + OILTrade!$I$17</f>
        <v>2.4977432651778266</v>
      </c>
      <c r="J362" s="421">
        <f>DelivOIL!$G91*DelivOIL!R$82^5/(Conv!$I$5*Conv!$D$46)/10^6 + OILTrade!$I$17</f>
        <v>2.8035531708251518</v>
      </c>
      <c r="K362" s="421">
        <f>DelivOIL!$G91*DelivOIL!S$82^5/(Conv!$I$5*Conv!$D$46)/10^6 + OILTrade!$I$17</f>
        <v>3.1784835929649615</v>
      </c>
      <c r="L362" s="421">
        <f>DelivOIL!$G91*DelivOIL!T$82^5/(Conv!$I$5*Conv!$D$46)/10^6 + OILTrade!$I$17</f>
        <v>2.926718606553516</v>
      </c>
      <c r="M362" s="421">
        <f>DelivOIL!$G91*DelivOIL!U$82^5/(Conv!$I$5*Conv!$D$46)/10^6 + OILTrade!$I$17</f>
        <v>2.8023062020885301</v>
      </c>
      <c r="N362" s="421">
        <f>DelivOIL!$G91*DelivOIL!V$82^5/(Conv!$I$5*Conv!$D$46)/10^6 + OILTrade!$I$17</f>
        <v>2.8023062020885301</v>
      </c>
      <c r="O362" s="421">
        <f>DelivOIL!$G91*DelivOIL!W$82^5/(Conv!$I$5*Conv!$D$46)/10^6 + OILTrade!$I$17</f>
        <v>2.8023062020885301</v>
      </c>
      <c r="P362" s="421">
        <f>DelivOIL!$G91*DelivOIL!X$82^5/(Conv!$I$5*Conv!$D$46)/10^6 + OILTrade!$I$17</f>
        <v>2.8023062020885301</v>
      </c>
      <c r="Q362" s="421">
        <f>DelivOIL!$G91*DelivOIL!Y$82^5/(Conv!$I$5*Conv!$D$46)/10^6 + OILTrade!$I$17</f>
        <v>2.8023062020885301</v>
      </c>
      <c r="S362" s="395"/>
      <c r="T362" s="395"/>
      <c r="U362" s="395"/>
      <c r="V362" s="395"/>
      <c r="W362" s="395"/>
      <c r="X362" s="395"/>
      <c r="Y362" s="395"/>
      <c r="Z362" s="395"/>
      <c r="AA362" s="395"/>
      <c r="AB362" s="395"/>
      <c r="AC362" s="395"/>
    </row>
    <row r="363" spans="2:29">
      <c r="B363" s="376" t="s">
        <v>588</v>
      </c>
      <c r="C363" s="376" t="str">
        <f>Technologies!C302</f>
        <v>XPINDLPGR4</v>
      </c>
      <c r="D363" s="376" t="str">
        <f>Technologies!D302</f>
        <v>Delivery of Pipeline Traded INDLPG from R4</v>
      </c>
      <c r="E363" s="415" t="str">
        <f>E362</f>
        <v>LPGR4</v>
      </c>
      <c r="F363" s="415" t="str">
        <f>Commodities!C99</f>
        <v>INDLPG</v>
      </c>
      <c r="G363" s="422">
        <v>1</v>
      </c>
      <c r="H363" s="421">
        <f>DelivOIL!$G92*DelivOIL!P$82^5/(Conv!$I$5*Conv!$D$46)/10^6 + OILTrade!$I$17</f>
        <v>2.4440347762225874</v>
      </c>
      <c r="I363" s="421">
        <f>DelivOIL!$G92*DelivOIL!Q$82^5/(Conv!$I$5*Conv!$D$46)/10^6 + OILTrade!$I$17</f>
        <v>2.2109072695029299</v>
      </c>
      <c r="J363" s="421">
        <f>DelivOIL!$G92*DelivOIL!R$82^5/(Conv!$I$5*Conv!$D$46)/10^6 + OILTrade!$I$17</f>
        <v>2.478183487307295</v>
      </c>
      <c r="K363" s="421">
        <f>DelivOIL!$G92*DelivOIL!S$82^5/(Conv!$I$5*Conv!$D$46)/10^6 + OILTrade!$I$17</f>
        <v>2.8058706659066992</v>
      </c>
      <c r="L363" s="421">
        <f>DelivOIL!$G92*DelivOIL!T$82^5/(Conv!$I$5*Conv!$D$46)/10^6 + OILTrade!$I$17</f>
        <v>2.5858294177294039</v>
      </c>
      <c r="M363" s="421">
        <f>DelivOIL!$G92*DelivOIL!U$82^5/(Conv!$I$5*Conv!$D$46)/10^6 + OILTrade!$I$17</f>
        <v>2.4770936433176463</v>
      </c>
      <c r="N363" s="421">
        <f>DelivOIL!$G92*DelivOIL!V$82^5/(Conv!$I$5*Conv!$D$46)/10^6 + OILTrade!$I$17</f>
        <v>2.4770936433176463</v>
      </c>
      <c r="O363" s="421">
        <f>DelivOIL!$G92*DelivOIL!W$82^5/(Conv!$I$5*Conv!$D$46)/10^6 + OILTrade!$I$17</f>
        <v>2.4770936433176463</v>
      </c>
      <c r="P363" s="421">
        <f>DelivOIL!$G92*DelivOIL!X$82^5/(Conv!$I$5*Conv!$D$46)/10^6 + OILTrade!$I$17</f>
        <v>2.4770936433176463</v>
      </c>
      <c r="Q363" s="421">
        <f>DelivOIL!$G92*DelivOIL!Y$82^5/(Conv!$I$5*Conv!$D$46)/10^6 + OILTrade!$I$17</f>
        <v>2.4770936433176463</v>
      </c>
      <c r="S363" s="395"/>
      <c r="T363" s="395"/>
      <c r="U363" s="395"/>
      <c r="V363" s="395"/>
      <c r="W363" s="395"/>
      <c r="X363" s="395"/>
      <c r="Y363" s="395"/>
      <c r="Z363" s="395"/>
      <c r="AA363" s="395"/>
      <c r="AB363" s="395"/>
      <c r="AC363" s="395"/>
    </row>
    <row r="364" spans="2:29">
      <c r="B364" s="376" t="s">
        <v>588</v>
      </c>
      <c r="C364" s="376" t="str">
        <f>Technologies!C303</f>
        <v>XPTRNLPGR4</v>
      </c>
      <c r="D364" s="376" t="str">
        <f>Technologies!D303</f>
        <v>Delivery of Pipeline Traded TRNLPG from R4</v>
      </c>
      <c r="E364" s="415" t="str">
        <f>E363</f>
        <v>LPGR4</v>
      </c>
      <c r="F364" s="415" t="str">
        <f>Commodities!C100</f>
        <v>TRNLPG</v>
      </c>
      <c r="G364" s="422">
        <v>1</v>
      </c>
      <c r="H364" s="421">
        <f>DelivOIL!$G93*DelivOIL!P$82^5/(Conv!$I$5*Conv!$D$46)/10^6 + OILTrade!$I$17</f>
        <v>3.6508222942250503</v>
      </c>
      <c r="I364" s="421">
        <f>DelivOIL!$G93*DelivOIL!Q$82^5/(Conv!$I$5*Conv!$D$46)/10^6 + OILTrade!$I$17</f>
        <v>3.291119423427542</v>
      </c>
      <c r="J364" s="421">
        <f>DelivOIL!$G93*DelivOIL!R$82^5/(Conv!$I$5*Conv!$D$46)/10^6 + OILTrade!$I$17</f>
        <v>3.703511869917099</v>
      </c>
      <c r="K364" s="421">
        <f>DelivOIL!$G93*DelivOIL!S$82^5/(Conv!$I$5*Conv!$D$46)/10^6 + OILTrade!$I$17</f>
        <v>4.2091150933388795</v>
      </c>
      <c r="L364" s="421">
        <f>DelivOIL!$G93*DelivOIL!T$82^5/(Conv!$I$5*Conv!$D$46)/10^6 + OILTrade!$I$17</f>
        <v>3.8696035969180835</v>
      </c>
      <c r="M364" s="421">
        <f>DelivOIL!$G93*DelivOIL!U$82^5/(Conv!$I$5*Conv!$D$46)/10^6 + OILTrade!$I$17</f>
        <v>3.7018303008165065</v>
      </c>
      <c r="N364" s="421">
        <f>DelivOIL!$G93*DelivOIL!V$82^5/(Conv!$I$5*Conv!$D$46)/10^6 + OILTrade!$I$17</f>
        <v>3.7018303008165065</v>
      </c>
      <c r="O364" s="421">
        <f>DelivOIL!$G93*DelivOIL!W$82^5/(Conv!$I$5*Conv!$D$46)/10^6 + OILTrade!$I$17</f>
        <v>3.7018303008165065</v>
      </c>
      <c r="P364" s="421">
        <f>DelivOIL!$G93*DelivOIL!X$82^5/(Conv!$I$5*Conv!$D$46)/10^6 + OILTrade!$I$17</f>
        <v>3.7018303008165065</v>
      </c>
      <c r="Q364" s="421">
        <f>DelivOIL!$G93*DelivOIL!Y$82^5/(Conv!$I$5*Conv!$D$46)/10^6 + OILTrade!$I$17</f>
        <v>3.7018303008165065</v>
      </c>
      <c r="S364" s="395"/>
      <c r="T364" s="395"/>
      <c r="U364" s="395"/>
      <c r="V364" s="395"/>
      <c r="W364" s="395"/>
      <c r="X364" s="395"/>
      <c r="Y364" s="395"/>
      <c r="Z364" s="395"/>
      <c r="AA364" s="395"/>
      <c r="AB364" s="395"/>
      <c r="AC364" s="395"/>
    </row>
    <row r="365" spans="2:29">
      <c r="B365" s="376" t="s">
        <v>588</v>
      </c>
      <c r="C365" s="376" t="str">
        <f>Technologies!C304</f>
        <v>XPTRNMTHR4</v>
      </c>
      <c r="D365" s="376" t="str">
        <f>Technologies!D304</f>
        <v>Delivery of Pipeline Traded TRNMTH from R4</v>
      </c>
      <c r="E365" s="415" t="str">
        <f>Commodities!C138</f>
        <v>MTHR4</v>
      </c>
      <c r="F365" s="415" t="str">
        <f>Commodities!C101</f>
        <v>TRNMTH</v>
      </c>
      <c r="G365" s="422">
        <v>1</v>
      </c>
      <c r="H365" s="421">
        <f>DelivOIL!$G94*DelivOIL!P$82^5/(Conv!$I$5*Conv!$D$46)/10^6 + OILTrade!$I$17</f>
        <v>3.7667284400218972</v>
      </c>
      <c r="I365" s="421">
        <f>DelivOIL!$G94*DelivOIL!Q$82^5/(Conv!$I$5*Conv!$D$46)/10^6 + OILTrade!$I$17</f>
        <v>3.3948686133525046</v>
      </c>
      <c r="J365" s="421">
        <f>DelivOIL!$G94*DelivOIL!R$82^5/(Conv!$I$5*Conv!$D$46)/10^6 + OILTrade!$I$17</f>
        <v>3.8211987767214302</v>
      </c>
      <c r="K365" s="421">
        <f>DelivOIL!$G94*DelivOIL!S$82^5/(Conv!$I$5*Conv!$D$46)/10^6 + OILTrade!$I$17</f>
        <v>4.3438899818493146</v>
      </c>
      <c r="L365" s="421">
        <f>DelivOIL!$G94*DelivOIL!T$82^5/(Conv!$I$5*Conv!$D$46)/10^6 + OILTrade!$I$17</f>
        <v>3.9929039418119112</v>
      </c>
      <c r="M365" s="421">
        <f>DelivOIL!$G94*DelivOIL!U$82^5/(Conv!$I$5*Conv!$D$46)/10^6 + OILTrade!$I$17</f>
        <v>3.8194603752655505</v>
      </c>
      <c r="N365" s="421">
        <f>DelivOIL!$G94*DelivOIL!V$82^5/(Conv!$I$5*Conv!$D$46)/10^6 + OILTrade!$I$17</f>
        <v>3.8194603752655505</v>
      </c>
      <c r="O365" s="421">
        <f>DelivOIL!$G94*DelivOIL!W$82^5/(Conv!$I$5*Conv!$D$46)/10^6 + OILTrade!$I$17</f>
        <v>3.8194603752655505</v>
      </c>
      <c r="P365" s="421">
        <f>DelivOIL!$G94*DelivOIL!X$82^5/(Conv!$I$5*Conv!$D$46)/10^6 + OILTrade!$I$17</f>
        <v>3.8194603752655505</v>
      </c>
      <c r="Q365" s="421">
        <f>DelivOIL!$G94*DelivOIL!Y$82^5/(Conv!$I$5*Conv!$D$46)/10^6 + OILTrade!$I$17</f>
        <v>3.8194603752655505</v>
      </c>
      <c r="S365" s="395"/>
      <c r="T365" s="395"/>
      <c r="U365" s="395"/>
      <c r="V365" s="395"/>
      <c r="W365" s="395"/>
      <c r="X365" s="395"/>
      <c r="Y365" s="395"/>
      <c r="Z365" s="395"/>
      <c r="AA365" s="395"/>
      <c r="AB365" s="395"/>
      <c r="AC365" s="395"/>
    </row>
    <row r="366" spans="2:29">
      <c r="B366" s="376" t="s">
        <v>588</v>
      </c>
      <c r="C366" s="376" t="str">
        <f>Technologies!C305</f>
        <v>XPINDPFSR4</v>
      </c>
      <c r="D366" s="376" t="str">
        <f>Technologies!D305</f>
        <v>Delivery of Pipeline Traded INDPFS from R4</v>
      </c>
      <c r="E366" s="415" t="str">
        <f>Commodities!C139</f>
        <v>PFSR4</v>
      </c>
      <c r="F366" s="415" t="str">
        <f>Commodities!C102</f>
        <v>INDPFS</v>
      </c>
      <c r="G366" s="422">
        <v>1</v>
      </c>
      <c r="H366" s="421">
        <f>DelivOIL!$G95*DelivOIL!P$82^5/(Conv!$I$5*Conv!$D$46)/10^6 + OILTrade!$I$17</f>
        <v>1.4281514983561068</v>
      </c>
      <c r="I366" s="421">
        <f>DelivOIL!$G95*DelivOIL!Q$82^5/(Conv!$I$5*Conv!$D$46)/10^6 + OILTrade!$I$17</f>
        <v>1.3015761342782559</v>
      </c>
      <c r="J366" s="421">
        <f>DelivOIL!$G95*DelivOIL!R$82^5/(Conv!$I$5*Conv!$D$46)/10^6 + OILTrade!$I$17</f>
        <v>1.4466923629634478</v>
      </c>
      <c r="K366" s="421">
        <f>DelivOIL!$G95*DelivOIL!S$82^5/(Conv!$I$5*Conv!$D$46)/10^6 + OILTrade!$I$17</f>
        <v>1.6246084077858236</v>
      </c>
      <c r="L366" s="421">
        <f>DelivOIL!$G95*DelivOIL!T$82^5/(Conv!$I$5*Conv!$D$46)/10^6 + OILTrade!$I$17</f>
        <v>1.5051381595423234</v>
      </c>
      <c r="M366" s="421">
        <f>DelivOIL!$G95*DelivOIL!U$82^5/(Conv!$I$5*Conv!$D$46)/10^6 + OILTrade!$I$17</f>
        <v>1.4461006378525041</v>
      </c>
      <c r="N366" s="421">
        <f>DelivOIL!$G95*DelivOIL!V$82^5/(Conv!$I$5*Conv!$D$46)/10^6 + OILTrade!$I$17</f>
        <v>1.4461006378525041</v>
      </c>
      <c r="O366" s="421">
        <f>DelivOIL!$G95*DelivOIL!W$82^5/(Conv!$I$5*Conv!$D$46)/10^6 + OILTrade!$I$17</f>
        <v>1.4461006378525041</v>
      </c>
      <c r="P366" s="421">
        <f>DelivOIL!$G95*DelivOIL!X$82^5/(Conv!$I$5*Conv!$D$46)/10^6 + OILTrade!$I$17</f>
        <v>1.4461006378525041</v>
      </c>
      <c r="Q366" s="421">
        <f>DelivOIL!$G95*DelivOIL!Y$82^5/(Conv!$I$5*Conv!$D$46)/10^6 + OILTrade!$I$17</f>
        <v>1.4461006378525041</v>
      </c>
      <c r="S366" s="395"/>
      <c r="T366" s="395"/>
      <c r="U366" s="395"/>
      <c r="V366" s="395"/>
      <c r="W366" s="395"/>
      <c r="X366" s="395"/>
      <c r="Y366" s="395"/>
      <c r="Z366" s="395"/>
      <c r="AA366" s="395"/>
      <c r="AB366" s="395"/>
      <c r="AC366" s="395"/>
    </row>
    <row r="367" spans="2:29">
      <c r="B367" s="376" t="s">
        <v>588</v>
      </c>
      <c r="C367" s="376" t="str">
        <f>Technologies!C306</f>
        <v>XPRESRFLR4</v>
      </c>
      <c r="D367" s="376" t="str">
        <f>Technologies!D306</f>
        <v>Delivery of Pipeline Traded RESRFL from R4</v>
      </c>
      <c r="E367" s="415" t="str">
        <f>Commodities!C141</f>
        <v>RFLR4</v>
      </c>
      <c r="F367" s="415" t="str">
        <f>Commodities!C103</f>
        <v>RESRFL</v>
      </c>
      <c r="G367" s="422">
        <v>1</v>
      </c>
      <c r="H367" s="421">
        <f>DelivOIL!$G96*DelivOIL!P$82^5/(Conv!$I$5*Conv!$D$46)/10^6 + OILTrade!$I$17</f>
        <v>0.47363029767619308</v>
      </c>
      <c r="I367" s="421">
        <f>DelivOIL!$G96*DelivOIL!Q$82^5/(Conv!$I$5*Conv!$D$46)/10^6 + OILTrade!$I$17</f>
        <v>0.44717104077856318</v>
      </c>
      <c r="J367" s="421">
        <f>DelivOIL!$G96*DelivOIL!R$82^5/(Conv!$I$5*Conv!$D$46)/10^6 + OILTrade!$I$17</f>
        <v>0.47750607163365988</v>
      </c>
      <c r="K367" s="421">
        <f>DelivOIL!$G96*DelivOIL!S$82^5/(Conv!$I$5*Conv!$D$46)/10^6 + OILTrade!$I$17</f>
        <v>0.51469756122929788</v>
      </c>
      <c r="L367" s="421">
        <f>DelivOIL!$G96*DelivOIL!T$82^5/(Conv!$I$5*Conv!$D$46)/10^6 + OILTrade!$I$17</f>
        <v>0.4897235545343287</v>
      </c>
      <c r="M367" s="421">
        <f>DelivOIL!$G96*DelivOIL!U$82^5/(Conv!$I$5*Conv!$D$46)/10^6 + OILTrade!$I$17</f>
        <v>0.4773823776839145</v>
      </c>
      <c r="N367" s="421">
        <f>DelivOIL!$G96*DelivOIL!V$82^5/(Conv!$I$5*Conv!$D$46)/10^6 + OILTrade!$I$17</f>
        <v>0.4773823776839145</v>
      </c>
      <c r="O367" s="421">
        <f>DelivOIL!$G96*DelivOIL!W$82^5/(Conv!$I$5*Conv!$D$46)/10^6 + OILTrade!$I$17</f>
        <v>0.4773823776839145</v>
      </c>
      <c r="P367" s="421">
        <f>DelivOIL!$G96*DelivOIL!X$82^5/(Conv!$I$5*Conv!$D$46)/10^6 + OILTrade!$I$17</f>
        <v>0.4773823776839145</v>
      </c>
      <c r="Q367" s="421">
        <f>DelivOIL!$G96*DelivOIL!Y$82^5/(Conv!$I$5*Conv!$D$46)/10^6 + OILTrade!$I$17</f>
        <v>0.4773823776839145</v>
      </c>
      <c r="S367" s="395"/>
      <c r="T367" s="395"/>
      <c r="U367" s="395"/>
      <c r="V367" s="395"/>
      <c r="W367" s="395"/>
      <c r="X367" s="395"/>
      <c r="Y367" s="395"/>
      <c r="Z367" s="395"/>
      <c r="AA367" s="395"/>
      <c r="AB367" s="395"/>
      <c r="AC367" s="395"/>
    </row>
    <row r="368" spans="2:29">
      <c r="B368" s="376" t="s">
        <v>588</v>
      </c>
      <c r="C368" s="376" t="str">
        <f>Technologies!C307</f>
        <v>XPCOMRFLR4</v>
      </c>
      <c r="D368" s="376" t="str">
        <f>Technologies!D307</f>
        <v>Delivery of Pipeline Traded COMRFL from R4</v>
      </c>
      <c r="E368" s="415" t="str">
        <f>Commodities!C141</f>
        <v>RFLR4</v>
      </c>
      <c r="F368" s="415" t="str">
        <f>Commodities!C104</f>
        <v>COMRFL</v>
      </c>
      <c r="G368" s="422">
        <v>1</v>
      </c>
      <c r="H368" s="421">
        <f>DelivOIL!$G96*DelivOIL!P$82^5/(Conv!$I$5*Conv!$D$46)/10^6 + OILTrade!$I$17</f>
        <v>0.47363029767619308</v>
      </c>
      <c r="I368" s="421">
        <f>DelivOIL!$G96*DelivOIL!Q$82^5/(Conv!$I$5*Conv!$D$46)/10^6 + OILTrade!$I$17</f>
        <v>0.44717104077856318</v>
      </c>
      <c r="J368" s="421">
        <f>DelivOIL!$G96*DelivOIL!R$82^5/(Conv!$I$5*Conv!$D$46)/10^6 + OILTrade!$I$17</f>
        <v>0.47750607163365988</v>
      </c>
      <c r="K368" s="421">
        <f>DelivOIL!$G96*DelivOIL!S$82^5/(Conv!$I$5*Conv!$D$46)/10^6 + OILTrade!$I$17</f>
        <v>0.51469756122929788</v>
      </c>
      <c r="L368" s="421">
        <f>DelivOIL!$G96*DelivOIL!T$82^5/(Conv!$I$5*Conv!$D$46)/10^6 + OILTrade!$I$17</f>
        <v>0.4897235545343287</v>
      </c>
      <c r="M368" s="421">
        <f>DelivOIL!$G96*DelivOIL!U$82^5/(Conv!$I$5*Conv!$D$46)/10^6 + OILTrade!$I$17</f>
        <v>0.4773823776839145</v>
      </c>
      <c r="N368" s="421">
        <f>DelivOIL!$G96*DelivOIL!V$82^5/(Conv!$I$5*Conv!$D$46)/10^6 + OILTrade!$I$17</f>
        <v>0.4773823776839145</v>
      </c>
      <c r="O368" s="421">
        <f>DelivOIL!$G96*DelivOIL!W$82^5/(Conv!$I$5*Conv!$D$46)/10^6 + OILTrade!$I$17</f>
        <v>0.4773823776839145</v>
      </c>
      <c r="P368" s="421">
        <f>DelivOIL!$G96*DelivOIL!X$82^5/(Conv!$I$5*Conv!$D$46)/10^6 + OILTrade!$I$17</f>
        <v>0.4773823776839145</v>
      </c>
      <c r="Q368" s="421">
        <f>DelivOIL!$G96*DelivOIL!Y$82^5/(Conv!$I$5*Conv!$D$46)/10^6 + OILTrade!$I$17</f>
        <v>0.4773823776839145</v>
      </c>
      <c r="S368" s="395"/>
      <c r="T368" s="395"/>
      <c r="U368" s="395"/>
      <c r="V368" s="395"/>
      <c r="W368" s="395"/>
      <c r="X368" s="395"/>
      <c r="Y368" s="395"/>
      <c r="Z368" s="395"/>
      <c r="AA368" s="395"/>
      <c r="AB368" s="395"/>
      <c r="AC368" s="395"/>
    </row>
    <row r="369" spans="2:29">
      <c r="B369" s="376" t="s">
        <v>588</v>
      </c>
      <c r="C369" s="376" t="str">
        <f>Technologies!C308</f>
        <v>XPINDRFLR4</v>
      </c>
      <c r="D369" s="376" t="str">
        <f>Technologies!D308</f>
        <v>Delivery of Pipeline Traded INDRFL from R4</v>
      </c>
      <c r="E369" s="415" t="str">
        <f>E368</f>
        <v>RFLR4</v>
      </c>
      <c r="F369" s="415" t="str">
        <f>Commodities!C105</f>
        <v>INDRFL</v>
      </c>
      <c r="G369" s="422">
        <v>1</v>
      </c>
      <c r="H369" s="421">
        <f>DelivOIL!$G97*DelivOIL!P$82^5/(Conv!$I$5*Conv!$D$46)/10^6 + OILTrade!$I$17</f>
        <v>0.28272605754021007</v>
      </c>
      <c r="I369" s="421">
        <f>DelivOIL!$G97*DelivOIL!Q$82^5/(Conv!$I$5*Conv!$D$46)/10^6 + OILTrade!$I$17</f>
        <v>0.27629002207862446</v>
      </c>
      <c r="J369" s="421">
        <f>DelivOIL!$G97*DelivOIL!R$82^5/(Conv!$I$5*Conv!$D$46)/10^6 + OILTrade!$I$17</f>
        <v>0.283668813367702</v>
      </c>
      <c r="K369" s="421">
        <f>DelivOIL!$G97*DelivOIL!S$82^5/(Conv!$I$5*Conv!$D$46)/10^6 + OILTrade!$I$17</f>
        <v>0.29271539191799234</v>
      </c>
      <c r="L369" s="421">
        <f>DelivOIL!$G97*DelivOIL!T$82^5/(Conv!$I$5*Conv!$D$46)/10^6 + OILTrade!$I$17</f>
        <v>0.28664063353272956</v>
      </c>
      <c r="M369" s="421">
        <f>DelivOIL!$G97*DelivOIL!U$82^5/(Conv!$I$5*Conv!$D$46)/10^6 + OILTrade!$I$17</f>
        <v>0.28363872565019638</v>
      </c>
      <c r="N369" s="421">
        <f>DelivOIL!$G97*DelivOIL!V$82^5/(Conv!$I$5*Conv!$D$46)/10^6 + OILTrade!$I$17</f>
        <v>0.28363872565019638</v>
      </c>
      <c r="O369" s="421">
        <f>DelivOIL!$G97*DelivOIL!W$82^5/(Conv!$I$5*Conv!$D$46)/10^6 + OILTrade!$I$17</f>
        <v>0.28363872565019638</v>
      </c>
      <c r="P369" s="421">
        <f>DelivOIL!$G97*DelivOIL!X$82^5/(Conv!$I$5*Conv!$D$46)/10^6 + OILTrade!$I$17</f>
        <v>0.28363872565019638</v>
      </c>
      <c r="Q369" s="421">
        <f>DelivOIL!$G97*DelivOIL!Y$82^5/(Conv!$I$5*Conv!$D$46)/10^6 + OILTrade!$I$17</f>
        <v>0.28363872565019638</v>
      </c>
      <c r="S369" s="395"/>
      <c r="T369" s="395"/>
      <c r="U369" s="395"/>
      <c r="V369" s="395"/>
      <c r="W369" s="395"/>
      <c r="X369" s="395"/>
      <c r="Y369" s="395"/>
      <c r="Z369" s="395"/>
      <c r="AA369" s="395"/>
      <c r="AB369" s="395"/>
      <c r="AC369" s="395"/>
    </row>
    <row r="370" spans="2:29">
      <c r="B370" s="376" t="s">
        <v>588</v>
      </c>
      <c r="C370" s="376" t="str">
        <f>Technologies!C309</f>
        <v>XPELCRFLR4</v>
      </c>
      <c r="D370" s="376" t="str">
        <f>Technologies!D309</f>
        <v>Delivery of Pipeline Traded ELCRFL from R4</v>
      </c>
      <c r="E370" s="415" t="str">
        <f>E369</f>
        <v>RFLR4</v>
      </c>
      <c r="F370" s="415" t="str">
        <f>Commodities!C106</f>
        <v>ELCRFL</v>
      </c>
      <c r="G370" s="422">
        <v>1</v>
      </c>
      <c r="H370" s="421">
        <f>DelivOIL!$G98*DelivOIL!P$82^5/(Conv!$I$5*Conv!$D$46)/10^6 + OILTrade!$I$17</f>
        <v>0.22136398035364413</v>
      </c>
      <c r="I370" s="421">
        <f>DelivOIL!$G98*DelivOIL!Q$82^5/(Conv!$I$5*Conv!$D$46)/10^6 + OILTrade!$I$17</f>
        <v>0.22136398035364413</v>
      </c>
      <c r="J370" s="421">
        <f>DelivOIL!$G98*DelivOIL!R$82^5/(Conv!$I$5*Conv!$D$46)/10^6 + OILTrade!$I$17</f>
        <v>0.22136398035364413</v>
      </c>
      <c r="K370" s="421">
        <f>DelivOIL!$G98*DelivOIL!S$82^5/(Conv!$I$5*Conv!$D$46)/10^6 + OILTrade!$I$17</f>
        <v>0.22136398035364413</v>
      </c>
      <c r="L370" s="421">
        <f>DelivOIL!$G98*DelivOIL!T$82^5/(Conv!$I$5*Conv!$D$46)/10^6 + OILTrade!$I$17</f>
        <v>0.22136398035364413</v>
      </c>
      <c r="M370" s="421">
        <f>DelivOIL!$G98*DelivOIL!U$82^5/(Conv!$I$5*Conv!$D$46)/10^6 + OILTrade!$I$17</f>
        <v>0.22136398035364413</v>
      </c>
      <c r="N370" s="421">
        <f>DelivOIL!$G98*DelivOIL!V$82^5/(Conv!$I$5*Conv!$D$46)/10^6 + OILTrade!$I$17</f>
        <v>0.22136398035364413</v>
      </c>
      <c r="O370" s="421">
        <f>DelivOIL!$G98*DelivOIL!W$82^5/(Conv!$I$5*Conv!$D$46)/10^6 + OILTrade!$I$17</f>
        <v>0.22136398035364413</v>
      </c>
      <c r="P370" s="421">
        <f>DelivOIL!$G98*DelivOIL!X$82^5/(Conv!$I$5*Conv!$D$46)/10^6 + OILTrade!$I$17</f>
        <v>0.22136398035364413</v>
      </c>
      <c r="Q370" s="421">
        <f>DelivOIL!$G98*DelivOIL!Y$82^5/(Conv!$I$5*Conv!$D$46)/10^6 + OILTrade!$I$17</f>
        <v>0.22136398035364413</v>
      </c>
      <c r="S370" s="395"/>
      <c r="T370" s="395"/>
      <c r="U370" s="395"/>
      <c r="V370" s="395"/>
      <c r="W370" s="395"/>
      <c r="X370" s="395"/>
      <c r="Y370" s="395"/>
      <c r="Z370" s="395"/>
      <c r="AA370" s="395"/>
      <c r="AB370" s="395"/>
      <c r="AC370" s="395"/>
    </row>
    <row r="371" spans="2:29">
      <c r="B371" s="376" t="s">
        <v>588</v>
      </c>
      <c r="C371" s="376" t="str">
        <f>Technologies!C310</f>
        <v>XPTRNRFHR4</v>
      </c>
      <c r="D371" s="376" t="str">
        <f>Technologies!D310</f>
        <v>Delivery of Pipeline Traded TRNRFH from R4</v>
      </c>
      <c r="E371" s="415" t="str">
        <f>Commodities!C140</f>
        <v>RFHR4</v>
      </c>
      <c r="F371" s="415" t="str">
        <f>Commodities!C107</f>
        <v>TRNRFH</v>
      </c>
      <c r="G371" s="422">
        <v>1</v>
      </c>
      <c r="H371" s="421">
        <f>DelivOIL!$G99*DelivOIL!P$82^5/(Conv!$I$5*Conv!$D$46)/10^6 + OILTrade!$I$17</f>
        <v>0.22136398035364413</v>
      </c>
      <c r="I371" s="421">
        <f>DelivOIL!$G99*DelivOIL!Q$82^5/(Conv!$I$5*Conv!$D$46)/10^6 + OILTrade!$I$17</f>
        <v>0.22136398035364413</v>
      </c>
      <c r="J371" s="421">
        <f>DelivOIL!$G99*DelivOIL!R$82^5/(Conv!$I$5*Conv!$D$46)/10^6 + OILTrade!$I$17</f>
        <v>0.22136398035364413</v>
      </c>
      <c r="K371" s="421">
        <f>DelivOIL!$G99*DelivOIL!S$82^5/(Conv!$I$5*Conv!$D$46)/10^6 + OILTrade!$I$17</f>
        <v>0.22136398035364413</v>
      </c>
      <c r="L371" s="421">
        <f>DelivOIL!$G99*DelivOIL!T$82^5/(Conv!$I$5*Conv!$D$46)/10^6 + OILTrade!$I$17</f>
        <v>0.22136398035364413</v>
      </c>
      <c r="M371" s="421">
        <f>DelivOIL!$G99*DelivOIL!U$82^5/(Conv!$I$5*Conv!$D$46)/10^6 + OILTrade!$I$17</f>
        <v>0.22136398035364413</v>
      </c>
      <c r="N371" s="421">
        <f>DelivOIL!$G99*DelivOIL!V$82^5/(Conv!$I$5*Conv!$D$46)/10^6 + OILTrade!$I$17</f>
        <v>0.22136398035364413</v>
      </c>
      <c r="O371" s="421">
        <f>DelivOIL!$G99*DelivOIL!W$82^5/(Conv!$I$5*Conv!$D$46)/10^6 + OILTrade!$I$17</f>
        <v>0.22136398035364413</v>
      </c>
      <c r="P371" s="421">
        <f>DelivOIL!$G99*DelivOIL!X$82^5/(Conv!$I$5*Conv!$D$46)/10^6 + OILTrade!$I$17</f>
        <v>0.22136398035364413</v>
      </c>
      <c r="Q371" s="421">
        <f>DelivOIL!$G99*DelivOIL!Y$82^5/(Conv!$I$5*Conv!$D$46)/10^6 + OILTrade!$I$17</f>
        <v>0.22136398035364413</v>
      </c>
      <c r="S371" s="395"/>
      <c r="T371" s="395"/>
      <c r="U371" s="395"/>
      <c r="V371" s="395"/>
      <c r="W371" s="395"/>
      <c r="X371" s="395"/>
      <c r="Y371" s="395"/>
      <c r="Z371" s="395"/>
      <c r="AA371" s="395"/>
      <c r="AB371" s="395"/>
      <c r="AC371" s="395"/>
    </row>
    <row r="372" spans="2:29">
      <c r="B372" s="376" t="s">
        <v>588</v>
      </c>
      <c r="C372" s="376" t="str">
        <f>Technologies!C311</f>
        <v>XPELCRFHR4</v>
      </c>
      <c r="D372" s="376" t="str">
        <f>Technologies!D311</f>
        <v>Delivery of Pipeline Traded ELCRFH from R4</v>
      </c>
      <c r="E372" s="415" t="str">
        <f>E371</f>
        <v>RFHR4</v>
      </c>
      <c r="F372" s="415" t="str">
        <f>Commodities!C108</f>
        <v>ELCRFH</v>
      </c>
      <c r="G372" s="422">
        <v>1</v>
      </c>
      <c r="H372" s="421">
        <f>DelivOIL!$G100*DelivOIL!P$82^5/(Conv!$I$5*Conv!$D$46)/10^6 + OILTrade!$I$17</f>
        <v>0.22136398035364413</v>
      </c>
      <c r="I372" s="421">
        <f>DelivOIL!$G100*DelivOIL!Q$82^5/(Conv!$I$5*Conv!$D$46)/10^6 + OILTrade!$I$17</f>
        <v>0.22136398035364413</v>
      </c>
      <c r="J372" s="421">
        <f>DelivOIL!$G100*DelivOIL!R$82^5/(Conv!$I$5*Conv!$D$46)/10^6 + OILTrade!$I$17</f>
        <v>0.22136398035364413</v>
      </c>
      <c r="K372" s="421">
        <f>DelivOIL!$G100*DelivOIL!S$82^5/(Conv!$I$5*Conv!$D$46)/10^6 + OILTrade!$I$17</f>
        <v>0.22136398035364413</v>
      </c>
      <c r="L372" s="421">
        <f>DelivOIL!$G100*DelivOIL!T$82^5/(Conv!$I$5*Conv!$D$46)/10^6 + OILTrade!$I$17</f>
        <v>0.22136398035364413</v>
      </c>
      <c r="M372" s="421">
        <f>DelivOIL!$G100*DelivOIL!U$82^5/(Conv!$I$5*Conv!$D$46)/10^6 + OILTrade!$I$17</f>
        <v>0.22136398035364413</v>
      </c>
      <c r="N372" s="421">
        <f>DelivOIL!$G100*DelivOIL!V$82^5/(Conv!$I$5*Conv!$D$46)/10^6 + OILTrade!$I$17</f>
        <v>0.22136398035364413</v>
      </c>
      <c r="O372" s="421">
        <f>DelivOIL!$G100*DelivOIL!W$82^5/(Conv!$I$5*Conv!$D$46)/10^6 + OILTrade!$I$17</f>
        <v>0.22136398035364413</v>
      </c>
      <c r="P372" s="421">
        <f>DelivOIL!$G100*DelivOIL!X$82^5/(Conv!$I$5*Conv!$D$46)/10^6 + OILTrade!$I$17</f>
        <v>0.22136398035364413</v>
      </c>
      <c r="Q372" s="421">
        <f>DelivOIL!$G100*DelivOIL!Y$82^5/(Conv!$I$5*Conv!$D$46)/10^6 + OILTrade!$I$17</f>
        <v>0.22136398035364413</v>
      </c>
      <c r="S372" s="395"/>
      <c r="T372" s="395"/>
      <c r="U372" s="395"/>
      <c r="V372" s="395"/>
      <c r="W372" s="395"/>
      <c r="X372" s="395"/>
      <c r="Y372" s="395"/>
      <c r="Z372" s="395"/>
      <c r="AA372" s="395"/>
      <c r="AB372" s="395"/>
      <c r="AC372" s="395"/>
    </row>
    <row r="373" spans="2:29">
      <c r="B373" s="376" t="s">
        <v>588</v>
      </c>
      <c r="C373" s="376" t="str">
        <f>Technologies!C312</f>
        <v>XPINDASPR4</v>
      </c>
      <c r="D373" s="376" t="str">
        <f>Technologies!D312</f>
        <v>Delivery of Pipeline Traded INDASP from R4</v>
      </c>
      <c r="E373" s="415" t="str">
        <f>Commodities!C142</f>
        <v>ASPR4</v>
      </c>
      <c r="F373" s="415" t="str">
        <f>Commodities!C109</f>
        <v>INDASP</v>
      </c>
      <c r="G373" s="422">
        <v>1</v>
      </c>
      <c r="H373" s="421">
        <f>DelivOIL!$G101*DelivOIL!P$82^5/(Conv!$I$5*Conv!$D$46)/10^6 + OILTrade!$I$17</f>
        <v>0.83498475221930291</v>
      </c>
      <c r="I373" s="421">
        <f>DelivOIL!$G101*DelivOIL!Q$82^5/(Conv!$I$5*Conv!$D$46)/10^6 + OILTrade!$I$17</f>
        <v>0.77062439760344659</v>
      </c>
      <c r="J373" s="421">
        <f>DelivOIL!$G101*DelivOIL!R$82^5/(Conv!$I$5*Conv!$D$46)/10^6 + OILTrade!$I$17</f>
        <v>0.84441231049422216</v>
      </c>
      <c r="K373" s="421">
        <f>DelivOIL!$G101*DelivOIL!S$82^5/(Conv!$I$5*Conv!$D$46)/10^6 + OILTrade!$I$17</f>
        <v>0.93487809599712524</v>
      </c>
      <c r="L373" s="421">
        <f>DelivOIL!$G101*DelivOIL!T$82^5/(Conv!$I$5*Conv!$D$46)/10^6 + OILTrade!$I$17</f>
        <v>0.87413051214449777</v>
      </c>
      <c r="M373" s="421">
        <f>DelivOIL!$G101*DelivOIL!U$82^5/(Conv!$I$5*Conv!$D$46)/10^6 + OILTrade!$I$17</f>
        <v>0.84411143331916594</v>
      </c>
      <c r="N373" s="421">
        <f>DelivOIL!$G101*DelivOIL!V$82^5/(Conv!$I$5*Conv!$D$46)/10^6 + OILTrade!$I$17</f>
        <v>0.84411143331916594</v>
      </c>
      <c r="O373" s="421">
        <f>DelivOIL!$G101*DelivOIL!W$82^5/(Conv!$I$5*Conv!$D$46)/10^6 + OILTrade!$I$17</f>
        <v>0.84411143331916594</v>
      </c>
      <c r="P373" s="421">
        <f>DelivOIL!$G101*DelivOIL!X$82^5/(Conv!$I$5*Conv!$D$46)/10^6 + OILTrade!$I$17</f>
        <v>0.84411143331916594</v>
      </c>
      <c r="Q373" s="421">
        <f>DelivOIL!$G101*DelivOIL!Y$82^5/(Conv!$I$5*Conv!$D$46)/10^6 + OILTrade!$I$17</f>
        <v>0.84411143331916594</v>
      </c>
      <c r="S373" s="395"/>
      <c r="T373" s="395"/>
      <c r="U373" s="395"/>
      <c r="V373" s="395"/>
      <c r="W373" s="395"/>
      <c r="X373" s="395"/>
      <c r="Y373" s="395"/>
      <c r="Z373" s="395"/>
      <c r="AA373" s="395"/>
      <c r="AB373" s="395"/>
      <c r="AC373" s="395"/>
    </row>
    <row r="374" spans="2:29">
      <c r="B374" s="376" t="s">
        <v>588</v>
      </c>
      <c r="C374" s="376"/>
      <c r="D374" s="376"/>
      <c r="E374" s="415"/>
      <c r="F374" s="415"/>
      <c r="G374" s="422"/>
      <c r="H374" s="423"/>
      <c r="I374" s="423"/>
      <c r="J374" s="423"/>
      <c r="K374" s="423"/>
      <c r="L374" s="423"/>
      <c r="M374" s="423"/>
      <c r="N374" s="423"/>
      <c r="O374" s="423"/>
      <c r="P374" s="423"/>
      <c r="Q374" s="423"/>
    </row>
    <row r="375" spans="2:29">
      <c r="B375" s="376" t="s">
        <v>588</v>
      </c>
      <c r="C375" s="376" t="str">
        <f>Technologies!C313</f>
        <v>XPTRGSLCR5</v>
      </c>
      <c r="D375" s="376" t="str">
        <f>Technologies!D313</f>
        <v>Delivery of Pipeline Traded TRGSLC from R5</v>
      </c>
      <c r="E375" s="415" t="str">
        <f>Commodities!C143</f>
        <v>GSCR5</v>
      </c>
      <c r="F375" s="415" t="str">
        <f>Commodities!C85</f>
        <v>TRGSLC</v>
      </c>
      <c r="G375" s="422">
        <v>1</v>
      </c>
      <c r="H375" s="421">
        <f>DelivOIL!$G77*DelivOIL!P$82^5/(Conv!$I$5*Conv!$D$46)/10^6 + OILTrade!$I$18</f>
        <v>3.3966132837237168</v>
      </c>
      <c r="I375" s="421">
        <f>DelivOIL!$G77*DelivOIL!Q$82^5/(Conv!$I$5*Conv!$D$46)/10^6 + OILTrade!$I$18</f>
        <v>3.0469220236442309</v>
      </c>
      <c r="J375" s="421">
        <f>DelivOIL!$G77*DelivOIL!R$82^5/(Conv!$I$5*Conv!$D$46)/10^6 + OILTrade!$I$18</f>
        <v>3.4478363503507778</v>
      </c>
      <c r="K375" s="421">
        <f>DelivOIL!$G77*DelivOIL!S$82^5/(Conv!$I$5*Conv!$D$46)/10^6 + OILTrade!$I$18</f>
        <v>3.9393671182498848</v>
      </c>
      <c r="L375" s="421">
        <f>DelivOIL!$G77*DelivOIL!T$82^5/(Conv!$I$5*Conv!$D$46)/10^6 + OILTrade!$I$18</f>
        <v>3.6093052459839416</v>
      </c>
      <c r="M375" s="421">
        <f>DelivOIL!$G77*DelivOIL!U$82^5/(Conv!$I$5*Conv!$D$46)/10^6 + OILTrade!$I$18</f>
        <v>3.4462015843663059</v>
      </c>
      <c r="N375" s="421">
        <f>DelivOIL!$G77*DelivOIL!V$82^5/(Conv!$I$5*Conv!$D$46)/10^6 + OILTrade!$I$18</f>
        <v>3.4462015843663059</v>
      </c>
      <c r="O375" s="421">
        <f>DelivOIL!$G77*DelivOIL!W$82^5/(Conv!$I$5*Conv!$D$46)/10^6 + OILTrade!$I$18</f>
        <v>3.4462015843663059</v>
      </c>
      <c r="P375" s="421">
        <f>DelivOIL!$G77*DelivOIL!X$82^5/(Conv!$I$5*Conv!$D$46)/10^6 + OILTrade!$I$18</f>
        <v>3.4462015843663059</v>
      </c>
      <c r="Q375" s="421">
        <f>DelivOIL!$G77*DelivOIL!Y$82^5/(Conv!$I$5*Conv!$D$46)/10^6 + OILTrade!$I$18</f>
        <v>3.4462015843663059</v>
      </c>
      <c r="S375" s="395"/>
      <c r="T375" s="395"/>
      <c r="U375" s="395"/>
      <c r="V375" s="395"/>
      <c r="W375" s="395"/>
      <c r="X375" s="395"/>
      <c r="Y375" s="395"/>
      <c r="Z375" s="395"/>
      <c r="AA375" s="395"/>
      <c r="AB375" s="395"/>
      <c r="AC375" s="395"/>
    </row>
    <row r="376" spans="2:29">
      <c r="B376" s="376" t="s">
        <v>588</v>
      </c>
      <c r="C376" s="376" t="str">
        <f>Technologies!C314</f>
        <v>XPTRGSLRR5</v>
      </c>
      <c r="D376" s="376" t="str">
        <f>Technologies!D314</f>
        <v>Delivery of Pipeline Traded TRGSLR from R5</v>
      </c>
      <c r="E376" s="415" t="str">
        <f>Commodities!C144</f>
        <v>GSRR5</v>
      </c>
      <c r="F376" s="415" t="str">
        <f>Commodities!C86</f>
        <v>TRGSLR</v>
      </c>
      <c r="G376" s="422">
        <v>1</v>
      </c>
      <c r="H376" s="421">
        <f>DelivOIL!$G78*DelivOIL!P$82^5/(Conv!$I$5*Conv!$D$46)/10^6 + OILTrade!$I$18</f>
        <v>3.3829772665711464</v>
      </c>
      <c r="I376" s="421">
        <f>DelivOIL!$G78*DelivOIL!Q$82^5/(Conv!$I$5*Conv!$D$46)/10^6 + OILTrade!$I$18</f>
        <v>3.0347162365942344</v>
      </c>
      <c r="J376" s="421">
        <f>DelivOIL!$G78*DelivOIL!R$82^5/(Conv!$I$5*Conv!$D$46)/10^6 + OILTrade!$I$18</f>
        <v>3.4339908319032086</v>
      </c>
      <c r="K376" s="421">
        <f>DelivOIL!$G78*DelivOIL!S$82^5/(Conv!$I$5*Conv!$D$46)/10^6 + OILTrade!$I$18</f>
        <v>3.9235112490133623</v>
      </c>
      <c r="L376" s="421">
        <f>DelivOIL!$G78*DelivOIL!T$82^5/(Conv!$I$5*Conv!$D$46)/10^6 + OILTrade!$I$18</f>
        <v>3.5947993230552555</v>
      </c>
      <c r="M376" s="421">
        <f>DelivOIL!$G78*DelivOIL!U$82^5/(Conv!$I$5*Conv!$D$46)/10^6 + OILTrade!$I$18</f>
        <v>3.4323627520781823</v>
      </c>
      <c r="N376" s="421">
        <f>DelivOIL!$G78*DelivOIL!V$82^5/(Conv!$I$5*Conv!$D$46)/10^6 + OILTrade!$I$18</f>
        <v>3.4323627520781823</v>
      </c>
      <c r="O376" s="421">
        <f>DelivOIL!$G78*DelivOIL!W$82^5/(Conv!$I$5*Conv!$D$46)/10^6 + OILTrade!$I$18</f>
        <v>3.4323627520781823</v>
      </c>
      <c r="P376" s="421">
        <f>DelivOIL!$G78*DelivOIL!X$82^5/(Conv!$I$5*Conv!$D$46)/10^6 + OILTrade!$I$18</f>
        <v>3.4323627520781823</v>
      </c>
      <c r="Q376" s="421">
        <f>DelivOIL!$G78*DelivOIL!Y$82^5/(Conv!$I$5*Conv!$D$46)/10^6 + OILTrade!$I$18</f>
        <v>3.4323627520781823</v>
      </c>
      <c r="S376" s="395"/>
      <c r="T376" s="395"/>
      <c r="U376" s="395"/>
      <c r="V376" s="395"/>
      <c r="W376" s="395"/>
      <c r="X376" s="395"/>
      <c r="Y376" s="395"/>
      <c r="Z376" s="395"/>
      <c r="AA376" s="395"/>
      <c r="AB376" s="395"/>
      <c r="AC376" s="395"/>
    </row>
    <row r="377" spans="2:29">
      <c r="B377" s="376" t="s">
        <v>588</v>
      </c>
      <c r="C377" s="376" t="str">
        <f>Technologies!C315</f>
        <v>XPRESDSLR5</v>
      </c>
      <c r="D377" s="376" t="str">
        <f>Technologies!D315</f>
        <v>Delivery of Pipeline Traded RESDSL from R5</v>
      </c>
      <c r="E377" s="415" t="str">
        <f>Commodities!C145</f>
        <v>DSHR5</v>
      </c>
      <c r="F377" s="415" t="str">
        <f>Commodities!C87</f>
        <v>RESDSL</v>
      </c>
      <c r="G377" s="422">
        <v>1</v>
      </c>
      <c r="H377" s="421">
        <f>DelivOIL!$G80*DelivOIL!P$82^5/(Conv!$I$5*Conv!$D$46)/10^6 + OILTrade!$I$18</f>
        <v>2.58527026314579</v>
      </c>
      <c r="I377" s="421">
        <f>DelivOIL!$G80*DelivOIL!Q$82^5/(Conv!$I$5*Conv!$D$46)/10^6 + OILTrade!$I$18</f>
        <v>2.3206776941694915</v>
      </c>
      <c r="J377" s="421">
        <f>DelivOIL!$G80*DelivOIL!R$82^5/(Conv!$I$5*Conv!$D$46)/10^6 + OILTrade!$I$18</f>
        <v>2.6240280027204581</v>
      </c>
      <c r="K377" s="421">
        <f>DelivOIL!$G80*DelivOIL!S$82^5/(Conv!$I$5*Conv!$D$46)/10^6 + OILTrade!$I$18</f>
        <v>2.9959428986768377</v>
      </c>
      <c r="L377" s="421">
        <f>DelivOIL!$G80*DelivOIL!T$82^5/(Conv!$I$5*Conv!$D$46)/10^6 + OILTrade!$I$18</f>
        <v>2.7462028317271465</v>
      </c>
      <c r="M377" s="421">
        <f>DelivOIL!$G80*DelivOIL!U$82^5/(Conv!$I$5*Conv!$D$46)/10^6 + OILTrade!$I$18</f>
        <v>2.6227910632230049</v>
      </c>
      <c r="N377" s="421">
        <f>DelivOIL!$G80*DelivOIL!V$82^5/(Conv!$I$5*Conv!$D$46)/10^6 + OILTrade!$I$18</f>
        <v>2.6227910632230049</v>
      </c>
      <c r="O377" s="421">
        <f>DelivOIL!$G80*DelivOIL!W$82^5/(Conv!$I$5*Conv!$D$46)/10^6 + OILTrade!$I$18</f>
        <v>2.6227910632230049</v>
      </c>
      <c r="P377" s="421">
        <f>DelivOIL!$G80*DelivOIL!X$82^5/(Conv!$I$5*Conv!$D$46)/10^6 + OILTrade!$I$18</f>
        <v>2.6227910632230049</v>
      </c>
      <c r="Q377" s="421">
        <f>DelivOIL!$G80*DelivOIL!Y$82^5/(Conv!$I$5*Conv!$D$46)/10^6 + OILTrade!$I$18</f>
        <v>2.6227910632230049</v>
      </c>
      <c r="S377" s="395"/>
      <c r="T377" s="395"/>
      <c r="U377" s="395"/>
      <c r="V377" s="395"/>
      <c r="W377" s="395"/>
      <c r="X377" s="395"/>
      <c r="Y377" s="395"/>
      <c r="Z377" s="395"/>
      <c r="AA377" s="395"/>
      <c r="AB377" s="395"/>
      <c r="AC377" s="395"/>
    </row>
    <row r="378" spans="2:29">
      <c r="B378" s="376" t="s">
        <v>588</v>
      </c>
      <c r="C378" s="376" t="str">
        <f>Technologies!C316</f>
        <v>XPCOMDSLR5</v>
      </c>
      <c r="D378" s="376" t="str">
        <f>Technologies!D316</f>
        <v>Delivery of Pipeline Traded COMDSL from R5</v>
      </c>
      <c r="E378" s="415" t="str">
        <f>E377</f>
        <v>DSHR5</v>
      </c>
      <c r="F378" s="415" t="str">
        <f>Commodities!C88</f>
        <v>COMDSL</v>
      </c>
      <c r="G378" s="422">
        <v>1</v>
      </c>
      <c r="H378" s="421">
        <f>DelivOIL!$G81*DelivOIL!P$82^5/(Conv!$I$5*Conv!$D$46)/10^6 + OILTrade!$I$18</f>
        <v>0.93531218768479618</v>
      </c>
      <c r="I378" s="421">
        <f>DelivOIL!$G81*DelivOIL!Q$82^5/(Conv!$I$5*Conv!$D$46)/10^6 + OILTrade!$I$18</f>
        <v>0.84377746112002261</v>
      </c>
      <c r="J378" s="421">
        <f>DelivOIL!$G81*DelivOIL!R$82^5/(Conv!$I$5*Conv!$D$46)/10^6 + OILTrade!$I$18</f>
        <v>0.94872027056468111</v>
      </c>
      <c r="K378" s="421">
        <f>DelivOIL!$G81*DelivOIL!S$82^5/(Conv!$I$5*Conv!$D$46)/10^6 + OILTrade!$I$18</f>
        <v>1.0773827210576989</v>
      </c>
      <c r="L378" s="421">
        <f>DelivOIL!$G81*DelivOIL!T$82^5/(Conv!$I$5*Conv!$D$46)/10^6 + OILTrade!$I$18</f>
        <v>0.99098615735618423</v>
      </c>
      <c r="M378" s="421">
        <f>DelivOIL!$G81*DelivOIL!U$82^5/(Conv!$I$5*Conv!$D$46)/10^6 + OILTrade!$I$18</f>
        <v>0.94829235636015685</v>
      </c>
      <c r="N378" s="421">
        <f>DelivOIL!$G81*DelivOIL!V$82^5/(Conv!$I$5*Conv!$D$46)/10^6 + OILTrade!$I$18</f>
        <v>0.94829235636015685</v>
      </c>
      <c r="O378" s="421">
        <f>DelivOIL!$G81*DelivOIL!W$82^5/(Conv!$I$5*Conv!$D$46)/10^6 + OILTrade!$I$18</f>
        <v>0.94829235636015685</v>
      </c>
      <c r="P378" s="421">
        <f>DelivOIL!$G81*DelivOIL!X$82^5/(Conv!$I$5*Conv!$D$46)/10^6 + OILTrade!$I$18</f>
        <v>0.94829235636015685</v>
      </c>
      <c r="Q378" s="421">
        <f>DelivOIL!$G81*DelivOIL!Y$82^5/(Conv!$I$5*Conv!$D$46)/10^6 + OILTrade!$I$18</f>
        <v>0.94829235636015685</v>
      </c>
      <c r="S378" s="395"/>
      <c r="T378" s="395"/>
      <c r="U378" s="395"/>
      <c r="V378" s="395"/>
      <c r="W378" s="395"/>
      <c r="X378" s="395"/>
      <c r="Y378" s="395"/>
      <c r="Z378" s="395"/>
      <c r="AA378" s="395"/>
      <c r="AB378" s="395"/>
      <c r="AC378" s="395"/>
    </row>
    <row r="379" spans="2:29">
      <c r="B379" s="376" t="s">
        <v>588</v>
      </c>
      <c r="C379" s="376" t="str">
        <f>Technologies!C317</f>
        <v>XPINDDSLR5</v>
      </c>
      <c r="D379" s="376" t="str">
        <f>Technologies!D317</f>
        <v>Delivery of Pipeline Traded INDDSL from R5</v>
      </c>
      <c r="E379" s="415" t="str">
        <f>E378</f>
        <v>DSHR5</v>
      </c>
      <c r="F379" s="415" t="str">
        <f>Commodities!C89</f>
        <v>INDDSL</v>
      </c>
      <c r="G379" s="422">
        <v>1</v>
      </c>
      <c r="H379" s="421">
        <f>DelivOIL!$G82*DelivOIL!P$82^5/(Conv!$I$5*Conv!$D$46)/10^6 + OILTrade!$I$18</f>
        <v>1.2353045650413408</v>
      </c>
      <c r="I379" s="421">
        <f>DelivOIL!$G82*DelivOIL!Q$82^5/(Conv!$I$5*Conv!$D$46)/10^6 + OILTrade!$I$18</f>
        <v>1.1123047762199263</v>
      </c>
      <c r="J379" s="421">
        <f>DelivOIL!$G82*DelivOIL!R$82^5/(Conv!$I$5*Conv!$D$46)/10^6 + OILTrade!$I$18</f>
        <v>1.2533216764111863</v>
      </c>
      <c r="K379" s="421">
        <f>DelivOIL!$G82*DelivOIL!S$82^5/(Conv!$I$5*Conv!$D$46)/10^6 + OILTrade!$I$18</f>
        <v>1.4262118442611791</v>
      </c>
      <c r="L379" s="421">
        <f>DelivOIL!$G82*DelivOIL!T$82^5/(Conv!$I$5*Conv!$D$46)/10^6 + OILTrade!$I$18</f>
        <v>1.3101164617872687</v>
      </c>
      <c r="M379" s="421">
        <f>DelivOIL!$G82*DelivOIL!U$82^5/(Conv!$I$5*Conv!$D$46)/10^6 + OILTrade!$I$18</f>
        <v>1.2527466666988569</v>
      </c>
      <c r="N379" s="421">
        <f>DelivOIL!$G82*DelivOIL!V$82^5/(Conv!$I$5*Conv!$D$46)/10^6 + OILTrade!$I$18</f>
        <v>1.2527466666988569</v>
      </c>
      <c r="O379" s="421">
        <f>DelivOIL!$G82*DelivOIL!W$82^5/(Conv!$I$5*Conv!$D$46)/10^6 + OILTrade!$I$18</f>
        <v>1.2527466666988569</v>
      </c>
      <c r="P379" s="421">
        <f>DelivOIL!$G82*DelivOIL!X$82^5/(Conv!$I$5*Conv!$D$46)/10^6 + OILTrade!$I$18</f>
        <v>1.2527466666988569</v>
      </c>
      <c r="Q379" s="421">
        <f>DelivOIL!$G82*DelivOIL!Y$82^5/(Conv!$I$5*Conv!$D$46)/10^6 + OILTrade!$I$18</f>
        <v>1.2527466666988569</v>
      </c>
      <c r="S379" s="395"/>
      <c r="T379" s="395"/>
      <c r="U379" s="395"/>
      <c r="V379" s="395"/>
      <c r="W379" s="395"/>
      <c r="X379" s="395"/>
      <c r="Y379" s="395"/>
      <c r="Z379" s="395"/>
      <c r="AA379" s="395"/>
      <c r="AB379" s="395"/>
      <c r="AC379" s="395"/>
    </row>
    <row r="380" spans="2:29">
      <c r="B380" s="376" t="s">
        <v>588</v>
      </c>
      <c r="C380" s="376" t="str">
        <f>Technologies!C318</f>
        <v>XPELCDSLR5</v>
      </c>
      <c r="D380" s="376" t="str">
        <f>Technologies!D318</f>
        <v>Delivery of Pipeline Traded ELCDSL from R5</v>
      </c>
      <c r="E380" s="415" t="str">
        <f>E379</f>
        <v>DSHR5</v>
      </c>
      <c r="F380" s="415" t="str">
        <f>Commodities!C90</f>
        <v>ELCDSL</v>
      </c>
      <c r="G380" s="422">
        <v>1</v>
      </c>
      <c r="H380" s="421">
        <f>DelivOIL!$G83*DelivOIL!P$82^5/(Conv!$I$5*Conv!$D$46)/10^6 + OILTrade!$I$18</f>
        <v>0.88758612765080036</v>
      </c>
      <c r="I380" s="421">
        <f>DelivOIL!$G83*DelivOIL!Q$82^5/(Conv!$I$5*Conv!$D$46)/10^6 + OILTrade!$I$18</f>
        <v>0.80105720644503808</v>
      </c>
      <c r="J380" s="421">
        <f>DelivOIL!$G83*DelivOIL!R$82^5/(Conv!$I$5*Conv!$D$46)/10^6 + OILTrade!$I$18</f>
        <v>0.90026095599819167</v>
      </c>
      <c r="K380" s="421">
        <f>DelivOIL!$G83*DelivOIL!S$82^5/(Conv!$I$5*Conv!$D$46)/10^6 + OILTrade!$I$18</f>
        <v>1.0218871787298727</v>
      </c>
      <c r="L380" s="421">
        <f>DelivOIL!$G83*DelivOIL!T$82^5/(Conv!$I$5*Conv!$D$46)/10^6 + OILTrade!$I$18</f>
        <v>0.94021542710578443</v>
      </c>
      <c r="M380" s="421">
        <f>DelivOIL!$G83*DelivOIL!U$82^5/(Conv!$I$5*Conv!$D$46)/10^6 + OILTrade!$I$18</f>
        <v>0.89985644335172743</v>
      </c>
      <c r="N380" s="421">
        <f>DelivOIL!$G83*DelivOIL!V$82^5/(Conv!$I$5*Conv!$D$46)/10^6 + OILTrade!$I$18</f>
        <v>0.89985644335172743</v>
      </c>
      <c r="O380" s="421">
        <f>DelivOIL!$G83*DelivOIL!W$82^5/(Conv!$I$5*Conv!$D$46)/10^6 + OILTrade!$I$18</f>
        <v>0.89985644335172743</v>
      </c>
      <c r="P380" s="421">
        <f>DelivOIL!$G83*DelivOIL!X$82^5/(Conv!$I$5*Conv!$D$46)/10^6 + OILTrade!$I$18</f>
        <v>0.89985644335172743</v>
      </c>
      <c r="Q380" s="421">
        <f>DelivOIL!$G83*DelivOIL!Y$82^5/(Conv!$I$5*Conv!$D$46)/10^6 + OILTrade!$I$18</f>
        <v>0.89985644335172743</v>
      </c>
      <c r="S380" s="395"/>
      <c r="T380" s="395"/>
      <c r="U380" s="395"/>
      <c r="V380" s="395"/>
      <c r="W380" s="395"/>
      <c r="X380" s="395"/>
      <c r="Y380" s="395"/>
      <c r="Z380" s="395"/>
      <c r="AA380" s="395"/>
      <c r="AB380" s="395"/>
      <c r="AC380" s="395"/>
    </row>
    <row r="381" spans="2:29">
      <c r="B381" s="376" t="s">
        <v>588</v>
      </c>
      <c r="C381" s="376" t="str">
        <f>Technologies!C319</f>
        <v>XPTRDSLLR5</v>
      </c>
      <c r="D381" s="376" t="str">
        <f>Technologies!D319</f>
        <v>Delivery of Pipeline Traded TRDSLL from R5</v>
      </c>
      <c r="E381" s="415" t="str">
        <f>Commodities!C146</f>
        <v>DSLR5</v>
      </c>
      <c r="F381" s="415" t="str">
        <f>Commodities!C91</f>
        <v>TRDSLL</v>
      </c>
      <c r="G381" s="422">
        <v>1</v>
      </c>
      <c r="H381" s="421">
        <f>DelivOIL!$G84*DelivOIL!P$82^5/(Conv!$I$5*Conv!$D$46)/10^6 + OILTrade!$I$18</f>
        <v>3.6284255753174102</v>
      </c>
      <c r="I381" s="421">
        <f>DelivOIL!$G84*DelivOIL!Q$82^5/(Conv!$I$5*Conv!$D$46)/10^6 + OILTrade!$I$18</f>
        <v>3.2544204034941555</v>
      </c>
      <c r="J381" s="421">
        <f>DelivOIL!$G84*DelivOIL!R$82^5/(Conv!$I$5*Conv!$D$46)/10^6 + OILTrade!$I$18</f>
        <v>3.6832101639594401</v>
      </c>
      <c r="K381" s="421">
        <f>DelivOIL!$G84*DelivOIL!S$82^5/(Conv!$I$5*Conv!$D$46)/10^6 + OILTrade!$I$18</f>
        <v>4.2089168952707556</v>
      </c>
      <c r="L381" s="421">
        <f>DelivOIL!$G84*DelivOIL!T$82^5/(Conv!$I$5*Conv!$D$46)/10^6 + OILTrade!$I$18</f>
        <v>3.8559059357715975</v>
      </c>
      <c r="M381" s="421">
        <f>DelivOIL!$G84*DelivOIL!U$82^5/(Conv!$I$5*Conv!$D$46)/10^6 + OILTrade!$I$18</f>
        <v>3.6814617332643915</v>
      </c>
      <c r="N381" s="421">
        <f>DelivOIL!$G84*DelivOIL!V$82^5/(Conv!$I$5*Conv!$D$46)/10^6 + OILTrade!$I$18</f>
        <v>3.6814617332643915</v>
      </c>
      <c r="O381" s="421">
        <f>DelivOIL!$G84*DelivOIL!W$82^5/(Conv!$I$5*Conv!$D$46)/10^6 + OILTrade!$I$18</f>
        <v>3.6814617332643915</v>
      </c>
      <c r="P381" s="421">
        <f>DelivOIL!$G84*DelivOIL!X$82^5/(Conv!$I$5*Conv!$D$46)/10^6 + OILTrade!$I$18</f>
        <v>3.6814617332643915</v>
      </c>
      <c r="Q381" s="421">
        <f>DelivOIL!$G84*DelivOIL!Y$82^5/(Conv!$I$5*Conv!$D$46)/10^6 + OILTrade!$I$18</f>
        <v>3.6814617332643915</v>
      </c>
      <c r="S381" s="395"/>
      <c r="T381" s="395"/>
      <c r="U381" s="395"/>
      <c r="V381" s="395"/>
      <c r="W381" s="395"/>
      <c r="X381" s="395"/>
      <c r="Y381" s="395"/>
      <c r="Z381" s="395"/>
      <c r="AA381" s="395"/>
      <c r="AB381" s="395"/>
      <c r="AC381" s="395"/>
    </row>
    <row r="382" spans="2:29">
      <c r="B382" s="376" t="s">
        <v>588</v>
      </c>
      <c r="C382" s="376" t="str">
        <f>Technologies!C320</f>
        <v>XPTRDSLUR5</v>
      </c>
      <c r="D382" s="376" t="str">
        <f>Technologies!D320</f>
        <v>Delivery of Pipeline Traded TRDSLU from R5</v>
      </c>
      <c r="E382" s="415" t="str">
        <f>Commodities!C147</f>
        <v>DSUR5</v>
      </c>
      <c r="F382" s="415" t="str">
        <f>Commodities!C92</f>
        <v>TRDSLU</v>
      </c>
      <c r="G382" s="422">
        <v>1</v>
      </c>
      <c r="H382" s="421">
        <f>DelivOIL!$G85*DelivOIL!P$82^5/(Conv!$I$5*Conv!$D$46)/10^6 + OILTrade!$I$18</f>
        <v>2.9875327691466107</v>
      </c>
      <c r="I382" s="421">
        <f>DelivOIL!$G85*DelivOIL!Q$82^5/(Conv!$I$5*Conv!$D$46)/10^6 + OILTrade!$I$18</f>
        <v>2.6807484121443621</v>
      </c>
      <c r="J382" s="421">
        <f>DelivOIL!$G85*DelivOIL!R$82^5/(Conv!$I$5*Conv!$D$46)/10^6 + OILTrade!$I$18</f>
        <v>3.0324707969237257</v>
      </c>
      <c r="K382" s="421">
        <f>DelivOIL!$G85*DelivOIL!S$82^5/(Conv!$I$5*Conv!$D$46)/10^6 + OILTrade!$I$18</f>
        <v>3.4636910411542301</v>
      </c>
      <c r="L382" s="421">
        <f>DelivOIL!$G85*DelivOIL!T$82^5/(Conv!$I$5*Conv!$D$46)/10^6 + OILTrade!$I$18</f>
        <v>3.1741275581233728</v>
      </c>
      <c r="M382" s="421">
        <f>DelivOIL!$G85*DelivOIL!U$82^5/(Conv!$I$5*Conv!$D$46)/10^6 + OILTrade!$I$18</f>
        <v>3.0310366157226243</v>
      </c>
      <c r="N382" s="421">
        <f>DelivOIL!$G85*DelivOIL!V$82^5/(Conv!$I$5*Conv!$D$46)/10^6 + OILTrade!$I$18</f>
        <v>3.0310366157226243</v>
      </c>
      <c r="O382" s="421">
        <f>DelivOIL!$G85*DelivOIL!W$82^5/(Conv!$I$5*Conv!$D$46)/10^6 + OILTrade!$I$18</f>
        <v>3.0310366157226243</v>
      </c>
      <c r="P382" s="421">
        <f>DelivOIL!$G85*DelivOIL!X$82^5/(Conv!$I$5*Conv!$D$46)/10^6 + OILTrade!$I$18</f>
        <v>3.0310366157226243</v>
      </c>
      <c r="Q382" s="421">
        <f>DelivOIL!$G85*DelivOIL!Y$82^5/(Conv!$I$5*Conv!$D$46)/10^6 + OILTrade!$I$18</f>
        <v>3.0310366157226243</v>
      </c>
      <c r="S382" s="395"/>
      <c r="T382" s="395"/>
      <c r="U382" s="395"/>
      <c r="V382" s="395"/>
      <c r="W382" s="395"/>
      <c r="X382" s="395"/>
      <c r="Y382" s="395"/>
      <c r="Z382" s="395"/>
      <c r="AA382" s="395"/>
      <c r="AB382" s="395"/>
      <c r="AC382" s="395"/>
    </row>
    <row r="383" spans="2:29">
      <c r="B383" s="376" t="s">
        <v>588</v>
      </c>
      <c r="C383" s="376" t="str">
        <f>Technologies!C321</f>
        <v>XPTRNJTFR5</v>
      </c>
      <c r="D383" s="376" t="str">
        <f>Technologies!D321</f>
        <v>Delivery of Pipeline Traded TRNJTF from R5</v>
      </c>
      <c r="E383" s="415" t="str">
        <f>Commodities!C148</f>
        <v>JTFR5</v>
      </c>
      <c r="F383" s="415" t="str">
        <f>Commodities!C93</f>
        <v>TRNJTF</v>
      </c>
      <c r="G383" s="422">
        <v>1</v>
      </c>
      <c r="H383" s="421">
        <f>DelivOIL!$G86*DelivOIL!P$82^5/(Conv!$I$5*Conv!$D$46)/10^6 + OILTrade!$I$18</f>
        <v>0.77167998185395348</v>
      </c>
      <c r="I383" s="421">
        <f>DelivOIL!$G86*DelivOIL!Q$82^5/(Conv!$I$5*Conv!$D$46)/10^6 + OILTrade!$I$18</f>
        <v>0.69730801652007512</v>
      </c>
      <c r="J383" s="421">
        <f>DelivOIL!$G86*DelivOIL!R$82^5/(Conv!$I$5*Conv!$D$46)/10^6 + OILTrade!$I$18</f>
        <v>0.78257404919386009</v>
      </c>
      <c r="K383" s="421">
        <f>DelivOIL!$G86*DelivOIL!S$82^5/(Conv!$I$5*Conv!$D$46)/10^6 + OILTrade!$I$18</f>
        <v>0.88711229021943716</v>
      </c>
      <c r="L383" s="421">
        <f>DelivOIL!$G86*DelivOIL!T$82^5/(Conv!$I$5*Conv!$D$46)/10^6 + OILTrade!$I$18</f>
        <v>0.8169150822119563</v>
      </c>
      <c r="M383" s="421">
        <f>DelivOIL!$G86*DelivOIL!U$82^5/(Conv!$I$5*Conv!$D$46)/10^6 + OILTrade!$I$18</f>
        <v>0.78222636890268415</v>
      </c>
      <c r="N383" s="421">
        <f>DelivOIL!$G86*DelivOIL!V$82^5/(Conv!$I$5*Conv!$D$46)/10^6 + OILTrade!$I$18</f>
        <v>0.78222636890268415</v>
      </c>
      <c r="O383" s="421">
        <f>DelivOIL!$G86*DelivOIL!W$82^5/(Conv!$I$5*Conv!$D$46)/10^6 + OILTrade!$I$18</f>
        <v>0.78222636890268415</v>
      </c>
      <c r="P383" s="421">
        <f>DelivOIL!$G86*DelivOIL!X$82^5/(Conv!$I$5*Conv!$D$46)/10^6 + OILTrade!$I$18</f>
        <v>0.78222636890268415</v>
      </c>
      <c r="Q383" s="421">
        <f>DelivOIL!$G86*DelivOIL!Y$82^5/(Conv!$I$5*Conv!$D$46)/10^6 + OILTrade!$I$18</f>
        <v>0.78222636890268415</v>
      </c>
      <c r="S383" s="395"/>
      <c r="T383" s="395"/>
      <c r="U383" s="395"/>
      <c r="V383" s="395"/>
      <c r="W383" s="395"/>
      <c r="X383" s="395"/>
      <c r="Y383" s="395"/>
      <c r="Z383" s="395"/>
      <c r="AA383" s="395"/>
      <c r="AB383" s="395"/>
      <c r="AC383" s="395"/>
    </row>
    <row r="384" spans="2:29">
      <c r="B384" s="376" t="s">
        <v>588</v>
      </c>
      <c r="C384" s="376" t="str">
        <f>Technologies!C322</f>
        <v>XPRESKERR5</v>
      </c>
      <c r="D384" s="376" t="str">
        <f>Technologies!D322</f>
        <v>Delivery of Pipeline Traded RESKER from R5</v>
      </c>
      <c r="E384" s="415" t="str">
        <f>Commodities!C149</f>
        <v>KERR5</v>
      </c>
      <c r="F384" s="415" t="str">
        <f>Commodities!C94</f>
        <v>RESKER</v>
      </c>
      <c r="G384" s="422">
        <v>1</v>
      </c>
      <c r="H384" s="421">
        <f>DelivOIL!$G87*DelivOIL!P$82^5/(Conv!$I$5*Conv!$D$46)/10^6 + OILTrade!$I$18</f>
        <v>2.7693564947054887</v>
      </c>
      <c r="I384" s="421">
        <f>DelivOIL!$G87*DelivOIL!Q$82^5/(Conv!$I$5*Conv!$D$46)/10^6 + OILTrade!$I$18</f>
        <v>2.4854558193444336</v>
      </c>
      <c r="J384" s="421">
        <f>DelivOIL!$G87*DelivOIL!R$82^5/(Conv!$I$5*Conv!$D$46)/10^6 + OILTrade!$I$18</f>
        <v>2.8109425017626322</v>
      </c>
      <c r="K384" s="421">
        <f>DelivOIL!$G87*DelivOIL!S$82^5/(Conv!$I$5*Conv!$D$46)/10^6 + OILTrade!$I$18</f>
        <v>3.2099971333698827</v>
      </c>
      <c r="L384" s="421">
        <f>DelivOIL!$G87*DelivOIL!T$82^5/(Conv!$I$5*Conv!$D$46)/10^6 + OILTrade!$I$18</f>
        <v>2.9420327912644035</v>
      </c>
      <c r="M384" s="421">
        <f>DelivOIL!$G87*DelivOIL!U$82^5/(Conv!$I$5*Conv!$D$46)/10^6 + OILTrade!$I$18</f>
        <v>2.8096152991126626</v>
      </c>
      <c r="N384" s="421">
        <f>DelivOIL!$G87*DelivOIL!V$82^5/(Conv!$I$5*Conv!$D$46)/10^6 + OILTrade!$I$18</f>
        <v>2.8096152991126626</v>
      </c>
      <c r="O384" s="421">
        <f>DelivOIL!$G87*DelivOIL!W$82^5/(Conv!$I$5*Conv!$D$46)/10^6 + OILTrade!$I$18</f>
        <v>2.8096152991126626</v>
      </c>
      <c r="P384" s="421">
        <f>DelivOIL!$G87*DelivOIL!X$82^5/(Conv!$I$5*Conv!$D$46)/10^6 + OILTrade!$I$18</f>
        <v>2.8096152991126626</v>
      </c>
      <c r="Q384" s="421">
        <f>DelivOIL!$G87*DelivOIL!Y$82^5/(Conv!$I$5*Conv!$D$46)/10^6 + OILTrade!$I$18</f>
        <v>2.8096152991126626</v>
      </c>
      <c r="S384" s="395"/>
      <c r="T384" s="395"/>
      <c r="U384" s="395"/>
      <c r="V384" s="395"/>
      <c r="W384" s="395"/>
      <c r="X384" s="395"/>
      <c r="Y384" s="395"/>
      <c r="Z384" s="395"/>
      <c r="AA384" s="395"/>
      <c r="AB384" s="395"/>
      <c r="AC384" s="395"/>
    </row>
    <row r="385" spans="2:29">
      <c r="B385" s="376" t="s">
        <v>588</v>
      </c>
      <c r="C385" s="376" t="str">
        <f>Technologies!C323</f>
        <v>XPCOMKERR5</v>
      </c>
      <c r="D385" s="376" t="str">
        <f>Technologies!D323</f>
        <v>Delivery of Pipeline Traded COMKER from R5</v>
      </c>
      <c r="E385" s="415" t="str">
        <f>E384</f>
        <v>KERR5</v>
      </c>
      <c r="F385" s="415" t="str">
        <f>Commodities!C95</f>
        <v>COMKER</v>
      </c>
      <c r="G385" s="422">
        <v>1</v>
      </c>
      <c r="H385" s="421">
        <f>DelivOIL!$G88*DelivOIL!P$82^5/(Conv!$I$5*Conv!$D$46)/10^6 + OILTrade!$I$18</f>
        <v>2.8375365804683383</v>
      </c>
      <c r="I385" s="421">
        <f>DelivOIL!$G88*DelivOIL!Q$82^5/(Conv!$I$5*Conv!$D$46)/10^6 + OILTrade!$I$18</f>
        <v>2.54648475459441</v>
      </c>
      <c r="J385" s="421">
        <f>DelivOIL!$G88*DelivOIL!R$82^5/(Conv!$I$5*Conv!$D$46)/10^6 + OILTrade!$I$18</f>
        <v>2.8801700940004729</v>
      </c>
      <c r="K385" s="421">
        <f>DelivOIL!$G88*DelivOIL!S$82^5/(Conv!$I$5*Conv!$D$46)/10^6 + OILTrade!$I$18</f>
        <v>3.2892764795524903</v>
      </c>
      <c r="L385" s="421">
        <f>DelivOIL!$G88*DelivOIL!T$82^5/(Conv!$I$5*Conv!$D$46)/10^6 + OILTrade!$I$18</f>
        <v>3.0145624059078298</v>
      </c>
      <c r="M385" s="421">
        <f>DelivOIL!$G88*DelivOIL!U$82^5/(Conv!$I$5*Conv!$D$46)/10^6 + OILTrade!$I$18</f>
        <v>2.8788094605532741</v>
      </c>
      <c r="N385" s="421">
        <f>DelivOIL!$G88*DelivOIL!V$82^5/(Conv!$I$5*Conv!$D$46)/10^6 + OILTrade!$I$18</f>
        <v>2.8788094605532741</v>
      </c>
      <c r="O385" s="421">
        <f>DelivOIL!$G88*DelivOIL!W$82^5/(Conv!$I$5*Conv!$D$46)/10^6 + OILTrade!$I$18</f>
        <v>2.8788094605532741</v>
      </c>
      <c r="P385" s="421">
        <f>DelivOIL!$G88*DelivOIL!X$82^5/(Conv!$I$5*Conv!$D$46)/10^6 + OILTrade!$I$18</f>
        <v>2.8788094605532741</v>
      </c>
      <c r="Q385" s="421">
        <f>DelivOIL!$G88*DelivOIL!Y$82^5/(Conv!$I$5*Conv!$D$46)/10^6 + OILTrade!$I$18</f>
        <v>2.8788094605532741</v>
      </c>
      <c r="S385" s="395"/>
      <c r="T385" s="395"/>
      <c r="U385" s="395"/>
      <c r="V385" s="395"/>
      <c r="W385" s="395"/>
      <c r="X385" s="395"/>
      <c r="Y385" s="395"/>
      <c r="Z385" s="395"/>
      <c r="AA385" s="395"/>
      <c r="AB385" s="395"/>
      <c r="AC385" s="395"/>
    </row>
    <row r="386" spans="2:29">
      <c r="B386" s="376" t="s">
        <v>588</v>
      </c>
      <c r="C386" s="376" t="str">
        <f>Technologies!C324</f>
        <v>XPINDKERR5</v>
      </c>
      <c r="D386" s="376" t="str">
        <f>Technologies!D324</f>
        <v>Delivery of Pipeline Traded INDKER from R5</v>
      </c>
      <c r="E386" s="415" t="str">
        <f>E385</f>
        <v>KERR5</v>
      </c>
      <c r="F386" s="415" t="str">
        <f>Commodities!C96</f>
        <v>INDKER</v>
      </c>
      <c r="G386" s="422">
        <v>1</v>
      </c>
      <c r="H386" s="421">
        <f>DelivOIL!$G89*DelivOIL!P$82^5/(Conv!$I$5*Conv!$D$46)/10^6 + OILTrade!$I$18</f>
        <v>1.6716571139235876</v>
      </c>
      <c r="I386" s="421">
        <f>DelivOIL!$G89*DelivOIL!Q$82^5/(Conv!$I$5*Conv!$D$46)/10^6 + OILTrade!$I$18</f>
        <v>1.5028899618197866</v>
      </c>
      <c r="J386" s="421">
        <f>DelivOIL!$G89*DelivOIL!R$82^5/(Conv!$I$5*Conv!$D$46)/10^6 + OILTrade!$I$18</f>
        <v>1.6963782667333758</v>
      </c>
      <c r="K386" s="421">
        <f>DelivOIL!$G89*DelivOIL!S$82^5/(Conv!$I$5*Conv!$D$46)/10^6 + OILTrade!$I$18</f>
        <v>1.9335996598298775</v>
      </c>
      <c r="L386" s="421">
        <f>DelivOIL!$G89*DelivOIL!T$82^5/(Conv!$I$5*Conv!$D$46)/10^6 + OILTrade!$I$18</f>
        <v>1.7743059955052096</v>
      </c>
      <c r="M386" s="421">
        <f>DelivOIL!$G89*DelivOIL!U$82^5/(Conv!$I$5*Conv!$D$46)/10^6 + OILTrade!$I$18</f>
        <v>1.695589299918784</v>
      </c>
      <c r="N386" s="421">
        <f>DelivOIL!$G89*DelivOIL!V$82^5/(Conv!$I$5*Conv!$D$46)/10^6 + OILTrade!$I$18</f>
        <v>1.695589299918784</v>
      </c>
      <c r="O386" s="421">
        <f>DelivOIL!$G89*DelivOIL!W$82^5/(Conv!$I$5*Conv!$D$46)/10^6 + OILTrade!$I$18</f>
        <v>1.695589299918784</v>
      </c>
      <c r="P386" s="421">
        <f>DelivOIL!$G89*DelivOIL!X$82^5/(Conv!$I$5*Conv!$D$46)/10^6 + OILTrade!$I$18</f>
        <v>1.695589299918784</v>
      </c>
      <c r="Q386" s="421">
        <f>DelivOIL!$G89*DelivOIL!Y$82^5/(Conv!$I$5*Conv!$D$46)/10^6 + OILTrade!$I$18</f>
        <v>1.695589299918784</v>
      </c>
      <c r="S386" s="395"/>
      <c r="T386" s="395"/>
      <c r="U386" s="395"/>
      <c r="V386" s="395"/>
      <c r="W386" s="395"/>
      <c r="X386" s="395"/>
      <c r="Y386" s="395"/>
      <c r="Z386" s="395"/>
      <c r="AA386" s="395"/>
      <c r="AB386" s="395"/>
      <c r="AC386" s="395"/>
    </row>
    <row r="387" spans="2:29">
      <c r="B387" s="376" t="s">
        <v>588</v>
      </c>
      <c r="C387" s="376" t="str">
        <f>Technologies!C325</f>
        <v>XPRESLPGR5</v>
      </c>
      <c r="D387" s="376" t="str">
        <f>Technologies!D325</f>
        <v>Delivery of Pipeline Traded RESLPG from R5</v>
      </c>
      <c r="E387" s="415" t="str">
        <f>Commodities!C150</f>
        <v>LPGR5</v>
      </c>
      <c r="F387" s="415" t="str">
        <f>Commodities!C97</f>
        <v>RESLPG</v>
      </c>
      <c r="G387" s="422">
        <v>1</v>
      </c>
      <c r="H387" s="421">
        <f>DelivOIL!$G90*DelivOIL!P$82^5/(Conv!$I$5*Conv!$D$46)/10^6 + OILTrade!$I$18</f>
        <v>4.7533969904044513</v>
      </c>
      <c r="I387" s="421">
        <f>DelivOIL!$G90*DelivOIL!Q$82^5/(Conv!$I$5*Conv!$D$46)/10^6 + OILTrade!$I$18</f>
        <v>4.2613978351187942</v>
      </c>
      <c r="J387" s="421">
        <f>DelivOIL!$G90*DelivOIL!R$82^5/(Conv!$I$5*Conv!$D$46)/10^6 + OILTrade!$I$18</f>
        <v>4.8254654358838343</v>
      </c>
      <c r="K387" s="421">
        <f>DelivOIL!$G90*DelivOIL!S$82^5/(Conv!$I$5*Conv!$D$46)/10^6 + OILTrade!$I$18</f>
        <v>5.5170261072838036</v>
      </c>
      <c r="L387" s="421">
        <f>DelivOIL!$G90*DelivOIL!T$82^5/(Conv!$I$5*Conv!$D$46)/10^6 + OILTrade!$I$18</f>
        <v>5.052644577388163</v>
      </c>
      <c r="M387" s="421">
        <f>DelivOIL!$G90*DelivOIL!U$82^5/(Conv!$I$5*Conv!$D$46)/10^6 + OILTrade!$I$18</f>
        <v>4.8231653970345159</v>
      </c>
      <c r="N387" s="421">
        <f>DelivOIL!$G90*DelivOIL!V$82^5/(Conv!$I$5*Conv!$D$46)/10^6 + OILTrade!$I$18</f>
        <v>4.8231653970345159</v>
      </c>
      <c r="O387" s="421">
        <f>DelivOIL!$G90*DelivOIL!W$82^5/(Conv!$I$5*Conv!$D$46)/10^6 + OILTrade!$I$18</f>
        <v>4.8231653970345159</v>
      </c>
      <c r="P387" s="421">
        <f>DelivOIL!$G90*DelivOIL!X$82^5/(Conv!$I$5*Conv!$D$46)/10^6 + OILTrade!$I$18</f>
        <v>4.8231653970345159</v>
      </c>
      <c r="Q387" s="421">
        <f>DelivOIL!$G90*DelivOIL!Y$82^5/(Conv!$I$5*Conv!$D$46)/10^6 + OILTrade!$I$18</f>
        <v>4.8231653970345159</v>
      </c>
      <c r="S387" s="395"/>
      <c r="T387" s="395"/>
      <c r="U387" s="395"/>
      <c r="V387" s="395"/>
      <c r="W387" s="395"/>
      <c r="X387" s="395"/>
      <c r="Y387" s="395"/>
      <c r="Z387" s="395"/>
      <c r="AA387" s="395"/>
      <c r="AB387" s="395"/>
      <c r="AC387" s="395"/>
    </row>
    <row r="388" spans="2:29">
      <c r="B388" s="376" t="s">
        <v>588</v>
      </c>
      <c r="C388" s="376" t="str">
        <f>Technologies!C326</f>
        <v>XPCOMLPGR5</v>
      </c>
      <c r="D388" s="376" t="str">
        <f>Technologies!D326</f>
        <v>Delivery of Pipeline Traded COMLPG from R5</v>
      </c>
      <c r="E388" s="415" t="str">
        <f>E387</f>
        <v>LPGR5</v>
      </c>
      <c r="F388" s="415" t="str">
        <f>Commodities!C98</f>
        <v>COMLPG</v>
      </c>
      <c r="G388" s="422">
        <v>1</v>
      </c>
      <c r="H388" s="421">
        <f>DelivOIL!$G91*DelivOIL!P$82^5/(Conv!$I$5*Conv!$D$46)/10^6 + OILTrade!$I$18</f>
        <v>2.6057242888746455</v>
      </c>
      <c r="I388" s="421">
        <f>DelivOIL!$G91*DelivOIL!Q$82^5/(Conv!$I$5*Conv!$D$46)/10^6 + OILTrade!$I$18</f>
        <v>2.3389863747444855</v>
      </c>
      <c r="J388" s="421">
        <f>DelivOIL!$G91*DelivOIL!R$82^5/(Conv!$I$5*Conv!$D$46)/10^6 + OILTrade!$I$18</f>
        <v>2.6447962803918106</v>
      </c>
      <c r="K388" s="421">
        <f>DelivOIL!$G91*DelivOIL!S$82^5/(Conv!$I$5*Conv!$D$46)/10^6 + OILTrade!$I$18</f>
        <v>3.0197267025316203</v>
      </c>
      <c r="L388" s="421">
        <f>DelivOIL!$G91*DelivOIL!T$82^5/(Conv!$I$5*Conv!$D$46)/10^6 + OILTrade!$I$18</f>
        <v>2.7679617161201748</v>
      </c>
      <c r="M388" s="421">
        <f>DelivOIL!$G91*DelivOIL!U$82^5/(Conv!$I$5*Conv!$D$46)/10^6 + OILTrade!$I$18</f>
        <v>2.6435493116551889</v>
      </c>
      <c r="N388" s="421">
        <f>DelivOIL!$G91*DelivOIL!V$82^5/(Conv!$I$5*Conv!$D$46)/10^6 + OILTrade!$I$18</f>
        <v>2.6435493116551889</v>
      </c>
      <c r="O388" s="421">
        <f>DelivOIL!$G91*DelivOIL!W$82^5/(Conv!$I$5*Conv!$D$46)/10^6 + OILTrade!$I$18</f>
        <v>2.6435493116551889</v>
      </c>
      <c r="P388" s="421">
        <f>DelivOIL!$G91*DelivOIL!X$82^5/(Conv!$I$5*Conv!$D$46)/10^6 + OILTrade!$I$18</f>
        <v>2.6435493116551889</v>
      </c>
      <c r="Q388" s="421">
        <f>DelivOIL!$G91*DelivOIL!Y$82^5/(Conv!$I$5*Conv!$D$46)/10^6 + OILTrade!$I$18</f>
        <v>2.6435493116551889</v>
      </c>
      <c r="S388" s="395"/>
      <c r="T388" s="395"/>
      <c r="U388" s="395"/>
      <c r="V388" s="395"/>
      <c r="W388" s="395"/>
      <c r="X388" s="395"/>
      <c r="Y388" s="395"/>
      <c r="Z388" s="395"/>
      <c r="AA388" s="395"/>
      <c r="AB388" s="395"/>
      <c r="AC388" s="395"/>
    </row>
    <row r="389" spans="2:29">
      <c r="B389" s="376" t="s">
        <v>588</v>
      </c>
      <c r="C389" s="376" t="str">
        <f>Technologies!C327</f>
        <v>XPINDLPGR5</v>
      </c>
      <c r="D389" s="376" t="str">
        <f>Technologies!D327</f>
        <v>Delivery of Pipeline Traded INDLPG from R5</v>
      </c>
      <c r="E389" s="415" t="str">
        <f>E388</f>
        <v>LPGR5</v>
      </c>
      <c r="F389" s="415" t="str">
        <f>Commodities!C99</f>
        <v>INDLPG</v>
      </c>
      <c r="G389" s="422">
        <v>1</v>
      </c>
      <c r="H389" s="421">
        <f>DelivOIL!$G92*DelivOIL!P$82^5/(Conv!$I$5*Conv!$D$46)/10^6 + OILTrade!$I$18</f>
        <v>2.2852778857892462</v>
      </c>
      <c r="I389" s="421">
        <f>DelivOIL!$G92*DelivOIL!Q$82^5/(Conv!$I$5*Conv!$D$46)/10^6 + OILTrade!$I$18</f>
        <v>2.0521503790695887</v>
      </c>
      <c r="J389" s="421">
        <f>DelivOIL!$G92*DelivOIL!R$82^5/(Conv!$I$5*Conv!$D$46)/10^6 + OILTrade!$I$18</f>
        <v>2.3194265968739538</v>
      </c>
      <c r="K389" s="421">
        <f>DelivOIL!$G92*DelivOIL!S$82^5/(Conv!$I$5*Conv!$D$46)/10^6 + OILTrade!$I$18</f>
        <v>2.647113775473358</v>
      </c>
      <c r="L389" s="421">
        <f>DelivOIL!$G92*DelivOIL!T$82^5/(Conv!$I$5*Conv!$D$46)/10^6 + OILTrade!$I$18</f>
        <v>2.4270725272960627</v>
      </c>
      <c r="M389" s="421">
        <f>DelivOIL!$G92*DelivOIL!U$82^5/(Conv!$I$5*Conv!$D$46)/10^6 + OILTrade!$I$18</f>
        <v>2.3183367528843051</v>
      </c>
      <c r="N389" s="421">
        <f>DelivOIL!$G92*DelivOIL!V$82^5/(Conv!$I$5*Conv!$D$46)/10^6 + OILTrade!$I$18</f>
        <v>2.3183367528843051</v>
      </c>
      <c r="O389" s="421">
        <f>DelivOIL!$G92*DelivOIL!W$82^5/(Conv!$I$5*Conv!$D$46)/10^6 + OILTrade!$I$18</f>
        <v>2.3183367528843051</v>
      </c>
      <c r="P389" s="421">
        <f>DelivOIL!$G92*DelivOIL!X$82^5/(Conv!$I$5*Conv!$D$46)/10^6 + OILTrade!$I$18</f>
        <v>2.3183367528843051</v>
      </c>
      <c r="Q389" s="421">
        <f>DelivOIL!$G92*DelivOIL!Y$82^5/(Conv!$I$5*Conv!$D$46)/10^6 + OILTrade!$I$18</f>
        <v>2.3183367528843051</v>
      </c>
      <c r="S389" s="395"/>
      <c r="T389" s="395"/>
      <c r="U389" s="395"/>
      <c r="V389" s="395"/>
      <c r="W389" s="395"/>
      <c r="X389" s="395"/>
      <c r="Y389" s="395"/>
      <c r="Z389" s="395"/>
      <c r="AA389" s="395"/>
      <c r="AB389" s="395"/>
      <c r="AC389" s="395"/>
    </row>
    <row r="390" spans="2:29">
      <c r="B390" s="376" t="s">
        <v>588</v>
      </c>
      <c r="C390" s="376" t="str">
        <f>Technologies!C328</f>
        <v>XPTRNLPGR5</v>
      </c>
      <c r="D390" s="376" t="str">
        <f>Technologies!D328</f>
        <v>Delivery of Pipeline Traded TRNLPG from R5</v>
      </c>
      <c r="E390" s="415" t="str">
        <f>E389</f>
        <v>LPGR5</v>
      </c>
      <c r="F390" s="415" t="str">
        <f>Commodities!C100</f>
        <v>TRNLPG</v>
      </c>
      <c r="G390" s="422">
        <v>1</v>
      </c>
      <c r="H390" s="421">
        <f>DelivOIL!$G93*DelivOIL!P$82^5/(Conv!$I$5*Conv!$D$46)/10^6 + OILTrade!$I$18</f>
        <v>3.4920654037917092</v>
      </c>
      <c r="I390" s="421">
        <f>DelivOIL!$G93*DelivOIL!Q$82^5/(Conv!$I$5*Conv!$D$46)/10^6 + OILTrade!$I$18</f>
        <v>3.1323625329942009</v>
      </c>
      <c r="J390" s="421">
        <f>DelivOIL!$G93*DelivOIL!R$82^5/(Conv!$I$5*Conv!$D$46)/10^6 + OILTrade!$I$18</f>
        <v>3.5447549794837578</v>
      </c>
      <c r="K390" s="421">
        <f>DelivOIL!$G93*DelivOIL!S$82^5/(Conv!$I$5*Conv!$D$46)/10^6 + OILTrade!$I$18</f>
        <v>4.0503582029055387</v>
      </c>
      <c r="L390" s="421">
        <f>DelivOIL!$G93*DelivOIL!T$82^5/(Conv!$I$5*Conv!$D$46)/10^6 + OILTrade!$I$18</f>
        <v>3.7108467064847424</v>
      </c>
      <c r="M390" s="421">
        <f>DelivOIL!$G93*DelivOIL!U$82^5/(Conv!$I$5*Conv!$D$46)/10^6 + OILTrade!$I$18</f>
        <v>3.5430734103831654</v>
      </c>
      <c r="N390" s="421">
        <f>DelivOIL!$G93*DelivOIL!V$82^5/(Conv!$I$5*Conv!$D$46)/10^6 + OILTrade!$I$18</f>
        <v>3.5430734103831654</v>
      </c>
      <c r="O390" s="421">
        <f>DelivOIL!$G93*DelivOIL!W$82^5/(Conv!$I$5*Conv!$D$46)/10^6 + OILTrade!$I$18</f>
        <v>3.5430734103831654</v>
      </c>
      <c r="P390" s="421">
        <f>DelivOIL!$G93*DelivOIL!X$82^5/(Conv!$I$5*Conv!$D$46)/10^6 + OILTrade!$I$18</f>
        <v>3.5430734103831654</v>
      </c>
      <c r="Q390" s="421">
        <f>DelivOIL!$G93*DelivOIL!Y$82^5/(Conv!$I$5*Conv!$D$46)/10^6 + OILTrade!$I$18</f>
        <v>3.5430734103831654</v>
      </c>
      <c r="S390" s="395"/>
      <c r="T390" s="395"/>
      <c r="U390" s="395"/>
      <c r="V390" s="395"/>
      <c r="W390" s="395"/>
      <c r="X390" s="395"/>
      <c r="Y390" s="395"/>
      <c r="Z390" s="395"/>
      <c r="AA390" s="395"/>
      <c r="AB390" s="395"/>
      <c r="AC390" s="395"/>
    </row>
    <row r="391" spans="2:29">
      <c r="B391" s="376" t="s">
        <v>588</v>
      </c>
      <c r="C391" s="376" t="str">
        <f>Technologies!C329</f>
        <v>XPTRNMTHR5</v>
      </c>
      <c r="D391" s="376" t="str">
        <f>Technologies!D329</f>
        <v>Delivery of Pipeline Traded TRNMTH from R5</v>
      </c>
      <c r="E391" s="415" t="str">
        <f>Commodities!C151</f>
        <v>MTHR5</v>
      </c>
      <c r="F391" s="415" t="str">
        <f>Commodities!C101</f>
        <v>TRNMTH</v>
      </c>
      <c r="G391" s="422">
        <v>1</v>
      </c>
      <c r="H391" s="421">
        <f>DelivOIL!$G94*DelivOIL!P$82^5/(Conv!$I$5*Conv!$D$46)/10^6 + OILTrade!$I$18</f>
        <v>3.607971549588556</v>
      </c>
      <c r="I391" s="421">
        <f>DelivOIL!$G94*DelivOIL!Q$82^5/(Conv!$I$5*Conv!$D$46)/10^6 + OILTrade!$I$18</f>
        <v>3.2361117229191634</v>
      </c>
      <c r="J391" s="421">
        <f>DelivOIL!$G94*DelivOIL!R$82^5/(Conv!$I$5*Conv!$D$46)/10^6 + OILTrade!$I$18</f>
        <v>3.662441886288089</v>
      </c>
      <c r="K391" s="421">
        <f>DelivOIL!$G94*DelivOIL!S$82^5/(Conv!$I$5*Conv!$D$46)/10^6 + OILTrade!$I$18</f>
        <v>4.1851330914159739</v>
      </c>
      <c r="L391" s="421">
        <f>DelivOIL!$G94*DelivOIL!T$82^5/(Conv!$I$5*Conv!$D$46)/10^6 + OILTrade!$I$18</f>
        <v>3.83414705137857</v>
      </c>
      <c r="M391" s="421">
        <f>DelivOIL!$G94*DelivOIL!U$82^5/(Conv!$I$5*Conv!$D$46)/10^6 + OILTrade!$I$18</f>
        <v>3.6607034848322093</v>
      </c>
      <c r="N391" s="421">
        <f>DelivOIL!$G94*DelivOIL!V$82^5/(Conv!$I$5*Conv!$D$46)/10^6 + OILTrade!$I$18</f>
        <v>3.6607034848322093</v>
      </c>
      <c r="O391" s="421">
        <f>DelivOIL!$G94*DelivOIL!W$82^5/(Conv!$I$5*Conv!$D$46)/10^6 + OILTrade!$I$18</f>
        <v>3.6607034848322093</v>
      </c>
      <c r="P391" s="421">
        <f>DelivOIL!$G94*DelivOIL!X$82^5/(Conv!$I$5*Conv!$D$46)/10^6 + OILTrade!$I$18</f>
        <v>3.6607034848322093</v>
      </c>
      <c r="Q391" s="421">
        <f>DelivOIL!$G94*DelivOIL!Y$82^5/(Conv!$I$5*Conv!$D$46)/10^6 + OILTrade!$I$18</f>
        <v>3.6607034848322093</v>
      </c>
      <c r="S391" s="395"/>
      <c r="T391" s="395"/>
      <c r="U391" s="395"/>
      <c r="V391" s="395"/>
      <c r="W391" s="395"/>
      <c r="X391" s="395"/>
      <c r="Y391" s="395"/>
      <c r="Z391" s="395"/>
      <c r="AA391" s="395"/>
      <c r="AB391" s="395"/>
      <c r="AC391" s="395"/>
    </row>
    <row r="392" spans="2:29">
      <c r="B392" s="376" t="s">
        <v>588</v>
      </c>
      <c r="C392" s="376" t="str">
        <f>Technologies!C330</f>
        <v>XPINDPFSR5</v>
      </c>
      <c r="D392" s="376" t="str">
        <f>Technologies!D330</f>
        <v>Delivery of Pipeline Traded INDPFS from R5</v>
      </c>
      <c r="E392" s="415" t="str">
        <f>Commodities!C152</f>
        <v>PFSR5</v>
      </c>
      <c r="F392" s="415" t="str">
        <f>Commodities!C102</f>
        <v>INDPFS</v>
      </c>
      <c r="G392" s="422">
        <v>1</v>
      </c>
      <c r="H392" s="421">
        <f>DelivOIL!$G95*DelivOIL!P$82^5/(Conv!$I$5*Conv!$D$46)/10^6 + OILTrade!$I$18</f>
        <v>1.2693946079227658</v>
      </c>
      <c r="I392" s="421">
        <f>DelivOIL!$G95*DelivOIL!Q$82^5/(Conv!$I$5*Conv!$D$46)/10^6 + OILTrade!$I$18</f>
        <v>1.1428192438449152</v>
      </c>
      <c r="J392" s="421">
        <f>DelivOIL!$G95*DelivOIL!R$82^5/(Conv!$I$5*Conv!$D$46)/10^6 + OILTrade!$I$18</f>
        <v>1.2879354725301069</v>
      </c>
      <c r="K392" s="421">
        <f>DelivOIL!$G95*DelivOIL!S$82^5/(Conv!$I$5*Conv!$D$46)/10^6 + OILTrade!$I$18</f>
        <v>1.4658515173524829</v>
      </c>
      <c r="L392" s="421">
        <f>DelivOIL!$G95*DelivOIL!T$82^5/(Conv!$I$5*Conv!$D$46)/10^6 + OILTrade!$I$18</f>
        <v>1.3463812691089825</v>
      </c>
      <c r="M392" s="421">
        <f>DelivOIL!$G95*DelivOIL!U$82^5/(Conv!$I$5*Conv!$D$46)/10^6 + OILTrade!$I$18</f>
        <v>1.2873437474191631</v>
      </c>
      <c r="N392" s="421">
        <f>DelivOIL!$G95*DelivOIL!V$82^5/(Conv!$I$5*Conv!$D$46)/10^6 + OILTrade!$I$18</f>
        <v>1.2873437474191631</v>
      </c>
      <c r="O392" s="421">
        <f>DelivOIL!$G95*DelivOIL!W$82^5/(Conv!$I$5*Conv!$D$46)/10^6 + OILTrade!$I$18</f>
        <v>1.2873437474191631</v>
      </c>
      <c r="P392" s="421">
        <f>DelivOIL!$G95*DelivOIL!X$82^5/(Conv!$I$5*Conv!$D$46)/10^6 + OILTrade!$I$18</f>
        <v>1.2873437474191631</v>
      </c>
      <c r="Q392" s="421">
        <f>DelivOIL!$G95*DelivOIL!Y$82^5/(Conv!$I$5*Conv!$D$46)/10^6 + OILTrade!$I$18</f>
        <v>1.2873437474191631</v>
      </c>
      <c r="S392" s="395"/>
      <c r="T392" s="395"/>
      <c r="U392" s="395"/>
      <c r="V392" s="395"/>
      <c r="W392" s="395"/>
      <c r="X392" s="395"/>
      <c r="Y392" s="395"/>
      <c r="Z392" s="395"/>
      <c r="AA392" s="395"/>
      <c r="AB392" s="395"/>
      <c r="AC392" s="395"/>
    </row>
    <row r="393" spans="2:29">
      <c r="B393" s="376" t="s">
        <v>588</v>
      </c>
      <c r="C393" s="376" t="str">
        <f>Technologies!C331</f>
        <v>XPRESRFLR5</v>
      </c>
      <c r="D393" s="376" t="str">
        <f>Technologies!D331</f>
        <v>Delivery of Pipeline Traded RESRFL from R5</v>
      </c>
      <c r="E393" s="415" t="str">
        <f>Commodities!C154</f>
        <v>RFLR5</v>
      </c>
      <c r="F393" s="415" t="str">
        <f>Commodities!C103</f>
        <v>RESRFL</v>
      </c>
      <c r="G393" s="422">
        <v>1</v>
      </c>
      <c r="H393" s="421">
        <f>DelivOIL!$G96*DelivOIL!P$82^5/(Conv!$I$5*Conv!$D$46)/10^6 + OILTrade!$I$18</f>
        <v>0.31487340724285218</v>
      </c>
      <c r="I393" s="421">
        <f>DelivOIL!$G96*DelivOIL!Q$82^5/(Conv!$I$5*Conv!$D$46)/10^6 + OILTrade!$I$18</f>
        <v>0.28841415034522233</v>
      </c>
      <c r="J393" s="421">
        <f>DelivOIL!$G96*DelivOIL!R$82^5/(Conv!$I$5*Conv!$D$46)/10^6 + OILTrade!$I$18</f>
        <v>0.31874918120031898</v>
      </c>
      <c r="K393" s="421">
        <f>DelivOIL!$G96*DelivOIL!S$82^5/(Conv!$I$5*Conv!$D$46)/10^6 + OILTrade!$I$18</f>
        <v>0.35594067079595693</v>
      </c>
      <c r="L393" s="421">
        <f>DelivOIL!$G96*DelivOIL!T$82^5/(Conv!$I$5*Conv!$D$46)/10^6 + OILTrade!$I$18</f>
        <v>0.3309666641009878</v>
      </c>
      <c r="M393" s="421">
        <f>DelivOIL!$G96*DelivOIL!U$82^5/(Conv!$I$5*Conv!$D$46)/10^6 + OILTrade!$I$18</f>
        <v>0.3186254872505736</v>
      </c>
      <c r="N393" s="421">
        <f>DelivOIL!$G96*DelivOIL!V$82^5/(Conv!$I$5*Conv!$D$46)/10^6 + OILTrade!$I$18</f>
        <v>0.3186254872505736</v>
      </c>
      <c r="O393" s="421">
        <f>DelivOIL!$G96*DelivOIL!W$82^5/(Conv!$I$5*Conv!$D$46)/10^6 + OILTrade!$I$18</f>
        <v>0.3186254872505736</v>
      </c>
      <c r="P393" s="421">
        <f>DelivOIL!$G96*DelivOIL!X$82^5/(Conv!$I$5*Conv!$D$46)/10^6 + OILTrade!$I$18</f>
        <v>0.3186254872505736</v>
      </c>
      <c r="Q393" s="421">
        <f>DelivOIL!$G96*DelivOIL!Y$82^5/(Conv!$I$5*Conv!$D$46)/10^6 + OILTrade!$I$18</f>
        <v>0.3186254872505736</v>
      </c>
      <c r="S393" s="395"/>
      <c r="T393" s="395"/>
      <c r="U393" s="395"/>
      <c r="V393" s="395"/>
      <c r="W393" s="395"/>
      <c r="X393" s="395"/>
      <c r="Y393" s="395"/>
      <c r="Z393" s="395"/>
      <c r="AA393" s="395"/>
      <c r="AB393" s="395"/>
      <c r="AC393" s="395"/>
    </row>
    <row r="394" spans="2:29">
      <c r="B394" s="376" t="s">
        <v>588</v>
      </c>
      <c r="C394" s="376" t="str">
        <f>Technologies!C332</f>
        <v>XPCOMRFLR5</v>
      </c>
      <c r="D394" s="376" t="str">
        <f>Technologies!D332</f>
        <v>Delivery of Pipeline Traded COMRFL from R5</v>
      </c>
      <c r="E394" s="415" t="str">
        <f>Commodities!C154</f>
        <v>RFLR5</v>
      </c>
      <c r="F394" s="415" t="str">
        <f>Commodities!C104</f>
        <v>COMRFL</v>
      </c>
      <c r="G394" s="422">
        <v>1</v>
      </c>
      <c r="H394" s="421">
        <f>DelivOIL!$G96*DelivOIL!P$82^5/(Conv!$I$5*Conv!$D$46)/10^6 + OILTrade!$I$18</f>
        <v>0.31487340724285218</v>
      </c>
      <c r="I394" s="421">
        <f>DelivOIL!$G96*DelivOIL!Q$82^5/(Conv!$I$5*Conv!$D$46)/10^6 + OILTrade!$I$18</f>
        <v>0.28841415034522233</v>
      </c>
      <c r="J394" s="421">
        <f>DelivOIL!$G96*DelivOIL!R$82^5/(Conv!$I$5*Conv!$D$46)/10^6 + OILTrade!$I$18</f>
        <v>0.31874918120031898</v>
      </c>
      <c r="K394" s="421">
        <f>DelivOIL!$G96*DelivOIL!S$82^5/(Conv!$I$5*Conv!$D$46)/10^6 + OILTrade!$I$18</f>
        <v>0.35594067079595693</v>
      </c>
      <c r="L394" s="421">
        <f>DelivOIL!$G96*DelivOIL!T$82^5/(Conv!$I$5*Conv!$D$46)/10^6 + OILTrade!$I$18</f>
        <v>0.3309666641009878</v>
      </c>
      <c r="M394" s="421">
        <f>DelivOIL!$G96*DelivOIL!U$82^5/(Conv!$I$5*Conv!$D$46)/10^6 + OILTrade!$I$18</f>
        <v>0.3186254872505736</v>
      </c>
      <c r="N394" s="421">
        <f>DelivOIL!$G96*DelivOIL!V$82^5/(Conv!$I$5*Conv!$D$46)/10^6 + OILTrade!$I$18</f>
        <v>0.3186254872505736</v>
      </c>
      <c r="O394" s="421">
        <f>DelivOIL!$G96*DelivOIL!W$82^5/(Conv!$I$5*Conv!$D$46)/10^6 + OILTrade!$I$18</f>
        <v>0.3186254872505736</v>
      </c>
      <c r="P394" s="421">
        <f>DelivOIL!$G96*DelivOIL!X$82^5/(Conv!$I$5*Conv!$D$46)/10^6 + OILTrade!$I$18</f>
        <v>0.3186254872505736</v>
      </c>
      <c r="Q394" s="421">
        <f>DelivOIL!$G96*DelivOIL!Y$82^5/(Conv!$I$5*Conv!$D$46)/10^6 + OILTrade!$I$18</f>
        <v>0.3186254872505736</v>
      </c>
      <c r="S394" s="395"/>
      <c r="T394" s="395"/>
      <c r="U394" s="395"/>
      <c r="V394" s="395"/>
      <c r="W394" s="395"/>
      <c r="X394" s="395"/>
      <c r="Y394" s="395"/>
      <c r="Z394" s="395"/>
      <c r="AA394" s="395"/>
      <c r="AB394" s="395"/>
      <c r="AC394" s="395"/>
    </row>
    <row r="395" spans="2:29">
      <c r="B395" s="376" t="s">
        <v>588</v>
      </c>
      <c r="C395" s="376" t="str">
        <f>Technologies!C333</f>
        <v>XPINDRFLR5</v>
      </c>
      <c r="D395" s="376" t="str">
        <f>Technologies!D333</f>
        <v>Delivery of Pipeline Traded INDRFL from R5</v>
      </c>
      <c r="E395" s="415" t="str">
        <f>E394</f>
        <v>RFLR5</v>
      </c>
      <c r="F395" s="415" t="str">
        <f>Commodities!C105</f>
        <v>INDRFL</v>
      </c>
      <c r="G395" s="422">
        <v>1</v>
      </c>
      <c r="H395" s="421">
        <f>DelivOIL!$G97*DelivOIL!P$82^5/(Conv!$I$5*Conv!$D$46)/10^6 + OILTrade!$I$18</f>
        <v>0.1239691671068692</v>
      </c>
      <c r="I395" s="421">
        <f>DelivOIL!$G97*DelivOIL!Q$82^5/(Conv!$I$5*Conv!$D$46)/10^6 + OILTrade!$I$18</f>
        <v>0.11753313164528356</v>
      </c>
      <c r="J395" s="421">
        <f>DelivOIL!$G97*DelivOIL!R$82^5/(Conv!$I$5*Conv!$D$46)/10^6 + OILTrade!$I$18</f>
        <v>0.12491192293436112</v>
      </c>
      <c r="K395" s="421">
        <f>DelivOIL!$G97*DelivOIL!S$82^5/(Conv!$I$5*Conv!$D$46)/10^6 + OILTrade!$I$18</f>
        <v>0.13395850148465144</v>
      </c>
      <c r="L395" s="421">
        <f>DelivOIL!$G97*DelivOIL!T$82^5/(Conv!$I$5*Conv!$D$46)/10^6 + OILTrade!$I$18</f>
        <v>0.12788374309938866</v>
      </c>
      <c r="M395" s="421">
        <f>DelivOIL!$G97*DelivOIL!U$82^5/(Conv!$I$5*Conv!$D$46)/10^6 + OILTrade!$I$18</f>
        <v>0.1248818352168555</v>
      </c>
      <c r="N395" s="421">
        <f>DelivOIL!$G97*DelivOIL!V$82^5/(Conv!$I$5*Conv!$D$46)/10^6 + OILTrade!$I$18</f>
        <v>0.1248818352168555</v>
      </c>
      <c r="O395" s="421">
        <f>DelivOIL!$G97*DelivOIL!W$82^5/(Conv!$I$5*Conv!$D$46)/10^6 + OILTrade!$I$18</f>
        <v>0.1248818352168555</v>
      </c>
      <c r="P395" s="421">
        <f>DelivOIL!$G97*DelivOIL!X$82^5/(Conv!$I$5*Conv!$D$46)/10^6 + OILTrade!$I$18</f>
        <v>0.1248818352168555</v>
      </c>
      <c r="Q395" s="421">
        <f>DelivOIL!$G97*DelivOIL!Y$82^5/(Conv!$I$5*Conv!$D$46)/10^6 + OILTrade!$I$18</f>
        <v>0.1248818352168555</v>
      </c>
      <c r="S395" s="395"/>
      <c r="T395" s="395"/>
      <c r="U395" s="395"/>
      <c r="V395" s="395"/>
      <c r="W395" s="395"/>
      <c r="X395" s="395"/>
      <c r="Y395" s="395"/>
      <c r="Z395" s="395"/>
      <c r="AA395" s="395"/>
      <c r="AB395" s="395"/>
      <c r="AC395" s="395"/>
    </row>
    <row r="396" spans="2:29">
      <c r="B396" s="376" t="s">
        <v>588</v>
      </c>
      <c r="C396" s="376" t="str">
        <f>Technologies!C334</f>
        <v>XPELCRFLR5</v>
      </c>
      <c r="D396" s="376" t="str">
        <f>Technologies!D334</f>
        <v>Delivery of Pipeline Traded ELCRFL from R5</v>
      </c>
      <c r="E396" s="415" t="str">
        <f>E395</f>
        <v>RFLR5</v>
      </c>
      <c r="F396" s="415" t="str">
        <f>Commodities!C106</f>
        <v>ELCRFL</v>
      </c>
      <c r="G396" s="422">
        <v>1</v>
      </c>
      <c r="H396" s="421">
        <f>DelivOIL!$G98*DelivOIL!P$82^5/(Conv!$I$5*Conv!$D$46)/10^6 + OILTrade!$I$18</f>
        <v>6.2607089920303241E-2</v>
      </c>
      <c r="I396" s="421">
        <f>DelivOIL!$G98*DelivOIL!Q$82^5/(Conv!$I$5*Conv!$D$46)/10^6 + OILTrade!$I$18</f>
        <v>6.2607089920303241E-2</v>
      </c>
      <c r="J396" s="421">
        <f>DelivOIL!$G98*DelivOIL!R$82^5/(Conv!$I$5*Conv!$D$46)/10^6 + OILTrade!$I$18</f>
        <v>6.2607089920303241E-2</v>
      </c>
      <c r="K396" s="421">
        <f>DelivOIL!$G98*DelivOIL!S$82^5/(Conv!$I$5*Conv!$D$46)/10^6 + OILTrade!$I$18</f>
        <v>6.2607089920303241E-2</v>
      </c>
      <c r="L396" s="421">
        <f>DelivOIL!$G98*DelivOIL!T$82^5/(Conv!$I$5*Conv!$D$46)/10^6 + OILTrade!$I$18</f>
        <v>6.2607089920303241E-2</v>
      </c>
      <c r="M396" s="421">
        <f>DelivOIL!$G98*DelivOIL!U$82^5/(Conv!$I$5*Conv!$D$46)/10^6 + OILTrade!$I$18</f>
        <v>6.2607089920303241E-2</v>
      </c>
      <c r="N396" s="421">
        <f>DelivOIL!$G98*DelivOIL!V$82^5/(Conv!$I$5*Conv!$D$46)/10^6 + OILTrade!$I$18</f>
        <v>6.2607089920303241E-2</v>
      </c>
      <c r="O396" s="421">
        <f>DelivOIL!$G98*DelivOIL!W$82^5/(Conv!$I$5*Conv!$D$46)/10^6 + OILTrade!$I$18</f>
        <v>6.2607089920303241E-2</v>
      </c>
      <c r="P396" s="421">
        <f>DelivOIL!$G98*DelivOIL!X$82^5/(Conv!$I$5*Conv!$D$46)/10^6 + OILTrade!$I$18</f>
        <v>6.2607089920303241E-2</v>
      </c>
      <c r="Q396" s="421">
        <f>DelivOIL!$G98*DelivOIL!Y$82^5/(Conv!$I$5*Conv!$D$46)/10^6 + OILTrade!$I$18</f>
        <v>6.2607089920303241E-2</v>
      </c>
      <c r="S396" s="395"/>
      <c r="T396" s="395"/>
      <c r="U396" s="395"/>
      <c r="V396" s="395"/>
      <c r="W396" s="395"/>
      <c r="X396" s="395"/>
      <c r="Y396" s="395"/>
      <c r="Z396" s="395"/>
      <c r="AA396" s="395"/>
      <c r="AB396" s="395"/>
      <c r="AC396" s="395"/>
    </row>
    <row r="397" spans="2:29">
      <c r="B397" s="376" t="s">
        <v>588</v>
      </c>
      <c r="C397" s="376" t="str">
        <f>Technologies!C335</f>
        <v>XPTRNRFHR5</v>
      </c>
      <c r="D397" s="376" t="str">
        <f>Technologies!D335</f>
        <v>Delivery of Pipeline Traded TRNRFH from R5</v>
      </c>
      <c r="E397" s="415" t="str">
        <f>Commodities!C153</f>
        <v>RFHR5</v>
      </c>
      <c r="F397" s="415" t="str">
        <f>Commodities!C107</f>
        <v>TRNRFH</v>
      </c>
      <c r="G397" s="422">
        <v>1</v>
      </c>
      <c r="H397" s="421">
        <f>DelivOIL!$G99*DelivOIL!P$82^5/(Conv!$I$5*Conv!$D$46)/10^6 + OILTrade!$I$18</f>
        <v>6.2607089920303241E-2</v>
      </c>
      <c r="I397" s="421">
        <f>DelivOIL!$G99*DelivOIL!Q$82^5/(Conv!$I$5*Conv!$D$46)/10^6 + OILTrade!$I$18</f>
        <v>6.2607089920303241E-2</v>
      </c>
      <c r="J397" s="421">
        <f>DelivOIL!$G99*DelivOIL!R$82^5/(Conv!$I$5*Conv!$D$46)/10^6 + OILTrade!$I$18</f>
        <v>6.2607089920303241E-2</v>
      </c>
      <c r="K397" s="421">
        <f>DelivOIL!$G99*DelivOIL!S$82^5/(Conv!$I$5*Conv!$D$46)/10^6 + OILTrade!$I$18</f>
        <v>6.2607089920303241E-2</v>
      </c>
      <c r="L397" s="421">
        <f>DelivOIL!$G99*DelivOIL!T$82^5/(Conv!$I$5*Conv!$D$46)/10^6 + OILTrade!$I$18</f>
        <v>6.2607089920303241E-2</v>
      </c>
      <c r="M397" s="421">
        <f>DelivOIL!$G99*DelivOIL!U$82^5/(Conv!$I$5*Conv!$D$46)/10^6 + OILTrade!$I$18</f>
        <v>6.2607089920303241E-2</v>
      </c>
      <c r="N397" s="421">
        <f>DelivOIL!$G99*DelivOIL!V$82^5/(Conv!$I$5*Conv!$D$46)/10^6 + OILTrade!$I$18</f>
        <v>6.2607089920303241E-2</v>
      </c>
      <c r="O397" s="421">
        <f>DelivOIL!$G99*DelivOIL!W$82^5/(Conv!$I$5*Conv!$D$46)/10^6 + OILTrade!$I$18</f>
        <v>6.2607089920303241E-2</v>
      </c>
      <c r="P397" s="421">
        <f>DelivOIL!$G99*DelivOIL!X$82^5/(Conv!$I$5*Conv!$D$46)/10^6 + OILTrade!$I$18</f>
        <v>6.2607089920303241E-2</v>
      </c>
      <c r="Q397" s="421">
        <f>DelivOIL!$G99*DelivOIL!Y$82^5/(Conv!$I$5*Conv!$D$46)/10^6 + OILTrade!$I$18</f>
        <v>6.2607089920303241E-2</v>
      </c>
      <c r="S397" s="395"/>
      <c r="T397" s="395"/>
      <c r="U397" s="395"/>
      <c r="V397" s="395"/>
      <c r="W397" s="395"/>
      <c r="X397" s="395"/>
      <c r="Y397" s="395"/>
      <c r="Z397" s="395"/>
      <c r="AA397" s="395"/>
      <c r="AB397" s="395"/>
      <c r="AC397" s="395"/>
    </row>
    <row r="398" spans="2:29">
      <c r="B398" s="376" t="s">
        <v>588</v>
      </c>
      <c r="C398" s="376" t="str">
        <f>Technologies!C336</f>
        <v>XPELCRFHR5</v>
      </c>
      <c r="D398" s="376" t="str">
        <f>Technologies!D336</f>
        <v>Delivery of Pipeline Traded ELCRFH from R5</v>
      </c>
      <c r="E398" s="415" t="str">
        <f>E397</f>
        <v>RFHR5</v>
      </c>
      <c r="F398" s="415" t="str">
        <f>Commodities!C108</f>
        <v>ELCRFH</v>
      </c>
      <c r="G398" s="422">
        <v>1</v>
      </c>
      <c r="H398" s="421">
        <f>DelivOIL!$G100*DelivOIL!P$82^5/(Conv!$I$5*Conv!$D$46)/10^6 + OILTrade!$I$18</f>
        <v>6.2607089920303241E-2</v>
      </c>
      <c r="I398" s="421">
        <f>DelivOIL!$G100*DelivOIL!Q$82^5/(Conv!$I$5*Conv!$D$46)/10^6 + OILTrade!$I$18</f>
        <v>6.2607089920303241E-2</v>
      </c>
      <c r="J398" s="421">
        <f>DelivOIL!$G100*DelivOIL!R$82^5/(Conv!$I$5*Conv!$D$46)/10^6 + OILTrade!$I$18</f>
        <v>6.2607089920303241E-2</v>
      </c>
      <c r="K398" s="421">
        <f>DelivOIL!$G100*DelivOIL!S$82^5/(Conv!$I$5*Conv!$D$46)/10^6 + OILTrade!$I$18</f>
        <v>6.2607089920303241E-2</v>
      </c>
      <c r="L398" s="421">
        <f>DelivOIL!$G100*DelivOIL!T$82^5/(Conv!$I$5*Conv!$D$46)/10^6 + OILTrade!$I$18</f>
        <v>6.2607089920303241E-2</v>
      </c>
      <c r="M398" s="421">
        <f>DelivOIL!$G100*DelivOIL!U$82^5/(Conv!$I$5*Conv!$D$46)/10^6 + OILTrade!$I$18</f>
        <v>6.2607089920303241E-2</v>
      </c>
      <c r="N398" s="421">
        <f>DelivOIL!$G100*DelivOIL!V$82^5/(Conv!$I$5*Conv!$D$46)/10^6 + OILTrade!$I$18</f>
        <v>6.2607089920303241E-2</v>
      </c>
      <c r="O398" s="421">
        <f>DelivOIL!$G100*DelivOIL!W$82^5/(Conv!$I$5*Conv!$D$46)/10^6 + OILTrade!$I$18</f>
        <v>6.2607089920303241E-2</v>
      </c>
      <c r="P398" s="421">
        <f>DelivOIL!$G100*DelivOIL!X$82^5/(Conv!$I$5*Conv!$D$46)/10^6 + OILTrade!$I$18</f>
        <v>6.2607089920303241E-2</v>
      </c>
      <c r="Q398" s="421">
        <f>DelivOIL!$G100*DelivOIL!Y$82^5/(Conv!$I$5*Conv!$D$46)/10^6 + OILTrade!$I$18</f>
        <v>6.2607089920303241E-2</v>
      </c>
      <c r="S398" s="395"/>
      <c r="T398" s="395"/>
      <c r="U398" s="395"/>
      <c r="V398" s="395"/>
      <c r="W398" s="395"/>
      <c r="X398" s="395"/>
      <c r="Y398" s="395"/>
      <c r="Z398" s="395"/>
      <c r="AA398" s="395"/>
      <c r="AB398" s="395"/>
      <c r="AC398" s="395"/>
    </row>
    <row r="399" spans="2:29">
      <c r="B399" s="376" t="s">
        <v>588</v>
      </c>
      <c r="C399" s="376" t="str">
        <f>Technologies!C337</f>
        <v>XPINDASPR5</v>
      </c>
      <c r="D399" s="376" t="str">
        <f>Technologies!D337</f>
        <v>Delivery of Pipeline Traded INDASP from R5</v>
      </c>
      <c r="E399" s="415" t="str">
        <f>Commodities!C155</f>
        <v>ASPR5</v>
      </c>
      <c r="F399" s="415" t="str">
        <f>Commodities!C109</f>
        <v>INDASP</v>
      </c>
      <c r="G399" s="422">
        <v>1</v>
      </c>
      <c r="H399" s="421">
        <f>DelivOIL!$G101*DelivOIL!P$82^5/(Conv!$I$5*Conv!$D$46)/10^6 + OILTrade!$I$18</f>
        <v>0.67622786178596206</v>
      </c>
      <c r="I399" s="421">
        <f>DelivOIL!$G101*DelivOIL!Q$82^5/(Conv!$I$5*Conv!$D$46)/10^6 + OILTrade!$I$18</f>
        <v>0.61186750717010574</v>
      </c>
      <c r="J399" s="421">
        <f>DelivOIL!$G101*DelivOIL!R$82^5/(Conv!$I$5*Conv!$D$46)/10^6 + OILTrade!$I$18</f>
        <v>0.68565542006088132</v>
      </c>
      <c r="K399" s="421">
        <f>DelivOIL!$G101*DelivOIL!S$82^5/(Conv!$I$5*Conv!$D$46)/10^6 + OILTrade!$I$18</f>
        <v>0.77612120556378439</v>
      </c>
      <c r="L399" s="421">
        <f>DelivOIL!$G101*DelivOIL!T$82^5/(Conv!$I$5*Conv!$D$46)/10^6 + OILTrade!$I$18</f>
        <v>0.71537362171115693</v>
      </c>
      <c r="M399" s="421">
        <f>DelivOIL!$G101*DelivOIL!U$82^5/(Conv!$I$5*Conv!$D$46)/10^6 + OILTrade!$I$18</f>
        <v>0.68535454288582509</v>
      </c>
      <c r="N399" s="421">
        <f>DelivOIL!$G101*DelivOIL!V$82^5/(Conv!$I$5*Conv!$D$46)/10^6 + OILTrade!$I$18</f>
        <v>0.68535454288582509</v>
      </c>
      <c r="O399" s="421">
        <f>DelivOIL!$G101*DelivOIL!W$82^5/(Conv!$I$5*Conv!$D$46)/10^6 + OILTrade!$I$18</f>
        <v>0.68535454288582509</v>
      </c>
      <c r="P399" s="421">
        <f>DelivOIL!$G101*DelivOIL!X$82^5/(Conv!$I$5*Conv!$D$46)/10^6 + OILTrade!$I$18</f>
        <v>0.68535454288582509</v>
      </c>
      <c r="Q399" s="421">
        <f>DelivOIL!$G101*DelivOIL!Y$82^5/(Conv!$I$5*Conv!$D$46)/10^6 + OILTrade!$I$18</f>
        <v>0.68535454288582509</v>
      </c>
      <c r="S399" s="395"/>
      <c r="T399" s="395"/>
      <c r="U399" s="395"/>
      <c r="V399" s="395"/>
      <c r="W399" s="395"/>
      <c r="X399" s="395"/>
      <c r="Y399" s="395"/>
      <c r="Z399" s="395"/>
      <c r="AA399" s="395"/>
      <c r="AB399" s="395"/>
      <c r="AC399" s="395"/>
    </row>
    <row r="400" spans="2:29">
      <c r="B400" s="376" t="s">
        <v>588</v>
      </c>
      <c r="C400" s="376"/>
      <c r="D400" s="376"/>
      <c r="E400" s="415"/>
      <c r="F400" s="415"/>
      <c r="G400" s="422"/>
      <c r="H400" s="423"/>
      <c r="I400" s="423"/>
      <c r="J400" s="423"/>
      <c r="K400" s="423"/>
      <c r="L400" s="423"/>
      <c r="M400" s="423"/>
      <c r="N400" s="423"/>
      <c r="O400" s="423"/>
      <c r="P400" s="423"/>
      <c r="Q400" s="423"/>
    </row>
    <row r="401" spans="2:29">
      <c r="B401" s="376" t="s">
        <v>588</v>
      </c>
      <c r="C401" s="376" t="str">
        <f>Technologies!C263</f>
        <v>XPTRGSLCR3</v>
      </c>
      <c r="D401" s="376" t="str">
        <f>Technologies!D263</f>
        <v>Delivery of Pipeline Traded TRGSLC from R3</v>
      </c>
      <c r="E401" s="415" t="str">
        <f>Commodities!C117</f>
        <v>GSCR3</v>
      </c>
      <c r="F401" s="415" t="str">
        <f>Commodities!C85</f>
        <v>TRGSLC</v>
      </c>
      <c r="G401" s="422">
        <v>1</v>
      </c>
      <c r="H401" s="421">
        <f>DelivOIL!$H77*DelivOIL!P$83^5/(Conv!$I$5*Conv!$D$46)/10^6 + OILTrade!$J$16</f>
        <v>3.4282718123684539</v>
      </c>
      <c r="I401" s="421">
        <f>DelivOIL!$H77*DelivOIL!Q$83^5/(Conv!$I$5*Conv!$D$46)/10^6 + OILTrade!$J$16</f>
        <v>3.0899276690075252</v>
      </c>
      <c r="J401" s="421">
        <f>DelivOIL!$H77*DelivOIL!R$83^5/(Conv!$I$5*Conv!$D$46)/10^6 + OILTrade!$J$16</f>
        <v>3.5312140719027179</v>
      </c>
      <c r="K401" s="421">
        <f>DelivOIL!$H77*DelivOIL!S$83^5/(Conv!$I$5*Conv!$D$46)/10^6 + OILTrade!$J$16</f>
        <v>4.0340120632845462</v>
      </c>
      <c r="L401" s="421">
        <f>DelivOIL!$H77*DelivOIL!T$83^5/(Conv!$I$5*Conv!$D$46)/10^6 + OILTrade!$J$16</f>
        <v>3.7795866519710302</v>
      </c>
      <c r="M401" s="421">
        <f>DelivOIL!$H77*DelivOIL!U$83^5/(Conv!$I$5*Conv!$D$46)/10^6 + OILTrade!$J$16</f>
        <v>3.5869727772571487</v>
      </c>
      <c r="N401" s="421">
        <f>DelivOIL!$H77*DelivOIL!V$83^5/(Conv!$I$5*Conv!$D$46)/10^6 + OILTrade!$J$16</f>
        <v>3.5869727772571487</v>
      </c>
      <c r="O401" s="421">
        <f>DelivOIL!$H77*DelivOIL!W$83^5/(Conv!$I$5*Conv!$D$46)/10^6 + OILTrade!$J$16</f>
        <v>3.5869727772571487</v>
      </c>
      <c r="P401" s="421">
        <f>DelivOIL!$H77*DelivOIL!X$83^5/(Conv!$I$5*Conv!$D$46)/10^6 + OILTrade!$J$16</f>
        <v>3.5869727772571487</v>
      </c>
      <c r="Q401" s="421">
        <f>DelivOIL!$H77*DelivOIL!Y$83^5/(Conv!$I$5*Conv!$D$46)/10^6 + OILTrade!$J$16</f>
        <v>3.5869727772571487</v>
      </c>
      <c r="S401" s="395"/>
      <c r="T401" s="395"/>
      <c r="U401" s="395"/>
      <c r="V401" s="395"/>
      <c r="W401" s="395"/>
      <c r="X401" s="395"/>
      <c r="Y401" s="395"/>
      <c r="Z401" s="395"/>
      <c r="AA401" s="395"/>
      <c r="AB401" s="395"/>
      <c r="AC401" s="395"/>
    </row>
    <row r="402" spans="2:29">
      <c r="B402" s="376" t="s">
        <v>588</v>
      </c>
      <c r="C402" s="376" t="str">
        <f>Technologies!C264</f>
        <v>XPTRGSLRR3</v>
      </c>
      <c r="D402" s="376" t="str">
        <f>Technologies!D264</f>
        <v>Delivery of Pipeline Traded TRGSLR from R3</v>
      </c>
      <c r="E402" s="415" t="str">
        <f>Commodities!C118</f>
        <v>GSRR3</v>
      </c>
      <c r="F402" s="415" t="str">
        <f>Commodities!C86</f>
        <v>TRGSLR</v>
      </c>
      <c r="G402" s="422">
        <v>1</v>
      </c>
      <c r="H402" s="421">
        <f>DelivOIL!$H78*DelivOIL!P$83^5/(Conv!$I$5*Conv!$D$46)/10^6 + OILTrade!$J$16</f>
        <v>3.4487258380973085</v>
      </c>
      <c r="I402" s="421">
        <f>DelivOIL!$H78*DelivOIL!Q$83^5/(Conv!$I$5*Conv!$D$46)/10^6 + OILTrade!$J$16</f>
        <v>3.1082801783179894</v>
      </c>
      <c r="J402" s="421">
        <f>DelivOIL!$H78*DelivOIL!R$83^5/(Conv!$I$5*Conv!$D$46)/10^6 + OILTrade!$J$16</f>
        <v>3.5523074905479346</v>
      </c>
      <c r="K402" s="421">
        <f>DelivOIL!$H78*DelivOIL!S$83^5/(Conv!$I$5*Conv!$D$46)/10^6 + OILTrade!$J$16</f>
        <v>4.0582284508203346</v>
      </c>
      <c r="L402" s="421">
        <f>DelivOIL!$H78*DelivOIL!T$83^5/(Conv!$I$5*Conv!$D$46)/10^6 + OILTrade!$J$16</f>
        <v>3.8022227574489698</v>
      </c>
      <c r="M402" s="421">
        <f>DelivOIL!$H78*DelivOIL!U$83^5/(Conv!$I$5*Conv!$D$46)/10^6 + OILTrade!$J$16</f>
        <v>3.608412523264815</v>
      </c>
      <c r="N402" s="421">
        <f>DelivOIL!$H78*DelivOIL!V$83^5/(Conv!$I$5*Conv!$D$46)/10^6 + OILTrade!$J$16</f>
        <v>3.608412523264815</v>
      </c>
      <c r="O402" s="421">
        <f>DelivOIL!$H78*DelivOIL!W$83^5/(Conv!$I$5*Conv!$D$46)/10^6 + OILTrade!$J$16</f>
        <v>3.608412523264815</v>
      </c>
      <c r="P402" s="421">
        <f>DelivOIL!$H78*DelivOIL!X$83^5/(Conv!$I$5*Conv!$D$46)/10^6 + OILTrade!$J$16</f>
        <v>3.608412523264815</v>
      </c>
      <c r="Q402" s="421">
        <f>DelivOIL!$H78*DelivOIL!Y$83^5/(Conv!$I$5*Conv!$D$46)/10^6 + OILTrade!$J$16</f>
        <v>3.608412523264815</v>
      </c>
      <c r="S402" s="395"/>
      <c r="T402" s="395"/>
      <c r="U402" s="395"/>
      <c r="V402" s="395"/>
      <c r="W402" s="395"/>
      <c r="X402" s="395"/>
      <c r="Y402" s="395"/>
      <c r="Z402" s="395"/>
      <c r="AA402" s="395"/>
      <c r="AB402" s="395"/>
      <c r="AC402" s="395"/>
    </row>
    <row r="403" spans="2:29">
      <c r="B403" s="376" t="s">
        <v>588</v>
      </c>
      <c r="C403" s="376" t="str">
        <f>Technologies!C265</f>
        <v>XPRESDSLR3</v>
      </c>
      <c r="D403" s="376" t="str">
        <f>Technologies!D265</f>
        <v>Delivery of Pipeline Traded RESDSL from R3</v>
      </c>
      <c r="E403" s="415" t="str">
        <f>Commodities!C119</f>
        <v>DSHR3</v>
      </c>
      <c r="F403" s="415" t="str">
        <f>Commodities!C87</f>
        <v>RESDSL</v>
      </c>
      <c r="G403" s="422">
        <v>1</v>
      </c>
      <c r="H403" s="421">
        <f>DelivOIL!$H80*DelivOIL!P$83^5/(Conv!$I$5*Conv!$D$46)/10^6 + OILTrade!$J$16</f>
        <v>1.9146739084331617</v>
      </c>
      <c r="I403" s="421">
        <f>DelivOIL!$H80*DelivOIL!Q$83^5/(Conv!$I$5*Conv!$D$46)/10^6 + OILTrade!$J$16</f>
        <v>1.7318419800331568</v>
      </c>
      <c r="J403" s="421">
        <f>DelivOIL!$H80*DelivOIL!R$83^5/(Conv!$I$5*Conv!$D$46)/10^6 + OILTrade!$J$16</f>
        <v>1.9703010921566457</v>
      </c>
      <c r="K403" s="421">
        <f>DelivOIL!$H80*DelivOIL!S$83^5/(Conv!$I$5*Conv!$D$46)/10^6 + OILTrade!$J$16</f>
        <v>2.2419993856362677</v>
      </c>
      <c r="L403" s="421">
        <f>DelivOIL!$H80*DelivOIL!T$83^5/(Conv!$I$5*Conv!$D$46)/10^6 + OILTrade!$J$16</f>
        <v>2.104514846603498</v>
      </c>
      <c r="M403" s="421">
        <f>DelivOIL!$H80*DelivOIL!U$83^5/(Conv!$I$5*Conv!$D$46)/10^6 + OILTrade!$J$16</f>
        <v>2.0004315726897852</v>
      </c>
      <c r="N403" s="421">
        <f>DelivOIL!$H80*DelivOIL!V$83^5/(Conv!$I$5*Conv!$D$46)/10^6 + OILTrade!$J$16</f>
        <v>2.0004315726897852</v>
      </c>
      <c r="O403" s="421">
        <f>DelivOIL!$H80*DelivOIL!W$83^5/(Conv!$I$5*Conv!$D$46)/10^6 + OILTrade!$J$16</f>
        <v>2.0004315726897852</v>
      </c>
      <c r="P403" s="421">
        <f>DelivOIL!$H80*DelivOIL!X$83^5/(Conv!$I$5*Conv!$D$46)/10^6 + OILTrade!$J$16</f>
        <v>2.0004315726897852</v>
      </c>
      <c r="Q403" s="421">
        <f>DelivOIL!$H80*DelivOIL!Y$83^5/(Conv!$I$5*Conv!$D$46)/10^6 + OILTrade!$J$16</f>
        <v>2.0004315726897852</v>
      </c>
      <c r="S403" s="395"/>
      <c r="T403" s="395"/>
      <c r="U403" s="395"/>
      <c r="V403" s="395"/>
      <c r="W403" s="395"/>
      <c r="X403" s="395"/>
      <c r="Y403" s="395"/>
      <c r="Z403" s="395"/>
      <c r="AA403" s="395"/>
      <c r="AB403" s="395"/>
      <c r="AC403" s="395"/>
    </row>
    <row r="404" spans="2:29">
      <c r="B404" s="376" t="s">
        <v>588</v>
      </c>
      <c r="C404" s="376" t="str">
        <f>Technologies!C266</f>
        <v>XPCOMDSLR3</v>
      </c>
      <c r="D404" s="376" t="str">
        <f>Technologies!D266</f>
        <v>Delivery of Pipeline Traded COMDSL from R3</v>
      </c>
      <c r="E404" s="415" t="str">
        <f>E403</f>
        <v>DSHR3</v>
      </c>
      <c r="F404" s="415" t="str">
        <f>Commodities!C88</f>
        <v>COMDSL</v>
      </c>
      <c r="G404" s="422">
        <v>1</v>
      </c>
      <c r="H404" s="421">
        <f>DelivOIL!$H81*DelivOIL!P$83^5/(Conv!$I$5*Conv!$D$46)/10^6 + OILTrade!$J$16</f>
        <v>0.91242664771925175</v>
      </c>
      <c r="I404" s="421">
        <f>DelivOIL!$H81*DelivOIL!Q$83^5/(Conv!$I$5*Conv!$D$46)/10^6 + OILTrade!$J$16</f>
        <v>0.8325690238203991</v>
      </c>
      <c r="J404" s="421">
        <f>DelivOIL!$H81*DelivOIL!R$83^5/(Conv!$I$5*Conv!$D$46)/10^6 + OILTrade!$J$16</f>
        <v>0.93672357854100341</v>
      </c>
      <c r="K404" s="421">
        <f>DelivOIL!$H81*DelivOIL!S$83^5/(Conv!$I$5*Conv!$D$46)/10^6 + OILTrade!$J$16</f>
        <v>1.0553963963826773</v>
      </c>
      <c r="L404" s="421">
        <f>DelivOIL!$H81*DelivOIL!T$83^5/(Conv!$I$5*Conv!$D$46)/10^6 + OILTrade!$J$16</f>
        <v>0.99534567818445618</v>
      </c>
      <c r="M404" s="421">
        <f>DelivOIL!$H81*DelivOIL!U$83^5/(Conv!$I$5*Conv!$D$46)/10^6 + OILTrade!$J$16</f>
        <v>0.94988401831409897</v>
      </c>
      <c r="N404" s="421">
        <f>DelivOIL!$H81*DelivOIL!V$83^5/(Conv!$I$5*Conv!$D$46)/10^6 + OILTrade!$J$16</f>
        <v>0.94988401831409897</v>
      </c>
      <c r="O404" s="421">
        <f>DelivOIL!$H81*DelivOIL!W$83^5/(Conv!$I$5*Conv!$D$46)/10^6 + OILTrade!$J$16</f>
        <v>0.94988401831409897</v>
      </c>
      <c r="P404" s="421">
        <f>DelivOIL!$H81*DelivOIL!X$83^5/(Conv!$I$5*Conv!$D$46)/10^6 + OILTrade!$J$16</f>
        <v>0.94988401831409897</v>
      </c>
      <c r="Q404" s="421">
        <f>DelivOIL!$H81*DelivOIL!Y$83^5/(Conv!$I$5*Conv!$D$46)/10^6 + OILTrade!$J$16</f>
        <v>0.94988401831409897</v>
      </c>
      <c r="S404" s="395"/>
      <c r="T404" s="395"/>
      <c r="U404" s="395"/>
      <c r="V404" s="395"/>
      <c r="W404" s="395"/>
      <c r="X404" s="395"/>
      <c r="Y404" s="395"/>
      <c r="Z404" s="395"/>
      <c r="AA404" s="395"/>
      <c r="AB404" s="395"/>
      <c r="AC404" s="395"/>
    </row>
    <row r="405" spans="2:29">
      <c r="B405" s="376" t="s">
        <v>588</v>
      </c>
      <c r="C405" s="376" t="str">
        <f>Technologies!C267</f>
        <v>XPINDDSLR3</v>
      </c>
      <c r="D405" s="376" t="str">
        <f>Technologies!D267</f>
        <v>Delivery of Pipeline Traded INDDSL from R3</v>
      </c>
      <c r="E405" s="415" t="str">
        <f>E404</f>
        <v>DSHR3</v>
      </c>
      <c r="F405" s="415" t="str">
        <f>Commodities!C89</f>
        <v>INDDSL</v>
      </c>
      <c r="G405" s="422">
        <v>1</v>
      </c>
      <c r="H405" s="421">
        <f>DelivOIL!$H82*DelivOIL!P$83^5/(Conv!$I$5*Conv!$D$46)/10^6 + OILTrade!$J$16</f>
        <v>1.2874171194149318</v>
      </c>
      <c r="I405" s="421">
        <f>DelivOIL!$H82*DelivOIL!Q$83^5/(Conv!$I$5*Conv!$D$46)/10^6 + OILTrade!$J$16</f>
        <v>1.1690316945122465</v>
      </c>
      <c r="J405" s="421">
        <f>DelivOIL!$H82*DelivOIL!R$83^5/(Conv!$I$5*Conv!$D$46)/10^6 + OILTrade!$J$16</f>
        <v>1.3234362537033182</v>
      </c>
      <c r="K405" s="421">
        <f>DelivOIL!$H82*DelivOIL!S$83^5/(Conv!$I$5*Conv!$D$46)/10^6 + OILTrade!$J$16</f>
        <v>1.4993635012054489</v>
      </c>
      <c r="L405" s="421">
        <f>DelivOIL!$H82*DelivOIL!T$83^5/(Conv!$I$5*Conv!$D$46)/10^6 + OILTrade!$J$16</f>
        <v>1.4103409452800155</v>
      </c>
      <c r="M405" s="421">
        <f>DelivOIL!$H82*DelivOIL!U$83^5/(Conv!$I$5*Conv!$D$46)/10^6 + OILTrade!$J$16</f>
        <v>1.3429460284546613</v>
      </c>
      <c r="N405" s="421">
        <f>DelivOIL!$H82*DelivOIL!V$83^5/(Conv!$I$5*Conv!$D$46)/10^6 + OILTrade!$J$16</f>
        <v>1.3429460284546613</v>
      </c>
      <c r="O405" s="421">
        <f>DelivOIL!$H82*DelivOIL!W$83^5/(Conv!$I$5*Conv!$D$46)/10^6 + OILTrade!$J$16</f>
        <v>1.3429460284546613</v>
      </c>
      <c r="P405" s="421">
        <f>DelivOIL!$H82*DelivOIL!X$83^5/(Conv!$I$5*Conv!$D$46)/10^6 + OILTrade!$J$16</f>
        <v>1.3429460284546613</v>
      </c>
      <c r="Q405" s="421">
        <f>DelivOIL!$H82*DelivOIL!Y$83^5/(Conv!$I$5*Conv!$D$46)/10^6 + OILTrade!$J$16</f>
        <v>1.3429460284546613</v>
      </c>
      <c r="S405" s="395"/>
      <c r="T405" s="395"/>
      <c r="U405" s="395"/>
      <c r="V405" s="395"/>
      <c r="W405" s="395"/>
      <c r="X405" s="395"/>
      <c r="Y405" s="395"/>
      <c r="Z405" s="395"/>
      <c r="AA405" s="395"/>
      <c r="AB405" s="395"/>
      <c r="AC405" s="395"/>
    </row>
    <row r="406" spans="2:29">
      <c r="B406" s="376" t="s">
        <v>588</v>
      </c>
      <c r="C406" s="376" t="str">
        <f>Technologies!C268</f>
        <v>XPELCDSLR3</v>
      </c>
      <c r="D406" s="376" t="str">
        <f>Technologies!D268</f>
        <v>Delivery of Pipeline Traded ELCDSL from R3</v>
      </c>
      <c r="E406" s="415" t="str">
        <f>E405</f>
        <v>DSHR3</v>
      </c>
      <c r="F406" s="415" t="str">
        <f>Commodities!C90</f>
        <v>ELCDSL</v>
      </c>
      <c r="G406" s="422">
        <v>1</v>
      </c>
      <c r="H406" s="421">
        <f>DelivOIL!$H83*DelivOIL!P$83^5/(Conv!$I$5*Conv!$D$46)/10^6 + OILTrade!$J$16</f>
        <v>0.62607028751527805</v>
      </c>
      <c r="I406" s="421">
        <f>DelivOIL!$H83*DelivOIL!Q$83^5/(Conv!$I$5*Conv!$D$46)/10^6 + OILTrade!$J$16</f>
        <v>0.57563389347389737</v>
      </c>
      <c r="J406" s="421">
        <f>DelivOIL!$H83*DelivOIL!R$83^5/(Conv!$I$5*Conv!$D$46)/10^6 + OILTrade!$J$16</f>
        <v>0.64141571750796333</v>
      </c>
      <c r="K406" s="421">
        <f>DelivOIL!$H83*DelivOIL!S$83^5/(Conv!$I$5*Conv!$D$46)/10^6 + OILTrade!$J$16</f>
        <v>0.71636697088165224</v>
      </c>
      <c r="L406" s="421">
        <f>DelivOIL!$H83*DelivOIL!T$83^5/(Conv!$I$5*Conv!$D$46)/10^6 + OILTrade!$J$16</f>
        <v>0.67844020149330186</v>
      </c>
      <c r="M406" s="421">
        <f>DelivOIL!$H83*DelivOIL!U$83^5/(Conv!$I$5*Conv!$D$46)/10^6 + OILTrade!$J$16</f>
        <v>0.64972757420676053</v>
      </c>
      <c r="N406" s="421">
        <f>DelivOIL!$H83*DelivOIL!V$83^5/(Conv!$I$5*Conv!$D$46)/10^6 + OILTrade!$J$16</f>
        <v>0.64972757420676053</v>
      </c>
      <c r="O406" s="421">
        <f>DelivOIL!$H83*DelivOIL!W$83^5/(Conv!$I$5*Conv!$D$46)/10^6 + OILTrade!$J$16</f>
        <v>0.64972757420676053</v>
      </c>
      <c r="P406" s="421">
        <f>DelivOIL!$H83*DelivOIL!X$83^5/(Conv!$I$5*Conv!$D$46)/10^6 + OILTrade!$J$16</f>
        <v>0.64972757420676053</v>
      </c>
      <c r="Q406" s="421">
        <f>DelivOIL!$H83*DelivOIL!Y$83^5/(Conv!$I$5*Conv!$D$46)/10^6 + OILTrade!$J$16</f>
        <v>0.64972757420676053</v>
      </c>
      <c r="S406" s="395"/>
      <c r="T406" s="395"/>
      <c r="U406" s="395"/>
      <c r="V406" s="395"/>
      <c r="W406" s="395"/>
      <c r="X406" s="395"/>
      <c r="Y406" s="395"/>
      <c r="Z406" s="395"/>
      <c r="AA406" s="395"/>
      <c r="AB406" s="395"/>
      <c r="AC406" s="395"/>
    </row>
    <row r="407" spans="2:29">
      <c r="B407" s="376" t="s">
        <v>588</v>
      </c>
      <c r="C407" s="376" t="str">
        <f>Technologies!C269</f>
        <v>XPTRDSLLR3</v>
      </c>
      <c r="D407" s="376" t="str">
        <f>Technologies!D269</f>
        <v>Delivery of Pipeline Traded TRDSLL from R3</v>
      </c>
      <c r="E407" s="415" t="str">
        <f>Commodities!C120</f>
        <v>DSLR3</v>
      </c>
      <c r="F407" s="415" t="str">
        <f>Commodities!C91</f>
        <v>TRDSLL</v>
      </c>
      <c r="G407" s="422">
        <v>1</v>
      </c>
      <c r="H407" s="421">
        <f>DelivOIL!$H84*DelivOIL!P$83^5/(Conv!$I$5*Conv!$D$46)/10^6 + OILTrade!$J$16</f>
        <v>3.4896338895550194</v>
      </c>
      <c r="I407" s="421">
        <f>DelivOIL!$H84*DelivOIL!Q$83^5/(Conv!$I$5*Conv!$D$46)/10^6 + OILTrade!$J$16</f>
        <v>3.1449851969389186</v>
      </c>
      <c r="J407" s="421">
        <f>DelivOIL!$H84*DelivOIL!R$83^5/(Conv!$I$5*Conv!$D$46)/10^6 + OILTrade!$J$16</f>
        <v>3.594494327838369</v>
      </c>
      <c r="K407" s="421">
        <f>DelivOIL!$H84*DelivOIL!S$83^5/(Conv!$I$5*Conv!$D$46)/10^6 + OILTrade!$J$16</f>
        <v>4.1066612258919095</v>
      </c>
      <c r="L407" s="421">
        <f>DelivOIL!$H84*DelivOIL!T$83^5/(Conv!$I$5*Conv!$D$46)/10^6 + OILTrade!$J$16</f>
        <v>3.8474949684048489</v>
      </c>
      <c r="M407" s="421">
        <f>DelivOIL!$H84*DelivOIL!U$83^5/(Conv!$I$5*Conv!$D$46)/10^6 + OILTrade!$J$16</f>
        <v>3.6512920152801494</v>
      </c>
      <c r="N407" s="421">
        <f>DelivOIL!$H84*DelivOIL!V$83^5/(Conv!$I$5*Conv!$D$46)/10^6 + OILTrade!$J$16</f>
        <v>3.6512920152801494</v>
      </c>
      <c r="O407" s="421">
        <f>DelivOIL!$H84*DelivOIL!W$83^5/(Conv!$I$5*Conv!$D$46)/10^6 + OILTrade!$J$16</f>
        <v>3.6512920152801494</v>
      </c>
      <c r="P407" s="421">
        <f>DelivOIL!$H84*DelivOIL!X$83^5/(Conv!$I$5*Conv!$D$46)/10^6 + OILTrade!$J$16</f>
        <v>3.6512920152801494</v>
      </c>
      <c r="Q407" s="421">
        <f>DelivOIL!$H84*DelivOIL!Y$83^5/(Conv!$I$5*Conv!$D$46)/10^6 + OILTrade!$J$16</f>
        <v>3.6512920152801494</v>
      </c>
      <c r="S407" s="395"/>
      <c r="T407" s="395"/>
      <c r="U407" s="395"/>
      <c r="V407" s="395"/>
      <c r="W407" s="395"/>
      <c r="X407" s="395"/>
      <c r="Y407" s="395"/>
      <c r="Z407" s="395"/>
      <c r="AA407" s="395"/>
      <c r="AB407" s="395"/>
      <c r="AC407" s="395"/>
    </row>
    <row r="408" spans="2:29">
      <c r="B408" s="376" t="s">
        <v>588</v>
      </c>
      <c r="C408" s="376" t="str">
        <f>Technologies!C270</f>
        <v>XPTRDSLUR3</v>
      </c>
      <c r="D408" s="376" t="str">
        <f>Technologies!D270</f>
        <v>Delivery of Pipeline Traded TRDSLU from R3</v>
      </c>
      <c r="E408" s="415" t="str">
        <f>Commodities!C121</f>
        <v>DSUR3</v>
      </c>
      <c r="F408" s="415" t="str">
        <f>Commodities!C92</f>
        <v>TRDSLU</v>
      </c>
      <c r="G408" s="422">
        <v>1</v>
      </c>
      <c r="H408" s="421">
        <f>DelivOIL!$H85*DelivOIL!P$83^5/(Conv!$I$5*Conv!$D$46)/10^6 + OILTrade!$J$16</f>
        <v>2.8487410833842208</v>
      </c>
      <c r="I408" s="421">
        <f>DelivOIL!$H85*DelivOIL!Q$83^5/(Conv!$I$5*Conv!$D$46)/10^6 + OILTrade!$J$16</f>
        <v>2.569939905211033</v>
      </c>
      <c r="J408" s="421">
        <f>DelivOIL!$H85*DelivOIL!R$83^5/(Conv!$I$5*Conv!$D$46)/10^6 + OILTrade!$J$16</f>
        <v>2.9335672102882313</v>
      </c>
      <c r="K408" s="421">
        <f>DelivOIL!$H85*DelivOIL!S$83^5/(Conv!$I$5*Conv!$D$46)/10^6 + OILTrade!$J$16</f>
        <v>3.3478810831038999</v>
      </c>
      <c r="L408" s="421">
        <f>DelivOIL!$H85*DelivOIL!T$83^5/(Conv!$I$5*Conv!$D$46)/10^6 + OILTrade!$J$16</f>
        <v>3.1382303300960741</v>
      </c>
      <c r="M408" s="421">
        <f>DelivOIL!$H85*DelivOIL!U$83^5/(Conv!$I$5*Conv!$D$46)/10^6 + OILTrade!$J$16</f>
        <v>2.9795133070399151</v>
      </c>
      <c r="N408" s="421">
        <f>DelivOIL!$H85*DelivOIL!V$83^5/(Conv!$I$5*Conv!$D$46)/10^6 + OILTrade!$J$16</f>
        <v>2.9795133070399151</v>
      </c>
      <c r="O408" s="421">
        <f>DelivOIL!$H85*DelivOIL!W$83^5/(Conv!$I$5*Conv!$D$46)/10^6 + OILTrade!$J$16</f>
        <v>2.9795133070399151</v>
      </c>
      <c r="P408" s="421">
        <f>DelivOIL!$H85*DelivOIL!X$83^5/(Conv!$I$5*Conv!$D$46)/10^6 + OILTrade!$J$16</f>
        <v>2.9795133070399151</v>
      </c>
      <c r="Q408" s="421">
        <f>DelivOIL!$H85*DelivOIL!Y$83^5/(Conv!$I$5*Conv!$D$46)/10^6 + OILTrade!$J$16</f>
        <v>2.9795133070399151</v>
      </c>
      <c r="S408" s="395"/>
      <c r="T408" s="395"/>
      <c r="U408" s="395"/>
      <c r="V408" s="395"/>
      <c r="W408" s="395"/>
      <c r="X408" s="395"/>
      <c r="Y408" s="395"/>
      <c r="Z408" s="395"/>
      <c r="AA408" s="395"/>
      <c r="AB408" s="395"/>
      <c r="AC408" s="395"/>
    </row>
    <row r="409" spans="2:29">
      <c r="B409" s="376" t="s">
        <v>588</v>
      </c>
      <c r="C409" s="376" t="str">
        <f>Technologies!C271</f>
        <v>XPTRNJTFR3</v>
      </c>
      <c r="D409" s="376" t="str">
        <f>Technologies!D271</f>
        <v>Delivery of Pipeline Traded TRNJTF from R3</v>
      </c>
      <c r="E409" s="415" t="str">
        <f>Commodities!C122</f>
        <v>JTFR3</v>
      </c>
      <c r="F409" s="415" t="str">
        <f>Commodities!C93</f>
        <v>TRNJTF</v>
      </c>
      <c r="G409" s="422">
        <v>1</v>
      </c>
      <c r="H409" s="421">
        <f>DelivOIL!$H86*DelivOIL!P$83^5/(Conv!$I$5*Conv!$D$46)/10^6 + OILTrade!$J$16</f>
        <v>0.6465243132441334</v>
      </c>
      <c r="I409" s="421">
        <f>DelivOIL!$H86*DelivOIL!Q$83^5/(Conv!$I$5*Conv!$D$46)/10^6 + OILTrade!$J$16</f>
        <v>0.59398640278436177</v>
      </c>
      <c r="J409" s="421">
        <f>DelivOIL!$H86*DelivOIL!R$83^5/(Conv!$I$5*Conv!$D$46)/10^6 + OILTrade!$J$16</f>
        <v>0.66250913615318052</v>
      </c>
      <c r="K409" s="421">
        <f>DelivOIL!$H86*DelivOIL!S$83^5/(Conv!$I$5*Conv!$D$46)/10^6 + OILTrade!$J$16</f>
        <v>0.74058335841743983</v>
      </c>
      <c r="L409" s="421">
        <f>DelivOIL!$H86*DelivOIL!T$83^5/(Conv!$I$5*Conv!$D$46)/10^6 + OILTrade!$J$16</f>
        <v>0.70107630697124157</v>
      </c>
      <c r="M409" s="421">
        <f>DelivOIL!$H86*DelivOIL!U$83^5/(Conv!$I$5*Conv!$D$46)/10^6 + OILTrade!$J$16</f>
        <v>0.67116732021442749</v>
      </c>
      <c r="N409" s="421">
        <f>DelivOIL!$H86*DelivOIL!V$83^5/(Conv!$I$5*Conv!$D$46)/10^6 + OILTrade!$J$16</f>
        <v>0.67116732021442749</v>
      </c>
      <c r="O409" s="421">
        <f>DelivOIL!$H86*DelivOIL!W$83^5/(Conv!$I$5*Conv!$D$46)/10^6 + OILTrade!$J$16</f>
        <v>0.67116732021442749</v>
      </c>
      <c r="P409" s="421">
        <f>DelivOIL!$H86*DelivOIL!X$83^5/(Conv!$I$5*Conv!$D$46)/10^6 + OILTrade!$J$16</f>
        <v>0.67116732021442749</v>
      </c>
      <c r="Q409" s="421">
        <f>DelivOIL!$H86*DelivOIL!Y$83^5/(Conv!$I$5*Conv!$D$46)/10^6 + OILTrade!$J$16</f>
        <v>0.67116732021442749</v>
      </c>
      <c r="S409" s="395"/>
      <c r="T409" s="395"/>
      <c r="U409" s="395"/>
      <c r="V409" s="395"/>
      <c r="W409" s="395"/>
      <c r="X409" s="395"/>
      <c r="Y409" s="395"/>
      <c r="Z409" s="395"/>
      <c r="AA409" s="395"/>
      <c r="AB409" s="395"/>
      <c r="AC409" s="395"/>
    </row>
    <row r="410" spans="2:29">
      <c r="B410" s="376" t="s">
        <v>588</v>
      </c>
      <c r="C410" s="376" t="str">
        <f>Technologies!C272</f>
        <v>XPRESKERR3</v>
      </c>
      <c r="D410" s="376" t="str">
        <f>Technologies!D272</f>
        <v>Delivery of Pipeline Traded RESKER from R3</v>
      </c>
      <c r="E410" s="415" t="str">
        <f>Commodities!C123</f>
        <v>KERR3</v>
      </c>
      <c r="F410" s="415" t="str">
        <f>Commodities!C94</f>
        <v>RESKER</v>
      </c>
      <c r="G410" s="422">
        <v>1</v>
      </c>
      <c r="H410" s="421">
        <f>DelivOIL!$H87*DelivOIL!P$83^5/(Conv!$I$5*Conv!$D$46)/10^6 + OILTrade!$J$16</f>
        <v>1.8328578055177405</v>
      </c>
      <c r="I410" s="421">
        <f>DelivOIL!$H87*DelivOIL!Q$83^5/(Conv!$I$5*Conv!$D$46)/10^6 + OILTrade!$J$16</f>
        <v>1.6584319427912988</v>
      </c>
      <c r="J410" s="421">
        <f>DelivOIL!$H87*DelivOIL!R$83^5/(Conv!$I$5*Conv!$D$46)/10^6 + OILTrade!$J$16</f>
        <v>1.8859274175757772</v>
      </c>
      <c r="K410" s="421">
        <f>DelivOIL!$H87*DelivOIL!S$83^5/(Conv!$I$5*Conv!$D$46)/10^6 + OILTrade!$J$16</f>
        <v>2.1451338354931178</v>
      </c>
      <c r="L410" s="421">
        <f>DelivOIL!$H87*DelivOIL!T$83^5/(Conv!$I$5*Conv!$D$46)/10^6 + OILTrade!$J$16</f>
        <v>2.0139704246917391</v>
      </c>
      <c r="M410" s="421">
        <f>DelivOIL!$H87*DelivOIL!U$83^5/(Conv!$I$5*Conv!$D$46)/10^6 + OILTrade!$J$16</f>
        <v>1.9146725886591169</v>
      </c>
      <c r="N410" s="421">
        <f>DelivOIL!$H87*DelivOIL!V$83^5/(Conv!$I$5*Conv!$D$46)/10^6 + OILTrade!$J$16</f>
        <v>1.9146725886591169</v>
      </c>
      <c r="O410" s="421">
        <f>DelivOIL!$H87*DelivOIL!W$83^5/(Conv!$I$5*Conv!$D$46)/10^6 + OILTrade!$J$16</f>
        <v>1.9146725886591169</v>
      </c>
      <c r="P410" s="421">
        <f>DelivOIL!$H87*DelivOIL!X$83^5/(Conv!$I$5*Conv!$D$46)/10^6 + OILTrade!$J$16</f>
        <v>1.9146725886591169</v>
      </c>
      <c r="Q410" s="421">
        <f>DelivOIL!$H87*DelivOIL!Y$83^5/(Conv!$I$5*Conv!$D$46)/10^6 + OILTrade!$J$16</f>
        <v>1.9146725886591169</v>
      </c>
      <c r="S410" s="395"/>
      <c r="T410" s="395"/>
      <c r="U410" s="395"/>
      <c r="V410" s="395"/>
      <c r="W410" s="395"/>
      <c r="X410" s="395"/>
      <c r="Y410" s="395"/>
      <c r="Z410" s="395"/>
      <c r="AA410" s="395"/>
      <c r="AB410" s="395"/>
      <c r="AC410" s="395"/>
    </row>
    <row r="411" spans="2:29">
      <c r="B411" s="376" t="s">
        <v>588</v>
      </c>
      <c r="C411" s="376" t="str">
        <f>Technologies!C273</f>
        <v>XPCOMKERR3</v>
      </c>
      <c r="D411" s="376" t="str">
        <f>Technologies!D273</f>
        <v>Delivery of Pipeline Traded COMKER from R3</v>
      </c>
      <c r="E411" s="415" t="str">
        <f>E410</f>
        <v>KERR3</v>
      </c>
      <c r="F411" s="415" t="str">
        <f>Commodities!C95</f>
        <v>COMKER</v>
      </c>
      <c r="G411" s="422">
        <v>1</v>
      </c>
      <c r="H411" s="421">
        <f>DelivOIL!$H88*DelivOIL!P$83^5/(Conv!$I$5*Conv!$D$46)/10^6 + OILTrade!$J$16</f>
        <v>1.6692255996868977</v>
      </c>
      <c r="I411" s="421">
        <f>DelivOIL!$H88*DelivOIL!Q$83^5/(Conv!$I$5*Conv!$D$46)/10^6 + OILTrade!$J$16</f>
        <v>1.5116118683075832</v>
      </c>
      <c r="J411" s="421">
        <f>DelivOIL!$H88*DelivOIL!R$83^5/(Conv!$I$5*Conv!$D$46)/10^6 + OILTrade!$J$16</f>
        <v>1.7171800684140393</v>
      </c>
      <c r="K411" s="421">
        <f>DelivOIL!$H88*DelivOIL!S$83^5/(Conv!$I$5*Conv!$D$46)/10^6 + OILTrade!$J$16</f>
        <v>1.9514027352068168</v>
      </c>
      <c r="L411" s="421">
        <f>DelivOIL!$H88*DelivOIL!T$83^5/(Conv!$I$5*Conv!$D$46)/10^6 + OILTrade!$J$16</f>
        <v>1.8328815808682222</v>
      </c>
      <c r="M411" s="421">
        <f>DelivOIL!$H88*DelivOIL!U$83^5/(Conv!$I$5*Conv!$D$46)/10^6 + OILTrade!$J$16</f>
        <v>1.7431546205977804</v>
      </c>
      <c r="N411" s="421">
        <f>DelivOIL!$H88*DelivOIL!V$83^5/(Conv!$I$5*Conv!$D$46)/10^6 + OILTrade!$J$16</f>
        <v>1.7431546205977804</v>
      </c>
      <c r="O411" s="421">
        <f>DelivOIL!$H88*DelivOIL!W$83^5/(Conv!$I$5*Conv!$D$46)/10^6 + OILTrade!$J$16</f>
        <v>1.7431546205977804</v>
      </c>
      <c r="P411" s="421">
        <f>DelivOIL!$H88*DelivOIL!X$83^5/(Conv!$I$5*Conv!$D$46)/10^6 + OILTrade!$J$16</f>
        <v>1.7431546205977804</v>
      </c>
      <c r="Q411" s="421">
        <f>DelivOIL!$H88*DelivOIL!Y$83^5/(Conv!$I$5*Conv!$D$46)/10^6 + OILTrade!$J$16</f>
        <v>1.7431546205977804</v>
      </c>
      <c r="S411" s="395"/>
      <c r="T411" s="395"/>
      <c r="U411" s="395"/>
      <c r="V411" s="395"/>
      <c r="W411" s="395"/>
      <c r="X411" s="395"/>
      <c r="Y411" s="395"/>
      <c r="Z411" s="395"/>
      <c r="AA411" s="395"/>
      <c r="AB411" s="395"/>
      <c r="AC411" s="395"/>
    </row>
    <row r="412" spans="2:29">
      <c r="B412" s="376" t="s">
        <v>588</v>
      </c>
      <c r="C412" s="376" t="str">
        <f>Technologies!C274</f>
        <v>XPINDKERR3</v>
      </c>
      <c r="D412" s="376" t="str">
        <f>Technologies!D274</f>
        <v>Delivery of Pipeline Traded INDKER from R3</v>
      </c>
      <c r="E412" s="415" t="str">
        <f>E411</f>
        <v>KERR3</v>
      </c>
      <c r="F412" s="415" t="str">
        <f>Commodities!C96</f>
        <v>INDKER</v>
      </c>
      <c r="G412" s="422">
        <v>1</v>
      </c>
      <c r="H412" s="421">
        <f>DelivOIL!$H89*DelivOIL!P$83^5/(Conv!$I$5*Conv!$D$46)/10^6 + OILTrade!$J$16</f>
        <v>1.1306029221603753</v>
      </c>
      <c r="I412" s="421">
        <f>DelivOIL!$H89*DelivOIL!Q$83^5/(Conv!$I$5*Conv!$D$46)/10^6 + OILTrade!$J$16</f>
        <v>1.02832912313202</v>
      </c>
      <c r="J412" s="421">
        <f>DelivOIL!$H89*DelivOIL!R$83^5/(Conv!$I$5*Conv!$D$46)/10^6 + OILTrade!$J$16</f>
        <v>1.1617200440899871</v>
      </c>
      <c r="K412" s="421">
        <f>DelivOIL!$H89*DelivOIL!S$83^5/(Conv!$I$5*Conv!$D$46)/10^6 + OILTrade!$J$16</f>
        <v>1.3137045300977448</v>
      </c>
      <c r="L412" s="421">
        <f>DelivOIL!$H89*DelivOIL!T$83^5/(Conv!$I$5*Conv!$D$46)/10^6 + OILTrade!$J$16</f>
        <v>1.2367974699491457</v>
      </c>
      <c r="M412" s="421">
        <f>DelivOIL!$H89*DelivOIL!U$83^5/(Conv!$I$5*Conv!$D$46)/10^6 + OILTrade!$J$16</f>
        <v>1.1785746423958812</v>
      </c>
      <c r="N412" s="421">
        <f>DelivOIL!$H89*DelivOIL!V$83^5/(Conv!$I$5*Conv!$D$46)/10^6 + OILTrade!$J$16</f>
        <v>1.1785746423958812</v>
      </c>
      <c r="O412" s="421">
        <f>DelivOIL!$H89*DelivOIL!W$83^5/(Conv!$I$5*Conv!$D$46)/10^6 + OILTrade!$J$16</f>
        <v>1.1785746423958812</v>
      </c>
      <c r="P412" s="421">
        <f>DelivOIL!$H89*DelivOIL!X$83^5/(Conv!$I$5*Conv!$D$46)/10^6 + OILTrade!$J$16</f>
        <v>1.1785746423958812</v>
      </c>
      <c r="Q412" s="421">
        <f>DelivOIL!$H89*DelivOIL!Y$83^5/(Conv!$I$5*Conv!$D$46)/10^6 + OILTrade!$J$16</f>
        <v>1.1785746423958812</v>
      </c>
      <c r="S412" s="395"/>
      <c r="T412" s="395"/>
      <c r="U412" s="395"/>
      <c r="V412" s="395"/>
      <c r="W412" s="395"/>
      <c r="X412" s="395"/>
      <c r="Y412" s="395"/>
      <c r="Z412" s="395"/>
      <c r="AA412" s="395"/>
      <c r="AB412" s="395"/>
      <c r="AC412" s="395"/>
    </row>
    <row r="413" spans="2:29">
      <c r="B413" s="376" t="s">
        <v>588</v>
      </c>
      <c r="C413" s="376" t="str">
        <f>Technologies!C275</f>
        <v>XPRESLPGR3</v>
      </c>
      <c r="D413" s="376" t="str">
        <f>Technologies!D275</f>
        <v>Delivery of Pipeline Traded RESLPG from R3</v>
      </c>
      <c r="E413" s="415" t="str">
        <f>Commodities!C124</f>
        <v>LPGR3</v>
      </c>
      <c r="F413" s="415" t="str">
        <f>Commodities!C97</f>
        <v>RESLPG</v>
      </c>
      <c r="G413" s="422">
        <v>1</v>
      </c>
      <c r="H413" s="421">
        <f>DelivOIL!$H90*DelivOIL!P$83^5/(Conv!$I$5*Conv!$D$46)/10^6 + OILTrade!$J$16</f>
        <v>4.1918887729123853</v>
      </c>
      <c r="I413" s="421">
        <f>DelivOIL!$H90*DelivOIL!Q$83^5/(Conv!$I$5*Conv!$D$46)/10^6 + OILTrade!$J$16</f>
        <v>3.7750880165981977</v>
      </c>
      <c r="J413" s="421">
        <f>DelivOIL!$H90*DelivOIL!R$83^5/(Conv!$I$5*Conv!$D$46)/10^6 + OILTrade!$J$16</f>
        <v>4.3187017013241595</v>
      </c>
      <c r="K413" s="421">
        <f>DelivOIL!$H90*DelivOIL!S$83^5/(Conv!$I$5*Conv!$D$46)/10^6 + OILTrade!$J$16</f>
        <v>4.9380905312872816</v>
      </c>
      <c r="L413" s="421">
        <f>DelivOIL!$H90*DelivOIL!T$83^5/(Conv!$I$5*Conv!$D$46)/10^6 + OILTrade!$J$16</f>
        <v>4.6246679231474426</v>
      </c>
      <c r="M413" s="421">
        <f>DelivOIL!$H90*DelivOIL!U$83^5/(Conv!$I$5*Conv!$D$46)/10^6 + OILTrade!$J$16</f>
        <v>4.3873899615433851</v>
      </c>
      <c r="N413" s="421">
        <f>DelivOIL!$H90*DelivOIL!V$83^5/(Conv!$I$5*Conv!$D$46)/10^6 + OILTrade!$J$16</f>
        <v>4.3873899615433851</v>
      </c>
      <c r="O413" s="421">
        <f>DelivOIL!$H90*DelivOIL!W$83^5/(Conv!$I$5*Conv!$D$46)/10^6 + OILTrade!$J$16</f>
        <v>4.3873899615433851</v>
      </c>
      <c r="P413" s="421">
        <f>DelivOIL!$H90*DelivOIL!X$83^5/(Conv!$I$5*Conv!$D$46)/10^6 + OILTrade!$J$16</f>
        <v>4.3873899615433851</v>
      </c>
      <c r="Q413" s="421">
        <f>DelivOIL!$H90*DelivOIL!Y$83^5/(Conv!$I$5*Conv!$D$46)/10^6 + OILTrade!$J$16</f>
        <v>4.3873899615433851</v>
      </c>
      <c r="S413" s="395"/>
      <c r="T413" s="395"/>
      <c r="U413" s="395"/>
      <c r="V413" s="395"/>
      <c r="W413" s="395"/>
      <c r="X413" s="395"/>
      <c r="Y413" s="395"/>
      <c r="Z413" s="395"/>
      <c r="AA413" s="395"/>
      <c r="AB413" s="395"/>
      <c r="AC413" s="395"/>
    </row>
    <row r="414" spans="2:29">
      <c r="B414" s="376" t="s">
        <v>588</v>
      </c>
      <c r="C414" s="376" t="str">
        <f>Technologies!C276</f>
        <v>XPCOMLPGR3</v>
      </c>
      <c r="D414" s="376" t="str">
        <f>Technologies!D276</f>
        <v>Delivery of Pipeline Traded COMLPG from R3</v>
      </c>
      <c r="E414" s="415" t="str">
        <f>E413</f>
        <v>LPGR3</v>
      </c>
      <c r="F414" s="415" t="str">
        <f>Commodities!C98</f>
        <v>COMLPG</v>
      </c>
      <c r="G414" s="422">
        <v>1</v>
      </c>
      <c r="H414" s="421">
        <f>DelivOIL!$H91*DelivOIL!P$83^5/(Conv!$I$5*Conv!$D$46)/10^6 + OILTrade!$J$16</f>
        <v>2.1396681914505704</v>
      </c>
      <c r="I414" s="421">
        <f>DelivOIL!$H91*DelivOIL!Q$83^5/(Conv!$I$5*Conv!$D$46)/10^6 + OILTrade!$J$16</f>
        <v>1.9337195824482656</v>
      </c>
      <c r="J414" s="421">
        <f>DelivOIL!$H91*DelivOIL!R$83^5/(Conv!$I$5*Conv!$D$46)/10^6 + OILTrade!$J$16</f>
        <v>2.2023286972540355</v>
      </c>
      <c r="K414" s="421">
        <f>DelivOIL!$H91*DelivOIL!S$83^5/(Conv!$I$5*Conv!$D$46)/10^6 + OILTrade!$J$16</f>
        <v>2.5083796485299308</v>
      </c>
      <c r="L414" s="421">
        <f>DelivOIL!$H91*DelivOIL!T$83^5/(Conv!$I$5*Conv!$D$46)/10^6 + OILTrade!$J$16</f>
        <v>2.3535120068608339</v>
      </c>
      <c r="M414" s="421">
        <f>DelivOIL!$H91*DelivOIL!U$83^5/(Conv!$I$5*Conv!$D$46)/10^6 + OILTrade!$J$16</f>
        <v>2.2362687787741233</v>
      </c>
      <c r="N414" s="421">
        <f>DelivOIL!$H91*DelivOIL!V$83^5/(Conv!$I$5*Conv!$D$46)/10^6 + OILTrade!$J$16</f>
        <v>2.2362687787741233</v>
      </c>
      <c r="O414" s="421">
        <f>DelivOIL!$H91*DelivOIL!W$83^5/(Conv!$I$5*Conv!$D$46)/10^6 + OILTrade!$J$16</f>
        <v>2.2362687787741233</v>
      </c>
      <c r="P414" s="421">
        <f>DelivOIL!$H91*DelivOIL!X$83^5/(Conv!$I$5*Conv!$D$46)/10^6 + OILTrade!$J$16</f>
        <v>2.2362687787741233</v>
      </c>
      <c r="Q414" s="421">
        <f>DelivOIL!$H91*DelivOIL!Y$83^5/(Conv!$I$5*Conv!$D$46)/10^6 + OILTrade!$J$16</f>
        <v>2.2362687787741233</v>
      </c>
      <c r="S414" s="395"/>
      <c r="T414" s="395"/>
      <c r="U414" s="395"/>
      <c r="V414" s="395"/>
      <c r="W414" s="395"/>
      <c r="X414" s="395"/>
      <c r="Y414" s="395"/>
      <c r="Z414" s="395"/>
      <c r="AA414" s="395"/>
      <c r="AB414" s="395"/>
      <c r="AC414" s="395"/>
    </row>
    <row r="415" spans="2:29">
      <c r="B415" s="376" t="s">
        <v>588</v>
      </c>
      <c r="C415" s="376" t="str">
        <f>Technologies!C277</f>
        <v>XPINDLPGR3</v>
      </c>
      <c r="D415" s="376" t="str">
        <f>Technologies!D277</f>
        <v>Delivery of Pipeline Traded INDLPG from R3</v>
      </c>
      <c r="E415" s="415" t="str">
        <f>E414</f>
        <v>LPGR3</v>
      </c>
      <c r="F415" s="415" t="str">
        <f>Commodities!C99</f>
        <v>INDLPG</v>
      </c>
      <c r="G415" s="422">
        <v>1</v>
      </c>
      <c r="H415" s="421">
        <f>DelivOIL!$H92*DelivOIL!P$83^5/(Conv!$I$5*Conv!$D$46)/10^6 + OILTrade!$J$16</f>
        <v>1.3692332223303538</v>
      </c>
      <c r="I415" s="421">
        <f>DelivOIL!$H92*DelivOIL!Q$83^5/(Conv!$I$5*Conv!$D$46)/10^6 + OILTrade!$J$16</f>
        <v>1.2424417317541052</v>
      </c>
      <c r="J415" s="421">
        <f>DelivOIL!$H92*DelivOIL!R$83^5/(Conv!$I$5*Conv!$D$46)/10^6 + OILTrade!$J$16</f>
        <v>1.4078099282841878</v>
      </c>
      <c r="K415" s="421">
        <f>DelivOIL!$H92*DelivOIL!S$83^5/(Conv!$I$5*Conv!$D$46)/10^6 + OILTrade!$J$16</f>
        <v>1.5962290513485999</v>
      </c>
      <c r="L415" s="421">
        <f>DelivOIL!$H92*DelivOIL!T$83^5/(Conv!$I$5*Conv!$D$46)/10^6 + OILTrade!$J$16</f>
        <v>1.5008853671917748</v>
      </c>
      <c r="M415" s="421">
        <f>DelivOIL!$H92*DelivOIL!U$83^5/(Conv!$I$5*Conv!$D$46)/10^6 + OILTrade!$J$16</f>
        <v>1.4287050124853307</v>
      </c>
      <c r="N415" s="421">
        <f>DelivOIL!$H92*DelivOIL!V$83^5/(Conv!$I$5*Conv!$D$46)/10^6 + OILTrade!$J$16</f>
        <v>1.4287050124853307</v>
      </c>
      <c r="O415" s="421">
        <f>DelivOIL!$H92*DelivOIL!W$83^5/(Conv!$I$5*Conv!$D$46)/10^6 + OILTrade!$J$16</f>
        <v>1.4287050124853307</v>
      </c>
      <c r="P415" s="421">
        <f>DelivOIL!$H92*DelivOIL!X$83^5/(Conv!$I$5*Conv!$D$46)/10^6 + OILTrade!$J$16</f>
        <v>1.4287050124853307</v>
      </c>
      <c r="Q415" s="421">
        <f>DelivOIL!$H92*DelivOIL!Y$83^5/(Conv!$I$5*Conv!$D$46)/10^6 + OILTrade!$J$16</f>
        <v>1.4287050124853307</v>
      </c>
      <c r="S415" s="395"/>
      <c r="T415" s="395"/>
      <c r="U415" s="395"/>
      <c r="V415" s="395"/>
      <c r="W415" s="395"/>
      <c r="X415" s="395"/>
      <c r="Y415" s="395"/>
      <c r="Z415" s="395"/>
      <c r="AA415" s="395"/>
      <c r="AB415" s="395"/>
      <c r="AC415" s="395"/>
    </row>
    <row r="416" spans="2:29">
      <c r="B416" s="376" t="s">
        <v>588</v>
      </c>
      <c r="C416" s="376" t="str">
        <f>Technologies!C278</f>
        <v>XPTRNLPGR3</v>
      </c>
      <c r="D416" s="376" t="str">
        <f>Technologies!D278</f>
        <v>Delivery of Pipeline Traded TRNLPG from R3</v>
      </c>
      <c r="E416" s="415" t="str">
        <f>E415</f>
        <v>LPGR3</v>
      </c>
      <c r="F416" s="415" t="str">
        <f>Commodities!C100</f>
        <v>TRNLPG</v>
      </c>
      <c r="G416" s="422">
        <v>1</v>
      </c>
      <c r="H416" s="421">
        <f>DelivOIL!$H93*DelivOIL!P$83^5/(Conv!$I$5*Conv!$D$46)/10^6 + OILTrade!$J$16</f>
        <v>2.8010150233502245</v>
      </c>
      <c r="I416" s="421">
        <f>DelivOIL!$H93*DelivOIL!Q$83^5/(Conv!$I$5*Conv!$D$46)/10^6 + OILTrade!$J$16</f>
        <v>2.5271173834866154</v>
      </c>
      <c r="J416" s="421">
        <f>DelivOIL!$H93*DelivOIL!R$83^5/(Conv!$I$5*Conv!$D$46)/10^6 + OILTrade!$J$16</f>
        <v>2.8843492334493908</v>
      </c>
      <c r="K416" s="421">
        <f>DelivOIL!$H93*DelivOIL!S$83^5/(Conv!$I$5*Conv!$D$46)/10^6 + OILTrade!$J$16</f>
        <v>3.2913761788537288</v>
      </c>
      <c r="L416" s="421">
        <f>DelivOIL!$H93*DelivOIL!T$83^5/(Conv!$I$5*Conv!$D$46)/10^6 + OILTrade!$J$16</f>
        <v>3.0854127506475484</v>
      </c>
      <c r="M416" s="421">
        <f>DelivOIL!$H93*DelivOIL!U$83^5/(Conv!$I$5*Conv!$D$46)/10^6 + OILTrade!$J$16</f>
        <v>2.9294872330220247</v>
      </c>
      <c r="N416" s="421">
        <f>DelivOIL!$H93*DelivOIL!V$83^5/(Conv!$I$5*Conv!$D$46)/10^6 + OILTrade!$J$16</f>
        <v>2.9294872330220247</v>
      </c>
      <c r="O416" s="421">
        <f>DelivOIL!$H93*DelivOIL!W$83^5/(Conv!$I$5*Conv!$D$46)/10^6 + OILTrade!$J$16</f>
        <v>2.9294872330220247</v>
      </c>
      <c r="P416" s="421">
        <f>DelivOIL!$H93*DelivOIL!X$83^5/(Conv!$I$5*Conv!$D$46)/10^6 + OILTrade!$J$16</f>
        <v>2.9294872330220247</v>
      </c>
      <c r="Q416" s="421">
        <f>DelivOIL!$H93*DelivOIL!Y$83^5/(Conv!$I$5*Conv!$D$46)/10^6 + OILTrade!$J$16</f>
        <v>2.9294872330220247</v>
      </c>
      <c r="S416" s="395"/>
      <c r="T416" s="395"/>
      <c r="U416" s="395"/>
      <c r="V416" s="395"/>
      <c r="W416" s="395"/>
      <c r="X416" s="395"/>
      <c r="Y416" s="395"/>
      <c r="Z416" s="395"/>
      <c r="AA416" s="395"/>
      <c r="AB416" s="395"/>
      <c r="AC416" s="395"/>
    </row>
    <row r="417" spans="2:29">
      <c r="B417" s="376" t="s">
        <v>588</v>
      </c>
      <c r="C417" s="376" t="str">
        <f>Technologies!C279</f>
        <v>XPTRNMTHR3</v>
      </c>
      <c r="D417" s="376" t="str">
        <f>Technologies!D279</f>
        <v>Delivery of Pipeline Traded TRNMTH from R3</v>
      </c>
      <c r="E417" s="415" t="str">
        <f>Commodities!C125</f>
        <v>MTHR3</v>
      </c>
      <c r="F417" s="415" t="str">
        <f>Commodities!C101</f>
        <v>TRNMTH</v>
      </c>
      <c r="G417" s="422">
        <v>1</v>
      </c>
      <c r="H417" s="421">
        <f>DelivOIL!$H94*DelivOIL!P$83^5/(Conv!$I$5*Conv!$D$46)/10^6 + OILTrade!$J$16</f>
        <v>3.8782603784032705</v>
      </c>
      <c r="I417" s="421">
        <f>DelivOIL!$H94*DelivOIL!Q$83^5/(Conv!$I$5*Conv!$D$46)/10^6 + OILTrade!$J$16</f>
        <v>3.4936828738377432</v>
      </c>
      <c r="J417" s="421">
        <f>DelivOIL!$H94*DelivOIL!R$83^5/(Conv!$I$5*Conv!$D$46)/10^6 + OILTrade!$J$16</f>
        <v>3.995269282097496</v>
      </c>
      <c r="K417" s="421">
        <f>DelivOIL!$H94*DelivOIL!S$83^5/(Conv!$I$5*Conv!$D$46)/10^6 + OILTrade!$J$16</f>
        <v>4.5667725890718733</v>
      </c>
      <c r="L417" s="421">
        <f>DelivOIL!$H94*DelivOIL!T$83^5/(Conv!$I$5*Conv!$D$46)/10^6 + OILTrade!$J$16</f>
        <v>4.2775809724857021</v>
      </c>
      <c r="M417" s="421">
        <f>DelivOIL!$H94*DelivOIL!U$83^5/(Conv!$I$5*Conv!$D$46)/10^6 + OILTrade!$J$16</f>
        <v>4.058647189425824</v>
      </c>
      <c r="N417" s="421">
        <f>DelivOIL!$H94*DelivOIL!V$83^5/(Conv!$I$5*Conv!$D$46)/10^6 + OILTrade!$J$16</f>
        <v>4.058647189425824</v>
      </c>
      <c r="O417" s="421">
        <f>DelivOIL!$H94*DelivOIL!W$83^5/(Conv!$I$5*Conv!$D$46)/10^6 + OILTrade!$J$16</f>
        <v>4.058647189425824</v>
      </c>
      <c r="P417" s="421">
        <f>DelivOIL!$H94*DelivOIL!X$83^5/(Conv!$I$5*Conv!$D$46)/10^6 + OILTrade!$J$16</f>
        <v>4.058647189425824</v>
      </c>
      <c r="Q417" s="421">
        <f>DelivOIL!$H94*DelivOIL!Y$83^5/(Conv!$I$5*Conv!$D$46)/10^6 + OILTrade!$J$16</f>
        <v>4.058647189425824</v>
      </c>
      <c r="S417" s="395"/>
      <c r="T417" s="395"/>
      <c r="U417" s="395"/>
      <c r="V417" s="395"/>
      <c r="W417" s="395"/>
      <c r="X417" s="395"/>
      <c r="Y417" s="395"/>
      <c r="Z417" s="395"/>
      <c r="AA417" s="395"/>
      <c r="AB417" s="395"/>
      <c r="AC417" s="395"/>
    </row>
    <row r="418" spans="2:29">
      <c r="B418" s="376" t="s">
        <v>588</v>
      </c>
      <c r="C418" s="376" t="str">
        <f>Technologies!C280</f>
        <v>XPINDPFSR3</v>
      </c>
      <c r="D418" s="376" t="str">
        <f>Technologies!D280</f>
        <v>Delivery of Pipeline Traded INDPFS from R3</v>
      </c>
      <c r="E418" s="415" t="str">
        <f>Commodities!C126</f>
        <v>PFSR3</v>
      </c>
      <c r="F418" s="415" t="str">
        <f>Commodities!C102</f>
        <v>INDPFS</v>
      </c>
      <c r="G418" s="422">
        <v>1</v>
      </c>
      <c r="H418" s="421">
        <f>DelivOIL!$H95*DelivOIL!P$83^5/(Conv!$I$5*Conv!$D$46)/10^6 + OILTrade!$J$16</f>
        <v>1.2328730508046515</v>
      </c>
      <c r="I418" s="421">
        <f>DelivOIL!$H95*DelivOIL!Q$83^5/(Conv!$I$5*Conv!$D$46)/10^6 + OILTrade!$J$16</f>
        <v>1.1200916696843417</v>
      </c>
      <c r="J418" s="421">
        <f>DelivOIL!$H95*DelivOIL!R$83^5/(Conv!$I$5*Conv!$D$46)/10^6 + OILTrade!$J$16</f>
        <v>1.2671871373160728</v>
      </c>
      <c r="K418" s="421">
        <f>DelivOIL!$H95*DelivOIL!S$83^5/(Conv!$I$5*Conv!$D$46)/10^6 + OILTrade!$J$16</f>
        <v>1.4347864677766824</v>
      </c>
      <c r="L418" s="421">
        <f>DelivOIL!$H95*DelivOIL!T$83^5/(Conv!$I$5*Conv!$D$46)/10^6 + OILTrade!$J$16</f>
        <v>1.3499779973388435</v>
      </c>
      <c r="M418" s="421">
        <f>DelivOIL!$H95*DelivOIL!U$83^5/(Conv!$I$5*Conv!$D$46)/10^6 + OILTrade!$J$16</f>
        <v>1.2857733724342162</v>
      </c>
      <c r="N418" s="421">
        <f>DelivOIL!$H95*DelivOIL!V$83^5/(Conv!$I$5*Conv!$D$46)/10^6 + OILTrade!$J$16</f>
        <v>1.2857733724342162</v>
      </c>
      <c r="O418" s="421">
        <f>DelivOIL!$H95*DelivOIL!W$83^5/(Conv!$I$5*Conv!$D$46)/10^6 + OILTrade!$J$16</f>
        <v>1.2857733724342162</v>
      </c>
      <c r="P418" s="421">
        <f>DelivOIL!$H95*DelivOIL!X$83^5/(Conv!$I$5*Conv!$D$46)/10^6 + OILTrade!$J$16</f>
        <v>1.2857733724342162</v>
      </c>
      <c r="Q418" s="421">
        <f>DelivOIL!$H95*DelivOIL!Y$83^5/(Conv!$I$5*Conv!$D$46)/10^6 + OILTrade!$J$16</f>
        <v>1.2857733724342162</v>
      </c>
      <c r="S418" s="395"/>
      <c r="T418" s="395"/>
      <c r="U418" s="395"/>
      <c r="V418" s="395"/>
      <c r="W418" s="395"/>
      <c r="X418" s="395"/>
      <c r="Y418" s="395"/>
      <c r="Z418" s="395"/>
      <c r="AA418" s="395"/>
      <c r="AB418" s="395"/>
      <c r="AC418" s="395"/>
    </row>
    <row r="419" spans="2:29">
      <c r="B419" s="376" t="s">
        <v>588</v>
      </c>
      <c r="C419" s="376" t="str">
        <f>Technologies!C282</f>
        <v>XPCOMRFLR3</v>
      </c>
      <c r="D419" s="376" t="str">
        <f>Technologies!D282</f>
        <v>Delivery of Pipeline Traded COMRFL from R3</v>
      </c>
      <c r="E419" s="415" t="str">
        <f>Commodities!C128</f>
        <v>RFLR3</v>
      </c>
      <c r="F419" s="415" t="str">
        <f>Commodities!C104</f>
        <v>COMRFL</v>
      </c>
      <c r="G419" s="422">
        <v>1</v>
      </c>
      <c r="H419" s="421">
        <f>DelivOIL!$H96*DelivOIL!P$83^5/(Conv!$I$5*Conv!$D$46)/10^6 + OILTrade!$J$16</f>
        <v>0.13517367002275038</v>
      </c>
      <c r="I419" s="421">
        <f>DelivOIL!$H96*DelivOIL!Q$83^5/(Conv!$I$5*Conv!$D$46)/10^6 + OILTrade!$J$16</f>
        <v>0.13517367002275038</v>
      </c>
      <c r="J419" s="421">
        <f>DelivOIL!$H96*DelivOIL!R$83^5/(Conv!$I$5*Conv!$D$46)/10^6 + OILTrade!$J$16</f>
        <v>0.13517367002275038</v>
      </c>
      <c r="K419" s="421">
        <f>DelivOIL!$H96*DelivOIL!S$83^5/(Conv!$I$5*Conv!$D$46)/10^6 + OILTrade!$J$16</f>
        <v>0.13517367002275038</v>
      </c>
      <c r="L419" s="421">
        <f>DelivOIL!$H96*DelivOIL!T$83^5/(Conv!$I$5*Conv!$D$46)/10^6 + OILTrade!$J$16</f>
        <v>0.13517367002275038</v>
      </c>
      <c r="M419" s="421">
        <f>DelivOIL!$H96*DelivOIL!U$83^5/(Conv!$I$5*Conv!$D$46)/10^6 + OILTrade!$J$16</f>
        <v>0.13517367002275038</v>
      </c>
      <c r="N419" s="421">
        <f>DelivOIL!$H96*DelivOIL!V$83^5/(Conv!$I$5*Conv!$D$46)/10^6 + OILTrade!$J$16</f>
        <v>0.13517367002275038</v>
      </c>
      <c r="O419" s="421">
        <f>DelivOIL!$H96*DelivOIL!W$83^5/(Conv!$I$5*Conv!$D$46)/10^6 + OILTrade!$J$16</f>
        <v>0.13517367002275038</v>
      </c>
      <c r="P419" s="421">
        <f>DelivOIL!$H96*DelivOIL!X$83^5/(Conv!$I$5*Conv!$D$46)/10^6 + OILTrade!$J$16</f>
        <v>0.13517367002275038</v>
      </c>
      <c r="Q419" s="421">
        <f>DelivOIL!$H96*DelivOIL!Y$83^5/(Conv!$I$5*Conv!$D$46)/10^6 + OILTrade!$J$16</f>
        <v>0.13517367002275038</v>
      </c>
      <c r="S419" s="395"/>
      <c r="T419" s="395"/>
      <c r="U419" s="395"/>
      <c r="V419" s="395"/>
      <c r="W419" s="395"/>
      <c r="X419" s="395"/>
      <c r="Y419" s="395"/>
      <c r="Z419" s="395"/>
      <c r="AA419" s="395"/>
      <c r="AB419" s="395"/>
      <c r="AC419" s="395"/>
    </row>
    <row r="420" spans="2:29">
      <c r="B420" s="376" t="s">
        <v>588</v>
      </c>
      <c r="C420" s="376" t="str">
        <f>Technologies!C283</f>
        <v>XPINDRFLR3</v>
      </c>
      <c r="D420" s="376" t="str">
        <f>Technologies!D283</f>
        <v>Delivery of Pipeline Traded INDRFL from R3</v>
      </c>
      <c r="E420" s="415" t="str">
        <f>E419</f>
        <v>RFLR3</v>
      </c>
      <c r="F420" s="415" t="str">
        <f>Commodities!C105</f>
        <v>INDRFL</v>
      </c>
      <c r="G420" s="422">
        <v>1</v>
      </c>
      <c r="H420" s="421">
        <f>DelivOIL!$H97*DelivOIL!P$83^5/(Conv!$I$5*Conv!$D$46)/10^6 + OILTrade!$J$16</f>
        <v>0.13517367002275038</v>
      </c>
      <c r="I420" s="421">
        <f>DelivOIL!$H97*DelivOIL!Q$83^5/(Conv!$I$5*Conv!$D$46)/10^6 + OILTrade!$J$16</f>
        <v>0.13517367002275038</v>
      </c>
      <c r="J420" s="421">
        <f>DelivOIL!$H97*DelivOIL!R$83^5/(Conv!$I$5*Conv!$D$46)/10^6 + OILTrade!$J$16</f>
        <v>0.13517367002275038</v>
      </c>
      <c r="K420" s="421">
        <f>DelivOIL!$H97*DelivOIL!S$83^5/(Conv!$I$5*Conv!$D$46)/10^6 + OILTrade!$J$16</f>
        <v>0.13517367002275038</v>
      </c>
      <c r="L420" s="421">
        <f>DelivOIL!$H97*DelivOIL!T$83^5/(Conv!$I$5*Conv!$D$46)/10^6 + OILTrade!$J$16</f>
        <v>0.13517367002275038</v>
      </c>
      <c r="M420" s="421">
        <f>DelivOIL!$H97*DelivOIL!U$83^5/(Conv!$I$5*Conv!$D$46)/10^6 + OILTrade!$J$16</f>
        <v>0.13517367002275038</v>
      </c>
      <c r="N420" s="421">
        <f>DelivOIL!$H97*DelivOIL!V$83^5/(Conv!$I$5*Conv!$D$46)/10^6 + OILTrade!$J$16</f>
        <v>0.13517367002275038</v>
      </c>
      <c r="O420" s="421">
        <f>DelivOIL!$H97*DelivOIL!W$83^5/(Conv!$I$5*Conv!$D$46)/10^6 + OILTrade!$J$16</f>
        <v>0.13517367002275038</v>
      </c>
      <c r="P420" s="421">
        <f>DelivOIL!$H97*DelivOIL!X$83^5/(Conv!$I$5*Conv!$D$46)/10^6 + OILTrade!$J$16</f>
        <v>0.13517367002275038</v>
      </c>
      <c r="Q420" s="421">
        <f>DelivOIL!$H97*DelivOIL!Y$83^5/(Conv!$I$5*Conv!$D$46)/10^6 + OILTrade!$J$16</f>
        <v>0.13517367002275038</v>
      </c>
      <c r="S420" s="395"/>
      <c r="T420" s="395"/>
      <c r="U420" s="395"/>
      <c r="V420" s="395"/>
      <c r="W420" s="395"/>
      <c r="X420" s="395"/>
      <c r="Y420" s="395"/>
      <c r="Z420" s="395"/>
      <c r="AA420" s="395"/>
      <c r="AB420" s="395"/>
      <c r="AC420" s="395"/>
    </row>
    <row r="421" spans="2:29">
      <c r="B421" s="376" t="s">
        <v>588</v>
      </c>
      <c r="C421" s="376" t="str">
        <f>Technologies!C284</f>
        <v>XPELCRFLR3</v>
      </c>
      <c r="D421" s="376" t="str">
        <f>Technologies!D284</f>
        <v>Delivery of Pipeline Traded ELCRFL from R3</v>
      </c>
      <c r="E421" s="415" t="str">
        <f>E420</f>
        <v>RFLR3</v>
      </c>
      <c r="F421" s="415" t="str">
        <f>Commodities!C106</f>
        <v>ELCRFL</v>
      </c>
      <c r="G421" s="422">
        <v>1</v>
      </c>
      <c r="H421" s="421">
        <f>DelivOIL!$H98*DelivOIL!P$83^5/(Conv!$I$5*Conv!$D$46)/10^6 + OILTrade!$J$16</f>
        <v>0.73515842473583903</v>
      </c>
      <c r="I421" s="421">
        <f>DelivOIL!$H98*DelivOIL!Q$83^5/(Conv!$I$5*Conv!$D$46)/10^6 + OILTrade!$J$16</f>
        <v>0.67351394312970714</v>
      </c>
      <c r="J421" s="421">
        <f>DelivOIL!$H98*DelivOIL!R$83^5/(Conv!$I$5*Conv!$D$46)/10^6 + OILTrade!$J$16</f>
        <v>0.75391395028245434</v>
      </c>
      <c r="K421" s="421">
        <f>DelivOIL!$H98*DelivOIL!S$83^5/(Conv!$I$5*Conv!$D$46)/10^6 + OILTrade!$J$16</f>
        <v>0.84552103773918519</v>
      </c>
      <c r="L421" s="421">
        <f>DelivOIL!$H98*DelivOIL!T$83^5/(Conv!$I$5*Conv!$D$46)/10^6 + OILTrade!$J$16</f>
        <v>0.79916609737564592</v>
      </c>
      <c r="M421" s="421">
        <f>DelivOIL!$H98*DelivOIL!U$83^5/(Conv!$I$5*Conv!$D$46)/10^6 + OILTrade!$J$16</f>
        <v>0.7640728862476508</v>
      </c>
      <c r="N421" s="421">
        <f>DelivOIL!$H98*DelivOIL!V$83^5/(Conv!$I$5*Conv!$D$46)/10^6 + OILTrade!$J$16</f>
        <v>0.7640728862476508</v>
      </c>
      <c r="O421" s="421">
        <f>DelivOIL!$H98*DelivOIL!W$83^5/(Conv!$I$5*Conv!$D$46)/10^6 + OILTrade!$J$16</f>
        <v>0.7640728862476508</v>
      </c>
      <c r="P421" s="421">
        <f>DelivOIL!$H98*DelivOIL!X$83^5/(Conv!$I$5*Conv!$D$46)/10^6 + OILTrade!$J$16</f>
        <v>0.7640728862476508</v>
      </c>
      <c r="Q421" s="421">
        <f>DelivOIL!$H98*DelivOIL!Y$83^5/(Conv!$I$5*Conv!$D$46)/10^6 + OILTrade!$J$16</f>
        <v>0.7640728862476508</v>
      </c>
      <c r="S421" s="395"/>
      <c r="T421" s="395"/>
      <c r="U421" s="395"/>
      <c r="V421" s="395"/>
      <c r="W421" s="395"/>
      <c r="X421" s="395"/>
      <c r="Y421" s="395"/>
      <c r="Z421" s="395"/>
      <c r="AA421" s="395"/>
      <c r="AB421" s="395"/>
      <c r="AC421" s="395"/>
    </row>
    <row r="422" spans="2:29">
      <c r="B422" s="376" t="s">
        <v>588</v>
      </c>
      <c r="C422" s="376" t="str">
        <f>Technologies!C285</f>
        <v>XPTRNRFHR3</v>
      </c>
      <c r="D422" s="376" t="str">
        <f>Technologies!D285</f>
        <v>Delivery of Pipeline Traded TRNRFH from R3</v>
      </c>
      <c r="E422" s="415" t="str">
        <f>Commodities!C127</f>
        <v>RFHR3</v>
      </c>
      <c r="F422" s="415" t="str">
        <f>Commodities!C107</f>
        <v>TRNRFH</v>
      </c>
      <c r="G422" s="422">
        <v>1</v>
      </c>
      <c r="H422" s="421">
        <f>DelivOIL!$H99*DelivOIL!P$83^5/(Conv!$I$5*Conv!$D$46)/10^6 + OILTrade!$J$16</f>
        <v>0.56470821032871199</v>
      </c>
      <c r="I422" s="421">
        <f>DelivOIL!$H99*DelivOIL!Q$83^5/(Conv!$I$5*Conv!$D$46)/10^6 + OILTrade!$J$16</f>
        <v>0.52057636554250397</v>
      </c>
      <c r="J422" s="421">
        <f>DelivOIL!$H99*DelivOIL!R$83^5/(Conv!$I$5*Conv!$D$46)/10^6 + OILTrade!$J$16</f>
        <v>0.57813546157231177</v>
      </c>
      <c r="K422" s="421">
        <f>DelivOIL!$H99*DelivOIL!S$83^5/(Conv!$I$5*Conv!$D$46)/10^6 + OILTrade!$J$16</f>
        <v>0.64371780827428948</v>
      </c>
      <c r="L422" s="421">
        <f>DelivOIL!$H99*DelivOIL!T$83^5/(Conv!$I$5*Conv!$D$46)/10^6 + OILTrade!$J$16</f>
        <v>0.61053188505948297</v>
      </c>
      <c r="M422" s="421">
        <f>DelivOIL!$H99*DelivOIL!U$83^5/(Conv!$I$5*Conv!$D$46)/10^6 + OILTrade!$J$16</f>
        <v>0.5854083361837592</v>
      </c>
      <c r="N422" s="421">
        <f>DelivOIL!$H99*DelivOIL!V$83^5/(Conv!$I$5*Conv!$D$46)/10^6 + OILTrade!$J$16</f>
        <v>0.5854083361837592</v>
      </c>
      <c r="O422" s="421">
        <f>DelivOIL!$H99*DelivOIL!W$83^5/(Conv!$I$5*Conv!$D$46)/10^6 + OILTrade!$J$16</f>
        <v>0.5854083361837592</v>
      </c>
      <c r="P422" s="421">
        <f>DelivOIL!$H99*DelivOIL!X$83^5/(Conv!$I$5*Conv!$D$46)/10^6 + OILTrade!$J$16</f>
        <v>0.5854083361837592</v>
      </c>
      <c r="Q422" s="421">
        <f>DelivOIL!$H99*DelivOIL!Y$83^5/(Conv!$I$5*Conv!$D$46)/10^6 + OILTrade!$J$16</f>
        <v>0.5854083361837592</v>
      </c>
      <c r="S422" s="395"/>
      <c r="T422" s="395"/>
      <c r="U422" s="395"/>
      <c r="V422" s="395"/>
      <c r="W422" s="395"/>
      <c r="X422" s="395"/>
      <c r="Y422" s="395"/>
      <c r="Z422" s="395"/>
      <c r="AA422" s="395"/>
      <c r="AB422" s="395"/>
      <c r="AC422" s="395"/>
    </row>
    <row r="423" spans="2:29">
      <c r="B423" s="376" t="s">
        <v>588</v>
      </c>
      <c r="C423" s="376" t="str">
        <f>Technologies!C286</f>
        <v>XPELCRFHR3</v>
      </c>
      <c r="D423" s="376" t="str">
        <f>Technologies!D286</f>
        <v>Delivery of Pipeline Traded ELCRFH from R3</v>
      </c>
      <c r="E423" s="415" t="str">
        <f>E422</f>
        <v>RFHR3</v>
      </c>
      <c r="F423" s="415" t="str">
        <f>Commodities!C108</f>
        <v>ELCRFH</v>
      </c>
      <c r="G423" s="422">
        <v>1</v>
      </c>
      <c r="H423" s="421">
        <f>DelivOIL!$H100*DelivOIL!P$83^5/(Conv!$I$5*Conv!$D$46)/10^6 + OILTrade!$J$16</f>
        <v>0.13517367002275038</v>
      </c>
      <c r="I423" s="421">
        <f>DelivOIL!$H100*DelivOIL!Q$83^5/(Conv!$I$5*Conv!$D$46)/10^6 + OILTrade!$J$16</f>
        <v>0.13517367002275038</v>
      </c>
      <c r="J423" s="421">
        <f>DelivOIL!$H100*DelivOIL!R$83^5/(Conv!$I$5*Conv!$D$46)/10^6 + OILTrade!$J$16</f>
        <v>0.13517367002275038</v>
      </c>
      <c r="K423" s="421">
        <f>DelivOIL!$H100*DelivOIL!S$83^5/(Conv!$I$5*Conv!$D$46)/10^6 + OILTrade!$J$16</f>
        <v>0.13517367002275038</v>
      </c>
      <c r="L423" s="421">
        <f>DelivOIL!$H100*DelivOIL!T$83^5/(Conv!$I$5*Conv!$D$46)/10^6 + OILTrade!$J$16</f>
        <v>0.13517367002275038</v>
      </c>
      <c r="M423" s="421">
        <f>DelivOIL!$H100*DelivOIL!U$83^5/(Conv!$I$5*Conv!$D$46)/10^6 + OILTrade!$J$16</f>
        <v>0.13517367002275038</v>
      </c>
      <c r="N423" s="421">
        <f>DelivOIL!$H100*DelivOIL!V$83^5/(Conv!$I$5*Conv!$D$46)/10^6 + OILTrade!$J$16</f>
        <v>0.13517367002275038</v>
      </c>
      <c r="O423" s="421">
        <f>DelivOIL!$H100*DelivOIL!W$83^5/(Conv!$I$5*Conv!$D$46)/10^6 + OILTrade!$J$16</f>
        <v>0.13517367002275038</v>
      </c>
      <c r="P423" s="421">
        <f>DelivOIL!$H100*DelivOIL!X$83^5/(Conv!$I$5*Conv!$D$46)/10^6 + OILTrade!$J$16</f>
        <v>0.13517367002275038</v>
      </c>
      <c r="Q423" s="421">
        <f>DelivOIL!$H100*DelivOIL!Y$83^5/(Conv!$I$5*Conv!$D$46)/10^6 + OILTrade!$J$16</f>
        <v>0.13517367002275038</v>
      </c>
      <c r="S423" s="395"/>
      <c r="T423" s="395"/>
      <c r="U423" s="395"/>
      <c r="V423" s="395"/>
      <c r="W423" s="395"/>
      <c r="X423" s="395"/>
      <c r="Y423" s="395"/>
      <c r="Z423" s="395"/>
      <c r="AA423" s="395"/>
      <c r="AB423" s="395"/>
      <c r="AC423" s="395"/>
    </row>
    <row r="424" spans="2:29">
      <c r="B424" s="376" t="s">
        <v>588</v>
      </c>
      <c r="C424" s="376" t="str">
        <f>Technologies!C287</f>
        <v>XPINDASPR3</v>
      </c>
      <c r="D424" s="376" t="str">
        <f>Technologies!D287</f>
        <v>Delivery of Pipeline Traded INDASP from R3</v>
      </c>
      <c r="E424" s="415" t="str">
        <f>Commodities!C129</f>
        <v>ASPR3</v>
      </c>
      <c r="F424" s="415" t="str">
        <f>Commodities!C109</f>
        <v>INDASP</v>
      </c>
      <c r="G424" s="422">
        <v>1</v>
      </c>
      <c r="H424" s="421">
        <f>DelivOIL!$H101*DelivOIL!P$83^5/(Conv!$I$5*Conv!$D$46)/10^6 + OILTrade!$J$16</f>
        <v>0.91242664771925175</v>
      </c>
      <c r="I424" s="421">
        <f>DelivOIL!$H101*DelivOIL!Q$83^5/(Conv!$I$5*Conv!$D$46)/10^6 + OILTrade!$J$16</f>
        <v>0.8325690238203991</v>
      </c>
      <c r="J424" s="421">
        <f>DelivOIL!$H101*DelivOIL!R$83^5/(Conv!$I$5*Conv!$D$46)/10^6 + OILTrade!$J$16</f>
        <v>0.93672357854100341</v>
      </c>
      <c r="K424" s="421">
        <f>DelivOIL!$H101*DelivOIL!S$83^5/(Conv!$I$5*Conv!$D$46)/10^6 + OILTrade!$J$16</f>
        <v>1.0553963963826773</v>
      </c>
      <c r="L424" s="421">
        <f>DelivOIL!$H101*DelivOIL!T$83^5/(Conv!$I$5*Conv!$D$46)/10^6 + OILTrade!$J$16</f>
        <v>0.99534567818445618</v>
      </c>
      <c r="M424" s="421">
        <f>DelivOIL!$H101*DelivOIL!U$83^5/(Conv!$I$5*Conv!$D$46)/10^6 + OILTrade!$J$16</f>
        <v>0.94988401831409897</v>
      </c>
      <c r="N424" s="421">
        <f>DelivOIL!$H101*DelivOIL!V$83^5/(Conv!$I$5*Conv!$D$46)/10^6 + OILTrade!$J$16</f>
        <v>0.94988401831409897</v>
      </c>
      <c r="O424" s="421">
        <f>DelivOIL!$H101*DelivOIL!W$83^5/(Conv!$I$5*Conv!$D$46)/10^6 + OILTrade!$J$16</f>
        <v>0.94988401831409897</v>
      </c>
      <c r="P424" s="421">
        <f>DelivOIL!$H101*DelivOIL!X$83^5/(Conv!$I$5*Conv!$D$46)/10^6 + OILTrade!$J$16</f>
        <v>0.94988401831409897</v>
      </c>
      <c r="Q424" s="421">
        <f>DelivOIL!$H101*DelivOIL!Y$83^5/(Conv!$I$5*Conv!$D$46)/10^6 + OILTrade!$J$16</f>
        <v>0.94988401831409897</v>
      </c>
      <c r="S424" s="395"/>
      <c r="T424" s="395"/>
      <c r="U424" s="395"/>
      <c r="V424" s="395"/>
      <c r="W424" s="395"/>
      <c r="X424" s="395"/>
      <c r="Y424" s="395"/>
      <c r="Z424" s="395"/>
      <c r="AA424" s="395"/>
      <c r="AB424" s="395"/>
      <c r="AC424" s="395"/>
    </row>
    <row r="425" spans="2:29">
      <c r="B425" s="376" t="s">
        <v>588</v>
      </c>
      <c r="C425" s="376"/>
      <c r="D425" s="376"/>
      <c r="E425" s="415"/>
      <c r="F425" s="415"/>
      <c r="G425" s="422"/>
      <c r="H425" s="423"/>
      <c r="I425" s="423"/>
      <c r="J425" s="423"/>
      <c r="K425" s="423"/>
      <c r="L425" s="423"/>
      <c r="M425" s="423"/>
      <c r="N425" s="423"/>
      <c r="O425" s="423"/>
      <c r="P425" s="423"/>
      <c r="Q425" s="423"/>
    </row>
    <row r="426" spans="2:29">
      <c r="B426" s="376" t="s">
        <v>588</v>
      </c>
      <c r="C426" s="376" t="str">
        <f>Technologies!C288</f>
        <v>XPTRGSLCR4</v>
      </c>
      <c r="D426" s="376" t="str">
        <f>Technologies!D288</f>
        <v>Delivery of Pipeline Traded TRGSLC from R4</v>
      </c>
      <c r="E426" s="415" t="str">
        <f>Commodities!C130</f>
        <v>GSCR4</v>
      </c>
      <c r="F426" s="415" t="str">
        <f>Commodities!C85</f>
        <v>TRGSLC</v>
      </c>
      <c r="G426" s="422">
        <v>1</v>
      </c>
      <c r="H426" s="421">
        <f>DelivOIL!$H77*DelivOIL!P$83^5/(Conv!$I$5*Conv!$D$46)/10^6 + OILTrade!$J$17</f>
        <v>3.4282718123684539</v>
      </c>
      <c r="I426" s="421">
        <f>DelivOIL!$H77*DelivOIL!Q$83^5/(Conv!$I$5*Conv!$D$46)/10^6 + OILTrade!$J$17</f>
        <v>3.0899276690075252</v>
      </c>
      <c r="J426" s="421">
        <f>DelivOIL!$H77*DelivOIL!R$83^5/(Conv!$I$5*Conv!$D$46)/10^6 + OILTrade!$J$17</f>
        <v>3.5312140719027179</v>
      </c>
      <c r="K426" s="421">
        <f>DelivOIL!$H77*DelivOIL!S$83^5/(Conv!$I$5*Conv!$D$46)/10^6 + OILTrade!$J$17</f>
        <v>4.0340120632845462</v>
      </c>
      <c r="L426" s="421">
        <f>DelivOIL!$H77*DelivOIL!T$83^5/(Conv!$I$5*Conv!$D$46)/10^6 + OILTrade!$J$17</f>
        <v>3.7795866519710302</v>
      </c>
      <c r="M426" s="421">
        <f>DelivOIL!$H77*DelivOIL!U$83^5/(Conv!$I$5*Conv!$D$46)/10^6 + OILTrade!$J$17</f>
        <v>3.5869727772571487</v>
      </c>
      <c r="N426" s="421">
        <f>DelivOIL!$H77*DelivOIL!V$83^5/(Conv!$I$5*Conv!$D$46)/10^6 + OILTrade!$J$17</f>
        <v>3.5869727772571487</v>
      </c>
      <c r="O426" s="421">
        <f>DelivOIL!$H77*DelivOIL!W$83^5/(Conv!$I$5*Conv!$D$46)/10^6 + OILTrade!$J$17</f>
        <v>3.5869727772571487</v>
      </c>
      <c r="P426" s="421">
        <f>DelivOIL!$H77*DelivOIL!X$83^5/(Conv!$I$5*Conv!$D$46)/10^6 + OILTrade!$J$17</f>
        <v>3.5869727772571487</v>
      </c>
      <c r="Q426" s="421">
        <f>DelivOIL!$H77*DelivOIL!Y$83^5/(Conv!$I$5*Conv!$D$46)/10^6 + OILTrade!$J$17</f>
        <v>3.5869727772571487</v>
      </c>
      <c r="S426" s="395"/>
      <c r="T426" s="395"/>
      <c r="U426" s="395"/>
      <c r="V426" s="395"/>
      <c r="W426" s="395"/>
      <c r="X426" s="395"/>
      <c r="Y426" s="395"/>
      <c r="Z426" s="395"/>
      <c r="AA426" s="395"/>
      <c r="AB426" s="395"/>
      <c r="AC426" s="395"/>
    </row>
    <row r="427" spans="2:29">
      <c r="B427" s="376" t="s">
        <v>588</v>
      </c>
      <c r="C427" s="376" t="str">
        <f>Technologies!C289</f>
        <v>XPTRGSLRR4</v>
      </c>
      <c r="D427" s="376" t="str">
        <f>Technologies!D289</f>
        <v>Delivery of Pipeline Traded TRGSLR from R4</v>
      </c>
      <c r="E427" s="415" t="str">
        <f>Commodities!C131</f>
        <v>GSRR4</v>
      </c>
      <c r="F427" s="415" t="str">
        <f>Commodities!C86</f>
        <v>TRGSLR</v>
      </c>
      <c r="G427" s="422">
        <v>1</v>
      </c>
      <c r="H427" s="421">
        <f>DelivOIL!$H78*DelivOIL!P$83^5/(Conv!$I$5*Conv!$D$46)/10^6 + OILTrade!$J$17</f>
        <v>3.4487258380973085</v>
      </c>
      <c r="I427" s="421">
        <f>DelivOIL!$H78*DelivOIL!Q$83^5/(Conv!$I$5*Conv!$D$46)/10^6 + OILTrade!$J$17</f>
        <v>3.1082801783179894</v>
      </c>
      <c r="J427" s="421">
        <f>DelivOIL!$H78*DelivOIL!R$83^5/(Conv!$I$5*Conv!$D$46)/10^6 + OILTrade!$J$17</f>
        <v>3.5523074905479346</v>
      </c>
      <c r="K427" s="421">
        <f>DelivOIL!$H78*DelivOIL!S$83^5/(Conv!$I$5*Conv!$D$46)/10^6 + OILTrade!$J$17</f>
        <v>4.0582284508203346</v>
      </c>
      <c r="L427" s="421">
        <f>DelivOIL!$H78*DelivOIL!T$83^5/(Conv!$I$5*Conv!$D$46)/10^6 + OILTrade!$J$17</f>
        <v>3.8022227574489698</v>
      </c>
      <c r="M427" s="421">
        <f>DelivOIL!$H78*DelivOIL!U$83^5/(Conv!$I$5*Conv!$D$46)/10^6 + OILTrade!$J$17</f>
        <v>3.608412523264815</v>
      </c>
      <c r="N427" s="421">
        <f>DelivOIL!$H78*DelivOIL!V$83^5/(Conv!$I$5*Conv!$D$46)/10^6 + OILTrade!$J$17</f>
        <v>3.608412523264815</v>
      </c>
      <c r="O427" s="421">
        <f>DelivOIL!$H78*DelivOIL!W$83^5/(Conv!$I$5*Conv!$D$46)/10^6 + OILTrade!$J$17</f>
        <v>3.608412523264815</v>
      </c>
      <c r="P427" s="421">
        <f>DelivOIL!$H78*DelivOIL!X$83^5/(Conv!$I$5*Conv!$D$46)/10^6 + OILTrade!$J$17</f>
        <v>3.608412523264815</v>
      </c>
      <c r="Q427" s="421">
        <f>DelivOIL!$H78*DelivOIL!Y$83^5/(Conv!$I$5*Conv!$D$46)/10^6 + OILTrade!$J$17</f>
        <v>3.608412523264815</v>
      </c>
      <c r="S427" s="395"/>
      <c r="T427" s="395"/>
      <c r="U427" s="395"/>
      <c r="V427" s="395"/>
      <c r="W427" s="395"/>
      <c r="X427" s="395"/>
      <c r="Y427" s="395"/>
      <c r="Z427" s="395"/>
      <c r="AA427" s="395"/>
      <c r="AB427" s="395"/>
      <c r="AC427" s="395"/>
    </row>
    <row r="428" spans="2:29">
      <c r="B428" s="376" t="s">
        <v>588</v>
      </c>
      <c r="C428" s="376" t="str">
        <f>Technologies!C290</f>
        <v>XPRESDSLR4</v>
      </c>
      <c r="D428" s="376" t="str">
        <f>Technologies!D290</f>
        <v>Delivery of Pipeline Traded RESDSL from R4</v>
      </c>
      <c r="E428" s="415" t="str">
        <f>Commodities!C132</f>
        <v>DSHR4</v>
      </c>
      <c r="F428" s="415" t="str">
        <f>Commodities!C87</f>
        <v>RESDSL</v>
      </c>
      <c r="G428" s="422">
        <v>1</v>
      </c>
      <c r="H428" s="421">
        <f>DelivOIL!$H80*DelivOIL!P$83^5/(Conv!$I$5*Conv!$D$46)/10^6 + OILTrade!$J$17</f>
        <v>1.9146739084331617</v>
      </c>
      <c r="I428" s="421">
        <f>DelivOIL!$H80*DelivOIL!Q$83^5/(Conv!$I$5*Conv!$D$46)/10^6 + OILTrade!$J$17</f>
        <v>1.7318419800331568</v>
      </c>
      <c r="J428" s="421">
        <f>DelivOIL!$H80*DelivOIL!R$83^5/(Conv!$I$5*Conv!$D$46)/10^6 + OILTrade!$J$17</f>
        <v>1.9703010921566457</v>
      </c>
      <c r="K428" s="421">
        <f>DelivOIL!$H80*DelivOIL!S$83^5/(Conv!$I$5*Conv!$D$46)/10^6 + OILTrade!$J$17</f>
        <v>2.2419993856362677</v>
      </c>
      <c r="L428" s="421">
        <f>DelivOIL!$H80*DelivOIL!T$83^5/(Conv!$I$5*Conv!$D$46)/10^6 + OILTrade!$J$17</f>
        <v>2.104514846603498</v>
      </c>
      <c r="M428" s="421">
        <f>DelivOIL!$H80*DelivOIL!U$83^5/(Conv!$I$5*Conv!$D$46)/10^6 + OILTrade!$J$17</f>
        <v>2.0004315726897852</v>
      </c>
      <c r="N428" s="421">
        <f>DelivOIL!$H80*DelivOIL!V$83^5/(Conv!$I$5*Conv!$D$46)/10^6 + OILTrade!$J$17</f>
        <v>2.0004315726897852</v>
      </c>
      <c r="O428" s="421">
        <f>DelivOIL!$H80*DelivOIL!W$83^5/(Conv!$I$5*Conv!$D$46)/10^6 + OILTrade!$J$17</f>
        <v>2.0004315726897852</v>
      </c>
      <c r="P428" s="421">
        <f>DelivOIL!$H80*DelivOIL!X$83^5/(Conv!$I$5*Conv!$D$46)/10^6 + OILTrade!$J$17</f>
        <v>2.0004315726897852</v>
      </c>
      <c r="Q428" s="421">
        <f>DelivOIL!$H80*DelivOIL!Y$83^5/(Conv!$I$5*Conv!$D$46)/10^6 + OILTrade!$J$17</f>
        <v>2.0004315726897852</v>
      </c>
      <c r="S428" s="395"/>
      <c r="T428" s="395"/>
      <c r="U428" s="395"/>
      <c r="V428" s="395"/>
      <c r="W428" s="395"/>
      <c r="X428" s="395"/>
      <c r="Y428" s="395"/>
      <c r="Z428" s="395"/>
      <c r="AA428" s="395"/>
      <c r="AB428" s="395"/>
      <c r="AC428" s="395"/>
    </row>
    <row r="429" spans="2:29">
      <c r="B429" s="376" t="s">
        <v>588</v>
      </c>
      <c r="C429" s="376" t="str">
        <f>Technologies!C291</f>
        <v>XPCOMDSLR4</v>
      </c>
      <c r="D429" s="376" t="str">
        <f>Technologies!D291</f>
        <v>Delivery of Pipeline Traded COMDSL from R4</v>
      </c>
      <c r="E429" s="415" t="str">
        <f>E428</f>
        <v>DSHR4</v>
      </c>
      <c r="F429" s="415" t="str">
        <f>Commodities!C88</f>
        <v>COMDSL</v>
      </c>
      <c r="G429" s="422">
        <v>1</v>
      </c>
      <c r="H429" s="421">
        <f>DelivOIL!$H81*DelivOIL!P$83^5/(Conv!$I$5*Conv!$D$46)/10^6 + OILTrade!$J$17</f>
        <v>0.91242664771925175</v>
      </c>
      <c r="I429" s="421">
        <f>DelivOIL!$H81*DelivOIL!Q$83^5/(Conv!$I$5*Conv!$D$46)/10^6 + OILTrade!$J$17</f>
        <v>0.8325690238203991</v>
      </c>
      <c r="J429" s="421">
        <f>DelivOIL!$H81*DelivOIL!R$83^5/(Conv!$I$5*Conv!$D$46)/10^6 + OILTrade!$J$17</f>
        <v>0.93672357854100341</v>
      </c>
      <c r="K429" s="421">
        <f>DelivOIL!$H81*DelivOIL!S$83^5/(Conv!$I$5*Conv!$D$46)/10^6 + OILTrade!$J$17</f>
        <v>1.0553963963826773</v>
      </c>
      <c r="L429" s="421">
        <f>DelivOIL!$H81*DelivOIL!T$83^5/(Conv!$I$5*Conv!$D$46)/10^6 + OILTrade!$J$17</f>
        <v>0.99534567818445618</v>
      </c>
      <c r="M429" s="421">
        <f>DelivOIL!$H81*DelivOIL!U$83^5/(Conv!$I$5*Conv!$D$46)/10^6 + OILTrade!$J$17</f>
        <v>0.94988401831409897</v>
      </c>
      <c r="N429" s="421">
        <f>DelivOIL!$H81*DelivOIL!V$83^5/(Conv!$I$5*Conv!$D$46)/10^6 + OILTrade!$J$17</f>
        <v>0.94988401831409897</v>
      </c>
      <c r="O429" s="421">
        <f>DelivOIL!$H81*DelivOIL!W$83^5/(Conv!$I$5*Conv!$D$46)/10^6 + OILTrade!$J$17</f>
        <v>0.94988401831409897</v>
      </c>
      <c r="P429" s="421">
        <f>DelivOIL!$H81*DelivOIL!X$83^5/(Conv!$I$5*Conv!$D$46)/10^6 + OILTrade!$J$17</f>
        <v>0.94988401831409897</v>
      </c>
      <c r="Q429" s="421">
        <f>DelivOIL!$H81*DelivOIL!Y$83^5/(Conv!$I$5*Conv!$D$46)/10^6 + OILTrade!$J$17</f>
        <v>0.94988401831409897</v>
      </c>
      <c r="S429" s="395"/>
      <c r="T429" s="395"/>
      <c r="U429" s="395"/>
      <c r="V429" s="395"/>
      <c r="W429" s="395"/>
      <c r="X429" s="395"/>
      <c r="Y429" s="395"/>
      <c r="Z429" s="395"/>
      <c r="AA429" s="395"/>
      <c r="AB429" s="395"/>
      <c r="AC429" s="395"/>
    </row>
    <row r="430" spans="2:29">
      <c r="B430" s="376" t="s">
        <v>588</v>
      </c>
      <c r="C430" s="376" t="str">
        <f>Technologies!C292</f>
        <v>XPINDDSLR4</v>
      </c>
      <c r="D430" s="376" t="str">
        <f>Technologies!D292</f>
        <v>Delivery of Pipeline Traded INDDSL from R4</v>
      </c>
      <c r="E430" s="415" t="str">
        <f>E429</f>
        <v>DSHR4</v>
      </c>
      <c r="F430" s="415" t="str">
        <f>Commodities!C89</f>
        <v>INDDSL</v>
      </c>
      <c r="G430" s="422">
        <v>1</v>
      </c>
      <c r="H430" s="421">
        <f>DelivOIL!$H82*DelivOIL!P$83^5/(Conv!$I$5*Conv!$D$46)/10^6 + OILTrade!$J$17</f>
        <v>1.2874171194149318</v>
      </c>
      <c r="I430" s="421">
        <f>DelivOIL!$H82*DelivOIL!Q$83^5/(Conv!$I$5*Conv!$D$46)/10^6 + OILTrade!$J$17</f>
        <v>1.1690316945122465</v>
      </c>
      <c r="J430" s="421">
        <f>DelivOIL!$H82*DelivOIL!R$83^5/(Conv!$I$5*Conv!$D$46)/10^6 + OILTrade!$J$17</f>
        <v>1.3234362537033182</v>
      </c>
      <c r="K430" s="421">
        <f>DelivOIL!$H82*DelivOIL!S$83^5/(Conv!$I$5*Conv!$D$46)/10^6 + OILTrade!$J$17</f>
        <v>1.4993635012054489</v>
      </c>
      <c r="L430" s="421">
        <f>DelivOIL!$H82*DelivOIL!T$83^5/(Conv!$I$5*Conv!$D$46)/10^6 + OILTrade!$J$17</f>
        <v>1.4103409452800155</v>
      </c>
      <c r="M430" s="421">
        <f>DelivOIL!$H82*DelivOIL!U$83^5/(Conv!$I$5*Conv!$D$46)/10^6 + OILTrade!$J$17</f>
        <v>1.3429460284546613</v>
      </c>
      <c r="N430" s="421">
        <f>DelivOIL!$H82*DelivOIL!V$83^5/(Conv!$I$5*Conv!$D$46)/10^6 + OILTrade!$J$17</f>
        <v>1.3429460284546613</v>
      </c>
      <c r="O430" s="421">
        <f>DelivOIL!$H82*DelivOIL!W$83^5/(Conv!$I$5*Conv!$D$46)/10^6 + OILTrade!$J$17</f>
        <v>1.3429460284546613</v>
      </c>
      <c r="P430" s="421">
        <f>DelivOIL!$H82*DelivOIL!X$83^5/(Conv!$I$5*Conv!$D$46)/10^6 + OILTrade!$J$17</f>
        <v>1.3429460284546613</v>
      </c>
      <c r="Q430" s="421">
        <f>DelivOIL!$H82*DelivOIL!Y$83^5/(Conv!$I$5*Conv!$D$46)/10^6 + OILTrade!$J$17</f>
        <v>1.3429460284546613</v>
      </c>
      <c r="S430" s="395"/>
      <c r="T430" s="395"/>
      <c r="U430" s="395"/>
      <c r="V430" s="395"/>
      <c r="W430" s="395"/>
      <c r="X430" s="395"/>
      <c r="Y430" s="395"/>
      <c r="Z430" s="395"/>
      <c r="AA430" s="395"/>
      <c r="AB430" s="395"/>
      <c r="AC430" s="395"/>
    </row>
    <row r="431" spans="2:29">
      <c r="B431" s="376" t="s">
        <v>588</v>
      </c>
      <c r="C431" s="376" t="str">
        <f>Technologies!C293</f>
        <v>XPELCDSLR4</v>
      </c>
      <c r="D431" s="376" t="str">
        <f>Technologies!D293</f>
        <v>Delivery of Pipeline Traded ELCDSL from R4</v>
      </c>
      <c r="E431" s="415" t="str">
        <f>E430</f>
        <v>DSHR4</v>
      </c>
      <c r="F431" s="415" t="str">
        <f>Commodities!C90</f>
        <v>ELCDSL</v>
      </c>
      <c r="G431" s="422">
        <v>1</v>
      </c>
      <c r="H431" s="421">
        <f>DelivOIL!$H83*DelivOIL!P$83^5/(Conv!$I$5*Conv!$D$46)/10^6 + OILTrade!$J$17</f>
        <v>0.62607028751527805</v>
      </c>
      <c r="I431" s="421">
        <f>DelivOIL!$H83*DelivOIL!Q$83^5/(Conv!$I$5*Conv!$D$46)/10^6 + OILTrade!$J$17</f>
        <v>0.57563389347389737</v>
      </c>
      <c r="J431" s="421">
        <f>DelivOIL!$H83*DelivOIL!R$83^5/(Conv!$I$5*Conv!$D$46)/10^6 + OILTrade!$J$17</f>
        <v>0.64141571750796333</v>
      </c>
      <c r="K431" s="421">
        <f>DelivOIL!$H83*DelivOIL!S$83^5/(Conv!$I$5*Conv!$D$46)/10^6 + OILTrade!$J$17</f>
        <v>0.71636697088165224</v>
      </c>
      <c r="L431" s="421">
        <f>DelivOIL!$H83*DelivOIL!T$83^5/(Conv!$I$5*Conv!$D$46)/10^6 + OILTrade!$J$17</f>
        <v>0.67844020149330186</v>
      </c>
      <c r="M431" s="421">
        <f>DelivOIL!$H83*DelivOIL!U$83^5/(Conv!$I$5*Conv!$D$46)/10^6 + OILTrade!$J$17</f>
        <v>0.64972757420676053</v>
      </c>
      <c r="N431" s="421">
        <f>DelivOIL!$H83*DelivOIL!V$83^5/(Conv!$I$5*Conv!$D$46)/10^6 + OILTrade!$J$17</f>
        <v>0.64972757420676053</v>
      </c>
      <c r="O431" s="421">
        <f>DelivOIL!$H83*DelivOIL!W$83^5/(Conv!$I$5*Conv!$D$46)/10^6 + OILTrade!$J$17</f>
        <v>0.64972757420676053</v>
      </c>
      <c r="P431" s="421">
        <f>DelivOIL!$H83*DelivOIL!X$83^5/(Conv!$I$5*Conv!$D$46)/10^6 + OILTrade!$J$17</f>
        <v>0.64972757420676053</v>
      </c>
      <c r="Q431" s="421">
        <f>DelivOIL!$H83*DelivOIL!Y$83^5/(Conv!$I$5*Conv!$D$46)/10^6 + OILTrade!$J$17</f>
        <v>0.64972757420676053</v>
      </c>
      <c r="S431" s="395"/>
      <c r="T431" s="395"/>
      <c r="U431" s="395"/>
      <c r="V431" s="395"/>
      <c r="W431" s="395"/>
      <c r="X431" s="395"/>
      <c r="Y431" s="395"/>
      <c r="Z431" s="395"/>
      <c r="AA431" s="395"/>
      <c r="AB431" s="395"/>
      <c r="AC431" s="395"/>
    </row>
    <row r="432" spans="2:29">
      <c r="B432" s="376" t="s">
        <v>588</v>
      </c>
      <c r="C432" s="376" t="str">
        <f>Technologies!C294</f>
        <v>XPTRDSLLR4</v>
      </c>
      <c r="D432" s="376" t="str">
        <f>Technologies!D294</f>
        <v>Delivery of Pipeline Traded TRDSLL from R4</v>
      </c>
      <c r="E432" s="415" t="str">
        <f>Commodities!C133</f>
        <v>DSLR4</v>
      </c>
      <c r="F432" s="415" t="str">
        <f>Commodities!C91</f>
        <v>TRDSLL</v>
      </c>
      <c r="G432" s="422">
        <v>1</v>
      </c>
      <c r="H432" s="421">
        <f>DelivOIL!$H84*DelivOIL!P$83^5/(Conv!$I$5*Conv!$D$46)/10^6 + OILTrade!$J$17</f>
        <v>3.4896338895550194</v>
      </c>
      <c r="I432" s="421">
        <f>DelivOIL!$H84*DelivOIL!Q$83^5/(Conv!$I$5*Conv!$D$46)/10^6 + OILTrade!$J$17</f>
        <v>3.1449851969389186</v>
      </c>
      <c r="J432" s="421">
        <f>DelivOIL!$H84*DelivOIL!R$83^5/(Conv!$I$5*Conv!$D$46)/10^6 + OILTrade!$J$17</f>
        <v>3.594494327838369</v>
      </c>
      <c r="K432" s="421">
        <f>DelivOIL!$H84*DelivOIL!S$83^5/(Conv!$I$5*Conv!$D$46)/10^6 + OILTrade!$J$17</f>
        <v>4.1066612258919095</v>
      </c>
      <c r="L432" s="421">
        <f>DelivOIL!$H84*DelivOIL!T$83^5/(Conv!$I$5*Conv!$D$46)/10^6 + OILTrade!$J$17</f>
        <v>3.8474949684048489</v>
      </c>
      <c r="M432" s="421">
        <f>DelivOIL!$H84*DelivOIL!U$83^5/(Conv!$I$5*Conv!$D$46)/10^6 + OILTrade!$J$17</f>
        <v>3.6512920152801494</v>
      </c>
      <c r="N432" s="421">
        <f>DelivOIL!$H84*DelivOIL!V$83^5/(Conv!$I$5*Conv!$D$46)/10^6 + OILTrade!$J$17</f>
        <v>3.6512920152801494</v>
      </c>
      <c r="O432" s="421">
        <f>DelivOIL!$H84*DelivOIL!W$83^5/(Conv!$I$5*Conv!$D$46)/10^6 + OILTrade!$J$17</f>
        <v>3.6512920152801494</v>
      </c>
      <c r="P432" s="421">
        <f>DelivOIL!$H84*DelivOIL!X$83^5/(Conv!$I$5*Conv!$D$46)/10^6 + OILTrade!$J$17</f>
        <v>3.6512920152801494</v>
      </c>
      <c r="Q432" s="421">
        <f>DelivOIL!$H84*DelivOIL!Y$83^5/(Conv!$I$5*Conv!$D$46)/10^6 + OILTrade!$J$17</f>
        <v>3.6512920152801494</v>
      </c>
      <c r="S432" s="395"/>
      <c r="T432" s="395"/>
      <c r="U432" s="395"/>
      <c r="V432" s="395"/>
      <c r="W432" s="395"/>
      <c r="X432" s="395"/>
      <c r="Y432" s="395"/>
      <c r="Z432" s="395"/>
      <c r="AA432" s="395"/>
      <c r="AB432" s="395"/>
      <c r="AC432" s="395"/>
    </row>
    <row r="433" spans="2:29">
      <c r="B433" s="376" t="s">
        <v>588</v>
      </c>
      <c r="C433" s="376" t="str">
        <f>Technologies!C295</f>
        <v>XPTRDSLUR4</v>
      </c>
      <c r="D433" s="376" t="str">
        <f>Technologies!D295</f>
        <v>Delivery of Pipeline Traded TRDSLU from R4</v>
      </c>
      <c r="E433" s="415" t="str">
        <f>Commodities!C134</f>
        <v>DSUR4</v>
      </c>
      <c r="F433" s="415" t="str">
        <f>Commodities!C92</f>
        <v>TRDSLU</v>
      </c>
      <c r="G433" s="422">
        <v>1</v>
      </c>
      <c r="H433" s="421">
        <f>DelivOIL!$H85*DelivOIL!P$83^5/(Conv!$I$5*Conv!$D$46)/10^6 + OILTrade!$J$17</f>
        <v>2.8487410833842208</v>
      </c>
      <c r="I433" s="421">
        <f>DelivOIL!$H85*DelivOIL!Q$83^5/(Conv!$I$5*Conv!$D$46)/10^6 + OILTrade!$J$17</f>
        <v>2.569939905211033</v>
      </c>
      <c r="J433" s="421">
        <f>DelivOIL!$H85*DelivOIL!R$83^5/(Conv!$I$5*Conv!$D$46)/10^6 + OILTrade!$J$17</f>
        <v>2.9335672102882313</v>
      </c>
      <c r="K433" s="421">
        <f>DelivOIL!$H85*DelivOIL!S$83^5/(Conv!$I$5*Conv!$D$46)/10^6 + OILTrade!$J$17</f>
        <v>3.3478810831038999</v>
      </c>
      <c r="L433" s="421">
        <f>DelivOIL!$H85*DelivOIL!T$83^5/(Conv!$I$5*Conv!$D$46)/10^6 + OILTrade!$J$17</f>
        <v>3.1382303300960741</v>
      </c>
      <c r="M433" s="421">
        <f>DelivOIL!$H85*DelivOIL!U$83^5/(Conv!$I$5*Conv!$D$46)/10^6 + OILTrade!$J$17</f>
        <v>2.9795133070399151</v>
      </c>
      <c r="N433" s="421">
        <f>DelivOIL!$H85*DelivOIL!V$83^5/(Conv!$I$5*Conv!$D$46)/10^6 + OILTrade!$J$17</f>
        <v>2.9795133070399151</v>
      </c>
      <c r="O433" s="421">
        <f>DelivOIL!$H85*DelivOIL!W$83^5/(Conv!$I$5*Conv!$D$46)/10^6 + OILTrade!$J$17</f>
        <v>2.9795133070399151</v>
      </c>
      <c r="P433" s="421">
        <f>DelivOIL!$H85*DelivOIL!X$83^5/(Conv!$I$5*Conv!$D$46)/10^6 + OILTrade!$J$17</f>
        <v>2.9795133070399151</v>
      </c>
      <c r="Q433" s="421">
        <f>DelivOIL!$H85*DelivOIL!Y$83^5/(Conv!$I$5*Conv!$D$46)/10^6 + OILTrade!$J$17</f>
        <v>2.9795133070399151</v>
      </c>
      <c r="S433" s="395"/>
      <c r="T433" s="395"/>
      <c r="U433" s="395"/>
      <c r="V433" s="395"/>
      <c r="W433" s="395"/>
      <c r="X433" s="395"/>
      <c r="Y433" s="395"/>
      <c r="Z433" s="395"/>
      <c r="AA433" s="395"/>
      <c r="AB433" s="395"/>
      <c r="AC433" s="395"/>
    </row>
    <row r="434" spans="2:29">
      <c r="B434" s="376" t="s">
        <v>588</v>
      </c>
      <c r="C434" s="376" t="str">
        <f>Technologies!C296</f>
        <v>XPTRNJTFR4</v>
      </c>
      <c r="D434" s="376" t="str">
        <f>Technologies!D296</f>
        <v>Delivery of Pipeline Traded TRNJTF from R4</v>
      </c>
      <c r="E434" s="415" t="str">
        <f>Commodities!C135</f>
        <v>JTFR4</v>
      </c>
      <c r="F434" s="415" t="str">
        <f>Commodities!C93</f>
        <v>TRNJTF</v>
      </c>
      <c r="G434" s="422">
        <v>1</v>
      </c>
      <c r="H434" s="421">
        <f>DelivOIL!$H86*DelivOIL!P$83^5/(Conv!$I$5*Conv!$D$46)/10^6 + OILTrade!$J$17</f>
        <v>0.6465243132441334</v>
      </c>
      <c r="I434" s="421">
        <f>DelivOIL!$H86*DelivOIL!Q$83^5/(Conv!$I$5*Conv!$D$46)/10^6 + OILTrade!$J$17</f>
        <v>0.59398640278436177</v>
      </c>
      <c r="J434" s="421">
        <f>DelivOIL!$H86*DelivOIL!R$83^5/(Conv!$I$5*Conv!$D$46)/10^6 + OILTrade!$J$17</f>
        <v>0.66250913615318052</v>
      </c>
      <c r="K434" s="421">
        <f>DelivOIL!$H86*DelivOIL!S$83^5/(Conv!$I$5*Conv!$D$46)/10^6 + OILTrade!$J$17</f>
        <v>0.74058335841743983</v>
      </c>
      <c r="L434" s="421">
        <f>DelivOIL!$H86*DelivOIL!T$83^5/(Conv!$I$5*Conv!$D$46)/10^6 + OILTrade!$J$17</f>
        <v>0.70107630697124157</v>
      </c>
      <c r="M434" s="421">
        <f>DelivOIL!$H86*DelivOIL!U$83^5/(Conv!$I$5*Conv!$D$46)/10^6 + OILTrade!$J$17</f>
        <v>0.67116732021442749</v>
      </c>
      <c r="N434" s="421">
        <f>DelivOIL!$H86*DelivOIL!V$83^5/(Conv!$I$5*Conv!$D$46)/10^6 + OILTrade!$J$17</f>
        <v>0.67116732021442749</v>
      </c>
      <c r="O434" s="421">
        <f>DelivOIL!$H86*DelivOIL!W$83^5/(Conv!$I$5*Conv!$D$46)/10^6 + OILTrade!$J$17</f>
        <v>0.67116732021442749</v>
      </c>
      <c r="P434" s="421">
        <f>DelivOIL!$H86*DelivOIL!X$83^5/(Conv!$I$5*Conv!$D$46)/10^6 + OILTrade!$J$17</f>
        <v>0.67116732021442749</v>
      </c>
      <c r="Q434" s="421">
        <f>DelivOIL!$H86*DelivOIL!Y$83^5/(Conv!$I$5*Conv!$D$46)/10^6 + OILTrade!$J$17</f>
        <v>0.67116732021442749</v>
      </c>
      <c r="S434" s="395"/>
      <c r="T434" s="395"/>
      <c r="U434" s="395"/>
      <c r="V434" s="395"/>
      <c r="W434" s="395"/>
      <c r="X434" s="395"/>
      <c r="Y434" s="395"/>
      <c r="Z434" s="395"/>
      <c r="AA434" s="395"/>
      <c r="AB434" s="395"/>
      <c r="AC434" s="395"/>
    </row>
    <row r="435" spans="2:29">
      <c r="B435" s="376" t="s">
        <v>588</v>
      </c>
      <c r="C435" s="376" t="str">
        <f>Technologies!C297</f>
        <v>XPRESKERR4</v>
      </c>
      <c r="D435" s="376" t="str">
        <f>Technologies!D297</f>
        <v>Delivery of Pipeline Traded RESKER from R4</v>
      </c>
      <c r="E435" s="415" t="str">
        <f>Commodities!C136</f>
        <v>KERR4</v>
      </c>
      <c r="F435" s="415" t="str">
        <f>Commodities!C94</f>
        <v>RESKER</v>
      </c>
      <c r="G435" s="422">
        <v>1</v>
      </c>
      <c r="H435" s="421">
        <f>DelivOIL!$H87*DelivOIL!P$83^5/(Conv!$I$5*Conv!$D$46)/10^6 + OILTrade!$J$17</f>
        <v>1.8328578055177405</v>
      </c>
      <c r="I435" s="421">
        <f>DelivOIL!$H87*DelivOIL!Q$83^5/(Conv!$I$5*Conv!$D$46)/10^6 + OILTrade!$J$17</f>
        <v>1.6584319427912988</v>
      </c>
      <c r="J435" s="421">
        <f>DelivOIL!$H87*DelivOIL!R$83^5/(Conv!$I$5*Conv!$D$46)/10^6 + OILTrade!$J$17</f>
        <v>1.8859274175757772</v>
      </c>
      <c r="K435" s="421">
        <f>DelivOIL!$H87*DelivOIL!S$83^5/(Conv!$I$5*Conv!$D$46)/10^6 + OILTrade!$J$17</f>
        <v>2.1451338354931178</v>
      </c>
      <c r="L435" s="421">
        <f>DelivOIL!$H87*DelivOIL!T$83^5/(Conv!$I$5*Conv!$D$46)/10^6 + OILTrade!$J$17</f>
        <v>2.0139704246917391</v>
      </c>
      <c r="M435" s="421">
        <f>DelivOIL!$H87*DelivOIL!U$83^5/(Conv!$I$5*Conv!$D$46)/10^6 + OILTrade!$J$17</f>
        <v>1.9146725886591169</v>
      </c>
      <c r="N435" s="421">
        <f>DelivOIL!$H87*DelivOIL!V$83^5/(Conv!$I$5*Conv!$D$46)/10^6 + OILTrade!$J$17</f>
        <v>1.9146725886591169</v>
      </c>
      <c r="O435" s="421">
        <f>DelivOIL!$H87*DelivOIL!W$83^5/(Conv!$I$5*Conv!$D$46)/10^6 + OILTrade!$J$17</f>
        <v>1.9146725886591169</v>
      </c>
      <c r="P435" s="421">
        <f>DelivOIL!$H87*DelivOIL!X$83^5/(Conv!$I$5*Conv!$D$46)/10^6 + OILTrade!$J$17</f>
        <v>1.9146725886591169</v>
      </c>
      <c r="Q435" s="421">
        <f>DelivOIL!$H87*DelivOIL!Y$83^5/(Conv!$I$5*Conv!$D$46)/10^6 + OILTrade!$J$17</f>
        <v>1.9146725886591169</v>
      </c>
      <c r="S435" s="395"/>
      <c r="T435" s="395"/>
      <c r="U435" s="395"/>
      <c r="V435" s="395"/>
      <c r="W435" s="395"/>
      <c r="X435" s="395"/>
      <c r="Y435" s="395"/>
      <c r="Z435" s="395"/>
      <c r="AA435" s="395"/>
      <c r="AB435" s="395"/>
      <c r="AC435" s="395"/>
    </row>
    <row r="436" spans="2:29">
      <c r="B436" s="376" t="s">
        <v>588</v>
      </c>
      <c r="C436" s="376" t="str">
        <f>Technologies!C298</f>
        <v>XPCOMKERR4</v>
      </c>
      <c r="D436" s="376" t="str">
        <f>Technologies!D298</f>
        <v>Delivery of Pipeline Traded COMKER from R4</v>
      </c>
      <c r="E436" s="415" t="str">
        <f>E435</f>
        <v>KERR4</v>
      </c>
      <c r="F436" s="415" t="str">
        <f>Commodities!C95</f>
        <v>COMKER</v>
      </c>
      <c r="G436" s="422">
        <v>1</v>
      </c>
      <c r="H436" s="421">
        <f>DelivOIL!$H88*DelivOIL!P$83^5/(Conv!$I$5*Conv!$D$46)/10^6 + OILTrade!$J$17</f>
        <v>1.6692255996868977</v>
      </c>
      <c r="I436" s="421">
        <f>DelivOIL!$H88*DelivOIL!Q$83^5/(Conv!$I$5*Conv!$D$46)/10^6 + OILTrade!$J$17</f>
        <v>1.5116118683075832</v>
      </c>
      <c r="J436" s="421">
        <f>DelivOIL!$H88*DelivOIL!R$83^5/(Conv!$I$5*Conv!$D$46)/10^6 + OILTrade!$J$17</f>
        <v>1.7171800684140393</v>
      </c>
      <c r="K436" s="421">
        <f>DelivOIL!$H88*DelivOIL!S$83^5/(Conv!$I$5*Conv!$D$46)/10^6 + OILTrade!$J$17</f>
        <v>1.9514027352068168</v>
      </c>
      <c r="L436" s="421">
        <f>DelivOIL!$H88*DelivOIL!T$83^5/(Conv!$I$5*Conv!$D$46)/10^6 + OILTrade!$J$17</f>
        <v>1.8328815808682222</v>
      </c>
      <c r="M436" s="421">
        <f>DelivOIL!$H88*DelivOIL!U$83^5/(Conv!$I$5*Conv!$D$46)/10^6 + OILTrade!$J$17</f>
        <v>1.7431546205977804</v>
      </c>
      <c r="N436" s="421">
        <f>DelivOIL!$H88*DelivOIL!V$83^5/(Conv!$I$5*Conv!$D$46)/10^6 + OILTrade!$J$17</f>
        <v>1.7431546205977804</v>
      </c>
      <c r="O436" s="421">
        <f>DelivOIL!$H88*DelivOIL!W$83^5/(Conv!$I$5*Conv!$D$46)/10^6 + OILTrade!$J$17</f>
        <v>1.7431546205977804</v>
      </c>
      <c r="P436" s="421">
        <f>DelivOIL!$H88*DelivOIL!X$83^5/(Conv!$I$5*Conv!$D$46)/10^6 + OILTrade!$J$17</f>
        <v>1.7431546205977804</v>
      </c>
      <c r="Q436" s="421">
        <f>DelivOIL!$H88*DelivOIL!Y$83^5/(Conv!$I$5*Conv!$D$46)/10^6 + OILTrade!$J$17</f>
        <v>1.7431546205977804</v>
      </c>
      <c r="S436" s="395"/>
      <c r="T436" s="395"/>
      <c r="U436" s="395"/>
      <c r="V436" s="395"/>
      <c r="W436" s="395"/>
      <c r="X436" s="395"/>
      <c r="Y436" s="395"/>
      <c r="Z436" s="395"/>
      <c r="AA436" s="395"/>
      <c r="AB436" s="395"/>
      <c r="AC436" s="395"/>
    </row>
    <row r="437" spans="2:29">
      <c r="B437" s="376" t="s">
        <v>588</v>
      </c>
      <c r="C437" s="376" t="str">
        <f>Technologies!C299</f>
        <v>XPINDKERR4</v>
      </c>
      <c r="D437" s="376" t="str">
        <f>Technologies!D299</f>
        <v>Delivery of Pipeline Traded INDKER from R4</v>
      </c>
      <c r="E437" s="415" t="str">
        <f>E436</f>
        <v>KERR4</v>
      </c>
      <c r="F437" s="415" t="str">
        <f>Commodities!C96</f>
        <v>INDKER</v>
      </c>
      <c r="G437" s="422">
        <v>1</v>
      </c>
      <c r="H437" s="421">
        <f>DelivOIL!$H89*DelivOIL!P$83^5/(Conv!$I$5*Conv!$D$46)/10^6 + OILTrade!$J$17</f>
        <v>1.1306029221603753</v>
      </c>
      <c r="I437" s="421">
        <f>DelivOIL!$H89*DelivOIL!Q$83^5/(Conv!$I$5*Conv!$D$46)/10^6 + OILTrade!$J$17</f>
        <v>1.02832912313202</v>
      </c>
      <c r="J437" s="421">
        <f>DelivOIL!$H89*DelivOIL!R$83^5/(Conv!$I$5*Conv!$D$46)/10^6 + OILTrade!$J$17</f>
        <v>1.1617200440899871</v>
      </c>
      <c r="K437" s="421">
        <f>DelivOIL!$H89*DelivOIL!S$83^5/(Conv!$I$5*Conv!$D$46)/10^6 + OILTrade!$J$17</f>
        <v>1.3137045300977448</v>
      </c>
      <c r="L437" s="421">
        <f>DelivOIL!$H89*DelivOIL!T$83^5/(Conv!$I$5*Conv!$D$46)/10^6 + OILTrade!$J$17</f>
        <v>1.2367974699491457</v>
      </c>
      <c r="M437" s="421">
        <f>DelivOIL!$H89*DelivOIL!U$83^5/(Conv!$I$5*Conv!$D$46)/10^6 + OILTrade!$J$17</f>
        <v>1.1785746423958812</v>
      </c>
      <c r="N437" s="421">
        <f>DelivOIL!$H89*DelivOIL!V$83^5/(Conv!$I$5*Conv!$D$46)/10^6 + OILTrade!$J$17</f>
        <v>1.1785746423958812</v>
      </c>
      <c r="O437" s="421">
        <f>DelivOIL!$H89*DelivOIL!W$83^5/(Conv!$I$5*Conv!$D$46)/10^6 + OILTrade!$J$17</f>
        <v>1.1785746423958812</v>
      </c>
      <c r="P437" s="421">
        <f>DelivOIL!$H89*DelivOIL!X$83^5/(Conv!$I$5*Conv!$D$46)/10^6 + OILTrade!$J$17</f>
        <v>1.1785746423958812</v>
      </c>
      <c r="Q437" s="421">
        <f>DelivOIL!$H89*DelivOIL!Y$83^5/(Conv!$I$5*Conv!$D$46)/10^6 + OILTrade!$J$17</f>
        <v>1.1785746423958812</v>
      </c>
      <c r="S437" s="395"/>
      <c r="T437" s="395"/>
      <c r="U437" s="395"/>
      <c r="V437" s="395"/>
      <c r="W437" s="395"/>
      <c r="X437" s="395"/>
      <c r="Y437" s="395"/>
      <c r="Z437" s="395"/>
      <c r="AA437" s="395"/>
      <c r="AB437" s="395"/>
      <c r="AC437" s="395"/>
    </row>
    <row r="438" spans="2:29">
      <c r="B438" s="376" t="s">
        <v>588</v>
      </c>
      <c r="C438" s="376" t="str">
        <f>Technologies!C300</f>
        <v>XPRESLPGR4</v>
      </c>
      <c r="D438" s="376" t="str">
        <f>Technologies!D300</f>
        <v>Delivery of Pipeline Traded RESLPG from R4</v>
      </c>
      <c r="E438" s="415" t="str">
        <f>Commodities!C137</f>
        <v>LPGR4</v>
      </c>
      <c r="F438" s="415" t="str">
        <f>Commodities!C97</f>
        <v>RESLPG</v>
      </c>
      <c r="G438" s="422">
        <v>1</v>
      </c>
      <c r="H438" s="421">
        <f>DelivOIL!$H90*DelivOIL!P$83^5/(Conv!$I$5*Conv!$D$46)/10^6 + OILTrade!$J$17</f>
        <v>4.1918887729123853</v>
      </c>
      <c r="I438" s="421">
        <f>DelivOIL!$H90*DelivOIL!Q$83^5/(Conv!$I$5*Conv!$D$46)/10^6 + OILTrade!$J$17</f>
        <v>3.7750880165981977</v>
      </c>
      <c r="J438" s="421">
        <f>DelivOIL!$H90*DelivOIL!R$83^5/(Conv!$I$5*Conv!$D$46)/10^6 + OILTrade!$J$17</f>
        <v>4.3187017013241595</v>
      </c>
      <c r="K438" s="421">
        <f>DelivOIL!$H90*DelivOIL!S$83^5/(Conv!$I$5*Conv!$D$46)/10^6 + OILTrade!$J$17</f>
        <v>4.9380905312872816</v>
      </c>
      <c r="L438" s="421">
        <f>DelivOIL!$H90*DelivOIL!T$83^5/(Conv!$I$5*Conv!$D$46)/10^6 + OILTrade!$J$17</f>
        <v>4.6246679231474426</v>
      </c>
      <c r="M438" s="421">
        <f>DelivOIL!$H90*DelivOIL!U$83^5/(Conv!$I$5*Conv!$D$46)/10^6 + OILTrade!$J$17</f>
        <v>4.3873899615433851</v>
      </c>
      <c r="N438" s="421">
        <f>DelivOIL!$H90*DelivOIL!V$83^5/(Conv!$I$5*Conv!$D$46)/10^6 + OILTrade!$J$17</f>
        <v>4.3873899615433851</v>
      </c>
      <c r="O438" s="421">
        <f>DelivOIL!$H90*DelivOIL!W$83^5/(Conv!$I$5*Conv!$D$46)/10^6 + OILTrade!$J$17</f>
        <v>4.3873899615433851</v>
      </c>
      <c r="P438" s="421">
        <f>DelivOIL!$H90*DelivOIL!X$83^5/(Conv!$I$5*Conv!$D$46)/10^6 + OILTrade!$J$17</f>
        <v>4.3873899615433851</v>
      </c>
      <c r="Q438" s="421">
        <f>DelivOIL!$H90*DelivOIL!Y$83^5/(Conv!$I$5*Conv!$D$46)/10^6 + OILTrade!$J$17</f>
        <v>4.3873899615433851</v>
      </c>
      <c r="S438" s="395"/>
      <c r="T438" s="395"/>
      <c r="U438" s="395"/>
      <c r="V438" s="395"/>
      <c r="W438" s="395"/>
      <c r="X438" s="395"/>
      <c r="Y438" s="395"/>
      <c r="Z438" s="395"/>
      <c r="AA438" s="395"/>
      <c r="AB438" s="395"/>
      <c r="AC438" s="395"/>
    </row>
    <row r="439" spans="2:29">
      <c r="B439" s="376" t="s">
        <v>588</v>
      </c>
      <c r="C439" s="376" t="str">
        <f>Technologies!C301</f>
        <v>XPCOMLPGR4</v>
      </c>
      <c r="D439" s="376" t="str">
        <f>Technologies!D301</f>
        <v>Delivery of Pipeline Traded COMLPG from R4</v>
      </c>
      <c r="E439" s="415" t="str">
        <f>E438</f>
        <v>LPGR4</v>
      </c>
      <c r="F439" s="415" t="str">
        <f>Commodities!C98</f>
        <v>COMLPG</v>
      </c>
      <c r="G439" s="422">
        <v>1</v>
      </c>
      <c r="H439" s="421">
        <f>DelivOIL!$H91*DelivOIL!P$83^5/(Conv!$I$5*Conv!$D$46)/10^6 + OILTrade!$J$17</f>
        <v>2.1396681914505704</v>
      </c>
      <c r="I439" s="421">
        <f>DelivOIL!$H91*DelivOIL!Q$83^5/(Conv!$I$5*Conv!$D$46)/10^6 + OILTrade!$J$17</f>
        <v>1.9337195824482656</v>
      </c>
      <c r="J439" s="421">
        <f>DelivOIL!$H91*DelivOIL!R$83^5/(Conv!$I$5*Conv!$D$46)/10^6 + OILTrade!$J$17</f>
        <v>2.2023286972540355</v>
      </c>
      <c r="K439" s="421">
        <f>DelivOIL!$H91*DelivOIL!S$83^5/(Conv!$I$5*Conv!$D$46)/10^6 + OILTrade!$J$17</f>
        <v>2.5083796485299308</v>
      </c>
      <c r="L439" s="421">
        <f>DelivOIL!$H91*DelivOIL!T$83^5/(Conv!$I$5*Conv!$D$46)/10^6 + OILTrade!$J$17</f>
        <v>2.3535120068608339</v>
      </c>
      <c r="M439" s="421">
        <f>DelivOIL!$H91*DelivOIL!U$83^5/(Conv!$I$5*Conv!$D$46)/10^6 + OILTrade!$J$17</f>
        <v>2.2362687787741233</v>
      </c>
      <c r="N439" s="421">
        <f>DelivOIL!$H91*DelivOIL!V$83^5/(Conv!$I$5*Conv!$D$46)/10^6 + OILTrade!$J$17</f>
        <v>2.2362687787741233</v>
      </c>
      <c r="O439" s="421">
        <f>DelivOIL!$H91*DelivOIL!W$83^5/(Conv!$I$5*Conv!$D$46)/10^6 + OILTrade!$J$17</f>
        <v>2.2362687787741233</v>
      </c>
      <c r="P439" s="421">
        <f>DelivOIL!$H91*DelivOIL!X$83^5/(Conv!$I$5*Conv!$D$46)/10^6 + OILTrade!$J$17</f>
        <v>2.2362687787741233</v>
      </c>
      <c r="Q439" s="421">
        <f>DelivOIL!$H91*DelivOIL!Y$83^5/(Conv!$I$5*Conv!$D$46)/10^6 + OILTrade!$J$17</f>
        <v>2.2362687787741233</v>
      </c>
      <c r="S439" s="395"/>
      <c r="T439" s="395"/>
      <c r="U439" s="395"/>
      <c r="V439" s="395"/>
      <c r="W439" s="395"/>
      <c r="X439" s="395"/>
      <c r="Y439" s="395"/>
      <c r="Z439" s="395"/>
      <c r="AA439" s="395"/>
      <c r="AB439" s="395"/>
      <c r="AC439" s="395"/>
    </row>
    <row r="440" spans="2:29">
      <c r="B440" s="376" t="s">
        <v>588</v>
      </c>
      <c r="C440" s="376" t="str">
        <f>Technologies!C302</f>
        <v>XPINDLPGR4</v>
      </c>
      <c r="D440" s="376" t="str">
        <f>Technologies!D302</f>
        <v>Delivery of Pipeline Traded INDLPG from R4</v>
      </c>
      <c r="E440" s="415" t="str">
        <f>E439</f>
        <v>LPGR4</v>
      </c>
      <c r="F440" s="415" t="str">
        <f>Commodities!C99</f>
        <v>INDLPG</v>
      </c>
      <c r="G440" s="422">
        <v>1</v>
      </c>
      <c r="H440" s="421">
        <f>DelivOIL!$H92*DelivOIL!P$83^5/(Conv!$I$5*Conv!$D$46)/10^6 + OILTrade!$J$17</f>
        <v>1.3692332223303538</v>
      </c>
      <c r="I440" s="421">
        <f>DelivOIL!$H92*DelivOIL!Q$83^5/(Conv!$I$5*Conv!$D$46)/10^6 + OILTrade!$J$17</f>
        <v>1.2424417317541052</v>
      </c>
      <c r="J440" s="421">
        <f>DelivOIL!$H92*DelivOIL!R$83^5/(Conv!$I$5*Conv!$D$46)/10^6 + OILTrade!$J$17</f>
        <v>1.4078099282841878</v>
      </c>
      <c r="K440" s="421">
        <f>DelivOIL!$H92*DelivOIL!S$83^5/(Conv!$I$5*Conv!$D$46)/10^6 + OILTrade!$J$17</f>
        <v>1.5962290513485999</v>
      </c>
      <c r="L440" s="421">
        <f>DelivOIL!$H92*DelivOIL!T$83^5/(Conv!$I$5*Conv!$D$46)/10^6 + OILTrade!$J$17</f>
        <v>1.5008853671917748</v>
      </c>
      <c r="M440" s="421">
        <f>DelivOIL!$H92*DelivOIL!U$83^5/(Conv!$I$5*Conv!$D$46)/10^6 + OILTrade!$J$17</f>
        <v>1.4287050124853307</v>
      </c>
      <c r="N440" s="421">
        <f>DelivOIL!$H92*DelivOIL!V$83^5/(Conv!$I$5*Conv!$D$46)/10^6 + OILTrade!$J$17</f>
        <v>1.4287050124853307</v>
      </c>
      <c r="O440" s="421">
        <f>DelivOIL!$H92*DelivOIL!W$83^5/(Conv!$I$5*Conv!$D$46)/10^6 + OILTrade!$J$17</f>
        <v>1.4287050124853307</v>
      </c>
      <c r="P440" s="421">
        <f>DelivOIL!$H92*DelivOIL!X$83^5/(Conv!$I$5*Conv!$D$46)/10^6 + OILTrade!$J$17</f>
        <v>1.4287050124853307</v>
      </c>
      <c r="Q440" s="421">
        <f>DelivOIL!$H92*DelivOIL!Y$83^5/(Conv!$I$5*Conv!$D$46)/10^6 + OILTrade!$J$17</f>
        <v>1.4287050124853307</v>
      </c>
      <c r="S440" s="395"/>
      <c r="T440" s="395"/>
      <c r="U440" s="395"/>
      <c r="V440" s="395"/>
      <c r="W440" s="395"/>
      <c r="X440" s="395"/>
      <c r="Y440" s="395"/>
      <c r="Z440" s="395"/>
      <c r="AA440" s="395"/>
      <c r="AB440" s="395"/>
      <c r="AC440" s="395"/>
    </row>
    <row r="441" spans="2:29">
      <c r="B441" s="376" t="s">
        <v>588</v>
      </c>
      <c r="C441" s="376" t="str">
        <f>Technologies!C303</f>
        <v>XPTRNLPGR4</v>
      </c>
      <c r="D441" s="376" t="str">
        <f>Technologies!D303</f>
        <v>Delivery of Pipeline Traded TRNLPG from R4</v>
      </c>
      <c r="E441" s="415" t="str">
        <f>E440</f>
        <v>LPGR4</v>
      </c>
      <c r="F441" s="415" t="str">
        <f>Commodities!C100</f>
        <v>TRNLPG</v>
      </c>
      <c r="G441" s="422">
        <v>1</v>
      </c>
      <c r="H441" s="421">
        <f>DelivOIL!$H93*DelivOIL!P$83^5/(Conv!$I$5*Conv!$D$46)/10^6 + OILTrade!$J$17</f>
        <v>2.8010150233502245</v>
      </c>
      <c r="I441" s="421">
        <f>DelivOIL!$H93*DelivOIL!Q$83^5/(Conv!$I$5*Conv!$D$46)/10^6 + OILTrade!$J$17</f>
        <v>2.5271173834866154</v>
      </c>
      <c r="J441" s="421">
        <f>DelivOIL!$H93*DelivOIL!R$83^5/(Conv!$I$5*Conv!$D$46)/10^6 + OILTrade!$J$17</f>
        <v>2.8843492334493908</v>
      </c>
      <c r="K441" s="421">
        <f>DelivOIL!$H93*DelivOIL!S$83^5/(Conv!$I$5*Conv!$D$46)/10^6 + OILTrade!$J$17</f>
        <v>3.2913761788537288</v>
      </c>
      <c r="L441" s="421">
        <f>DelivOIL!$H93*DelivOIL!T$83^5/(Conv!$I$5*Conv!$D$46)/10^6 + OILTrade!$J$17</f>
        <v>3.0854127506475484</v>
      </c>
      <c r="M441" s="421">
        <f>DelivOIL!$H93*DelivOIL!U$83^5/(Conv!$I$5*Conv!$D$46)/10^6 + OILTrade!$J$17</f>
        <v>2.9294872330220247</v>
      </c>
      <c r="N441" s="421">
        <f>DelivOIL!$H93*DelivOIL!V$83^5/(Conv!$I$5*Conv!$D$46)/10^6 + OILTrade!$J$17</f>
        <v>2.9294872330220247</v>
      </c>
      <c r="O441" s="421">
        <f>DelivOIL!$H93*DelivOIL!W$83^5/(Conv!$I$5*Conv!$D$46)/10^6 + OILTrade!$J$17</f>
        <v>2.9294872330220247</v>
      </c>
      <c r="P441" s="421">
        <f>DelivOIL!$H93*DelivOIL!X$83^5/(Conv!$I$5*Conv!$D$46)/10^6 + OILTrade!$J$17</f>
        <v>2.9294872330220247</v>
      </c>
      <c r="Q441" s="421">
        <f>DelivOIL!$H93*DelivOIL!Y$83^5/(Conv!$I$5*Conv!$D$46)/10^6 + OILTrade!$J$17</f>
        <v>2.9294872330220247</v>
      </c>
      <c r="S441" s="395"/>
      <c r="T441" s="395"/>
      <c r="U441" s="395"/>
      <c r="V441" s="395"/>
      <c r="W441" s="395"/>
      <c r="X441" s="395"/>
      <c r="Y441" s="395"/>
      <c r="Z441" s="395"/>
      <c r="AA441" s="395"/>
      <c r="AB441" s="395"/>
      <c r="AC441" s="395"/>
    </row>
    <row r="442" spans="2:29">
      <c r="B442" s="376" t="s">
        <v>588</v>
      </c>
      <c r="C442" s="376" t="str">
        <f>Technologies!C304</f>
        <v>XPTRNMTHR4</v>
      </c>
      <c r="D442" s="376" t="str">
        <f>Technologies!D304</f>
        <v>Delivery of Pipeline Traded TRNMTH from R4</v>
      </c>
      <c r="E442" s="415" t="str">
        <f>Commodities!C138</f>
        <v>MTHR4</v>
      </c>
      <c r="F442" s="415" t="str">
        <f>Commodities!C101</f>
        <v>TRNMTH</v>
      </c>
      <c r="G442" s="422">
        <v>1</v>
      </c>
      <c r="H442" s="421">
        <f>DelivOIL!$H94*DelivOIL!P$83^5/(Conv!$I$5*Conv!$D$46)/10^6 + OILTrade!$J$17</f>
        <v>3.8782603784032705</v>
      </c>
      <c r="I442" s="421">
        <f>DelivOIL!$H94*DelivOIL!Q$83^5/(Conv!$I$5*Conv!$D$46)/10^6 + OILTrade!$J$17</f>
        <v>3.4936828738377432</v>
      </c>
      <c r="J442" s="421">
        <f>DelivOIL!$H94*DelivOIL!R$83^5/(Conv!$I$5*Conv!$D$46)/10^6 + OILTrade!$J$17</f>
        <v>3.995269282097496</v>
      </c>
      <c r="K442" s="421">
        <f>DelivOIL!$H94*DelivOIL!S$83^5/(Conv!$I$5*Conv!$D$46)/10^6 + OILTrade!$J$17</f>
        <v>4.5667725890718733</v>
      </c>
      <c r="L442" s="421">
        <f>DelivOIL!$H94*DelivOIL!T$83^5/(Conv!$I$5*Conv!$D$46)/10^6 + OILTrade!$J$17</f>
        <v>4.2775809724857021</v>
      </c>
      <c r="M442" s="421">
        <f>DelivOIL!$H94*DelivOIL!U$83^5/(Conv!$I$5*Conv!$D$46)/10^6 + OILTrade!$J$17</f>
        <v>4.058647189425824</v>
      </c>
      <c r="N442" s="421">
        <f>DelivOIL!$H94*DelivOIL!V$83^5/(Conv!$I$5*Conv!$D$46)/10^6 + OILTrade!$J$17</f>
        <v>4.058647189425824</v>
      </c>
      <c r="O442" s="421">
        <f>DelivOIL!$H94*DelivOIL!W$83^5/(Conv!$I$5*Conv!$D$46)/10^6 + OILTrade!$J$17</f>
        <v>4.058647189425824</v>
      </c>
      <c r="P442" s="421">
        <f>DelivOIL!$H94*DelivOIL!X$83^5/(Conv!$I$5*Conv!$D$46)/10^6 + OILTrade!$J$17</f>
        <v>4.058647189425824</v>
      </c>
      <c r="Q442" s="421">
        <f>DelivOIL!$H94*DelivOIL!Y$83^5/(Conv!$I$5*Conv!$D$46)/10^6 + OILTrade!$J$17</f>
        <v>4.058647189425824</v>
      </c>
      <c r="S442" s="395"/>
      <c r="T442" s="395"/>
      <c r="U442" s="395"/>
      <c r="V442" s="395"/>
      <c r="W442" s="395"/>
      <c r="X442" s="395"/>
      <c r="Y442" s="395"/>
      <c r="Z442" s="395"/>
      <c r="AA442" s="395"/>
      <c r="AB442" s="395"/>
      <c r="AC442" s="395"/>
    </row>
    <row r="443" spans="2:29">
      <c r="B443" s="376" t="s">
        <v>588</v>
      </c>
      <c r="C443" s="376" t="str">
        <f>Technologies!C305</f>
        <v>XPINDPFSR4</v>
      </c>
      <c r="D443" s="376" t="str">
        <f>Technologies!D305</f>
        <v>Delivery of Pipeline Traded INDPFS from R4</v>
      </c>
      <c r="E443" s="415" t="str">
        <f>Commodities!C139</f>
        <v>PFSR4</v>
      </c>
      <c r="F443" s="415" t="str">
        <f>Commodities!C102</f>
        <v>INDPFS</v>
      </c>
      <c r="G443" s="422">
        <v>1</v>
      </c>
      <c r="H443" s="421">
        <f>DelivOIL!$H95*DelivOIL!P$83^5/(Conv!$I$5*Conv!$D$46)/10^6 + OILTrade!$J$17</f>
        <v>1.2328730508046515</v>
      </c>
      <c r="I443" s="421">
        <f>DelivOIL!$H95*DelivOIL!Q$83^5/(Conv!$I$5*Conv!$D$46)/10^6 + OILTrade!$J$17</f>
        <v>1.1200916696843417</v>
      </c>
      <c r="J443" s="421">
        <f>DelivOIL!$H95*DelivOIL!R$83^5/(Conv!$I$5*Conv!$D$46)/10^6 + OILTrade!$J$17</f>
        <v>1.2671871373160728</v>
      </c>
      <c r="K443" s="421">
        <f>DelivOIL!$H95*DelivOIL!S$83^5/(Conv!$I$5*Conv!$D$46)/10^6 + OILTrade!$J$17</f>
        <v>1.4347864677766824</v>
      </c>
      <c r="L443" s="421">
        <f>DelivOIL!$H95*DelivOIL!T$83^5/(Conv!$I$5*Conv!$D$46)/10^6 + OILTrade!$J$17</f>
        <v>1.3499779973388435</v>
      </c>
      <c r="M443" s="421">
        <f>DelivOIL!$H95*DelivOIL!U$83^5/(Conv!$I$5*Conv!$D$46)/10^6 + OILTrade!$J$17</f>
        <v>1.2857733724342162</v>
      </c>
      <c r="N443" s="421">
        <f>DelivOIL!$H95*DelivOIL!V$83^5/(Conv!$I$5*Conv!$D$46)/10^6 + OILTrade!$J$17</f>
        <v>1.2857733724342162</v>
      </c>
      <c r="O443" s="421">
        <f>DelivOIL!$H95*DelivOIL!W$83^5/(Conv!$I$5*Conv!$D$46)/10^6 + OILTrade!$J$17</f>
        <v>1.2857733724342162</v>
      </c>
      <c r="P443" s="421">
        <f>DelivOIL!$H95*DelivOIL!X$83^5/(Conv!$I$5*Conv!$D$46)/10^6 + OILTrade!$J$17</f>
        <v>1.2857733724342162</v>
      </c>
      <c r="Q443" s="421">
        <f>DelivOIL!$H95*DelivOIL!Y$83^5/(Conv!$I$5*Conv!$D$46)/10^6 + OILTrade!$J$17</f>
        <v>1.2857733724342162</v>
      </c>
      <c r="S443" s="395"/>
      <c r="T443" s="395"/>
      <c r="U443" s="395"/>
      <c r="V443" s="395"/>
      <c r="W443" s="395"/>
      <c r="X443" s="395"/>
      <c r="Y443" s="395"/>
      <c r="Z443" s="395"/>
      <c r="AA443" s="395"/>
      <c r="AB443" s="395"/>
      <c r="AC443" s="395"/>
    </row>
    <row r="444" spans="2:29">
      <c r="B444" s="376" t="s">
        <v>588</v>
      </c>
      <c r="C444" s="376" t="str">
        <f>Technologies!C307</f>
        <v>XPCOMRFLR4</v>
      </c>
      <c r="D444" s="376" t="str">
        <f>Technologies!D307</f>
        <v>Delivery of Pipeline Traded COMRFL from R4</v>
      </c>
      <c r="E444" s="415" t="str">
        <f>Commodities!C141</f>
        <v>RFLR4</v>
      </c>
      <c r="F444" s="415" t="str">
        <f>Commodities!C104</f>
        <v>COMRFL</v>
      </c>
      <c r="G444" s="422">
        <v>1</v>
      </c>
      <c r="H444" s="421">
        <f>DelivOIL!$H96*DelivOIL!P$83^5/(Conv!$I$5*Conv!$D$46)/10^6 + OILTrade!$J$17</f>
        <v>0.13517367002275038</v>
      </c>
      <c r="I444" s="421">
        <f>DelivOIL!$H96*DelivOIL!Q$83^5/(Conv!$I$5*Conv!$D$46)/10^6 + OILTrade!$J$17</f>
        <v>0.13517367002275038</v>
      </c>
      <c r="J444" s="421">
        <f>DelivOIL!$H96*DelivOIL!R$83^5/(Conv!$I$5*Conv!$D$46)/10^6 + OILTrade!$J$17</f>
        <v>0.13517367002275038</v>
      </c>
      <c r="K444" s="421">
        <f>DelivOIL!$H96*DelivOIL!S$83^5/(Conv!$I$5*Conv!$D$46)/10^6 + OILTrade!$J$17</f>
        <v>0.13517367002275038</v>
      </c>
      <c r="L444" s="421">
        <f>DelivOIL!$H96*DelivOIL!T$83^5/(Conv!$I$5*Conv!$D$46)/10^6 + OILTrade!$J$17</f>
        <v>0.13517367002275038</v>
      </c>
      <c r="M444" s="421">
        <f>DelivOIL!$H96*DelivOIL!U$83^5/(Conv!$I$5*Conv!$D$46)/10^6 + OILTrade!$J$17</f>
        <v>0.13517367002275038</v>
      </c>
      <c r="N444" s="421">
        <f>DelivOIL!$H96*DelivOIL!V$83^5/(Conv!$I$5*Conv!$D$46)/10^6 + OILTrade!$J$17</f>
        <v>0.13517367002275038</v>
      </c>
      <c r="O444" s="421">
        <f>DelivOIL!$H96*DelivOIL!W$83^5/(Conv!$I$5*Conv!$D$46)/10^6 + OILTrade!$J$17</f>
        <v>0.13517367002275038</v>
      </c>
      <c r="P444" s="421">
        <f>DelivOIL!$H96*DelivOIL!X$83^5/(Conv!$I$5*Conv!$D$46)/10^6 + OILTrade!$J$17</f>
        <v>0.13517367002275038</v>
      </c>
      <c r="Q444" s="421">
        <f>DelivOIL!$H96*DelivOIL!Y$83^5/(Conv!$I$5*Conv!$D$46)/10^6 + OILTrade!$J$17</f>
        <v>0.13517367002275038</v>
      </c>
      <c r="S444" s="395"/>
      <c r="T444" s="395"/>
      <c r="U444" s="395"/>
      <c r="V444" s="395"/>
      <c r="W444" s="395"/>
      <c r="X444" s="395"/>
      <c r="Y444" s="395"/>
      <c r="Z444" s="395"/>
      <c r="AA444" s="395"/>
      <c r="AB444" s="395"/>
      <c r="AC444" s="395"/>
    </row>
    <row r="445" spans="2:29">
      <c r="B445" s="376" t="s">
        <v>588</v>
      </c>
      <c r="C445" s="376" t="str">
        <f>Technologies!C308</f>
        <v>XPINDRFLR4</v>
      </c>
      <c r="D445" s="376" t="str">
        <f>Technologies!D308</f>
        <v>Delivery of Pipeline Traded INDRFL from R4</v>
      </c>
      <c r="E445" s="415" t="str">
        <f>E444</f>
        <v>RFLR4</v>
      </c>
      <c r="F445" s="415" t="str">
        <f>Commodities!C105</f>
        <v>INDRFL</v>
      </c>
      <c r="G445" s="422">
        <v>1</v>
      </c>
      <c r="H445" s="421">
        <f>DelivOIL!$H97*DelivOIL!P$83^5/(Conv!$I$5*Conv!$D$46)/10^6 + OILTrade!$J$17</f>
        <v>0.13517367002275038</v>
      </c>
      <c r="I445" s="421">
        <f>DelivOIL!$H97*DelivOIL!Q$83^5/(Conv!$I$5*Conv!$D$46)/10^6 + OILTrade!$J$17</f>
        <v>0.13517367002275038</v>
      </c>
      <c r="J445" s="421">
        <f>DelivOIL!$H97*DelivOIL!R$83^5/(Conv!$I$5*Conv!$D$46)/10^6 + OILTrade!$J$17</f>
        <v>0.13517367002275038</v>
      </c>
      <c r="K445" s="421">
        <f>DelivOIL!$H97*DelivOIL!S$83^5/(Conv!$I$5*Conv!$D$46)/10^6 + OILTrade!$J$17</f>
        <v>0.13517367002275038</v>
      </c>
      <c r="L445" s="421">
        <f>DelivOIL!$H97*DelivOIL!T$83^5/(Conv!$I$5*Conv!$D$46)/10^6 + OILTrade!$J$17</f>
        <v>0.13517367002275038</v>
      </c>
      <c r="M445" s="421">
        <f>DelivOIL!$H97*DelivOIL!U$83^5/(Conv!$I$5*Conv!$D$46)/10^6 + OILTrade!$J$17</f>
        <v>0.13517367002275038</v>
      </c>
      <c r="N445" s="421">
        <f>DelivOIL!$H97*DelivOIL!V$83^5/(Conv!$I$5*Conv!$D$46)/10^6 + OILTrade!$J$17</f>
        <v>0.13517367002275038</v>
      </c>
      <c r="O445" s="421">
        <f>DelivOIL!$H97*DelivOIL!W$83^5/(Conv!$I$5*Conv!$D$46)/10^6 + OILTrade!$J$17</f>
        <v>0.13517367002275038</v>
      </c>
      <c r="P445" s="421">
        <f>DelivOIL!$H97*DelivOIL!X$83^5/(Conv!$I$5*Conv!$D$46)/10^6 + OILTrade!$J$17</f>
        <v>0.13517367002275038</v>
      </c>
      <c r="Q445" s="421">
        <f>DelivOIL!$H97*DelivOIL!Y$83^5/(Conv!$I$5*Conv!$D$46)/10^6 + OILTrade!$J$17</f>
        <v>0.13517367002275038</v>
      </c>
      <c r="S445" s="395"/>
      <c r="T445" s="395"/>
      <c r="U445" s="395"/>
      <c r="V445" s="395"/>
      <c r="W445" s="395"/>
      <c r="X445" s="395"/>
      <c r="Y445" s="395"/>
      <c r="Z445" s="395"/>
      <c r="AA445" s="395"/>
      <c r="AB445" s="395"/>
      <c r="AC445" s="395"/>
    </row>
    <row r="446" spans="2:29">
      <c r="B446" s="376" t="s">
        <v>588</v>
      </c>
      <c r="C446" s="376" t="str">
        <f>Technologies!C309</f>
        <v>XPELCRFLR4</v>
      </c>
      <c r="D446" s="376" t="str">
        <f>Technologies!D309</f>
        <v>Delivery of Pipeline Traded ELCRFL from R4</v>
      </c>
      <c r="E446" s="415" t="str">
        <f>E445</f>
        <v>RFLR4</v>
      </c>
      <c r="F446" s="415" t="str">
        <f>Commodities!C106</f>
        <v>ELCRFL</v>
      </c>
      <c r="G446" s="422">
        <v>1</v>
      </c>
      <c r="H446" s="421">
        <f>DelivOIL!$H98*DelivOIL!P$83^5/(Conv!$I$5*Conv!$D$46)/10^6 + OILTrade!$J$17</f>
        <v>0.73515842473583903</v>
      </c>
      <c r="I446" s="421">
        <f>DelivOIL!$H98*DelivOIL!Q$83^5/(Conv!$I$5*Conv!$D$46)/10^6 + OILTrade!$J$17</f>
        <v>0.67351394312970714</v>
      </c>
      <c r="J446" s="421">
        <f>DelivOIL!$H98*DelivOIL!R$83^5/(Conv!$I$5*Conv!$D$46)/10^6 + OILTrade!$J$17</f>
        <v>0.75391395028245434</v>
      </c>
      <c r="K446" s="421">
        <f>DelivOIL!$H98*DelivOIL!S$83^5/(Conv!$I$5*Conv!$D$46)/10^6 + OILTrade!$J$17</f>
        <v>0.84552103773918519</v>
      </c>
      <c r="L446" s="421">
        <f>DelivOIL!$H98*DelivOIL!T$83^5/(Conv!$I$5*Conv!$D$46)/10^6 + OILTrade!$J$17</f>
        <v>0.79916609737564592</v>
      </c>
      <c r="M446" s="421">
        <f>DelivOIL!$H98*DelivOIL!U$83^5/(Conv!$I$5*Conv!$D$46)/10^6 + OILTrade!$J$17</f>
        <v>0.7640728862476508</v>
      </c>
      <c r="N446" s="421">
        <f>DelivOIL!$H98*DelivOIL!V$83^5/(Conv!$I$5*Conv!$D$46)/10^6 + OILTrade!$J$17</f>
        <v>0.7640728862476508</v>
      </c>
      <c r="O446" s="421">
        <f>DelivOIL!$H98*DelivOIL!W$83^5/(Conv!$I$5*Conv!$D$46)/10^6 + OILTrade!$J$17</f>
        <v>0.7640728862476508</v>
      </c>
      <c r="P446" s="421">
        <f>DelivOIL!$H98*DelivOIL!X$83^5/(Conv!$I$5*Conv!$D$46)/10^6 + OILTrade!$J$17</f>
        <v>0.7640728862476508</v>
      </c>
      <c r="Q446" s="421">
        <f>DelivOIL!$H98*DelivOIL!Y$83^5/(Conv!$I$5*Conv!$D$46)/10^6 + OILTrade!$J$17</f>
        <v>0.7640728862476508</v>
      </c>
      <c r="S446" s="395"/>
      <c r="T446" s="395"/>
      <c r="U446" s="395"/>
      <c r="V446" s="395"/>
      <c r="W446" s="395"/>
      <c r="X446" s="395"/>
      <c r="Y446" s="395"/>
      <c r="Z446" s="395"/>
      <c r="AA446" s="395"/>
      <c r="AB446" s="395"/>
      <c r="AC446" s="395"/>
    </row>
    <row r="447" spans="2:29">
      <c r="B447" s="376" t="s">
        <v>588</v>
      </c>
      <c r="C447" s="376" t="str">
        <f>Technologies!C310</f>
        <v>XPTRNRFHR4</v>
      </c>
      <c r="D447" s="376" t="str">
        <f>Technologies!D310</f>
        <v>Delivery of Pipeline Traded TRNRFH from R4</v>
      </c>
      <c r="E447" s="415" t="str">
        <f>Commodities!C140</f>
        <v>RFHR4</v>
      </c>
      <c r="F447" s="415" t="str">
        <f>Commodities!C107</f>
        <v>TRNRFH</v>
      </c>
      <c r="G447" s="422">
        <v>1</v>
      </c>
      <c r="H447" s="421">
        <f>DelivOIL!$H99*DelivOIL!P$83^5/(Conv!$I$5*Conv!$D$46)/10^6 + OILTrade!$J$17</f>
        <v>0.56470821032871199</v>
      </c>
      <c r="I447" s="421">
        <f>DelivOIL!$H99*DelivOIL!Q$83^5/(Conv!$I$5*Conv!$D$46)/10^6 + OILTrade!$J$17</f>
        <v>0.52057636554250397</v>
      </c>
      <c r="J447" s="421">
        <f>DelivOIL!$H99*DelivOIL!R$83^5/(Conv!$I$5*Conv!$D$46)/10^6 + OILTrade!$J$17</f>
        <v>0.57813546157231177</v>
      </c>
      <c r="K447" s="421">
        <f>DelivOIL!$H99*DelivOIL!S$83^5/(Conv!$I$5*Conv!$D$46)/10^6 + OILTrade!$J$17</f>
        <v>0.64371780827428948</v>
      </c>
      <c r="L447" s="421">
        <f>DelivOIL!$H99*DelivOIL!T$83^5/(Conv!$I$5*Conv!$D$46)/10^6 + OILTrade!$J$17</f>
        <v>0.61053188505948297</v>
      </c>
      <c r="M447" s="421">
        <f>DelivOIL!$H99*DelivOIL!U$83^5/(Conv!$I$5*Conv!$D$46)/10^6 + OILTrade!$J$17</f>
        <v>0.5854083361837592</v>
      </c>
      <c r="N447" s="421">
        <f>DelivOIL!$H99*DelivOIL!V$83^5/(Conv!$I$5*Conv!$D$46)/10^6 + OILTrade!$J$17</f>
        <v>0.5854083361837592</v>
      </c>
      <c r="O447" s="421">
        <f>DelivOIL!$H99*DelivOIL!W$83^5/(Conv!$I$5*Conv!$D$46)/10^6 + OILTrade!$J$17</f>
        <v>0.5854083361837592</v>
      </c>
      <c r="P447" s="421">
        <f>DelivOIL!$H99*DelivOIL!X$83^5/(Conv!$I$5*Conv!$D$46)/10^6 + OILTrade!$J$17</f>
        <v>0.5854083361837592</v>
      </c>
      <c r="Q447" s="421">
        <f>DelivOIL!$H99*DelivOIL!Y$83^5/(Conv!$I$5*Conv!$D$46)/10^6 + OILTrade!$J$17</f>
        <v>0.5854083361837592</v>
      </c>
      <c r="S447" s="395"/>
      <c r="T447" s="395"/>
      <c r="U447" s="395"/>
      <c r="V447" s="395"/>
      <c r="W447" s="395"/>
      <c r="X447" s="395"/>
      <c r="Y447" s="395"/>
      <c r="Z447" s="395"/>
      <c r="AA447" s="395"/>
      <c r="AB447" s="395"/>
      <c r="AC447" s="395"/>
    </row>
    <row r="448" spans="2:29">
      <c r="B448" s="376" t="s">
        <v>588</v>
      </c>
      <c r="C448" s="376" t="str">
        <f>Technologies!C311</f>
        <v>XPELCRFHR4</v>
      </c>
      <c r="D448" s="376" t="str">
        <f>Technologies!D311</f>
        <v>Delivery of Pipeline Traded ELCRFH from R4</v>
      </c>
      <c r="E448" s="415" t="str">
        <f>E447</f>
        <v>RFHR4</v>
      </c>
      <c r="F448" s="415" t="str">
        <f>Commodities!C108</f>
        <v>ELCRFH</v>
      </c>
      <c r="G448" s="422">
        <v>1</v>
      </c>
      <c r="H448" s="421">
        <f>DelivOIL!$H100*DelivOIL!P$83^5/(Conv!$I$5*Conv!$D$46)/10^6 + OILTrade!$J$17</f>
        <v>0.13517367002275038</v>
      </c>
      <c r="I448" s="421">
        <f>DelivOIL!$H100*DelivOIL!Q$83^5/(Conv!$I$5*Conv!$D$46)/10^6 + OILTrade!$J$17</f>
        <v>0.13517367002275038</v>
      </c>
      <c r="J448" s="421">
        <f>DelivOIL!$H100*DelivOIL!R$83^5/(Conv!$I$5*Conv!$D$46)/10^6 + OILTrade!$J$17</f>
        <v>0.13517367002275038</v>
      </c>
      <c r="K448" s="421">
        <f>DelivOIL!$H100*DelivOIL!S$83^5/(Conv!$I$5*Conv!$D$46)/10^6 + OILTrade!$J$17</f>
        <v>0.13517367002275038</v>
      </c>
      <c r="L448" s="421">
        <f>DelivOIL!$H100*DelivOIL!T$83^5/(Conv!$I$5*Conv!$D$46)/10^6 + OILTrade!$J$17</f>
        <v>0.13517367002275038</v>
      </c>
      <c r="M448" s="421">
        <f>DelivOIL!$H100*DelivOIL!U$83^5/(Conv!$I$5*Conv!$D$46)/10^6 + OILTrade!$J$17</f>
        <v>0.13517367002275038</v>
      </c>
      <c r="N448" s="421">
        <f>DelivOIL!$H100*DelivOIL!V$83^5/(Conv!$I$5*Conv!$D$46)/10^6 + OILTrade!$J$17</f>
        <v>0.13517367002275038</v>
      </c>
      <c r="O448" s="421">
        <f>DelivOIL!$H100*DelivOIL!W$83^5/(Conv!$I$5*Conv!$D$46)/10^6 + OILTrade!$J$17</f>
        <v>0.13517367002275038</v>
      </c>
      <c r="P448" s="421">
        <f>DelivOIL!$H100*DelivOIL!X$83^5/(Conv!$I$5*Conv!$D$46)/10^6 + OILTrade!$J$17</f>
        <v>0.13517367002275038</v>
      </c>
      <c r="Q448" s="421">
        <f>DelivOIL!$H100*DelivOIL!Y$83^5/(Conv!$I$5*Conv!$D$46)/10^6 + OILTrade!$J$17</f>
        <v>0.13517367002275038</v>
      </c>
      <c r="S448" s="395"/>
      <c r="T448" s="395"/>
      <c r="U448" s="395"/>
      <c r="V448" s="395"/>
      <c r="W448" s="395"/>
      <c r="X448" s="395"/>
      <c r="Y448" s="395"/>
      <c r="Z448" s="395"/>
      <c r="AA448" s="395"/>
      <c r="AB448" s="395"/>
      <c r="AC448" s="395"/>
    </row>
    <row r="449" spans="2:29">
      <c r="B449" s="376" t="s">
        <v>588</v>
      </c>
      <c r="C449" s="376" t="str">
        <f>Technologies!C312</f>
        <v>XPINDASPR4</v>
      </c>
      <c r="D449" s="376" t="str">
        <f>Technologies!D312</f>
        <v>Delivery of Pipeline Traded INDASP from R4</v>
      </c>
      <c r="E449" s="415" t="str">
        <f>Commodities!C142</f>
        <v>ASPR4</v>
      </c>
      <c r="F449" s="415" t="str">
        <f>Commodities!C109</f>
        <v>INDASP</v>
      </c>
      <c r="G449" s="422">
        <v>1</v>
      </c>
      <c r="H449" s="421">
        <f>DelivOIL!$H101*DelivOIL!P$83^5/(Conv!$I$5*Conv!$D$46)/10^6 + OILTrade!$J$17</f>
        <v>0.91242664771925175</v>
      </c>
      <c r="I449" s="421">
        <f>DelivOIL!$H101*DelivOIL!Q$83^5/(Conv!$I$5*Conv!$D$46)/10^6 + OILTrade!$J$17</f>
        <v>0.8325690238203991</v>
      </c>
      <c r="J449" s="421">
        <f>DelivOIL!$H101*DelivOIL!R$83^5/(Conv!$I$5*Conv!$D$46)/10^6 + OILTrade!$J$17</f>
        <v>0.93672357854100341</v>
      </c>
      <c r="K449" s="421">
        <f>DelivOIL!$H101*DelivOIL!S$83^5/(Conv!$I$5*Conv!$D$46)/10^6 + OILTrade!$J$17</f>
        <v>1.0553963963826773</v>
      </c>
      <c r="L449" s="421">
        <f>DelivOIL!$H101*DelivOIL!T$83^5/(Conv!$I$5*Conv!$D$46)/10^6 + OILTrade!$J$17</f>
        <v>0.99534567818445618</v>
      </c>
      <c r="M449" s="421">
        <f>DelivOIL!$H101*DelivOIL!U$83^5/(Conv!$I$5*Conv!$D$46)/10^6 + OILTrade!$J$17</f>
        <v>0.94988401831409897</v>
      </c>
      <c r="N449" s="421">
        <f>DelivOIL!$H101*DelivOIL!V$83^5/(Conv!$I$5*Conv!$D$46)/10^6 + OILTrade!$J$17</f>
        <v>0.94988401831409897</v>
      </c>
      <c r="O449" s="421">
        <f>DelivOIL!$H101*DelivOIL!W$83^5/(Conv!$I$5*Conv!$D$46)/10^6 + OILTrade!$J$17</f>
        <v>0.94988401831409897</v>
      </c>
      <c r="P449" s="421">
        <f>DelivOIL!$H101*DelivOIL!X$83^5/(Conv!$I$5*Conv!$D$46)/10^6 + OILTrade!$J$17</f>
        <v>0.94988401831409897</v>
      </c>
      <c r="Q449" s="421">
        <f>DelivOIL!$H101*DelivOIL!Y$83^5/(Conv!$I$5*Conv!$D$46)/10^6 + OILTrade!$J$17</f>
        <v>0.94988401831409897</v>
      </c>
      <c r="S449" s="395"/>
      <c r="T449" s="395"/>
      <c r="U449" s="395"/>
      <c r="V449" s="395"/>
      <c r="W449" s="395"/>
      <c r="X449" s="395"/>
      <c r="Y449" s="395"/>
      <c r="Z449" s="395"/>
      <c r="AA449" s="395"/>
      <c r="AB449" s="395"/>
      <c r="AC449" s="395"/>
    </row>
    <row r="450" spans="2:29">
      <c r="B450" s="376" t="s">
        <v>588</v>
      </c>
      <c r="C450" s="376"/>
      <c r="D450" s="376"/>
      <c r="E450" s="415"/>
      <c r="F450" s="415"/>
      <c r="G450" s="422"/>
      <c r="H450" s="423"/>
      <c r="I450" s="423"/>
      <c r="J450" s="423"/>
      <c r="K450" s="423"/>
      <c r="L450" s="423"/>
      <c r="M450" s="423"/>
      <c r="N450" s="423"/>
      <c r="O450" s="423"/>
      <c r="P450" s="423"/>
      <c r="Q450" s="423"/>
    </row>
    <row r="451" spans="2:29">
      <c r="B451" s="376" t="s">
        <v>588</v>
      </c>
      <c r="C451" s="376" t="str">
        <f>Technologies!C263</f>
        <v>XPTRGSLCR3</v>
      </c>
      <c r="D451" s="376" t="str">
        <f>Technologies!D263</f>
        <v>Delivery of Pipeline Traded TRGSLC from R3</v>
      </c>
      <c r="E451" s="415" t="str">
        <f>Commodities!C117</f>
        <v>GSCR3</v>
      </c>
      <c r="F451" s="415" t="str">
        <f>Commodities!C85</f>
        <v>TRGSLC</v>
      </c>
      <c r="G451" s="422">
        <v>1</v>
      </c>
      <c r="H451" s="421">
        <f>DelivOIL!$I77*DelivOIL!P$84^5/(Conv!$I$5*Conv!$D$46)/10^6 + OILTrade!$K$16</f>
        <v>3.6284986661810827</v>
      </c>
      <c r="I451" s="421">
        <f>DelivOIL!$I77*DelivOIL!Q$84^5/(Conv!$I$5*Conv!$D$46)/10^6 + OILTrade!$K$16</f>
        <v>3.3168842774258831</v>
      </c>
      <c r="J451" s="421">
        <f>DelivOIL!$I77*DelivOIL!R$84^5/(Conv!$I$5*Conv!$D$46)/10^6 + OILTrade!$K$16</f>
        <v>4.0690316412066627</v>
      </c>
      <c r="K451" s="421">
        <f>DelivOIL!$I77*DelivOIL!S$84^5/(Conv!$I$5*Conv!$D$46)/10^6 + OILTrade!$K$16</f>
        <v>3.5885729701907425</v>
      </c>
      <c r="L451" s="421">
        <f>DelivOIL!$I77*DelivOIL!T$84^5/(Conv!$I$5*Conv!$D$46)/10^6 + OILTrade!$K$16</f>
        <v>3.4167367602251071</v>
      </c>
      <c r="M451" s="421">
        <f>DelivOIL!$I77*DelivOIL!U$84^5/(Conv!$I$5*Conv!$D$46)/10^6 + OILTrade!$K$16</f>
        <v>3.5223012383728811</v>
      </c>
      <c r="N451" s="421">
        <f>DelivOIL!$I77*DelivOIL!V$84^5/(Conv!$I$5*Conv!$D$46)/10^6 + OILTrade!$K$16</f>
        <v>3.5223012383728811</v>
      </c>
      <c r="O451" s="421">
        <f>DelivOIL!$I77*DelivOIL!W$84^5/(Conv!$I$5*Conv!$D$46)/10^6 + OILTrade!$K$16</f>
        <v>3.5223012383728811</v>
      </c>
      <c r="P451" s="421">
        <f>DelivOIL!$I77*DelivOIL!X$84^5/(Conv!$I$5*Conv!$D$46)/10^6 + OILTrade!$K$16</f>
        <v>3.5223012383728811</v>
      </c>
      <c r="Q451" s="421">
        <f>DelivOIL!$I77*DelivOIL!Y$84^5/(Conv!$I$5*Conv!$D$46)/10^6 + OILTrade!$K$16</f>
        <v>3.5223012383728811</v>
      </c>
      <c r="S451" s="395"/>
      <c r="T451" s="395"/>
      <c r="U451" s="395"/>
      <c r="V451" s="395"/>
      <c r="W451" s="395"/>
      <c r="X451" s="395"/>
      <c r="Y451" s="395"/>
      <c r="Z451" s="395"/>
      <c r="AA451" s="395"/>
      <c r="AB451" s="395"/>
      <c r="AC451" s="395"/>
    </row>
    <row r="452" spans="2:29">
      <c r="B452" s="376" t="s">
        <v>588</v>
      </c>
      <c r="C452" s="376" t="str">
        <f>Technologies!C264</f>
        <v>XPTRGSLRR3</v>
      </c>
      <c r="D452" s="376" t="str">
        <f>Technologies!D264</f>
        <v>Delivery of Pipeline Traded TRGSLR from R3</v>
      </c>
      <c r="E452" s="415" t="str">
        <f>Commodities!C118</f>
        <v>GSRR3</v>
      </c>
      <c r="F452" s="415" t="str">
        <f>Commodities!C86</f>
        <v>TRGSLR</v>
      </c>
      <c r="G452" s="422">
        <v>1</v>
      </c>
      <c r="H452" s="421">
        <f>DelivOIL!$I78*DelivOIL!P$84^5/(Conv!$I$5*Conv!$D$46)/10^6 + OILTrade!$K$16</f>
        <v>3.5671365889945177</v>
      </c>
      <c r="I452" s="421">
        <f>DelivOIL!$I78*DelivOIL!Q$84^5/(Conv!$I$5*Conv!$D$46)/10^6 + OILTrade!$K$16</f>
        <v>3.2608948621144074</v>
      </c>
      <c r="J452" s="421">
        <f>DelivOIL!$I78*DelivOIL!R$84^5/(Conv!$I$5*Conv!$D$46)/10^6 + OILTrade!$K$16</f>
        <v>4.0000741678989664</v>
      </c>
      <c r="K452" s="421">
        <f>DelivOIL!$I78*DelivOIL!S$84^5/(Conv!$I$5*Conv!$D$46)/10^6 + OILTrade!$K$16</f>
        <v>3.5278992670729767</v>
      </c>
      <c r="L452" s="421">
        <f>DelivOIL!$I78*DelivOIL!T$84^5/(Conv!$I$5*Conv!$D$46)/10^6 + OILTrade!$K$16</f>
        <v>3.3590257503826102</v>
      </c>
      <c r="M452" s="421">
        <f>DelivOIL!$I78*DelivOIL!U$84^5/(Conv!$I$5*Conv!$D$46)/10^6 + OILTrade!$K$16</f>
        <v>3.4627701513209401</v>
      </c>
      <c r="N452" s="421">
        <f>DelivOIL!$I78*DelivOIL!V$84^5/(Conv!$I$5*Conv!$D$46)/10^6 + OILTrade!$K$16</f>
        <v>3.4627701513209401</v>
      </c>
      <c r="O452" s="421">
        <f>DelivOIL!$I78*DelivOIL!W$84^5/(Conv!$I$5*Conv!$D$46)/10^6 + OILTrade!$K$16</f>
        <v>3.4627701513209401</v>
      </c>
      <c r="P452" s="421">
        <f>DelivOIL!$I78*DelivOIL!X$84^5/(Conv!$I$5*Conv!$D$46)/10^6 + OILTrade!$K$16</f>
        <v>3.4627701513209401</v>
      </c>
      <c r="Q452" s="421">
        <f>DelivOIL!$I78*DelivOIL!Y$84^5/(Conv!$I$5*Conv!$D$46)/10^6 + OILTrade!$K$16</f>
        <v>3.4627701513209401</v>
      </c>
      <c r="S452" s="395"/>
      <c r="T452" s="395"/>
      <c r="U452" s="395"/>
      <c r="V452" s="395"/>
      <c r="W452" s="395"/>
      <c r="X452" s="395"/>
      <c r="Y452" s="395"/>
      <c r="Z452" s="395"/>
      <c r="AA452" s="395"/>
      <c r="AB452" s="395"/>
      <c r="AC452" s="395"/>
    </row>
    <row r="453" spans="2:29">
      <c r="B453" s="376" t="s">
        <v>588</v>
      </c>
      <c r="C453" s="376" t="str">
        <f>Technologies!C265</f>
        <v>XPRESDSLR3</v>
      </c>
      <c r="D453" s="376" t="str">
        <f>Technologies!D265</f>
        <v>Delivery of Pipeline Traded RESDSL from R3</v>
      </c>
      <c r="E453" s="415" t="str">
        <f>Commodities!C119</f>
        <v>DSHR3</v>
      </c>
      <c r="F453" s="415" t="str">
        <f>Commodities!C87</f>
        <v>RESDSL</v>
      </c>
      <c r="G453" s="422">
        <v>1</v>
      </c>
      <c r="H453" s="421">
        <f>DelivOIL!$I80*DelivOIL!P$84^5/(Conv!$I$5*Conv!$D$46)/10^6 + OILTrade!$K$16</f>
        <v>2.8785177227897227</v>
      </c>
      <c r="I453" s="421">
        <f>DelivOIL!$I80*DelivOIL!Q$84^5/(Conv!$I$5*Conv!$D$46)/10^6 + OILTrade!$K$16</f>
        <v>2.6325692013967297</v>
      </c>
      <c r="J453" s="421">
        <f>DelivOIL!$I80*DelivOIL!R$84^5/(Conv!$I$5*Conv!$D$46)/10^6 + OILTrade!$K$16</f>
        <v>3.2262180785570385</v>
      </c>
      <c r="K453" s="421">
        <f>DelivOIL!$I80*DelivOIL!S$84^5/(Conv!$I$5*Conv!$D$46)/10^6 + OILTrade!$K$16</f>
        <v>2.8470054876402591</v>
      </c>
      <c r="L453" s="421">
        <f>DelivOIL!$I80*DelivOIL!T$84^5/(Conv!$I$5*Conv!$D$46)/10^6 + OILTrade!$K$16</f>
        <v>2.7113799732612511</v>
      </c>
      <c r="M453" s="421">
        <f>DelivOIL!$I80*DelivOIL!U$84^5/(Conv!$I$5*Conv!$D$46)/10^6 + OILTrade!$K$16</f>
        <v>2.794699063293594</v>
      </c>
      <c r="N453" s="421">
        <f>DelivOIL!$I80*DelivOIL!V$84^5/(Conv!$I$5*Conv!$D$46)/10^6 + OILTrade!$K$16</f>
        <v>2.794699063293594</v>
      </c>
      <c r="O453" s="421">
        <f>DelivOIL!$I80*DelivOIL!W$84^5/(Conv!$I$5*Conv!$D$46)/10^6 + OILTrade!$K$16</f>
        <v>2.794699063293594</v>
      </c>
      <c r="P453" s="421">
        <f>DelivOIL!$I80*DelivOIL!X$84^5/(Conv!$I$5*Conv!$D$46)/10^6 + OILTrade!$K$16</f>
        <v>2.794699063293594</v>
      </c>
      <c r="Q453" s="421">
        <f>DelivOIL!$I80*DelivOIL!Y$84^5/(Conv!$I$5*Conv!$D$46)/10^6 + OILTrade!$K$16</f>
        <v>2.794699063293594</v>
      </c>
      <c r="S453" s="395"/>
      <c r="T453" s="395"/>
      <c r="U453" s="395"/>
      <c r="V453" s="395"/>
      <c r="W453" s="395"/>
      <c r="X453" s="395"/>
      <c r="Y453" s="395"/>
      <c r="Z453" s="395"/>
      <c r="AA453" s="395"/>
      <c r="AB453" s="395"/>
      <c r="AC453" s="395"/>
    </row>
    <row r="454" spans="2:29">
      <c r="B454" s="376" t="s">
        <v>588</v>
      </c>
      <c r="C454" s="376" t="str">
        <f>Technologies!C266</f>
        <v>XPCOMDSLR3</v>
      </c>
      <c r="D454" s="376" t="str">
        <f>Technologies!D266</f>
        <v>Delivery of Pipeline Traded COMDSL from R3</v>
      </c>
      <c r="E454" s="415" t="str">
        <f>E453</f>
        <v>DSHR3</v>
      </c>
      <c r="F454" s="415" t="str">
        <f>Commodities!C88</f>
        <v>COMDSL</v>
      </c>
      <c r="G454" s="422">
        <v>1</v>
      </c>
      <c r="H454" s="421">
        <f>DelivOIL!$I81*DelivOIL!P$84^5/(Conv!$I$5*Conv!$D$46)/10^6 + OILTrade!$K$16</f>
        <v>1.4876439732275626</v>
      </c>
      <c r="I454" s="421">
        <f>DelivOIL!$I81*DelivOIL!Q$84^5/(Conv!$I$5*Conv!$D$46)/10^6 + OILTrade!$K$16</f>
        <v>1.363475787669935</v>
      </c>
      <c r="J454" s="421">
        <f>DelivOIL!$I81*DelivOIL!R$84^5/(Conv!$I$5*Conv!$D$46)/10^6 + OILTrade!$K$16</f>
        <v>1.6631820169159166</v>
      </c>
      <c r="K454" s="421">
        <f>DelivOIL!$I81*DelivOIL!S$84^5/(Conv!$I$5*Conv!$D$46)/10^6 + OILTrade!$K$16</f>
        <v>1.4717348836375421</v>
      </c>
      <c r="L454" s="421">
        <f>DelivOIL!$I81*DelivOIL!T$84^5/(Conv!$I$5*Conv!$D$46)/10^6 + OILTrade!$K$16</f>
        <v>1.4032637501646452</v>
      </c>
      <c r="M454" s="421">
        <f>DelivOIL!$I81*DelivOIL!U$84^5/(Conv!$I$5*Conv!$D$46)/10^6 + OILTrade!$K$16</f>
        <v>1.4453277567829153</v>
      </c>
      <c r="N454" s="421">
        <f>DelivOIL!$I81*DelivOIL!V$84^5/(Conv!$I$5*Conv!$D$46)/10^6 + OILTrade!$K$16</f>
        <v>1.4453277567829153</v>
      </c>
      <c r="O454" s="421">
        <f>DelivOIL!$I81*DelivOIL!W$84^5/(Conv!$I$5*Conv!$D$46)/10^6 + OILTrade!$K$16</f>
        <v>1.4453277567829153</v>
      </c>
      <c r="P454" s="421">
        <f>DelivOIL!$I81*DelivOIL!X$84^5/(Conv!$I$5*Conv!$D$46)/10^6 + OILTrade!$K$16</f>
        <v>1.4453277567829153</v>
      </c>
      <c r="Q454" s="421">
        <f>DelivOIL!$I81*DelivOIL!Y$84^5/(Conv!$I$5*Conv!$D$46)/10^6 + OILTrade!$K$16</f>
        <v>1.4453277567829153</v>
      </c>
      <c r="S454" s="395"/>
      <c r="T454" s="395"/>
      <c r="U454" s="395"/>
      <c r="V454" s="395"/>
      <c r="W454" s="395"/>
      <c r="X454" s="395"/>
      <c r="Y454" s="395"/>
      <c r="Z454" s="395"/>
      <c r="AA454" s="395"/>
      <c r="AB454" s="395"/>
      <c r="AC454" s="395"/>
    </row>
    <row r="455" spans="2:29">
      <c r="B455" s="376" t="s">
        <v>588</v>
      </c>
      <c r="C455" s="376" t="str">
        <f>Technologies!C267</f>
        <v>XPINDDSLR3</v>
      </c>
      <c r="D455" s="376" t="str">
        <f>Technologies!D267</f>
        <v>Delivery of Pipeline Traded INDDSL from R3</v>
      </c>
      <c r="E455" s="415" t="str">
        <f>E454</f>
        <v>DSHR3</v>
      </c>
      <c r="F455" s="415" t="str">
        <f>Commodities!C89</f>
        <v>INDDSL</v>
      </c>
      <c r="G455" s="422">
        <v>1</v>
      </c>
      <c r="H455" s="421">
        <f>DelivOIL!$I82*DelivOIL!P$84^5/(Conv!$I$5*Conv!$D$46)/10^6 + OILTrade!$K$16</f>
        <v>1.7467282991263968</v>
      </c>
      <c r="I455" s="421">
        <f>DelivOIL!$I82*DelivOIL!Q$84^5/(Conv!$I$5*Conv!$D$46)/10^6 + OILTrade!$K$16</f>
        <v>1.5998755412072796</v>
      </c>
      <c r="J455" s="421">
        <f>DelivOIL!$I82*DelivOIL!R$84^5/(Conv!$I$5*Conv!$D$46)/10^6 + OILTrade!$K$16</f>
        <v>1.9543357931039691</v>
      </c>
      <c r="K455" s="421">
        <f>DelivOIL!$I82*DelivOIL!S$84^5/(Conv!$I$5*Conv!$D$46)/10^6 + OILTrade!$K$16</f>
        <v>1.7279127412458917</v>
      </c>
      <c r="L455" s="421">
        <f>DelivOIL!$I82*DelivOIL!T$84^5/(Conv!$I$5*Conv!$D$46)/10^6 + OILTrade!$K$16</f>
        <v>1.646932458388523</v>
      </c>
      <c r="M455" s="421">
        <f>DelivOIL!$I82*DelivOIL!U$84^5/(Conv!$I$5*Conv!$D$46)/10^6 + OILTrade!$K$16</f>
        <v>1.6966812354466694</v>
      </c>
      <c r="N455" s="421">
        <f>DelivOIL!$I82*DelivOIL!V$84^5/(Conv!$I$5*Conv!$D$46)/10^6 + OILTrade!$K$16</f>
        <v>1.6966812354466694</v>
      </c>
      <c r="O455" s="421">
        <f>DelivOIL!$I82*DelivOIL!W$84^5/(Conv!$I$5*Conv!$D$46)/10^6 + OILTrade!$K$16</f>
        <v>1.6966812354466694</v>
      </c>
      <c r="P455" s="421">
        <f>DelivOIL!$I82*DelivOIL!X$84^5/(Conv!$I$5*Conv!$D$46)/10^6 + OILTrade!$K$16</f>
        <v>1.6966812354466694</v>
      </c>
      <c r="Q455" s="421">
        <f>DelivOIL!$I82*DelivOIL!Y$84^5/(Conv!$I$5*Conv!$D$46)/10^6 + OILTrade!$K$16</f>
        <v>1.6966812354466694</v>
      </c>
      <c r="S455" s="395"/>
      <c r="T455" s="395"/>
      <c r="U455" s="395"/>
      <c r="V455" s="395"/>
      <c r="W455" s="395"/>
      <c r="X455" s="395"/>
      <c r="Y455" s="395"/>
      <c r="Z455" s="395"/>
      <c r="AA455" s="395"/>
      <c r="AB455" s="395"/>
      <c r="AC455" s="395"/>
    </row>
    <row r="456" spans="2:29">
      <c r="B456" s="376" t="s">
        <v>588</v>
      </c>
      <c r="C456" s="376" t="str">
        <f>Technologies!C268</f>
        <v>XPELCDSLR3</v>
      </c>
      <c r="D456" s="376" t="str">
        <f>Technologies!D268</f>
        <v>Delivery of Pipeline Traded ELCDSL from R3</v>
      </c>
      <c r="E456" s="415" t="str">
        <f>E455</f>
        <v>DSHR3</v>
      </c>
      <c r="F456" s="415" t="str">
        <f>Commodities!C90</f>
        <v>ELCDSL</v>
      </c>
      <c r="G456" s="422">
        <v>1</v>
      </c>
      <c r="H456" s="421">
        <f>DelivOIL!$I83*DelivOIL!P$84^5/(Conv!$I$5*Conv!$D$46)/10^6 + OILTrade!$K$16</f>
        <v>1.3444657931255763</v>
      </c>
      <c r="I456" s="421">
        <f>DelivOIL!$I83*DelivOIL!Q$84^5/(Conv!$I$5*Conv!$D$46)/10^6 + OILTrade!$K$16</f>
        <v>1.2328338186098244</v>
      </c>
      <c r="J456" s="421">
        <f>DelivOIL!$I83*DelivOIL!R$84^5/(Conv!$I$5*Conv!$D$46)/10^6 + OILTrade!$K$16</f>
        <v>1.5022812458646251</v>
      </c>
      <c r="K456" s="421">
        <f>DelivOIL!$I83*DelivOIL!S$84^5/(Conv!$I$5*Conv!$D$46)/10^6 + OILTrade!$K$16</f>
        <v>1.3301629096960865</v>
      </c>
      <c r="L456" s="421">
        <f>DelivOIL!$I83*DelivOIL!T$84^5/(Conv!$I$5*Conv!$D$46)/10^6 + OILTrade!$K$16</f>
        <v>1.2686047271988188</v>
      </c>
      <c r="M456" s="421">
        <f>DelivOIL!$I83*DelivOIL!U$84^5/(Conv!$I$5*Conv!$D$46)/10^6 + OILTrade!$K$16</f>
        <v>1.3064218869950521</v>
      </c>
      <c r="N456" s="421">
        <f>DelivOIL!$I83*DelivOIL!V$84^5/(Conv!$I$5*Conv!$D$46)/10^6 + OILTrade!$K$16</f>
        <v>1.3064218869950521</v>
      </c>
      <c r="O456" s="421">
        <f>DelivOIL!$I83*DelivOIL!W$84^5/(Conv!$I$5*Conv!$D$46)/10^6 + OILTrade!$K$16</f>
        <v>1.3064218869950521</v>
      </c>
      <c r="P456" s="421">
        <f>DelivOIL!$I83*DelivOIL!X$84^5/(Conv!$I$5*Conv!$D$46)/10^6 + OILTrade!$K$16</f>
        <v>1.3064218869950521</v>
      </c>
      <c r="Q456" s="421">
        <f>DelivOIL!$I83*DelivOIL!Y$84^5/(Conv!$I$5*Conv!$D$46)/10^6 + OILTrade!$K$16</f>
        <v>1.3064218869950521</v>
      </c>
      <c r="S456" s="395"/>
      <c r="T456" s="395"/>
      <c r="U456" s="395"/>
      <c r="V456" s="395"/>
      <c r="W456" s="395"/>
      <c r="X456" s="395"/>
      <c r="Y456" s="395"/>
      <c r="Z456" s="395"/>
      <c r="AA456" s="395"/>
      <c r="AB456" s="395"/>
      <c r="AC456" s="395"/>
    </row>
    <row r="457" spans="2:29">
      <c r="B457" s="376" t="s">
        <v>588</v>
      </c>
      <c r="C457" s="376" t="str">
        <f>Technologies!C269</f>
        <v>XPTRDSLLR3</v>
      </c>
      <c r="D457" s="376" t="str">
        <f>Technologies!D269</f>
        <v>Delivery of Pipeline Traded TRDSLL from R3</v>
      </c>
      <c r="E457" s="415" t="str">
        <f>Commodities!C120</f>
        <v>DSLR3</v>
      </c>
      <c r="F457" s="415" t="str">
        <f>Commodities!C91</f>
        <v>TRDSLL</v>
      </c>
      <c r="G457" s="422">
        <v>1</v>
      </c>
      <c r="H457" s="421">
        <f>DelivOIL!$I84*DelivOIL!P$84^5/(Conv!$I$5*Conv!$D$46)/10^6 + OILTrade!$K$16</f>
        <v>4.2148474037416026</v>
      </c>
      <c r="I457" s="421">
        <f>DelivOIL!$I84*DelivOIL!Q$84^5/(Conv!$I$5*Conv!$D$46)/10^6 + OILTrade!$K$16</f>
        <v>3.8518942459577676</v>
      </c>
      <c r="J457" s="421">
        <f>DelivOIL!$I84*DelivOIL!R$84^5/(Conv!$I$5*Conv!$D$46)/10^6 + OILTrade!$K$16</f>
        <v>4.7279586083690983</v>
      </c>
      <c r="K457" s="421">
        <f>DelivOIL!$I84*DelivOIL!S$84^5/(Conv!$I$5*Conv!$D$46)/10^6 + OILTrade!$K$16</f>
        <v>4.1683439110938503</v>
      </c>
      <c r="L457" s="421">
        <f>DelivOIL!$I84*DelivOIL!T$84^5/(Conv!$I$5*Conv!$D$46)/10^6 + OILTrade!$K$16</f>
        <v>3.9681975209423048</v>
      </c>
      <c r="M457" s="421">
        <f>DelivOIL!$I84*DelivOIL!U$84^5/(Conv!$I$5*Conv!$D$46)/10^6 + OILTrade!$K$16</f>
        <v>4.0911538479803253</v>
      </c>
      <c r="N457" s="421">
        <f>DelivOIL!$I84*DelivOIL!V$84^5/(Conv!$I$5*Conv!$D$46)/10^6 + OILTrade!$K$16</f>
        <v>4.0911538479803253</v>
      </c>
      <c r="O457" s="421">
        <f>DelivOIL!$I84*DelivOIL!W$84^5/(Conv!$I$5*Conv!$D$46)/10^6 + OILTrade!$K$16</f>
        <v>4.0911538479803253</v>
      </c>
      <c r="P457" s="421">
        <f>DelivOIL!$I84*DelivOIL!X$84^5/(Conv!$I$5*Conv!$D$46)/10^6 + OILTrade!$K$16</f>
        <v>4.0911538479803253</v>
      </c>
      <c r="Q457" s="421">
        <f>DelivOIL!$I84*DelivOIL!Y$84^5/(Conv!$I$5*Conv!$D$46)/10^6 + OILTrade!$K$16</f>
        <v>4.0911538479803253</v>
      </c>
      <c r="S457" s="395"/>
      <c r="T457" s="395"/>
      <c r="U457" s="395"/>
      <c r="V457" s="395"/>
      <c r="W457" s="395"/>
      <c r="X457" s="395"/>
      <c r="Y457" s="395"/>
      <c r="Z457" s="395"/>
      <c r="AA457" s="395"/>
      <c r="AB457" s="395"/>
      <c r="AC457" s="395"/>
    </row>
    <row r="458" spans="2:29">
      <c r="B458" s="376" t="s">
        <v>588</v>
      </c>
      <c r="C458" s="376" t="str">
        <f>Technologies!C270</f>
        <v>XPTRDSLUR3</v>
      </c>
      <c r="D458" s="376" t="str">
        <f>Technologies!D270</f>
        <v>Delivery of Pipeline Traded TRDSLU from R3</v>
      </c>
      <c r="E458" s="415" t="str">
        <f>Commodities!C121</f>
        <v>DSUR3</v>
      </c>
      <c r="F458" s="415" t="str">
        <f>Commodities!C92</f>
        <v>TRDSLU</v>
      </c>
      <c r="G458" s="422">
        <v>1</v>
      </c>
      <c r="H458" s="421">
        <f>DelivOIL!$I85*DelivOIL!P$84^5/(Conv!$I$5*Conv!$D$46)/10^6 + OILTrade!$K$16</f>
        <v>3.5739545975708036</v>
      </c>
      <c r="I458" s="421">
        <f>DelivOIL!$I85*DelivOIL!Q$84^5/(Conv!$I$5*Conv!$D$46)/10^6 + OILTrade!$K$16</f>
        <v>3.2671159082601271</v>
      </c>
      <c r="J458" s="421">
        <f>DelivOIL!$I85*DelivOIL!R$84^5/(Conv!$I$5*Conv!$D$46)/10^6 + OILTrade!$K$16</f>
        <v>4.0077361093776007</v>
      </c>
      <c r="K458" s="421">
        <f>DelivOIL!$I85*DelivOIL!S$84^5/(Conv!$I$5*Conv!$D$46)/10^6 + OILTrade!$K$16</f>
        <v>3.5346407896416174</v>
      </c>
      <c r="L458" s="421">
        <f>DelivOIL!$I85*DelivOIL!T$84^5/(Conv!$I$5*Conv!$D$46)/10^6 + OILTrade!$K$16</f>
        <v>3.3654380848095546</v>
      </c>
      <c r="M458" s="421">
        <f>DelivOIL!$I85*DelivOIL!U$84^5/(Conv!$I$5*Conv!$D$46)/10^6 + OILTrade!$K$16</f>
        <v>3.4693847165489342</v>
      </c>
      <c r="N458" s="421">
        <f>DelivOIL!$I85*DelivOIL!V$84^5/(Conv!$I$5*Conv!$D$46)/10^6 + OILTrade!$K$16</f>
        <v>3.4693847165489342</v>
      </c>
      <c r="O458" s="421">
        <f>DelivOIL!$I85*DelivOIL!W$84^5/(Conv!$I$5*Conv!$D$46)/10^6 + OILTrade!$K$16</f>
        <v>3.4693847165489342</v>
      </c>
      <c r="P458" s="421">
        <f>DelivOIL!$I85*DelivOIL!X$84^5/(Conv!$I$5*Conv!$D$46)/10^6 + OILTrade!$K$16</f>
        <v>3.4693847165489342</v>
      </c>
      <c r="Q458" s="421">
        <f>DelivOIL!$I85*DelivOIL!Y$84^5/(Conv!$I$5*Conv!$D$46)/10^6 + OILTrade!$K$16</f>
        <v>3.4693847165489342</v>
      </c>
      <c r="S458" s="395"/>
      <c r="T458" s="395"/>
      <c r="U458" s="395"/>
      <c r="V458" s="395"/>
      <c r="W458" s="395"/>
      <c r="X458" s="395"/>
      <c r="Y458" s="395"/>
      <c r="Z458" s="395"/>
      <c r="AA458" s="395"/>
      <c r="AB458" s="395"/>
      <c r="AC458" s="395"/>
    </row>
    <row r="459" spans="2:29">
      <c r="B459" s="376" t="s">
        <v>588</v>
      </c>
      <c r="C459" s="376" t="str">
        <f>Technologies!C271</f>
        <v>XPTRNJTFR3</v>
      </c>
      <c r="D459" s="376" t="str">
        <f>Technologies!D271</f>
        <v>Delivery of Pipeline Traded TRNJTF from R3</v>
      </c>
      <c r="E459" s="415" t="str">
        <f>Commodities!C122</f>
        <v>JTFR3</v>
      </c>
      <c r="F459" s="415" t="str">
        <f>Commodities!C93</f>
        <v>TRNJTF</v>
      </c>
      <c r="G459" s="422">
        <v>1</v>
      </c>
      <c r="H459" s="421">
        <f>DelivOIL!$I86*DelivOIL!P$84^5/(Conv!$I$5*Conv!$D$46)/10^6 + OILTrade!$K$16</f>
        <v>1.1876515958710181</v>
      </c>
      <c r="I459" s="421">
        <f>DelivOIL!$I86*DelivOIL!Q$84^5/(Conv!$I$5*Conv!$D$46)/10^6 + OILTrade!$K$16</f>
        <v>1.0897497572582733</v>
      </c>
      <c r="J459" s="421">
        <f>DelivOIL!$I86*DelivOIL!R$84^5/(Conv!$I$5*Conv!$D$46)/10^6 + OILTrade!$K$16</f>
        <v>1.3260565918560663</v>
      </c>
      <c r="K459" s="421">
        <f>DelivOIL!$I86*DelivOIL!S$84^5/(Conv!$I$5*Conv!$D$46)/10^6 + OILTrade!$K$16</f>
        <v>1.175107890617348</v>
      </c>
      <c r="L459" s="421">
        <f>DelivOIL!$I86*DelivOIL!T$84^5/(Conv!$I$5*Conv!$D$46)/10^6 + OILTrade!$K$16</f>
        <v>1.1211210353791023</v>
      </c>
      <c r="M459" s="421">
        <f>DelivOIL!$I86*DelivOIL!U$84^5/(Conv!$I$5*Conv!$D$46)/10^6 + OILTrade!$K$16</f>
        <v>1.1542868867511999</v>
      </c>
      <c r="N459" s="421">
        <f>DelivOIL!$I86*DelivOIL!V$84^5/(Conv!$I$5*Conv!$D$46)/10^6 + OILTrade!$K$16</f>
        <v>1.1542868867511999</v>
      </c>
      <c r="O459" s="421">
        <f>DelivOIL!$I86*DelivOIL!W$84^5/(Conv!$I$5*Conv!$D$46)/10^6 + OILTrade!$K$16</f>
        <v>1.1542868867511999</v>
      </c>
      <c r="P459" s="421">
        <f>DelivOIL!$I86*DelivOIL!X$84^5/(Conv!$I$5*Conv!$D$46)/10^6 + OILTrade!$K$16</f>
        <v>1.1542868867511999</v>
      </c>
      <c r="Q459" s="421">
        <f>DelivOIL!$I86*DelivOIL!Y$84^5/(Conv!$I$5*Conv!$D$46)/10^6 + OILTrade!$K$16</f>
        <v>1.1542868867511999</v>
      </c>
      <c r="S459" s="395"/>
      <c r="T459" s="395"/>
      <c r="U459" s="395"/>
      <c r="V459" s="395"/>
      <c r="W459" s="395"/>
      <c r="X459" s="395"/>
      <c r="Y459" s="395"/>
      <c r="Z459" s="395"/>
      <c r="AA459" s="395"/>
      <c r="AB459" s="395"/>
      <c r="AC459" s="395"/>
    </row>
    <row r="460" spans="2:29">
      <c r="B460" s="376" t="s">
        <v>588</v>
      </c>
      <c r="C460" s="376" t="str">
        <f>Technologies!C272</f>
        <v>XPRESKERR3</v>
      </c>
      <c r="D460" s="376" t="str">
        <f>Technologies!D272</f>
        <v>Delivery of Pipeline Traded RESKER from R3</v>
      </c>
      <c r="E460" s="415" t="str">
        <f>Commodities!C123</f>
        <v>KERR3</v>
      </c>
      <c r="F460" s="415" t="str">
        <f>Commodities!C94</f>
        <v>RESKER</v>
      </c>
      <c r="G460" s="422">
        <v>1</v>
      </c>
      <c r="H460" s="421">
        <f>DelivOIL!$I87*DelivOIL!P$84^5/(Conv!$I$5*Conv!$D$46)/10^6 + OILTrade!$K$16</f>
        <v>1.6580941876346913</v>
      </c>
      <c r="I460" s="421">
        <f>DelivOIL!$I87*DelivOIL!Q$84^5/(Conv!$I$5*Conv!$D$46)/10^6 + OILTrade!$K$16</f>
        <v>1.5190019413129254</v>
      </c>
      <c r="J460" s="421">
        <f>DelivOIL!$I87*DelivOIL!R$84^5/(Conv!$I$5*Conv!$D$46)/10^6 + OILTrade!$K$16</f>
        <v>1.8547305538817414</v>
      </c>
      <c r="K460" s="421">
        <f>DelivOIL!$I87*DelivOIL!S$84^5/(Conv!$I$5*Conv!$D$46)/10^6 + OILTrade!$K$16</f>
        <v>1.6402729478535623</v>
      </c>
      <c r="L460" s="421">
        <f>DelivOIL!$I87*DelivOIL!T$84^5/(Conv!$I$5*Conv!$D$46)/10^6 + OILTrade!$K$16</f>
        <v>1.5635721108382497</v>
      </c>
      <c r="M460" s="421">
        <f>DelivOIL!$I87*DelivOIL!U$84^5/(Conv!$I$5*Conv!$D$46)/10^6 + OILTrade!$K$16</f>
        <v>1.6106918874827543</v>
      </c>
      <c r="N460" s="421">
        <f>DelivOIL!$I87*DelivOIL!V$84^5/(Conv!$I$5*Conv!$D$46)/10^6 + OILTrade!$K$16</f>
        <v>1.6106918874827543</v>
      </c>
      <c r="O460" s="421">
        <f>DelivOIL!$I87*DelivOIL!W$84^5/(Conv!$I$5*Conv!$D$46)/10^6 + OILTrade!$K$16</f>
        <v>1.6106918874827543</v>
      </c>
      <c r="P460" s="421">
        <f>DelivOIL!$I87*DelivOIL!X$84^5/(Conv!$I$5*Conv!$D$46)/10^6 + OILTrade!$K$16</f>
        <v>1.6106918874827543</v>
      </c>
      <c r="Q460" s="421">
        <f>DelivOIL!$I87*DelivOIL!Y$84^5/(Conv!$I$5*Conv!$D$46)/10^6 + OILTrade!$K$16</f>
        <v>1.6106918874827543</v>
      </c>
      <c r="S460" s="395"/>
      <c r="T460" s="395"/>
      <c r="U460" s="395"/>
      <c r="V460" s="395"/>
      <c r="W460" s="395"/>
      <c r="X460" s="395"/>
      <c r="Y460" s="395"/>
      <c r="Z460" s="395"/>
      <c r="AA460" s="395"/>
      <c r="AB460" s="395"/>
      <c r="AC460" s="395"/>
    </row>
    <row r="461" spans="2:29">
      <c r="B461" s="376" t="s">
        <v>588</v>
      </c>
      <c r="C461" s="376" t="str">
        <f>Technologies!C273</f>
        <v>XPCOMKERR3</v>
      </c>
      <c r="D461" s="376" t="str">
        <f>Technologies!D273</f>
        <v>Delivery of Pipeline Traded COMKER from R3</v>
      </c>
      <c r="E461" s="415" t="str">
        <f>E460</f>
        <v>KERR3</v>
      </c>
      <c r="F461" s="415" t="str">
        <f>Commodities!C95</f>
        <v>COMKER</v>
      </c>
      <c r="G461" s="422">
        <v>1</v>
      </c>
      <c r="H461" s="421">
        <f>DelivOIL!$I88*DelivOIL!P$84^5/(Conv!$I$5*Conv!$D$46)/10^6 + OILTrade!$K$16</f>
        <v>1.7330922819738266</v>
      </c>
      <c r="I461" s="421">
        <f>DelivOIL!$I88*DelivOIL!Q$84^5/(Conv!$I$5*Conv!$D$46)/10^6 + OILTrade!$K$16</f>
        <v>1.5874334489158402</v>
      </c>
      <c r="J461" s="421">
        <f>DelivOIL!$I88*DelivOIL!R$84^5/(Conv!$I$5*Conv!$D$46)/10^6 + OILTrade!$K$16</f>
        <v>1.9390119101467029</v>
      </c>
      <c r="K461" s="421">
        <f>DelivOIL!$I88*DelivOIL!S$84^5/(Conv!$I$5*Conv!$D$46)/10^6 + OILTrade!$K$16</f>
        <v>1.7144296961086103</v>
      </c>
      <c r="L461" s="421">
        <f>DelivOIL!$I88*DelivOIL!T$84^5/(Conv!$I$5*Conv!$D$46)/10^6 + OILTrade!$K$16</f>
        <v>1.6341077895346348</v>
      </c>
      <c r="M461" s="421">
        <f>DelivOIL!$I88*DelivOIL!U$84^5/(Conv!$I$5*Conv!$D$46)/10^6 + OILTrade!$K$16</f>
        <v>1.6834521049906823</v>
      </c>
      <c r="N461" s="421">
        <f>DelivOIL!$I88*DelivOIL!V$84^5/(Conv!$I$5*Conv!$D$46)/10^6 + OILTrade!$K$16</f>
        <v>1.6834521049906823</v>
      </c>
      <c r="O461" s="421">
        <f>DelivOIL!$I88*DelivOIL!W$84^5/(Conv!$I$5*Conv!$D$46)/10^6 + OILTrade!$K$16</f>
        <v>1.6834521049906823</v>
      </c>
      <c r="P461" s="421">
        <f>DelivOIL!$I88*DelivOIL!X$84^5/(Conv!$I$5*Conv!$D$46)/10^6 + OILTrade!$K$16</f>
        <v>1.6834521049906823</v>
      </c>
      <c r="Q461" s="421">
        <f>DelivOIL!$I88*DelivOIL!Y$84^5/(Conv!$I$5*Conv!$D$46)/10^6 + OILTrade!$K$16</f>
        <v>1.6834521049906823</v>
      </c>
      <c r="S461" s="395"/>
      <c r="T461" s="395"/>
      <c r="U461" s="395"/>
      <c r="V461" s="395"/>
      <c r="W461" s="395"/>
      <c r="X461" s="395"/>
      <c r="Y461" s="395"/>
      <c r="Z461" s="395"/>
      <c r="AA461" s="395"/>
      <c r="AB461" s="395"/>
      <c r="AC461" s="395"/>
    </row>
    <row r="462" spans="2:29">
      <c r="B462" s="376" t="s">
        <v>588</v>
      </c>
      <c r="C462" s="376" t="str">
        <f>Technologies!C274</f>
        <v>XPINDKERR3</v>
      </c>
      <c r="D462" s="376" t="str">
        <f>Technologies!D274</f>
        <v>Delivery of Pipeline Traded INDKER from R3</v>
      </c>
      <c r="E462" s="415" t="str">
        <f>E461</f>
        <v>KERR3</v>
      </c>
      <c r="F462" s="415" t="str">
        <f>Commodities!C96</f>
        <v>INDKER</v>
      </c>
      <c r="G462" s="422">
        <v>1</v>
      </c>
      <c r="H462" s="421">
        <f>DelivOIL!$I89*DelivOIL!P$84^5/(Conv!$I$5*Conv!$D$46)/10^6 + OILTrade!$K$16</f>
        <v>1.3649198188544309</v>
      </c>
      <c r="I462" s="421">
        <f>DelivOIL!$I89*DelivOIL!Q$84^5/(Conv!$I$5*Conv!$D$46)/10^6 + OILTrade!$K$16</f>
        <v>1.2514969570469825</v>
      </c>
      <c r="J462" s="421">
        <f>DelivOIL!$I89*DelivOIL!R$84^5/(Conv!$I$5*Conv!$D$46)/10^6 + OILTrade!$K$16</f>
        <v>1.5252670703005231</v>
      </c>
      <c r="K462" s="421">
        <f>DelivOIL!$I89*DelivOIL!S$84^5/(Conv!$I$5*Conv!$D$46)/10^6 + OILTrade!$K$16</f>
        <v>1.3503874774020082</v>
      </c>
      <c r="L462" s="421">
        <f>DelivOIL!$I89*DelivOIL!T$84^5/(Conv!$I$5*Conv!$D$46)/10^6 + OILTrade!$K$16</f>
        <v>1.2878417304796506</v>
      </c>
      <c r="M462" s="421">
        <f>DelivOIL!$I89*DelivOIL!U$84^5/(Conv!$I$5*Conv!$D$46)/10^6 + OILTrade!$K$16</f>
        <v>1.3262655826790317</v>
      </c>
      <c r="N462" s="421">
        <f>DelivOIL!$I89*DelivOIL!V$84^5/(Conv!$I$5*Conv!$D$46)/10^6 + OILTrade!$K$16</f>
        <v>1.3262655826790317</v>
      </c>
      <c r="O462" s="421">
        <f>DelivOIL!$I89*DelivOIL!W$84^5/(Conv!$I$5*Conv!$D$46)/10^6 + OILTrade!$K$16</f>
        <v>1.3262655826790317</v>
      </c>
      <c r="P462" s="421">
        <f>DelivOIL!$I89*DelivOIL!X$84^5/(Conv!$I$5*Conv!$D$46)/10^6 + OILTrade!$K$16</f>
        <v>1.3262655826790317</v>
      </c>
      <c r="Q462" s="421">
        <f>DelivOIL!$I89*DelivOIL!Y$84^5/(Conv!$I$5*Conv!$D$46)/10^6 + OILTrade!$K$16</f>
        <v>1.3262655826790317</v>
      </c>
      <c r="S462" s="395"/>
      <c r="T462" s="395"/>
      <c r="U462" s="395"/>
      <c r="V462" s="395"/>
      <c r="W462" s="395"/>
      <c r="X462" s="395"/>
      <c r="Y462" s="395"/>
      <c r="Z462" s="395"/>
      <c r="AA462" s="395"/>
      <c r="AB462" s="395"/>
      <c r="AC462" s="395"/>
    </row>
    <row r="463" spans="2:29">
      <c r="B463" s="376" t="s">
        <v>588</v>
      </c>
      <c r="C463" s="376" t="str">
        <f>Technologies!C275</f>
        <v>XPRESLPGR3</v>
      </c>
      <c r="D463" s="376" t="str">
        <f>Technologies!D275</f>
        <v>Delivery of Pipeline Traded RESLPG from R3</v>
      </c>
      <c r="E463" s="415" t="str">
        <f>Commodities!C124</f>
        <v>LPGR3</v>
      </c>
      <c r="F463" s="415" t="str">
        <f>Commodities!C97</f>
        <v>RESLPG</v>
      </c>
      <c r="G463" s="422">
        <v>1</v>
      </c>
      <c r="H463" s="421">
        <f>DelivOIL!$I90*DelivOIL!P$84^5/(Conv!$I$5*Conv!$D$46)/10^6 + OILTrade!$K$16</f>
        <v>3.71713277767279</v>
      </c>
      <c r="I463" s="421">
        <f>DelivOIL!$I90*DelivOIL!Q$84^5/(Conv!$I$5*Conv!$D$46)/10^6 + OILTrade!$K$16</f>
        <v>3.3977578773202382</v>
      </c>
      <c r="J463" s="421">
        <f>DelivOIL!$I90*DelivOIL!R$84^5/(Conv!$I$5*Conv!$D$46)/10^6 + OILTrade!$K$16</f>
        <v>4.1686368804288918</v>
      </c>
      <c r="K463" s="421">
        <f>DelivOIL!$I90*DelivOIL!S$84^5/(Conv!$I$5*Conv!$D$46)/10^6 + OILTrade!$K$16</f>
        <v>3.6762127635830733</v>
      </c>
      <c r="L463" s="421">
        <f>DelivOIL!$I90*DelivOIL!T$84^5/(Conv!$I$5*Conv!$D$46)/10^6 + OILTrade!$K$16</f>
        <v>3.5000971077753813</v>
      </c>
      <c r="M463" s="421">
        <f>DelivOIL!$I90*DelivOIL!U$84^5/(Conv!$I$5*Conv!$D$46)/10^6 + OILTrade!$K$16</f>
        <v>3.6082905863367976</v>
      </c>
      <c r="N463" s="421">
        <f>DelivOIL!$I90*DelivOIL!V$84^5/(Conv!$I$5*Conv!$D$46)/10^6 + OILTrade!$K$16</f>
        <v>3.6082905863367976</v>
      </c>
      <c r="O463" s="421">
        <f>DelivOIL!$I90*DelivOIL!W$84^5/(Conv!$I$5*Conv!$D$46)/10^6 + OILTrade!$K$16</f>
        <v>3.6082905863367976</v>
      </c>
      <c r="P463" s="421">
        <f>DelivOIL!$I90*DelivOIL!X$84^5/(Conv!$I$5*Conv!$D$46)/10^6 + OILTrade!$K$16</f>
        <v>3.6082905863367976</v>
      </c>
      <c r="Q463" s="421">
        <f>DelivOIL!$I90*DelivOIL!Y$84^5/(Conv!$I$5*Conv!$D$46)/10^6 + OILTrade!$K$16</f>
        <v>3.6082905863367976</v>
      </c>
      <c r="S463" s="395"/>
      <c r="T463" s="395"/>
      <c r="U463" s="395"/>
      <c r="V463" s="395"/>
      <c r="W463" s="395"/>
      <c r="X463" s="395"/>
      <c r="Y463" s="395"/>
      <c r="Z463" s="395"/>
      <c r="AA463" s="395"/>
      <c r="AB463" s="395"/>
      <c r="AC463" s="395"/>
    </row>
    <row r="464" spans="2:29">
      <c r="B464" s="376" t="s">
        <v>588</v>
      </c>
      <c r="C464" s="376" t="str">
        <f>Technologies!C276</f>
        <v>XPCOMLPGR3</v>
      </c>
      <c r="D464" s="376" t="str">
        <f>Technologies!D276</f>
        <v>Delivery of Pipeline Traded COMLPG from R3</v>
      </c>
      <c r="E464" s="415" t="str">
        <f>E463</f>
        <v>LPGR3</v>
      </c>
      <c r="F464" s="415" t="str">
        <f>Commodities!C98</f>
        <v>COMLPG</v>
      </c>
      <c r="G464" s="422">
        <v>1</v>
      </c>
      <c r="H464" s="421">
        <f>DelivOIL!$I91*DelivOIL!P$84^5/(Conv!$I$5*Conv!$D$46)/10^6 + OILTrade!$K$16</f>
        <v>3.198964125875122</v>
      </c>
      <c r="I464" s="421">
        <f>DelivOIL!$I91*DelivOIL!Q$84^5/(Conv!$I$5*Conv!$D$46)/10^6 + OILTrade!$K$16</f>
        <v>2.9249583702455495</v>
      </c>
      <c r="J464" s="421">
        <f>DelivOIL!$I91*DelivOIL!R$84^5/(Conv!$I$5*Conv!$D$46)/10^6 + OILTrade!$K$16</f>
        <v>3.5863293280527868</v>
      </c>
      <c r="K464" s="421">
        <f>DelivOIL!$I91*DelivOIL!S$84^5/(Conv!$I$5*Conv!$D$46)/10^6 + OILTrade!$K$16</f>
        <v>3.1638570483663746</v>
      </c>
      <c r="L464" s="421">
        <f>DelivOIL!$I91*DelivOIL!T$84^5/(Conv!$I$5*Conv!$D$46)/10^6 + OILTrade!$K$16</f>
        <v>3.0127596913276258</v>
      </c>
      <c r="M464" s="421">
        <f>DelivOIL!$I91*DelivOIL!U$84^5/(Conv!$I$5*Conv!$D$46)/10^6 + OILTrade!$K$16</f>
        <v>3.1055836290092893</v>
      </c>
      <c r="N464" s="421">
        <f>DelivOIL!$I91*DelivOIL!V$84^5/(Conv!$I$5*Conv!$D$46)/10^6 + OILTrade!$K$16</f>
        <v>3.1055836290092893</v>
      </c>
      <c r="O464" s="421">
        <f>DelivOIL!$I91*DelivOIL!W$84^5/(Conv!$I$5*Conv!$D$46)/10^6 + OILTrade!$K$16</f>
        <v>3.1055836290092893</v>
      </c>
      <c r="P464" s="421">
        <f>DelivOIL!$I91*DelivOIL!X$84^5/(Conv!$I$5*Conv!$D$46)/10^6 + OILTrade!$K$16</f>
        <v>3.1055836290092893</v>
      </c>
      <c r="Q464" s="421">
        <f>DelivOIL!$I91*DelivOIL!Y$84^5/(Conv!$I$5*Conv!$D$46)/10^6 + OILTrade!$K$16</f>
        <v>3.1055836290092893</v>
      </c>
      <c r="S464" s="395"/>
      <c r="T464" s="395"/>
      <c r="U464" s="395"/>
      <c r="V464" s="395"/>
      <c r="W464" s="395"/>
      <c r="X464" s="395"/>
      <c r="Y464" s="395"/>
      <c r="Z464" s="395"/>
      <c r="AA464" s="395"/>
      <c r="AB464" s="395"/>
      <c r="AC464" s="395"/>
    </row>
    <row r="465" spans="2:29">
      <c r="B465" s="376" t="s">
        <v>588</v>
      </c>
      <c r="C465" s="376" t="str">
        <f>Technologies!C277</f>
        <v>XPINDLPGR3</v>
      </c>
      <c r="D465" s="376" t="str">
        <f>Technologies!D277</f>
        <v>Delivery of Pipeline Traded INDLPG from R3</v>
      </c>
      <c r="E465" s="415" t="str">
        <f>E464</f>
        <v>LPGR3</v>
      </c>
      <c r="F465" s="415" t="str">
        <f>Commodities!C99</f>
        <v>INDLPG</v>
      </c>
      <c r="G465" s="422">
        <v>1</v>
      </c>
      <c r="H465" s="421">
        <f>DelivOIL!$I92*DelivOIL!P$84^5/(Conv!$I$5*Conv!$D$46)/10^6 + OILTrade!$K$16</f>
        <v>1.5830960932955542</v>
      </c>
      <c r="I465" s="421">
        <f>DelivOIL!$I92*DelivOIL!Q$84^5/(Conv!$I$5*Conv!$D$46)/10^6 + OILTrade!$K$16</f>
        <v>1.4505704337100094</v>
      </c>
      <c r="J465" s="421">
        <f>DelivOIL!$I92*DelivOIL!R$84^5/(Conv!$I$5*Conv!$D$46)/10^6 + OILTrade!$K$16</f>
        <v>1.7704491976167778</v>
      </c>
      <c r="K465" s="421">
        <f>DelivOIL!$I92*DelivOIL!S$84^5/(Conv!$I$5*Conv!$D$46)/10^6 + OILTrade!$K$16</f>
        <v>1.5661161995985129</v>
      </c>
      <c r="L465" s="421">
        <f>DelivOIL!$I92*DelivOIL!T$84^5/(Conv!$I$5*Conv!$D$46)/10^6 + OILTrade!$K$16</f>
        <v>1.4930364321418634</v>
      </c>
      <c r="M465" s="421">
        <f>DelivOIL!$I92*DelivOIL!U$84^5/(Conv!$I$5*Conv!$D$46)/10^6 + OILTrade!$K$16</f>
        <v>1.5379316699748247</v>
      </c>
      <c r="N465" s="421">
        <f>DelivOIL!$I92*DelivOIL!V$84^5/(Conv!$I$5*Conv!$D$46)/10^6 + OILTrade!$K$16</f>
        <v>1.5379316699748247</v>
      </c>
      <c r="O465" s="421">
        <f>DelivOIL!$I92*DelivOIL!W$84^5/(Conv!$I$5*Conv!$D$46)/10^6 + OILTrade!$K$16</f>
        <v>1.5379316699748247</v>
      </c>
      <c r="P465" s="421">
        <f>DelivOIL!$I92*DelivOIL!X$84^5/(Conv!$I$5*Conv!$D$46)/10^6 + OILTrade!$K$16</f>
        <v>1.5379316699748247</v>
      </c>
      <c r="Q465" s="421">
        <f>DelivOIL!$I92*DelivOIL!Y$84^5/(Conv!$I$5*Conv!$D$46)/10^6 + OILTrade!$K$16</f>
        <v>1.5379316699748247</v>
      </c>
      <c r="S465" s="395"/>
      <c r="T465" s="395"/>
      <c r="U465" s="395"/>
      <c r="V465" s="395"/>
      <c r="W465" s="395"/>
      <c r="X465" s="395"/>
      <c r="Y465" s="395"/>
      <c r="Z465" s="395"/>
      <c r="AA465" s="395"/>
      <c r="AB465" s="395"/>
      <c r="AC465" s="395"/>
    </row>
    <row r="466" spans="2:29">
      <c r="B466" s="376" t="s">
        <v>588</v>
      </c>
      <c r="C466" s="376" t="str">
        <f>Technologies!C278</f>
        <v>XPTRNLPGR3</v>
      </c>
      <c r="D466" s="376" t="str">
        <f>Technologies!D278</f>
        <v>Delivery of Pipeline Traded TRNLPG from R3</v>
      </c>
      <c r="E466" s="415" t="str">
        <f>E465</f>
        <v>LPGR3</v>
      </c>
      <c r="F466" s="415" t="str">
        <f>Commodities!C100</f>
        <v>TRNLPG</v>
      </c>
      <c r="G466" s="422">
        <v>1</v>
      </c>
      <c r="H466" s="421">
        <f>DelivOIL!$I93*DelivOIL!P$84^5/(Conv!$I$5*Conv!$D$46)/10^6 + OILTrade!$K$16</f>
        <v>3.267144211637973</v>
      </c>
      <c r="I466" s="421">
        <f>DelivOIL!$I93*DelivOIL!Q$84^5/(Conv!$I$5*Conv!$D$46)/10^6 + OILTrade!$K$16</f>
        <v>2.9871688317027454</v>
      </c>
      <c r="J466" s="421">
        <f>DelivOIL!$I93*DelivOIL!R$84^5/(Conv!$I$5*Conv!$D$46)/10^6 + OILTrade!$K$16</f>
        <v>3.6629487428391165</v>
      </c>
      <c r="K466" s="421">
        <f>DelivOIL!$I93*DelivOIL!S$84^5/(Conv!$I$5*Conv!$D$46)/10^6 + OILTrade!$K$16</f>
        <v>3.2312722740527824</v>
      </c>
      <c r="L466" s="421">
        <f>DelivOIL!$I93*DelivOIL!T$84^5/(Conv!$I$5*Conv!$D$46)/10^6 + OILTrade!$K$16</f>
        <v>3.0768830355970676</v>
      </c>
      <c r="M466" s="421">
        <f>DelivOIL!$I93*DelivOIL!U$84^5/(Conv!$I$5*Conv!$D$46)/10^6 + OILTrade!$K$16</f>
        <v>3.1717292812892244</v>
      </c>
      <c r="N466" s="421">
        <f>DelivOIL!$I93*DelivOIL!V$84^5/(Conv!$I$5*Conv!$D$46)/10^6 + OILTrade!$K$16</f>
        <v>3.1717292812892244</v>
      </c>
      <c r="O466" s="421">
        <f>DelivOIL!$I93*DelivOIL!W$84^5/(Conv!$I$5*Conv!$D$46)/10^6 + OILTrade!$K$16</f>
        <v>3.1717292812892244</v>
      </c>
      <c r="P466" s="421">
        <f>DelivOIL!$I93*DelivOIL!X$84^5/(Conv!$I$5*Conv!$D$46)/10^6 + OILTrade!$K$16</f>
        <v>3.1717292812892244</v>
      </c>
      <c r="Q466" s="421">
        <f>DelivOIL!$I93*DelivOIL!Y$84^5/(Conv!$I$5*Conv!$D$46)/10^6 + OILTrade!$K$16</f>
        <v>3.1717292812892244</v>
      </c>
      <c r="S466" s="395"/>
      <c r="T466" s="395"/>
      <c r="U466" s="395"/>
      <c r="V466" s="395"/>
      <c r="W466" s="395"/>
      <c r="X466" s="395"/>
      <c r="Y466" s="395"/>
      <c r="Z466" s="395"/>
      <c r="AA466" s="395"/>
      <c r="AB466" s="395"/>
      <c r="AC466" s="395"/>
    </row>
    <row r="467" spans="2:29">
      <c r="B467" s="376" t="s">
        <v>588</v>
      </c>
      <c r="C467" s="376" t="str">
        <f>Technologies!C279</f>
        <v>XPTRNMTHR3</v>
      </c>
      <c r="D467" s="376" t="str">
        <f>Technologies!D279</f>
        <v>Delivery of Pipeline Traded TRNMTH from R3</v>
      </c>
      <c r="E467" s="415" t="str">
        <f>Commodities!C125</f>
        <v>MTHR3</v>
      </c>
      <c r="F467" s="415" t="str">
        <f>Commodities!C101</f>
        <v>TRNMTH</v>
      </c>
      <c r="G467" s="422">
        <v>1</v>
      </c>
      <c r="H467" s="421">
        <f>DelivOIL!$I94*DelivOIL!P$84^5/(Conv!$I$5*Conv!$D$46)/10^6 + OILTrade!$K$16</f>
        <v>2.8580636970608668</v>
      </c>
      <c r="I467" s="421">
        <f>DelivOIL!$I94*DelivOIL!Q$84^5/(Conv!$I$5*Conv!$D$46)/10^6 + OILTrade!$K$16</f>
        <v>2.6139060629595701</v>
      </c>
      <c r="J467" s="421">
        <f>DelivOIL!$I94*DelivOIL!R$84^5/(Conv!$I$5*Conv!$D$46)/10^6 + OILTrade!$K$16</f>
        <v>3.2032322541211387</v>
      </c>
      <c r="K467" s="421">
        <f>DelivOIL!$I94*DelivOIL!S$84^5/(Conv!$I$5*Conv!$D$46)/10^6 + OILTrade!$K$16</f>
        <v>2.8267809199343357</v>
      </c>
      <c r="L467" s="421">
        <f>DelivOIL!$I94*DelivOIL!T$84^5/(Conv!$I$5*Conv!$D$46)/10^6 + OILTrade!$K$16</f>
        <v>2.6921429699804182</v>
      </c>
      <c r="M467" s="421">
        <f>DelivOIL!$I94*DelivOIL!U$84^5/(Conv!$I$5*Conv!$D$46)/10^6 + OILTrade!$K$16</f>
        <v>2.7748553676096126</v>
      </c>
      <c r="N467" s="421">
        <f>DelivOIL!$I94*DelivOIL!V$84^5/(Conv!$I$5*Conv!$D$46)/10^6 + OILTrade!$K$16</f>
        <v>2.7748553676096126</v>
      </c>
      <c r="O467" s="421">
        <f>DelivOIL!$I94*DelivOIL!W$84^5/(Conv!$I$5*Conv!$D$46)/10^6 + OILTrade!$K$16</f>
        <v>2.7748553676096126</v>
      </c>
      <c r="P467" s="421">
        <f>DelivOIL!$I94*DelivOIL!X$84^5/(Conv!$I$5*Conv!$D$46)/10^6 + OILTrade!$K$16</f>
        <v>2.7748553676096126</v>
      </c>
      <c r="Q467" s="421">
        <f>DelivOIL!$I94*DelivOIL!Y$84^5/(Conv!$I$5*Conv!$D$46)/10^6 + OILTrade!$K$16</f>
        <v>2.7748553676096126</v>
      </c>
      <c r="S467" s="395"/>
      <c r="T467" s="395"/>
      <c r="U467" s="395"/>
      <c r="V467" s="395"/>
      <c r="W467" s="395"/>
      <c r="X467" s="395"/>
      <c r="Y467" s="395"/>
      <c r="Z467" s="395"/>
      <c r="AA467" s="395"/>
      <c r="AB467" s="395"/>
      <c r="AC467" s="395"/>
    </row>
    <row r="468" spans="2:29">
      <c r="B468" s="376" t="s">
        <v>588</v>
      </c>
      <c r="C468" s="376" t="str">
        <f>Technologies!C280</f>
        <v>XPINDPFSR3</v>
      </c>
      <c r="D468" s="376" t="str">
        <f>Technologies!D280</f>
        <v>Delivery of Pipeline Traded INDPFS from R3</v>
      </c>
      <c r="E468" s="415" t="str">
        <f>Commodities!C126</f>
        <v>PFSR3</v>
      </c>
      <c r="F468" s="415" t="str">
        <f>Commodities!C102</f>
        <v>INDPFS</v>
      </c>
      <c r="G468" s="422">
        <v>1</v>
      </c>
      <c r="H468" s="421">
        <f>DelivOIL!$I95*DelivOIL!P$84^5/(Conv!$I$5*Conv!$D$46)/10^6 + OILTrade!$K$16</f>
        <v>1.1671975701421633</v>
      </c>
      <c r="I468" s="421">
        <f>DelivOIL!$I95*DelivOIL!Q$84^5/(Conv!$I$5*Conv!$D$46)/10^6 + OILTrade!$K$16</f>
        <v>1.071086618821115</v>
      </c>
      <c r="J468" s="421">
        <f>DelivOIL!$I95*DelivOIL!R$84^5/(Conv!$I$5*Conv!$D$46)/10^6 + OILTrade!$K$16</f>
        <v>1.3030707674201676</v>
      </c>
      <c r="K468" s="421">
        <f>DelivOIL!$I95*DelivOIL!S$84^5/(Conv!$I$5*Conv!$D$46)/10^6 + OILTrade!$K$16</f>
        <v>1.1548833229114259</v>
      </c>
      <c r="L468" s="421">
        <f>DelivOIL!$I95*DelivOIL!T$84^5/(Conv!$I$5*Conv!$D$46)/10^6 + OILTrade!$K$16</f>
        <v>1.1018840320982701</v>
      </c>
      <c r="M468" s="421">
        <f>DelivOIL!$I95*DelivOIL!U$84^5/(Conv!$I$5*Conv!$D$46)/10^6 + OILTrade!$K$16</f>
        <v>1.1344431910672197</v>
      </c>
      <c r="N468" s="421">
        <f>DelivOIL!$I95*DelivOIL!V$84^5/(Conv!$I$5*Conv!$D$46)/10^6 + OILTrade!$K$16</f>
        <v>1.1344431910672197</v>
      </c>
      <c r="O468" s="421">
        <f>DelivOIL!$I95*DelivOIL!W$84^5/(Conv!$I$5*Conv!$D$46)/10^6 + OILTrade!$K$16</f>
        <v>1.1344431910672197</v>
      </c>
      <c r="P468" s="421">
        <f>DelivOIL!$I95*DelivOIL!X$84^5/(Conv!$I$5*Conv!$D$46)/10^6 + OILTrade!$K$16</f>
        <v>1.1344431910672197</v>
      </c>
      <c r="Q468" s="421">
        <f>DelivOIL!$I95*DelivOIL!Y$84^5/(Conv!$I$5*Conv!$D$46)/10^6 + OILTrade!$K$16</f>
        <v>1.1344431910672197</v>
      </c>
      <c r="S468" s="395"/>
      <c r="T468" s="395"/>
      <c r="U468" s="395"/>
      <c r="V468" s="395"/>
      <c r="W468" s="395"/>
      <c r="X468" s="395"/>
      <c r="Y468" s="395"/>
      <c r="Z468" s="395"/>
      <c r="AA468" s="395"/>
      <c r="AB468" s="395"/>
      <c r="AC468" s="395"/>
    </row>
    <row r="469" spans="2:29">
      <c r="B469" s="376" t="s">
        <v>588</v>
      </c>
      <c r="C469" s="376" t="str">
        <f>Technologies!C282</f>
        <v>XPCOMRFLR3</v>
      </c>
      <c r="D469" s="376" t="str">
        <f>Technologies!D282</f>
        <v>Delivery of Pipeline Traded COMRFL from R3</v>
      </c>
      <c r="E469" s="415" t="str">
        <f>Commodities!C128</f>
        <v>RFLR3</v>
      </c>
      <c r="F469" s="415" t="str">
        <f>Commodities!C104</f>
        <v>COMRFL</v>
      </c>
      <c r="G469" s="422">
        <v>1</v>
      </c>
      <c r="H469" s="421">
        <f>DelivOIL!$I96*DelivOIL!P$84^5/(Conv!$I$5*Conv!$D$46)/10^6 + OILTrade!$K$16</f>
        <v>0.10358823224168769</v>
      </c>
      <c r="I469" s="421">
        <f>DelivOIL!$I96*DelivOIL!Q$84^5/(Conv!$I$5*Conv!$D$46)/10^6 + OILTrade!$K$16</f>
        <v>0.1006034200888601</v>
      </c>
      <c r="J469" s="421">
        <f>DelivOIL!$I96*DelivOIL!R$84^5/(Conv!$I$5*Conv!$D$46)/10^6 + OILTrade!$K$16</f>
        <v>0.10780789675342696</v>
      </c>
      <c r="K469" s="421">
        <f>DelivOIL!$I96*DelivOIL!S$84^5/(Conv!$I$5*Conv!$D$46)/10^6 + OILTrade!$K$16</f>
        <v>0.10320580220346603</v>
      </c>
      <c r="L469" s="421">
        <f>DelivOIL!$I96*DelivOIL!T$84^5/(Conv!$I$5*Conv!$D$46)/10^6 + OILTrade!$K$16</f>
        <v>0.10155986149498293</v>
      </c>
      <c r="M469" s="421">
        <f>DelivOIL!$I96*DelivOIL!U$84^5/(Conv!$I$5*Conv!$D$46)/10^6 + OILTrade!$K$16</f>
        <v>0.10257101550022982</v>
      </c>
      <c r="N469" s="421">
        <f>DelivOIL!$I96*DelivOIL!V$84^5/(Conv!$I$5*Conv!$D$46)/10^6 + OILTrade!$K$16</f>
        <v>0.10257101550022982</v>
      </c>
      <c r="O469" s="421">
        <f>DelivOIL!$I96*DelivOIL!W$84^5/(Conv!$I$5*Conv!$D$46)/10^6 + OILTrade!$K$16</f>
        <v>0.10257101550022982</v>
      </c>
      <c r="P469" s="421">
        <f>DelivOIL!$I96*DelivOIL!X$84^5/(Conv!$I$5*Conv!$D$46)/10^6 + OILTrade!$K$16</f>
        <v>0.10257101550022982</v>
      </c>
      <c r="Q469" s="421">
        <f>DelivOIL!$I96*DelivOIL!Y$84^5/(Conv!$I$5*Conv!$D$46)/10^6 + OILTrade!$K$16</f>
        <v>0.10257101550022982</v>
      </c>
      <c r="S469" s="395"/>
      <c r="T469" s="395"/>
      <c r="U469" s="395"/>
      <c r="V469" s="395"/>
      <c r="W469" s="395"/>
      <c r="X469" s="395"/>
      <c r="Y469" s="395"/>
      <c r="Z469" s="395"/>
      <c r="AA469" s="395"/>
      <c r="AB469" s="395"/>
      <c r="AC469" s="395"/>
    </row>
    <row r="470" spans="2:29">
      <c r="B470" s="376" t="s">
        <v>588</v>
      </c>
      <c r="C470" s="376" t="str">
        <f>Technologies!C283</f>
        <v>XPINDRFLR3</v>
      </c>
      <c r="D470" s="376" t="str">
        <f>Technologies!D283</f>
        <v>Delivery of Pipeline Traded INDRFL from R3</v>
      </c>
      <c r="E470" s="415" t="str">
        <f>E469</f>
        <v>RFLR3</v>
      </c>
      <c r="F470" s="415" t="str">
        <f>Commodities!C105</f>
        <v>INDRFL</v>
      </c>
      <c r="G470" s="422">
        <v>1</v>
      </c>
      <c r="H470" s="421">
        <f>DelivOIL!$I97*DelivOIL!P$84^5/(Conv!$I$5*Conv!$D$46)/10^6 + OILTrade!$K$16</f>
        <v>0.37630857529309197</v>
      </c>
      <c r="I470" s="421">
        <f>DelivOIL!$I97*DelivOIL!Q$84^5/(Conv!$I$5*Conv!$D$46)/10^6 + OILTrade!$K$16</f>
        <v>0.34944526591764358</v>
      </c>
      <c r="J470" s="421">
        <f>DelivOIL!$I97*DelivOIL!R$84^5/(Conv!$I$5*Conv!$D$46)/10^6 + OILTrade!$K$16</f>
        <v>0.41428555589874538</v>
      </c>
      <c r="K470" s="421">
        <f>DelivOIL!$I97*DelivOIL!S$84^5/(Conv!$I$5*Conv!$D$46)/10^6 + OILTrade!$K$16</f>
        <v>0.37286670494909707</v>
      </c>
      <c r="L470" s="421">
        <f>DelivOIL!$I97*DelivOIL!T$84^5/(Conv!$I$5*Conv!$D$46)/10^6 + OILTrade!$K$16</f>
        <v>0.35805323857274912</v>
      </c>
      <c r="M470" s="421">
        <f>DelivOIL!$I97*DelivOIL!U$84^5/(Conv!$I$5*Conv!$D$46)/10^6 + OILTrade!$K$16</f>
        <v>0.36715362461997103</v>
      </c>
      <c r="N470" s="421">
        <f>DelivOIL!$I97*DelivOIL!V$84^5/(Conv!$I$5*Conv!$D$46)/10^6 + OILTrade!$K$16</f>
        <v>0.36715362461997103</v>
      </c>
      <c r="O470" s="421">
        <f>DelivOIL!$I97*DelivOIL!W$84^5/(Conv!$I$5*Conv!$D$46)/10^6 + OILTrade!$K$16</f>
        <v>0.36715362461997103</v>
      </c>
      <c r="P470" s="421">
        <f>DelivOIL!$I97*DelivOIL!X$84^5/(Conv!$I$5*Conv!$D$46)/10^6 + OILTrade!$K$16</f>
        <v>0.36715362461997103</v>
      </c>
      <c r="Q470" s="421">
        <f>DelivOIL!$I97*DelivOIL!Y$84^5/(Conv!$I$5*Conv!$D$46)/10^6 + OILTrade!$K$16</f>
        <v>0.36715362461997103</v>
      </c>
      <c r="S470" s="395"/>
      <c r="T470" s="395"/>
      <c r="U470" s="395"/>
      <c r="V470" s="395"/>
      <c r="W470" s="395"/>
      <c r="X470" s="395"/>
      <c r="Y470" s="395"/>
      <c r="Z470" s="395"/>
      <c r="AA470" s="395"/>
      <c r="AB470" s="395"/>
      <c r="AC470" s="395"/>
    </row>
    <row r="471" spans="2:29">
      <c r="B471" s="376" t="s">
        <v>588</v>
      </c>
      <c r="C471" s="376" t="str">
        <f>Technologies!C284</f>
        <v>XPELCRFLR3</v>
      </c>
      <c r="D471" s="376" t="str">
        <f>Technologies!D284</f>
        <v>Delivery of Pipeline Traded ELCRFL from R3</v>
      </c>
      <c r="E471" s="415" t="str">
        <f>E470</f>
        <v>RFLR3</v>
      </c>
      <c r="F471" s="415" t="str">
        <f>Commodities!C106</f>
        <v>ELCRFL</v>
      </c>
      <c r="G471" s="422">
        <v>1</v>
      </c>
      <c r="H471" s="421">
        <f>DelivOIL!$I98*DelivOIL!P$84^5/(Conv!$I$5*Conv!$D$46)/10^6 + OILTrade!$K$16</f>
        <v>0.90811324424332951</v>
      </c>
      <c r="I471" s="421">
        <f>DelivOIL!$I98*DelivOIL!Q$84^5/(Conv!$I$5*Conv!$D$46)/10^6 + OILTrade!$K$16</f>
        <v>0.8346868652837709</v>
      </c>
      <c r="J471" s="421">
        <f>DelivOIL!$I98*DelivOIL!R$84^5/(Conv!$I$5*Conv!$D$46)/10^6 + OILTrade!$K$16</f>
        <v>1.0119169912321155</v>
      </c>
      <c r="K471" s="421">
        <f>DelivOIL!$I98*DelivOIL!S$84^5/(Conv!$I$5*Conv!$D$46)/10^6 + OILTrade!$K$16</f>
        <v>0.89870546530307693</v>
      </c>
      <c r="L471" s="421">
        <f>DelivOIL!$I98*DelivOIL!T$84^5/(Conv!$I$5*Conv!$D$46)/10^6 + OILTrade!$K$16</f>
        <v>0.85821532387439259</v>
      </c>
      <c r="M471" s="421">
        <f>DelivOIL!$I98*DelivOIL!U$84^5/(Conv!$I$5*Conv!$D$46)/10^6 + OILTrade!$K$16</f>
        <v>0.88308971240346579</v>
      </c>
      <c r="N471" s="421">
        <f>DelivOIL!$I98*DelivOIL!V$84^5/(Conv!$I$5*Conv!$D$46)/10^6 + OILTrade!$K$16</f>
        <v>0.88308971240346579</v>
      </c>
      <c r="O471" s="421">
        <f>DelivOIL!$I98*DelivOIL!W$84^5/(Conv!$I$5*Conv!$D$46)/10^6 + OILTrade!$K$16</f>
        <v>0.88308971240346579</v>
      </c>
      <c r="P471" s="421">
        <f>DelivOIL!$I98*DelivOIL!X$84^5/(Conv!$I$5*Conv!$D$46)/10^6 + OILTrade!$K$16</f>
        <v>0.88308971240346579</v>
      </c>
      <c r="Q471" s="421">
        <f>DelivOIL!$I98*DelivOIL!Y$84^5/(Conv!$I$5*Conv!$D$46)/10^6 + OILTrade!$K$16</f>
        <v>0.88308971240346579</v>
      </c>
      <c r="S471" s="395"/>
      <c r="T471" s="395"/>
      <c r="U471" s="395"/>
      <c r="V471" s="395"/>
      <c r="W471" s="395"/>
      <c r="X471" s="395"/>
      <c r="Y471" s="395"/>
      <c r="Z471" s="395"/>
      <c r="AA471" s="395"/>
      <c r="AB471" s="395"/>
      <c r="AC471" s="395"/>
    </row>
    <row r="472" spans="2:29">
      <c r="B472" s="376" t="s">
        <v>588</v>
      </c>
      <c r="C472" s="376" t="str">
        <f>Technologies!C285</f>
        <v>XPTRNRFHR3</v>
      </c>
      <c r="D472" s="376" t="str">
        <f>Technologies!D285</f>
        <v>Delivery of Pipeline Traded TRNRFH from R3</v>
      </c>
      <c r="E472" s="415" t="str">
        <f>Commodities!C127</f>
        <v>RFHR3</v>
      </c>
      <c r="F472" s="415" t="str">
        <f>Commodities!C107</f>
        <v>TRNRFH</v>
      </c>
      <c r="G472" s="422">
        <v>1</v>
      </c>
      <c r="H472" s="421">
        <f>DelivOIL!$I99*DelivOIL!P$84^5/(Conv!$I$5*Conv!$D$46)/10^6 + OILTrade!$K$16</f>
        <v>1.2149236301761595</v>
      </c>
      <c r="I472" s="421">
        <f>DelivOIL!$I99*DelivOIL!Q$84^5/(Conv!$I$5*Conv!$D$46)/10^6 + OILTrade!$K$16</f>
        <v>1.1146339418411524</v>
      </c>
      <c r="J472" s="421">
        <f>DelivOIL!$I99*DelivOIL!R$84^5/(Conv!$I$5*Conv!$D$46)/10^6 + OILTrade!$K$16</f>
        <v>1.3567043577705988</v>
      </c>
      <c r="K472" s="421">
        <f>DelivOIL!$I99*DelivOIL!S$84^5/(Conv!$I$5*Conv!$D$46)/10^6 + OILTrade!$K$16</f>
        <v>1.2020739808919119</v>
      </c>
      <c r="L472" s="421">
        <f>DelivOIL!$I99*DelivOIL!T$84^5/(Conv!$I$5*Conv!$D$46)/10^6 + OILTrade!$K$16</f>
        <v>1.1467703730868795</v>
      </c>
      <c r="M472" s="421">
        <f>DelivOIL!$I99*DelivOIL!U$84^5/(Conv!$I$5*Conv!$D$46)/10^6 + OILTrade!$K$16</f>
        <v>1.1807451476631747</v>
      </c>
      <c r="N472" s="421">
        <f>DelivOIL!$I99*DelivOIL!V$84^5/(Conv!$I$5*Conv!$D$46)/10^6 + OILTrade!$K$16</f>
        <v>1.1807451476631747</v>
      </c>
      <c r="O472" s="421">
        <f>DelivOIL!$I99*DelivOIL!W$84^5/(Conv!$I$5*Conv!$D$46)/10^6 + OILTrade!$K$16</f>
        <v>1.1807451476631747</v>
      </c>
      <c r="P472" s="421">
        <f>DelivOIL!$I99*DelivOIL!X$84^5/(Conv!$I$5*Conv!$D$46)/10^6 + OILTrade!$K$16</f>
        <v>1.1807451476631747</v>
      </c>
      <c r="Q472" s="421">
        <f>DelivOIL!$I99*DelivOIL!Y$84^5/(Conv!$I$5*Conv!$D$46)/10^6 + OILTrade!$K$16</f>
        <v>1.1807451476631747</v>
      </c>
      <c r="S472" s="395"/>
      <c r="T472" s="395"/>
      <c r="U472" s="395"/>
      <c r="V472" s="395"/>
      <c r="W472" s="395"/>
      <c r="X472" s="395"/>
      <c r="Y472" s="395"/>
      <c r="Z472" s="395"/>
      <c r="AA472" s="395"/>
      <c r="AB472" s="395"/>
      <c r="AC472" s="395"/>
    </row>
    <row r="473" spans="2:29">
      <c r="B473" s="376" t="s">
        <v>588</v>
      </c>
      <c r="C473" s="376" t="str">
        <f>Technologies!C286</f>
        <v>XPELCRFHR3</v>
      </c>
      <c r="D473" s="376" t="str">
        <f>Technologies!D286</f>
        <v>Delivery of Pipeline Traded ELCRFH from R3</v>
      </c>
      <c r="E473" s="415" t="str">
        <f>E472</f>
        <v>RFHR3</v>
      </c>
      <c r="F473" s="415" t="str">
        <f>Commodities!C108</f>
        <v>ELCRFH</v>
      </c>
      <c r="G473" s="422">
        <v>1</v>
      </c>
      <c r="H473" s="421">
        <f>DelivOIL!$I100*DelivOIL!P$84^5/(Conv!$I$5*Conv!$D$46)/10^6 + OILTrade!$K$16</f>
        <v>6.9498189360262155E-2</v>
      </c>
      <c r="I473" s="421">
        <f>DelivOIL!$I100*DelivOIL!Q$84^5/(Conv!$I$5*Conv!$D$46)/10^6 + OILTrade!$K$16</f>
        <v>6.9498189360262155E-2</v>
      </c>
      <c r="J473" s="421">
        <f>DelivOIL!$I100*DelivOIL!R$84^5/(Conv!$I$5*Conv!$D$46)/10^6 + OILTrade!$K$16</f>
        <v>6.9498189360262155E-2</v>
      </c>
      <c r="K473" s="421">
        <f>DelivOIL!$I100*DelivOIL!S$84^5/(Conv!$I$5*Conv!$D$46)/10^6 + OILTrade!$K$16</f>
        <v>6.9498189360262155E-2</v>
      </c>
      <c r="L473" s="421">
        <f>DelivOIL!$I100*DelivOIL!T$84^5/(Conv!$I$5*Conv!$D$46)/10^6 + OILTrade!$K$16</f>
        <v>6.9498189360262155E-2</v>
      </c>
      <c r="M473" s="421">
        <f>DelivOIL!$I100*DelivOIL!U$84^5/(Conv!$I$5*Conv!$D$46)/10^6 + OILTrade!$K$16</f>
        <v>6.9498189360262155E-2</v>
      </c>
      <c r="N473" s="421">
        <f>DelivOIL!$I100*DelivOIL!V$84^5/(Conv!$I$5*Conv!$D$46)/10^6 + OILTrade!$K$16</f>
        <v>6.9498189360262155E-2</v>
      </c>
      <c r="O473" s="421">
        <f>DelivOIL!$I100*DelivOIL!W$84^5/(Conv!$I$5*Conv!$D$46)/10^6 + OILTrade!$K$16</f>
        <v>6.9498189360262155E-2</v>
      </c>
      <c r="P473" s="421">
        <f>DelivOIL!$I100*DelivOIL!X$84^5/(Conv!$I$5*Conv!$D$46)/10^6 + OILTrade!$K$16</f>
        <v>6.9498189360262155E-2</v>
      </c>
      <c r="Q473" s="421">
        <f>DelivOIL!$I100*DelivOIL!Y$84^5/(Conv!$I$5*Conv!$D$46)/10^6 + OILTrade!$K$16</f>
        <v>6.9498189360262155E-2</v>
      </c>
      <c r="S473" s="395"/>
      <c r="T473" s="395"/>
      <c r="U473" s="395"/>
      <c r="V473" s="395"/>
      <c r="W473" s="395"/>
      <c r="X473" s="395"/>
      <c r="Y473" s="395"/>
      <c r="Z473" s="395"/>
      <c r="AA473" s="395"/>
      <c r="AB473" s="395"/>
      <c r="AC473" s="395"/>
    </row>
    <row r="474" spans="2:29">
      <c r="B474" s="376" t="s">
        <v>588</v>
      </c>
      <c r="C474" s="376" t="str">
        <f>Technologies!C287</f>
        <v>XPINDASPR3</v>
      </c>
      <c r="D474" s="376" t="str">
        <f>Technologies!D287</f>
        <v>Delivery of Pipeline Traded INDASP from R3</v>
      </c>
      <c r="E474" s="415" t="str">
        <f>Commodities!C129</f>
        <v>ASPR3</v>
      </c>
      <c r="F474" s="415" t="str">
        <f>Commodities!C109</f>
        <v>INDASP</v>
      </c>
      <c r="G474" s="422">
        <v>1</v>
      </c>
      <c r="H474" s="421">
        <f>DelivOIL!$I101*DelivOIL!P$84^5/(Conv!$I$5*Conv!$D$46)/10^6 + OILTrade!$K$16</f>
        <v>0.84675116705676357</v>
      </c>
      <c r="I474" s="421">
        <f>DelivOIL!$I101*DelivOIL!Q$84^5/(Conv!$I$5*Conv!$D$46)/10^6 + OILTrade!$K$16</f>
        <v>0.77869744997229462</v>
      </c>
      <c r="J474" s="421">
        <f>DelivOIL!$I101*DelivOIL!R$84^5/(Conv!$I$5*Conv!$D$46)/10^6 + OILTrade!$K$16</f>
        <v>0.94295951792441901</v>
      </c>
      <c r="K474" s="421">
        <f>DelivOIL!$I101*DelivOIL!S$84^5/(Conv!$I$5*Conv!$D$46)/10^6 + OILTrade!$K$16</f>
        <v>0.83803176218530984</v>
      </c>
      <c r="L474" s="421">
        <f>DelivOIL!$I101*DelivOIL!T$84^5/(Conv!$I$5*Conv!$D$46)/10^6 + OILTrade!$K$16</f>
        <v>0.80050431403189515</v>
      </c>
      <c r="M474" s="421">
        <f>DelivOIL!$I101*DelivOIL!U$84^5/(Conv!$I$5*Conv!$D$46)/10^6 + OILTrade!$K$16</f>
        <v>0.82355862535152402</v>
      </c>
      <c r="N474" s="421">
        <f>DelivOIL!$I101*DelivOIL!V$84^5/(Conv!$I$5*Conv!$D$46)/10^6 + OILTrade!$K$16</f>
        <v>0.82355862535152402</v>
      </c>
      <c r="O474" s="421">
        <f>DelivOIL!$I101*DelivOIL!W$84^5/(Conv!$I$5*Conv!$D$46)/10^6 + OILTrade!$K$16</f>
        <v>0.82355862535152402</v>
      </c>
      <c r="P474" s="421">
        <f>DelivOIL!$I101*DelivOIL!X$84^5/(Conv!$I$5*Conv!$D$46)/10^6 + OILTrade!$K$16</f>
        <v>0.82355862535152402</v>
      </c>
      <c r="Q474" s="421">
        <f>DelivOIL!$I101*DelivOIL!Y$84^5/(Conv!$I$5*Conv!$D$46)/10^6 + OILTrade!$K$16</f>
        <v>0.82355862535152402</v>
      </c>
      <c r="S474" s="395"/>
      <c r="T474" s="395"/>
      <c r="U474" s="395"/>
      <c r="V474" s="395"/>
      <c r="W474" s="395"/>
      <c r="X474" s="395"/>
      <c r="Y474" s="395"/>
      <c r="Z474" s="395"/>
      <c r="AA474" s="395"/>
      <c r="AB474" s="395"/>
      <c r="AC474" s="395"/>
    </row>
    <row r="475" spans="2:29">
      <c r="B475" s="376" t="s">
        <v>588</v>
      </c>
      <c r="C475" s="376"/>
      <c r="D475" s="376"/>
      <c r="E475" s="415"/>
      <c r="F475" s="415"/>
      <c r="G475" s="422"/>
      <c r="H475" s="423"/>
      <c r="I475" s="423"/>
      <c r="J475" s="423"/>
      <c r="K475" s="423"/>
      <c r="L475" s="423"/>
      <c r="M475" s="423"/>
      <c r="N475" s="423"/>
      <c r="O475" s="423"/>
      <c r="P475" s="423"/>
      <c r="Q475" s="423"/>
    </row>
    <row r="476" spans="2:29">
      <c r="B476" s="376" t="s">
        <v>588</v>
      </c>
      <c r="C476" s="376" t="str">
        <f>Technologies!C288</f>
        <v>XPTRGSLCR4</v>
      </c>
      <c r="D476" s="376" t="str">
        <f>Technologies!D288</f>
        <v>Delivery of Pipeline Traded TRGSLC from R4</v>
      </c>
      <c r="E476" s="415" t="str">
        <f>Commodities!C130</f>
        <v>GSCR4</v>
      </c>
      <c r="F476" s="415" t="str">
        <f>Commodities!C85</f>
        <v>TRGSLC</v>
      </c>
      <c r="G476" s="422">
        <v>1</v>
      </c>
      <c r="H476" s="421">
        <f>DelivOIL!$I77*DelivOIL!P$84^5/(Conv!$I$5*Conv!$D$46)/10^6 + OILTrade!$K$17</f>
        <v>3.6284986661810827</v>
      </c>
      <c r="I476" s="421">
        <f>DelivOIL!$I77*DelivOIL!Q$84^5/(Conv!$I$5*Conv!$D$46)/10^6 + OILTrade!$K$17</f>
        <v>3.3168842774258831</v>
      </c>
      <c r="J476" s="421">
        <f>DelivOIL!$I77*DelivOIL!R$84^5/(Conv!$I$5*Conv!$D$46)/10^6 + OILTrade!$K$17</f>
        <v>4.0690316412066627</v>
      </c>
      <c r="K476" s="421">
        <f>DelivOIL!$I77*DelivOIL!S$84^5/(Conv!$I$5*Conv!$D$46)/10^6 + OILTrade!$K$17</f>
        <v>3.5885729701907425</v>
      </c>
      <c r="L476" s="421">
        <f>DelivOIL!$I77*DelivOIL!T$84^5/(Conv!$I$5*Conv!$D$46)/10^6 + OILTrade!$K$17</f>
        <v>3.4167367602251071</v>
      </c>
      <c r="M476" s="421">
        <f>DelivOIL!$I77*DelivOIL!U$84^5/(Conv!$I$5*Conv!$D$46)/10^6 + OILTrade!$K$17</f>
        <v>3.5223012383728811</v>
      </c>
      <c r="N476" s="421">
        <f>DelivOIL!$I77*DelivOIL!V$84^5/(Conv!$I$5*Conv!$D$46)/10^6 + OILTrade!$K$17</f>
        <v>3.5223012383728811</v>
      </c>
      <c r="O476" s="421">
        <f>DelivOIL!$I77*DelivOIL!W$84^5/(Conv!$I$5*Conv!$D$46)/10^6 + OILTrade!$K$17</f>
        <v>3.5223012383728811</v>
      </c>
      <c r="P476" s="421">
        <f>DelivOIL!$I77*DelivOIL!X$84^5/(Conv!$I$5*Conv!$D$46)/10^6 + OILTrade!$K$17</f>
        <v>3.5223012383728811</v>
      </c>
      <c r="Q476" s="421">
        <f>DelivOIL!$I77*DelivOIL!Y$84^5/(Conv!$I$5*Conv!$D$46)/10^6 + OILTrade!$K$17</f>
        <v>3.5223012383728811</v>
      </c>
      <c r="S476" s="395"/>
      <c r="T476" s="395"/>
      <c r="U476" s="395"/>
      <c r="V476" s="395"/>
      <c r="W476" s="395"/>
      <c r="X476" s="395"/>
      <c r="Y476" s="395"/>
      <c r="Z476" s="395"/>
      <c r="AA476" s="395"/>
      <c r="AB476" s="395"/>
      <c r="AC476" s="395"/>
    </row>
    <row r="477" spans="2:29">
      <c r="B477" s="376" t="s">
        <v>588</v>
      </c>
      <c r="C477" s="376" t="str">
        <f>Technologies!C289</f>
        <v>XPTRGSLRR4</v>
      </c>
      <c r="D477" s="376" t="str">
        <f>Technologies!D289</f>
        <v>Delivery of Pipeline Traded TRGSLR from R4</v>
      </c>
      <c r="E477" s="415" t="str">
        <f>Commodities!C131</f>
        <v>GSRR4</v>
      </c>
      <c r="F477" s="415" t="str">
        <f>Commodities!C86</f>
        <v>TRGSLR</v>
      </c>
      <c r="G477" s="422">
        <v>1</v>
      </c>
      <c r="H477" s="421">
        <f>DelivOIL!$I78*DelivOIL!P$84^5/(Conv!$I$5*Conv!$D$46)/10^6 + OILTrade!$K$17</f>
        <v>3.5671365889945177</v>
      </c>
      <c r="I477" s="421">
        <f>DelivOIL!$I78*DelivOIL!Q$84^5/(Conv!$I$5*Conv!$D$46)/10^6 + OILTrade!$K$17</f>
        <v>3.2608948621144074</v>
      </c>
      <c r="J477" s="421">
        <f>DelivOIL!$I78*DelivOIL!R$84^5/(Conv!$I$5*Conv!$D$46)/10^6 + OILTrade!$K$17</f>
        <v>4.0000741678989664</v>
      </c>
      <c r="K477" s="421">
        <f>DelivOIL!$I78*DelivOIL!S$84^5/(Conv!$I$5*Conv!$D$46)/10^6 + OILTrade!$K$17</f>
        <v>3.5278992670729767</v>
      </c>
      <c r="L477" s="421">
        <f>DelivOIL!$I78*DelivOIL!T$84^5/(Conv!$I$5*Conv!$D$46)/10^6 + OILTrade!$K$17</f>
        <v>3.3590257503826102</v>
      </c>
      <c r="M477" s="421">
        <f>DelivOIL!$I78*DelivOIL!U$84^5/(Conv!$I$5*Conv!$D$46)/10^6 + OILTrade!$K$17</f>
        <v>3.4627701513209401</v>
      </c>
      <c r="N477" s="421">
        <f>DelivOIL!$I78*DelivOIL!V$84^5/(Conv!$I$5*Conv!$D$46)/10^6 + OILTrade!$K$17</f>
        <v>3.4627701513209401</v>
      </c>
      <c r="O477" s="421">
        <f>DelivOIL!$I78*DelivOIL!W$84^5/(Conv!$I$5*Conv!$D$46)/10^6 + OILTrade!$K$17</f>
        <v>3.4627701513209401</v>
      </c>
      <c r="P477" s="421">
        <f>DelivOIL!$I78*DelivOIL!X$84^5/(Conv!$I$5*Conv!$D$46)/10^6 + OILTrade!$K$17</f>
        <v>3.4627701513209401</v>
      </c>
      <c r="Q477" s="421">
        <f>DelivOIL!$I78*DelivOIL!Y$84^5/(Conv!$I$5*Conv!$D$46)/10^6 + OILTrade!$K$17</f>
        <v>3.4627701513209401</v>
      </c>
      <c r="S477" s="395"/>
      <c r="T477" s="395"/>
      <c r="U477" s="395"/>
      <c r="V477" s="395"/>
      <c r="W477" s="395"/>
      <c r="X477" s="395"/>
      <c r="Y477" s="395"/>
      <c r="Z477" s="395"/>
      <c r="AA477" s="395"/>
      <c r="AB477" s="395"/>
      <c r="AC477" s="395"/>
    </row>
    <row r="478" spans="2:29">
      <c r="B478" s="376" t="s">
        <v>588</v>
      </c>
      <c r="C478" s="376" t="str">
        <f>Technologies!C290</f>
        <v>XPRESDSLR4</v>
      </c>
      <c r="D478" s="376" t="str">
        <f>Technologies!D290</f>
        <v>Delivery of Pipeline Traded RESDSL from R4</v>
      </c>
      <c r="E478" s="415" t="str">
        <f>Commodities!C132</f>
        <v>DSHR4</v>
      </c>
      <c r="F478" s="415" t="str">
        <f>Commodities!C87</f>
        <v>RESDSL</v>
      </c>
      <c r="G478" s="422">
        <v>1</v>
      </c>
      <c r="H478" s="421">
        <f>DelivOIL!$I80*DelivOIL!P$84^5/(Conv!$I$5*Conv!$D$46)/10^6 + OILTrade!$K$17</f>
        <v>2.8785177227897227</v>
      </c>
      <c r="I478" s="421">
        <f>DelivOIL!$I80*DelivOIL!Q$84^5/(Conv!$I$5*Conv!$D$46)/10^6 + OILTrade!$K$17</f>
        <v>2.6325692013967297</v>
      </c>
      <c r="J478" s="421">
        <f>DelivOIL!$I80*DelivOIL!R$84^5/(Conv!$I$5*Conv!$D$46)/10^6 + OILTrade!$K$17</f>
        <v>3.2262180785570385</v>
      </c>
      <c r="K478" s="421">
        <f>DelivOIL!$I80*DelivOIL!S$84^5/(Conv!$I$5*Conv!$D$46)/10^6 + OILTrade!$K$17</f>
        <v>2.8470054876402591</v>
      </c>
      <c r="L478" s="421">
        <f>DelivOIL!$I80*DelivOIL!T$84^5/(Conv!$I$5*Conv!$D$46)/10^6 + OILTrade!$K$17</f>
        <v>2.7113799732612511</v>
      </c>
      <c r="M478" s="421">
        <f>DelivOIL!$I80*DelivOIL!U$84^5/(Conv!$I$5*Conv!$D$46)/10^6 + OILTrade!$K$17</f>
        <v>2.794699063293594</v>
      </c>
      <c r="N478" s="421">
        <f>DelivOIL!$I80*DelivOIL!V$84^5/(Conv!$I$5*Conv!$D$46)/10^6 + OILTrade!$K$17</f>
        <v>2.794699063293594</v>
      </c>
      <c r="O478" s="421">
        <f>DelivOIL!$I80*DelivOIL!W$84^5/(Conv!$I$5*Conv!$D$46)/10^6 + OILTrade!$K$17</f>
        <v>2.794699063293594</v>
      </c>
      <c r="P478" s="421">
        <f>DelivOIL!$I80*DelivOIL!X$84^5/(Conv!$I$5*Conv!$D$46)/10^6 + OILTrade!$K$17</f>
        <v>2.794699063293594</v>
      </c>
      <c r="Q478" s="421">
        <f>DelivOIL!$I80*DelivOIL!Y$84^5/(Conv!$I$5*Conv!$D$46)/10^6 + OILTrade!$K$17</f>
        <v>2.794699063293594</v>
      </c>
      <c r="S478" s="395"/>
      <c r="T478" s="395"/>
      <c r="U478" s="395"/>
      <c r="V478" s="395"/>
      <c r="W478" s="395"/>
      <c r="X478" s="395"/>
      <c r="Y478" s="395"/>
      <c r="Z478" s="395"/>
      <c r="AA478" s="395"/>
      <c r="AB478" s="395"/>
      <c r="AC478" s="395"/>
    </row>
    <row r="479" spans="2:29">
      <c r="B479" s="376" t="s">
        <v>588</v>
      </c>
      <c r="C479" s="376" t="str">
        <f>Technologies!C291</f>
        <v>XPCOMDSLR4</v>
      </c>
      <c r="D479" s="376" t="str">
        <f>Technologies!D291</f>
        <v>Delivery of Pipeline Traded COMDSL from R4</v>
      </c>
      <c r="E479" s="415" t="str">
        <f>E478</f>
        <v>DSHR4</v>
      </c>
      <c r="F479" s="415" t="str">
        <f>Commodities!C88</f>
        <v>COMDSL</v>
      </c>
      <c r="G479" s="422">
        <v>1</v>
      </c>
      <c r="H479" s="421">
        <f>DelivOIL!$I81*DelivOIL!P$84^5/(Conv!$I$5*Conv!$D$46)/10^6 + OILTrade!$K$17</f>
        <v>1.4876439732275626</v>
      </c>
      <c r="I479" s="421">
        <f>DelivOIL!$I81*DelivOIL!Q$84^5/(Conv!$I$5*Conv!$D$46)/10^6 + OILTrade!$K$17</f>
        <v>1.363475787669935</v>
      </c>
      <c r="J479" s="421">
        <f>DelivOIL!$I81*DelivOIL!R$84^5/(Conv!$I$5*Conv!$D$46)/10^6 + OILTrade!$K$17</f>
        <v>1.6631820169159166</v>
      </c>
      <c r="K479" s="421">
        <f>DelivOIL!$I81*DelivOIL!S$84^5/(Conv!$I$5*Conv!$D$46)/10^6 + OILTrade!$K$17</f>
        <v>1.4717348836375421</v>
      </c>
      <c r="L479" s="421">
        <f>DelivOIL!$I81*DelivOIL!T$84^5/(Conv!$I$5*Conv!$D$46)/10^6 + OILTrade!$K$17</f>
        <v>1.4032637501646452</v>
      </c>
      <c r="M479" s="421">
        <f>DelivOIL!$I81*DelivOIL!U$84^5/(Conv!$I$5*Conv!$D$46)/10^6 + OILTrade!$K$17</f>
        <v>1.4453277567829153</v>
      </c>
      <c r="N479" s="421">
        <f>DelivOIL!$I81*DelivOIL!V$84^5/(Conv!$I$5*Conv!$D$46)/10^6 + OILTrade!$K$17</f>
        <v>1.4453277567829153</v>
      </c>
      <c r="O479" s="421">
        <f>DelivOIL!$I81*DelivOIL!W$84^5/(Conv!$I$5*Conv!$D$46)/10^6 + OILTrade!$K$17</f>
        <v>1.4453277567829153</v>
      </c>
      <c r="P479" s="421">
        <f>DelivOIL!$I81*DelivOIL!X$84^5/(Conv!$I$5*Conv!$D$46)/10^6 + OILTrade!$K$17</f>
        <v>1.4453277567829153</v>
      </c>
      <c r="Q479" s="421">
        <f>DelivOIL!$I81*DelivOIL!Y$84^5/(Conv!$I$5*Conv!$D$46)/10^6 + OILTrade!$K$17</f>
        <v>1.4453277567829153</v>
      </c>
      <c r="S479" s="395"/>
      <c r="T479" s="395"/>
      <c r="U479" s="395"/>
      <c r="V479" s="395"/>
      <c r="W479" s="395"/>
      <c r="X479" s="395"/>
      <c r="Y479" s="395"/>
      <c r="Z479" s="395"/>
      <c r="AA479" s="395"/>
      <c r="AB479" s="395"/>
      <c r="AC479" s="395"/>
    </row>
    <row r="480" spans="2:29">
      <c r="B480" s="376" t="s">
        <v>588</v>
      </c>
      <c r="C480" s="376" t="str">
        <f>Technologies!C292</f>
        <v>XPINDDSLR4</v>
      </c>
      <c r="D480" s="376" t="str">
        <f>Technologies!D292</f>
        <v>Delivery of Pipeline Traded INDDSL from R4</v>
      </c>
      <c r="E480" s="415" t="str">
        <f>E479</f>
        <v>DSHR4</v>
      </c>
      <c r="F480" s="415" t="str">
        <f>Commodities!C89</f>
        <v>INDDSL</v>
      </c>
      <c r="G480" s="422">
        <v>1</v>
      </c>
      <c r="H480" s="421">
        <f>DelivOIL!$I82*DelivOIL!P$84^5/(Conv!$I$5*Conv!$D$46)/10^6 + OILTrade!$K$17</f>
        <v>1.7467282991263968</v>
      </c>
      <c r="I480" s="421">
        <f>DelivOIL!$I82*DelivOIL!Q$84^5/(Conv!$I$5*Conv!$D$46)/10^6 + OILTrade!$K$17</f>
        <v>1.5998755412072796</v>
      </c>
      <c r="J480" s="421">
        <f>DelivOIL!$I82*DelivOIL!R$84^5/(Conv!$I$5*Conv!$D$46)/10^6 + OILTrade!$K$17</f>
        <v>1.9543357931039691</v>
      </c>
      <c r="K480" s="421">
        <f>DelivOIL!$I82*DelivOIL!S$84^5/(Conv!$I$5*Conv!$D$46)/10^6 + OILTrade!$K$17</f>
        <v>1.7279127412458917</v>
      </c>
      <c r="L480" s="421">
        <f>DelivOIL!$I82*DelivOIL!T$84^5/(Conv!$I$5*Conv!$D$46)/10^6 + OILTrade!$K$17</f>
        <v>1.646932458388523</v>
      </c>
      <c r="M480" s="421">
        <f>DelivOIL!$I82*DelivOIL!U$84^5/(Conv!$I$5*Conv!$D$46)/10^6 + OILTrade!$K$17</f>
        <v>1.6966812354466694</v>
      </c>
      <c r="N480" s="421">
        <f>DelivOIL!$I82*DelivOIL!V$84^5/(Conv!$I$5*Conv!$D$46)/10^6 + OILTrade!$K$17</f>
        <v>1.6966812354466694</v>
      </c>
      <c r="O480" s="421">
        <f>DelivOIL!$I82*DelivOIL!W$84^5/(Conv!$I$5*Conv!$D$46)/10^6 + OILTrade!$K$17</f>
        <v>1.6966812354466694</v>
      </c>
      <c r="P480" s="421">
        <f>DelivOIL!$I82*DelivOIL!X$84^5/(Conv!$I$5*Conv!$D$46)/10^6 + OILTrade!$K$17</f>
        <v>1.6966812354466694</v>
      </c>
      <c r="Q480" s="421">
        <f>DelivOIL!$I82*DelivOIL!Y$84^5/(Conv!$I$5*Conv!$D$46)/10^6 + OILTrade!$K$17</f>
        <v>1.6966812354466694</v>
      </c>
      <c r="S480" s="395"/>
      <c r="T480" s="395"/>
      <c r="U480" s="395"/>
      <c r="V480" s="395"/>
      <c r="W480" s="395"/>
      <c r="X480" s="395"/>
      <c r="Y480" s="395"/>
      <c r="Z480" s="395"/>
      <c r="AA480" s="395"/>
      <c r="AB480" s="395"/>
      <c r="AC480" s="395"/>
    </row>
    <row r="481" spans="2:29">
      <c r="B481" s="376" t="s">
        <v>588</v>
      </c>
      <c r="C481" s="376" t="str">
        <f>Technologies!C293</f>
        <v>XPELCDSLR4</v>
      </c>
      <c r="D481" s="376" t="str">
        <f>Technologies!D293</f>
        <v>Delivery of Pipeline Traded ELCDSL from R4</v>
      </c>
      <c r="E481" s="415" t="str">
        <f>E480</f>
        <v>DSHR4</v>
      </c>
      <c r="F481" s="415" t="str">
        <f>Commodities!C90</f>
        <v>ELCDSL</v>
      </c>
      <c r="G481" s="422">
        <v>1</v>
      </c>
      <c r="H481" s="421">
        <f>DelivOIL!$I83*DelivOIL!P$84^5/(Conv!$I$5*Conv!$D$46)/10^6 + OILTrade!$K$17</f>
        <v>1.3444657931255763</v>
      </c>
      <c r="I481" s="421">
        <f>DelivOIL!$I83*DelivOIL!Q$84^5/(Conv!$I$5*Conv!$D$46)/10^6 + OILTrade!$K$17</f>
        <v>1.2328338186098244</v>
      </c>
      <c r="J481" s="421">
        <f>DelivOIL!$I83*DelivOIL!R$84^5/(Conv!$I$5*Conv!$D$46)/10^6 + OILTrade!$K$17</f>
        <v>1.5022812458646251</v>
      </c>
      <c r="K481" s="421">
        <f>DelivOIL!$I83*DelivOIL!S$84^5/(Conv!$I$5*Conv!$D$46)/10^6 + OILTrade!$K$17</f>
        <v>1.3301629096960865</v>
      </c>
      <c r="L481" s="421">
        <f>DelivOIL!$I83*DelivOIL!T$84^5/(Conv!$I$5*Conv!$D$46)/10^6 + OILTrade!$K$17</f>
        <v>1.2686047271988188</v>
      </c>
      <c r="M481" s="421">
        <f>DelivOIL!$I83*DelivOIL!U$84^5/(Conv!$I$5*Conv!$D$46)/10^6 + OILTrade!$K$17</f>
        <v>1.3064218869950521</v>
      </c>
      <c r="N481" s="421">
        <f>DelivOIL!$I83*DelivOIL!V$84^5/(Conv!$I$5*Conv!$D$46)/10^6 + OILTrade!$K$17</f>
        <v>1.3064218869950521</v>
      </c>
      <c r="O481" s="421">
        <f>DelivOIL!$I83*DelivOIL!W$84^5/(Conv!$I$5*Conv!$D$46)/10^6 + OILTrade!$K$17</f>
        <v>1.3064218869950521</v>
      </c>
      <c r="P481" s="421">
        <f>DelivOIL!$I83*DelivOIL!X$84^5/(Conv!$I$5*Conv!$D$46)/10^6 + OILTrade!$K$17</f>
        <v>1.3064218869950521</v>
      </c>
      <c r="Q481" s="421">
        <f>DelivOIL!$I83*DelivOIL!Y$84^5/(Conv!$I$5*Conv!$D$46)/10^6 + OILTrade!$K$17</f>
        <v>1.3064218869950521</v>
      </c>
      <c r="S481" s="395"/>
      <c r="T481" s="395"/>
      <c r="U481" s="395"/>
      <c r="V481" s="395"/>
      <c r="W481" s="395"/>
      <c r="X481" s="395"/>
      <c r="Y481" s="395"/>
      <c r="Z481" s="395"/>
      <c r="AA481" s="395"/>
      <c r="AB481" s="395"/>
      <c r="AC481" s="395"/>
    </row>
    <row r="482" spans="2:29">
      <c r="B482" s="376" t="s">
        <v>588</v>
      </c>
      <c r="C482" s="376" t="str">
        <f>Technologies!C294</f>
        <v>XPTRDSLLR4</v>
      </c>
      <c r="D482" s="376" t="str">
        <f>Technologies!D294</f>
        <v>Delivery of Pipeline Traded TRDSLL from R4</v>
      </c>
      <c r="E482" s="415" t="str">
        <f>Commodities!C133</f>
        <v>DSLR4</v>
      </c>
      <c r="F482" s="415" t="str">
        <f>Commodities!C91</f>
        <v>TRDSLL</v>
      </c>
      <c r="G482" s="422">
        <v>1</v>
      </c>
      <c r="H482" s="421">
        <f>DelivOIL!$I84*DelivOIL!P$84^5/(Conv!$I$5*Conv!$D$46)/10^6 + OILTrade!$K$17</f>
        <v>4.2148474037416026</v>
      </c>
      <c r="I482" s="421">
        <f>DelivOIL!$I84*DelivOIL!Q$84^5/(Conv!$I$5*Conv!$D$46)/10^6 + OILTrade!$K$17</f>
        <v>3.8518942459577676</v>
      </c>
      <c r="J482" s="421">
        <f>DelivOIL!$I84*DelivOIL!R$84^5/(Conv!$I$5*Conv!$D$46)/10^6 + OILTrade!$K$17</f>
        <v>4.7279586083690983</v>
      </c>
      <c r="K482" s="421">
        <f>DelivOIL!$I84*DelivOIL!S$84^5/(Conv!$I$5*Conv!$D$46)/10^6 + OILTrade!$K$17</f>
        <v>4.1683439110938503</v>
      </c>
      <c r="L482" s="421">
        <f>DelivOIL!$I84*DelivOIL!T$84^5/(Conv!$I$5*Conv!$D$46)/10^6 + OILTrade!$K$17</f>
        <v>3.9681975209423048</v>
      </c>
      <c r="M482" s="421">
        <f>DelivOIL!$I84*DelivOIL!U$84^5/(Conv!$I$5*Conv!$D$46)/10^6 + OILTrade!$K$17</f>
        <v>4.0911538479803253</v>
      </c>
      <c r="N482" s="421">
        <f>DelivOIL!$I84*DelivOIL!V$84^5/(Conv!$I$5*Conv!$D$46)/10^6 + OILTrade!$K$17</f>
        <v>4.0911538479803253</v>
      </c>
      <c r="O482" s="421">
        <f>DelivOIL!$I84*DelivOIL!W$84^5/(Conv!$I$5*Conv!$D$46)/10^6 + OILTrade!$K$17</f>
        <v>4.0911538479803253</v>
      </c>
      <c r="P482" s="421">
        <f>DelivOIL!$I84*DelivOIL!X$84^5/(Conv!$I$5*Conv!$D$46)/10^6 + OILTrade!$K$17</f>
        <v>4.0911538479803253</v>
      </c>
      <c r="Q482" s="421">
        <f>DelivOIL!$I84*DelivOIL!Y$84^5/(Conv!$I$5*Conv!$D$46)/10^6 + OILTrade!$K$17</f>
        <v>4.0911538479803253</v>
      </c>
      <c r="S482" s="395"/>
      <c r="T482" s="395"/>
      <c r="U482" s="395"/>
      <c r="V482" s="395"/>
      <c r="W482" s="395"/>
      <c r="X482" s="395"/>
      <c r="Y482" s="395"/>
      <c r="Z482" s="395"/>
      <c r="AA482" s="395"/>
      <c r="AB482" s="395"/>
      <c r="AC482" s="395"/>
    </row>
    <row r="483" spans="2:29">
      <c r="B483" s="376" t="s">
        <v>588</v>
      </c>
      <c r="C483" s="376" t="str">
        <f>Technologies!C295</f>
        <v>XPTRDSLUR4</v>
      </c>
      <c r="D483" s="376" t="str">
        <f>Technologies!D295</f>
        <v>Delivery of Pipeline Traded TRDSLU from R4</v>
      </c>
      <c r="E483" s="415" t="str">
        <f>Commodities!C134</f>
        <v>DSUR4</v>
      </c>
      <c r="F483" s="415" t="str">
        <f>Commodities!C92</f>
        <v>TRDSLU</v>
      </c>
      <c r="G483" s="422">
        <v>1</v>
      </c>
      <c r="H483" s="421">
        <f>DelivOIL!$I85*DelivOIL!P$84^5/(Conv!$I$5*Conv!$D$46)/10^6 + OILTrade!$K$17</f>
        <v>3.5739545975708036</v>
      </c>
      <c r="I483" s="421">
        <f>DelivOIL!$I85*DelivOIL!Q$84^5/(Conv!$I$5*Conv!$D$46)/10^6 + OILTrade!$K$17</f>
        <v>3.2671159082601271</v>
      </c>
      <c r="J483" s="421">
        <f>DelivOIL!$I85*DelivOIL!R$84^5/(Conv!$I$5*Conv!$D$46)/10^6 + OILTrade!$K$17</f>
        <v>4.0077361093776007</v>
      </c>
      <c r="K483" s="421">
        <f>DelivOIL!$I85*DelivOIL!S$84^5/(Conv!$I$5*Conv!$D$46)/10^6 + OILTrade!$K$17</f>
        <v>3.5346407896416174</v>
      </c>
      <c r="L483" s="421">
        <f>DelivOIL!$I85*DelivOIL!T$84^5/(Conv!$I$5*Conv!$D$46)/10^6 + OILTrade!$K$17</f>
        <v>3.3654380848095546</v>
      </c>
      <c r="M483" s="421">
        <f>DelivOIL!$I85*DelivOIL!U$84^5/(Conv!$I$5*Conv!$D$46)/10^6 + OILTrade!$K$17</f>
        <v>3.4693847165489342</v>
      </c>
      <c r="N483" s="421">
        <f>DelivOIL!$I85*DelivOIL!V$84^5/(Conv!$I$5*Conv!$D$46)/10^6 + OILTrade!$K$17</f>
        <v>3.4693847165489342</v>
      </c>
      <c r="O483" s="421">
        <f>DelivOIL!$I85*DelivOIL!W$84^5/(Conv!$I$5*Conv!$D$46)/10^6 + OILTrade!$K$17</f>
        <v>3.4693847165489342</v>
      </c>
      <c r="P483" s="421">
        <f>DelivOIL!$I85*DelivOIL!X$84^5/(Conv!$I$5*Conv!$D$46)/10^6 + OILTrade!$K$17</f>
        <v>3.4693847165489342</v>
      </c>
      <c r="Q483" s="421">
        <f>DelivOIL!$I85*DelivOIL!Y$84^5/(Conv!$I$5*Conv!$D$46)/10^6 + OILTrade!$K$17</f>
        <v>3.4693847165489342</v>
      </c>
      <c r="S483" s="395"/>
      <c r="T483" s="395"/>
      <c r="U483" s="395"/>
      <c r="V483" s="395"/>
      <c r="W483" s="395"/>
      <c r="X483" s="395"/>
      <c r="Y483" s="395"/>
      <c r="Z483" s="395"/>
      <c r="AA483" s="395"/>
      <c r="AB483" s="395"/>
      <c r="AC483" s="395"/>
    </row>
    <row r="484" spans="2:29">
      <c r="B484" s="376" t="s">
        <v>588</v>
      </c>
      <c r="C484" s="376" t="str">
        <f>Technologies!C296</f>
        <v>XPTRNJTFR4</v>
      </c>
      <c r="D484" s="376" t="str">
        <f>Technologies!D296</f>
        <v>Delivery of Pipeline Traded TRNJTF from R4</v>
      </c>
      <c r="E484" s="415" t="str">
        <f>Commodities!C135</f>
        <v>JTFR4</v>
      </c>
      <c r="F484" s="415" t="str">
        <f>Commodities!C93</f>
        <v>TRNJTF</v>
      </c>
      <c r="G484" s="422">
        <v>1</v>
      </c>
      <c r="H484" s="421">
        <f>DelivOIL!$I86*DelivOIL!P$84^5/(Conv!$I$5*Conv!$D$46)/10^6 + OILTrade!$K$17</f>
        <v>1.1876515958710181</v>
      </c>
      <c r="I484" s="421">
        <f>DelivOIL!$I86*DelivOIL!Q$84^5/(Conv!$I$5*Conv!$D$46)/10^6 + OILTrade!$K$17</f>
        <v>1.0897497572582733</v>
      </c>
      <c r="J484" s="421">
        <f>DelivOIL!$I86*DelivOIL!R$84^5/(Conv!$I$5*Conv!$D$46)/10^6 + OILTrade!$K$17</f>
        <v>1.3260565918560663</v>
      </c>
      <c r="K484" s="421">
        <f>DelivOIL!$I86*DelivOIL!S$84^5/(Conv!$I$5*Conv!$D$46)/10^6 + OILTrade!$K$17</f>
        <v>1.175107890617348</v>
      </c>
      <c r="L484" s="421">
        <f>DelivOIL!$I86*DelivOIL!T$84^5/(Conv!$I$5*Conv!$D$46)/10^6 + OILTrade!$K$17</f>
        <v>1.1211210353791023</v>
      </c>
      <c r="M484" s="421">
        <f>DelivOIL!$I86*DelivOIL!U$84^5/(Conv!$I$5*Conv!$D$46)/10^6 + OILTrade!$K$17</f>
        <v>1.1542868867511999</v>
      </c>
      <c r="N484" s="421">
        <f>DelivOIL!$I86*DelivOIL!V$84^5/(Conv!$I$5*Conv!$D$46)/10^6 + OILTrade!$K$17</f>
        <v>1.1542868867511999</v>
      </c>
      <c r="O484" s="421">
        <f>DelivOIL!$I86*DelivOIL!W$84^5/(Conv!$I$5*Conv!$D$46)/10^6 + OILTrade!$K$17</f>
        <v>1.1542868867511999</v>
      </c>
      <c r="P484" s="421">
        <f>DelivOIL!$I86*DelivOIL!X$84^5/(Conv!$I$5*Conv!$D$46)/10^6 + OILTrade!$K$17</f>
        <v>1.1542868867511999</v>
      </c>
      <c r="Q484" s="421">
        <f>DelivOIL!$I86*DelivOIL!Y$84^5/(Conv!$I$5*Conv!$D$46)/10^6 + OILTrade!$K$17</f>
        <v>1.1542868867511999</v>
      </c>
      <c r="S484" s="395"/>
      <c r="T484" s="395"/>
      <c r="U484" s="395"/>
      <c r="V484" s="395"/>
      <c r="W484" s="395"/>
      <c r="X484" s="395"/>
      <c r="Y484" s="395"/>
      <c r="Z484" s="395"/>
      <c r="AA484" s="395"/>
      <c r="AB484" s="395"/>
      <c r="AC484" s="395"/>
    </row>
    <row r="485" spans="2:29">
      <c r="B485" s="376" t="s">
        <v>588</v>
      </c>
      <c r="C485" s="376" t="str">
        <f>Technologies!C297</f>
        <v>XPRESKERR4</v>
      </c>
      <c r="D485" s="376" t="str">
        <f>Technologies!D297</f>
        <v>Delivery of Pipeline Traded RESKER from R4</v>
      </c>
      <c r="E485" s="415" t="str">
        <f>Commodities!C136</f>
        <v>KERR4</v>
      </c>
      <c r="F485" s="415" t="str">
        <f>Commodities!C94</f>
        <v>RESKER</v>
      </c>
      <c r="G485" s="422">
        <v>1</v>
      </c>
      <c r="H485" s="421">
        <f>DelivOIL!$I87*DelivOIL!P$84^5/(Conv!$I$5*Conv!$D$46)/10^6 + OILTrade!$K$17</f>
        <v>1.6580941876346913</v>
      </c>
      <c r="I485" s="421">
        <f>DelivOIL!$I87*DelivOIL!Q$84^5/(Conv!$I$5*Conv!$D$46)/10^6 + OILTrade!$K$17</f>
        <v>1.5190019413129254</v>
      </c>
      <c r="J485" s="421">
        <f>DelivOIL!$I87*DelivOIL!R$84^5/(Conv!$I$5*Conv!$D$46)/10^6 + OILTrade!$K$17</f>
        <v>1.8547305538817414</v>
      </c>
      <c r="K485" s="421">
        <f>DelivOIL!$I87*DelivOIL!S$84^5/(Conv!$I$5*Conv!$D$46)/10^6 + OILTrade!$K$17</f>
        <v>1.6402729478535623</v>
      </c>
      <c r="L485" s="421">
        <f>DelivOIL!$I87*DelivOIL!T$84^5/(Conv!$I$5*Conv!$D$46)/10^6 + OILTrade!$K$17</f>
        <v>1.5635721108382497</v>
      </c>
      <c r="M485" s="421">
        <f>DelivOIL!$I87*DelivOIL!U$84^5/(Conv!$I$5*Conv!$D$46)/10^6 + OILTrade!$K$17</f>
        <v>1.6106918874827543</v>
      </c>
      <c r="N485" s="421">
        <f>DelivOIL!$I87*DelivOIL!V$84^5/(Conv!$I$5*Conv!$D$46)/10^6 + OILTrade!$K$17</f>
        <v>1.6106918874827543</v>
      </c>
      <c r="O485" s="421">
        <f>DelivOIL!$I87*DelivOIL!W$84^5/(Conv!$I$5*Conv!$D$46)/10^6 + OILTrade!$K$17</f>
        <v>1.6106918874827543</v>
      </c>
      <c r="P485" s="421">
        <f>DelivOIL!$I87*DelivOIL!X$84^5/(Conv!$I$5*Conv!$D$46)/10^6 + OILTrade!$K$17</f>
        <v>1.6106918874827543</v>
      </c>
      <c r="Q485" s="421">
        <f>DelivOIL!$I87*DelivOIL!Y$84^5/(Conv!$I$5*Conv!$D$46)/10^6 + OILTrade!$K$17</f>
        <v>1.6106918874827543</v>
      </c>
      <c r="S485" s="395"/>
      <c r="T485" s="395"/>
      <c r="U485" s="395"/>
      <c r="V485" s="395"/>
      <c r="W485" s="395"/>
      <c r="X485" s="395"/>
      <c r="Y485" s="395"/>
      <c r="Z485" s="395"/>
      <c r="AA485" s="395"/>
      <c r="AB485" s="395"/>
      <c r="AC485" s="395"/>
    </row>
    <row r="486" spans="2:29">
      <c r="B486" s="376" t="s">
        <v>588</v>
      </c>
      <c r="C486" s="376" t="str">
        <f>Technologies!C298</f>
        <v>XPCOMKERR4</v>
      </c>
      <c r="D486" s="376" t="str">
        <f>Technologies!D298</f>
        <v>Delivery of Pipeline Traded COMKER from R4</v>
      </c>
      <c r="E486" s="415" t="str">
        <f>E485</f>
        <v>KERR4</v>
      </c>
      <c r="F486" s="415" t="str">
        <f>Commodities!C95</f>
        <v>COMKER</v>
      </c>
      <c r="G486" s="422">
        <v>1</v>
      </c>
      <c r="H486" s="421">
        <f>DelivOIL!$I88*DelivOIL!P$84^5/(Conv!$I$5*Conv!$D$46)/10^6 + OILTrade!$K$17</f>
        <v>1.7330922819738266</v>
      </c>
      <c r="I486" s="421">
        <f>DelivOIL!$I88*DelivOIL!Q$84^5/(Conv!$I$5*Conv!$D$46)/10^6 + OILTrade!$K$17</f>
        <v>1.5874334489158402</v>
      </c>
      <c r="J486" s="421">
        <f>DelivOIL!$I88*DelivOIL!R$84^5/(Conv!$I$5*Conv!$D$46)/10^6 + OILTrade!$K$17</f>
        <v>1.9390119101467029</v>
      </c>
      <c r="K486" s="421">
        <f>DelivOIL!$I88*DelivOIL!S$84^5/(Conv!$I$5*Conv!$D$46)/10^6 + OILTrade!$K$17</f>
        <v>1.7144296961086103</v>
      </c>
      <c r="L486" s="421">
        <f>DelivOIL!$I88*DelivOIL!T$84^5/(Conv!$I$5*Conv!$D$46)/10^6 + OILTrade!$K$17</f>
        <v>1.6341077895346348</v>
      </c>
      <c r="M486" s="421">
        <f>DelivOIL!$I88*DelivOIL!U$84^5/(Conv!$I$5*Conv!$D$46)/10^6 + OILTrade!$K$17</f>
        <v>1.6834521049906823</v>
      </c>
      <c r="N486" s="421">
        <f>DelivOIL!$I88*DelivOIL!V$84^5/(Conv!$I$5*Conv!$D$46)/10^6 + OILTrade!$K$17</f>
        <v>1.6834521049906823</v>
      </c>
      <c r="O486" s="421">
        <f>DelivOIL!$I88*DelivOIL!W$84^5/(Conv!$I$5*Conv!$D$46)/10^6 + OILTrade!$K$17</f>
        <v>1.6834521049906823</v>
      </c>
      <c r="P486" s="421">
        <f>DelivOIL!$I88*DelivOIL!X$84^5/(Conv!$I$5*Conv!$D$46)/10^6 + OILTrade!$K$17</f>
        <v>1.6834521049906823</v>
      </c>
      <c r="Q486" s="421">
        <f>DelivOIL!$I88*DelivOIL!Y$84^5/(Conv!$I$5*Conv!$D$46)/10^6 + OILTrade!$K$17</f>
        <v>1.6834521049906823</v>
      </c>
      <c r="S486" s="395"/>
      <c r="T486" s="395"/>
      <c r="U486" s="395"/>
      <c r="V486" s="395"/>
      <c r="W486" s="395"/>
      <c r="X486" s="395"/>
      <c r="Y486" s="395"/>
      <c r="Z486" s="395"/>
      <c r="AA486" s="395"/>
      <c r="AB486" s="395"/>
      <c r="AC486" s="395"/>
    </row>
    <row r="487" spans="2:29">
      <c r="B487" s="376" t="s">
        <v>588</v>
      </c>
      <c r="C487" s="376" t="str">
        <f>Technologies!C299</f>
        <v>XPINDKERR4</v>
      </c>
      <c r="D487" s="376" t="str">
        <f>Technologies!D299</f>
        <v>Delivery of Pipeline Traded INDKER from R4</v>
      </c>
      <c r="E487" s="415" t="str">
        <f>E486</f>
        <v>KERR4</v>
      </c>
      <c r="F487" s="415" t="str">
        <f>Commodities!C96</f>
        <v>INDKER</v>
      </c>
      <c r="G487" s="422">
        <v>1</v>
      </c>
      <c r="H487" s="421">
        <f>DelivOIL!$I89*DelivOIL!P$84^5/(Conv!$I$5*Conv!$D$46)/10^6 + OILTrade!$K$17</f>
        <v>1.3649198188544309</v>
      </c>
      <c r="I487" s="421">
        <f>DelivOIL!$I89*DelivOIL!Q$84^5/(Conv!$I$5*Conv!$D$46)/10^6 + OILTrade!$K$17</f>
        <v>1.2514969570469825</v>
      </c>
      <c r="J487" s="421">
        <f>DelivOIL!$I89*DelivOIL!R$84^5/(Conv!$I$5*Conv!$D$46)/10^6 + OILTrade!$K$17</f>
        <v>1.5252670703005231</v>
      </c>
      <c r="K487" s="421">
        <f>DelivOIL!$I89*DelivOIL!S$84^5/(Conv!$I$5*Conv!$D$46)/10^6 + OILTrade!$K$17</f>
        <v>1.3503874774020082</v>
      </c>
      <c r="L487" s="421">
        <f>DelivOIL!$I89*DelivOIL!T$84^5/(Conv!$I$5*Conv!$D$46)/10^6 + OILTrade!$K$17</f>
        <v>1.2878417304796506</v>
      </c>
      <c r="M487" s="421">
        <f>DelivOIL!$I89*DelivOIL!U$84^5/(Conv!$I$5*Conv!$D$46)/10^6 + OILTrade!$K$17</f>
        <v>1.3262655826790317</v>
      </c>
      <c r="N487" s="421">
        <f>DelivOIL!$I89*DelivOIL!V$84^5/(Conv!$I$5*Conv!$D$46)/10^6 + OILTrade!$K$17</f>
        <v>1.3262655826790317</v>
      </c>
      <c r="O487" s="421">
        <f>DelivOIL!$I89*DelivOIL!W$84^5/(Conv!$I$5*Conv!$D$46)/10^6 + OILTrade!$K$17</f>
        <v>1.3262655826790317</v>
      </c>
      <c r="P487" s="421">
        <f>DelivOIL!$I89*DelivOIL!X$84^5/(Conv!$I$5*Conv!$D$46)/10^6 + OILTrade!$K$17</f>
        <v>1.3262655826790317</v>
      </c>
      <c r="Q487" s="421">
        <f>DelivOIL!$I89*DelivOIL!Y$84^5/(Conv!$I$5*Conv!$D$46)/10^6 + OILTrade!$K$17</f>
        <v>1.3262655826790317</v>
      </c>
      <c r="S487" s="395"/>
      <c r="T487" s="395"/>
      <c r="U487" s="395"/>
      <c r="V487" s="395"/>
      <c r="W487" s="395"/>
      <c r="X487" s="395"/>
      <c r="Y487" s="395"/>
      <c r="Z487" s="395"/>
      <c r="AA487" s="395"/>
      <c r="AB487" s="395"/>
      <c r="AC487" s="395"/>
    </row>
    <row r="488" spans="2:29">
      <c r="B488" s="376" t="s">
        <v>588</v>
      </c>
      <c r="C488" s="376" t="str">
        <f>Technologies!C300</f>
        <v>XPRESLPGR4</v>
      </c>
      <c r="D488" s="376" t="str">
        <f>Technologies!D300</f>
        <v>Delivery of Pipeline Traded RESLPG from R4</v>
      </c>
      <c r="E488" s="415" t="str">
        <f>Commodities!C137</f>
        <v>LPGR4</v>
      </c>
      <c r="F488" s="415" t="str">
        <f>Commodities!C97</f>
        <v>RESLPG</v>
      </c>
      <c r="G488" s="422">
        <v>1</v>
      </c>
      <c r="H488" s="421">
        <f>DelivOIL!$I90*DelivOIL!P$84^5/(Conv!$I$5*Conv!$D$46)/10^6 + OILTrade!$K$17</f>
        <v>3.71713277767279</v>
      </c>
      <c r="I488" s="421">
        <f>DelivOIL!$I90*DelivOIL!Q$84^5/(Conv!$I$5*Conv!$D$46)/10^6 + OILTrade!$K$17</f>
        <v>3.3977578773202382</v>
      </c>
      <c r="J488" s="421">
        <f>DelivOIL!$I90*DelivOIL!R$84^5/(Conv!$I$5*Conv!$D$46)/10^6 + OILTrade!$K$17</f>
        <v>4.1686368804288918</v>
      </c>
      <c r="K488" s="421">
        <f>DelivOIL!$I90*DelivOIL!S$84^5/(Conv!$I$5*Conv!$D$46)/10^6 + OILTrade!$K$17</f>
        <v>3.6762127635830733</v>
      </c>
      <c r="L488" s="421">
        <f>DelivOIL!$I90*DelivOIL!T$84^5/(Conv!$I$5*Conv!$D$46)/10^6 + OILTrade!$K$17</f>
        <v>3.5000971077753813</v>
      </c>
      <c r="M488" s="421">
        <f>DelivOIL!$I90*DelivOIL!U$84^5/(Conv!$I$5*Conv!$D$46)/10^6 + OILTrade!$K$17</f>
        <v>3.6082905863367976</v>
      </c>
      <c r="N488" s="421">
        <f>DelivOIL!$I90*DelivOIL!V$84^5/(Conv!$I$5*Conv!$D$46)/10^6 + OILTrade!$K$17</f>
        <v>3.6082905863367976</v>
      </c>
      <c r="O488" s="421">
        <f>DelivOIL!$I90*DelivOIL!W$84^5/(Conv!$I$5*Conv!$D$46)/10^6 + OILTrade!$K$17</f>
        <v>3.6082905863367976</v>
      </c>
      <c r="P488" s="421">
        <f>DelivOIL!$I90*DelivOIL!X$84^5/(Conv!$I$5*Conv!$D$46)/10^6 + OILTrade!$K$17</f>
        <v>3.6082905863367976</v>
      </c>
      <c r="Q488" s="421">
        <f>DelivOIL!$I90*DelivOIL!Y$84^5/(Conv!$I$5*Conv!$D$46)/10^6 + OILTrade!$K$17</f>
        <v>3.6082905863367976</v>
      </c>
      <c r="S488" s="395"/>
      <c r="T488" s="395"/>
      <c r="U488" s="395"/>
      <c r="V488" s="395"/>
      <c r="W488" s="395"/>
      <c r="X488" s="395"/>
      <c r="Y488" s="395"/>
      <c r="Z488" s="395"/>
      <c r="AA488" s="395"/>
      <c r="AB488" s="395"/>
      <c r="AC488" s="395"/>
    </row>
    <row r="489" spans="2:29">
      <c r="B489" s="376" t="s">
        <v>588</v>
      </c>
      <c r="C489" s="376" t="str">
        <f>Technologies!C301</f>
        <v>XPCOMLPGR4</v>
      </c>
      <c r="D489" s="376" t="str">
        <f>Technologies!D301</f>
        <v>Delivery of Pipeline Traded COMLPG from R4</v>
      </c>
      <c r="E489" s="415" t="str">
        <f>E488</f>
        <v>LPGR4</v>
      </c>
      <c r="F489" s="415" t="str">
        <f>Commodities!C98</f>
        <v>COMLPG</v>
      </c>
      <c r="G489" s="422">
        <v>1</v>
      </c>
      <c r="H489" s="421">
        <f>DelivOIL!$I91*DelivOIL!P$84^5/(Conv!$I$5*Conv!$D$46)/10^6 + OILTrade!$K$17</f>
        <v>3.198964125875122</v>
      </c>
      <c r="I489" s="421">
        <f>DelivOIL!$I91*DelivOIL!Q$84^5/(Conv!$I$5*Conv!$D$46)/10^6 + OILTrade!$K$17</f>
        <v>2.9249583702455495</v>
      </c>
      <c r="J489" s="421">
        <f>DelivOIL!$I91*DelivOIL!R$84^5/(Conv!$I$5*Conv!$D$46)/10^6 + OILTrade!$K$17</f>
        <v>3.5863293280527868</v>
      </c>
      <c r="K489" s="421">
        <f>DelivOIL!$I91*DelivOIL!S$84^5/(Conv!$I$5*Conv!$D$46)/10^6 + OILTrade!$K$17</f>
        <v>3.1638570483663746</v>
      </c>
      <c r="L489" s="421">
        <f>DelivOIL!$I91*DelivOIL!T$84^5/(Conv!$I$5*Conv!$D$46)/10^6 + OILTrade!$K$17</f>
        <v>3.0127596913276258</v>
      </c>
      <c r="M489" s="421">
        <f>DelivOIL!$I91*DelivOIL!U$84^5/(Conv!$I$5*Conv!$D$46)/10^6 + OILTrade!$K$17</f>
        <v>3.1055836290092893</v>
      </c>
      <c r="N489" s="421">
        <f>DelivOIL!$I91*DelivOIL!V$84^5/(Conv!$I$5*Conv!$D$46)/10^6 + OILTrade!$K$17</f>
        <v>3.1055836290092893</v>
      </c>
      <c r="O489" s="421">
        <f>DelivOIL!$I91*DelivOIL!W$84^5/(Conv!$I$5*Conv!$D$46)/10^6 + OILTrade!$K$17</f>
        <v>3.1055836290092893</v>
      </c>
      <c r="P489" s="421">
        <f>DelivOIL!$I91*DelivOIL!X$84^5/(Conv!$I$5*Conv!$D$46)/10^6 + OILTrade!$K$17</f>
        <v>3.1055836290092893</v>
      </c>
      <c r="Q489" s="421">
        <f>DelivOIL!$I91*DelivOIL!Y$84^5/(Conv!$I$5*Conv!$D$46)/10^6 + OILTrade!$K$17</f>
        <v>3.1055836290092893</v>
      </c>
      <c r="S489" s="395"/>
      <c r="T489" s="395"/>
      <c r="U489" s="395"/>
      <c r="V489" s="395"/>
      <c r="W489" s="395"/>
      <c r="X489" s="395"/>
      <c r="Y489" s="395"/>
      <c r="Z489" s="395"/>
      <c r="AA489" s="395"/>
      <c r="AB489" s="395"/>
      <c r="AC489" s="395"/>
    </row>
    <row r="490" spans="2:29">
      <c r="B490" s="376" t="s">
        <v>588</v>
      </c>
      <c r="C490" s="376" t="str">
        <f>Technologies!C302</f>
        <v>XPINDLPGR4</v>
      </c>
      <c r="D490" s="376" t="str">
        <f>Technologies!D302</f>
        <v>Delivery of Pipeline Traded INDLPG from R4</v>
      </c>
      <c r="E490" s="415" t="str">
        <f>E489</f>
        <v>LPGR4</v>
      </c>
      <c r="F490" s="415" t="str">
        <f>Commodities!C99</f>
        <v>INDLPG</v>
      </c>
      <c r="G490" s="422">
        <v>1</v>
      </c>
      <c r="H490" s="421">
        <f>DelivOIL!$I92*DelivOIL!P$84^5/(Conv!$I$5*Conv!$D$46)/10^6 + OILTrade!$K$17</f>
        <v>1.5830960932955542</v>
      </c>
      <c r="I490" s="421">
        <f>DelivOIL!$I92*DelivOIL!Q$84^5/(Conv!$I$5*Conv!$D$46)/10^6 + OILTrade!$K$17</f>
        <v>1.4505704337100094</v>
      </c>
      <c r="J490" s="421">
        <f>DelivOIL!$I92*DelivOIL!R$84^5/(Conv!$I$5*Conv!$D$46)/10^6 + OILTrade!$K$17</f>
        <v>1.7704491976167778</v>
      </c>
      <c r="K490" s="421">
        <f>DelivOIL!$I92*DelivOIL!S$84^5/(Conv!$I$5*Conv!$D$46)/10^6 + OILTrade!$K$17</f>
        <v>1.5661161995985129</v>
      </c>
      <c r="L490" s="421">
        <f>DelivOIL!$I92*DelivOIL!T$84^5/(Conv!$I$5*Conv!$D$46)/10^6 + OILTrade!$K$17</f>
        <v>1.4930364321418634</v>
      </c>
      <c r="M490" s="421">
        <f>DelivOIL!$I92*DelivOIL!U$84^5/(Conv!$I$5*Conv!$D$46)/10^6 + OILTrade!$K$17</f>
        <v>1.5379316699748247</v>
      </c>
      <c r="N490" s="421">
        <f>DelivOIL!$I92*DelivOIL!V$84^5/(Conv!$I$5*Conv!$D$46)/10^6 + OILTrade!$K$17</f>
        <v>1.5379316699748247</v>
      </c>
      <c r="O490" s="421">
        <f>DelivOIL!$I92*DelivOIL!W$84^5/(Conv!$I$5*Conv!$D$46)/10^6 + OILTrade!$K$17</f>
        <v>1.5379316699748247</v>
      </c>
      <c r="P490" s="421">
        <f>DelivOIL!$I92*DelivOIL!X$84^5/(Conv!$I$5*Conv!$D$46)/10^6 + OILTrade!$K$17</f>
        <v>1.5379316699748247</v>
      </c>
      <c r="Q490" s="421">
        <f>DelivOIL!$I92*DelivOIL!Y$84^5/(Conv!$I$5*Conv!$D$46)/10^6 + OILTrade!$K$17</f>
        <v>1.5379316699748247</v>
      </c>
      <c r="S490" s="395"/>
      <c r="T490" s="395"/>
      <c r="U490" s="395"/>
      <c r="V490" s="395"/>
      <c r="W490" s="395"/>
      <c r="X490" s="395"/>
      <c r="Y490" s="395"/>
      <c r="Z490" s="395"/>
      <c r="AA490" s="395"/>
      <c r="AB490" s="395"/>
      <c r="AC490" s="395"/>
    </row>
    <row r="491" spans="2:29">
      <c r="B491" s="376" t="s">
        <v>588</v>
      </c>
      <c r="C491" s="376" t="str">
        <f>Technologies!C303</f>
        <v>XPTRNLPGR4</v>
      </c>
      <c r="D491" s="376" t="str">
        <f>Technologies!D303</f>
        <v>Delivery of Pipeline Traded TRNLPG from R4</v>
      </c>
      <c r="E491" s="415" t="str">
        <f>E490</f>
        <v>LPGR4</v>
      </c>
      <c r="F491" s="415" t="str">
        <f>Commodities!C100</f>
        <v>TRNLPG</v>
      </c>
      <c r="G491" s="422">
        <v>1</v>
      </c>
      <c r="H491" s="421">
        <f>DelivOIL!$I93*DelivOIL!P$84^5/(Conv!$I$5*Conv!$D$46)/10^6 + OILTrade!$K$17</f>
        <v>3.267144211637973</v>
      </c>
      <c r="I491" s="421">
        <f>DelivOIL!$I93*DelivOIL!Q$84^5/(Conv!$I$5*Conv!$D$46)/10^6 + OILTrade!$K$17</f>
        <v>2.9871688317027454</v>
      </c>
      <c r="J491" s="421">
        <f>DelivOIL!$I93*DelivOIL!R$84^5/(Conv!$I$5*Conv!$D$46)/10^6 + OILTrade!$K$17</f>
        <v>3.6629487428391165</v>
      </c>
      <c r="K491" s="421">
        <f>DelivOIL!$I93*DelivOIL!S$84^5/(Conv!$I$5*Conv!$D$46)/10^6 + OILTrade!$K$17</f>
        <v>3.2312722740527824</v>
      </c>
      <c r="L491" s="421">
        <f>DelivOIL!$I93*DelivOIL!T$84^5/(Conv!$I$5*Conv!$D$46)/10^6 + OILTrade!$K$17</f>
        <v>3.0768830355970676</v>
      </c>
      <c r="M491" s="421">
        <f>DelivOIL!$I93*DelivOIL!U$84^5/(Conv!$I$5*Conv!$D$46)/10^6 + OILTrade!$K$17</f>
        <v>3.1717292812892244</v>
      </c>
      <c r="N491" s="421">
        <f>DelivOIL!$I93*DelivOIL!V$84^5/(Conv!$I$5*Conv!$D$46)/10^6 + OILTrade!$K$17</f>
        <v>3.1717292812892244</v>
      </c>
      <c r="O491" s="421">
        <f>DelivOIL!$I93*DelivOIL!W$84^5/(Conv!$I$5*Conv!$D$46)/10^6 + OILTrade!$K$17</f>
        <v>3.1717292812892244</v>
      </c>
      <c r="P491" s="421">
        <f>DelivOIL!$I93*DelivOIL!X$84^5/(Conv!$I$5*Conv!$D$46)/10^6 + OILTrade!$K$17</f>
        <v>3.1717292812892244</v>
      </c>
      <c r="Q491" s="421">
        <f>DelivOIL!$I93*DelivOIL!Y$84^5/(Conv!$I$5*Conv!$D$46)/10^6 + OILTrade!$K$17</f>
        <v>3.1717292812892244</v>
      </c>
      <c r="S491" s="395"/>
      <c r="T491" s="395"/>
      <c r="U491" s="395"/>
      <c r="V491" s="395"/>
      <c r="W491" s="395"/>
      <c r="X491" s="395"/>
      <c r="Y491" s="395"/>
      <c r="Z491" s="395"/>
      <c r="AA491" s="395"/>
      <c r="AB491" s="395"/>
      <c r="AC491" s="395"/>
    </row>
    <row r="492" spans="2:29">
      <c r="B492" s="376" t="s">
        <v>588</v>
      </c>
      <c r="C492" s="376" t="str">
        <f>Technologies!C304</f>
        <v>XPTRNMTHR4</v>
      </c>
      <c r="D492" s="376" t="str">
        <f>Technologies!D304</f>
        <v>Delivery of Pipeline Traded TRNMTH from R4</v>
      </c>
      <c r="E492" s="415" t="str">
        <f>Commodities!C138</f>
        <v>MTHR4</v>
      </c>
      <c r="F492" s="415" t="str">
        <f>Commodities!C101</f>
        <v>TRNMTH</v>
      </c>
      <c r="G492" s="422">
        <v>1</v>
      </c>
      <c r="H492" s="421">
        <f>DelivOIL!$I94*DelivOIL!P$84^5/(Conv!$I$5*Conv!$D$46)/10^6 + OILTrade!$K$17</f>
        <v>2.8580636970608668</v>
      </c>
      <c r="I492" s="421">
        <f>DelivOIL!$I94*DelivOIL!Q$84^5/(Conv!$I$5*Conv!$D$46)/10^6 + OILTrade!$K$17</f>
        <v>2.6139060629595701</v>
      </c>
      <c r="J492" s="421">
        <f>DelivOIL!$I94*DelivOIL!R$84^5/(Conv!$I$5*Conv!$D$46)/10^6 + OILTrade!$K$17</f>
        <v>3.2032322541211387</v>
      </c>
      <c r="K492" s="421">
        <f>DelivOIL!$I94*DelivOIL!S$84^5/(Conv!$I$5*Conv!$D$46)/10^6 + OILTrade!$K$17</f>
        <v>2.8267809199343357</v>
      </c>
      <c r="L492" s="421">
        <f>DelivOIL!$I94*DelivOIL!T$84^5/(Conv!$I$5*Conv!$D$46)/10^6 + OILTrade!$K$17</f>
        <v>2.6921429699804182</v>
      </c>
      <c r="M492" s="421">
        <f>DelivOIL!$I94*DelivOIL!U$84^5/(Conv!$I$5*Conv!$D$46)/10^6 + OILTrade!$K$17</f>
        <v>2.7748553676096126</v>
      </c>
      <c r="N492" s="421">
        <f>DelivOIL!$I94*DelivOIL!V$84^5/(Conv!$I$5*Conv!$D$46)/10^6 + OILTrade!$K$17</f>
        <v>2.7748553676096126</v>
      </c>
      <c r="O492" s="421">
        <f>DelivOIL!$I94*DelivOIL!W$84^5/(Conv!$I$5*Conv!$D$46)/10^6 + OILTrade!$K$17</f>
        <v>2.7748553676096126</v>
      </c>
      <c r="P492" s="421">
        <f>DelivOIL!$I94*DelivOIL!X$84^5/(Conv!$I$5*Conv!$D$46)/10^6 + OILTrade!$K$17</f>
        <v>2.7748553676096126</v>
      </c>
      <c r="Q492" s="421">
        <f>DelivOIL!$I94*DelivOIL!Y$84^5/(Conv!$I$5*Conv!$D$46)/10^6 + OILTrade!$K$17</f>
        <v>2.7748553676096126</v>
      </c>
      <c r="S492" s="395"/>
      <c r="T492" s="395"/>
      <c r="U492" s="395"/>
      <c r="V492" s="395"/>
      <c r="W492" s="395"/>
      <c r="X492" s="395"/>
      <c r="Y492" s="395"/>
      <c r="Z492" s="395"/>
      <c r="AA492" s="395"/>
      <c r="AB492" s="395"/>
      <c r="AC492" s="395"/>
    </row>
    <row r="493" spans="2:29">
      <c r="B493" s="376" t="s">
        <v>588</v>
      </c>
      <c r="C493" s="376" t="str">
        <f>Technologies!C305</f>
        <v>XPINDPFSR4</v>
      </c>
      <c r="D493" s="376" t="str">
        <f>Technologies!D305</f>
        <v>Delivery of Pipeline Traded INDPFS from R4</v>
      </c>
      <c r="E493" s="415" t="str">
        <f>Commodities!C139</f>
        <v>PFSR4</v>
      </c>
      <c r="F493" s="415" t="str">
        <f>Commodities!C102</f>
        <v>INDPFS</v>
      </c>
      <c r="G493" s="422">
        <v>1</v>
      </c>
      <c r="H493" s="421">
        <f>DelivOIL!$I95*DelivOIL!P$84^5/(Conv!$I$5*Conv!$D$46)/10^6 + OILTrade!$K$17</f>
        <v>1.1671975701421633</v>
      </c>
      <c r="I493" s="421">
        <f>DelivOIL!$I95*DelivOIL!Q$84^5/(Conv!$I$5*Conv!$D$46)/10^6 + OILTrade!$K$17</f>
        <v>1.071086618821115</v>
      </c>
      <c r="J493" s="421">
        <f>DelivOIL!$I95*DelivOIL!R$84^5/(Conv!$I$5*Conv!$D$46)/10^6 + OILTrade!$K$17</f>
        <v>1.3030707674201676</v>
      </c>
      <c r="K493" s="421">
        <f>DelivOIL!$I95*DelivOIL!S$84^5/(Conv!$I$5*Conv!$D$46)/10^6 + OILTrade!$K$17</f>
        <v>1.1548833229114259</v>
      </c>
      <c r="L493" s="421">
        <f>DelivOIL!$I95*DelivOIL!T$84^5/(Conv!$I$5*Conv!$D$46)/10^6 + OILTrade!$K$17</f>
        <v>1.1018840320982701</v>
      </c>
      <c r="M493" s="421">
        <f>DelivOIL!$I95*DelivOIL!U$84^5/(Conv!$I$5*Conv!$D$46)/10^6 + OILTrade!$K$17</f>
        <v>1.1344431910672197</v>
      </c>
      <c r="N493" s="421">
        <f>DelivOIL!$I95*DelivOIL!V$84^5/(Conv!$I$5*Conv!$D$46)/10^6 + OILTrade!$K$17</f>
        <v>1.1344431910672197</v>
      </c>
      <c r="O493" s="421">
        <f>DelivOIL!$I95*DelivOIL!W$84^5/(Conv!$I$5*Conv!$D$46)/10^6 + OILTrade!$K$17</f>
        <v>1.1344431910672197</v>
      </c>
      <c r="P493" s="421">
        <f>DelivOIL!$I95*DelivOIL!X$84^5/(Conv!$I$5*Conv!$D$46)/10^6 + OILTrade!$K$17</f>
        <v>1.1344431910672197</v>
      </c>
      <c r="Q493" s="421">
        <f>DelivOIL!$I95*DelivOIL!Y$84^5/(Conv!$I$5*Conv!$D$46)/10^6 + OILTrade!$K$17</f>
        <v>1.1344431910672197</v>
      </c>
      <c r="S493" s="395"/>
      <c r="T493" s="395"/>
      <c r="U493" s="395"/>
      <c r="V493" s="395"/>
      <c r="W493" s="395"/>
      <c r="X493" s="395"/>
      <c r="Y493" s="395"/>
      <c r="Z493" s="395"/>
      <c r="AA493" s="395"/>
      <c r="AB493" s="395"/>
      <c r="AC493" s="395"/>
    </row>
    <row r="494" spans="2:29">
      <c r="B494" s="376" t="s">
        <v>588</v>
      </c>
      <c r="C494" s="376" t="str">
        <f>Technologies!C307</f>
        <v>XPCOMRFLR4</v>
      </c>
      <c r="D494" s="376" t="str">
        <f>Technologies!D307</f>
        <v>Delivery of Pipeline Traded COMRFL from R4</v>
      </c>
      <c r="E494" s="415" t="str">
        <f>Commodities!C141</f>
        <v>RFLR4</v>
      </c>
      <c r="F494" s="415" t="str">
        <f>Commodities!C104</f>
        <v>COMRFL</v>
      </c>
      <c r="G494" s="422">
        <v>1</v>
      </c>
      <c r="H494" s="421">
        <f>DelivOIL!$I96*DelivOIL!P$84^5/(Conv!$I$5*Conv!$D$46)/10^6 + OILTrade!$K$17</f>
        <v>0.10358823224168769</v>
      </c>
      <c r="I494" s="421">
        <f>DelivOIL!$I96*DelivOIL!Q$84^5/(Conv!$I$5*Conv!$D$46)/10^6 + OILTrade!$K$17</f>
        <v>0.1006034200888601</v>
      </c>
      <c r="J494" s="421">
        <f>DelivOIL!$I96*DelivOIL!R$84^5/(Conv!$I$5*Conv!$D$46)/10^6 + OILTrade!$K$17</f>
        <v>0.10780789675342696</v>
      </c>
      <c r="K494" s="421">
        <f>DelivOIL!$I96*DelivOIL!S$84^5/(Conv!$I$5*Conv!$D$46)/10^6 + OILTrade!$K$17</f>
        <v>0.10320580220346603</v>
      </c>
      <c r="L494" s="421">
        <f>DelivOIL!$I96*DelivOIL!T$84^5/(Conv!$I$5*Conv!$D$46)/10^6 + OILTrade!$K$17</f>
        <v>0.10155986149498293</v>
      </c>
      <c r="M494" s="421">
        <f>DelivOIL!$I96*DelivOIL!U$84^5/(Conv!$I$5*Conv!$D$46)/10^6 + OILTrade!$K$17</f>
        <v>0.10257101550022982</v>
      </c>
      <c r="N494" s="421">
        <f>DelivOIL!$I96*DelivOIL!V$84^5/(Conv!$I$5*Conv!$D$46)/10^6 + OILTrade!$K$17</f>
        <v>0.10257101550022982</v>
      </c>
      <c r="O494" s="421">
        <f>DelivOIL!$I96*DelivOIL!W$84^5/(Conv!$I$5*Conv!$D$46)/10^6 + OILTrade!$K$17</f>
        <v>0.10257101550022982</v>
      </c>
      <c r="P494" s="421">
        <f>DelivOIL!$I96*DelivOIL!X$84^5/(Conv!$I$5*Conv!$D$46)/10^6 + OILTrade!$K$17</f>
        <v>0.10257101550022982</v>
      </c>
      <c r="Q494" s="421">
        <f>DelivOIL!$I96*DelivOIL!Y$84^5/(Conv!$I$5*Conv!$D$46)/10^6 + OILTrade!$K$17</f>
        <v>0.10257101550022982</v>
      </c>
      <c r="S494" s="395"/>
      <c r="T494" s="395"/>
      <c r="U494" s="395"/>
      <c r="V494" s="395"/>
      <c r="W494" s="395"/>
      <c r="X494" s="395"/>
      <c r="Y494" s="395"/>
      <c r="Z494" s="395"/>
      <c r="AA494" s="395"/>
      <c r="AB494" s="395"/>
      <c r="AC494" s="395"/>
    </row>
    <row r="495" spans="2:29">
      <c r="B495" s="376" t="s">
        <v>588</v>
      </c>
      <c r="C495" s="376" t="str">
        <f>Technologies!C308</f>
        <v>XPINDRFLR4</v>
      </c>
      <c r="D495" s="376" t="str">
        <f>Technologies!D308</f>
        <v>Delivery of Pipeline Traded INDRFL from R4</v>
      </c>
      <c r="E495" s="415" t="str">
        <f>E494</f>
        <v>RFLR4</v>
      </c>
      <c r="F495" s="415" t="str">
        <f>Commodities!C105</f>
        <v>INDRFL</v>
      </c>
      <c r="G495" s="422">
        <v>1</v>
      </c>
      <c r="H495" s="421">
        <f>DelivOIL!$I97*DelivOIL!P$84^5/(Conv!$I$5*Conv!$D$46)/10^6 + OILTrade!$K$17</f>
        <v>0.37630857529309197</v>
      </c>
      <c r="I495" s="421">
        <f>DelivOIL!$I97*DelivOIL!Q$84^5/(Conv!$I$5*Conv!$D$46)/10^6 + OILTrade!$K$17</f>
        <v>0.34944526591764358</v>
      </c>
      <c r="J495" s="421">
        <f>DelivOIL!$I97*DelivOIL!R$84^5/(Conv!$I$5*Conv!$D$46)/10^6 + OILTrade!$K$17</f>
        <v>0.41428555589874538</v>
      </c>
      <c r="K495" s="421">
        <f>DelivOIL!$I97*DelivOIL!S$84^5/(Conv!$I$5*Conv!$D$46)/10^6 + OILTrade!$K$17</f>
        <v>0.37286670494909707</v>
      </c>
      <c r="L495" s="421">
        <f>DelivOIL!$I97*DelivOIL!T$84^5/(Conv!$I$5*Conv!$D$46)/10^6 + OILTrade!$K$17</f>
        <v>0.35805323857274912</v>
      </c>
      <c r="M495" s="421">
        <f>DelivOIL!$I97*DelivOIL!U$84^5/(Conv!$I$5*Conv!$D$46)/10^6 + OILTrade!$K$17</f>
        <v>0.36715362461997103</v>
      </c>
      <c r="N495" s="421">
        <f>DelivOIL!$I97*DelivOIL!V$84^5/(Conv!$I$5*Conv!$D$46)/10^6 + OILTrade!$K$17</f>
        <v>0.36715362461997103</v>
      </c>
      <c r="O495" s="421">
        <f>DelivOIL!$I97*DelivOIL!W$84^5/(Conv!$I$5*Conv!$D$46)/10^6 + OILTrade!$K$17</f>
        <v>0.36715362461997103</v>
      </c>
      <c r="P495" s="421">
        <f>DelivOIL!$I97*DelivOIL!X$84^5/(Conv!$I$5*Conv!$D$46)/10^6 + OILTrade!$K$17</f>
        <v>0.36715362461997103</v>
      </c>
      <c r="Q495" s="421">
        <f>DelivOIL!$I97*DelivOIL!Y$84^5/(Conv!$I$5*Conv!$D$46)/10^6 + OILTrade!$K$17</f>
        <v>0.36715362461997103</v>
      </c>
      <c r="S495" s="395"/>
      <c r="T495" s="395"/>
      <c r="U495" s="395"/>
      <c r="V495" s="395"/>
      <c r="W495" s="395"/>
      <c r="X495" s="395"/>
      <c r="Y495" s="395"/>
      <c r="Z495" s="395"/>
      <c r="AA495" s="395"/>
      <c r="AB495" s="395"/>
      <c r="AC495" s="395"/>
    </row>
    <row r="496" spans="2:29">
      <c r="B496" s="376" t="s">
        <v>588</v>
      </c>
      <c r="C496" s="376" t="str">
        <f>Technologies!C309</f>
        <v>XPELCRFLR4</v>
      </c>
      <c r="D496" s="376" t="str">
        <f>Technologies!D309</f>
        <v>Delivery of Pipeline Traded ELCRFL from R4</v>
      </c>
      <c r="E496" s="415" t="str">
        <f>E495</f>
        <v>RFLR4</v>
      </c>
      <c r="F496" s="415" t="str">
        <f>Commodities!C106</f>
        <v>ELCRFL</v>
      </c>
      <c r="G496" s="422">
        <v>1</v>
      </c>
      <c r="H496" s="421">
        <f>DelivOIL!$I98*DelivOIL!P$84^5/(Conv!$I$5*Conv!$D$46)/10^6 + OILTrade!$K$17</f>
        <v>0.90811324424332951</v>
      </c>
      <c r="I496" s="421">
        <f>DelivOIL!$I98*DelivOIL!Q$84^5/(Conv!$I$5*Conv!$D$46)/10^6 + OILTrade!$K$17</f>
        <v>0.8346868652837709</v>
      </c>
      <c r="J496" s="421">
        <f>DelivOIL!$I98*DelivOIL!R$84^5/(Conv!$I$5*Conv!$D$46)/10^6 + OILTrade!$K$17</f>
        <v>1.0119169912321155</v>
      </c>
      <c r="K496" s="421">
        <f>DelivOIL!$I98*DelivOIL!S$84^5/(Conv!$I$5*Conv!$D$46)/10^6 + OILTrade!$K$17</f>
        <v>0.89870546530307693</v>
      </c>
      <c r="L496" s="421">
        <f>DelivOIL!$I98*DelivOIL!T$84^5/(Conv!$I$5*Conv!$D$46)/10^6 + OILTrade!$K$17</f>
        <v>0.85821532387439259</v>
      </c>
      <c r="M496" s="421">
        <f>DelivOIL!$I98*DelivOIL!U$84^5/(Conv!$I$5*Conv!$D$46)/10^6 + OILTrade!$K$17</f>
        <v>0.88308971240346579</v>
      </c>
      <c r="N496" s="421">
        <f>DelivOIL!$I98*DelivOIL!V$84^5/(Conv!$I$5*Conv!$D$46)/10^6 + OILTrade!$K$17</f>
        <v>0.88308971240346579</v>
      </c>
      <c r="O496" s="421">
        <f>DelivOIL!$I98*DelivOIL!W$84^5/(Conv!$I$5*Conv!$D$46)/10^6 + OILTrade!$K$17</f>
        <v>0.88308971240346579</v>
      </c>
      <c r="P496" s="421">
        <f>DelivOIL!$I98*DelivOIL!X$84^5/(Conv!$I$5*Conv!$D$46)/10^6 + OILTrade!$K$17</f>
        <v>0.88308971240346579</v>
      </c>
      <c r="Q496" s="421">
        <f>DelivOIL!$I98*DelivOIL!Y$84^5/(Conv!$I$5*Conv!$D$46)/10^6 + OILTrade!$K$17</f>
        <v>0.88308971240346579</v>
      </c>
      <c r="S496" s="395"/>
      <c r="T496" s="395"/>
      <c r="U496" s="395"/>
      <c r="V496" s="395"/>
      <c r="W496" s="395"/>
      <c r="X496" s="395"/>
      <c r="Y496" s="395"/>
      <c r="Z496" s="395"/>
      <c r="AA496" s="395"/>
      <c r="AB496" s="395"/>
      <c r="AC496" s="395"/>
    </row>
    <row r="497" spans="2:29">
      <c r="B497" s="376" t="s">
        <v>588</v>
      </c>
      <c r="C497" s="376" t="str">
        <f>Technologies!C310</f>
        <v>XPTRNRFHR4</v>
      </c>
      <c r="D497" s="376" t="str">
        <f>Technologies!D310</f>
        <v>Delivery of Pipeline Traded TRNRFH from R4</v>
      </c>
      <c r="E497" s="415" t="str">
        <f>Commodities!C140</f>
        <v>RFHR4</v>
      </c>
      <c r="F497" s="415" t="str">
        <f>Commodities!C107</f>
        <v>TRNRFH</v>
      </c>
      <c r="G497" s="422">
        <v>1</v>
      </c>
      <c r="H497" s="421">
        <f>DelivOIL!$I99*DelivOIL!P$84^5/(Conv!$I$5*Conv!$D$46)/10^6 + OILTrade!$K$17</f>
        <v>1.2149236301761595</v>
      </c>
      <c r="I497" s="421">
        <f>DelivOIL!$I99*DelivOIL!Q$84^5/(Conv!$I$5*Conv!$D$46)/10^6 + OILTrade!$K$17</f>
        <v>1.1146339418411524</v>
      </c>
      <c r="J497" s="421">
        <f>DelivOIL!$I99*DelivOIL!R$84^5/(Conv!$I$5*Conv!$D$46)/10^6 + OILTrade!$K$17</f>
        <v>1.3567043577705988</v>
      </c>
      <c r="K497" s="421">
        <f>DelivOIL!$I99*DelivOIL!S$84^5/(Conv!$I$5*Conv!$D$46)/10^6 + OILTrade!$K$17</f>
        <v>1.2020739808919119</v>
      </c>
      <c r="L497" s="421">
        <f>DelivOIL!$I99*DelivOIL!T$84^5/(Conv!$I$5*Conv!$D$46)/10^6 + OILTrade!$K$17</f>
        <v>1.1467703730868795</v>
      </c>
      <c r="M497" s="421">
        <f>DelivOIL!$I99*DelivOIL!U$84^5/(Conv!$I$5*Conv!$D$46)/10^6 + OILTrade!$K$17</f>
        <v>1.1807451476631747</v>
      </c>
      <c r="N497" s="421">
        <f>DelivOIL!$I99*DelivOIL!V$84^5/(Conv!$I$5*Conv!$D$46)/10^6 + OILTrade!$K$17</f>
        <v>1.1807451476631747</v>
      </c>
      <c r="O497" s="421">
        <f>DelivOIL!$I99*DelivOIL!W$84^5/(Conv!$I$5*Conv!$D$46)/10^6 + OILTrade!$K$17</f>
        <v>1.1807451476631747</v>
      </c>
      <c r="P497" s="421">
        <f>DelivOIL!$I99*DelivOIL!X$84^5/(Conv!$I$5*Conv!$D$46)/10^6 + OILTrade!$K$17</f>
        <v>1.1807451476631747</v>
      </c>
      <c r="Q497" s="421">
        <f>DelivOIL!$I99*DelivOIL!Y$84^5/(Conv!$I$5*Conv!$D$46)/10^6 + OILTrade!$K$17</f>
        <v>1.1807451476631747</v>
      </c>
      <c r="S497" s="395"/>
      <c r="T497" s="395"/>
      <c r="U497" s="395"/>
      <c r="V497" s="395"/>
      <c r="W497" s="395"/>
      <c r="X497" s="395"/>
      <c r="Y497" s="395"/>
      <c r="Z497" s="395"/>
      <c r="AA497" s="395"/>
      <c r="AB497" s="395"/>
      <c r="AC497" s="395"/>
    </row>
    <row r="498" spans="2:29">
      <c r="B498" s="376" t="s">
        <v>588</v>
      </c>
      <c r="C498" s="376" t="str">
        <f>Technologies!C311</f>
        <v>XPELCRFHR4</v>
      </c>
      <c r="D498" s="376" t="str">
        <f>Technologies!D311</f>
        <v>Delivery of Pipeline Traded ELCRFH from R4</v>
      </c>
      <c r="E498" s="415" t="str">
        <f>E497</f>
        <v>RFHR4</v>
      </c>
      <c r="F498" s="415" t="str">
        <f>Commodities!C108</f>
        <v>ELCRFH</v>
      </c>
      <c r="G498" s="422">
        <v>1</v>
      </c>
      <c r="H498" s="421">
        <f>DelivOIL!$I100*DelivOIL!P$84^5/(Conv!$I$5*Conv!$D$46)/10^6 + OILTrade!$K$17</f>
        <v>6.9498189360262155E-2</v>
      </c>
      <c r="I498" s="421">
        <f>DelivOIL!$I100*DelivOIL!Q$84^5/(Conv!$I$5*Conv!$D$46)/10^6 + OILTrade!$K$17</f>
        <v>6.9498189360262155E-2</v>
      </c>
      <c r="J498" s="421">
        <f>DelivOIL!$I100*DelivOIL!R$84^5/(Conv!$I$5*Conv!$D$46)/10^6 + OILTrade!$K$17</f>
        <v>6.9498189360262155E-2</v>
      </c>
      <c r="K498" s="421">
        <f>DelivOIL!$I100*DelivOIL!S$84^5/(Conv!$I$5*Conv!$D$46)/10^6 + OILTrade!$K$17</f>
        <v>6.9498189360262155E-2</v>
      </c>
      <c r="L498" s="421">
        <f>DelivOIL!$I100*DelivOIL!T$84^5/(Conv!$I$5*Conv!$D$46)/10^6 + OILTrade!$K$17</f>
        <v>6.9498189360262155E-2</v>
      </c>
      <c r="M498" s="421">
        <f>DelivOIL!$I100*DelivOIL!U$84^5/(Conv!$I$5*Conv!$D$46)/10^6 + OILTrade!$K$17</f>
        <v>6.9498189360262155E-2</v>
      </c>
      <c r="N498" s="421">
        <f>DelivOIL!$I100*DelivOIL!V$84^5/(Conv!$I$5*Conv!$D$46)/10^6 + OILTrade!$K$17</f>
        <v>6.9498189360262155E-2</v>
      </c>
      <c r="O498" s="421">
        <f>DelivOIL!$I100*DelivOIL!W$84^5/(Conv!$I$5*Conv!$D$46)/10^6 + OILTrade!$K$17</f>
        <v>6.9498189360262155E-2</v>
      </c>
      <c r="P498" s="421">
        <f>DelivOIL!$I100*DelivOIL!X$84^5/(Conv!$I$5*Conv!$D$46)/10^6 + OILTrade!$K$17</f>
        <v>6.9498189360262155E-2</v>
      </c>
      <c r="Q498" s="421">
        <f>DelivOIL!$I100*DelivOIL!Y$84^5/(Conv!$I$5*Conv!$D$46)/10^6 + OILTrade!$K$17</f>
        <v>6.9498189360262155E-2</v>
      </c>
      <c r="S498" s="395"/>
      <c r="T498" s="395"/>
      <c r="U498" s="395"/>
      <c r="V498" s="395"/>
      <c r="W498" s="395"/>
      <c r="X498" s="395"/>
      <c r="Y498" s="395"/>
      <c r="Z498" s="395"/>
      <c r="AA498" s="395"/>
      <c r="AB498" s="395"/>
      <c r="AC498" s="395"/>
    </row>
    <row r="499" spans="2:29">
      <c r="B499" s="376" t="s">
        <v>588</v>
      </c>
      <c r="C499" s="376" t="str">
        <f>Technologies!C312</f>
        <v>XPINDASPR4</v>
      </c>
      <c r="D499" s="376" t="str">
        <f>Technologies!D312</f>
        <v>Delivery of Pipeline Traded INDASP from R4</v>
      </c>
      <c r="E499" s="415" t="str">
        <f>Commodities!C142</f>
        <v>ASPR4</v>
      </c>
      <c r="F499" s="415" t="str">
        <f>Commodities!C109</f>
        <v>INDASP</v>
      </c>
      <c r="G499" s="422">
        <v>1</v>
      </c>
      <c r="H499" s="421">
        <f>DelivOIL!$I101*DelivOIL!P$84^5/(Conv!$I$5*Conv!$D$46)/10^6 + OILTrade!$K$17</f>
        <v>0.84675116705676357</v>
      </c>
      <c r="I499" s="421">
        <f>DelivOIL!$I101*DelivOIL!Q$84^5/(Conv!$I$5*Conv!$D$46)/10^6 + OILTrade!$K$17</f>
        <v>0.77869744997229462</v>
      </c>
      <c r="J499" s="421">
        <f>DelivOIL!$I101*DelivOIL!R$84^5/(Conv!$I$5*Conv!$D$46)/10^6 + OILTrade!$K$17</f>
        <v>0.94295951792441901</v>
      </c>
      <c r="K499" s="421">
        <f>DelivOIL!$I101*DelivOIL!S$84^5/(Conv!$I$5*Conv!$D$46)/10^6 + OILTrade!$K$17</f>
        <v>0.83803176218530984</v>
      </c>
      <c r="L499" s="421">
        <f>DelivOIL!$I101*DelivOIL!T$84^5/(Conv!$I$5*Conv!$D$46)/10^6 + OILTrade!$K$17</f>
        <v>0.80050431403189515</v>
      </c>
      <c r="M499" s="421">
        <f>DelivOIL!$I101*DelivOIL!U$84^5/(Conv!$I$5*Conv!$D$46)/10^6 + OILTrade!$K$17</f>
        <v>0.82355862535152402</v>
      </c>
      <c r="N499" s="421">
        <f>DelivOIL!$I101*DelivOIL!V$84^5/(Conv!$I$5*Conv!$D$46)/10^6 + OILTrade!$K$17</f>
        <v>0.82355862535152402</v>
      </c>
      <c r="O499" s="421">
        <f>DelivOIL!$I101*DelivOIL!W$84^5/(Conv!$I$5*Conv!$D$46)/10^6 + OILTrade!$K$17</f>
        <v>0.82355862535152402</v>
      </c>
      <c r="P499" s="421">
        <f>DelivOIL!$I101*DelivOIL!X$84^5/(Conv!$I$5*Conv!$D$46)/10^6 + OILTrade!$K$17</f>
        <v>0.82355862535152402</v>
      </c>
      <c r="Q499" s="421">
        <f>DelivOIL!$I101*DelivOIL!Y$84^5/(Conv!$I$5*Conv!$D$46)/10^6 + OILTrade!$K$17</f>
        <v>0.82355862535152402</v>
      </c>
      <c r="S499" s="395"/>
      <c r="T499" s="395"/>
      <c r="U499" s="395"/>
      <c r="V499" s="395"/>
      <c r="W499" s="395"/>
      <c r="X499" s="395"/>
      <c r="Y499" s="395"/>
      <c r="Z499" s="395"/>
      <c r="AA499" s="395"/>
      <c r="AB499" s="395"/>
      <c r="AC499" s="395"/>
    </row>
    <row r="500" spans="2:29">
      <c r="B500" s="376" t="s">
        <v>588</v>
      </c>
      <c r="C500" s="376"/>
      <c r="D500" s="376"/>
      <c r="E500" s="415"/>
      <c r="F500" s="415"/>
      <c r="G500" s="422"/>
      <c r="H500" s="423"/>
      <c r="I500" s="423"/>
      <c r="J500" s="423"/>
      <c r="K500" s="423"/>
      <c r="L500" s="423"/>
      <c r="M500" s="423"/>
      <c r="N500" s="423"/>
      <c r="O500" s="423"/>
      <c r="P500" s="423"/>
      <c r="Q500" s="423"/>
    </row>
    <row r="501" spans="2:29">
      <c r="B501" s="376" t="s">
        <v>588</v>
      </c>
      <c r="C501" s="376" t="str">
        <f>Technologies!C338</f>
        <v>XPTRGSLCR6</v>
      </c>
      <c r="D501" s="376" t="str">
        <f>Technologies!D338</f>
        <v>Delivery of Pipeline Traded TRGSLC from R6</v>
      </c>
      <c r="E501" s="415" t="str">
        <f>Commodities!C156</f>
        <v>GSCR6</v>
      </c>
      <c r="F501" s="415" t="str">
        <f>Commodities!C85</f>
        <v>TRGSLC</v>
      </c>
      <c r="G501" s="422">
        <v>1</v>
      </c>
      <c r="H501" s="421">
        <f>DelivOIL!$I77*DelivOIL!P$84^5/(Conv!$I$5*Conv!$D$46)/10^6 + OILTrade!$K$19</f>
        <v>3.6961639732185123</v>
      </c>
      <c r="I501" s="421">
        <f>DelivOIL!$I77*DelivOIL!Q$84^5/(Conv!$I$5*Conv!$D$46)/10^6 + OILTrade!$K$19</f>
        <v>3.3845495844633127</v>
      </c>
      <c r="J501" s="421">
        <f>DelivOIL!$I77*DelivOIL!R$84^5/(Conv!$I$5*Conv!$D$46)/10^6 + OILTrade!$K$19</f>
        <v>4.1366969482440918</v>
      </c>
      <c r="K501" s="421">
        <f>DelivOIL!$I77*DelivOIL!S$84^5/(Conv!$I$5*Conv!$D$46)/10^6 + OILTrade!$K$19</f>
        <v>3.6562382772281721</v>
      </c>
      <c r="L501" s="421">
        <f>DelivOIL!$I77*DelivOIL!T$84^5/(Conv!$I$5*Conv!$D$46)/10^6 + OILTrade!$K$19</f>
        <v>3.4844020672625367</v>
      </c>
      <c r="M501" s="421">
        <f>DelivOIL!$I77*DelivOIL!U$84^5/(Conv!$I$5*Conv!$D$46)/10^6 + OILTrade!$K$19</f>
        <v>3.5899665454103107</v>
      </c>
      <c r="N501" s="421">
        <f>DelivOIL!$I77*DelivOIL!V$84^5/(Conv!$I$5*Conv!$D$46)/10^6 + OILTrade!$K$19</f>
        <v>3.5899665454103107</v>
      </c>
      <c r="O501" s="421">
        <f>DelivOIL!$I77*DelivOIL!W$84^5/(Conv!$I$5*Conv!$D$46)/10^6 + OILTrade!$K$19</f>
        <v>3.5899665454103107</v>
      </c>
      <c r="P501" s="421">
        <f>DelivOIL!$I77*DelivOIL!X$84^5/(Conv!$I$5*Conv!$D$46)/10^6 + OILTrade!$K$19</f>
        <v>3.5899665454103107</v>
      </c>
      <c r="Q501" s="421">
        <f>DelivOIL!$I77*DelivOIL!Y$84^5/(Conv!$I$5*Conv!$D$46)/10^6 + OILTrade!$K$19</f>
        <v>3.5899665454103107</v>
      </c>
      <c r="S501" s="395"/>
      <c r="T501" s="395"/>
      <c r="U501" s="395"/>
      <c r="V501" s="395"/>
      <c r="W501" s="395"/>
      <c r="X501" s="395"/>
      <c r="Y501" s="395"/>
      <c r="Z501" s="395"/>
      <c r="AA501" s="395"/>
      <c r="AB501" s="395"/>
      <c r="AC501" s="395"/>
    </row>
    <row r="502" spans="2:29">
      <c r="B502" s="376" t="s">
        <v>588</v>
      </c>
      <c r="C502" s="376" t="str">
        <f>Technologies!C339</f>
        <v>XPTRGSLRR6</v>
      </c>
      <c r="D502" s="376" t="str">
        <f>Technologies!D339</f>
        <v>Delivery of Pipeline Traded TRGSLR from R6</v>
      </c>
      <c r="E502" s="415" t="str">
        <f>Commodities!C157</f>
        <v>GSRR6</v>
      </c>
      <c r="F502" s="415" t="str">
        <f>Commodities!C86</f>
        <v>TRGSLR</v>
      </c>
      <c r="G502" s="422">
        <v>1</v>
      </c>
      <c r="H502" s="421">
        <f>DelivOIL!$I78*DelivOIL!P$84^5/(Conv!$I$5*Conv!$D$46)/10^6 + OILTrade!$K$19</f>
        <v>3.6348018960319473</v>
      </c>
      <c r="I502" s="421">
        <f>DelivOIL!$I78*DelivOIL!Q$84^5/(Conv!$I$5*Conv!$D$46)/10^6 + OILTrade!$K$19</f>
        <v>3.3285601691518369</v>
      </c>
      <c r="J502" s="421">
        <f>DelivOIL!$I78*DelivOIL!R$84^5/(Conv!$I$5*Conv!$D$46)/10^6 + OILTrade!$K$19</f>
        <v>4.0677394749363955</v>
      </c>
      <c r="K502" s="421">
        <f>DelivOIL!$I78*DelivOIL!S$84^5/(Conv!$I$5*Conv!$D$46)/10^6 + OILTrade!$K$19</f>
        <v>3.5955645741104063</v>
      </c>
      <c r="L502" s="421">
        <f>DelivOIL!$I78*DelivOIL!T$84^5/(Conv!$I$5*Conv!$D$46)/10^6 + OILTrade!$K$19</f>
        <v>3.4266910574200398</v>
      </c>
      <c r="M502" s="421">
        <f>DelivOIL!$I78*DelivOIL!U$84^5/(Conv!$I$5*Conv!$D$46)/10^6 + OILTrade!$K$19</f>
        <v>3.5304354583583697</v>
      </c>
      <c r="N502" s="421">
        <f>DelivOIL!$I78*DelivOIL!V$84^5/(Conv!$I$5*Conv!$D$46)/10^6 + OILTrade!$K$19</f>
        <v>3.5304354583583697</v>
      </c>
      <c r="O502" s="421">
        <f>DelivOIL!$I78*DelivOIL!W$84^5/(Conv!$I$5*Conv!$D$46)/10^6 + OILTrade!$K$19</f>
        <v>3.5304354583583697</v>
      </c>
      <c r="P502" s="421">
        <f>DelivOIL!$I78*DelivOIL!X$84^5/(Conv!$I$5*Conv!$D$46)/10^6 + OILTrade!$K$19</f>
        <v>3.5304354583583697</v>
      </c>
      <c r="Q502" s="421">
        <f>DelivOIL!$I78*DelivOIL!Y$84^5/(Conv!$I$5*Conv!$D$46)/10^6 + OILTrade!$K$19</f>
        <v>3.5304354583583697</v>
      </c>
      <c r="S502" s="395"/>
      <c r="T502" s="395"/>
      <c r="U502" s="395"/>
      <c r="V502" s="395"/>
      <c r="W502" s="395"/>
      <c r="X502" s="395"/>
      <c r="Y502" s="395"/>
      <c r="Z502" s="395"/>
      <c r="AA502" s="395"/>
      <c r="AB502" s="395"/>
      <c r="AC502" s="395"/>
    </row>
    <row r="503" spans="2:29">
      <c r="B503" s="376" t="s">
        <v>588</v>
      </c>
      <c r="C503" s="376" t="str">
        <f>Technologies!C340</f>
        <v>XPRESDSLR6</v>
      </c>
      <c r="D503" s="376" t="str">
        <f>Technologies!D340</f>
        <v>Delivery of Pipeline Traded RESDSL from R6</v>
      </c>
      <c r="E503" s="415" t="str">
        <f>Commodities!C158</f>
        <v>DSHR6</v>
      </c>
      <c r="F503" s="415" t="str">
        <f>Commodities!C87</f>
        <v>RESDSL</v>
      </c>
      <c r="G503" s="422">
        <v>1</v>
      </c>
      <c r="H503" s="421">
        <f>DelivOIL!$I80*DelivOIL!P$84^5/(Conv!$I$5*Conv!$D$46)/10^6 + OILTrade!$K$19</f>
        <v>2.9461830298271523</v>
      </c>
      <c r="I503" s="421">
        <f>DelivOIL!$I80*DelivOIL!Q$84^5/(Conv!$I$5*Conv!$D$46)/10^6 + OILTrade!$K$19</f>
        <v>2.7002345084341592</v>
      </c>
      <c r="J503" s="421">
        <f>DelivOIL!$I80*DelivOIL!R$84^5/(Conv!$I$5*Conv!$D$46)/10^6 + OILTrade!$K$19</f>
        <v>3.293883385594468</v>
      </c>
      <c r="K503" s="421">
        <f>DelivOIL!$I80*DelivOIL!S$84^5/(Conv!$I$5*Conv!$D$46)/10^6 + OILTrade!$K$19</f>
        <v>2.9146707946776886</v>
      </c>
      <c r="L503" s="421">
        <f>DelivOIL!$I80*DelivOIL!T$84^5/(Conv!$I$5*Conv!$D$46)/10^6 + OILTrade!$K$19</f>
        <v>2.7790452802986807</v>
      </c>
      <c r="M503" s="421">
        <f>DelivOIL!$I80*DelivOIL!U$84^5/(Conv!$I$5*Conv!$D$46)/10^6 + OILTrade!$K$19</f>
        <v>2.8623643703310235</v>
      </c>
      <c r="N503" s="421">
        <f>DelivOIL!$I80*DelivOIL!V$84^5/(Conv!$I$5*Conv!$D$46)/10^6 + OILTrade!$K$19</f>
        <v>2.8623643703310235</v>
      </c>
      <c r="O503" s="421">
        <f>DelivOIL!$I80*DelivOIL!W$84^5/(Conv!$I$5*Conv!$D$46)/10^6 + OILTrade!$K$19</f>
        <v>2.8623643703310235</v>
      </c>
      <c r="P503" s="421">
        <f>DelivOIL!$I80*DelivOIL!X$84^5/(Conv!$I$5*Conv!$D$46)/10^6 + OILTrade!$K$19</f>
        <v>2.8623643703310235</v>
      </c>
      <c r="Q503" s="421">
        <f>DelivOIL!$I80*DelivOIL!Y$84^5/(Conv!$I$5*Conv!$D$46)/10^6 + OILTrade!$K$19</f>
        <v>2.8623643703310235</v>
      </c>
      <c r="S503" s="395"/>
      <c r="T503" s="395"/>
      <c r="U503" s="395"/>
      <c r="V503" s="395"/>
      <c r="W503" s="395"/>
      <c r="X503" s="395"/>
      <c r="Y503" s="395"/>
      <c r="Z503" s="395"/>
      <c r="AA503" s="395"/>
      <c r="AB503" s="395"/>
      <c r="AC503" s="395"/>
    </row>
    <row r="504" spans="2:29">
      <c r="B504" s="376" t="s">
        <v>588</v>
      </c>
      <c r="C504" s="376" t="str">
        <f>Technologies!C341</f>
        <v>XPCOMDSLR6</v>
      </c>
      <c r="D504" s="376" t="str">
        <f>Technologies!D341</f>
        <v>Delivery of Pipeline Traded COMDSL from R6</v>
      </c>
      <c r="E504" s="415" t="str">
        <f>E503</f>
        <v>DSHR6</v>
      </c>
      <c r="F504" s="415" t="str">
        <f>Commodities!C88</f>
        <v>COMDSL</v>
      </c>
      <c r="G504" s="422">
        <v>1</v>
      </c>
      <c r="H504" s="421">
        <f>DelivOIL!$I81*DelivOIL!P$84^5/(Conv!$I$5*Conv!$D$46)/10^6 + OILTrade!$K$19</f>
        <v>1.5553092802649917</v>
      </c>
      <c r="I504" s="421">
        <f>DelivOIL!$I81*DelivOIL!Q$84^5/(Conv!$I$5*Conv!$D$46)/10^6 + OILTrade!$K$19</f>
        <v>1.4311410947073642</v>
      </c>
      <c r="J504" s="421">
        <f>DelivOIL!$I81*DelivOIL!R$84^5/(Conv!$I$5*Conv!$D$46)/10^6 + OILTrade!$K$19</f>
        <v>1.7308473239533457</v>
      </c>
      <c r="K504" s="421">
        <f>DelivOIL!$I81*DelivOIL!S$84^5/(Conv!$I$5*Conv!$D$46)/10^6 + OILTrade!$K$19</f>
        <v>1.5394001906749712</v>
      </c>
      <c r="L504" s="421">
        <f>DelivOIL!$I81*DelivOIL!T$84^5/(Conv!$I$5*Conv!$D$46)/10^6 + OILTrade!$K$19</f>
        <v>1.4709290572020743</v>
      </c>
      <c r="M504" s="421">
        <f>DelivOIL!$I81*DelivOIL!U$84^5/(Conv!$I$5*Conv!$D$46)/10^6 + OILTrade!$K$19</f>
        <v>1.5129930638203444</v>
      </c>
      <c r="N504" s="421">
        <f>DelivOIL!$I81*DelivOIL!V$84^5/(Conv!$I$5*Conv!$D$46)/10^6 + OILTrade!$K$19</f>
        <v>1.5129930638203444</v>
      </c>
      <c r="O504" s="421">
        <f>DelivOIL!$I81*DelivOIL!W$84^5/(Conv!$I$5*Conv!$D$46)/10^6 + OILTrade!$K$19</f>
        <v>1.5129930638203444</v>
      </c>
      <c r="P504" s="421">
        <f>DelivOIL!$I81*DelivOIL!X$84^5/(Conv!$I$5*Conv!$D$46)/10^6 + OILTrade!$K$19</f>
        <v>1.5129930638203444</v>
      </c>
      <c r="Q504" s="421">
        <f>DelivOIL!$I81*DelivOIL!Y$84^5/(Conv!$I$5*Conv!$D$46)/10^6 + OILTrade!$K$19</f>
        <v>1.5129930638203444</v>
      </c>
      <c r="S504" s="395"/>
      <c r="T504" s="395"/>
      <c r="U504" s="395"/>
      <c r="V504" s="395"/>
      <c r="W504" s="395"/>
      <c r="X504" s="395"/>
      <c r="Y504" s="395"/>
      <c r="Z504" s="395"/>
      <c r="AA504" s="395"/>
      <c r="AB504" s="395"/>
      <c r="AC504" s="395"/>
    </row>
    <row r="505" spans="2:29">
      <c r="B505" s="376" t="s">
        <v>588</v>
      </c>
      <c r="C505" s="376" t="str">
        <f>Technologies!C342</f>
        <v>XPINDDSLR6</v>
      </c>
      <c r="D505" s="376" t="str">
        <f>Technologies!D342</f>
        <v>Delivery of Pipeline Traded INDDSL from R6</v>
      </c>
      <c r="E505" s="415" t="str">
        <f>E504</f>
        <v>DSHR6</v>
      </c>
      <c r="F505" s="415" t="str">
        <f>Commodities!C89</f>
        <v>INDDSL</v>
      </c>
      <c r="G505" s="422">
        <v>1</v>
      </c>
      <c r="H505" s="421">
        <f>DelivOIL!$I82*DelivOIL!P$84^5/(Conv!$I$5*Conv!$D$46)/10^6 + OILTrade!$K$19</f>
        <v>1.8143936061638259</v>
      </c>
      <c r="I505" s="421">
        <f>DelivOIL!$I82*DelivOIL!Q$84^5/(Conv!$I$5*Conv!$D$46)/10^6 + OILTrade!$K$19</f>
        <v>1.6675408482447087</v>
      </c>
      <c r="J505" s="421">
        <f>DelivOIL!$I82*DelivOIL!R$84^5/(Conv!$I$5*Conv!$D$46)/10^6 + OILTrade!$K$19</f>
        <v>2.0220011001413982</v>
      </c>
      <c r="K505" s="421">
        <f>DelivOIL!$I82*DelivOIL!S$84^5/(Conv!$I$5*Conv!$D$46)/10^6 + OILTrade!$K$19</f>
        <v>1.7955780482833208</v>
      </c>
      <c r="L505" s="421">
        <f>DelivOIL!$I82*DelivOIL!T$84^5/(Conv!$I$5*Conv!$D$46)/10^6 + OILTrade!$K$19</f>
        <v>1.7145977654259521</v>
      </c>
      <c r="M505" s="421">
        <f>DelivOIL!$I82*DelivOIL!U$84^5/(Conv!$I$5*Conv!$D$46)/10^6 + OILTrade!$K$19</f>
        <v>1.7643465424840985</v>
      </c>
      <c r="N505" s="421">
        <f>DelivOIL!$I82*DelivOIL!V$84^5/(Conv!$I$5*Conv!$D$46)/10^6 + OILTrade!$K$19</f>
        <v>1.7643465424840985</v>
      </c>
      <c r="O505" s="421">
        <f>DelivOIL!$I82*DelivOIL!W$84^5/(Conv!$I$5*Conv!$D$46)/10^6 + OILTrade!$K$19</f>
        <v>1.7643465424840985</v>
      </c>
      <c r="P505" s="421">
        <f>DelivOIL!$I82*DelivOIL!X$84^5/(Conv!$I$5*Conv!$D$46)/10^6 + OILTrade!$K$19</f>
        <v>1.7643465424840985</v>
      </c>
      <c r="Q505" s="421">
        <f>DelivOIL!$I82*DelivOIL!Y$84^5/(Conv!$I$5*Conv!$D$46)/10^6 + OILTrade!$K$19</f>
        <v>1.7643465424840985</v>
      </c>
      <c r="S505" s="395"/>
      <c r="T505" s="395"/>
      <c r="U505" s="395"/>
      <c r="V505" s="395"/>
      <c r="W505" s="395"/>
      <c r="X505" s="395"/>
      <c r="Y505" s="395"/>
      <c r="Z505" s="395"/>
      <c r="AA505" s="395"/>
      <c r="AB505" s="395"/>
      <c r="AC505" s="395"/>
    </row>
    <row r="506" spans="2:29">
      <c r="B506" s="376" t="s">
        <v>588</v>
      </c>
      <c r="C506" s="376" t="str">
        <f>Technologies!C343</f>
        <v>XPELCDSLR6</v>
      </c>
      <c r="D506" s="376" t="str">
        <f>Technologies!D343</f>
        <v>Delivery of Pipeline Traded ELCDSL from R6</v>
      </c>
      <c r="E506" s="415" t="str">
        <f>E505</f>
        <v>DSHR6</v>
      </c>
      <c r="F506" s="415" t="str">
        <f>Commodities!C90</f>
        <v>ELCDSL</v>
      </c>
      <c r="G506" s="422">
        <v>1</v>
      </c>
      <c r="H506" s="421">
        <f>DelivOIL!$I83*DelivOIL!P$84^5/(Conv!$I$5*Conv!$D$46)/10^6 + OILTrade!$K$19</f>
        <v>1.4121311001630055</v>
      </c>
      <c r="I506" s="421">
        <f>DelivOIL!$I83*DelivOIL!Q$84^5/(Conv!$I$5*Conv!$D$46)/10^6 + OILTrade!$K$19</f>
        <v>1.3004991256472536</v>
      </c>
      <c r="J506" s="421">
        <f>DelivOIL!$I83*DelivOIL!R$84^5/(Conv!$I$5*Conv!$D$46)/10^6 + OILTrade!$K$19</f>
        <v>1.5699465529020542</v>
      </c>
      <c r="K506" s="421">
        <f>DelivOIL!$I83*DelivOIL!S$84^5/(Conv!$I$5*Conv!$D$46)/10^6 + OILTrade!$K$19</f>
        <v>1.3978282167335156</v>
      </c>
      <c r="L506" s="421">
        <f>DelivOIL!$I83*DelivOIL!T$84^5/(Conv!$I$5*Conv!$D$46)/10^6 + OILTrade!$K$19</f>
        <v>1.3362700342362479</v>
      </c>
      <c r="M506" s="421">
        <f>DelivOIL!$I83*DelivOIL!U$84^5/(Conv!$I$5*Conv!$D$46)/10^6 + OILTrade!$K$19</f>
        <v>1.3740871940324813</v>
      </c>
      <c r="N506" s="421">
        <f>DelivOIL!$I83*DelivOIL!V$84^5/(Conv!$I$5*Conv!$D$46)/10^6 + OILTrade!$K$19</f>
        <v>1.3740871940324813</v>
      </c>
      <c r="O506" s="421">
        <f>DelivOIL!$I83*DelivOIL!W$84^5/(Conv!$I$5*Conv!$D$46)/10^6 + OILTrade!$K$19</f>
        <v>1.3740871940324813</v>
      </c>
      <c r="P506" s="421">
        <f>DelivOIL!$I83*DelivOIL!X$84^5/(Conv!$I$5*Conv!$D$46)/10^6 + OILTrade!$K$19</f>
        <v>1.3740871940324813</v>
      </c>
      <c r="Q506" s="421">
        <f>DelivOIL!$I83*DelivOIL!Y$84^5/(Conv!$I$5*Conv!$D$46)/10^6 + OILTrade!$K$19</f>
        <v>1.3740871940324813</v>
      </c>
      <c r="S506" s="395"/>
      <c r="T506" s="395"/>
      <c r="U506" s="395"/>
      <c r="V506" s="395"/>
      <c r="W506" s="395"/>
      <c r="X506" s="395"/>
      <c r="Y506" s="395"/>
      <c r="Z506" s="395"/>
      <c r="AA506" s="395"/>
      <c r="AB506" s="395"/>
      <c r="AC506" s="395"/>
    </row>
    <row r="507" spans="2:29">
      <c r="B507" s="376" t="s">
        <v>588</v>
      </c>
      <c r="C507" s="376" t="str">
        <f>Technologies!C344</f>
        <v>XPTRDSLLR6</v>
      </c>
      <c r="D507" s="376" t="str">
        <f>Technologies!D344</f>
        <v>Delivery of Pipeline Traded TRDSLL from R6</v>
      </c>
      <c r="E507" s="415" t="str">
        <f>Commodities!C159</f>
        <v>DSLR6</v>
      </c>
      <c r="F507" s="415" t="str">
        <f>Commodities!C91</f>
        <v>TRDSLL</v>
      </c>
      <c r="G507" s="422">
        <v>1</v>
      </c>
      <c r="H507" s="421">
        <f>DelivOIL!$I84*DelivOIL!P$84^5/(Conv!$I$5*Conv!$D$46)/10^6 + OILTrade!$K$19</f>
        <v>4.2825127107790317</v>
      </c>
      <c r="I507" s="421">
        <f>DelivOIL!$I84*DelivOIL!Q$84^5/(Conv!$I$5*Conv!$D$46)/10^6 + OILTrade!$K$19</f>
        <v>3.9195595529951972</v>
      </c>
      <c r="J507" s="421">
        <f>DelivOIL!$I84*DelivOIL!R$84^5/(Conv!$I$5*Conv!$D$46)/10^6 + OILTrade!$K$19</f>
        <v>4.7956239154065274</v>
      </c>
      <c r="K507" s="421">
        <f>DelivOIL!$I84*DelivOIL!S$84^5/(Conv!$I$5*Conv!$D$46)/10^6 + OILTrade!$K$19</f>
        <v>4.2360092181312794</v>
      </c>
      <c r="L507" s="421">
        <f>DelivOIL!$I84*DelivOIL!T$84^5/(Conv!$I$5*Conv!$D$46)/10^6 + OILTrade!$K$19</f>
        <v>4.0358628279797344</v>
      </c>
      <c r="M507" s="421">
        <f>DelivOIL!$I84*DelivOIL!U$84^5/(Conv!$I$5*Conv!$D$46)/10^6 + OILTrade!$K$19</f>
        <v>4.1588191550177545</v>
      </c>
      <c r="N507" s="421">
        <f>DelivOIL!$I84*DelivOIL!V$84^5/(Conv!$I$5*Conv!$D$46)/10^6 + OILTrade!$K$19</f>
        <v>4.1588191550177545</v>
      </c>
      <c r="O507" s="421">
        <f>DelivOIL!$I84*DelivOIL!W$84^5/(Conv!$I$5*Conv!$D$46)/10^6 + OILTrade!$K$19</f>
        <v>4.1588191550177545</v>
      </c>
      <c r="P507" s="421">
        <f>DelivOIL!$I84*DelivOIL!X$84^5/(Conv!$I$5*Conv!$D$46)/10^6 + OILTrade!$K$19</f>
        <v>4.1588191550177545</v>
      </c>
      <c r="Q507" s="421">
        <f>DelivOIL!$I84*DelivOIL!Y$84^5/(Conv!$I$5*Conv!$D$46)/10^6 + OILTrade!$K$19</f>
        <v>4.1588191550177545</v>
      </c>
      <c r="S507" s="395"/>
      <c r="T507" s="395"/>
      <c r="U507" s="395"/>
      <c r="V507" s="395"/>
      <c r="W507" s="395"/>
      <c r="X507" s="395"/>
      <c r="Y507" s="395"/>
      <c r="Z507" s="395"/>
      <c r="AA507" s="395"/>
      <c r="AB507" s="395"/>
      <c r="AC507" s="395"/>
    </row>
    <row r="508" spans="2:29">
      <c r="B508" s="376" t="s">
        <v>588</v>
      </c>
      <c r="C508" s="376" t="str">
        <f>Technologies!C345</f>
        <v>XPTRDSLUR6</v>
      </c>
      <c r="D508" s="376" t="str">
        <f>Technologies!D345</f>
        <v>Delivery of Pipeline Traded TRDSLU from R6</v>
      </c>
      <c r="E508" s="415" t="str">
        <f>Commodities!C160</f>
        <v>DSUR6</v>
      </c>
      <c r="F508" s="415" t="str">
        <f>Commodities!C92</f>
        <v>TRDSLU</v>
      </c>
      <c r="G508" s="422">
        <v>1</v>
      </c>
      <c r="H508" s="421">
        <f>DelivOIL!$I85*DelivOIL!P$84^5/(Conv!$I$5*Conv!$D$46)/10^6 + OILTrade!$K$19</f>
        <v>3.6416199046082331</v>
      </c>
      <c r="I508" s="421">
        <f>DelivOIL!$I85*DelivOIL!Q$84^5/(Conv!$I$5*Conv!$D$46)/10^6 + OILTrade!$K$19</f>
        <v>3.3347812152975567</v>
      </c>
      <c r="J508" s="421">
        <f>DelivOIL!$I85*DelivOIL!R$84^5/(Conv!$I$5*Conv!$D$46)/10^6 + OILTrade!$K$19</f>
        <v>4.0754014164150298</v>
      </c>
      <c r="K508" s="421">
        <f>DelivOIL!$I85*DelivOIL!S$84^5/(Conv!$I$5*Conv!$D$46)/10^6 + OILTrade!$K$19</f>
        <v>3.602306096679047</v>
      </c>
      <c r="L508" s="421">
        <f>DelivOIL!$I85*DelivOIL!T$84^5/(Conv!$I$5*Conv!$D$46)/10^6 + OILTrade!$K$19</f>
        <v>3.4331033918469842</v>
      </c>
      <c r="M508" s="421">
        <f>DelivOIL!$I85*DelivOIL!U$84^5/(Conv!$I$5*Conv!$D$46)/10^6 + OILTrade!$K$19</f>
        <v>3.5370500235863638</v>
      </c>
      <c r="N508" s="421">
        <f>DelivOIL!$I85*DelivOIL!V$84^5/(Conv!$I$5*Conv!$D$46)/10^6 + OILTrade!$K$19</f>
        <v>3.5370500235863638</v>
      </c>
      <c r="O508" s="421">
        <f>DelivOIL!$I85*DelivOIL!W$84^5/(Conv!$I$5*Conv!$D$46)/10^6 + OILTrade!$K$19</f>
        <v>3.5370500235863638</v>
      </c>
      <c r="P508" s="421">
        <f>DelivOIL!$I85*DelivOIL!X$84^5/(Conv!$I$5*Conv!$D$46)/10^6 + OILTrade!$K$19</f>
        <v>3.5370500235863638</v>
      </c>
      <c r="Q508" s="421">
        <f>DelivOIL!$I85*DelivOIL!Y$84^5/(Conv!$I$5*Conv!$D$46)/10^6 + OILTrade!$K$19</f>
        <v>3.5370500235863638</v>
      </c>
      <c r="S508" s="395"/>
      <c r="T508" s="395"/>
      <c r="U508" s="395"/>
      <c r="V508" s="395"/>
      <c r="W508" s="395"/>
      <c r="X508" s="395"/>
      <c r="Y508" s="395"/>
      <c r="Z508" s="395"/>
      <c r="AA508" s="395"/>
      <c r="AB508" s="395"/>
      <c r="AC508" s="395"/>
    </row>
    <row r="509" spans="2:29">
      <c r="B509" s="376" t="s">
        <v>588</v>
      </c>
      <c r="C509" s="376" t="str">
        <f>Technologies!C346</f>
        <v>XPTRNJTFR6</v>
      </c>
      <c r="D509" s="376" t="str">
        <f>Technologies!D346</f>
        <v>Delivery of Pipeline Traded TRNJTF from R6</v>
      </c>
      <c r="E509" s="415" t="str">
        <f>Commodities!C161</f>
        <v>JTFR6</v>
      </c>
      <c r="F509" s="415" t="str">
        <f>Commodities!C93</f>
        <v>TRNJTF</v>
      </c>
      <c r="G509" s="422">
        <v>1</v>
      </c>
      <c r="H509" s="421">
        <f>DelivOIL!$I86*DelivOIL!P$84^5/(Conv!$I$5*Conv!$D$46)/10^6 + OILTrade!$K$19</f>
        <v>1.2553169029084472</v>
      </c>
      <c r="I509" s="421">
        <f>DelivOIL!$I86*DelivOIL!Q$84^5/(Conv!$I$5*Conv!$D$46)/10^6 + OILTrade!$K$19</f>
        <v>1.1574150642957024</v>
      </c>
      <c r="J509" s="421">
        <f>DelivOIL!$I86*DelivOIL!R$84^5/(Conv!$I$5*Conv!$D$46)/10^6 + OILTrade!$K$19</f>
        <v>1.3937218988934954</v>
      </c>
      <c r="K509" s="421">
        <f>DelivOIL!$I86*DelivOIL!S$84^5/(Conv!$I$5*Conv!$D$46)/10^6 + OILTrade!$K$19</f>
        <v>1.2427731976547771</v>
      </c>
      <c r="L509" s="421">
        <f>DelivOIL!$I86*DelivOIL!T$84^5/(Conv!$I$5*Conv!$D$46)/10^6 + OILTrade!$K$19</f>
        <v>1.1887863424165315</v>
      </c>
      <c r="M509" s="421">
        <f>DelivOIL!$I86*DelivOIL!U$84^5/(Conv!$I$5*Conv!$D$46)/10^6 + OILTrade!$K$19</f>
        <v>1.2219521937886291</v>
      </c>
      <c r="N509" s="421">
        <f>DelivOIL!$I86*DelivOIL!V$84^5/(Conv!$I$5*Conv!$D$46)/10^6 + OILTrade!$K$19</f>
        <v>1.2219521937886291</v>
      </c>
      <c r="O509" s="421">
        <f>DelivOIL!$I86*DelivOIL!W$84^5/(Conv!$I$5*Conv!$D$46)/10^6 + OILTrade!$K$19</f>
        <v>1.2219521937886291</v>
      </c>
      <c r="P509" s="421">
        <f>DelivOIL!$I86*DelivOIL!X$84^5/(Conv!$I$5*Conv!$D$46)/10^6 + OILTrade!$K$19</f>
        <v>1.2219521937886291</v>
      </c>
      <c r="Q509" s="421">
        <f>DelivOIL!$I86*DelivOIL!Y$84^5/(Conv!$I$5*Conv!$D$46)/10^6 + OILTrade!$K$19</f>
        <v>1.2219521937886291</v>
      </c>
      <c r="S509" s="395"/>
      <c r="T509" s="395"/>
      <c r="U509" s="395"/>
      <c r="V509" s="395"/>
      <c r="W509" s="395"/>
      <c r="X509" s="395"/>
      <c r="Y509" s="395"/>
      <c r="Z509" s="395"/>
      <c r="AA509" s="395"/>
      <c r="AB509" s="395"/>
      <c r="AC509" s="395"/>
    </row>
    <row r="510" spans="2:29">
      <c r="B510" s="376" t="s">
        <v>588</v>
      </c>
      <c r="C510" s="376" t="str">
        <f>Technologies!C347</f>
        <v>XPRESKERR6</v>
      </c>
      <c r="D510" s="376" t="str">
        <f>Technologies!D347</f>
        <v>Delivery of Pipeline Traded RESKER from R6</v>
      </c>
      <c r="E510" s="415" t="str">
        <f>Commodities!C162</f>
        <v>KERR6</v>
      </c>
      <c r="F510" s="415" t="str">
        <f>Commodities!C94</f>
        <v>RESKER</v>
      </c>
      <c r="G510" s="422">
        <v>1</v>
      </c>
      <c r="H510" s="421">
        <f>DelivOIL!$I87*DelivOIL!P$84^5/(Conv!$I$5*Conv!$D$46)/10^6 + OILTrade!$K$19</f>
        <v>1.7257594946721204</v>
      </c>
      <c r="I510" s="421">
        <f>DelivOIL!$I87*DelivOIL!Q$84^5/(Conv!$I$5*Conv!$D$46)/10^6 + OILTrade!$K$19</f>
        <v>1.5866672483503546</v>
      </c>
      <c r="J510" s="421">
        <f>DelivOIL!$I87*DelivOIL!R$84^5/(Conv!$I$5*Conv!$D$46)/10^6 + OILTrade!$K$19</f>
        <v>1.9223958609191705</v>
      </c>
      <c r="K510" s="421">
        <f>DelivOIL!$I87*DelivOIL!S$84^5/(Conv!$I$5*Conv!$D$46)/10^6 + OILTrade!$K$19</f>
        <v>1.7079382548909914</v>
      </c>
      <c r="L510" s="421">
        <f>DelivOIL!$I87*DelivOIL!T$84^5/(Conv!$I$5*Conv!$D$46)/10^6 + OILTrade!$K$19</f>
        <v>1.6312374178756788</v>
      </c>
      <c r="M510" s="421">
        <f>DelivOIL!$I87*DelivOIL!U$84^5/(Conv!$I$5*Conv!$D$46)/10^6 + OILTrade!$K$19</f>
        <v>1.6783571945201834</v>
      </c>
      <c r="N510" s="421">
        <f>DelivOIL!$I87*DelivOIL!V$84^5/(Conv!$I$5*Conv!$D$46)/10^6 + OILTrade!$K$19</f>
        <v>1.6783571945201834</v>
      </c>
      <c r="O510" s="421">
        <f>DelivOIL!$I87*DelivOIL!W$84^5/(Conv!$I$5*Conv!$D$46)/10^6 + OILTrade!$K$19</f>
        <v>1.6783571945201834</v>
      </c>
      <c r="P510" s="421">
        <f>DelivOIL!$I87*DelivOIL!X$84^5/(Conv!$I$5*Conv!$D$46)/10^6 + OILTrade!$K$19</f>
        <v>1.6783571945201834</v>
      </c>
      <c r="Q510" s="421">
        <f>DelivOIL!$I87*DelivOIL!Y$84^5/(Conv!$I$5*Conv!$D$46)/10^6 + OILTrade!$K$19</f>
        <v>1.6783571945201834</v>
      </c>
      <c r="S510" s="395"/>
      <c r="T510" s="395"/>
      <c r="U510" s="395"/>
      <c r="V510" s="395"/>
      <c r="W510" s="395"/>
      <c r="X510" s="395"/>
      <c r="Y510" s="395"/>
      <c r="Z510" s="395"/>
      <c r="AA510" s="395"/>
      <c r="AB510" s="395"/>
      <c r="AC510" s="395"/>
    </row>
    <row r="511" spans="2:29">
      <c r="B511" s="376" t="s">
        <v>588</v>
      </c>
      <c r="C511" s="376" t="str">
        <f>Technologies!C348</f>
        <v>XPCOMKERR6</v>
      </c>
      <c r="D511" s="376" t="str">
        <f>Technologies!D348</f>
        <v>Delivery of Pipeline Traded COMKER from R6</v>
      </c>
      <c r="E511" s="415" t="str">
        <f>E510</f>
        <v>KERR6</v>
      </c>
      <c r="F511" s="415" t="str">
        <f>Commodities!C95</f>
        <v>COMKER</v>
      </c>
      <c r="G511" s="422">
        <v>1</v>
      </c>
      <c r="H511" s="421">
        <f>DelivOIL!$I88*DelivOIL!P$84^5/(Conv!$I$5*Conv!$D$46)/10^6 + OILTrade!$K$19</f>
        <v>1.8007575890112557</v>
      </c>
      <c r="I511" s="421">
        <f>DelivOIL!$I88*DelivOIL!Q$84^5/(Conv!$I$5*Conv!$D$46)/10^6 + OILTrade!$K$19</f>
        <v>1.6550987559532693</v>
      </c>
      <c r="J511" s="421">
        <f>DelivOIL!$I88*DelivOIL!R$84^5/(Conv!$I$5*Conv!$D$46)/10^6 + OILTrade!$K$19</f>
        <v>2.0066772171841323</v>
      </c>
      <c r="K511" s="421">
        <f>DelivOIL!$I88*DelivOIL!S$84^5/(Conv!$I$5*Conv!$D$46)/10^6 + OILTrade!$K$19</f>
        <v>1.7820950031460394</v>
      </c>
      <c r="L511" s="421">
        <f>DelivOIL!$I88*DelivOIL!T$84^5/(Conv!$I$5*Conv!$D$46)/10^6 + OILTrade!$K$19</f>
        <v>1.7017730965720639</v>
      </c>
      <c r="M511" s="421">
        <f>DelivOIL!$I88*DelivOIL!U$84^5/(Conv!$I$5*Conv!$D$46)/10^6 + OILTrade!$K$19</f>
        <v>1.7511174120281114</v>
      </c>
      <c r="N511" s="421">
        <f>DelivOIL!$I88*DelivOIL!V$84^5/(Conv!$I$5*Conv!$D$46)/10^6 + OILTrade!$K$19</f>
        <v>1.7511174120281114</v>
      </c>
      <c r="O511" s="421">
        <f>DelivOIL!$I88*DelivOIL!W$84^5/(Conv!$I$5*Conv!$D$46)/10^6 + OILTrade!$K$19</f>
        <v>1.7511174120281114</v>
      </c>
      <c r="P511" s="421">
        <f>DelivOIL!$I88*DelivOIL!X$84^5/(Conv!$I$5*Conv!$D$46)/10^6 + OILTrade!$K$19</f>
        <v>1.7511174120281114</v>
      </c>
      <c r="Q511" s="421">
        <f>DelivOIL!$I88*DelivOIL!Y$84^5/(Conv!$I$5*Conv!$D$46)/10^6 + OILTrade!$K$19</f>
        <v>1.7511174120281114</v>
      </c>
      <c r="S511" s="395"/>
      <c r="T511" s="395"/>
      <c r="U511" s="395"/>
      <c r="V511" s="395"/>
      <c r="W511" s="395"/>
      <c r="X511" s="395"/>
      <c r="Y511" s="395"/>
      <c r="Z511" s="395"/>
      <c r="AA511" s="395"/>
      <c r="AB511" s="395"/>
      <c r="AC511" s="395"/>
    </row>
    <row r="512" spans="2:29">
      <c r="B512" s="376" t="s">
        <v>588</v>
      </c>
      <c r="C512" s="376" t="str">
        <f>Technologies!C349</f>
        <v>XPINDKERR6</v>
      </c>
      <c r="D512" s="376" t="str">
        <f>Technologies!D349</f>
        <v>Delivery of Pipeline Traded INDKER from R6</v>
      </c>
      <c r="E512" s="415" t="str">
        <f>E511</f>
        <v>KERR6</v>
      </c>
      <c r="F512" s="415" t="str">
        <f>Commodities!C96</f>
        <v>INDKER</v>
      </c>
      <c r="G512" s="422">
        <v>1</v>
      </c>
      <c r="H512" s="421">
        <f>DelivOIL!$I89*DelivOIL!P$84^5/(Conv!$I$5*Conv!$D$46)/10^6 + OILTrade!$K$19</f>
        <v>1.43258512589186</v>
      </c>
      <c r="I512" s="421">
        <f>DelivOIL!$I89*DelivOIL!Q$84^5/(Conv!$I$5*Conv!$D$46)/10^6 + OILTrade!$K$19</f>
        <v>1.3191622640844116</v>
      </c>
      <c r="J512" s="421">
        <f>DelivOIL!$I89*DelivOIL!R$84^5/(Conv!$I$5*Conv!$D$46)/10^6 + OILTrade!$K$19</f>
        <v>1.5929323773379522</v>
      </c>
      <c r="K512" s="421">
        <f>DelivOIL!$I89*DelivOIL!S$84^5/(Conv!$I$5*Conv!$D$46)/10^6 + OILTrade!$K$19</f>
        <v>1.4180527844394373</v>
      </c>
      <c r="L512" s="421">
        <f>DelivOIL!$I89*DelivOIL!T$84^5/(Conv!$I$5*Conv!$D$46)/10^6 + OILTrade!$K$19</f>
        <v>1.3555070375170797</v>
      </c>
      <c r="M512" s="421">
        <f>DelivOIL!$I89*DelivOIL!U$84^5/(Conv!$I$5*Conv!$D$46)/10^6 + OILTrade!$K$19</f>
        <v>1.3939308897164608</v>
      </c>
      <c r="N512" s="421">
        <f>DelivOIL!$I89*DelivOIL!V$84^5/(Conv!$I$5*Conv!$D$46)/10^6 + OILTrade!$K$19</f>
        <v>1.3939308897164608</v>
      </c>
      <c r="O512" s="421">
        <f>DelivOIL!$I89*DelivOIL!W$84^5/(Conv!$I$5*Conv!$D$46)/10^6 + OILTrade!$K$19</f>
        <v>1.3939308897164608</v>
      </c>
      <c r="P512" s="421">
        <f>DelivOIL!$I89*DelivOIL!X$84^5/(Conv!$I$5*Conv!$D$46)/10^6 + OILTrade!$K$19</f>
        <v>1.3939308897164608</v>
      </c>
      <c r="Q512" s="421">
        <f>DelivOIL!$I89*DelivOIL!Y$84^5/(Conv!$I$5*Conv!$D$46)/10^6 + OILTrade!$K$19</f>
        <v>1.3939308897164608</v>
      </c>
      <c r="S512" s="395"/>
      <c r="T512" s="395"/>
      <c r="U512" s="395"/>
      <c r="V512" s="395"/>
      <c r="W512" s="395"/>
      <c r="X512" s="395"/>
      <c r="Y512" s="395"/>
      <c r="Z512" s="395"/>
      <c r="AA512" s="395"/>
      <c r="AB512" s="395"/>
      <c r="AC512" s="395"/>
    </row>
    <row r="513" spans="2:29">
      <c r="B513" s="376" t="s">
        <v>588</v>
      </c>
      <c r="C513" s="376" t="str">
        <f>Technologies!C350</f>
        <v>XPRESLPGR6</v>
      </c>
      <c r="D513" s="376" t="str">
        <f>Technologies!D350</f>
        <v>Delivery of Pipeline Traded RESLPG from R6</v>
      </c>
      <c r="E513" s="415" t="str">
        <f>Commodities!C163</f>
        <v>LPGR6</v>
      </c>
      <c r="F513" s="415" t="str">
        <f>Commodities!C97</f>
        <v>RESLPG</v>
      </c>
      <c r="G513" s="422">
        <v>1</v>
      </c>
      <c r="H513" s="421">
        <f>DelivOIL!$I90*DelivOIL!P$84^5/(Conv!$I$5*Conv!$D$46)/10^6 + OILTrade!$K$19</f>
        <v>3.7847980847102196</v>
      </c>
      <c r="I513" s="421">
        <f>DelivOIL!$I90*DelivOIL!Q$84^5/(Conv!$I$5*Conv!$D$46)/10^6 + OILTrade!$K$19</f>
        <v>3.4654231843576677</v>
      </c>
      <c r="J513" s="421">
        <f>DelivOIL!$I90*DelivOIL!R$84^5/(Conv!$I$5*Conv!$D$46)/10^6 + OILTrade!$K$19</f>
        <v>4.2363021874663209</v>
      </c>
      <c r="K513" s="421">
        <f>DelivOIL!$I90*DelivOIL!S$84^5/(Conv!$I$5*Conv!$D$46)/10^6 + OILTrade!$K$19</f>
        <v>3.7438780706205028</v>
      </c>
      <c r="L513" s="421">
        <f>DelivOIL!$I90*DelivOIL!T$84^5/(Conv!$I$5*Conv!$D$46)/10^6 + OILTrade!$K$19</f>
        <v>3.5677624148128109</v>
      </c>
      <c r="M513" s="421">
        <f>DelivOIL!$I90*DelivOIL!U$84^5/(Conv!$I$5*Conv!$D$46)/10^6 + OILTrade!$K$19</f>
        <v>3.6759558933742271</v>
      </c>
      <c r="N513" s="421">
        <f>DelivOIL!$I90*DelivOIL!V$84^5/(Conv!$I$5*Conv!$D$46)/10^6 + OILTrade!$K$19</f>
        <v>3.6759558933742271</v>
      </c>
      <c r="O513" s="421">
        <f>DelivOIL!$I90*DelivOIL!W$84^5/(Conv!$I$5*Conv!$D$46)/10^6 + OILTrade!$K$19</f>
        <v>3.6759558933742271</v>
      </c>
      <c r="P513" s="421">
        <f>DelivOIL!$I90*DelivOIL!X$84^5/(Conv!$I$5*Conv!$D$46)/10^6 + OILTrade!$K$19</f>
        <v>3.6759558933742271</v>
      </c>
      <c r="Q513" s="421">
        <f>DelivOIL!$I90*DelivOIL!Y$84^5/(Conv!$I$5*Conv!$D$46)/10^6 + OILTrade!$K$19</f>
        <v>3.6759558933742271</v>
      </c>
      <c r="S513" s="395"/>
      <c r="T513" s="395"/>
      <c r="U513" s="395"/>
      <c r="V513" s="395"/>
      <c r="W513" s="395"/>
      <c r="X513" s="395"/>
      <c r="Y513" s="395"/>
      <c r="Z513" s="395"/>
      <c r="AA513" s="395"/>
      <c r="AB513" s="395"/>
      <c r="AC513" s="395"/>
    </row>
    <row r="514" spans="2:29">
      <c r="B514" s="376" t="s">
        <v>588</v>
      </c>
      <c r="C514" s="376" t="str">
        <f>Technologies!C351</f>
        <v>XPCOMLPGR6</v>
      </c>
      <c r="D514" s="376" t="str">
        <f>Technologies!D351</f>
        <v>Delivery of Pipeline Traded COMLPG from R6</v>
      </c>
      <c r="E514" s="415" t="str">
        <f>E513</f>
        <v>LPGR6</v>
      </c>
      <c r="F514" s="415" t="str">
        <f>Commodities!C98</f>
        <v>COMLPG</v>
      </c>
      <c r="G514" s="422">
        <v>1</v>
      </c>
      <c r="H514" s="421">
        <f>DelivOIL!$I91*DelivOIL!P$84^5/(Conv!$I$5*Conv!$D$46)/10^6 + OILTrade!$K$19</f>
        <v>3.2666294329125516</v>
      </c>
      <c r="I514" s="421">
        <f>DelivOIL!$I91*DelivOIL!Q$84^5/(Conv!$I$5*Conv!$D$46)/10^6 + OILTrade!$K$19</f>
        <v>2.9926236772829791</v>
      </c>
      <c r="J514" s="421">
        <f>DelivOIL!$I91*DelivOIL!R$84^5/(Conv!$I$5*Conv!$D$46)/10^6 + OILTrade!$K$19</f>
        <v>3.6539946350902164</v>
      </c>
      <c r="K514" s="421">
        <f>DelivOIL!$I91*DelivOIL!S$84^5/(Conv!$I$5*Conv!$D$46)/10^6 + OILTrade!$K$19</f>
        <v>3.2315223554038042</v>
      </c>
      <c r="L514" s="421">
        <f>DelivOIL!$I91*DelivOIL!T$84^5/(Conv!$I$5*Conv!$D$46)/10^6 + OILTrade!$K$19</f>
        <v>3.0804249983650553</v>
      </c>
      <c r="M514" s="421">
        <f>DelivOIL!$I91*DelivOIL!U$84^5/(Conv!$I$5*Conv!$D$46)/10^6 + OILTrade!$K$19</f>
        <v>3.1732489360467189</v>
      </c>
      <c r="N514" s="421">
        <f>DelivOIL!$I91*DelivOIL!V$84^5/(Conv!$I$5*Conv!$D$46)/10^6 + OILTrade!$K$19</f>
        <v>3.1732489360467189</v>
      </c>
      <c r="O514" s="421">
        <f>DelivOIL!$I91*DelivOIL!W$84^5/(Conv!$I$5*Conv!$D$46)/10^6 + OILTrade!$K$19</f>
        <v>3.1732489360467189</v>
      </c>
      <c r="P514" s="421">
        <f>DelivOIL!$I91*DelivOIL!X$84^5/(Conv!$I$5*Conv!$D$46)/10^6 + OILTrade!$K$19</f>
        <v>3.1732489360467189</v>
      </c>
      <c r="Q514" s="421">
        <f>DelivOIL!$I91*DelivOIL!Y$84^5/(Conv!$I$5*Conv!$D$46)/10^6 + OILTrade!$K$19</f>
        <v>3.1732489360467189</v>
      </c>
      <c r="S514" s="395"/>
      <c r="T514" s="395"/>
      <c r="U514" s="395"/>
      <c r="V514" s="395"/>
      <c r="W514" s="395"/>
      <c r="X514" s="395"/>
      <c r="Y514" s="395"/>
      <c r="Z514" s="395"/>
      <c r="AA514" s="395"/>
      <c r="AB514" s="395"/>
      <c r="AC514" s="395"/>
    </row>
    <row r="515" spans="2:29">
      <c r="B515" s="376" t="s">
        <v>588</v>
      </c>
      <c r="C515" s="376" t="str">
        <f>Technologies!C352</f>
        <v>XPINDLPGR6</v>
      </c>
      <c r="D515" s="376" t="str">
        <f>Technologies!D352</f>
        <v>Delivery of Pipeline Traded INDLPG from R6</v>
      </c>
      <c r="E515" s="415" t="str">
        <f>E514</f>
        <v>LPGR6</v>
      </c>
      <c r="F515" s="415" t="str">
        <f>Commodities!C99</f>
        <v>INDLPG</v>
      </c>
      <c r="G515" s="422">
        <v>1</v>
      </c>
      <c r="H515" s="421">
        <f>DelivOIL!$I92*DelivOIL!P$84^5/(Conv!$I$5*Conv!$D$46)/10^6 + OILTrade!$K$19</f>
        <v>1.6507614003329834</v>
      </c>
      <c r="I515" s="421">
        <f>DelivOIL!$I92*DelivOIL!Q$84^5/(Conv!$I$5*Conv!$D$46)/10^6 + OILTrade!$K$19</f>
        <v>1.5182357407474385</v>
      </c>
      <c r="J515" s="421">
        <f>DelivOIL!$I92*DelivOIL!R$84^5/(Conv!$I$5*Conv!$D$46)/10^6 + OILTrade!$K$19</f>
        <v>1.8381145046542069</v>
      </c>
      <c r="K515" s="421">
        <f>DelivOIL!$I92*DelivOIL!S$84^5/(Conv!$I$5*Conv!$D$46)/10^6 + OILTrade!$K$19</f>
        <v>1.633781506635942</v>
      </c>
      <c r="L515" s="421">
        <f>DelivOIL!$I92*DelivOIL!T$84^5/(Conv!$I$5*Conv!$D$46)/10^6 + OILTrade!$K$19</f>
        <v>1.5607017391792926</v>
      </c>
      <c r="M515" s="421">
        <f>DelivOIL!$I92*DelivOIL!U$84^5/(Conv!$I$5*Conv!$D$46)/10^6 + OILTrade!$K$19</f>
        <v>1.6055969770122538</v>
      </c>
      <c r="N515" s="421">
        <f>DelivOIL!$I92*DelivOIL!V$84^5/(Conv!$I$5*Conv!$D$46)/10^6 + OILTrade!$K$19</f>
        <v>1.6055969770122538</v>
      </c>
      <c r="O515" s="421">
        <f>DelivOIL!$I92*DelivOIL!W$84^5/(Conv!$I$5*Conv!$D$46)/10^6 + OILTrade!$K$19</f>
        <v>1.6055969770122538</v>
      </c>
      <c r="P515" s="421">
        <f>DelivOIL!$I92*DelivOIL!X$84^5/(Conv!$I$5*Conv!$D$46)/10^6 + OILTrade!$K$19</f>
        <v>1.6055969770122538</v>
      </c>
      <c r="Q515" s="421">
        <f>DelivOIL!$I92*DelivOIL!Y$84^5/(Conv!$I$5*Conv!$D$46)/10^6 + OILTrade!$K$19</f>
        <v>1.6055969770122538</v>
      </c>
      <c r="S515" s="395"/>
      <c r="T515" s="395"/>
      <c r="U515" s="395"/>
      <c r="V515" s="395"/>
      <c r="W515" s="395"/>
      <c r="X515" s="395"/>
      <c r="Y515" s="395"/>
      <c r="Z515" s="395"/>
      <c r="AA515" s="395"/>
      <c r="AB515" s="395"/>
      <c r="AC515" s="395"/>
    </row>
    <row r="516" spans="2:29">
      <c r="B516" s="376" t="s">
        <v>588</v>
      </c>
      <c r="C516" s="376" t="str">
        <f>Technologies!C353</f>
        <v>XPTRNLPGR6</v>
      </c>
      <c r="D516" s="376" t="str">
        <f>Technologies!D353</f>
        <v>Delivery of Pipeline Traded TRNLPG from R6</v>
      </c>
      <c r="E516" s="415" t="str">
        <f>E515</f>
        <v>LPGR6</v>
      </c>
      <c r="F516" s="415" t="str">
        <f>Commodities!C100</f>
        <v>TRNLPG</v>
      </c>
      <c r="G516" s="422">
        <v>1</v>
      </c>
      <c r="H516" s="421">
        <f>DelivOIL!$I93*DelivOIL!P$84^5/(Conv!$I$5*Conv!$D$46)/10^6 + OILTrade!$K$19</f>
        <v>3.3348095186754025</v>
      </c>
      <c r="I516" s="421">
        <f>DelivOIL!$I93*DelivOIL!Q$84^5/(Conv!$I$5*Conv!$D$46)/10^6 + OILTrade!$K$19</f>
        <v>3.054834138740175</v>
      </c>
      <c r="J516" s="421">
        <f>DelivOIL!$I93*DelivOIL!R$84^5/(Conv!$I$5*Conv!$D$46)/10^6 + OILTrade!$K$19</f>
        <v>3.7306140498765461</v>
      </c>
      <c r="K516" s="421">
        <f>DelivOIL!$I93*DelivOIL!S$84^5/(Conv!$I$5*Conv!$D$46)/10^6 + OILTrade!$K$19</f>
        <v>3.298937581090212</v>
      </c>
      <c r="L516" s="421">
        <f>DelivOIL!$I93*DelivOIL!T$84^5/(Conv!$I$5*Conv!$D$46)/10^6 + OILTrade!$K$19</f>
        <v>3.1445483426344971</v>
      </c>
      <c r="M516" s="421">
        <f>DelivOIL!$I93*DelivOIL!U$84^5/(Conv!$I$5*Conv!$D$46)/10^6 + OILTrade!$K$19</f>
        <v>3.2393945883266539</v>
      </c>
      <c r="N516" s="421">
        <f>DelivOIL!$I93*DelivOIL!V$84^5/(Conv!$I$5*Conv!$D$46)/10^6 + OILTrade!$K$19</f>
        <v>3.2393945883266539</v>
      </c>
      <c r="O516" s="421">
        <f>DelivOIL!$I93*DelivOIL!W$84^5/(Conv!$I$5*Conv!$D$46)/10^6 + OILTrade!$K$19</f>
        <v>3.2393945883266539</v>
      </c>
      <c r="P516" s="421">
        <f>DelivOIL!$I93*DelivOIL!X$84^5/(Conv!$I$5*Conv!$D$46)/10^6 + OILTrade!$K$19</f>
        <v>3.2393945883266539</v>
      </c>
      <c r="Q516" s="421">
        <f>DelivOIL!$I93*DelivOIL!Y$84^5/(Conv!$I$5*Conv!$D$46)/10^6 + OILTrade!$K$19</f>
        <v>3.2393945883266539</v>
      </c>
      <c r="S516" s="395"/>
      <c r="T516" s="395"/>
      <c r="U516" s="395"/>
      <c r="V516" s="395"/>
      <c r="W516" s="395"/>
      <c r="X516" s="395"/>
      <c r="Y516" s="395"/>
      <c r="Z516" s="395"/>
      <c r="AA516" s="395"/>
      <c r="AB516" s="395"/>
      <c r="AC516" s="395"/>
    </row>
    <row r="517" spans="2:29">
      <c r="B517" s="376" t="s">
        <v>588</v>
      </c>
      <c r="C517" s="376" t="str">
        <f>Technologies!C354</f>
        <v>XPTRNMTHR6</v>
      </c>
      <c r="D517" s="376" t="str">
        <f>Technologies!D354</f>
        <v>Delivery of Pipeline Traded TRNMTH from R6</v>
      </c>
      <c r="E517" s="415" t="str">
        <f>Commodities!C164</f>
        <v>MTHR6</v>
      </c>
      <c r="F517" s="415" t="str">
        <f>Commodities!C101</f>
        <v>TRNMTH</v>
      </c>
      <c r="G517" s="422">
        <v>1</v>
      </c>
      <c r="H517" s="421">
        <f>DelivOIL!$I94*DelivOIL!P$84^5/(Conv!$I$5*Conv!$D$46)/10^6 + OILTrade!$K$19</f>
        <v>2.9257290040982964</v>
      </c>
      <c r="I517" s="421">
        <f>DelivOIL!$I94*DelivOIL!Q$84^5/(Conv!$I$5*Conv!$D$46)/10^6 + OILTrade!$K$19</f>
        <v>2.6815713699969996</v>
      </c>
      <c r="J517" s="421">
        <f>DelivOIL!$I94*DelivOIL!R$84^5/(Conv!$I$5*Conv!$D$46)/10^6 + OILTrade!$K$19</f>
        <v>3.2708975611585682</v>
      </c>
      <c r="K517" s="421">
        <f>DelivOIL!$I94*DelivOIL!S$84^5/(Conv!$I$5*Conv!$D$46)/10^6 + OILTrade!$K$19</f>
        <v>2.8944462269717652</v>
      </c>
      <c r="L517" s="421">
        <f>DelivOIL!$I94*DelivOIL!T$84^5/(Conv!$I$5*Conv!$D$46)/10^6 + OILTrade!$K$19</f>
        <v>2.7598082770178478</v>
      </c>
      <c r="M517" s="421">
        <f>DelivOIL!$I94*DelivOIL!U$84^5/(Conv!$I$5*Conv!$D$46)/10^6 + OILTrade!$K$19</f>
        <v>2.8425206746470422</v>
      </c>
      <c r="N517" s="421">
        <f>DelivOIL!$I94*DelivOIL!V$84^5/(Conv!$I$5*Conv!$D$46)/10^6 + OILTrade!$K$19</f>
        <v>2.8425206746470422</v>
      </c>
      <c r="O517" s="421">
        <f>DelivOIL!$I94*DelivOIL!W$84^5/(Conv!$I$5*Conv!$D$46)/10^6 + OILTrade!$K$19</f>
        <v>2.8425206746470422</v>
      </c>
      <c r="P517" s="421">
        <f>DelivOIL!$I94*DelivOIL!X$84^5/(Conv!$I$5*Conv!$D$46)/10^6 + OILTrade!$K$19</f>
        <v>2.8425206746470422</v>
      </c>
      <c r="Q517" s="421">
        <f>DelivOIL!$I94*DelivOIL!Y$84^5/(Conv!$I$5*Conv!$D$46)/10^6 + OILTrade!$K$19</f>
        <v>2.8425206746470422</v>
      </c>
      <c r="S517" s="395"/>
      <c r="T517" s="395"/>
      <c r="U517" s="395"/>
      <c r="V517" s="395"/>
      <c r="W517" s="395"/>
      <c r="X517" s="395"/>
      <c r="Y517" s="395"/>
      <c r="Z517" s="395"/>
      <c r="AA517" s="395"/>
      <c r="AB517" s="395"/>
      <c r="AC517" s="395"/>
    </row>
    <row r="518" spans="2:29">
      <c r="B518" s="376" t="s">
        <v>588</v>
      </c>
      <c r="C518" s="376" t="str">
        <f>Technologies!C355</f>
        <v>XPINDPFSR6</v>
      </c>
      <c r="D518" s="376" t="str">
        <f>Technologies!D355</f>
        <v>Delivery of Pipeline Traded INDPFS from R6</v>
      </c>
      <c r="E518" s="415" t="str">
        <f>Commodities!C165</f>
        <v>PFSR6</v>
      </c>
      <c r="F518" s="415" t="str">
        <f>Commodities!C102</f>
        <v>INDPFS</v>
      </c>
      <c r="G518" s="422">
        <v>1</v>
      </c>
      <c r="H518" s="421">
        <f>DelivOIL!$I95*DelivOIL!P$84^5/(Conv!$I$5*Conv!$D$46)/10^6 + OILTrade!$K$19</f>
        <v>1.2348628771795924</v>
      </c>
      <c r="I518" s="421">
        <f>DelivOIL!$I95*DelivOIL!Q$84^5/(Conv!$I$5*Conv!$D$46)/10^6 + OILTrade!$K$19</f>
        <v>1.1387519258585441</v>
      </c>
      <c r="J518" s="421">
        <f>DelivOIL!$I95*DelivOIL!R$84^5/(Conv!$I$5*Conv!$D$46)/10^6 + OILTrade!$K$19</f>
        <v>1.3707360744575967</v>
      </c>
      <c r="K518" s="421">
        <f>DelivOIL!$I95*DelivOIL!S$84^5/(Conv!$I$5*Conv!$D$46)/10^6 + OILTrade!$K$19</f>
        <v>1.222548629948855</v>
      </c>
      <c r="L518" s="421">
        <f>DelivOIL!$I95*DelivOIL!T$84^5/(Conv!$I$5*Conv!$D$46)/10^6 + OILTrade!$K$19</f>
        <v>1.1695493391356993</v>
      </c>
      <c r="M518" s="421">
        <f>DelivOIL!$I95*DelivOIL!U$84^5/(Conv!$I$5*Conv!$D$46)/10^6 + OILTrade!$K$19</f>
        <v>1.2021084981046488</v>
      </c>
      <c r="N518" s="421">
        <f>DelivOIL!$I95*DelivOIL!V$84^5/(Conv!$I$5*Conv!$D$46)/10^6 + OILTrade!$K$19</f>
        <v>1.2021084981046488</v>
      </c>
      <c r="O518" s="421">
        <f>DelivOIL!$I95*DelivOIL!W$84^5/(Conv!$I$5*Conv!$D$46)/10^6 + OILTrade!$K$19</f>
        <v>1.2021084981046488</v>
      </c>
      <c r="P518" s="421">
        <f>DelivOIL!$I95*DelivOIL!X$84^5/(Conv!$I$5*Conv!$D$46)/10^6 + OILTrade!$K$19</f>
        <v>1.2021084981046488</v>
      </c>
      <c r="Q518" s="421">
        <f>DelivOIL!$I95*DelivOIL!Y$84^5/(Conv!$I$5*Conv!$D$46)/10^6 + OILTrade!$K$19</f>
        <v>1.2021084981046488</v>
      </c>
      <c r="S518" s="395"/>
      <c r="T518" s="395"/>
      <c r="U518" s="395"/>
      <c r="V518" s="395"/>
      <c r="W518" s="395"/>
      <c r="X518" s="395"/>
      <c r="Y518" s="395"/>
      <c r="Z518" s="395"/>
      <c r="AA518" s="395"/>
      <c r="AB518" s="395"/>
      <c r="AC518" s="395"/>
    </row>
    <row r="519" spans="2:29">
      <c r="B519" s="376" t="s">
        <v>588</v>
      </c>
      <c r="C519" s="376" t="str">
        <f>Technologies!C357</f>
        <v>XPCOMRFLR6</v>
      </c>
      <c r="D519" s="376" t="str">
        <f>Technologies!D357</f>
        <v>Delivery of Pipeline Traded COMRFL from R6</v>
      </c>
      <c r="E519" s="415" t="str">
        <f>Commodities!C167</f>
        <v>RFLR6</v>
      </c>
      <c r="F519" s="415" t="str">
        <f>Commodities!C104</f>
        <v>COMRFL</v>
      </c>
      <c r="G519" s="422">
        <v>1</v>
      </c>
      <c r="H519" s="421">
        <f>DelivOIL!$I96*DelivOIL!P$84^5/(Conv!$I$5*Conv!$D$46)/10^6 + OILTrade!$K$19</f>
        <v>0.17125353927911688</v>
      </c>
      <c r="I519" s="421">
        <f>DelivOIL!$I96*DelivOIL!Q$84^5/(Conv!$I$5*Conv!$D$46)/10^6 + OILTrade!$K$19</f>
        <v>0.16826872712628929</v>
      </c>
      <c r="J519" s="421">
        <f>DelivOIL!$I96*DelivOIL!R$84^5/(Conv!$I$5*Conv!$D$46)/10^6 + OILTrade!$K$19</f>
        <v>0.17547320379085615</v>
      </c>
      <c r="K519" s="421">
        <f>DelivOIL!$I96*DelivOIL!S$84^5/(Conv!$I$5*Conv!$D$46)/10^6 + OILTrade!$K$19</f>
        <v>0.17087110924089521</v>
      </c>
      <c r="L519" s="421">
        <f>DelivOIL!$I96*DelivOIL!T$84^5/(Conv!$I$5*Conv!$D$46)/10^6 + OILTrade!$K$19</f>
        <v>0.16922516853241212</v>
      </c>
      <c r="M519" s="421">
        <f>DelivOIL!$I96*DelivOIL!U$84^5/(Conv!$I$5*Conv!$D$46)/10^6 + OILTrade!$K$19</f>
        <v>0.17023632253765902</v>
      </c>
      <c r="N519" s="421">
        <f>DelivOIL!$I96*DelivOIL!V$84^5/(Conv!$I$5*Conv!$D$46)/10^6 + OILTrade!$K$19</f>
        <v>0.17023632253765902</v>
      </c>
      <c r="O519" s="421">
        <f>DelivOIL!$I96*DelivOIL!W$84^5/(Conv!$I$5*Conv!$D$46)/10^6 + OILTrade!$K$19</f>
        <v>0.17023632253765902</v>
      </c>
      <c r="P519" s="421">
        <f>DelivOIL!$I96*DelivOIL!X$84^5/(Conv!$I$5*Conv!$D$46)/10^6 + OILTrade!$K$19</f>
        <v>0.17023632253765902</v>
      </c>
      <c r="Q519" s="421">
        <f>DelivOIL!$I96*DelivOIL!Y$84^5/(Conv!$I$5*Conv!$D$46)/10^6 + OILTrade!$K$19</f>
        <v>0.17023632253765902</v>
      </c>
      <c r="S519" s="395"/>
      <c r="T519" s="395"/>
      <c r="U519" s="395"/>
      <c r="V519" s="395"/>
      <c r="W519" s="395"/>
      <c r="X519" s="395"/>
      <c r="Y519" s="395"/>
      <c r="Z519" s="395"/>
      <c r="AA519" s="395"/>
      <c r="AB519" s="395"/>
      <c r="AC519" s="395"/>
    </row>
    <row r="520" spans="2:29">
      <c r="B520" s="376" t="s">
        <v>588</v>
      </c>
      <c r="C520" s="376" t="str">
        <f>Technologies!C358</f>
        <v>XPINDRFLR6</v>
      </c>
      <c r="D520" s="376" t="str">
        <f>Technologies!D358</f>
        <v>Delivery of Pipeline Traded INDRFL from R6</v>
      </c>
      <c r="E520" s="415" t="str">
        <f>E519</f>
        <v>RFLR6</v>
      </c>
      <c r="F520" s="415" t="str">
        <f>Commodities!C105</f>
        <v>INDRFL</v>
      </c>
      <c r="G520" s="422">
        <v>1</v>
      </c>
      <c r="H520" s="421">
        <f>DelivOIL!$I97*DelivOIL!P$84^5/(Conv!$I$5*Conv!$D$46)/10^6 + OILTrade!$K$19</f>
        <v>0.44397388233052115</v>
      </c>
      <c r="I520" s="421">
        <f>DelivOIL!$I97*DelivOIL!Q$84^5/(Conv!$I$5*Conv!$D$46)/10^6 + OILTrade!$K$19</f>
        <v>0.41711057295507281</v>
      </c>
      <c r="J520" s="421">
        <f>DelivOIL!$I97*DelivOIL!R$84^5/(Conv!$I$5*Conv!$D$46)/10^6 + OILTrade!$K$19</f>
        <v>0.48195086293617462</v>
      </c>
      <c r="K520" s="421">
        <f>DelivOIL!$I97*DelivOIL!S$84^5/(Conv!$I$5*Conv!$D$46)/10^6 + OILTrade!$K$19</f>
        <v>0.44053201198652625</v>
      </c>
      <c r="L520" s="421">
        <f>DelivOIL!$I97*DelivOIL!T$84^5/(Conv!$I$5*Conv!$D$46)/10^6 + OILTrade!$K$19</f>
        <v>0.4257185456101783</v>
      </c>
      <c r="M520" s="421">
        <f>DelivOIL!$I97*DelivOIL!U$84^5/(Conv!$I$5*Conv!$D$46)/10^6 + OILTrade!$K$19</f>
        <v>0.43481893165740026</v>
      </c>
      <c r="N520" s="421">
        <f>DelivOIL!$I97*DelivOIL!V$84^5/(Conv!$I$5*Conv!$D$46)/10^6 + OILTrade!$K$19</f>
        <v>0.43481893165740026</v>
      </c>
      <c r="O520" s="421">
        <f>DelivOIL!$I97*DelivOIL!W$84^5/(Conv!$I$5*Conv!$D$46)/10^6 + OILTrade!$K$19</f>
        <v>0.43481893165740026</v>
      </c>
      <c r="P520" s="421">
        <f>DelivOIL!$I97*DelivOIL!X$84^5/(Conv!$I$5*Conv!$D$46)/10^6 + OILTrade!$K$19</f>
        <v>0.43481893165740026</v>
      </c>
      <c r="Q520" s="421">
        <f>DelivOIL!$I97*DelivOIL!Y$84^5/(Conv!$I$5*Conv!$D$46)/10^6 + OILTrade!$K$19</f>
        <v>0.43481893165740026</v>
      </c>
      <c r="S520" s="395"/>
      <c r="T520" s="395"/>
      <c r="U520" s="395"/>
      <c r="V520" s="395"/>
      <c r="W520" s="395"/>
      <c r="X520" s="395"/>
      <c r="Y520" s="395"/>
      <c r="Z520" s="395"/>
      <c r="AA520" s="395"/>
      <c r="AB520" s="395"/>
      <c r="AC520" s="395"/>
    </row>
    <row r="521" spans="2:29">
      <c r="B521" s="376" t="s">
        <v>588</v>
      </c>
      <c r="C521" s="376" t="str">
        <f>Technologies!C359</f>
        <v>XPELCRFLR6</v>
      </c>
      <c r="D521" s="376" t="str">
        <f>Technologies!D359</f>
        <v>Delivery of Pipeline Traded ELCRFL from R6</v>
      </c>
      <c r="E521" s="415" t="str">
        <f>E520</f>
        <v>RFLR6</v>
      </c>
      <c r="F521" s="415" t="str">
        <f>Commodities!C106</f>
        <v>ELCRFL</v>
      </c>
      <c r="G521" s="422">
        <v>1</v>
      </c>
      <c r="H521" s="421">
        <f>DelivOIL!$I98*DelivOIL!P$84^5/(Conv!$I$5*Conv!$D$46)/10^6 + OILTrade!$K$19</f>
        <v>0.97577855128075863</v>
      </c>
      <c r="I521" s="421">
        <f>DelivOIL!$I98*DelivOIL!Q$84^5/(Conv!$I$5*Conv!$D$46)/10^6 + OILTrade!$K$19</f>
        <v>0.90235217232120002</v>
      </c>
      <c r="J521" s="421">
        <f>DelivOIL!$I98*DelivOIL!R$84^5/(Conv!$I$5*Conv!$D$46)/10^6 + OILTrade!$K$19</f>
        <v>1.0795822982695449</v>
      </c>
      <c r="K521" s="421">
        <f>DelivOIL!$I98*DelivOIL!S$84^5/(Conv!$I$5*Conv!$D$46)/10^6 + OILTrade!$K$19</f>
        <v>0.96637077234050606</v>
      </c>
      <c r="L521" s="421">
        <f>DelivOIL!$I98*DelivOIL!T$84^5/(Conv!$I$5*Conv!$D$46)/10^6 + OILTrade!$K$19</f>
        <v>0.92588063091182171</v>
      </c>
      <c r="M521" s="421">
        <f>DelivOIL!$I98*DelivOIL!U$84^5/(Conv!$I$5*Conv!$D$46)/10^6 + OILTrade!$K$19</f>
        <v>0.95075501944089491</v>
      </c>
      <c r="N521" s="421">
        <f>DelivOIL!$I98*DelivOIL!V$84^5/(Conv!$I$5*Conv!$D$46)/10^6 + OILTrade!$K$19</f>
        <v>0.95075501944089491</v>
      </c>
      <c r="O521" s="421">
        <f>DelivOIL!$I98*DelivOIL!W$84^5/(Conv!$I$5*Conv!$D$46)/10^6 + OILTrade!$K$19</f>
        <v>0.95075501944089491</v>
      </c>
      <c r="P521" s="421">
        <f>DelivOIL!$I98*DelivOIL!X$84^5/(Conv!$I$5*Conv!$D$46)/10^6 + OILTrade!$K$19</f>
        <v>0.95075501944089491</v>
      </c>
      <c r="Q521" s="421">
        <f>DelivOIL!$I98*DelivOIL!Y$84^5/(Conv!$I$5*Conv!$D$46)/10^6 + OILTrade!$K$19</f>
        <v>0.95075501944089491</v>
      </c>
      <c r="S521" s="395"/>
      <c r="T521" s="395"/>
      <c r="U521" s="395"/>
      <c r="V521" s="395"/>
      <c r="W521" s="395"/>
      <c r="X521" s="395"/>
      <c r="Y521" s="395"/>
      <c r="Z521" s="395"/>
      <c r="AA521" s="395"/>
      <c r="AB521" s="395"/>
      <c r="AC521" s="395"/>
    </row>
    <row r="522" spans="2:29">
      <c r="B522" s="376" t="s">
        <v>588</v>
      </c>
      <c r="C522" s="376" t="str">
        <f>Technologies!C360</f>
        <v>XPTRNRFHR6</v>
      </c>
      <c r="D522" s="376" t="str">
        <f>Technologies!D360</f>
        <v>Delivery of Pipeline Traded TRNRFH from R6</v>
      </c>
      <c r="E522" s="415" t="str">
        <f>Commodities!C166</f>
        <v>RFHR6</v>
      </c>
      <c r="F522" s="415" t="str">
        <f>Commodities!C107</f>
        <v>TRNRFH</v>
      </c>
      <c r="G522" s="422">
        <v>1</v>
      </c>
      <c r="H522" s="421">
        <f>DelivOIL!$I99*DelivOIL!P$84^5/(Conv!$I$5*Conv!$D$46)/10^6 + OILTrade!$K$19</f>
        <v>1.2825889372135886</v>
      </c>
      <c r="I522" s="421">
        <f>DelivOIL!$I99*DelivOIL!Q$84^5/(Conv!$I$5*Conv!$D$46)/10^6 + OILTrade!$K$19</f>
        <v>1.1822992488785815</v>
      </c>
      <c r="J522" s="421">
        <f>DelivOIL!$I99*DelivOIL!R$84^5/(Conv!$I$5*Conv!$D$46)/10^6 + OILTrade!$K$19</f>
        <v>1.424369664808028</v>
      </c>
      <c r="K522" s="421">
        <f>DelivOIL!$I99*DelivOIL!S$84^5/(Conv!$I$5*Conv!$D$46)/10^6 + OILTrade!$K$19</f>
        <v>1.269739287929341</v>
      </c>
      <c r="L522" s="421">
        <f>DelivOIL!$I99*DelivOIL!T$84^5/(Conv!$I$5*Conv!$D$46)/10^6 + OILTrade!$K$19</f>
        <v>1.2144356801243086</v>
      </c>
      <c r="M522" s="421">
        <f>DelivOIL!$I99*DelivOIL!U$84^5/(Conv!$I$5*Conv!$D$46)/10^6 + OILTrade!$K$19</f>
        <v>1.2484104547006039</v>
      </c>
      <c r="N522" s="421">
        <f>DelivOIL!$I99*DelivOIL!V$84^5/(Conv!$I$5*Conv!$D$46)/10^6 + OILTrade!$K$19</f>
        <v>1.2484104547006039</v>
      </c>
      <c r="O522" s="421">
        <f>DelivOIL!$I99*DelivOIL!W$84^5/(Conv!$I$5*Conv!$D$46)/10^6 + OILTrade!$K$19</f>
        <v>1.2484104547006039</v>
      </c>
      <c r="P522" s="421">
        <f>DelivOIL!$I99*DelivOIL!X$84^5/(Conv!$I$5*Conv!$D$46)/10^6 + OILTrade!$K$19</f>
        <v>1.2484104547006039</v>
      </c>
      <c r="Q522" s="421">
        <f>DelivOIL!$I99*DelivOIL!Y$84^5/(Conv!$I$5*Conv!$D$46)/10^6 + OILTrade!$K$19</f>
        <v>1.2484104547006039</v>
      </c>
      <c r="S522" s="395"/>
      <c r="T522" s="395"/>
      <c r="U522" s="395"/>
      <c r="V522" s="395"/>
      <c r="W522" s="395"/>
      <c r="X522" s="395"/>
      <c r="Y522" s="395"/>
      <c r="Z522" s="395"/>
      <c r="AA522" s="395"/>
      <c r="AB522" s="395"/>
      <c r="AC522" s="395"/>
    </row>
    <row r="523" spans="2:29">
      <c r="B523" s="376" t="s">
        <v>588</v>
      </c>
      <c r="C523" s="376" t="str">
        <f>Technologies!C361</f>
        <v>XPELCRFHR6</v>
      </c>
      <c r="D523" s="376" t="str">
        <f>Technologies!D361</f>
        <v>Delivery of Pipeline Traded ELCRFH from R6</v>
      </c>
      <c r="E523" s="415" t="str">
        <f>E522</f>
        <v>RFHR6</v>
      </c>
      <c r="F523" s="415" t="str">
        <f>Commodities!C108</f>
        <v>ELCRFH</v>
      </c>
      <c r="G523" s="422">
        <v>1</v>
      </c>
      <c r="H523" s="421">
        <f>DelivOIL!$I100*DelivOIL!P$84^5/(Conv!$I$5*Conv!$D$46)/10^6 + OILTrade!$K$19</f>
        <v>0.13716349639769135</v>
      </c>
      <c r="I523" s="421">
        <f>DelivOIL!$I100*DelivOIL!Q$84^5/(Conv!$I$5*Conv!$D$46)/10^6 + OILTrade!$K$19</f>
        <v>0.13716349639769135</v>
      </c>
      <c r="J523" s="421">
        <f>DelivOIL!$I100*DelivOIL!R$84^5/(Conv!$I$5*Conv!$D$46)/10^6 + OILTrade!$K$19</f>
        <v>0.13716349639769135</v>
      </c>
      <c r="K523" s="421">
        <f>DelivOIL!$I100*DelivOIL!S$84^5/(Conv!$I$5*Conv!$D$46)/10^6 + OILTrade!$K$19</f>
        <v>0.13716349639769135</v>
      </c>
      <c r="L523" s="421">
        <f>DelivOIL!$I100*DelivOIL!T$84^5/(Conv!$I$5*Conv!$D$46)/10^6 + OILTrade!$K$19</f>
        <v>0.13716349639769135</v>
      </c>
      <c r="M523" s="421">
        <f>DelivOIL!$I100*DelivOIL!U$84^5/(Conv!$I$5*Conv!$D$46)/10^6 + OILTrade!$K$19</f>
        <v>0.13716349639769135</v>
      </c>
      <c r="N523" s="421">
        <f>DelivOIL!$I100*DelivOIL!V$84^5/(Conv!$I$5*Conv!$D$46)/10^6 + OILTrade!$K$19</f>
        <v>0.13716349639769135</v>
      </c>
      <c r="O523" s="421">
        <f>DelivOIL!$I100*DelivOIL!W$84^5/(Conv!$I$5*Conv!$D$46)/10^6 + OILTrade!$K$19</f>
        <v>0.13716349639769135</v>
      </c>
      <c r="P523" s="421">
        <f>DelivOIL!$I100*DelivOIL!X$84^5/(Conv!$I$5*Conv!$D$46)/10^6 + OILTrade!$K$19</f>
        <v>0.13716349639769135</v>
      </c>
      <c r="Q523" s="421">
        <f>DelivOIL!$I100*DelivOIL!Y$84^5/(Conv!$I$5*Conv!$D$46)/10^6 + OILTrade!$K$19</f>
        <v>0.13716349639769135</v>
      </c>
      <c r="S523" s="395"/>
      <c r="T523" s="395"/>
      <c r="U523" s="395"/>
      <c r="V523" s="395"/>
      <c r="W523" s="395"/>
      <c r="X523" s="395"/>
      <c r="Y523" s="395"/>
      <c r="Z523" s="395"/>
      <c r="AA523" s="395"/>
      <c r="AB523" s="395"/>
      <c r="AC523" s="395"/>
    </row>
    <row r="524" spans="2:29">
      <c r="B524" s="376" t="s">
        <v>588</v>
      </c>
      <c r="C524" s="376" t="str">
        <f>Technologies!C362</f>
        <v>XPINDASPR6</v>
      </c>
      <c r="D524" s="376" t="str">
        <f>Technologies!D362</f>
        <v>Delivery of Pipeline Traded INDASP from R6</v>
      </c>
      <c r="E524" s="415" t="str">
        <f>Commodities!C168</f>
        <v>ASPR6</v>
      </c>
      <c r="F524" s="415" t="str">
        <f>Commodities!C109</f>
        <v>INDASP</v>
      </c>
      <c r="G524" s="422">
        <v>1</v>
      </c>
      <c r="H524" s="421">
        <f>DelivOIL!$I101*DelivOIL!P$84^5/(Conv!$I$5*Conv!$D$46)/10^6 + OILTrade!$K$19</f>
        <v>0.91441647409419269</v>
      </c>
      <c r="I524" s="421">
        <f>DelivOIL!$I101*DelivOIL!Q$84^5/(Conv!$I$5*Conv!$D$46)/10^6 + OILTrade!$K$19</f>
        <v>0.84636275700972374</v>
      </c>
      <c r="J524" s="421">
        <f>DelivOIL!$I101*DelivOIL!R$84^5/(Conv!$I$5*Conv!$D$46)/10^6 + OILTrade!$K$19</f>
        <v>1.0106248249618481</v>
      </c>
      <c r="K524" s="421">
        <f>DelivOIL!$I101*DelivOIL!S$84^5/(Conv!$I$5*Conv!$D$46)/10^6 + OILTrade!$K$19</f>
        <v>0.90569706922273896</v>
      </c>
      <c r="L524" s="421">
        <f>DelivOIL!$I101*DelivOIL!T$84^5/(Conv!$I$5*Conv!$D$46)/10^6 + OILTrade!$K$19</f>
        <v>0.86816962106932427</v>
      </c>
      <c r="M524" s="421">
        <f>DelivOIL!$I101*DelivOIL!U$84^5/(Conv!$I$5*Conv!$D$46)/10^6 + OILTrade!$K$19</f>
        <v>0.89122393238895314</v>
      </c>
      <c r="N524" s="421">
        <f>DelivOIL!$I101*DelivOIL!V$84^5/(Conv!$I$5*Conv!$D$46)/10^6 + OILTrade!$K$19</f>
        <v>0.89122393238895314</v>
      </c>
      <c r="O524" s="421">
        <f>DelivOIL!$I101*DelivOIL!W$84^5/(Conv!$I$5*Conv!$D$46)/10^6 + OILTrade!$K$19</f>
        <v>0.89122393238895314</v>
      </c>
      <c r="P524" s="421">
        <f>DelivOIL!$I101*DelivOIL!X$84^5/(Conv!$I$5*Conv!$D$46)/10^6 + OILTrade!$K$19</f>
        <v>0.89122393238895314</v>
      </c>
      <c r="Q524" s="421">
        <f>DelivOIL!$I101*DelivOIL!Y$84^5/(Conv!$I$5*Conv!$D$46)/10^6 + OILTrade!$K$19</f>
        <v>0.89122393238895314</v>
      </c>
      <c r="S524" s="395"/>
      <c r="T524" s="395"/>
      <c r="U524" s="395"/>
      <c r="V524" s="395"/>
      <c r="W524" s="395"/>
      <c r="X524" s="395"/>
      <c r="Y524" s="395"/>
      <c r="Z524" s="395"/>
      <c r="AA524" s="395"/>
      <c r="AB524" s="395"/>
      <c r="AC524" s="395"/>
    </row>
    <row r="525" spans="2:29">
      <c r="B525" s="376" t="s">
        <v>588</v>
      </c>
      <c r="C525" s="376"/>
      <c r="D525" s="376"/>
      <c r="E525" s="415"/>
      <c r="F525" s="415"/>
      <c r="G525" s="422"/>
      <c r="H525" s="421"/>
      <c r="I525" s="421"/>
      <c r="J525" s="421"/>
      <c r="K525" s="421"/>
      <c r="L525" s="421"/>
      <c r="M525" s="421"/>
      <c r="N525" s="421"/>
      <c r="O525" s="421"/>
      <c r="P525" s="421"/>
      <c r="Q525" s="421"/>
      <c r="S525" s="395"/>
      <c r="T525" s="395"/>
      <c r="U525" s="395"/>
      <c r="V525" s="395"/>
      <c r="W525" s="395"/>
      <c r="X525" s="395"/>
      <c r="Y525" s="395"/>
      <c r="Z525" s="395"/>
      <c r="AA525" s="395"/>
      <c r="AB525" s="395"/>
      <c r="AC525" s="395"/>
    </row>
    <row r="528" spans="2:29" ht="17.25" customHeight="1">
      <c r="F528" s="410" t="s">
        <v>2532</v>
      </c>
    </row>
    <row r="529" spans="2:29" ht="15.75" customHeight="1">
      <c r="B529" s="371" t="s">
        <v>739</v>
      </c>
      <c r="C529" s="371" t="s">
        <v>375</v>
      </c>
      <c r="D529" s="371" t="s">
        <v>376</v>
      </c>
      <c r="E529" s="371" t="s">
        <v>378</v>
      </c>
      <c r="F529" s="371" t="s">
        <v>379</v>
      </c>
      <c r="G529" s="371" t="s">
        <v>2538</v>
      </c>
      <c r="H529" s="371" t="s">
        <v>2540</v>
      </c>
      <c r="I529" s="371" t="s">
        <v>2541</v>
      </c>
      <c r="J529" s="371" t="s">
        <v>2542</v>
      </c>
      <c r="K529" s="371" t="s">
        <v>2543</v>
      </c>
      <c r="L529" s="371" t="s">
        <v>2544</v>
      </c>
      <c r="M529" s="371" t="s">
        <v>2545</v>
      </c>
      <c r="N529" s="371" t="s">
        <v>2546</v>
      </c>
      <c r="O529" s="371" t="s">
        <v>2547</v>
      </c>
      <c r="P529" s="371" t="s">
        <v>2548</v>
      </c>
      <c r="Q529" s="371" t="s">
        <v>2549</v>
      </c>
      <c r="S529" s="407"/>
      <c r="T529" s="407"/>
      <c r="U529" s="407"/>
      <c r="V529" s="407"/>
      <c r="W529" s="407"/>
      <c r="X529" s="407"/>
      <c r="Y529" s="407"/>
      <c r="Z529" s="407"/>
      <c r="AA529" s="407"/>
      <c r="AB529" s="407"/>
      <c r="AC529" s="407"/>
    </row>
    <row r="530" spans="2:29">
      <c r="B530" s="420" t="s">
        <v>2470</v>
      </c>
      <c r="C530" s="419"/>
      <c r="D530" s="419"/>
      <c r="E530" s="418"/>
      <c r="F530" s="418"/>
      <c r="G530" s="418"/>
      <c r="H530" s="419"/>
      <c r="I530" s="419"/>
      <c r="J530" s="419"/>
      <c r="K530" s="419"/>
      <c r="L530" s="419"/>
      <c r="M530" s="419"/>
      <c r="N530" s="419"/>
      <c r="O530" s="419"/>
      <c r="P530" s="419"/>
      <c r="Q530" s="419"/>
    </row>
    <row r="531" spans="2:29">
      <c r="B531" s="420" t="s">
        <v>1091</v>
      </c>
      <c r="C531" s="419"/>
      <c r="D531" s="419"/>
      <c r="E531" s="418"/>
      <c r="F531" s="418"/>
      <c r="G531" s="418"/>
      <c r="H531" s="419"/>
      <c r="I531" s="419"/>
      <c r="J531" s="419"/>
      <c r="K531" s="419"/>
      <c r="L531" s="419"/>
      <c r="M531" s="419"/>
      <c r="N531" s="419"/>
      <c r="O531" s="419"/>
      <c r="P531" s="419"/>
      <c r="Q531" s="419"/>
    </row>
    <row r="532" spans="2:29">
      <c r="B532" s="376" t="str">
        <f>IF(OR(LEFT(Commodities!B$64,1)="*",LEFT(Technologies!B$232,1)="*"),"*","R1")</f>
        <v>R1</v>
      </c>
      <c r="C532" s="376" t="str">
        <f>Technologies!C232</f>
        <v>XITRNJTFP1</v>
      </c>
      <c r="D532" s="376" t="str">
        <f>Technologies!D232</f>
        <v>Delivery of Imported Jet Fuel</v>
      </c>
      <c r="E532" s="415" t="str">
        <f>Commodities!C$64</f>
        <v>JTFP1</v>
      </c>
      <c r="F532" s="415" t="str">
        <f>Commodities!C93</f>
        <v>TRNJTF</v>
      </c>
      <c r="G532" s="422">
        <v>1</v>
      </c>
      <c r="H532" s="421">
        <f>DelivOIL!$B86*DelivOIL!P$77^5/(Conv!$I$5*Conv!$D$46)/10^6 + OILTrade!$D$5</f>
        <v>0.94770319210362897</v>
      </c>
      <c r="I532" s="421">
        <f>DelivOIL!$B86*DelivOIL!Q$77^5/(Conv!$I$5*Conv!$D$46)/10^6 + OILTrade!$D$5</f>
        <v>0.9426951578047833</v>
      </c>
      <c r="J532" s="421">
        <f>DelivOIL!$B86*DelivOIL!R$77^5/(Conv!$I$5*Conv!$D$46)/10^6 + OILTrade!$D$5</f>
        <v>0.99172368794886034</v>
      </c>
      <c r="K532" s="421">
        <f>DelivOIL!$B86*DelivOIL!S$77^5/(Conv!$I$5*Conv!$D$46)/10^6 + OILTrade!$D$5</f>
        <v>1.1946503491840577</v>
      </c>
      <c r="L532" s="421">
        <f>DelivOIL!$B86*DelivOIL!T$77^5/(Conv!$I$5*Conv!$D$46)/10^6 + OILTrade!$D$5</f>
        <v>1.0955830933038582</v>
      </c>
      <c r="M532" s="421">
        <f>DelivOIL!$B86*DelivOIL!U$77^5/(Conv!$I$5*Conv!$D$46)/10^6 + OILTrade!$D$5</f>
        <v>0.97090191206395204</v>
      </c>
      <c r="N532" s="421">
        <f>DelivOIL!$B86*DelivOIL!V$77^5/(Conv!$I$5*Conv!$D$46)/10^6 + OILTrade!$D$5</f>
        <v>0.97090191206395204</v>
      </c>
      <c r="O532" s="421">
        <f>DelivOIL!$B86*DelivOIL!W$77^5/(Conv!$I$5*Conv!$D$46)/10^6 + OILTrade!$D$5</f>
        <v>0.97090191206395204</v>
      </c>
      <c r="P532" s="421">
        <f>DelivOIL!$B86*DelivOIL!X$77^5/(Conv!$I$5*Conv!$D$46)/10^6 + OILTrade!$D$5</f>
        <v>0.97090191206395204</v>
      </c>
      <c r="Q532" s="421">
        <f>DelivOIL!$B86*DelivOIL!Y$77^5/(Conv!$I$5*Conv!$D$46)/10^6 + OILTrade!$D$5</f>
        <v>0.97090191206395204</v>
      </c>
      <c r="S532" s="395"/>
      <c r="T532" s="395"/>
      <c r="U532" s="395"/>
      <c r="V532" s="395"/>
      <c r="W532" s="395"/>
      <c r="X532" s="395"/>
      <c r="Y532" s="395"/>
      <c r="Z532" s="395"/>
      <c r="AA532" s="395"/>
      <c r="AB532" s="395"/>
      <c r="AC532" s="395"/>
    </row>
    <row r="533" spans="2:29">
      <c r="B533" s="376" t="str">
        <f>IF(OR(LEFT(Commodities!B$65,1)="*",LEFT(Technologies!B$233,1)="*"),"*","R1")</f>
        <v>R1</v>
      </c>
      <c r="C533" s="376" t="str">
        <f>Technologies!C233</f>
        <v>XIRESDSLP1</v>
      </c>
      <c r="D533" s="376" t="str">
        <f>Technologies!D233</f>
        <v>Delivery of Imported Distillate-Heating Oil No. 2 to the Residential Sector</v>
      </c>
      <c r="E533" s="415" t="str">
        <f>Commodities!C$65</f>
        <v>DSHP1</v>
      </c>
      <c r="F533" s="415" t="str">
        <f>Commodities!C87</f>
        <v>RESDSL</v>
      </c>
      <c r="G533" s="422">
        <v>1</v>
      </c>
      <c r="H533" s="421">
        <f>DelivOIL!$B80*DelivOIL!P$77^5/(Conv!$I$5*Conv!$D$46)/10^6 + OILTrade!$D$5</f>
        <v>3.0749218679045796</v>
      </c>
      <c r="I533" s="421">
        <f>DelivOIL!$B80*DelivOIL!Q$77^5/(Conv!$I$5*Conv!$D$46)/10^6 + OILTrade!$D$5</f>
        <v>3.0586727782011311</v>
      </c>
      <c r="J533" s="421">
        <f>DelivOIL!$B80*DelivOIL!R$77^5/(Conv!$I$5*Conv!$D$46)/10^6 + OILTrade!$D$5</f>
        <v>3.2177509587405466</v>
      </c>
      <c r="K533" s="421">
        <f>DelivOIL!$B80*DelivOIL!S$77^5/(Conv!$I$5*Conv!$D$46)/10^6 + OILTrade!$D$5</f>
        <v>3.8761676797266897</v>
      </c>
      <c r="L533" s="421">
        <f>DelivOIL!$B80*DelivOIL!T$77^5/(Conv!$I$5*Conv!$D$46)/10^6 + OILTrade!$D$5</f>
        <v>3.5547336336693514</v>
      </c>
      <c r="M533" s="421">
        <f>DelivOIL!$B80*DelivOIL!U$77^5/(Conv!$I$5*Conv!$D$46)/10^6 + OILTrade!$D$5</f>
        <v>3.1501925348262039</v>
      </c>
      <c r="N533" s="421">
        <f>DelivOIL!$B80*DelivOIL!V$77^5/(Conv!$I$5*Conv!$D$46)/10^6 + OILTrade!$D$5</f>
        <v>3.1501925348262039</v>
      </c>
      <c r="O533" s="421">
        <f>DelivOIL!$B80*DelivOIL!W$77^5/(Conv!$I$5*Conv!$D$46)/10^6 + OILTrade!$D$5</f>
        <v>3.1501925348262039</v>
      </c>
      <c r="P533" s="421">
        <f>DelivOIL!$B80*DelivOIL!X$77^5/(Conv!$I$5*Conv!$D$46)/10^6 + OILTrade!$D$5</f>
        <v>3.1501925348262039</v>
      </c>
      <c r="Q533" s="421">
        <f>DelivOIL!$B80*DelivOIL!Y$77^5/(Conv!$I$5*Conv!$D$46)/10^6 + OILTrade!$D$5</f>
        <v>3.1501925348262039</v>
      </c>
      <c r="S533" s="395"/>
      <c r="T533" s="395"/>
      <c r="U533" s="395"/>
      <c r="V533" s="395"/>
      <c r="W533" s="395"/>
      <c r="X533" s="395"/>
      <c r="Y533" s="395"/>
      <c r="Z533" s="395"/>
      <c r="AA533" s="395"/>
      <c r="AB533" s="395"/>
      <c r="AC533" s="395"/>
    </row>
    <row r="534" spans="2:29">
      <c r="B534" s="376" t="str">
        <f>IF(OR(LEFT(Commodities!B$65,1)="*",LEFT(Technologies!B$234,1)="*"),"*","R1")</f>
        <v>R1</v>
      </c>
      <c r="C534" s="376" t="str">
        <f>Technologies!C234</f>
        <v>XICOMDSLP1</v>
      </c>
      <c r="D534" s="376" t="str">
        <f>Technologies!D234</f>
        <v>Delivery of Imported Distillate-Heating Oil No. 2 to the Commercial Sector</v>
      </c>
      <c r="E534" s="415" t="str">
        <f>Commodities!C$65</f>
        <v>DSHP1</v>
      </c>
      <c r="F534" s="415" t="str">
        <f>Commodities!C88</f>
        <v>COMDSL</v>
      </c>
      <c r="G534" s="422">
        <v>1</v>
      </c>
      <c r="H534" s="421">
        <f>DelivOIL!$B81*DelivOIL!P$77^5/(Conv!$I$5*Conv!$D$46)/10^6 + OILTrade!$D$5</f>
        <v>1.6635940926135653</v>
      </c>
      <c r="I534" s="421">
        <f>DelivOIL!$B81*DelivOIL!Q$77^5/(Conv!$I$5*Conv!$D$46)/10^6 + OILTrade!$D$5</f>
        <v>1.6548030108227858</v>
      </c>
      <c r="J534" s="421">
        <f>DelivOIL!$B81*DelivOIL!R$77^5/(Conv!$I$5*Conv!$D$46)/10^6 + OILTrade!$D$5</f>
        <v>1.7408674810037557</v>
      </c>
      <c r="K534" s="421">
        <f>DelivOIL!$B81*DelivOIL!S$77^5/(Conv!$I$5*Conv!$D$46)/10^6 + OILTrade!$D$5</f>
        <v>2.0970840661935979</v>
      </c>
      <c r="L534" s="421">
        <f>DelivOIL!$B81*DelivOIL!T$77^5/(Conv!$I$5*Conv!$D$46)/10^6 + OILTrade!$D$5</f>
        <v>1.9231818328499382</v>
      </c>
      <c r="M534" s="421">
        <f>DelivOIL!$B81*DelivOIL!U$77^5/(Conv!$I$5*Conv!$D$46)/10^6 + OILTrade!$D$5</f>
        <v>1.7043170254935567</v>
      </c>
      <c r="N534" s="421">
        <f>DelivOIL!$B81*DelivOIL!V$77^5/(Conv!$I$5*Conv!$D$46)/10^6 + OILTrade!$D$5</f>
        <v>1.7043170254935567</v>
      </c>
      <c r="O534" s="421">
        <f>DelivOIL!$B81*DelivOIL!W$77^5/(Conv!$I$5*Conv!$D$46)/10^6 + OILTrade!$D$5</f>
        <v>1.7043170254935567</v>
      </c>
      <c r="P534" s="421">
        <f>DelivOIL!$B81*DelivOIL!X$77^5/(Conv!$I$5*Conv!$D$46)/10^6 + OILTrade!$D$5</f>
        <v>1.7043170254935567</v>
      </c>
      <c r="Q534" s="421">
        <f>DelivOIL!$B81*DelivOIL!Y$77^5/(Conv!$I$5*Conv!$D$46)/10^6 + OILTrade!$D$5</f>
        <v>1.7043170254935567</v>
      </c>
      <c r="S534" s="395"/>
      <c r="T534" s="395"/>
      <c r="U534" s="395"/>
      <c r="V534" s="395"/>
      <c r="W534" s="395"/>
      <c r="X534" s="395"/>
      <c r="Y534" s="395"/>
      <c r="Z534" s="395"/>
      <c r="AA534" s="395"/>
      <c r="AB534" s="395"/>
      <c r="AC534" s="395"/>
    </row>
    <row r="535" spans="2:29">
      <c r="B535" s="376" t="str">
        <f>IF(OR(LEFT(Commodities!B$65,1)="*",LEFT(Technologies!B$235,1)="*"),"*","R1")</f>
        <v>*</v>
      </c>
      <c r="C535" s="376" t="str">
        <f>Technologies!C235</f>
        <v>XIINDDSLP1</v>
      </c>
      <c r="D535" s="376" t="str">
        <f>Technologies!D235</f>
        <v>Delivery of Imported Distillate-Heating Oil No. 2 to the Indistrial Sector</v>
      </c>
      <c r="E535" s="415" t="str">
        <f>Commodities!C$65</f>
        <v>DSHP1</v>
      </c>
      <c r="F535" s="415" t="str">
        <f>Commodities!C89</f>
        <v>INDDSL</v>
      </c>
      <c r="G535" s="422">
        <v>1</v>
      </c>
      <c r="H535" s="421">
        <f>DelivOIL!$B82*DelivOIL!P$77^5/(Conv!$I$5*Conv!$D$46)/10^6 + OILTrade!$D$5</f>
        <v>1.6976841354949901</v>
      </c>
      <c r="I535" s="421">
        <f>DelivOIL!$B82*DelivOIL!Q$77^5/(Conv!$I$5*Conv!$D$46)/10^6 + OILTrade!$D$5</f>
        <v>1.6887129085855468</v>
      </c>
      <c r="J535" s="421">
        <f>DelivOIL!$B82*DelivOIL!R$77^5/(Conv!$I$5*Conv!$D$46)/10^6 + OILTrade!$D$5</f>
        <v>1.7765409949587494</v>
      </c>
      <c r="K535" s="421">
        <f>DelivOIL!$B82*DelivOIL!S$77^5/(Conv!$I$5*Conv!$D$46)/10^6 + OILTrade!$D$5</f>
        <v>2.1400571003369087</v>
      </c>
      <c r="L535" s="421">
        <f>DelivOIL!$B82*DelivOIL!T$77^5/(Conv!$I$5*Conv!$D$46)/10^6 + OILTrade!$D$5</f>
        <v>1.9625912966378458</v>
      </c>
      <c r="M535" s="421">
        <f>DelivOIL!$B82*DelivOIL!U$77^5/(Conv!$I$5*Conv!$D$46)/10^6 + OILTrade!$D$5</f>
        <v>1.7392415547044897</v>
      </c>
      <c r="N535" s="421">
        <f>DelivOIL!$B82*DelivOIL!V$77^5/(Conv!$I$5*Conv!$D$46)/10^6 + OILTrade!$D$5</f>
        <v>1.7392415547044897</v>
      </c>
      <c r="O535" s="421">
        <f>DelivOIL!$B82*DelivOIL!W$77^5/(Conv!$I$5*Conv!$D$46)/10^6 + OILTrade!$D$5</f>
        <v>1.7392415547044897</v>
      </c>
      <c r="P535" s="421">
        <f>DelivOIL!$B82*DelivOIL!X$77^5/(Conv!$I$5*Conv!$D$46)/10^6 + OILTrade!$D$5</f>
        <v>1.7392415547044897</v>
      </c>
      <c r="Q535" s="421">
        <f>DelivOIL!$B82*DelivOIL!Y$77^5/(Conv!$I$5*Conv!$D$46)/10^6 + OILTrade!$D$5</f>
        <v>1.7392415547044897</v>
      </c>
      <c r="S535" s="395"/>
      <c r="T535" s="395"/>
      <c r="U535" s="395"/>
      <c r="V535" s="395"/>
      <c r="W535" s="395"/>
      <c r="X535" s="395"/>
      <c r="Y535" s="395"/>
      <c r="Z535" s="395"/>
      <c r="AA535" s="395"/>
      <c r="AB535" s="395"/>
      <c r="AC535" s="395"/>
    </row>
    <row r="536" spans="2:29">
      <c r="B536" s="376" t="str">
        <f>IF(OR(LEFT(Commodities!B$65,1)="*",LEFT(Technologies!B$236,1)="*"),"*","R1")</f>
        <v>R1</v>
      </c>
      <c r="C536" s="376" t="str">
        <f>Technologies!C236</f>
        <v>XIELCDSLP1</v>
      </c>
      <c r="D536" s="376" t="str">
        <f>Technologies!D236</f>
        <v>Delivery of Imported Distillate-Heating Oil No. 2 to the Electricity Sector</v>
      </c>
      <c r="E536" s="415" t="str">
        <f>Commodities!C$65</f>
        <v>DSHP1</v>
      </c>
      <c r="F536" s="415" t="str">
        <f>Commodities!C90</f>
        <v>ELCDSL</v>
      </c>
      <c r="G536" s="422">
        <v>1</v>
      </c>
      <c r="H536" s="421">
        <f>DelivOIL!$B83*DelivOIL!P$77^5/(Conv!$I$5*Conv!$D$46)/10^6 + OILTrade!$D$5</f>
        <v>0.54544068610280849</v>
      </c>
      <c r="I536" s="421">
        <f>DelivOIL!$B83*DelivOIL!Q$77^5/(Conv!$I$5*Conv!$D$46)/10^6 + OILTrade!$D$5</f>
        <v>0.54255836420419234</v>
      </c>
      <c r="J536" s="421">
        <f>DelivOIL!$B83*DelivOIL!R$77^5/(Conv!$I$5*Conv!$D$46)/10^6 + OILTrade!$D$5</f>
        <v>0.57077622327992017</v>
      </c>
      <c r="K536" s="421">
        <f>DelivOIL!$B83*DelivOIL!S$77^5/(Conv!$I$5*Conv!$D$46)/10^6 + OILTrade!$D$5</f>
        <v>0.68756854629298325</v>
      </c>
      <c r="L536" s="421">
        <f>DelivOIL!$B83*DelivOIL!T$77^5/(Conv!$I$5*Conv!$D$46)/10^6 + OILTrade!$D$5</f>
        <v>0.63055142060653735</v>
      </c>
      <c r="M536" s="421">
        <f>DelivOIL!$B83*DelivOIL!U$77^5/(Conv!$I$5*Conv!$D$46)/10^6 + OILTrade!$D$5</f>
        <v>0.55879246737493693</v>
      </c>
      <c r="N536" s="421">
        <f>DelivOIL!$B83*DelivOIL!V$77^5/(Conv!$I$5*Conv!$D$46)/10^6 + OILTrade!$D$5</f>
        <v>0.55879246737493693</v>
      </c>
      <c r="O536" s="421">
        <f>DelivOIL!$B83*DelivOIL!W$77^5/(Conv!$I$5*Conv!$D$46)/10^6 + OILTrade!$D$5</f>
        <v>0.55879246737493693</v>
      </c>
      <c r="P536" s="421">
        <f>DelivOIL!$B83*DelivOIL!X$77^5/(Conv!$I$5*Conv!$D$46)/10^6 + OILTrade!$D$5</f>
        <v>0.55879246737493693</v>
      </c>
      <c r="Q536" s="421">
        <f>DelivOIL!$B83*DelivOIL!Y$77^5/(Conv!$I$5*Conv!$D$46)/10^6 + OILTrade!$D$5</f>
        <v>0.55879246737493693</v>
      </c>
      <c r="S536" s="395"/>
      <c r="T536" s="395"/>
      <c r="U536" s="395"/>
      <c r="V536" s="395"/>
      <c r="W536" s="395"/>
      <c r="X536" s="395"/>
      <c r="Y536" s="395"/>
      <c r="Z536" s="395"/>
      <c r="AA536" s="395"/>
      <c r="AB536" s="395"/>
      <c r="AC536" s="395"/>
    </row>
    <row r="537" spans="2:29">
      <c r="B537" s="376" t="str">
        <f>IF(OR(LEFT(Commodities!B$65,1)="*",LEFT(Technologies!B$233,1)="*"),"*","R2")</f>
        <v>R2</v>
      </c>
      <c r="C537" s="376" t="str">
        <f>Technologies!C233</f>
        <v>XIRESDSLP1</v>
      </c>
      <c r="D537" s="376" t="str">
        <f>Technologies!D233</f>
        <v>Delivery of Imported Distillate-Heating Oil No. 2 to the Residential Sector</v>
      </c>
      <c r="E537" s="415" t="str">
        <f>Commodities!C$65</f>
        <v>DSHP1</v>
      </c>
      <c r="F537" s="415" t="str">
        <f>Commodities!C87</f>
        <v>RESDSL</v>
      </c>
      <c r="G537" s="422">
        <v>1</v>
      </c>
      <c r="H537" s="421">
        <f>DelivOIL!$C80*DelivOIL!P$78^5/(Conv!$I$5*Conv!$D$46)/10^6 + OILTrade!$E$5</f>
        <v>3.4362763224476911</v>
      </c>
      <c r="I537" s="421">
        <f>DelivOIL!$C80*DelivOIL!Q$78^5/(Conv!$I$5*Conv!$D$46)/10^6 + OILTrade!$E$5</f>
        <v>3.4181176944864093</v>
      </c>
      <c r="J537" s="421">
        <f>DelivOIL!$C80*DelivOIL!R$78^5/(Conv!$I$5*Conv!$D$46)/10^6 + OILTrade!$E$5</f>
        <v>3.5958902066634946</v>
      </c>
      <c r="K537" s="421">
        <f>DelivOIL!$C80*DelivOIL!S$78^5/(Conv!$I$5*Conv!$D$46)/10^6 + OILTrade!$E$5</f>
        <v>4.3316818416457918</v>
      </c>
      <c r="L537" s="421">
        <f>DelivOIL!$C80*DelivOIL!T$78^5/(Conv!$I$5*Conv!$D$46)/10^6 + OILTrade!$E$5</f>
        <v>3.972473949821183</v>
      </c>
      <c r="M537" s="421">
        <f>DelivOIL!$C80*DelivOIL!U$78^5/(Conv!$I$5*Conv!$D$46)/10^6 + OILTrade!$E$5</f>
        <v>3.5203925444621</v>
      </c>
      <c r="N537" s="421">
        <f>DelivOIL!$C80*DelivOIL!V$78^5/(Conv!$I$5*Conv!$D$46)/10^6 + OILTrade!$E$5</f>
        <v>3.5203925444621</v>
      </c>
      <c r="O537" s="421">
        <f>DelivOIL!$C80*DelivOIL!W$78^5/(Conv!$I$5*Conv!$D$46)/10^6 + OILTrade!$E$5</f>
        <v>3.5203925444621</v>
      </c>
      <c r="P537" s="421">
        <f>DelivOIL!$C80*DelivOIL!X$78^5/(Conv!$I$5*Conv!$D$46)/10^6 + OILTrade!$E$5</f>
        <v>3.5203925444621</v>
      </c>
      <c r="Q537" s="421">
        <f>DelivOIL!$C80*DelivOIL!Y$78^5/(Conv!$I$5*Conv!$D$46)/10^6 + OILTrade!$E$5</f>
        <v>3.5203925444621</v>
      </c>
      <c r="S537" s="395"/>
      <c r="T537" s="395"/>
      <c r="U537" s="395"/>
      <c r="V537" s="395"/>
      <c r="W537" s="395"/>
      <c r="X537" s="395"/>
      <c r="Y537" s="395"/>
      <c r="Z537" s="395"/>
      <c r="AA537" s="395"/>
      <c r="AB537" s="395"/>
      <c r="AC537" s="395"/>
    </row>
    <row r="538" spans="2:29">
      <c r="B538" s="376" t="str">
        <f>IF(OR(LEFT(Commodities!B$65,1)="*",LEFT(Technologies!B$234,1)="*"),"*","R2")</f>
        <v>R2</v>
      </c>
      <c r="C538" s="376" t="str">
        <f>Technologies!C234</f>
        <v>XICOMDSLP1</v>
      </c>
      <c r="D538" s="376" t="str">
        <f>Technologies!D234</f>
        <v>Delivery of Imported Distillate-Heating Oil No. 2 to the Commercial Sector</v>
      </c>
      <c r="E538" s="415" t="str">
        <f>Commodities!C$65</f>
        <v>DSHP1</v>
      </c>
      <c r="F538" s="415" t="str">
        <f>Commodities!C88</f>
        <v>COMDSL</v>
      </c>
      <c r="G538" s="422">
        <v>1</v>
      </c>
      <c r="H538" s="421">
        <f>DelivOIL!$C81*DelivOIL!P$78^5/(Conv!$I$5*Conv!$D$46)/10^6 + OILTrade!$E$5</f>
        <v>1.3976917581384452</v>
      </c>
      <c r="I538" s="421">
        <f>DelivOIL!$C81*DelivOIL!Q$78^5/(Conv!$I$5*Conv!$D$46)/10^6 + OILTrade!$E$5</f>
        <v>1.3903058082732411</v>
      </c>
      <c r="J538" s="421">
        <f>DelivOIL!$C81*DelivOIL!R$78^5/(Conv!$I$5*Conv!$D$46)/10^6 + OILTrade!$E$5</f>
        <v>1.4626140721547936</v>
      </c>
      <c r="K538" s="421">
        <f>DelivOIL!$C81*DelivOIL!S$78^5/(Conv!$I$5*Conv!$D$46)/10^6 + OILTrade!$E$5</f>
        <v>1.7618943998757679</v>
      </c>
      <c r="L538" s="421">
        <f>DelivOIL!$C81*DelivOIL!T$78^5/(Conv!$I$5*Conv!$D$46)/10^6 + OILTrade!$E$5</f>
        <v>1.6157880153042503</v>
      </c>
      <c r="M538" s="421">
        <f>DelivOIL!$C81*DelivOIL!U$78^5/(Conv!$I$5*Conv!$D$46)/10^6 + OILTrade!$E$5</f>
        <v>1.4319056976482742</v>
      </c>
      <c r="N538" s="421">
        <f>DelivOIL!$C81*DelivOIL!V$78^5/(Conv!$I$5*Conv!$D$46)/10^6 + OILTrade!$E$5</f>
        <v>1.4319056976482742</v>
      </c>
      <c r="O538" s="421">
        <f>DelivOIL!$C81*DelivOIL!W$78^5/(Conv!$I$5*Conv!$D$46)/10^6 + OILTrade!$E$5</f>
        <v>1.4319056976482742</v>
      </c>
      <c r="P538" s="421">
        <f>DelivOIL!$C81*DelivOIL!X$78^5/(Conv!$I$5*Conv!$D$46)/10^6 + OILTrade!$E$5</f>
        <v>1.4319056976482742</v>
      </c>
      <c r="Q538" s="421">
        <f>DelivOIL!$C81*DelivOIL!Y$78^5/(Conv!$I$5*Conv!$D$46)/10^6 + OILTrade!$E$5</f>
        <v>1.4319056976482742</v>
      </c>
      <c r="S538" s="395"/>
      <c r="T538" s="395"/>
      <c r="U538" s="395"/>
      <c r="V538" s="395"/>
      <c r="W538" s="395"/>
      <c r="X538" s="395"/>
      <c r="Y538" s="395"/>
      <c r="Z538" s="395"/>
      <c r="AA538" s="395"/>
      <c r="AB538" s="395"/>
      <c r="AC538" s="395"/>
    </row>
    <row r="539" spans="2:29">
      <c r="B539" s="376" t="str">
        <f>IF(OR(LEFT(Commodities!B$65,1)="*",LEFT(Technologies!B$235,1)="*"),"*","R2")</f>
        <v>*</v>
      </c>
      <c r="C539" s="376" t="str">
        <f>Technologies!C235</f>
        <v>XIINDDSLP1</v>
      </c>
      <c r="D539" s="376" t="str">
        <f>Technologies!D235</f>
        <v>Delivery of Imported Distillate-Heating Oil No. 2 to the Indistrial Sector</v>
      </c>
      <c r="E539" s="415" t="str">
        <f>Commodities!C$65</f>
        <v>DSHP1</v>
      </c>
      <c r="F539" s="415" t="str">
        <f>Commodities!C89</f>
        <v>INDDSL</v>
      </c>
      <c r="G539" s="422">
        <v>1</v>
      </c>
      <c r="H539" s="421">
        <f>DelivOIL!$C82*DelivOIL!P$78^5/(Conv!$I$5*Conv!$D$46)/10^6 + OILTrade!$E$5</f>
        <v>1.4999618867827225</v>
      </c>
      <c r="I539" s="421">
        <f>DelivOIL!$C82*DelivOIL!Q$78^5/(Conv!$I$5*Conv!$D$46)/10^6 + OILTrade!$E$5</f>
        <v>1.4920355015615279</v>
      </c>
      <c r="J539" s="421">
        <f>DelivOIL!$C82*DelivOIL!R$78^5/(Conv!$I$5*Conv!$D$46)/10^6 + OILTrade!$E$5</f>
        <v>1.5696346140197794</v>
      </c>
      <c r="K539" s="421">
        <f>DelivOIL!$C82*DelivOIL!S$78^5/(Conv!$I$5*Conv!$D$46)/10^6 + OILTrade!$E$5</f>
        <v>1.8908135023057033</v>
      </c>
      <c r="L539" s="421">
        <f>DelivOIL!$C82*DelivOIL!T$78^5/(Conv!$I$5*Conv!$D$46)/10^6 + OILTrade!$E$5</f>
        <v>1.7340164066679769</v>
      </c>
      <c r="M539" s="421">
        <f>DelivOIL!$C82*DelivOIL!U$78^5/(Conv!$I$5*Conv!$D$46)/10^6 + OILTrade!$E$5</f>
        <v>1.5366792852810756</v>
      </c>
      <c r="N539" s="421">
        <f>DelivOIL!$C82*DelivOIL!V$78^5/(Conv!$I$5*Conv!$D$46)/10^6 + OILTrade!$E$5</f>
        <v>1.5366792852810756</v>
      </c>
      <c r="O539" s="421">
        <f>DelivOIL!$C82*DelivOIL!W$78^5/(Conv!$I$5*Conv!$D$46)/10^6 + OILTrade!$E$5</f>
        <v>1.5366792852810756</v>
      </c>
      <c r="P539" s="421">
        <f>DelivOIL!$C82*DelivOIL!X$78^5/(Conv!$I$5*Conv!$D$46)/10^6 + OILTrade!$E$5</f>
        <v>1.5366792852810756</v>
      </c>
      <c r="Q539" s="421">
        <f>DelivOIL!$C82*DelivOIL!Y$78^5/(Conv!$I$5*Conv!$D$46)/10^6 + OILTrade!$E$5</f>
        <v>1.5366792852810756</v>
      </c>
      <c r="S539" s="395"/>
      <c r="T539" s="395"/>
      <c r="U539" s="395"/>
      <c r="V539" s="395"/>
      <c r="W539" s="395"/>
      <c r="X539" s="395"/>
      <c r="Y539" s="395"/>
      <c r="Z539" s="395"/>
      <c r="AA539" s="395"/>
      <c r="AB539" s="395"/>
      <c r="AC539" s="395"/>
    </row>
    <row r="540" spans="2:29">
      <c r="B540" s="376" t="str">
        <f>IF(OR(LEFT(Commodities!B$65,1)="*",LEFT(Technologies!B$236,1)="*"),"*","R2")</f>
        <v>R2</v>
      </c>
      <c r="C540" s="376" t="str">
        <f>Technologies!C236</f>
        <v>XIELCDSLP1</v>
      </c>
      <c r="D540" s="376" t="str">
        <f>Technologies!D236</f>
        <v>Delivery of Imported Distillate-Heating Oil No. 2 to the Electricity Sector</v>
      </c>
      <c r="E540" s="415" t="str">
        <f>Commodities!C$65</f>
        <v>DSHP1</v>
      </c>
      <c r="F540" s="415" t="str">
        <f>Commodities!C90</f>
        <v>ELCDSL</v>
      </c>
      <c r="G540" s="422">
        <v>1</v>
      </c>
      <c r="H540" s="421">
        <f>DelivOIL!$C83*DelivOIL!P$78^5/(Conv!$I$5*Conv!$D$46)/10^6 + OILTrade!$E$5</f>
        <v>0.51816865179766802</v>
      </c>
      <c r="I540" s="421">
        <f>DelivOIL!$C83*DelivOIL!Q$78^5/(Conv!$I$5*Conv!$D$46)/10^6 + OILTrade!$E$5</f>
        <v>0.51543044599398258</v>
      </c>
      <c r="J540" s="421">
        <f>DelivOIL!$C83*DelivOIL!R$78^5/(Conv!$I$5*Conv!$D$46)/10^6 + OILTrade!$E$5</f>
        <v>0.54223741211592402</v>
      </c>
      <c r="K540" s="421">
        <f>DelivOIL!$C83*DelivOIL!S$78^5/(Conv!$I$5*Conv!$D$46)/10^6 + OILTrade!$E$5</f>
        <v>0.65319011897833412</v>
      </c>
      <c r="L540" s="421">
        <f>DelivOIL!$C83*DelivOIL!T$78^5/(Conv!$I$5*Conv!$D$46)/10^6 + OILTrade!$E$5</f>
        <v>0.59902384957621058</v>
      </c>
      <c r="M540" s="421">
        <f>DelivOIL!$C83*DelivOIL!U$78^5/(Conv!$I$5*Conv!$D$46)/10^6 + OILTrade!$E$5</f>
        <v>0.53085284400619004</v>
      </c>
      <c r="N540" s="421">
        <f>DelivOIL!$C83*DelivOIL!V$78^5/(Conv!$I$5*Conv!$D$46)/10^6 + OILTrade!$E$5</f>
        <v>0.53085284400619004</v>
      </c>
      <c r="O540" s="421">
        <f>DelivOIL!$C83*DelivOIL!W$78^5/(Conv!$I$5*Conv!$D$46)/10^6 + OILTrade!$E$5</f>
        <v>0.53085284400619004</v>
      </c>
      <c r="P540" s="421">
        <f>DelivOIL!$C83*DelivOIL!X$78^5/(Conv!$I$5*Conv!$D$46)/10^6 + OILTrade!$E$5</f>
        <v>0.53085284400619004</v>
      </c>
      <c r="Q540" s="421">
        <f>DelivOIL!$C83*DelivOIL!Y$78^5/(Conv!$I$5*Conv!$D$46)/10^6 + OILTrade!$E$5</f>
        <v>0.53085284400619004</v>
      </c>
      <c r="S540" s="395"/>
      <c r="T540" s="395"/>
      <c r="U540" s="395"/>
      <c r="V540" s="395"/>
      <c r="W540" s="395"/>
      <c r="X540" s="395"/>
      <c r="Y540" s="395"/>
      <c r="Z540" s="395"/>
      <c r="AA540" s="395"/>
      <c r="AB540" s="395"/>
      <c r="AC540" s="395"/>
    </row>
    <row r="541" spans="2:29">
      <c r="B541" s="376" t="str">
        <f>IF(OR(LEFT(Commodities!B$65,1)="*",LEFT(Technologies!B$233,1)="*"),"*","R3")</f>
        <v>R3</v>
      </c>
      <c r="C541" s="376" t="str">
        <f>Technologies!C233</f>
        <v>XIRESDSLP1</v>
      </c>
      <c r="D541" s="376" t="str">
        <f>Technologies!D233</f>
        <v>Delivery of Imported Distillate-Heating Oil No. 2 to the Residential Sector</v>
      </c>
      <c r="E541" s="415" t="str">
        <f>Commodities!C$65</f>
        <v>DSHP1</v>
      </c>
      <c r="F541" s="415" t="str">
        <f>Commodities!C87</f>
        <v>RESDSL</v>
      </c>
      <c r="G541" s="422">
        <v>1</v>
      </c>
      <c r="H541" s="421">
        <f>DelivOIL!$D80*DelivOIL!P$79^5/(Conv!$I$5*Conv!$D$46)/10^6 + OILTrade!$F$6</f>
        <v>2.7612934733954657</v>
      </c>
      <c r="I541" s="421">
        <f>DelivOIL!$D80*DelivOIL!Q$79^5/(Conv!$I$5*Conv!$D$46)/10^6 + OILTrade!$F$6</f>
        <v>2.4716718776241122</v>
      </c>
      <c r="J541" s="421">
        <f>DelivOIL!$D80*DelivOIL!R$79^5/(Conv!$I$5*Conv!$D$46)/10^6 + OILTrade!$F$6</f>
        <v>2.8037174856326019</v>
      </c>
      <c r="K541" s="421">
        <f>DelivOIL!$D80*DelivOIL!S$79^5/(Conv!$I$5*Conv!$D$46)/10^6 + OILTrade!$F$6</f>
        <v>3.210813520395666</v>
      </c>
      <c r="L541" s="421">
        <f>DelivOIL!$D80*DelivOIL!T$79^5/(Conv!$I$5*Conv!$D$46)/10^6 + OILTrade!$F$6</f>
        <v>2.9374493930588423</v>
      </c>
      <c r="M541" s="421">
        <f>DelivOIL!$D80*DelivOIL!U$79^5/(Conv!$I$5*Conv!$D$46)/10^6 + OILTrade!$F$6</f>
        <v>2.8023635383448493</v>
      </c>
      <c r="N541" s="421">
        <f>DelivOIL!$D80*DelivOIL!V$79^5/(Conv!$I$5*Conv!$D$46)/10^6 + OILTrade!$F$6</f>
        <v>2.8023635383448493</v>
      </c>
      <c r="O541" s="421">
        <f>DelivOIL!$D80*DelivOIL!W$79^5/(Conv!$I$5*Conv!$D$46)/10^6 + OILTrade!$F$6</f>
        <v>2.8023635383448493</v>
      </c>
      <c r="P541" s="421">
        <f>DelivOIL!$D80*DelivOIL!X$79^5/(Conv!$I$5*Conv!$D$46)/10^6 + OILTrade!$F$6</f>
        <v>2.8023635383448493</v>
      </c>
      <c r="Q541" s="421">
        <f>DelivOIL!$D80*DelivOIL!Y$79^5/(Conv!$I$5*Conv!$D$46)/10^6 + OILTrade!$F$6</f>
        <v>2.8023635383448493</v>
      </c>
      <c r="S541" s="395"/>
      <c r="T541" s="395"/>
      <c r="U541" s="395"/>
      <c r="V541" s="395"/>
      <c r="W541" s="395"/>
      <c r="X541" s="395"/>
      <c r="Y541" s="395"/>
      <c r="Z541" s="395"/>
      <c r="AA541" s="395"/>
      <c r="AB541" s="395"/>
      <c r="AC541" s="395"/>
    </row>
    <row r="542" spans="2:29">
      <c r="B542" s="376" t="str">
        <f>IF(OR(LEFT(Commodities!B$65,1)="*",LEFT(Technologies!B$234,1)="*"),"*","R3")</f>
        <v>R3</v>
      </c>
      <c r="C542" s="376" t="str">
        <f>Technologies!C234</f>
        <v>XICOMDSLP1</v>
      </c>
      <c r="D542" s="376" t="str">
        <f>Technologies!D234</f>
        <v>Delivery of Imported Distillate-Heating Oil No. 2 to the Commercial Sector</v>
      </c>
      <c r="E542" s="415" t="str">
        <f>Commodities!C$65</f>
        <v>DSHP1</v>
      </c>
      <c r="F542" s="415" t="str">
        <f>Commodities!C88</f>
        <v>COMDSL</v>
      </c>
      <c r="G542" s="422">
        <v>1</v>
      </c>
      <c r="H542" s="421">
        <f>DelivOIL!$D81*DelivOIL!P$79^5/(Conv!$I$5*Conv!$D$46)/10^6 + OILTrade!$F$6</f>
        <v>0.97497522640876955</v>
      </c>
      <c r="I542" s="421">
        <f>DelivOIL!$D81*DelivOIL!Q$79^5/(Conv!$I$5*Conv!$D$46)/10^6 + OILTrade!$F$6</f>
        <v>0.87271377407468642</v>
      </c>
      <c r="J542" s="421">
        <f>DelivOIL!$D81*DelivOIL!R$79^5/(Conv!$I$5*Conv!$D$46)/10^6 + OILTrade!$F$6</f>
        <v>0.98995456900114098</v>
      </c>
      <c r="K542" s="421">
        <f>DelivOIL!$D81*DelivOIL!S$79^5/(Conv!$I$5*Conv!$D$46)/10^6 + OILTrade!$F$6</f>
        <v>1.1336946504113095</v>
      </c>
      <c r="L542" s="421">
        <f>DelivOIL!$D81*DelivOIL!T$79^5/(Conv!$I$5*Conv!$D$46)/10^6 + OILTrade!$F$6</f>
        <v>1.0371734894010234</v>
      </c>
      <c r="M542" s="421">
        <f>DelivOIL!$D81*DelivOIL!U$79^5/(Conv!$I$5*Conv!$D$46)/10^6 + OILTrade!$F$6</f>
        <v>0.98947650860077407</v>
      </c>
      <c r="N542" s="421">
        <f>DelivOIL!$D81*DelivOIL!V$79^5/(Conv!$I$5*Conv!$D$46)/10^6 + OILTrade!$F$6</f>
        <v>0.98947650860077407</v>
      </c>
      <c r="O542" s="421">
        <f>DelivOIL!$D81*DelivOIL!W$79^5/(Conv!$I$5*Conv!$D$46)/10^6 + OILTrade!$F$6</f>
        <v>0.98947650860077407</v>
      </c>
      <c r="P542" s="421">
        <f>DelivOIL!$D81*DelivOIL!X$79^5/(Conv!$I$5*Conv!$D$46)/10^6 + OILTrade!$F$6</f>
        <v>0.98947650860077407</v>
      </c>
      <c r="Q542" s="421">
        <f>DelivOIL!$D81*DelivOIL!Y$79^5/(Conv!$I$5*Conv!$D$46)/10^6 + OILTrade!$F$6</f>
        <v>0.98947650860077407</v>
      </c>
      <c r="S542" s="395"/>
      <c r="T542" s="395"/>
      <c r="U542" s="395"/>
      <c r="V542" s="395"/>
      <c r="W542" s="395"/>
      <c r="X542" s="395"/>
      <c r="Y542" s="395"/>
      <c r="Z542" s="395"/>
      <c r="AA542" s="395"/>
      <c r="AB542" s="395"/>
      <c r="AC542" s="395"/>
    </row>
    <row r="543" spans="2:29">
      <c r="B543" s="376" t="str">
        <f>IF(OR(LEFT(Commodities!B$65,1)="*",LEFT(Technologies!B$235,1)="*"),"*","R3")</f>
        <v>*</v>
      </c>
      <c r="C543" s="376" t="str">
        <f>Technologies!C235</f>
        <v>XIINDDSLP1</v>
      </c>
      <c r="D543" s="376" t="str">
        <f>Technologies!D235</f>
        <v>Delivery of Imported Distillate-Heating Oil No. 2 to the Indistrial Sector</v>
      </c>
      <c r="E543" s="415" t="str">
        <f>Commodities!C$65</f>
        <v>DSHP1</v>
      </c>
      <c r="F543" s="415" t="str">
        <f>Commodities!C89</f>
        <v>INDDSL</v>
      </c>
      <c r="G543" s="422">
        <v>1</v>
      </c>
      <c r="H543" s="421">
        <f>DelivOIL!$D82*DelivOIL!P$79^5/(Conv!$I$5*Conv!$D$46)/10^6 + OILTrade!$F$6</f>
        <v>1.4726898524775816</v>
      </c>
      <c r="I543" s="421">
        <f>DelivOIL!$D82*DelivOIL!Q$79^5/(Conv!$I$5*Conv!$D$46)/10^6 + OILTrade!$F$6</f>
        <v>1.318225001399526</v>
      </c>
      <c r="J543" s="421">
        <f>DelivOIL!$D82*DelivOIL!R$79^5/(Conv!$I$5*Conv!$D$46)/10^6 + OILTrade!$F$6</f>
        <v>1.4953159923373875</v>
      </c>
      <c r="K543" s="421">
        <f>DelivOIL!$D82*DelivOIL!S$79^5/(Conv!$I$5*Conv!$D$46)/10^6 + OILTrade!$F$6</f>
        <v>1.7124338775443548</v>
      </c>
      <c r="L543" s="421">
        <f>DelivOIL!$D82*DelivOIL!T$79^5/(Conv!$I$5*Conv!$D$46)/10^6 + OILTrade!$F$6</f>
        <v>1.566639676298049</v>
      </c>
      <c r="M543" s="421">
        <f>DelivOIL!$D82*DelivOIL!U$79^5/(Conv!$I$5*Conv!$D$46)/10^6 + OILTrade!$F$6</f>
        <v>1.4945938871172526</v>
      </c>
      <c r="N543" s="421">
        <f>DelivOIL!$D82*DelivOIL!V$79^5/(Conv!$I$5*Conv!$D$46)/10^6 + OILTrade!$F$6</f>
        <v>1.4945938871172526</v>
      </c>
      <c r="O543" s="421">
        <f>DelivOIL!$D82*DelivOIL!W$79^5/(Conv!$I$5*Conv!$D$46)/10^6 + OILTrade!$F$6</f>
        <v>1.4945938871172526</v>
      </c>
      <c r="P543" s="421">
        <f>DelivOIL!$D82*DelivOIL!X$79^5/(Conv!$I$5*Conv!$D$46)/10^6 + OILTrade!$F$6</f>
        <v>1.4945938871172526</v>
      </c>
      <c r="Q543" s="421">
        <f>DelivOIL!$D82*DelivOIL!Y$79^5/(Conv!$I$5*Conv!$D$46)/10^6 + OILTrade!$F$6</f>
        <v>1.4945938871172526</v>
      </c>
      <c r="S543" s="395"/>
      <c r="T543" s="395"/>
      <c r="U543" s="395"/>
      <c r="V543" s="395"/>
      <c r="W543" s="395"/>
      <c r="X543" s="395"/>
      <c r="Y543" s="395"/>
      <c r="Z543" s="395"/>
      <c r="AA543" s="395"/>
      <c r="AB543" s="395"/>
      <c r="AC543" s="395"/>
    </row>
    <row r="544" spans="2:29">
      <c r="B544" s="376" t="str">
        <f>IF(OR(LEFT(Commodities!B$65,1)="*",LEFT(Technologies!B$236,1)="*"),"*","R3")</f>
        <v>R3</v>
      </c>
      <c r="C544" s="376" t="str">
        <f>Technologies!C236</f>
        <v>XIELCDSLP1</v>
      </c>
      <c r="D544" s="376" t="str">
        <f>Technologies!D236</f>
        <v>Delivery of Imported Distillate-Heating Oil No. 2 to the Electricity Sector</v>
      </c>
      <c r="E544" s="415" t="str">
        <f>Commodities!C$65</f>
        <v>DSHP1</v>
      </c>
      <c r="F544" s="415" t="str">
        <f>Commodities!C90</f>
        <v>ELCDSL</v>
      </c>
      <c r="G544" s="422">
        <v>1</v>
      </c>
      <c r="H544" s="421">
        <f>DelivOIL!$D83*DelivOIL!P$79^5/(Conv!$I$5*Conv!$D$46)/10^6 + OILTrade!$F$6</f>
        <v>0.56589471183166307</v>
      </c>
      <c r="I544" s="421">
        <f>DelivOIL!$D83*DelivOIL!Q$79^5/(Conv!$I$5*Conv!$D$46)/10^6 + OILTrade!$F$6</f>
        <v>0.50654016257481782</v>
      </c>
      <c r="J544" s="421">
        <f>DelivOIL!$D83*DelivOIL!R$79^5/(Conv!$I$5*Conv!$D$46)/10^6 + OILTrade!$F$6</f>
        <v>0.57458901557408859</v>
      </c>
      <c r="K544" s="421">
        <f>DelivOIL!$D83*DelivOIL!S$79^5/(Conv!$I$5*Conv!$D$46)/10^6 + OILTrade!$F$6</f>
        <v>0.65801857331565461</v>
      </c>
      <c r="L544" s="421">
        <f>DelivOIL!$D83*DelivOIL!T$79^5/(Conv!$I$5*Conv!$D$46)/10^6 + OILTrade!$F$6</f>
        <v>0.60199580154045385</v>
      </c>
      <c r="M544" s="421">
        <f>DelivOIL!$D83*DelivOIL!U$79^5/(Conv!$I$5*Conv!$D$46)/10^6 + OILTrade!$F$6</f>
        <v>0.57431153995709228</v>
      </c>
      <c r="N544" s="421">
        <f>DelivOIL!$D83*DelivOIL!V$79^5/(Conv!$I$5*Conv!$D$46)/10^6 + OILTrade!$F$6</f>
        <v>0.57431153995709228</v>
      </c>
      <c r="O544" s="421">
        <f>DelivOIL!$D83*DelivOIL!W$79^5/(Conv!$I$5*Conv!$D$46)/10^6 + OILTrade!$F$6</f>
        <v>0.57431153995709228</v>
      </c>
      <c r="P544" s="421">
        <f>DelivOIL!$D83*DelivOIL!X$79^5/(Conv!$I$5*Conv!$D$46)/10^6 + OILTrade!$F$6</f>
        <v>0.57431153995709228</v>
      </c>
      <c r="Q544" s="421">
        <f>DelivOIL!$D83*DelivOIL!Y$79^5/(Conv!$I$5*Conv!$D$46)/10^6 + OILTrade!$F$6</f>
        <v>0.57431153995709228</v>
      </c>
      <c r="S544" s="395"/>
      <c r="T544" s="395"/>
      <c r="U544" s="395"/>
      <c r="V544" s="395"/>
      <c r="W544" s="395"/>
      <c r="X544" s="395"/>
      <c r="Y544" s="395"/>
      <c r="Z544" s="395"/>
      <c r="AA544" s="395"/>
      <c r="AB544" s="395"/>
      <c r="AC544" s="395"/>
    </row>
    <row r="545" spans="2:29">
      <c r="B545" s="376" t="str">
        <f>IF(OR(LEFT(Commodities!B$65,1)="*",LEFT(Technologies!B$233,1)="*"),"*","R4")</f>
        <v>R4</v>
      </c>
      <c r="C545" s="376" t="str">
        <f>Technologies!C233</f>
        <v>XIRESDSLP1</v>
      </c>
      <c r="D545" s="376" t="str">
        <f>Technologies!D233</f>
        <v>Delivery of Imported Distillate-Heating Oil No. 2 to the Residential Sector</v>
      </c>
      <c r="E545" s="415" t="str">
        <f>Commodities!C$65</f>
        <v>DSHP1</v>
      </c>
      <c r="F545" s="415" t="str">
        <f>Commodities!C87</f>
        <v>RESDSL</v>
      </c>
      <c r="G545" s="422">
        <v>1</v>
      </c>
      <c r="H545" s="421">
        <f>DelivOIL!$E80*DelivOIL!P$80^5/(Conv!$I$5*Conv!$D$46)/10^6 + OILTrade!$G$6</f>
        <v>2.2567608387503681</v>
      </c>
      <c r="I545" s="421">
        <f>DelivOIL!$E80*DelivOIL!Q$80^5/(Conv!$I$5*Conv!$D$46)/10^6 + OILTrade!$G$6</f>
        <v>2.0200577567742739</v>
      </c>
      <c r="J545" s="421">
        <f>DelivOIL!$E80*DelivOIL!R$80^5/(Conv!$I$5*Conv!$D$46)/10^6 + OILTrade!$G$6</f>
        <v>2.2914333030725706</v>
      </c>
      <c r="K545" s="421">
        <f>DelivOIL!$E80*DelivOIL!S$80^5/(Conv!$I$5*Conv!$D$46)/10^6 + OILTrade!$G$6</f>
        <v>2.6241463586443587</v>
      </c>
      <c r="L545" s="421">
        <f>DelivOIL!$E80*DelivOIL!T$80^5/(Conv!$I$5*Conv!$D$46)/10^6 + OILTrade!$G$6</f>
        <v>2.4007302446974732</v>
      </c>
      <c r="M545" s="421">
        <f>DelivOIL!$E80*DelivOIL!U$80^5/(Conv!$I$5*Conv!$D$46)/10^6 + OILTrade!$G$6</f>
        <v>2.2903267436843087</v>
      </c>
      <c r="N545" s="421">
        <f>DelivOIL!$E80*DelivOIL!V$80^5/(Conv!$I$5*Conv!$D$46)/10^6 + OILTrade!$G$6</f>
        <v>2.2903267436843087</v>
      </c>
      <c r="O545" s="421">
        <f>DelivOIL!$E80*DelivOIL!W$80^5/(Conv!$I$5*Conv!$D$46)/10^6 + OILTrade!$G$6</f>
        <v>2.2903267436843087</v>
      </c>
      <c r="P545" s="421">
        <f>DelivOIL!$E80*DelivOIL!X$80^5/(Conv!$I$5*Conv!$D$46)/10^6 + OILTrade!$G$6</f>
        <v>2.2903267436843087</v>
      </c>
      <c r="Q545" s="421">
        <f>DelivOIL!$E80*DelivOIL!Y$80^5/(Conv!$I$5*Conv!$D$46)/10^6 + OILTrade!$G$6</f>
        <v>2.2903267436843087</v>
      </c>
      <c r="S545" s="395"/>
      <c r="T545" s="395"/>
      <c r="U545" s="395"/>
      <c r="V545" s="395"/>
      <c r="W545" s="395"/>
      <c r="X545" s="395"/>
      <c r="Y545" s="395"/>
      <c r="Z545" s="395"/>
      <c r="AA545" s="395"/>
      <c r="AB545" s="395"/>
      <c r="AC545" s="395"/>
    </row>
    <row r="546" spans="2:29">
      <c r="B546" s="376" t="str">
        <f>IF(OR(LEFT(Commodities!B$65,1)="*",LEFT(Technologies!B$234,1)="*"),"*","R4")</f>
        <v>R4</v>
      </c>
      <c r="C546" s="376" t="str">
        <f>Technologies!C234</f>
        <v>XICOMDSLP1</v>
      </c>
      <c r="D546" s="376" t="str">
        <f>Technologies!D234</f>
        <v>Delivery of Imported Distillate-Heating Oil No. 2 to the Commercial Sector</v>
      </c>
      <c r="E546" s="415" t="str">
        <f>Commodities!C$65</f>
        <v>DSHP1</v>
      </c>
      <c r="F546" s="415" t="str">
        <f>Commodities!C88</f>
        <v>COMDSL</v>
      </c>
      <c r="G546" s="422">
        <v>1</v>
      </c>
      <c r="H546" s="421">
        <f>DelivOIL!$E81*DelivOIL!P$80^5/(Conv!$I$5*Conv!$D$46)/10^6 + OILTrade!$G$6</f>
        <v>0.8317970463067822</v>
      </c>
      <c r="I546" s="421">
        <f>DelivOIL!$E81*DelivOIL!Q$80^5/(Conv!$I$5*Conv!$D$46)/10^6 + OILTrade!$G$6</f>
        <v>0.7445530100497324</v>
      </c>
      <c r="J546" s="421">
        <f>DelivOIL!$E81*DelivOIL!R$80^5/(Conv!$I$5*Conv!$D$46)/10^6 + OILTrade!$G$6</f>
        <v>0.84457662530167266</v>
      </c>
      <c r="K546" s="421">
        <f>DelivOIL!$E81*DelivOIL!S$80^5/(Conv!$I$5*Conv!$D$46)/10^6 + OILTrade!$G$6</f>
        <v>0.9672080234278303</v>
      </c>
      <c r="L546" s="421">
        <f>DelivOIL!$E81*DelivOIL!T$80^5/(Conv!$I$5*Conv!$D$46)/10^6 + OILTrade!$G$6</f>
        <v>0.8848612986498241</v>
      </c>
      <c r="M546" s="421">
        <f>DelivOIL!$E81*DelivOIL!U$80^5/(Conv!$I$5*Conv!$D$46)/10^6 + OILTrade!$G$6</f>
        <v>0.84416876957548537</v>
      </c>
      <c r="N546" s="421">
        <f>DelivOIL!$E81*DelivOIL!V$80^5/(Conv!$I$5*Conv!$D$46)/10^6 + OILTrade!$G$6</f>
        <v>0.84416876957548537</v>
      </c>
      <c r="O546" s="421">
        <f>DelivOIL!$E81*DelivOIL!W$80^5/(Conv!$I$5*Conv!$D$46)/10^6 + OILTrade!$G$6</f>
        <v>0.84416876957548537</v>
      </c>
      <c r="P546" s="421">
        <f>DelivOIL!$E81*DelivOIL!X$80^5/(Conv!$I$5*Conv!$D$46)/10^6 + OILTrade!$G$6</f>
        <v>0.84416876957548537</v>
      </c>
      <c r="Q546" s="421">
        <f>DelivOIL!$E81*DelivOIL!Y$80^5/(Conv!$I$5*Conv!$D$46)/10^6 + OILTrade!$G$6</f>
        <v>0.84416876957548537</v>
      </c>
      <c r="S546" s="395"/>
      <c r="T546" s="395"/>
      <c r="U546" s="395"/>
      <c r="V546" s="395"/>
      <c r="W546" s="395"/>
      <c r="X546" s="395"/>
      <c r="Y546" s="395"/>
      <c r="Z546" s="395"/>
      <c r="AA546" s="395"/>
      <c r="AB546" s="395"/>
      <c r="AC546" s="395"/>
    </row>
    <row r="547" spans="2:29">
      <c r="B547" s="376" t="str">
        <f>IF(OR(LEFT(Commodities!B$65,1)="*",LEFT(Technologies!B$235,1)="*"),"*","R4")</f>
        <v>*</v>
      </c>
      <c r="C547" s="376" t="str">
        <f>Technologies!C235</f>
        <v>XIINDDSLP1</v>
      </c>
      <c r="D547" s="376" t="str">
        <f>Technologies!D235</f>
        <v>Delivery of Imported Distillate-Heating Oil No. 2 to the Indistrial Sector</v>
      </c>
      <c r="E547" s="415" t="str">
        <f>Commodities!C$65</f>
        <v>DSHP1</v>
      </c>
      <c r="F547" s="415" t="str">
        <f>Commodities!C89</f>
        <v>INDDSL</v>
      </c>
      <c r="G547" s="422">
        <v>1</v>
      </c>
      <c r="H547" s="421">
        <f>DelivOIL!$E82*DelivOIL!P$80^5/(Conv!$I$5*Conv!$D$46)/10^6 + OILTrade!$G$6</f>
        <v>1.309057646646739</v>
      </c>
      <c r="I547" s="421">
        <f>DelivOIL!$E82*DelivOIL!Q$80^5/(Conv!$I$5*Conv!$D$46)/10^6 + OILTrade!$G$6</f>
        <v>1.1717555567995788</v>
      </c>
      <c r="J547" s="421">
        <f>DelivOIL!$E82*DelivOIL!R$80^5/(Conv!$I$5*Conv!$D$46)/10^6 + OILTrade!$G$6</f>
        <v>1.3291697709665664</v>
      </c>
      <c r="K547" s="421">
        <f>DelivOIL!$E82*DelivOIL!S$80^5/(Conv!$I$5*Conv!$D$46)/10^6 + OILTrade!$G$6</f>
        <v>1.5221634467060929</v>
      </c>
      <c r="L547" s="421">
        <f>DelivOIL!$E82*DelivOIL!T$80^5/(Conv!$I$5*Conv!$D$46)/10^6 + OILTrade!$G$6</f>
        <v>1.3925686011538212</v>
      </c>
      <c r="M547" s="421">
        <f>DelivOIL!$E82*DelivOIL!U$80^5/(Conv!$I$5*Conv!$D$46)/10^6 + OILTrade!$G$6</f>
        <v>1.3285278996597798</v>
      </c>
      <c r="N547" s="421">
        <f>DelivOIL!$E82*DelivOIL!V$80^5/(Conv!$I$5*Conv!$D$46)/10^6 + OILTrade!$G$6</f>
        <v>1.3285278996597798</v>
      </c>
      <c r="O547" s="421">
        <f>DelivOIL!$E82*DelivOIL!W$80^5/(Conv!$I$5*Conv!$D$46)/10^6 + OILTrade!$G$6</f>
        <v>1.3285278996597798</v>
      </c>
      <c r="P547" s="421">
        <f>DelivOIL!$E82*DelivOIL!X$80^5/(Conv!$I$5*Conv!$D$46)/10^6 + OILTrade!$G$6</f>
        <v>1.3285278996597798</v>
      </c>
      <c r="Q547" s="421">
        <f>DelivOIL!$E82*DelivOIL!Y$80^5/(Conv!$I$5*Conv!$D$46)/10^6 + OILTrade!$G$6</f>
        <v>1.3285278996597798</v>
      </c>
      <c r="S547" s="395"/>
      <c r="T547" s="395"/>
      <c r="U547" s="395"/>
      <c r="V547" s="395"/>
      <c r="W547" s="395"/>
      <c r="X547" s="395"/>
      <c r="Y547" s="395"/>
      <c r="Z547" s="395"/>
      <c r="AA547" s="395"/>
      <c r="AB547" s="395"/>
      <c r="AC547" s="395"/>
    </row>
    <row r="548" spans="2:29">
      <c r="B548" s="376" t="str">
        <f>IF(OR(LEFT(Commodities!B$65,1)="*",LEFT(Technologies!B$236,1)="*"),"*","R4")</f>
        <v>R4</v>
      </c>
      <c r="C548" s="376" t="str">
        <f>Technologies!C236</f>
        <v>XIELCDSLP1</v>
      </c>
      <c r="D548" s="376" t="str">
        <f>Technologies!D236</f>
        <v>Delivery of Imported Distillate-Heating Oil No. 2 to the Electricity Sector</v>
      </c>
      <c r="E548" s="415" t="str">
        <f>Commodities!C$65</f>
        <v>DSHP1</v>
      </c>
      <c r="F548" s="415" t="str">
        <f>Commodities!C90</f>
        <v>ELCDSL</v>
      </c>
      <c r="G548" s="422">
        <v>1</v>
      </c>
      <c r="H548" s="421">
        <f>DelivOIL!$E83*DelivOIL!P$80^5/(Conv!$I$5*Conv!$D$46)/10^6 + OILTrade!$G$6</f>
        <v>0.4636245831873872</v>
      </c>
      <c r="I548" s="421">
        <f>DelivOIL!$E83*DelivOIL!Q$80^5/(Conv!$I$5*Conv!$D$46)/10^6 + OILTrade!$G$6</f>
        <v>0.41499675969985128</v>
      </c>
      <c r="J548" s="421">
        <f>DelivOIL!$E83*DelivOIL!R$80^5/(Conv!$I$5*Conv!$D$46)/10^6 + OILTrade!$G$6</f>
        <v>0.47074762721732616</v>
      </c>
      <c r="K548" s="421">
        <f>DelivOIL!$E83*DelivOIL!S$80^5/(Conv!$I$5*Conv!$D$46)/10^6 + OILTrade!$G$6</f>
        <v>0.53909955404174204</v>
      </c>
      <c r="L548" s="421">
        <f>DelivOIL!$E83*DelivOIL!T$80^5/(Conv!$I$5*Conv!$D$46)/10^6 + OILTrade!$G$6</f>
        <v>0.49320137957531218</v>
      </c>
      <c r="M548" s="421">
        <f>DelivOIL!$E83*DelivOIL!U$80^5/(Conv!$I$5*Conv!$D$46)/10^6 + OILTrade!$G$6</f>
        <v>0.4705202977961726</v>
      </c>
      <c r="N548" s="421">
        <f>DelivOIL!$E83*DelivOIL!V$80^5/(Conv!$I$5*Conv!$D$46)/10^6 + OILTrade!$G$6</f>
        <v>0.4705202977961726</v>
      </c>
      <c r="O548" s="421">
        <f>DelivOIL!$E83*DelivOIL!W$80^5/(Conv!$I$5*Conv!$D$46)/10^6 + OILTrade!$G$6</f>
        <v>0.4705202977961726</v>
      </c>
      <c r="P548" s="421">
        <f>DelivOIL!$E83*DelivOIL!X$80^5/(Conv!$I$5*Conv!$D$46)/10^6 + OILTrade!$G$6</f>
        <v>0.4705202977961726</v>
      </c>
      <c r="Q548" s="421">
        <f>DelivOIL!$E83*DelivOIL!Y$80^5/(Conv!$I$5*Conv!$D$46)/10^6 + OILTrade!$G$6</f>
        <v>0.4705202977961726</v>
      </c>
      <c r="S548" s="395"/>
      <c r="T548" s="395"/>
      <c r="U548" s="395"/>
      <c r="V548" s="395"/>
      <c r="W548" s="395"/>
      <c r="X548" s="395"/>
      <c r="Y548" s="395"/>
      <c r="Z548" s="395"/>
      <c r="AA548" s="395"/>
      <c r="AB548" s="395"/>
      <c r="AC548" s="395"/>
    </row>
    <row r="549" spans="2:29">
      <c r="B549" s="376" t="str">
        <f>IF(OR(LEFT(Commodities!B$65,1)="*",LEFT(Technologies!B$233,1)="*"),"*","R5")</f>
        <v>R5</v>
      </c>
      <c r="C549" s="376" t="str">
        <f>Technologies!C233</f>
        <v>XIRESDSLP1</v>
      </c>
      <c r="D549" s="376" t="str">
        <f>Technologies!D233</f>
        <v>Delivery of Imported Distillate-Heating Oil No. 2 to the Residential Sector</v>
      </c>
      <c r="E549" s="415" t="str">
        <f>Commodities!C$65</f>
        <v>DSHP1</v>
      </c>
      <c r="F549" s="415" t="str">
        <f>Commodities!C87</f>
        <v>RESDSL</v>
      </c>
      <c r="G549" s="422">
        <v>1</v>
      </c>
      <c r="H549" s="421">
        <f>DelivOIL!$F80*DelivOIL!P$81^5/(Conv!$I$5*Conv!$D$46)/10^6 + OILTrade!$H$5</f>
        <v>3.3340061938034138</v>
      </c>
      <c r="I549" s="421">
        <f>DelivOIL!$F80*DelivOIL!Q$81^5/(Conv!$I$5*Conv!$D$46)/10^6 + OILTrade!$H$5</f>
        <v>3.3163880011981219</v>
      </c>
      <c r="J549" s="421">
        <f>DelivOIL!$F80*DelivOIL!R$81^5/(Conv!$I$5*Conv!$D$46)/10^6 + OILTrade!$H$5</f>
        <v>3.4888696647985089</v>
      </c>
      <c r="K549" s="421">
        <f>DelivOIL!$F80*DelivOIL!S$81^5/(Conv!$I$5*Conv!$D$46)/10^6 + OILTrade!$H$5</f>
        <v>4.2027627392158564</v>
      </c>
      <c r="L549" s="421">
        <f>DelivOIL!$F80*DelivOIL!T$81^5/(Conv!$I$5*Conv!$D$46)/10^6 + OILTrade!$H$5</f>
        <v>3.8542455584574564</v>
      </c>
      <c r="M549" s="421">
        <f>DelivOIL!$F80*DelivOIL!U$81^5/(Conv!$I$5*Conv!$D$46)/10^6 + OILTrade!$H$5</f>
        <v>3.4156189568292987</v>
      </c>
      <c r="N549" s="421">
        <f>DelivOIL!$F80*DelivOIL!V$81^5/(Conv!$I$5*Conv!$D$46)/10^6 + OILTrade!$H$5</f>
        <v>3.4156189568292987</v>
      </c>
      <c r="O549" s="421">
        <f>DelivOIL!$F80*DelivOIL!W$81^5/(Conv!$I$5*Conv!$D$46)/10^6 + OILTrade!$H$5</f>
        <v>3.4156189568292987</v>
      </c>
      <c r="P549" s="421">
        <f>DelivOIL!$F80*DelivOIL!X$81^5/(Conv!$I$5*Conv!$D$46)/10^6 + OILTrade!$H$5</f>
        <v>3.4156189568292987</v>
      </c>
      <c r="Q549" s="421">
        <f>DelivOIL!$F80*DelivOIL!Y$81^5/(Conv!$I$5*Conv!$D$46)/10^6 + OILTrade!$H$5</f>
        <v>3.4156189568292987</v>
      </c>
      <c r="S549" s="395"/>
      <c r="T549" s="395"/>
      <c r="U549" s="395"/>
      <c r="V549" s="395"/>
      <c r="W549" s="395"/>
      <c r="X549" s="395"/>
      <c r="Y549" s="395"/>
      <c r="Z549" s="395"/>
      <c r="AA549" s="395"/>
      <c r="AB549" s="395"/>
      <c r="AC549" s="395"/>
    </row>
    <row r="550" spans="2:29">
      <c r="B550" s="376" t="str">
        <f>IF(OR(LEFT(Commodities!B$65,1)="*",LEFT(Technologies!B$234,1)="*"),"*","R5")</f>
        <v>R5</v>
      </c>
      <c r="C550" s="376" t="str">
        <f>Technologies!C234</f>
        <v>XICOMDSLP1</v>
      </c>
      <c r="D550" s="376" t="str">
        <f>Technologies!D234</f>
        <v>Delivery of Imported Distillate-Heating Oil No. 2 to the Commercial Sector</v>
      </c>
      <c r="E550" s="415" t="str">
        <f>Commodities!C$65</f>
        <v>DSHP1</v>
      </c>
      <c r="F550" s="415" t="str">
        <f>Commodities!C88</f>
        <v>COMDSL</v>
      </c>
      <c r="G550" s="422">
        <v>1</v>
      </c>
      <c r="H550" s="421">
        <f>DelivOIL!$F81*DelivOIL!P$81^5/(Conv!$I$5*Conv!$D$46)/10^6 + OILTrade!$H$5</f>
        <v>1.0158832778664801</v>
      </c>
      <c r="I550" s="421">
        <f>DelivOIL!$F81*DelivOIL!Q$81^5/(Conv!$I$5*Conv!$D$46)/10^6 + OILTrade!$H$5</f>
        <v>1.0105149533303073</v>
      </c>
      <c r="J550" s="421">
        <f>DelivOIL!$F81*DelivOIL!R$81^5/(Conv!$I$5*Conv!$D$46)/10^6 + OILTrade!$H$5</f>
        <v>1.0630707158588504</v>
      </c>
      <c r="K550" s="421">
        <f>DelivOIL!$F81*DelivOIL!S$81^5/(Conv!$I$5*Conv!$D$46)/10^6 + OILTrade!$H$5</f>
        <v>1.2805964174706803</v>
      </c>
      <c r="L550" s="421">
        <f>DelivOIL!$F81*DelivOIL!T$81^5/(Conv!$I$5*Conv!$D$46)/10^6 + OILTrade!$H$5</f>
        <v>1.1744020208796753</v>
      </c>
      <c r="M550" s="421">
        <f>DelivOIL!$F81*DelivOIL!U$81^5/(Conv!$I$5*Conv!$D$46)/10^6 + OILTrade!$H$5</f>
        <v>1.0407509704858191</v>
      </c>
      <c r="N550" s="421">
        <f>DelivOIL!$F81*DelivOIL!V$81^5/(Conv!$I$5*Conv!$D$46)/10^6 + OILTrade!$H$5</f>
        <v>1.0407509704858191</v>
      </c>
      <c r="O550" s="421">
        <f>DelivOIL!$F81*DelivOIL!W$81^5/(Conv!$I$5*Conv!$D$46)/10^6 + OILTrade!$H$5</f>
        <v>1.0407509704858191</v>
      </c>
      <c r="P550" s="421">
        <f>DelivOIL!$F81*DelivOIL!X$81^5/(Conv!$I$5*Conv!$D$46)/10^6 + OILTrade!$H$5</f>
        <v>1.0407509704858191</v>
      </c>
      <c r="Q550" s="421">
        <f>DelivOIL!$F81*DelivOIL!Y$81^5/(Conv!$I$5*Conv!$D$46)/10^6 + OILTrade!$H$5</f>
        <v>1.0407509704858191</v>
      </c>
      <c r="S550" s="395"/>
      <c r="T550" s="395"/>
      <c r="U550" s="395"/>
      <c r="V550" s="395"/>
      <c r="W550" s="395"/>
      <c r="X550" s="395"/>
      <c r="Y550" s="395"/>
      <c r="Z550" s="395"/>
      <c r="AA550" s="395"/>
      <c r="AB550" s="395"/>
      <c r="AC550" s="395"/>
    </row>
    <row r="551" spans="2:29">
      <c r="B551" s="376" t="str">
        <f>IF(OR(LEFT(Commodities!B$65,1)="*",LEFT(Technologies!B$235,1)="*"),"*","R5")</f>
        <v>*</v>
      </c>
      <c r="C551" s="376" t="str">
        <f>Technologies!C235</f>
        <v>XIINDDSLP1</v>
      </c>
      <c r="D551" s="376" t="str">
        <f>Technologies!D235</f>
        <v>Delivery of Imported Distillate-Heating Oil No. 2 to the Indistrial Sector</v>
      </c>
      <c r="E551" s="415" t="str">
        <f>Commodities!C$65</f>
        <v>DSHP1</v>
      </c>
      <c r="F551" s="415" t="str">
        <f>Commodities!C89</f>
        <v>INDDSL</v>
      </c>
      <c r="G551" s="422">
        <v>1</v>
      </c>
      <c r="H551" s="421">
        <f>DelivOIL!$F82*DelivOIL!P$81^5/(Conv!$I$5*Conv!$D$46)/10^6 + OILTrade!$H$5</f>
        <v>1.2272415437313182</v>
      </c>
      <c r="I551" s="421">
        <f>DelivOIL!$F82*DelivOIL!Q$81^5/(Conv!$I$5*Conv!$D$46)/10^6 + OILTrade!$H$5</f>
        <v>1.2207563194594317</v>
      </c>
      <c r="J551" s="421">
        <f>DelivOIL!$F82*DelivOIL!R$81^5/(Conv!$I$5*Conv!$D$46)/10^6 + OILTrade!$H$5</f>
        <v>1.2842465023798193</v>
      </c>
      <c r="K551" s="421">
        <f>DelivOIL!$F82*DelivOIL!S$81^5/(Conv!$I$5*Conv!$D$46)/10^6 + OILTrade!$H$5</f>
        <v>1.5470292291592116</v>
      </c>
      <c r="L551" s="421">
        <f>DelivOIL!$F82*DelivOIL!T$81^5/(Conv!$I$5*Conv!$D$46)/10^6 + OILTrade!$H$5</f>
        <v>1.4187406963647082</v>
      </c>
      <c r="M551" s="421">
        <f>DelivOIL!$F82*DelivOIL!U$81^5/(Conv!$I$5*Conv!$D$46)/10^6 + OILTrade!$H$5</f>
        <v>1.2572830515936073</v>
      </c>
      <c r="N551" s="421">
        <f>DelivOIL!$F82*DelivOIL!V$81^5/(Conv!$I$5*Conv!$D$46)/10^6 + OILTrade!$H$5</f>
        <v>1.2572830515936073</v>
      </c>
      <c r="O551" s="421">
        <f>DelivOIL!$F82*DelivOIL!W$81^5/(Conv!$I$5*Conv!$D$46)/10^6 + OILTrade!$H$5</f>
        <v>1.2572830515936073</v>
      </c>
      <c r="P551" s="421">
        <f>DelivOIL!$F82*DelivOIL!X$81^5/(Conv!$I$5*Conv!$D$46)/10^6 + OILTrade!$H$5</f>
        <v>1.2572830515936073</v>
      </c>
      <c r="Q551" s="421">
        <f>DelivOIL!$F82*DelivOIL!Y$81^5/(Conv!$I$5*Conv!$D$46)/10^6 + OILTrade!$H$5</f>
        <v>1.2572830515936073</v>
      </c>
      <c r="S551" s="395"/>
      <c r="T551" s="395"/>
      <c r="U551" s="395"/>
      <c r="V551" s="395"/>
      <c r="W551" s="395"/>
      <c r="X551" s="395"/>
      <c r="Y551" s="395"/>
      <c r="Z551" s="395"/>
      <c r="AA551" s="395"/>
      <c r="AB551" s="395"/>
      <c r="AC551" s="395"/>
    </row>
    <row r="552" spans="2:29">
      <c r="B552" s="376" t="str">
        <f>IF(OR(LEFT(Commodities!B$65,1)="*",LEFT(Technologies!B$236,1)="*"),"*","R5")</f>
        <v>R5</v>
      </c>
      <c r="C552" s="376" t="str">
        <f>Technologies!C236</f>
        <v>XIELCDSLP1</v>
      </c>
      <c r="D552" s="376" t="str">
        <f>Technologies!D236</f>
        <v>Delivery of Imported Distillate-Heating Oil No. 2 to the Electricity Sector</v>
      </c>
      <c r="E552" s="415" t="str">
        <f>Commodities!C$65</f>
        <v>DSHP1</v>
      </c>
      <c r="F552" s="415" t="str">
        <f>Commodities!C90</f>
        <v>ELCDSL</v>
      </c>
      <c r="G552" s="422">
        <v>1</v>
      </c>
      <c r="H552" s="421">
        <f>DelivOIL!$F83*DelivOIL!P$81^5/(Conv!$I$5*Conv!$D$46)/10^6 + OILTrade!$H$5</f>
        <v>0.42953454030596167</v>
      </c>
      <c r="I552" s="421">
        <f>DelivOIL!$F83*DelivOIL!Q$81^5/(Conv!$I$5*Conv!$D$46)/10^6 + OILTrade!$H$5</f>
        <v>0.42726471181080139</v>
      </c>
      <c r="J552" s="421">
        <f>DelivOIL!$F83*DelivOIL!R$81^5/(Conv!$I$5*Conv!$D$46)/10^6 + OILTrade!$H$5</f>
        <v>0.4494862758329371</v>
      </c>
      <c r="K552" s="421">
        <f>DelivOIL!$F83*DelivOIL!S$81^5/(Conv!$I$5*Conv!$D$46)/10^6 + OILTrade!$H$5</f>
        <v>0.54146023020572431</v>
      </c>
      <c r="L552" s="421">
        <f>DelivOIL!$F83*DelivOIL!T$81^5/(Conv!$I$5*Conv!$D$46)/10^6 + OILTrade!$H$5</f>
        <v>0.4965592437276482</v>
      </c>
      <c r="M552" s="421">
        <f>DelivOIL!$F83*DelivOIL!U$81^5/(Conv!$I$5*Conv!$D$46)/10^6 + OILTrade!$H$5</f>
        <v>0.44004906805776278</v>
      </c>
      <c r="N552" s="421">
        <f>DelivOIL!$F83*DelivOIL!V$81^5/(Conv!$I$5*Conv!$D$46)/10^6 + OILTrade!$H$5</f>
        <v>0.44004906805776278</v>
      </c>
      <c r="O552" s="421">
        <f>DelivOIL!$F83*DelivOIL!W$81^5/(Conv!$I$5*Conv!$D$46)/10^6 + OILTrade!$H$5</f>
        <v>0.44004906805776278</v>
      </c>
      <c r="P552" s="421">
        <f>DelivOIL!$F83*DelivOIL!X$81^5/(Conv!$I$5*Conv!$D$46)/10^6 + OILTrade!$H$5</f>
        <v>0.44004906805776278</v>
      </c>
      <c r="Q552" s="421">
        <f>DelivOIL!$F83*DelivOIL!Y$81^5/(Conv!$I$5*Conv!$D$46)/10^6 + OILTrade!$H$5</f>
        <v>0.44004906805776278</v>
      </c>
      <c r="S552" s="395"/>
      <c r="T552" s="395"/>
      <c r="U552" s="395"/>
      <c r="V552" s="395"/>
      <c r="W552" s="395"/>
      <c r="X552" s="395"/>
      <c r="Y552" s="395"/>
      <c r="Z552" s="395"/>
      <c r="AA552" s="395"/>
      <c r="AB552" s="395"/>
      <c r="AC552" s="395"/>
    </row>
    <row r="553" spans="2:29">
      <c r="B553" s="376" t="str">
        <f>IF(OR(LEFT(Commodities!B$65,1)="*",LEFT(Technologies!B$233,1)="*"),"*","R6")</f>
        <v>R6</v>
      </c>
      <c r="C553" s="376" t="str">
        <f>Technologies!C233</f>
        <v>XIRESDSLP1</v>
      </c>
      <c r="D553" s="376" t="str">
        <f>Technologies!D233</f>
        <v>Delivery of Imported Distillate-Heating Oil No. 2 to the Residential Sector</v>
      </c>
      <c r="E553" s="415" t="str">
        <f>Commodities!C$65</f>
        <v>DSHP1</v>
      </c>
      <c r="F553" s="415" t="str">
        <f>Commodities!C87</f>
        <v>RESDSL</v>
      </c>
      <c r="G553" s="422">
        <v>1</v>
      </c>
      <c r="H553" s="421">
        <f>DelivOIL!$G80*DelivOIL!P$82^5/(Conv!$I$5*Conv!$D$46)/10^6 + OILTrade!$I$7</f>
        <v>2.5226631732254869</v>
      </c>
      <c r="I553" s="421">
        <f>DelivOIL!$G80*DelivOIL!Q$82^5/(Conv!$I$5*Conv!$D$46)/10^6 + OILTrade!$I$7</f>
        <v>2.2580706042491885</v>
      </c>
      <c r="J553" s="421">
        <f>DelivOIL!$G80*DelivOIL!R$82^5/(Conv!$I$5*Conv!$D$46)/10^6 + OILTrade!$I$7</f>
        <v>2.561420912800155</v>
      </c>
      <c r="K553" s="421">
        <f>DelivOIL!$G80*DelivOIL!S$82^5/(Conv!$I$5*Conv!$D$46)/10^6 + OILTrade!$I$7</f>
        <v>2.9333358087565347</v>
      </c>
      <c r="L553" s="421">
        <f>DelivOIL!$G80*DelivOIL!T$82^5/(Conv!$I$5*Conv!$D$46)/10^6 + OILTrade!$I$7</f>
        <v>2.6835957418068435</v>
      </c>
      <c r="M553" s="421">
        <f>DelivOIL!$G80*DelivOIL!U$82^5/(Conv!$I$5*Conv!$D$46)/10^6 + OILTrade!$I$7</f>
        <v>2.5601839733027019</v>
      </c>
      <c r="N553" s="421">
        <f>DelivOIL!$G80*DelivOIL!V$82^5/(Conv!$I$5*Conv!$D$46)/10^6 + OILTrade!$I$7</f>
        <v>2.5601839733027019</v>
      </c>
      <c r="O553" s="421">
        <f>DelivOIL!$G80*DelivOIL!W$82^5/(Conv!$I$5*Conv!$D$46)/10^6 + OILTrade!$I$7</f>
        <v>2.5601839733027019</v>
      </c>
      <c r="P553" s="421">
        <f>DelivOIL!$G80*DelivOIL!X$82^5/(Conv!$I$5*Conv!$D$46)/10^6 + OILTrade!$I$7</f>
        <v>2.5601839733027019</v>
      </c>
      <c r="Q553" s="421">
        <f>DelivOIL!$G80*DelivOIL!Y$82^5/(Conv!$I$5*Conv!$D$46)/10^6 + OILTrade!$I$7</f>
        <v>2.5601839733027019</v>
      </c>
      <c r="S553" s="395"/>
      <c r="T553" s="395"/>
      <c r="U553" s="395"/>
      <c r="V553" s="395"/>
      <c r="W553" s="395"/>
      <c r="X553" s="395"/>
      <c r="Y553" s="395"/>
      <c r="Z553" s="395"/>
      <c r="AA553" s="395"/>
      <c r="AB553" s="395"/>
      <c r="AC553" s="395"/>
    </row>
    <row r="554" spans="2:29">
      <c r="B554" s="376" t="str">
        <f>IF(OR(LEFT(Commodities!B$65,1)="*",LEFT(Technologies!B$234,1)="*"),"*","R6")</f>
        <v>R6</v>
      </c>
      <c r="C554" s="376" t="str">
        <f>Technologies!C234</f>
        <v>XICOMDSLP1</v>
      </c>
      <c r="D554" s="376" t="str">
        <f>Technologies!D234</f>
        <v>Delivery of Imported Distillate-Heating Oil No. 2 to the Commercial Sector</v>
      </c>
      <c r="E554" s="415" t="str">
        <f>Commodities!C$65</f>
        <v>DSHP1</v>
      </c>
      <c r="F554" s="415" t="str">
        <f>Commodities!C88</f>
        <v>COMDSL</v>
      </c>
      <c r="G554" s="422">
        <v>1</v>
      </c>
      <c r="H554" s="421">
        <f>DelivOIL!$G81*DelivOIL!P$82^5/(Conv!$I$5*Conv!$D$46)/10^6 + OILTrade!$I$7</f>
        <v>0.8727050977644929</v>
      </c>
      <c r="I554" s="421">
        <f>DelivOIL!$G81*DelivOIL!Q$82^5/(Conv!$I$5*Conv!$D$46)/10^6 + OILTrade!$I$7</f>
        <v>0.78117037119971933</v>
      </c>
      <c r="J554" s="421">
        <f>DelivOIL!$G81*DelivOIL!R$82^5/(Conv!$I$5*Conv!$D$46)/10^6 + OILTrade!$I$7</f>
        <v>0.88611318064437783</v>
      </c>
      <c r="K554" s="421">
        <f>DelivOIL!$G81*DelivOIL!S$82^5/(Conv!$I$5*Conv!$D$46)/10^6 + OILTrade!$I$7</f>
        <v>1.0147756311373957</v>
      </c>
      <c r="L554" s="421">
        <f>DelivOIL!$G81*DelivOIL!T$82^5/(Conv!$I$5*Conv!$D$46)/10^6 + OILTrade!$I$7</f>
        <v>0.92837906743588094</v>
      </c>
      <c r="M554" s="421">
        <f>DelivOIL!$G81*DelivOIL!U$82^5/(Conv!$I$5*Conv!$D$46)/10^6 + OILTrade!$I$7</f>
        <v>0.88568526643985357</v>
      </c>
      <c r="N554" s="421">
        <f>DelivOIL!$G81*DelivOIL!V$82^5/(Conv!$I$5*Conv!$D$46)/10^6 + OILTrade!$I$7</f>
        <v>0.88568526643985357</v>
      </c>
      <c r="O554" s="421">
        <f>DelivOIL!$G81*DelivOIL!W$82^5/(Conv!$I$5*Conv!$D$46)/10^6 + OILTrade!$I$7</f>
        <v>0.88568526643985357</v>
      </c>
      <c r="P554" s="421">
        <f>DelivOIL!$G81*DelivOIL!X$82^5/(Conv!$I$5*Conv!$D$46)/10^6 + OILTrade!$I$7</f>
        <v>0.88568526643985357</v>
      </c>
      <c r="Q554" s="421">
        <f>DelivOIL!$G81*DelivOIL!Y$82^5/(Conv!$I$5*Conv!$D$46)/10^6 + OILTrade!$I$7</f>
        <v>0.88568526643985357</v>
      </c>
      <c r="S554" s="395"/>
      <c r="T554" s="395"/>
      <c r="U554" s="395"/>
      <c r="V554" s="395"/>
      <c r="W554" s="395"/>
      <c r="X554" s="395"/>
      <c r="Y554" s="395"/>
      <c r="Z554" s="395"/>
      <c r="AA554" s="395"/>
      <c r="AB554" s="395"/>
      <c r="AC554" s="395"/>
    </row>
    <row r="555" spans="2:29">
      <c r="B555" s="376" t="str">
        <f>IF(OR(LEFT(Commodities!B$65,1)="*",LEFT(Technologies!B$235,1)="*"),"*","R6")</f>
        <v>*</v>
      </c>
      <c r="C555" s="376" t="str">
        <f>Technologies!C235</f>
        <v>XIINDDSLP1</v>
      </c>
      <c r="D555" s="376" t="str">
        <f>Technologies!D235</f>
        <v>Delivery of Imported Distillate-Heating Oil No. 2 to the Indistrial Sector</v>
      </c>
      <c r="E555" s="415" t="str">
        <f>Commodities!C$65</f>
        <v>DSHP1</v>
      </c>
      <c r="F555" s="415" t="str">
        <f>Commodities!C89</f>
        <v>INDDSL</v>
      </c>
      <c r="G555" s="422">
        <v>1</v>
      </c>
      <c r="H555" s="421">
        <f>DelivOIL!$G82*DelivOIL!P$82^5/(Conv!$I$5*Conv!$D$46)/10^6 + OILTrade!$I$7</f>
        <v>1.1726974751210375</v>
      </c>
      <c r="I555" s="421">
        <f>DelivOIL!$G82*DelivOIL!Q$82^5/(Conv!$I$5*Conv!$D$46)/10^6 + OILTrade!$I$7</f>
        <v>1.049697686299623</v>
      </c>
      <c r="J555" s="421">
        <f>DelivOIL!$G82*DelivOIL!R$82^5/(Conv!$I$5*Conv!$D$46)/10^6 + OILTrade!$I$7</f>
        <v>1.190714586490883</v>
      </c>
      <c r="K555" s="421">
        <f>DelivOIL!$G82*DelivOIL!S$82^5/(Conv!$I$5*Conv!$D$46)/10^6 + OILTrade!$I$7</f>
        <v>1.3636047543408758</v>
      </c>
      <c r="L555" s="421">
        <f>DelivOIL!$G82*DelivOIL!T$82^5/(Conv!$I$5*Conv!$D$46)/10^6 + OILTrade!$I$7</f>
        <v>1.2475093718669654</v>
      </c>
      <c r="M555" s="421">
        <f>DelivOIL!$G82*DelivOIL!U$82^5/(Conv!$I$5*Conv!$D$46)/10^6 + OILTrade!$I$7</f>
        <v>1.1901395767785536</v>
      </c>
      <c r="N555" s="421">
        <f>DelivOIL!$G82*DelivOIL!V$82^5/(Conv!$I$5*Conv!$D$46)/10^6 + OILTrade!$I$7</f>
        <v>1.1901395767785536</v>
      </c>
      <c r="O555" s="421">
        <f>DelivOIL!$G82*DelivOIL!W$82^5/(Conv!$I$5*Conv!$D$46)/10^6 + OILTrade!$I$7</f>
        <v>1.1901395767785536</v>
      </c>
      <c r="P555" s="421">
        <f>DelivOIL!$G82*DelivOIL!X$82^5/(Conv!$I$5*Conv!$D$46)/10^6 + OILTrade!$I$7</f>
        <v>1.1901395767785536</v>
      </c>
      <c r="Q555" s="421">
        <f>DelivOIL!$G82*DelivOIL!Y$82^5/(Conv!$I$5*Conv!$D$46)/10^6 + OILTrade!$I$7</f>
        <v>1.1901395767785536</v>
      </c>
      <c r="S555" s="395"/>
      <c r="T555" s="395"/>
      <c r="U555" s="395"/>
      <c r="V555" s="395"/>
      <c r="W555" s="395"/>
      <c r="X555" s="395"/>
      <c r="Y555" s="395"/>
      <c r="Z555" s="395"/>
      <c r="AA555" s="395"/>
      <c r="AB555" s="395"/>
      <c r="AC555" s="395"/>
    </row>
    <row r="556" spans="2:29">
      <c r="B556" s="376" t="str">
        <f>IF(OR(LEFT(Commodities!B$65,1)="*",LEFT(Technologies!B$236,1)="*"),"*","R6")</f>
        <v>R6</v>
      </c>
      <c r="C556" s="376" t="str">
        <f>Technologies!C236</f>
        <v>XIELCDSLP1</v>
      </c>
      <c r="D556" s="376" t="str">
        <f>Technologies!D236</f>
        <v>Delivery of Imported Distillate-Heating Oil No. 2 to the Electricity Sector</v>
      </c>
      <c r="E556" s="415" t="str">
        <f>Commodities!C$65</f>
        <v>DSHP1</v>
      </c>
      <c r="F556" s="415" t="str">
        <f>Commodities!C90</f>
        <v>ELCDSL</v>
      </c>
      <c r="G556" s="422">
        <v>1</v>
      </c>
      <c r="H556" s="421">
        <f>DelivOIL!$G83*DelivOIL!P$82^5/(Conv!$I$5*Conv!$D$46)/10^6 + OILTrade!$I$7</f>
        <v>0.82497903773049708</v>
      </c>
      <c r="I556" s="421">
        <f>DelivOIL!$G83*DelivOIL!Q$82^5/(Conv!$I$5*Conv!$D$46)/10^6 + OILTrade!$I$7</f>
        <v>0.7384501165247348</v>
      </c>
      <c r="J556" s="421">
        <f>DelivOIL!$G83*DelivOIL!R$82^5/(Conv!$I$5*Conv!$D$46)/10^6 + OILTrade!$I$7</f>
        <v>0.83765386607788839</v>
      </c>
      <c r="K556" s="421">
        <f>DelivOIL!$G83*DelivOIL!S$82^5/(Conv!$I$5*Conv!$D$46)/10^6 + OILTrade!$I$7</f>
        <v>0.95928008880956939</v>
      </c>
      <c r="L556" s="421">
        <f>DelivOIL!$G83*DelivOIL!T$82^5/(Conv!$I$5*Conv!$D$46)/10^6 + OILTrade!$I$7</f>
        <v>0.87760833718548115</v>
      </c>
      <c r="M556" s="421">
        <f>DelivOIL!$G83*DelivOIL!U$82^5/(Conv!$I$5*Conv!$D$46)/10^6 + OILTrade!$I$7</f>
        <v>0.83724935343142415</v>
      </c>
      <c r="N556" s="421">
        <f>DelivOIL!$G83*DelivOIL!V$82^5/(Conv!$I$5*Conv!$D$46)/10^6 + OILTrade!$I$7</f>
        <v>0.83724935343142415</v>
      </c>
      <c r="O556" s="421">
        <f>DelivOIL!$G83*DelivOIL!W$82^5/(Conv!$I$5*Conv!$D$46)/10^6 + OILTrade!$I$7</f>
        <v>0.83724935343142415</v>
      </c>
      <c r="P556" s="421">
        <f>DelivOIL!$G83*DelivOIL!X$82^5/(Conv!$I$5*Conv!$D$46)/10^6 + OILTrade!$I$7</f>
        <v>0.83724935343142415</v>
      </c>
      <c r="Q556" s="421">
        <f>DelivOIL!$G83*DelivOIL!Y$82^5/(Conv!$I$5*Conv!$D$46)/10^6 + OILTrade!$I$7</f>
        <v>0.83724935343142415</v>
      </c>
      <c r="S556" s="395"/>
      <c r="T556" s="395"/>
      <c r="U556" s="395"/>
      <c r="V556" s="395"/>
      <c r="W556" s="395"/>
      <c r="X556" s="395"/>
      <c r="Y556" s="395"/>
      <c r="Z556" s="395"/>
      <c r="AA556" s="395"/>
      <c r="AB556" s="395"/>
      <c r="AC556" s="395"/>
    </row>
    <row r="557" spans="2:29">
      <c r="B557" s="420"/>
      <c r="C557" s="419"/>
      <c r="D557" s="419"/>
      <c r="E557" s="418"/>
      <c r="F557" s="418"/>
      <c r="G557" s="418"/>
      <c r="H557" s="419"/>
      <c r="I557" s="419"/>
      <c r="J557" s="419"/>
      <c r="K557" s="419"/>
      <c r="L557" s="419"/>
      <c r="M557" s="419"/>
      <c r="N557" s="419"/>
      <c r="O557" s="419"/>
      <c r="P557" s="419"/>
      <c r="Q557" s="419"/>
    </row>
    <row r="558" spans="2:29">
      <c r="B558" s="420"/>
      <c r="C558" s="419"/>
      <c r="D558" s="419"/>
      <c r="E558" s="418"/>
      <c r="F558" s="418"/>
      <c r="G558" s="418"/>
      <c r="H558" s="419"/>
      <c r="I558" s="419"/>
      <c r="J558" s="419"/>
      <c r="K558" s="419"/>
      <c r="L558" s="419"/>
      <c r="M558" s="419"/>
      <c r="N558" s="419"/>
      <c r="O558" s="419"/>
      <c r="P558" s="419"/>
      <c r="Q558" s="419"/>
    </row>
    <row r="559" spans="2:29">
      <c r="B559" s="420"/>
      <c r="C559" s="419"/>
      <c r="D559" s="419"/>
      <c r="E559" s="418"/>
      <c r="F559" s="418"/>
      <c r="G559" s="418"/>
      <c r="H559" s="419"/>
      <c r="I559" s="419"/>
      <c r="J559" s="419"/>
      <c r="K559" s="419"/>
      <c r="L559" s="419"/>
      <c r="M559" s="419"/>
      <c r="N559" s="419"/>
      <c r="O559" s="419"/>
      <c r="P559" s="419"/>
      <c r="Q559" s="419"/>
    </row>
    <row r="560" spans="2:29">
      <c r="B560" s="420"/>
      <c r="C560" s="419"/>
      <c r="D560" s="419"/>
      <c r="E560" s="418"/>
      <c r="F560" s="418"/>
      <c r="G560" s="418"/>
      <c r="H560" s="419"/>
      <c r="I560" s="419"/>
      <c r="J560" s="419"/>
      <c r="K560" s="419"/>
      <c r="L560" s="419"/>
      <c r="M560" s="419"/>
      <c r="N560" s="419"/>
      <c r="O560" s="419"/>
      <c r="P560" s="419"/>
      <c r="Q560" s="419"/>
    </row>
    <row r="561" spans="2:29">
      <c r="B561" s="420"/>
      <c r="C561" s="419"/>
      <c r="D561" s="419"/>
      <c r="E561" s="418"/>
      <c r="F561" s="418"/>
      <c r="G561" s="418"/>
      <c r="H561" s="419"/>
      <c r="I561" s="419"/>
      <c r="J561" s="419"/>
      <c r="K561" s="419"/>
      <c r="L561" s="419"/>
      <c r="M561" s="419"/>
      <c r="N561" s="419"/>
      <c r="O561" s="419"/>
      <c r="P561" s="419"/>
      <c r="Q561" s="419"/>
    </row>
    <row r="562" spans="2:29">
      <c r="B562" s="420"/>
      <c r="C562" s="419"/>
      <c r="D562" s="419"/>
      <c r="E562" s="418"/>
      <c r="F562" s="418"/>
      <c r="G562" s="418"/>
      <c r="H562" s="419"/>
      <c r="I562" s="419"/>
      <c r="J562" s="419"/>
      <c r="K562" s="419"/>
      <c r="L562" s="419"/>
      <c r="M562" s="419"/>
      <c r="N562" s="419"/>
      <c r="O562" s="419"/>
      <c r="P562" s="419"/>
      <c r="Q562" s="419"/>
    </row>
    <row r="563" spans="2:29">
      <c r="B563" s="376" t="str">
        <f>IF(LEFT(Technologies!B$702,1)="*","*","R1")</f>
        <v>R1</v>
      </c>
      <c r="C563" s="376" t="str">
        <f>Technologies!C702</f>
        <v>XITRGSLCP1</v>
      </c>
      <c r="D563" s="376" t="str">
        <f>Technologies!D702</f>
        <v>Delivery of Imported Conventional Gasoline</v>
      </c>
      <c r="E563" s="415" t="str">
        <f>Commodities!C$325</f>
        <v>GSCP1</v>
      </c>
      <c r="F563" s="415" t="str">
        <f>Commodities!C85</f>
        <v>TRGSLC</v>
      </c>
      <c r="G563" s="422">
        <v>1</v>
      </c>
      <c r="H563" s="421">
        <f>DelivOIL!$B77*DelivOIL!P$77^5/(Conv!$I$5*Conv!$D$46)/10^6 + OILTrade!$D$5</f>
        <v>3.5590004768208217</v>
      </c>
      <c r="I563" s="421">
        <f>DelivOIL!$B77*DelivOIL!Q$77^5/(Conv!$I$5*Conv!$D$46)/10^6 + OILTrade!$D$5</f>
        <v>3.5401933264323509</v>
      </c>
      <c r="J563" s="421">
        <f>DelivOIL!$B77*DelivOIL!R$77^5/(Conv!$I$5*Conv!$D$46)/10^6 + OILTrade!$D$5</f>
        <v>3.7243148569014748</v>
      </c>
      <c r="K563" s="421">
        <f>DelivOIL!$B77*DelivOIL!S$77^5/(Conv!$I$5*Conv!$D$46)/10^6 + OILTrade!$D$5</f>
        <v>4.486384764561711</v>
      </c>
      <c r="L563" s="421">
        <f>DelivOIL!$B77*DelivOIL!T$77^5/(Conv!$I$5*Conv!$D$46)/10^6 + OILTrade!$D$5</f>
        <v>4.1143480194576521</v>
      </c>
      <c r="M563" s="421">
        <f>DelivOIL!$B77*DelivOIL!U$77^5/(Conv!$I$5*Conv!$D$46)/10^6 + OILTrade!$D$5</f>
        <v>3.6461208496214592</v>
      </c>
      <c r="N563" s="421">
        <f>DelivOIL!$B77*DelivOIL!V$77^5/(Conv!$I$5*Conv!$D$46)/10^6 + OILTrade!$D$5</f>
        <v>3.6461208496214592</v>
      </c>
      <c r="O563" s="421">
        <f>DelivOIL!$B77*DelivOIL!W$77^5/(Conv!$I$5*Conv!$D$46)/10^6 + OILTrade!$D$5</f>
        <v>3.6461208496214592</v>
      </c>
      <c r="P563" s="421">
        <f>DelivOIL!$B77*DelivOIL!X$77^5/(Conv!$I$5*Conv!$D$46)/10^6 + OILTrade!$D$5</f>
        <v>3.6461208496214592</v>
      </c>
      <c r="Q563" s="421">
        <f>DelivOIL!$B77*DelivOIL!Y$77^5/(Conv!$I$5*Conv!$D$46)/10^6 + OILTrade!$D$5</f>
        <v>3.6461208496214592</v>
      </c>
      <c r="S563" s="395"/>
      <c r="T563" s="395"/>
      <c r="U563" s="395"/>
      <c r="V563" s="395"/>
      <c r="W563" s="395"/>
      <c r="X563" s="395"/>
      <c r="Y563" s="395"/>
      <c r="Z563" s="395"/>
      <c r="AA563" s="395"/>
      <c r="AB563" s="395"/>
      <c r="AC563" s="395"/>
    </row>
    <row r="564" spans="2:29">
      <c r="B564" s="376" t="str">
        <f>IF(LEFT(Technologies!B$703,1)="*","*","R1")</f>
        <v>R1</v>
      </c>
      <c r="C564" s="376" t="str">
        <f>Technologies!C703</f>
        <v>XITRGSLRP1</v>
      </c>
      <c r="D564" s="376" t="str">
        <f>Technologies!D703</f>
        <v>Delivery of Imported Reformulated Gasoline</v>
      </c>
      <c r="E564" s="415" t="str">
        <f>Commodities!C$326</f>
        <v>GSRP1</v>
      </c>
      <c r="F564" s="415" t="str">
        <f>Commodities!C86</f>
        <v>TRGSLR</v>
      </c>
      <c r="G564" s="422">
        <v>1</v>
      </c>
      <c r="H564" s="421">
        <f>DelivOIL!$B78*DelivOIL!P$77^5/(Conv!$I$5*Conv!$D$46)/10^6 + OILTrade!$D$5</f>
        <v>3.2521900908879937</v>
      </c>
      <c r="I564" s="421">
        <f>DelivOIL!$B78*DelivOIL!Q$77^5/(Conv!$I$5*Conv!$D$46)/10^6 + OILTrade!$D$5</f>
        <v>3.2350042465674944</v>
      </c>
      <c r="J564" s="421">
        <f>DelivOIL!$B78*DelivOIL!R$77^5/(Conv!$I$5*Conv!$D$46)/10^6 + OILTrade!$D$5</f>
        <v>3.4032532313065218</v>
      </c>
      <c r="K564" s="421">
        <f>DelivOIL!$B78*DelivOIL!S$77^5/(Conv!$I$5*Conv!$D$46)/10^6 + OILTrade!$D$5</f>
        <v>4.09962745727191</v>
      </c>
      <c r="L564" s="421">
        <f>DelivOIL!$B78*DelivOIL!T$77^5/(Conv!$I$5*Conv!$D$46)/10^6 + OILTrade!$D$5</f>
        <v>3.7596628453664769</v>
      </c>
      <c r="M564" s="421">
        <f>DelivOIL!$B78*DelivOIL!U$77^5/(Conv!$I$5*Conv!$D$46)/10^6 + OILTrade!$D$5</f>
        <v>3.3318000867230588</v>
      </c>
      <c r="N564" s="421">
        <f>DelivOIL!$B78*DelivOIL!V$77^5/(Conv!$I$5*Conv!$D$46)/10^6 + OILTrade!$D$5</f>
        <v>3.3318000867230588</v>
      </c>
      <c r="O564" s="421">
        <f>DelivOIL!$B78*DelivOIL!W$77^5/(Conv!$I$5*Conv!$D$46)/10^6 + OILTrade!$D$5</f>
        <v>3.3318000867230588</v>
      </c>
      <c r="P564" s="421">
        <f>DelivOIL!$B78*DelivOIL!X$77^5/(Conv!$I$5*Conv!$D$46)/10^6 + OILTrade!$D$5</f>
        <v>3.3318000867230588</v>
      </c>
      <c r="Q564" s="421">
        <f>DelivOIL!$B78*DelivOIL!Y$77^5/(Conv!$I$5*Conv!$D$46)/10^6 + OILTrade!$D$5</f>
        <v>3.3318000867230588</v>
      </c>
      <c r="S564" s="395"/>
      <c r="T564" s="395"/>
      <c r="U564" s="395"/>
      <c r="V564" s="395"/>
      <c r="W564" s="395"/>
      <c r="X564" s="395"/>
      <c r="Y564" s="395"/>
      <c r="Z564" s="395"/>
      <c r="AA564" s="395"/>
      <c r="AB564" s="395"/>
      <c r="AC564" s="395"/>
    </row>
    <row r="565" spans="2:29">
      <c r="B565" s="376" t="str">
        <f>IF(OR(LEFT(Commodities!B$323,1)="*",LEFT(Technologies!B$704,1)="*"),"*","R1")</f>
        <v>R1</v>
      </c>
      <c r="C565" s="376" t="str">
        <f>Technologies!C704</f>
        <v>XITRDSLLP1</v>
      </c>
      <c r="D565" s="376" t="str">
        <f>Technologies!D704</f>
        <v>Delivery of Imported Distillate-Low Sulfur Highway Diesel (500 ppm)</v>
      </c>
      <c r="E565" s="415" t="str">
        <f>Commodities!C$323</f>
        <v>DSLP1</v>
      </c>
      <c r="F565" s="415" t="str">
        <f>Commodities!C91</f>
        <v>TRDSLL</v>
      </c>
      <c r="G565" s="422">
        <v>1</v>
      </c>
      <c r="H565" s="421">
        <f>DelivOIL!$B84*DelivOIL!P$77^5/(Conv!$I$5*Conv!$D$46)/10^6 + OILTrade!$D$5</f>
        <v>4.383979514551319</v>
      </c>
      <c r="I565" s="421">
        <f>DelivOIL!$B84*DelivOIL!Q$77^5/(Conv!$I$5*Conv!$D$46)/10^6 + OILTrade!$D$5</f>
        <v>4.3608128522911906</v>
      </c>
      <c r="J565" s="421">
        <f>DelivOIL!$B84*DelivOIL!R$77^5/(Conv!$I$5*Conv!$D$46)/10^6 + OILTrade!$D$5</f>
        <v>4.5876138946123532</v>
      </c>
      <c r="K565" s="421">
        <f>DelivOIL!$B84*DelivOIL!S$77^5/(Conv!$I$5*Conv!$D$46)/10^6 + OILTrade!$D$5</f>
        <v>5.5263321908298479</v>
      </c>
      <c r="L565" s="421">
        <f>DelivOIL!$B84*DelivOIL!T$77^5/(Conv!$I$5*Conv!$D$46)/10^6 + OILTrade!$D$5</f>
        <v>5.06805704312504</v>
      </c>
      <c r="M565" s="421">
        <f>DelivOIL!$B84*DelivOIL!U$77^5/(Conv!$I$5*Conv!$D$46)/10^6 + OILTrade!$D$5</f>
        <v>4.4912944565260515</v>
      </c>
      <c r="N565" s="421">
        <f>DelivOIL!$B84*DelivOIL!V$77^5/(Conv!$I$5*Conv!$D$46)/10^6 + OILTrade!$D$5</f>
        <v>4.4912944565260515</v>
      </c>
      <c r="O565" s="421">
        <f>DelivOIL!$B84*DelivOIL!W$77^5/(Conv!$I$5*Conv!$D$46)/10^6 + OILTrade!$D$5</f>
        <v>4.4912944565260515</v>
      </c>
      <c r="P565" s="421">
        <f>DelivOIL!$B84*DelivOIL!X$77^5/(Conv!$I$5*Conv!$D$46)/10^6 + OILTrade!$D$5</f>
        <v>4.4912944565260515</v>
      </c>
      <c r="Q565" s="421">
        <f>DelivOIL!$B84*DelivOIL!Y$77^5/(Conv!$I$5*Conv!$D$46)/10^6 + OILTrade!$D$5</f>
        <v>4.4912944565260515</v>
      </c>
      <c r="S565" s="395"/>
      <c r="T565" s="395"/>
      <c r="U565" s="395"/>
      <c r="V565" s="395"/>
      <c r="W565" s="395"/>
      <c r="X565" s="395"/>
      <c r="Y565" s="395"/>
      <c r="Z565" s="395"/>
      <c r="AA565" s="395"/>
      <c r="AB565" s="395"/>
      <c r="AC565" s="395"/>
    </row>
    <row r="566" spans="2:29">
      <c r="B566" s="376" t="str">
        <f>IF(OR(LEFT(Commodities!B$324,1)="*",LEFT(Technologies!B$705,1)="*"),"*","R1")</f>
        <v>R1</v>
      </c>
      <c r="C566" s="376" t="str">
        <f>Technologies!C705</f>
        <v>XITRDSLUP1</v>
      </c>
      <c r="D566" s="376" t="str">
        <f>Technologies!D705</f>
        <v>Delivery of Imported Distillate-Ultralow Sulfur Highway Diesel (15 ppm)</v>
      </c>
      <c r="E566" s="415" t="str">
        <f>Commodities!C$324</f>
        <v>DSUP1</v>
      </c>
      <c r="F566" s="415" t="str">
        <f>Commodities!C92</f>
        <v>TRDSLU</v>
      </c>
      <c r="G566" s="422">
        <v>1</v>
      </c>
      <c r="H566" s="421">
        <f>DelivOIL!$B85*DelivOIL!P$77^5/(Conv!$I$5*Conv!$D$46)/10^6 + OILTrade!$D$5</f>
        <v>3.7430867083805195</v>
      </c>
      <c r="I566" s="421">
        <f>DelivOIL!$B85*DelivOIL!Q$77^5/(Conv!$I$5*Conv!$D$46)/10^6 + OILTrade!$D$5</f>
        <v>3.7233067743512653</v>
      </c>
      <c r="J566" s="421">
        <f>DelivOIL!$B85*DelivOIL!R$77^5/(Conv!$I$5*Conv!$D$46)/10^6 + OILTrade!$D$5</f>
        <v>3.916951832258448</v>
      </c>
      <c r="K566" s="421">
        <f>DelivOIL!$B85*DelivOIL!S$77^5/(Conv!$I$5*Conv!$D$46)/10^6 + OILTrade!$D$5</f>
        <v>4.7184391489355928</v>
      </c>
      <c r="L566" s="421">
        <f>DelivOIL!$B85*DelivOIL!T$77^5/(Conv!$I$5*Conv!$D$46)/10^6 + OILTrade!$D$5</f>
        <v>4.3271591239123586</v>
      </c>
      <c r="M566" s="421">
        <f>DelivOIL!$B85*DelivOIL!U$77^5/(Conv!$I$5*Conv!$D$46)/10^6 + OILTrade!$D$5</f>
        <v>3.8347133073605009</v>
      </c>
      <c r="N566" s="421">
        <f>DelivOIL!$B85*DelivOIL!V$77^5/(Conv!$I$5*Conv!$D$46)/10^6 + OILTrade!$D$5</f>
        <v>3.8347133073605009</v>
      </c>
      <c r="O566" s="421">
        <f>DelivOIL!$B85*DelivOIL!W$77^5/(Conv!$I$5*Conv!$D$46)/10^6 + OILTrade!$D$5</f>
        <v>3.8347133073605009</v>
      </c>
      <c r="P566" s="421">
        <f>DelivOIL!$B85*DelivOIL!X$77^5/(Conv!$I$5*Conv!$D$46)/10^6 + OILTrade!$D$5</f>
        <v>3.8347133073605009</v>
      </c>
      <c r="Q566" s="421">
        <f>DelivOIL!$B85*DelivOIL!Y$77^5/(Conv!$I$5*Conv!$D$46)/10^6 + OILTrade!$D$5</f>
        <v>3.8347133073605009</v>
      </c>
      <c r="S566" s="395"/>
      <c r="T566" s="395"/>
      <c r="U566" s="395"/>
      <c r="V566" s="395"/>
      <c r="W566" s="395"/>
      <c r="X566" s="395"/>
      <c r="Y566" s="395"/>
      <c r="Z566" s="395"/>
      <c r="AA566" s="395"/>
      <c r="AB566" s="395"/>
      <c r="AC566" s="395"/>
    </row>
    <row r="567" spans="2:29">
      <c r="B567" s="376" t="str">
        <f>IF(OR(LEFT(Commodities!B$327,1)="*",LEFT(Technologies!B$706,1)="*"),"*","R1")</f>
        <v>*</v>
      </c>
      <c r="C567" s="376" t="str">
        <f>Technologies!C706</f>
        <v>XIRESKERP1</v>
      </c>
      <c r="D567" s="376" t="str">
        <f>Technologies!D706</f>
        <v>Delivery of Imported Kerosene and Other Refined Products to the Residential Sector</v>
      </c>
      <c r="E567" s="415" t="str">
        <f>Commodities!C$327</f>
        <v>KERP1</v>
      </c>
      <c r="F567" s="415" t="str">
        <f>Commodities!C94</f>
        <v>RESKER</v>
      </c>
      <c r="G567" s="422">
        <v>1</v>
      </c>
      <c r="H567" s="421">
        <f>DelivOIL!$B87*DelivOIL!P$77^5/(Conv!$I$5*Conv!$D$46)/10^6 + OILTrade!$D$5</f>
        <v>1.5408699382404334</v>
      </c>
      <c r="I567" s="421">
        <f>DelivOIL!$B87*DelivOIL!Q$77^5/(Conv!$I$5*Conv!$D$46)/10^6 + OILTrade!$D$5</f>
        <v>1.5327273788768423</v>
      </c>
      <c r="J567" s="421">
        <f>DelivOIL!$B87*DelivOIL!R$77^5/(Conv!$I$5*Conv!$D$46)/10^6 + OILTrade!$D$5</f>
        <v>1.6124428307657734</v>
      </c>
      <c r="K567" s="421">
        <f>DelivOIL!$B87*DelivOIL!S$77^5/(Conv!$I$5*Conv!$D$46)/10^6 + OILTrade!$D$5</f>
        <v>1.9423811432776767</v>
      </c>
      <c r="L567" s="421">
        <f>DelivOIL!$B87*DelivOIL!T$77^5/(Conv!$I$5*Conv!$D$46)/10^6 + OILTrade!$D$5</f>
        <v>1.7813077632134673</v>
      </c>
      <c r="M567" s="421">
        <f>DelivOIL!$B87*DelivOIL!U$77^5/(Conv!$I$5*Conv!$D$46)/10^6 + OILTrade!$D$5</f>
        <v>1.5785887203341959</v>
      </c>
      <c r="N567" s="421">
        <f>DelivOIL!$B87*DelivOIL!V$77^5/(Conv!$I$5*Conv!$D$46)/10^6 + OILTrade!$D$5</f>
        <v>1.5785887203341959</v>
      </c>
      <c r="O567" s="421">
        <f>DelivOIL!$B87*DelivOIL!W$77^5/(Conv!$I$5*Conv!$D$46)/10^6 + OILTrade!$D$5</f>
        <v>1.5785887203341959</v>
      </c>
      <c r="P567" s="421">
        <f>DelivOIL!$B87*DelivOIL!X$77^5/(Conv!$I$5*Conv!$D$46)/10^6 + OILTrade!$D$5</f>
        <v>1.5785887203341959</v>
      </c>
      <c r="Q567" s="421">
        <f>DelivOIL!$B87*DelivOIL!Y$77^5/(Conv!$I$5*Conv!$D$46)/10^6 + OILTrade!$D$5</f>
        <v>1.5785887203341959</v>
      </c>
      <c r="S567" s="395"/>
      <c r="T567" s="395"/>
      <c r="U567" s="395"/>
      <c r="V567" s="395"/>
      <c r="W567" s="395"/>
      <c r="X567" s="395"/>
      <c r="Y567" s="395"/>
      <c r="Z567" s="395"/>
      <c r="AA567" s="395"/>
      <c r="AB567" s="395"/>
      <c r="AC567" s="395"/>
    </row>
    <row r="568" spans="2:29">
      <c r="B568" s="376" t="str">
        <f>IF(OR(LEFT(Commodities!B$327,1)="*",LEFT(Technologies!B$707,1)="*"),"*","R1")</f>
        <v>*</v>
      </c>
      <c r="C568" s="376" t="str">
        <f>Technologies!C707</f>
        <v>XICOMKERP1</v>
      </c>
      <c r="D568" s="376" t="str">
        <f>Technologies!D707</f>
        <v>Delivery of Imported Kerosene and Other Refined Products to the Commercial Sector</v>
      </c>
      <c r="E568" s="415" t="str">
        <f>Commodities!C$327</f>
        <v>KERP1</v>
      </c>
      <c r="F568" s="415" t="str">
        <f>Commodities!C95</f>
        <v>COMKER</v>
      </c>
      <c r="G568" s="422">
        <v>1</v>
      </c>
      <c r="H568" s="421">
        <f>DelivOIL!$B88*DelivOIL!P$77^5/(Conv!$I$5*Conv!$D$46)/10^6 + OILTrade!$D$5</f>
        <v>1.5135979039352927</v>
      </c>
      <c r="I568" s="421">
        <f>DelivOIL!$B88*DelivOIL!Q$77^5/(Conv!$I$5*Conv!$D$46)/10^6 + OILTrade!$D$5</f>
        <v>1.5055994606666327</v>
      </c>
      <c r="J568" s="421">
        <f>DelivOIL!$B88*DelivOIL!R$77^5/(Conv!$I$5*Conv!$D$46)/10^6 + OILTrade!$D$5</f>
        <v>1.5839040196017777</v>
      </c>
      <c r="K568" s="421">
        <f>DelivOIL!$B88*DelivOIL!S$77^5/(Conv!$I$5*Conv!$D$46)/10^6 + OILTrade!$D$5</f>
        <v>1.9080027159630277</v>
      </c>
      <c r="L568" s="421">
        <f>DelivOIL!$B88*DelivOIL!T$77^5/(Conv!$I$5*Conv!$D$46)/10^6 + OILTrade!$D$5</f>
        <v>1.7497801921831406</v>
      </c>
      <c r="M568" s="421">
        <f>DelivOIL!$B88*DelivOIL!U$77^5/(Conv!$I$5*Conv!$D$46)/10^6 + OILTrade!$D$5</f>
        <v>1.5506490969654489</v>
      </c>
      <c r="N568" s="421">
        <f>DelivOIL!$B88*DelivOIL!V$77^5/(Conv!$I$5*Conv!$D$46)/10^6 + OILTrade!$D$5</f>
        <v>1.5506490969654489</v>
      </c>
      <c r="O568" s="421">
        <f>DelivOIL!$B88*DelivOIL!W$77^5/(Conv!$I$5*Conv!$D$46)/10^6 + OILTrade!$D$5</f>
        <v>1.5506490969654489</v>
      </c>
      <c r="P568" s="421">
        <f>DelivOIL!$B88*DelivOIL!X$77^5/(Conv!$I$5*Conv!$D$46)/10^6 + OILTrade!$D$5</f>
        <v>1.5506490969654489</v>
      </c>
      <c r="Q568" s="421">
        <f>DelivOIL!$B88*DelivOIL!Y$77^5/(Conv!$I$5*Conv!$D$46)/10^6 + OILTrade!$D$5</f>
        <v>1.5506490969654489</v>
      </c>
      <c r="S568" s="395"/>
      <c r="T568" s="395"/>
      <c r="U568" s="395"/>
      <c r="V568" s="395"/>
      <c r="W568" s="395"/>
      <c r="X568" s="395"/>
      <c r="Y568" s="395"/>
      <c r="Z568" s="395"/>
      <c r="AA568" s="395"/>
      <c r="AB568" s="395"/>
      <c r="AC568" s="395"/>
    </row>
    <row r="569" spans="2:29">
      <c r="B569" s="376" t="str">
        <f>IF(OR(LEFT(Commodities!B$327,1)="*",LEFT(Technologies!B$708,1)="*"),"*","R1")</f>
        <v>*</v>
      </c>
      <c r="C569" s="376" t="str">
        <f>Technologies!C708</f>
        <v>XIINDKERP1</v>
      </c>
      <c r="D569" s="376" t="str">
        <f>Technologies!D708</f>
        <v>Delivery of Imported Kerosene and Other Refined Products to the Industrial Sector</v>
      </c>
      <c r="E569" s="415" t="str">
        <f>Commodities!C$327</f>
        <v>KERP1</v>
      </c>
      <c r="F569" s="415" t="str">
        <f>Commodities!C96</f>
        <v>INDKER</v>
      </c>
      <c r="G569" s="422">
        <v>1</v>
      </c>
      <c r="H569" s="421">
        <f>DelivOIL!$B89*DelivOIL!P$77^5/(Conv!$I$5*Conv!$D$46)/10^6 + OILTrade!$D$5</f>
        <v>1.2204235351550325</v>
      </c>
      <c r="I569" s="421">
        <f>DelivOIL!$B89*DelivOIL!Q$77^5/(Conv!$I$5*Conv!$D$46)/10^6 + OILTrade!$D$5</f>
        <v>1.2139743399068788</v>
      </c>
      <c r="J569" s="421">
        <f>DelivOIL!$B89*DelivOIL!R$77^5/(Conv!$I$5*Conv!$D$46)/10^6 + OILTrade!$D$5</f>
        <v>1.2771117995888197</v>
      </c>
      <c r="K569" s="421">
        <f>DelivOIL!$B89*DelivOIL!S$77^5/(Conv!$I$5*Conv!$D$46)/10^6 + OILTrade!$D$5</f>
        <v>1.5384346223305483</v>
      </c>
      <c r="L569" s="421">
        <f>DelivOIL!$B89*DelivOIL!T$77^5/(Conv!$I$5*Conv!$D$46)/10^6 + OILTrade!$D$5</f>
        <v>1.4108588036071257</v>
      </c>
      <c r="M569" s="421">
        <f>DelivOIL!$B89*DelivOIL!U$77^5/(Conv!$I$5*Conv!$D$46)/10^6 + OILTrade!$D$5</f>
        <v>1.2502981457514197</v>
      </c>
      <c r="N569" s="421">
        <f>DelivOIL!$B89*DelivOIL!V$77^5/(Conv!$I$5*Conv!$D$46)/10^6 + OILTrade!$D$5</f>
        <v>1.2502981457514197</v>
      </c>
      <c r="O569" s="421">
        <f>DelivOIL!$B89*DelivOIL!W$77^5/(Conv!$I$5*Conv!$D$46)/10^6 + OILTrade!$D$5</f>
        <v>1.2502981457514197</v>
      </c>
      <c r="P569" s="421">
        <f>DelivOIL!$B89*DelivOIL!X$77^5/(Conv!$I$5*Conv!$D$46)/10^6 + OILTrade!$D$5</f>
        <v>1.2502981457514197</v>
      </c>
      <c r="Q569" s="421">
        <f>DelivOIL!$B89*DelivOIL!Y$77^5/(Conv!$I$5*Conv!$D$46)/10^6 + OILTrade!$D$5</f>
        <v>1.2502981457514197</v>
      </c>
      <c r="S569" s="395"/>
      <c r="T569" s="395"/>
      <c r="U569" s="395"/>
      <c r="V569" s="395"/>
      <c r="W569" s="395"/>
      <c r="X569" s="395"/>
      <c r="Y569" s="395"/>
      <c r="Z569" s="395"/>
      <c r="AA569" s="395"/>
      <c r="AB569" s="395"/>
      <c r="AC569" s="395"/>
    </row>
    <row r="570" spans="2:29">
      <c r="B570" s="376" t="str">
        <f>IF(OR(LEFT(Commodities!B$328,1)="*",LEFT(Technologies!B$709,1)="*"),"*","R1")</f>
        <v>*</v>
      </c>
      <c r="C570" s="376" t="str">
        <f>Technologies!C709</f>
        <v>XIRESLPGP1</v>
      </c>
      <c r="D570" s="376" t="str">
        <f>Technologies!D709</f>
        <v>Delivery of Imported LPG to the Residential Sector</v>
      </c>
      <c r="E570" s="415" t="str">
        <f>Commodities!C$328</f>
        <v>LPGP1</v>
      </c>
      <c r="F570" s="415" t="str">
        <f>Commodities!C97</f>
        <v>RESLPG</v>
      </c>
      <c r="G570" s="422">
        <v>1</v>
      </c>
      <c r="H570" s="421">
        <f>DelivOIL!$B90*DelivOIL!P$77^5/(Conv!$I$5*Conv!$D$46)/10^6 + OILTrade!$D$5</f>
        <v>5.9453034785206071</v>
      </c>
      <c r="I570" s="421">
        <f>DelivOIL!$B90*DelivOIL!Q$77^5/(Conv!$I$5*Conv!$D$46)/10^6 + OILTrade!$D$5</f>
        <v>5.913886169825691</v>
      </c>
      <c r="J570" s="421">
        <f>DelivOIL!$B90*DelivOIL!R$77^5/(Conv!$I$5*Conv!$D$46)/10^6 + OILTrade!$D$5</f>
        <v>6.2214608337511237</v>
      </c>
      <c r="K570" s="421">
        <f>DelivOIL!$B90*DelivOIL!S$77^5/(Conv!$I$5*Conv!$D$46)/10^6 + OILTrade!$D$5</f>
        <v>7.4944971545935104</v>
      </c>
      <c r="L570" s="421">
        <f>DelivOIL!$B90*DelivOIL!T$77^5/(Conv!$I$5*Conv!$D$46)/10^6 + OILTrade!$D$5</f>
        <v>6.8730104846112514</v>
      </c>
      <c r="M570" s="421">
        <f>DelivOIL!$B90*DelivOIL!U$77^5/(Conv!$I$5*Conv!$D$46)/10^6 + OILTrade!$D$5</f>
        <v>6.0908378943868069</v>
      </c>
      <c r="N570" s="421">
        <f>DelivOIL!$B90*DelivOIL!V$77^5/(Conv!$I$5*Conv!$D$46)/10^6 + OILTrade!$D$5</f>
        <v>6.0908378943868069</v>
      </c>
      <c r="O570" s="421">
        <f>DelivOIL!$B90*DelivOIL!W$77^5/(Conv!$I$5*Conv!$D$46)/10^6 + OILTrade!$D$5</f>
        <v>6.0908378943868069</v>
      </c>
      <c r="P570" s="421">
        <f>DelivOIL!$B90*DelivOIL!X$77^5/(Conv!$I$5*Conv!$D$46)/10^6 + OILTrade!$D$5</f>
        <v>6.0908378943868069</v>
      </c>
      <c r="Q570" s="421">
        <f>DelivOIL!$B90*DelivOIL!Y$77^5/(Conv!$I$5*Conv!$D$46)/10^6 + OILTrade!$D$5</f>
        <v>6.0908378943868069</v>
      </c>
      <c r="S570" s="395"/>
      <c r="T570" s="395"/>
      <c r="U570" s="395"/>
      <c r="V570" s="395"/>
      <c r="W570" s="395"/>
      <c r="X570" s="395"/>
      <c r="Y570" s="395"/>
      <c r="Z570" s="395"/>
      <c r="AA570" s="395"/>
      <c r="AB570" s="395"/>
      <c r="AC570" s="395"/>
    </row>
    <row r="571" spans="2:29">
      <c r="B571" s="376" t="str">
        <f>IF(OR(LEFT(Commodities!B$328,1)="*",LEFT(Technologies!B$710,1)="*"),"*","R1")</f>
        <v>*</v>
      </c>
      <c r="C571" s="376" t="str">
        <f>Technologies!C710</f>
        <v>XICOMLPGP1</v>
      </c>
      <c r="D571" s="376" t="str">
        <f>Technologies!D710</f>
        <v>Delivery of Imported LPG to the Commercial Sector</v>
      </c>
      <c r="E571" s="415" t="str">
        <f>Commodities!C$328</f>
        <v>LPGP1</v>
      </c>
      <c r="F571" s="415" t="str">
        <f>Commodities!C98</f>
        <v>COMLPG</v>
      </c>
      <c r="G571" s="422">
        <v>1</v>
      </c>
      <c r="H571" s="421">
        <f>DelivOIL!$B91*DelivOIL!P$77^5/(Conv!$I$5*Conv!$D$46)/10^6 + OILTrade!$D$5</f>
        <v>2.7681114819717512</v>
      </c>
      <c r="I571" s="421">
        <f>DelivOIL!$B91*DelivOIL!Q$77^5/(Conv!$I$5*Conv!$D$46)/10^6 + OILTrade!$D$5</f>
        <v>2.7534836983362734</v>
      </c>
      <c r="J571" s="421">
        <f>DelivOIL!$B91*DelivOIL!R$77^5/(Conv!$I$5*Conv!$D$46)/10^6 + OILTrade!$D$5</f>
        <v>2.8966893331455923</v>
      </c>
      <c r="K571" s="421">
        <f>DelivOIL!$B91*DelivOIL!S$77^5/(Conv!$I$5*Conv!$D$46)/10^6 + OILTrade!$D$5</f>
        <v>3.489410372436887</v>
      </c>
      <c r="L571" s="421">
        <f>DelivOIL!$B91*DelivOIL!T$77^5/(Conv!$I$5*Conv!$D$46)/10^6 + OILTrade!$D$5</f>
        <v>3.2000484595781753</v>
      </c>
      <c r="M571" s="421">
        <f>DelivOIL!$B91*DelivOIL!U$77^5/(Conv!$I$5*Conv!$D$46)/10^6 + OILTrade!$D$5</f>
        <v>2.8358717719278022</v>
      </c>
      <c r="N571" s="421">
        <f>DelivOIL!$B91*DelivOIL!V$77^5/(Conv!$I$5*Conv!$D$46)/10^6 + OILTrade!$D$5</f>
        <v>2.8358717719278022</v>
      </c>
      <c r="O571" s="421">
        <f>DelivOIL!$B91*DelivOIL!W$77^5/(Conv!$I$5*Conv!$D$46)/10^6 + OILTrade!$D$5</f>
        <v>2.8358717719278022</v>
      </c>
      <c r="P571" s="421">
        <f>DelivOIL!$B91*DelivOIL!X$77^5/(Conv!$I$5*Conv!$D$46)/10^6 + OILTrade!$D$5</f>
        <v>2.8358717719278022</v>
      </c>
      <c r="Q571" s="421">
        <f>DelivOIL!$B91*DelivOIL!Y$77^5/(Conv!$I$5*Conv!$D$46)/10^6 + OILTrade!$D$5</f>
        <v>2.8358717719278022</v>
      </c>
      <c r="S571" s="395"/>
      <c r="T571" s="395"/>
      <c r="U571" s="395"/>
      <c r="V571" s="395"/>
      <c r="W571" s="395"/>
      <c r="X571" s="395"/>
      <c r="Y571" s="395"/>
      <c r="Z571" s="395"/>
      <c r="AA571" s="395"/>
      <c r="AB571" s="395"/>
      <c r="AC571" s="395"/>
    </row>
    <row r="572" spans="2:29">
      <c r="B572" s="376" t="str">
        <f>IF(OR(LEFT(Commodities!B$328,1)="*",LEFT(Technologies!B$711,1)="*"),"*","R1")</f>
        <v>*</v>
      </c>
      <c r="C572" s="376" t="str">
        <f>Technologies!C711</f>
        <v>XIINDLPGP1</v>
      </c>
      <c r="D572" s="376" t="str">
        <f>Technologies!D711</f>
        <v>Delivery of Imported LPG to the Industrial Sector</v>
      </c>
      <c r="E572" s="415" t="str">
        <f>Commodities!C$328</f>
        <v>LPGP1</v>
      </c>
      <c r="F572" s="415" t="str">
        <f>Commodities!C99</f>
        <v>INDLPG</v>
      </c>
      <c r="G572" s="422">
        <v>1</v>
      </c>
      <c r="H572" s="421">
        <f>DelivOIL!$B92*DelivOIL!P$77^5/(Conv!$I$5*Conv!$D$46)/10^6 + OILTrade!$D$5</f>
        <v>2.1749447358349472</v>
      </c>
      <c r="I572" s="421">
        <f>DelivOIL!$B92*DelivOIL!Q$77^5/(Conv!$I$5*Conv!$D$46)/10^6 + OILTrade!$D$5</f>
        <v>2.1634514772642151</v>
      </c>
      <c r="J572" s="421">
        <f>DelivOIL!$B92*DelivOIL!R$77^5/(Conv!$I$5*Conv!$D$46)/10^6 + OILTrade!$D$5</f>
        <v>2.27597019032868</v>
      </c>
      <c r="K572" s="421">
        <f>DelivOIL!$B92*DelivOIL!S$77^5/(Conv!$I$5*Conv!$D$46)/10^6 + OILTrade!$D$5</f>
        <v>2.7416795783432688</v>
      </c>
      <c r="L572" s="421">
        <f>DelivOIL!$B92*DelivOIL!T$77^5/(Conv!$I$5*Conv!$D$46)/10^6 + OILTrade!$D$5</f>
        <v>2.5143237896685662</v>
      </c>
      <c r="M572" s="421">
        <f>DelivOIL!$B92*DelivOIL!U$77^5/(Conv!$I$5*Conv!$D$46)/10^6 + OILTrade!$D$5</f>
        <v>2.2281849636575592</v>
      </c>
      <c r="N572" s="421">
        <f>DelivOIL!$B92*DelivOIL!V$77^5/(Conv!$I$5*Conv!$D$46)/10^6 + OILTrade!$D$5</f>
        <v>2.2281849636575592</v>
      </c>
      <c r="O572" s="421">
        <f>DelivOIL!$B92*DelivOIL!W$77^5/(Conv!$I$5*Conv!$D$46)/10^6 + OILTrade!$D$5</f>
        <v>2.2281849636575592</v>
      </c>
      <c r="P572" s="421">
        <f>DelivOIL!$B92*DelivOIL!X$77^5/(Conv!$I$5*Conv!$D$46)/10^6 + OILTrade!$D$5</f>
        <v>2.2281849636575592</v>
      </c>
      <c r="Q572" s="421">
        <f>DelivOIL!$B92*DelivOIL!Y$77^5/(Conv!$I$5*Conv!$D$46)/10^6 + OILTrade!$D$5</f>
        <v>2.2281849636575592</v>
      </c>
      <c r="S572" s="395"/>
      <c r="T572" s="395"/>
      <c r="U572" s="395"/>
      <c r="V572" s="395"/>
      <c r="W572" s="395"/>
      <c r="X572" s="395"/>
      <c r="Y572" s="395"/>
      <c r="Z572" s="395"/>
      <c r="AA572" s="395"/>
      <c r="AB572" s="395"/>
      <c r="AC572" s="395"/>
    </row>
    <row r="573" spans="2:29">
      <c r="B573" s="376" t="str">
        <f>IF(OR(LEFT(Commodities!B$328,1)="*",LEFT(Technologies!B$712,1)="*"),"*","R1")</f>
        <v>*</v>
      </c>
      <c r="C573" s="376" t="str">
        <f>Technologies!C712</f>
        <v>XITRNLPGP1</v>
      </c>
      <c r="D573" s="376" t="str">
        <f>Technologies!D712</f>
        <v>Delivery of Imported LPG to the Transportation Sector</v>
      </c>
      <c r="E573" s="415" t="str">
        <f>Commodities!C$328</f>
        <v>LPGP1</v>
      </c>
      <c r="F573" s="415" t="str">
        <f>Commodities!C100</f>
        <v>TRNLPG</v>
      </c>
      <c r="G573" s="422">
        <v>1</v>
      </c>
      <c r="H573" s="421">
        <f>DelivOIL!$B93*DelivOIL!P$77^5/(Conv!$I$5*Conv!$D$46)/10^6 + OILTrade!$D$5</f>
        <v>4.0362610771607796</v>
      </c>
      <c r="I573" s="421">
        <f>DelivOIL!$B93*DelivOIL!Q$77^5/(Conv!$I$5*Conv!$D$46)/10^6 + OILTrade!$D$5</f>
        <v>4.0149318951110189</v>
      </c>
      <c r="J573" s="421">
        <f>DelivOIL!$B93*DelivOIL!R$77^5/(Conv!$I$5*Conv!$D$46)/10^6 + OILTrade!$D$5</f>
        <v>4.2237440522714049</v>
      </c>
      <c r="K573" s="421">
        <f>DelivOIL!$B93*DelivOIL!S$77^5/(Conv!$I$5*Conv!$D$46)/10^6 + OILTrade!$D$5</f>
        <v>5.0880072425680707</v>
      </c>
      <c r="L573" s="421">
        <f>DelivOIL!$B93*DelivOIL!T$77^5/(Conv!$I$5*Conv!$D$46)/10^6 + OILTrade!$D$5</f>
        <v>4.6660805124883726</v>
      </c>
      <c r="M573" s="421">
        <f>DelivOIL!$B93*DelivOIL!U$77^5/(Conv!$I$5*Conv!$D$46)/10^6 + OILTrade!$D$5</f>
        <v>4.1350642585745288</v>
      </c>
      <c r="N573" s="421">
        <f>DelivOIL!$B93*DelivOIL!V$77^5/(Conv!$I$5*Conv!$D$46)/10^6 + OILTrade!$D$5</f>
        <v>4.1350642585745288</v>
      </c>
      <c r="O573" s="421">
        <f>DelivOIL!$B93*DelivOIL!W$77^5/(Conv!$I$5*Conv!$D$46)/10^6 + OILTrade!$D$5</f>
        <v>4.1350642585745288</v>
      </c>
      <c r="P573" s="421">
        <f>DelivOIL!$B93*DelivOIL!X$77^5/(Conv!$I$5*Conv!$D$46)/10^6 + OILTrade!$D$5</f>
        <v>4.1350642585745288</v>
      </c>
      <c r="Q573" s="421">
        <f>DelivOIL!$B93*DelivOIL!Y$77^5/(Conv!$I$5*Conv!$D$46)/10^6 + OILTrade!$D$5</f>
        <v>4.1350642585745288</v>
      </c>
      <c r="S573" s="395"/>
      <c r="T573" s="395"/>
      <c r="U573" s="395"/>
      <c r="V573" s="395"/>
      <c r="W573" s="395"/>
      <c r="X573" s="395"/>
      <c r="Y573" s="395"/>
      <c r="Z573" s="395"/>
      <c r="AA573" s="395"/>
      <c r="AB573" s="395"/>
      <c r="AC573" s="395"/>
    </row>
    <row r="574" spans="2:29">
      <c r="B574" s="376" t="str">
        <f>IF(LEFT(Technologies!B$713,1)="*","*","R1")</f>
        <v>*</v>
      </c>
      <c r="C574" s="376" t="str">
        <f>Technologies!C713</f>
        <v>XITRNMTHP1</v>
      </c>
      <c r="D574" s="376" t="str">
        <f>Technologies!D713</f>
        <v>Delivery of Imported Methanol</v>
      </c>
      <c r="E574" s="415" t="str">
        <f>Commodities!C$329</f>
        <v>MTHP1</v>
      </c>
      <c r="F574" s="415" t="s">
        <v>457</v>
      </c>
      <c r="G574" s="422">
        <v>1</v>
      </c>
      <c r="H574" s="421">
        <f>DelivOIL!$B94*DelivOIL!P$77^5/(Conv!$I$5*Conv!$D$46)/10^6 + OILTrade!$D$5</f>
        <v>3.8658108627536518</v>
      </c>
      <c r="I574" s="421">
        <f>DelivOIL!$B94*DelivOIL!Q$77^5/(Conv!$I$5*Conv!$D$46)/10^6 + OILTrade!$D$5</f>
        <v>3.8453824062972091</v>
      </c>
      <c r="J574" s="421">
        <f>DelivOIL!$B94*DelivOIL!R$77^5/(Conv!$I$5*Conv!$D$46)/10^6 + OILTrade!$D$5</f>
        <v>4.0453764824964313</v>
      </c>
      <c r="K574" s="421">
        <f>DelivOIL!$B94*DelivOIL!S$77^5/(Conv!$I$5*Conv!$D$46)/10^6 + OILTrade!$D$5</f>
        <v>4.8731420718515155</v>
      </c>
      <c r="L574" s="421">
        <f>DelivOIL!$B94*DelivOIL!T$77^5/(Conv!$I$5*Conv!$D$46)/10^6 + OILTrade!$D$5</f>
        <v>4.4690331935488308</v>
      </c>
      <c r="M574" s="421">
        <f>DelivOIL!$B94*DelivOIL!U$77^5/(Conv!$I$5*Conv!$D$46)/10^6 + OILTrade!$D$5</f>
        <v>3.9604416125198623</v>
      </c>
      <c r="N574" s="421">
        <f>DelivOIL!$B94*DelivOIL!V$77^5/(Conv!$I$5*Conv!$D$46)/10^6 + OILTrade!$D$5</f>
        <v>3.9604416125198623</v>
      </c>
      <c r="O574" s="421">
        <f>DelivOIL!$B94*DelivOIL!W$77^5/(Conv!$I$5*Conv!$D$46)/10^6 + OILTrade!$D$5</f>
        <v>3.9604416125198623</v>
      </c>
      <c r="P574" s="421">
        <f>DelivOIL!$B94*DelivOIL!X$77^5/(Conv!$I$5*Conv!$D$46)/10^6 + OILTrade!$D$5</f>
        <v>3.9604416125198623</v>
      </c>
      <c r="Q574" s="421">
        <f>DelivOIL!$B94*DelivOIL!Y$77^5/(Conv!$I$5*Conv!$D$46)/10^6 + OILTrade!$D$5</f>
        <v>3.9604416125198623</v>
      </c>
      <c r="S574" s="395"/>
      <c r="T574" s="395"/>
      <c r="U574" s="395"/>
      <c r="V574" s="395"/>
      <c r="W574" s="395"/>
      <c r="X574" s="395"/>
      <c r="Y574" s="395"/>
      <c r="Z574" s="395"/>
      <c r="AA574" s="395"/>
      <c r="AB574" s="395"/>
      <c r="AC574" s="395"/>
    </row>
    <row r="575" spans="2:29">
      <c r="B575" s="376" t="str">
        <f>IF(OR(LEFT(Commodities!B$102,1)="*",LEFT(Technologies!B$714,1)="*"),"*","R1")</f>
        <v>*</v>
      </c>
      <c r="C575" s="376" t="str">
        <f>Technologies!C714</f>
        <v>XIINDPFSP1</v>
      </c>
      <c r="D575" s="376" t="str">
        <f>Technologies!D714</f>
        <v>Delivery of Imported Petrochemical Feedstocks</v>
      </c>
      <c r="E575" s="415" t="str">
        <f>Commodities!C$330</f>
        <v>PFSP1</v>
      </c>
      <c r="F575" s="415" t="str">
        <f>Commodities!C102</f>
        <v>INDPFS</v>
      </c>
      <c r="G575" s="422">
        <v>1</v>
      </c>
      <c r="H575" s="421">
        <f>DelivOIL!$B95*DelivOIL!P$77^5/(Conv!$I$5*Conv!$D$46)/10^6 + OILTrade!$D$5</f>
        <v>1.206787518002463</v>
      </c>
      <c r="I575" s="421">
        <f>DelivOIL!$B95*DelivOIL!Q$77^5/(Conv!$I$5*Conv!$D$46)/10^6 + OILTrade!$D$5</f>
        <v>1.2004103808017748</v>
      </c>
      <c r="J575" s="421">
        <f>DelivOIL!$B95*DelivOIL!R$77^5/(Conv!$I$5*Conv!$D$46)/10^6 + OILTrade!$D$5</f>
        <v>1.2628423940068225</v>
      </c>
      <c r="K575" s="421">
        <f>DelivOIL!$B95*DelivOIL!S$77^5/(Conv!$I$5*Conv!$D$46)/10^6 + OILTrade!$D$5</f>
        <v>1.5212454086732246</v>
      </c>
      <c r="L575" s="421">
        <f>DelivOIL!$B95*DelivOIL!T$77^5/(Conv!$I$5*Conv!$D$46)/10^6 + OILTrade!$D$5</f>
        <v>1.3950950180919632</v>
      </c>
      <c r="M575" s="421">
        <f>DelivOIL!$B95*DelivOIL!U$77^5/(Conv!$I$5*Conv!$D$46)/10^6 + OILTrade!$D$5</f>
        <v>1.236328334067047</v>
      </c>
      <c r="N575" s="421">
        <f>DelivOIL!$B95*DelivOIL!V$77^5/(Conv!$I$5*Conv!$D$46)/10^6 + OILTrade!$D$5</f>
        <v>1.236328334067047</v>
      </c>
      <c r="O575" s="421">
        <f>DelivOIL!$B95*DelivOIL!W$77^5/(Conv!$I$5*Conv!$D$46)/10^6 + OILTrade!$D$5</f>
        <v>1.236328334067047</v>
      </c>
      <c r="P575" s="421">
        <f>DelivOIL!$B95*DelivOIL!X$77^5/(Conv!$I$5*Conv!$D$46)/10^6 + OILTrade!$D$5</f>
        <v>1.236328334067047</v>
      </c>
      <c r="Q575" s="421">
        <f>DelivOIL!$B95*DelivOIL!Y$77^5/(Conv!$I$5*Conv!$D$46)/10^6 + OILTrade!$D$5</f>
        <v>1.236328334067047</v>
      </c>
      <c r="S575" s="395"/>
      <c r="T575" s="395"/>
      <c r="U575" s="395"/>
      <c r="V575" s="395"/>
      <c r="W575" s="395"/>
      <c r="X575" s="395"/>
      <c r="Y575" s="395"/>
      <c r="Z575" s="395"/>
      <c r="AA575" s="395"/>
      <c r="AB575" s="395"/>
      <c r="AC575" s="395"/>
    </row>
    <row r="576" spans="2:29">
      <c r="B576" s="376" t="str">
        <f>IF(OR(LEFT(Commodities!B$332,1)="*",LEFT(Technologies!B$715,1)="*"),"*","R1")</f>
        <v>*</v>
      </c>
      <c r="C576" s="376" t="str">
        <f>C597</f>
        <v>XIRESRFLP1</v>
      </c>
      <c r="D576" s="376" t="str">
        <f>D597</f>
        <v>Delivery of Imported Low Sulfur Residual Fuel Oil to Residential Sector</v>
      </c>
      <c r="E576" s="415" t="str">
        <f>Commodities!C$332</f>
        <v>RFLP1</v>
      </c>
      <c r="F576" s="415" t="str">
        <f>F597</f>
        <v>RESRFL</v>
      </c>
      <c r="G576" s="422">
        <v>1</v>
      </c>
      <c r="H576" s="421"/>
      <c r="I576" s="421"/>
      <c r="J576" s="421"/>
      <c r="K576" s="421"/>
      <c r="L576" s="421"/>
      <c r="M576" s="421"/>
      <c r="N576" s="421"/>
      <c r="O576" s="421"/>
      <c r="P576" s="421"/>
      <c r="Q576" s="421"/>
      <c r="S576" s="395"/>
      <c r="T576" s="395"/>
      <c r="U576" s="395"/>
      <c r="V576" s="395"/>
      <c r="W576" s="395"/>
      <c r="X576" s="395"/>
      <c r="Y576" s="395"/>
      <c r="Z576" s="395"/>
      <c r="AA576" s="395"/>
      <c r="AB576" s="395"/>
      <c r="AC576" s="395"/>
    </row>
    <row r="577" spans="2:29">
      <c r="B577" s="376" t="str">
        <f>IF(OR(LEFT(Commodities!B$332,1)="*",LEFT(Technologies!B$716,1)="*"),"*","R1")</f>
        <v>*</v>
      </c>
      <c r="C577" s="376" t="str">
        <f>Technologies!C716</f>
        <v>XICOMRFLP1</v>
      </c>
      <c r="D577" s="376" t="str">
        <f>Technologies!D716</f>
        <v>Delivery of Imported Low Sulfur Residual Fuel Oil to Commercial Sector</v>
      </c>
      <c r="E577" s="415" t="str">
        <f>Commodities!C$332</f>
        <v>RFLP1</v>
      </c>
      <c r="F577" s="415" t="str">
        <f>Commodities!C104</f>
        <v>COMRFL</v>
      </c>
      <c r="G577" s="422">
        <v>1</v>
      </c>
      <c r="H577" s="421">
        <f>DelivOIL!$B96*DelivOIL!P$77^5/(Conv!$I$5*Conv!$D$46)/10^6 + OILTrade!$D$5</f>
        <v>0.21817627444112342</v>
      </c>
      <c r="I577" s="421">
        <f>DelivOIL!$B96*DelivOIL!Q$77^5/(Conv!$I$5*Conv!$D$46)/10^6 + OILTrade!$D$5</f>
        <v>0.21702334568167692</v>
      </c>
      <c r="J577" s="421">
        <f>DelivOIL!$B96*DelivOIL!R$77^5/(Conv!$I$5*Conv!$D$46)/10^6 + OILTrade!$D$5</f>
        <v>0.22831048931196804</v>
      </c>
      <c r="K577" s="421">
        <f>DelivOIL!$B96*DelivOIL!S$77^5/(Conv!$I$5*Conv!$D$46)/10^6 + OILTrade!$D$5</f>
        <v>0.27502741851719331</v>
      </c>
      <c r="L577" s="421">
        <f>DelivOIL!$B96*DelivOIL!T$77^5/(Conv!$I$5*Conv!$D$46)/10^6 + OILTrade!$D$5</f>
        <v>0.25222056824261502</v>
      </c>
      <c r="M577" s="421">
        <f>DelivOIL!$B96*DelivOIL!U$77^5/(Conv!$I$5*Conv!$D$46)/10^6 + OILTrade!$D$5</f>
        <v>0.22351698694997474</v>
      </c>
      <c r="N577" s="421">
        <f>DelivOIL!$B96*DelivOIL!V$77^5/(Conv!$I$5*Conv!$D$46)/10^6 + OILTrade!$D$5</f>
        <v>0.22351698694997474</v>
      </c>
      <c r="O577" s="421">
        <f>DelivOIL!$B96*DelivOIL!W$77^5/(Conv!$I$5*Conv!$D$46)/10^6 + OILTrade!$D$5</f>
        <v>0.22351698694997474</v>
      </c>
      <c r="P577" s="421">
        <f>DelivOIL!$B96*DelivOIL!X$77^5/(Conv!$I$5*Conv!$D$46)/10^6 + OILTrade!$D$5</f>
        <v>0.22351698694997474</v>
      </c>
      <c r="Q577" s="421">
        <f>DelivOIL!$B96*DelivOIL!Y$77^5/(Conv!$I$5*Conv!$D$46)/10^6 + OILTrade!$D$5</f>
        <v>0.22351698694997474</v>
      </c>
      <c r="S577" s="395"/>
      <c r="T577" s="395"/>
      <c r="U577" s="395"/>
      <c r="V577" s="395"/>
      <c r="W577" s="395"/>
      <c r="X577" s="395"/>
      <c r="Y577" s="395"/>
      <c r="Z577" s="395"/>
      <c r="AA577" s="395"/>
      <c r="AB577" s="395"/>
      <c r="AC577" s="395"/>
    </row>
    <row r="578" spans="2:29">
      <c r="B578" s="376" t="str">
        <f>IF(OR(LEFT(Commodities!B$332,1)="*",LEFT(Technologies!B$717,1)="*"),"*","R1")</f>
        <v>R1</v>
      </c>
      <c r="C578" s="376" t="str">
        <f>Technologies!C717</f>
        <v>XIINDRFLP1</v>
      </c>
      <c r="D578" s="376" t="str">
        <f>Technologies!D717</f>
        <v>Delivery of Imported Low Sulfur Residual Fuel Oil to Industrial Sector</v>
      </c>
      <c r="E578" s="415" t="str">
        <f>Commodities!C$332</f>
        <v>RFLP1</v>
      </c>
      <c r="F578" s="415" t="str">
        <f>Commodities!C105</f>
        <v>INDRFL</v>
      </c>
      <c r="G578" s="422">
        <v>1</v>
      </c>
      <c r="H578" s="421">
        <f>DelivOIL!$B97*DelivOIL!P$77^5/(Conv!$I$5*Conv!$D$46)/10^6 + OILTrade!$D$5</f>
        <v>0.2113582658648383</v>
      </c>
      <c r="I578" s="421">
        <f>DelivOIL!$B97*DelivOIL!Q$77^5/(Conv!$I$5*Conv!$D$46)/10^6 + OILTrade!$D$5</f>
        <v>0.2102413661291245</v>
      </c>
      <c r="J578" s="421">
        <f>DelivOIL!$B97*DelivOIL!R$77^5/(Conv!$I$5*Conv!$D$46)/10^6 + OILTrade!$D$5</f>
        <v>0.22117578652096903</v>
      </c>
      <c r="K578" s="421">
        <f>DelivOIL!$B97*DelivOIL!S$77^5/(Conv!$I$5*Conv!$D$46)/10^6 + OILTrade!$D$5</f>
        <v>0.26643281168853106</v>
      </c>
      <c r="L578" s="421">
        <f>DelivOIL!$B97*DelivOIL!T$77^5/(Conv!$I$5*Conv!$D$46)/10^6 + OILTrade!$D$5</f>
        <v>0.24433867548503324</v>
      </c>
      <c r="M578" s="421">
        <f>DelivOIL!$B97*DelivOIL!U$77^5/(Conv!$I$5*Conv!$D$46)/10^6 + OILTrade!$D$5</f>
        <v>0.21653208110778804</v>
      </c>
      <c r="N578" s="421">
        <f>DelivOIL!$B97*DelivOIL!V$77^5/(Conv!$I$5*Conv!$D$46)/10^6 + OILTrade!$D$5</f>
        <v>0.21653208110778804</v>
      </c>
      <c r="O578" s="421">
        <f>DelivOIL!$B97*DelivOIL!W$77^5/(Conv!$I$5*Conv!$D$46)/10^6 + OILTrade!$D$5</f>
        <v>0.21653208110778804</v>
      </c>
      <c r="P578" s="421">
        <f>DelivOIL!$B97*DelivOIL!X$77^5/(Conv!$I$5*Conv!$D$46)/10^6 + OILTrade!$D$5</f>
        <v>0.21653208110778804</v>
      </c>
      <c r="Q578" s="421">
        <f>DelivOIL!$B97*DelivOIL!Y$77^5/(Conv!$I$5*Conv!$D$46)/10^6 + OILTrade!$D$5</f>
        <v>0.21653208110778804</v>
      </c>
      <c r="S578" s="395"/>
      <c r="T578" s="395"/>
      <c r="U578" s="395"/>
      <c r="V578" s="395"/>
      <c r="W578" s="395"/>
      <c r="X578" s="395"/>
      <c r="Y578" s="395"/>
      <c r="Z578" s="395"/>
      <c r="AA578" s="395"/>
      <c r="AB578" s="395"/>
      <c r="AC578" s="395"/>
    </row>
    <row r="579" spans="2:29">
      <c r="B579" s="376" t="str">
        <f>IF(OR(LEFT(Commodities!B$332,1)="*",LEFT(Technologies!B$718,1)="*"),"*","R1")</f>
        <v>*</v>
      </c>
      <c r="C579" s="376" t="str">
        <f>Technologies!C718</f>
        <v>XIELCRFLP1</v>
      </c>
      <c r="D579" s="376" t="str">
        <f>Technologies!D718</f>
        <v>Delivery of Imported Low Sulfur Residual Fuel Oil to Electricity Sector</v>
      </c>
      <c r="E579" s="415" t="str">
        <f>Commodities!C$332</f>
        <v>RFLP1</v>
      </c>
      <c r="F579" s="415" t="str">
        <f>Commodities!C106</f>
        <v>ELCRFL</v>
      </c>
      <c r="G579" s="422">
        <v>1</v>
      </c>
      <c r="H579" s="421">
        <f>DelivOIL!$B98*DelivOIL!P$77^5/(Conv!$I$5*Conv!$D$46)/10^6 + OILTrade!$D$5</f>
        <v>0</v>
      </c>
      <c r="I579" s="421">
        <f>DelivOIL!$B98*DelivOIL!Q$77^5/(Conv!$I$5*Conv!$D$46)/10^6 + OILTrade!$D$5</f>
        <v>0</v>
      </c>
      <c r="J579" s="421">
        <f>DelivOIL!$B98*DelivOIL!R$77^5/(Conv!$I$5*Conv!$D$46)/10^6 + OILTrade!$D$5</f>
        <v>0</v>
      </c>
      <c r="K579" s="421">
        <f>DelivOIL!$B98*DelivOIL!S$77^5/(Conv!$I$5*Conv!$D$46)/10^6 + OILTrade!$D$5</f>
        <v>0</v>
      </c>
      <c r="L579" s="421">
        <f>DelivOIL!$B98*DelivOIL!T$77^5/(Conv!$I$5*Conv!$D$46)/10^6 + OILTrade!$D$5</f>
        <v>0</v>
      </c>
      <c r="M579" s="421">
        <f>DelivOIL!$B98*DelivOIL!U$77^5/(Conv!$I$5*Conv!$D$46)/10^6 + OILTrade!$D$5</f>
        <v>0</v>
      </c>
      <c r="N579" s="421">
        <f>DelivOIL!$B98*DelivOIL!V$77^5/(Conv!$I$5*Conv!$D$46)/10^6 + OILTrade!$D$5</f>
        <v>0</v>
      </c>
      <c r="O579" s="421">
        <f>DelivOIL!$B98*DelivOIL!W$77^5/(Conv!$I$5*Conv!$D$46)/10^6 + OILTrade!$D$5</f>
        <v>0</v>
      </c>
      <c r="P579" s="421">
        <f>DelivOIL!$B98*DelivOIL!X$77^5/(Conv!$I$5*Conv!$D$46)/10^6 + OILTrade!$D$5</f>
        <v>0</v>
      </c>
      <c r="Q579" s="421">
        <f>DelivOIL!$B98*DelivOIL!Y$77^5/(Conv!$I$5*Conv!$D$46)/10^6 + OILTrade!$D$5</f>
        <v>0</v>
      </c>
      <c r="S579" s="395"/>
      <c r="T579" s="395"/>
      <c r="U579" s="395"/>
      <c r="V579" s="395"/>
      <c r="W579" s="395"/>
      <c r="X579" s="395"/>
      <c r="Y579" s="395"/>
      <c r="Z579" s="395"/>
      <c r="AA579" s="395"/>
      <c r="AB579" s="395"/>
      <c r="AC579" s="395"/>
    </row>
    <row r="580" spans="2:29">
      <c r="B580" s="376" t="str">
        <f>IF(OR(LEFT(Commodities!B$331,1)="*",LEFT(Technologies!B$719,1)="*"),"*","R1")</f>
        <v>*</v>
      </c>
      <c r="C580" s="376" t="str">
        <f>Technologies!C719</f>
        <v>XITRNRFHP1</v>
      </c>
      <c r="D580" s="376" t="str">
        <f>Technologies!D719</f>
        <v>Delivery of Imported High Sulfur Residual Fuel Oil to Transportation Sector</v>
      </c>
      <c r="E580" s="415" t="str">
        <f>Commodities!C$331</f>
        <v>RFHP1</v>
      </c>
      <c r="F580" s="415" t="str">
        <f>Commodities!C107</f>
        <v>TRNRFH</v>
      </c>
      <c r="G580" s="422">
        <v>1</v>
      </c>
      <c r="H580" s="421">
        <f>DelivOIL!$B99*DelivOIL!P$77^5/(Conv!$I$5*Conv!$D$46)/10^6 + OILTrade!$D$5</f>
        <v>3.3203701766508438</v>
      </c>
      <c r="I580" s="421">
        <f>DelivOIL!$B99*DelivOIL!Q$77^5/(Conv!$I$5*Conv!$D$46)/10^6 + OILTrade!$D$5</f>
        <v>3.3028240420930177</v>
      </c>
      <c r="J580" s="421">
        <f>DelivOIL!$B99*DelivOIL!R$77^5/(Conv!$I$5*Conv!$D$46)/10^6 + OILTrade!$D$5</f>
        <v>3.4746002592165106</v>
      </c>
      <c r="K580" s="421">
        <f>DelivOIL!$B99*DelivOIL!S$77^5/(Conv!$I$5*Conv!$D$46)/10^6 + OILTrade!$D$5</f>
        <v>4.1855735255585325</v>
      </c>
      <c r="L580" s="421">
        <f>DelivOIL!$B99*DelivOIL!T$77^5/(Conv!$I$5*Conv!$D$46)/10^6 + OILTrade!$D$5</f>
        <v>3.8384817729422931</v>
      </c>
      <c r="M580" s="421">
        <f>DelivOIL!$B99*DelivOIL!U$77^5/(Conv!$I$5*Conv!$D$46)/10^6 + OILTrade!$D$5</f>
        <v>3.4016491451449249</v>
      </c>
      <c r="N580" s="421">
        <f>DelivOIL!$B99*DelivOIL!V$77^5/(Conv!$I$5*Conv!$D$46)/10^6 + OILTrade!$D$5</f>
        <v>3.4016491451449249</v>
      </c>
      <c r="O580" s="421">
        <f>DelivOIL!$B99*DelivOIL!W$77^5/(Conv!$I$5*Conv!$D$46)/10^6 + OILTrade!$D$5</f>
        <v>3.4016491451449249</v>
      </c>
      <c r="P580" s="421">
        <f>DelivOIL!$B99*DelivOIL!X$77^5/(Conv!$I$5*Conv!$D$46)/10^6 + OILTrade!$D$5</f>
        <v>3.4016491451449249</v>
      </c>
      <c r="Q580" s="421">
        <f>DelivOIL!$B99*DelivOIL!Y$77^5/(Conv!$I$5*Conv!$D$46)/10^6 + OILTrade!$D$5</f>
        <v>3.4016491451449249</v>
      </c>
      <c r="S580" s="395"/>
      <c r="T580" s="395"/>
      <c r="U580" s="395"/>
      <c r="V580" s="395"/>
      <c r="W580" s="395"/>
      <c r="X580" s="395"/>
      <c r="Y580" s="395"/>
      <c r="Z580" s="395"/>
      <c r="AA580" s="395"/>
      <c r="AB580" s="395"/>
      <c r="AC580" s="395"/>
    </row>
    <row r="581" spans="2:29">
      <c r="B581" s="376" t="str">
        <f>IF(OR(LEFT(Commodities!B$331,1)="*",LEFT(Technologies!B$720,1)="*"),"*","R1")</f>
        <v>*</v>
      </c>
      <c r="C581" s="376" t="str">
        <f>Technologies!C720</f>
        <v>XIELCRFHP1</v>
      </c>
      <c r="D581" s="376" t="str">
        <f>Technologies!D720</f>
        <v>Delivery of Imported High Sulfur Residual Fuel Oil to Electricity Sector</v>
      </c>
      <c r="E581" s="415" t="str">
        <f>Commodities!C$331</f>
        <v>RFHP1</v>
      </c>
      <c r="F581" s="415" t="str">
        <f>Commodities!C108</f>
        <v>ELCRFH</v>
      </c>
      <c r="G581" s="422">
        <v>1</v>
      </c>
      <c r="H581" s="421">
        <f>DelivOIL!$B100*DelivOIL!P$77^5/(Conv!$I$5*Conv!$D$46)/10^6 + OILTrade!$D$5</f>
        <v>0.27953835162768914</v>
      </c>
      <c r="I581" s="421">
        <f>DelivOIL!$B100*DelivOIL!Q$77^5/(Conv!$I$5*Conv!$D$46)/10^6 + OILTrade!$D$5</f>
        <v>0.27806116165464834</v>
      </c>
      <c r="J581" s="421">
        <f>DelivOIL!$B100*DelivOIL!R$77^5/(Conv!$I$5*Conv!$D$46)/10^6 + OILTrade!$D$5</f>
        <v>0.29252281443095884</v>
      </c>
      <c r="K581" s="421">
        <f>DelivOIL!$B100*DelivOIL!S$77^5/(Conv!$I$5*Conv!$D$46)/10^6 + OILTrade!$D$5</f>
        <v>0.35237887997515366</v>
      </c>
      <c r="L581" s="421">
        <f>DelivOIL!$B100*DelivOIL!T$77^5/(Conv!$I$5*Conv!$D$46)/10^6 + OILTrade!$D$5</f>
        <v>0.32315760306085017</v>
      </c>
      <c r="M581" s="421">
        <f>DelivOIL!$B100*DelivOIL!U$77^5/(Conv!$I$5*Conv!$D$46)/10^6 + OILTrade!$D$5</f>
        <v>0.28638113952965494</v>
      </c>
      <c r="N581" s="421">
        <f>DelivOIL!$B100*DelivOIL!V$77^5/(Conv!$I$5*Conv!$D$46)/10^6 + OILTrade!$D$5</f>
        <v>0.28638113952965494</v>
      </c>
      <c r="O581" s="421">
        <f>DelivOIL!$B100*DelivOIL!W$77^5/(Conv!$I$5*Conv!$D$46)/10^6 + OILTrade!$D$5</f>
        <v>0.28638113952965494</v>
      </c>
      <c r="P581" s="421">
        <f>DelivOIL!$B100*DelivOIL!X$77^5/(Conv!$I$5*Conv!$D$46)/10^6 + OILTrade!$D$5</f>
        <v>0.28638113952965494</v>
      </c>
      <c r="Q581" s="421">
        <f>DelivOIL!$B100*DelivOIL!Y$77^5/(Conv!$I$5*Conv!$D$46)/10^6 + OILTrade!$D$5</f>
        <v>0.28638113952965494</v>
      </c>
      <c r="S581" s="395"/>
      <c r="T581" s="395"/>
      <c r="U581" s="395"/>
      <c r="V581" s="395"/>
      <c r="W581" s="395"/>
      <c r="X581" s="395"/>
      <c r="Y581" s="395"/>
      <c r="Z581" s="395"/>
      <c r="AA581" s="395"/>
      <c r="AB581" s="395"/>
      <c r="AC581" s="395"/>
    </row>
    <row r="582" spans="2:29">
      <c r="B582" s="378" t="s">
        <v>1085</v>
      </c>
      <c r="C582" s="378"/>
      <c r="D582" s="378"/>
      <c r="E582" s="414"/>
      <c r="F582" s="414"/>
      <c r="G582" s="418"/>
      <c r="H582" s="392"/>
      <c r="I582" s="392"/>
      <c r="J582" s="392"/>
      <c r="K582" s="392"/>
      <c r="L582" s="392"/>
      <c r="M582" s="392"/>
      <c r="N582" s="392"/>
      <c r="O582" s="392"/>
      <c r="P582" s="392"/>
      <c r="Q582" s="392"/>
      <c r="S582" s="395"/>
      <c r="T582" s="395"/>
      <c r="U582" s="395"/>
      <c r="V582" s="395"/>
      <c r="W582" s="395"/>
      <c r="X582" s="395"/>
      <c r="Y582" s="395"/>
      <c r="Z582" s="395"/>
      <c r="AA582" s="395"/>
      <c r="AB582" s="395"/>
      <c r="AC582" s="395"/>
    </row>
    <row r="583" spans="2:29">
      <c r="B583" s="376" t="str">
        <f>IF(LEFT(Technologies!B$702,1)="*","*","R2")</f>
        <v>R2</v>
      </c>
      <c r="C583" s="376" t="str">
        <f>Technologies!C702</f>
        <v>XITRGSLCP1</v>
      </c>
      <c r="D583" s="376" t="str">
        <f>Technologies!D702</f>
        <v>Delivery of Imported Conventional Gasoline</v>
      </c>
      <c r="E583" s="415" t="str">
        <f>Commodities!C$325</f>
        <v>GSCP1</v>
      </c>
      <c r="F583" s="415" t="str">
        <f>Commodities!C85</f>
        <v>TRGSLC</v>
      </c>
      <c r="G583" s="422">
        <v>1</v>
      </c>
      <c r="H583" s="421">
        <f>DelivOIL!$C77*DelivOIL!P$78^5/(Conv!$I$5*Conv!$D$46)/10^6 + OILTrade!$E$5</f>
        <v>3.3680962366848402</v>
      </c>
      <c r="I583" s="421">
        <f>DelivOIL!$C77*DelivOIL!Q$78^5/(Conv!$I$5*Conv!$D$46)/10^6 + OILTrade!$E$5</f>
        <v>3.3502978989608847</v>
      </c>
      <c r="J583" s="421">
        <f>DelivOIL!$C77*DelivOIL!R$78^5/(Conv!$I$5*Conv!$D$46)/10^6 + OILTrade!$E$5</f>
        <v>3.524543178753504</v>
      </c>
      <c r="K583" s="421">
        <f>DelivOIL!$C77*DelivOIL!S$78^5/(Conv!$I$5*Conv!$D$46)/10^6 + OILTrade!$E$5</f>
        <v>4.2457357733591694</v>
      </c>
      <c r="L583" s="421">
        <f>DelivOIL!$C77*DelivOIL!T$78^5/(Conv!$I$5*Conv!$D$46)/10^6 + OILTrade!$E$5</f>
        <v>3.8936550222453663</v>
      </c>
      <c r="M583" s="421">
        <f>DelivOIL!$C77*DelivOIL!U$78^5/(Conv!$I$5*Conv!$D$46)/10^6 + OILTrade!$E$5</f>
        <v>3.4505434860402331</v>
      </c>
      <c r="N583" s="421">
        <f>DelivOIL!$C77*DelivOIL!V$78^5/(Conv!$I$5*Conv!$D$46)/10^6 + OILTrade!$E$5</f>
        <v>3.4505434860402331</v>
      </c>
      <c r="O583" s="421">
        <f>DelivOIL!$C77*DelivOIL!W$78^5/(Conv!$I$5*Conv!$D$46)/10^6 + OILTrade!$E$5</f>
        <v>3.4505434860402331</v>
      </c>
      <c r="P583" s="421">
        <f>DelivOIL!$C77*DelivOIL!X$78^5/(Conv!$I$5*Conv!$D$46)/10^6 + OILTrade!$E$5</f>
        <v>3.4505434860402331</v>
      </c>
      <c r="Q583" s="421">
        <f>DelivOIL!$C77*DelivOIL!Y$78^5/(Conv!$I$5*Conv!$D$46)/10^6 + OILTrade!$E$5</f>
        <v>3.4505434860402331</v>
      </c>
      <c r="S583" s="395"/>
      <c r="T583" s="395"/>
      <c r="U583" s="395"/>
      <c r="V583" s="395"/>
      <c r="W583" s="395"/>
      <c r="X583" s="395"/>
      <c r="Y583" s="395"/>
      <c r="Z583" s="395"/>
      <c r="AA583" s="395"/>
      <c r="AB583" s="395"/>
      <c r="AC583" s="395"/>
    </row>
    <row r="584" spans="2:29">
      <c r="B584" s="376" t="str">
        <f>IF(LEFT(Technologies!B$703,1)="*","*","R2")</f>
        <v>R2</v>
      </c>
      <c r="C584" s="376" t="str">
        <f>Technologies!C703</f>
        <v>XITRGSLRP1</v>
      </c>
      <c r="D584" s="376" t="str">
        <f>Technologies!D703</f>
        <v>Delivery of Imported Reformulated Gasoline</v>
      </c>
      <c r="E584" s="415" t="str">
        <f>Commodities!C$326</f>
        <v>GSRP1</v>
      </c>
      <c r="F584" s="415" t="str">
        <f>Commodities!C86</f>
        <v>TRGSLR</v>
      </c>
      <c r="G584" s="422">
        <v>1</v>
      </c>
      <c r="H584" s="421">
        <f>DelivOIL!$C78*DelivOIL!P$78^5/(Conv!$I$5*Conv!$D$46)/10^6 + OILTrade!$E$5</f>
        <v>3.3749142452611252</v>
      </c>
      <c r="I584" s="421">
        <f>DelivOIL!$C78*DelivOIL!Q$78^5/(Conv!$I$5*Conv!$D$46)/10^6 + OILTrade!$E$5</f>
        <v>3.3570798785134373</v>
      </c>
      <c r="J584" s="421">
        <f>DelivOIL!$C78*DelivOIL!R$78^5/(Conv!$I$5*Conv!$D$46)/10^6 + OILTrade!$E$5</f>
        <v>3.5316778815445034</v>
      </c>
      <c r="K584" s="421">
        <f>DelivOIL!$C78*DelivOIL!S$78^5/(Conv!$I$5*Conv!$D$46)/10^6 + OILTrade!$E$5</f>
        <v>4.2543303801878309</v>
      </c>
      <c r="L584" s="421">
        <f>DelivOIL!$C78*DelivOIL!T$78^5/(Conv!$I$5*Conv!$D$46)/10^6 + OILTrade!$E$5</f>
        <v>3.9015369150029477</v>
      </c>
      <c r="M584" s="421">
        <f>DelivOIL!$C78*DelivOIL!U$78^5/(Conv!$I$5*Conv!$D$46)/10^6 + OILTrade!$E$5</f>
        <v>3.4575283918824198</v>
      </c>
      <c r="N584" s="421">
        <f>DelivOIL!$C78*DelivOIL!V$78^5/(Conv!$I$5*Conv!$D$46)/10^6 + OILTrade!$E$5</f>
        <v>3.4575283918824198</v>
      </c>
      <c r="O584" s="421">
        <f>DelivOIL!$C78*DelivOIL!W$78^5/(Conv!$I$5*Conv!$D$46)/10^6 + OILTrade!$E$5</f>
        <v>3.4575283918824198</v>
      </c>
      <c r="P584" s="421">
        <f>DelivOIL!$C78*DelivOIL!X$78^5/(Conv!$I$5*Conv!$D$46)/10^6 + OILTrade!$E$5</f>
        <v>3.4575283918824198</v>
      </c>
      <c r="Q584" s="421">
        <f>DelivOIL!$C78*DelivOIL!Y$78^5/(Conv!$I$5*Conv!$D$46)/10^6 + OILTrade!$E$5</f>
        <v>3.4575283918824198</v>
      </c>
      <c r="S584" s="395"/>
      <c r="T584" s="395"/>
      <c r="U584" s="395"/>
      <c r="V584" s="395"/>
      <c r="W584" s="395"/>
      <c r="X584" s="395"/>
      <c r="Y584" s="395"/>
      <c r="Z584" s="395"/>
      <c r="AA584" s="395"/>
      <c r="AB584" s="395"/>
      <c r="AC584" s="395"/>
    </row>
    <row r="585" spans="2:29">
      <c r="B585" s="376" t="str">
        <f>IF(OR(LEFT(Commodities!B$323,1)="*",LEFT(Technologies!B$704,1)="*"),"*","R2")</f>
        <v>R2</v>
      </c>
      <c r="C585" s="376" t="str">
        <f>Technologies!C704</f>
        <v>XITRDSLLP1</v>
      </c>
      <c r="D585" s="376" t="str">
        <f>Technologies!D704</f>
        <v>Delivery of Imported Distillate-Low Sulfur Highway Diesel (500 ppm)</v>
      </c>
      <c r="E585" s="415" t="str">
        <f>Commodities!C$323</f>
        <v>DSLP1</v>
      </c>
      <c r="F585" s="415" t="str">
        <f>Commodities!C91</f>
        <v>TRDSLL</v>
      </c>
      <c r="G585" s="422">
        <v>1</v>
      </c>
      <c r="H585" s="421">
        <f>DelivOIL!$C84*DelivOIL!P$78^5/(Conv!$I$5*Conv!$D$46)/10^6 + OILTrade!$E$5</f>
        <v>4.2203473087204779</v>
      </c>
      <c r="I585" s="421">
        <f>DelivOIL!$C84*DelivOIL!Q$78^5/(Conv!$I$5*Conv!$D$46)/10^6 + OILTrade!$E$5</f>
        <v>4.1980453430299347</v>
      </c>
      <c r="J585" s="421">
        <f>DelivOIL!$C84*DelivOIL!R$78^5/(Conv!$I$5*Conv!$D$46)/10^6 + OILTrade!$E$5</f>
        <v>4.416381027628379</v>
      </c>
      <c r="K585" s="421">
        <f>DelivOIL!$C84*DelivOIL!S$78^5/(Conv!$I$5*Conv!$D$46)/10^6 + OILTrade!$E$5</f>
        <v>5.3200616269419534</v>
      </c>
      <c r="L585" s="421">
        <f>DelivOIL!$C84*DelivOIL!T$78^5/(Conv!$I$5*Conv!$D$46)/10^6 + OILTrade!$E$5</f>
        <v>4.87889161694308</v>
      </c>
      <c r="M585" s="421">
        <f>DelivOIL!$C84*DelivOIL!U$78^5/(Conv!$I$5*Conv!$D$46)/10^6 + OILTrade!$E$5</f>
        <v>4.3236567163135717</v>
      </c>
      <c r="N585" s="421">
        <f>DelivOIL!$C84*DelivOIL!V$78^5/(Conv!$I$5*Conv!$D$46)/10^6 + OILTrade!$E$5</f>
        <v>4.3236567163135717</v>
      </c>
      <c r="O585" s="421">
        <f>DelivOIL!$C84*DelivOIL!W$78^5/(Conv!$I$5*Conv!$D$46)/10^6 + OILTrade!$E$5</f>
        <v>4.3236567163135717</v>
      </c>
      <c r="P585" s="421">
        <f>DelivOIL!$C84*DelivOIL!X$78^5/(Conv!$I$5*Conv!$D$46)/10^6 + OILTrade!$E$5</f>
        <v>4.3236567163135717</v>
      </c>
      <c r="Q585" s="421">
        <f>DelivOIL!$C84*DelivOIL!Y$78^5/(Conv!$I$5*Conv!$D$46)/10^6 + OILTrade!$E$5</f>
        <v>4.3236567163135717</v>
      </c>
      <c r="S585" s="395"/>
      <c r="T585" s="395"/>
      <c r="U585" s="395"/>
      <c r="V585" s="395"/>
      <c r="W585" s="395"/>
      <c r="X585" s="395"/>
      <c r="Y585" s="395"/>
      <c r="Z585" s="395"/>
      <c r="AA585" s="395"/>
      <c r="AB585" s="395"/>
      <c r="AC585" s="395"/>
    </row>
    <row r="586" spans="2:29">
      <c r="B586" s="376" t="str">
        <f>IF(OR(LEFT(Commodities!B$324,1)="*",LEFT(Technologies!B$705,1)="*"),"*","R2")</f>
        <v>R2</v>
      </c>
      <c r="C586" s="376" t="str">
        <f>Technologies!C705</f>
        <v>XITRDSLUP1</v>
      </c>
      <c r="D586" s="376" t="str">
        <f>Technologies!D705</f>
        <v>Delivery of Imported Distillate-Ultralow Sulfur Highway Diesel (15 ppm)</v>
      </c>
      <c r="E586" s="415" t="str">
        <f>Commodities!C$324</f>
        <v>DSUP1</v>
      </c>
      <c r="F586" s="415" t="str">
        <f>Commodities!C92</f>
        <v>TRDSLU</v>
      </c>
      <c r="G586" s="422">
        <v>1</v>
      </c>
      <c r="H586" s="421">
        <f>DelivOIL!$C85*DelivOIL!P$78^5/(Conv!$I$5*Conv!$D$46)/10^6 + OILTrade!$E$5</f>
        <v>3.5794545025496785</v>
      </c>
      <c r="I586" s="421">
        <f>DelivOIL!$C85*DelivOIL!Q$78^5/(Conv!$I$5*Conv!$D$46)/10^6 + OILTrade!$E$5</f>
        <v>3.5605392650900098</v>
      </c>
      <c r="J586" s="421">
        <f>DelivOIL!$C85*DelivOIL!R$78^5/(Conv!$I$5*Conv!$D$46)/10^6 + OILTrade!$E$5</f>
        <v>3.7457189652744733</v>
      </c>
      <c r="K586" s="421">
        <f>DelivOIL!$C85*DelivOIL!S$78^5/(Conv!$I$5*Conv!$D$46)/10^6 + OILTrade!$E$5</f>
        <v>4.5121685850477</v>
      </c>
      <c r="L586" s="421">
        <f>DelivOIL!$C85*DelivOIL!T$78^5/(Conv!$I$5*Conv!$D$46)/10^6 + OILTrade!$E$5</f>
        <v>4.1379936977303995</v>
      </c>
      <c r="M586" s="421">
        <f>DelivOIL!$C85*DelivOIL!U$78^5/(Conv!$I$5*Conv!$D$46)/10^6 + OILTrade!$E$5</f>
        <v>3.6670755671480211</v>
      </c>
      <c r="N586" s="421">
        <f>DelivOIL!$C85*DelivOIL!V$78^5/(Conv!$I$5*Conv!$D$46)/10^6 + OILTrade!$E$5</f>
        <v>3.6670755671480211</v>
      </c>
      <c r="O586" s="421">
        <f>DelivOIL!$C85*DelivOIL!W$78^5/(Conv!$I$5*Conv!$D$46)/10^6 + OILTrade!$E$5</f>
        <v>3.6670755671480211</v>
      </c>
      <c r="P586" s="421">
        <f>DelivOIL!$C85*DelivOIL!X$78^5/(Conv!$I$5*Conv!$D$46)/10^6 + OILTrade!$E$5</f>
        <v>3.6670755671480211</v>
      </c>
      <c r="Q586" s="421">
        <f>DelivOIL!$C85*DelivOIL!Y$78^5/(Conv!$I$5*Conv!$D$46)/10^6 + OILTrade!$E$5</f>
        <v>3.6670755671480211</v>
      </c>
      <c r="S586" s="395"/>
      <c r="T586" s="395"/>
      <c r="U586" s="395"/>
      <c r="V586" s="395"/>
      <c r="W586" s="395"/>
      <c r="X586" s="395"/>
      <c r="Y586" s="395"/>
      <c r="Z586" s="395"/>
      <c r="AA586" s="395"/>
      <c r="AB586" s="395"/>
      <c r="AC586" s="395"/>
    </row>
    <row r="587" spans="2:29">
      <c r="B587" s="376" t="str">
        <f>IF(OR(LEFT(Commodities!B$64,1)="*",LEFT(Technologies!B$232,1)="*"),"*","R2")</f>
        <v>R2</v>
      </c>
      <c r="C587" s="376" t="str">
        <f>Technologies!C232</f>
        <v>XITRNJTFP1</v>
      </c>
      <c r="D587" s="376" t="str">
        <f>Technologies!D232</f>
        <v>Delivery of Imported Jet Fuel</v>
      </c>
      <c r="E587" s="415" t="str">
        <f>Commodities!C$64</f>
        <v>JTFP1</v>
      </c>
      <c r="F587" s="415" t="str">
        <f>Commodities!C93</f>
        <v>TRNJTF</v>
      </c>
      <c r="G587" s="422">
        <v>1</v>
      </c>
      <c r="H587" s="421">
        <f>DelivOIL!$C86*DelivOIL!P$78^5/(Conv!$I$5*Conv!$D$46)/10^6 + OILTrade!$E$5</f>
        <v>0.68861886620479495</v>
      </c>
      <c r="I587" s="421">
        <f>DelivOIL!$C86*DelivOIL!Q$78^5/(Conv!$I$5*Conv!$D$46)/10^6 + OILTrade!$E$5</f>
        <v>0.68497993480779196</v>
      </c>
      <c r="J587" s="421">
        <f>DelivOIL!$C86*DelivOIL!R$78^5/(Conv!$I$5*Conv!$D$46)/10^6 + OILTrade!$E$5</f>
        <v>0.72060498189089828</v>
      </c>
      <c r="K587" s="421">
        <f>DelivOIL!$C86*DelivOIL!S$78^5/(Conv!$I$5*Conv!$D$46)/10^6 + OILTrade!$E$5</f>
        <v>0.86805528969489054</v>
      </c>
      <c r="L587" s="421">
        <f>DelivOIL!$C86*DelivOIL!T$78^5/(Conv!$I$5*Conv!$D$46)/10^6 + OILTrade!$E$5</f>
        <v>0.79607116851575266</v>
      </c>
      <c r="M587" s="421">
        <f>DelivOIL!$C86*DelivOIL!U$78^5/(Conv!$I$5*Conv!$D$46)/10^6 + OILTrade!$E$5</f>
        <v>0.70547549006085708</v>
      </c>
      <c r="N587" s="421">
        <f>DelivOIL!$C86*DelivOIL!V$78^5/(Conv!$I$5*Conv!$D$46)/10^6 + OILTrade!$E$5</f>
        <v>0.70547549006085708</v>
      </c>
      <c r="O587" s="421">
        <f>DelivOIL!$C86*DelivOIL!W$78^5/(Conv!$I$5*Conv!$D$46)/10^6 + OILTrade!$E$5</f>
        <v>0.70547549006085708</v>
      </c>
      <c r="P587" s="421">
        <f>DelivOIL!$C86*DelivOIL!X$78^5/(Conv!$I$5*Conv!$D$46)/10^6 + OILTrade!$E$5</f>
        <v>0.70547549006085708</v>
      </c>
      <c r="Q587" s="421">
        <f>DelivOIL!$C86*DelivOIL!Y$78^5/(Conv!$I$5*Conv!$D$46)/10^6 + OILTrade!$E$5</f>
        <v>0.70547549006085708</v>
      </c>
      <c r="S587" s="395"/>
      <c r="T587" s="395"/>
      <c r="U587" s="395"/>
      <c r="V587" s="395"/>
      <c r="W587" s="395"/>
      <c r="X587" s="395"/>
      <c r="Y587" s="395"/>
      <c r="Z587" s="395"/>
      <c r="AA587" s="395"/>
      <c r="AB587" s="395"/>
      <c r="AC587" s="395"/>
    </row>
    <row r="588" spans="2:29">
      <c r="B588" s="376" t="str">
        <f>IF(OR(LEFT(Commodities!B$327,1)="*",LEFT(Technologies!B$706,1)="*"),"*","R2")</f>
        <v>*</v>
      </c>
      <c r="C588" s="376" t="str">
        <f>Technologies!C706</f>
        <v>XIRESKERP1</v>
      </c>
      <c r="D588" s="376" t="str">
        <f>Technologies!D706</f>
        <v>Delivery of Imported Kerosene and Other Refined Products to the Residential Sector</v>
      </c>
      <c r="E588" s="415" t="str">
        <f>Commodities!C$327</f>
        <v>KERP1</v>
      </c>
      <c r="F588" s="415" t="str">
        <f>Commodities!C94</f>
        <v>RESKER</v>
      </c>
      <c r="G588" s="422">
        <v>1</v>
      </c>
      <c r="H588" s="421">
        <f>DelivOIL!$C87*DelivOIL!P$78^5/(Conv!$I$5*Conv!$D$46)/10^6 + OILTrade!$E$5</f>
        <v>2.1135826586483804</v>
      </c>
      <c r="I588" s="421">
        <f>DelivOIL!$C87*DelivOIL!Q$78^5/(Conv!$I$5*Conv!$D$46)/10^6 + OILTrade!$E$5</f>
        <v>2.1024136612912425</v>
      </c>
      <c r="J588" s="421">
        <f>DelivOIL!$C87*DelivOIL!R$78^5/(Conv!$I$5*Conv!$D$46)/10^6 + OILTrade!$E$5</f>
        <v>2.2117578652096879</v>
      </c>
      <c r="K588" s="421">
        <f>DelivOIL!$C87*DelivOIL!S$78^5/(Conv!$I$5*Conv!$D$46)/10^6 + OILTrade!$E$5</f>
        <v>2.6643281168853075</v>
      </c>
      <c r="L588" s="421">
        <f>DelivOIL!$C87*DelivOIL!T$78^5/(Conv!$I$5*Conv!$D$46)/10^6 + OILTrade!$E$5</f>
        <v>2.4433867548503301</v>
      </c>
      <c r="M588" s="421">
        <f>DelivOIL!$C87*DelivOIL!U$78^5/(Conv!$I$5*Conv!$D$46)/10^6 + OILTrade!$E$5</f>
        <v>2.1653208110778785</v>
      </c>
      <c r="N588" s="421">
        <f>DelivOIL!$C87*DelivOIL!V$78^5/(Conv!$I$5*Conv!$D$46)/10^6 + OILTrade!$E$5</f>
        <v>2.1653208110778785</v>
      </c>
      <c r="O588" s="421">
        <f>DelivOIL!$C87*DelivOIL!W$78^5/(Conv!$I$5*Conv!$D$46)/10^6 + OILTrade!$E$5</f>
        <v>2.1653208110778785</v>
      </c>
      <c r="P588" s="421">
        <f>DelivOIL!$C87*DelivOIL!X$78^5/(Conv!$I$5*Conv!$D$46)/10^6 + OILTrade!$E$5</f>
        <v>2.1653208110778785</v>
      </c>
      <c r="Q588" s="421">
        <f>DelivOIL!$C87*DelivOIL!Y$78^5/(Conv!$I$5*Conv!$D$46)/10^6 + OILTrade!$E$5</f>
        <v>2.1653208110778785</v>
      </c>
      <c r="S588" s="395"/>
      <c r="T588" s="395"/>
      <c r="U588" s="395"/>
      <c r="V588" s="395"/>
      <c r="W588" s="395"/>
      <c r="X588" s="395"/>
      <c r="Y588" s="395"/>
      <c r="Z588" s="395"/>
      <c r="AA588" s="395"/>
      <c r="AB588" s="395"/>
      <c r="AC588" s="395"/>
    </row>
    <row r="589" spans="2:29">
      <c r="B589" s="376" t="str">
        <f>IF(OR(LEFT(Commodities!B$327,1)="*",LEFT(Technologies!B$707,1)="*"),"*","R2")</f>
        <v>*</v>
      </c>
      <c r="C589" s="376" t="str">
        <f>Technologies!C707</f>
        <v>XICOMKERP1</v>
      </c>
      <c r="D589" s="376" t="str">
        <f>Technologies!D707</f>
        <v>Delivery of Imported Kerosene and Other Refined Products to the Commercial Sector</v>
      </c>
      <c r="E589" s="415" t="str">
        <f>Commodities!C$327</f>
        <v>KERP1</v>
      </c>
      <c r="F589" s="415" t="str">
        <f>Commodities!C95</f>
        <v>COMKER</v>
      </c>
      <c r="G589" s="422">
        <v>1</v>
      </c>
      <c r="H589" s="421">
        <f>DelivOIL!$C88*DelivOIL!P$78^5/(Conv!$I$5*Conv!$D$46)/10^6 + OILTrade!$E$5</f>
        <v>1.8681343499021184</v>
      </c>
      <c r="I589" s="421">
        <f>DelivOIL!$C88*DelivOIL!Q$78^5/(Conv!$I$5*Conv!$D$46)/10^6 + OILTrade!$E$5</f>
        <v>1.8582623973993577</v>
      </c>
      <c r="J589" s="421">
        <f>DelivOIL!$C88*DelivOIL!R$78^5/(Conv!$I$5*Conv!$D$46)/10^6 + OILTrade!$E$5</f>
        <v>1.9549085647337254</v>
      </c>
      <c r="K589" s="421">
        <f>DelivOIL!$C88*DelivOIL!S$78^5/(Conv!$I$5*Conv!$D$46)/10^6 + OILTrade!$E$5</f>
        <v>2.354922271053467</v>
      </c>
      <c r="L589" s="421">
        <f>DelivOIL!$C88*DelivOIL!T$78^5/(Conv!$I$5*Conv!$D$46)/10^6 + OILTrade!$E$5</f>
        <v>2.1596386155773901</v>
      </c>
      <c r="M589" s="421">
        <f>DelivOIL!$C88*DelivOIL!U$78^5/(Conv!$I$5*Conv!$D$46)/10^6 + OILTrade!$E$5</f>
        <v>1.9138642007591582</v>
      </c>
      <c r="N589" s="421">
        <f>DelivOIL!$C88*DelivOIL!V$78^5/(Conv!$I$5*Conv!$D$46)/10^6 + OILTrade!$E$5</f>
        <v>1.9138642007591582</v>
      </c>
      <c r="O589" s="421">
        <f>DelivOIL!$C88*DelivOIL!W$78^5/(Conv!$I$5*Conv!$D$46)/10^6 + OILTrade!$E$5</f>
        <v>1.9138642007591582</v>
      </c>
      <c r="P589" s="421">
        <f>DelivOIL!$C88*DelivOIL!X$78^5/(Conv!$I$5*Conv!$D$46)/10^6 + OILTrade!$E$5</f>
        <v>1.9138642007591582</v>
      </c>
      <c r="Q589" s="421">
        <f>DelivOIL!$C88*DelivOIL!Y$78^5/(Conv!$I$5*Conv!$D$46)/10^6 + OILTrade!$E$5</f>
        <v>1.9138642007591582</v>
      </c>
      <c r="S589" s="395"/>
      <c r="T589" s="395"/>
      <c r="U589" s="395"/>
      <c r="V589" s="395"/>
      <c r="W589" s="395"/>
      <c r="X589" s="395"/>
      <c r="Y589" s="395"/>
      <c r="Z589" s="395"/>
      <c r="AA589" s="395"/>
      <c r="AB589" s="395"/>
      <c r="AC589" s="395"/>
    </row>
    <row r="590" spans="2:29">
      <c r="B590" s="376" t="str">
        <f>IF(OR(LEFT(Commodities!B$327,1)="*",LEFT(Technologies!B$708,1)="*"),"*","R2")</f>
        <v>*</v>
      </c>
      <c r="C590" s="376" t="str">
        <f>Technologies!C708</f>
        <v>XIINDKERP1</v>
      </c>
      <c r="D590" s="376" t="str">
        <f>Technologies!D708</f>
        <v>Delivery of Imported Kerosene and Other Refined Products to the Industrial Sector</v>
      </c>
      <c r="E590" s="415" t="str">
        <f>Commodities!C$327</f>
        <v>KERP1</v>
      </c>
      <c r="F590" s="415" t="str">
        <f>Commodities!C96</f>
        <v>INDKER</v>
      </c>
      <c r="G590" s="422">
        <v>1</v>
      </c>
      <c r="H590" s="421">
        <f>DelivOIL!$C89*DelivOIL!P$78^5/(Conv!$I$5*Conv!$D$46)/10^6 + OILTrade!$E$5</f>
        <v>1.1590614579684675</v>
      </c>
      <c r="I590" s="421">
        <f>DelivOIL!$C89*DelivOIL!Q$78^5/(Conv!$I$5*Conv!$D$46)/10^6 + OILTrade!$E$5</f>
        <v>1.152936523933908</v>
      </c>
      <c r="J590" s="421">
        <f>DelivOIL!$C89*DelivOIL!R$78^5/(Conv!$I$5*Conv!$D$46)/10^6 + OILTrade!$E$5</f>
        <v>1.2128994744698296</v>
      </c>
      <c r="K590" s="421">
        <f>DelivOIL!$C89*DelivOIL!S$78^5/(Conv!$I$5*Conv!$D$46)/10^6 + OILTrade!$E$5</f>
        <v>1.4610831608725887</v>
      </c>
      <c r="L590" s="421">
        <f>DelivOIL!$C89*DelivOIL!T$78^5/(Conv!$I$5*Conv!$D$46)/10^6 + OILTrade!$E$5</f>
        <v>1.3399217687888911</v>
      </c>
      <c r="M590" s="421">
        <f>DelivOIL!$C89*DelivOIL!U$78^5/(Conv!$I$5*Conv!$D$46)/10^6 + OILTrade!$E$5</f>
        <v>1.1874339931717401</v>
      </c>
      <c r="N590" s="421">
        <f>DelivOIL!$C89*DelivOIL!V$78^5/(Conv!$I$5*Conv!$D$46)/10^6 + OILTrade!$E$5</f>
        <v>1.1874339931717401</v>
      </c>
      <c r="O590" s="421">
        <f>DelivOIL!$C89*DelivOIL!W$78^5/(Conv!$I$5*Conv!$D$46)/10^6 + OILTrade!$E$5</f>
        <v>1.1874339931717401</v>
      </c>
      <c r="P590" s="421">
        <f>DelivOIL!$C89*DelivOIL!X$78^5/(Conv!$I$5*Conv!$D$46)/10^6 + OILTrade!$E$5</f>
        <v>1.1874339931717401</v>
      </c>
      <c r="Q590" s="421">
        <f>DelivOIL!$C89*DelivOIL!Y$78^5/(Conv!$I$5*Conv!$D$46)/10^6 + OILTrade!$E$5</f>
        <v>1.1874339931717401</v>
      </c>
      <c r="S590" s="395"/>
      <c r="T590" s="395"/>
      <c r="U590" s="395"/>
      <c r="V590" s="395"/>
      <c r="W590" s="395"/>
      <c r="X590" s="395"/>
      <c r="Y590" s="395"/>
      <c r="Z590" s="395"/>
      <c r="AA590" s="395"/>
      <c r="AB590" s="395"/>
      <c r="AC590" s="395"/>
    </row>
    <row r="591" spans="2:29">
      <c r="B591" s="376" t="str">
        <f>IF(OR(LEFT(Commodities!B$328,1)="*",LEFT(Technologies!B$709,1)="*"),"*","R2")</f>
        <v>*</v>
      </c>
      <c r="C591" s="376" t="str">
        <f>Technologies!C709</f>
        <v>XIRESLPGP1</v>
      </c>
      <c r="D591" s="376" t="str">
        <f>Technologies!D709</f>
        <v>Delivery of Imported LPG to the Residential Sector</v>
      </c>
      <c r="E591" s="415" t="str">
        <f>Commodities!C$328</f>
        <v>LPGP1</v>
      </c>
      <c r="F591" s="415" t="str">
        <f>Commodities!C97</f>
        <v>RESLPG</v>
      </c>
      <c r="G591" s="422">
        <v>1</v>
      </c>
      <c r="H591" s="421">
        <f>DelivOIL!$C90*DelivOIL!P$78^5/(Conv!$I$5*Conv!$D$46)/10^6 + OILTrade!$E$5</f>
        <v>6.4907441646234156</v>
      </c>
      <c r="I591" s="421">
        <f>DelivOIL!$C90*DelivOIL!Q$78^5/(Conv!$I$5*Conv!$D$46)/10^6 + OILTrade!$E$5</f>
        <v>6.4564445340298828</v>
      </c>
      <c r="J591" s="421">
        <f>DelivOIL!$C90*DelivOIL!R$78^5/(Conv!$I$5*Conv!$D$46)/10^6 + OILTrade!$E$5</f>
        <v>6.792237057031044</v>
      </c>
      <c r="K591" s="421">
        <f>DelivOIL!$C90*DelivOIL!S$78^5/(Conv!$I$5*Conv!$D$46)/10^6 + OILTrade!$E$5</f>
        <v>8.1820657008864952</v>
      </c>
      <c r="L591" s="421">
        <f>DelivOIL!$C90*DelivOIL!T$78^5/(Conv!$I$5*Conv!$D$46)/10^6 + OILTrade!$E$5</f>
        <v>7.50356190521779</v>
      </c>
      <c r="M591" s="421">
        <f>DelivOIL!$C90*DelivOIL!U$78^5/(Conv!$I$5*Conv!$D$46)/10^6 + OILTrade!$E$5</f>
        <v>6.6496303617617434</v>
      </c>
      <c r="N591" s="421">
        <f>DelivOIL!$C90*DelivOIL!V$78^5/(Conv!$I$5*Conv!$D$46)/10^6 + OILTrade!$E$5</f>
        <v>6.6496303617617434</v>
      </c>
      <c r="O591" s="421">
        <f>DelivOIL!$C90*DelivOIL!W$78^5/(Conv!$I$5*Conv!$D$46)/10^6 + OILTrade!$E$5</f>
        <v>6.6496303617617434</v>
      </c>
      <c r="P591" s="421">
        <f>DelivOIL!$C90*DelivOIL!X$78^5/(Conv!$I$5*Conv!$D$46)/10^6 + OILTrade!$E$5</f>
        <v>6.6496303617617434</v>
      </c>
      <c r="Q591" s="421">
        <f>DelivOIL!$C90*DelivOIL!Y$78^5/(Conv!$I$5*Conv!$D$46)/10^6 + OILTrade!$E$5</f>
        <v>6.6496303617617434</v>
      </c>
      <c r="S591" s="395"/>
      <c r="T591" s="395"/>
      <c r="U591" s="395"/>
      <c r="V591" s="395"/>
      <c r="W591" s="395"/>
      <c r="X591" s="395"/>
      <c r="Y591" s="395"/>
      <c r="Z591" s="395"/>
      <c r="AA591" s="395"/>
      <c r="AB591" s="395"/>
      <c r="AC591" s="395"/>
    </row>
    <row r="592" spans="2:29">
      <c r="B592" s="376" t="str">
        <f>IF(OR(LEFT(Commodities!B$328,1)="*",LEFT(Technologies!B$710,1)="*"),"*","R2")</f>
        <v>*</v>
      </c>
      <c r="C592" s="376" t="str">
        <f>Technologies!C710</f>
        <v>XICOMLPGP1</v>
      </c>
      <c r="D592" s="376" t="str">
        <f>Technologies!D710</f>
        <v>Delivery of Imported LPG to the Commercial Sector</v>
      </c>
      <c r="E592" s="415" t="str">
        <f>Commodities!C$328</f>
        <v>LPGP1</v>
      </c>
      <c r="F592" s="415" t="str">
        <f>Commodities!C98</f>
        <v>COMLPG</v>
      </c>
      <c r="G592" s="422">
        <v>1</v>
      </c>
      <c r="H592" s="421">
        <f>DelivOIL!$C91*DelivOIL!P$78^5/(Conv!$I$5*Conv!$D$46)/10^6 + OILTrade!$E$5</f>
        <v>2.5908432589883379</v>
      </c>
      <c r="I592" s="421">
        <f>DelivOIL!$C91*DelivOIL!Q$78^5/(Conv!$I$5*Conv!$D$46)/10^6 + OILTrade!$E$5</f>
        <v>2.577152229969911</v>
      </c>
      <c r="J592" s="421">
        <f>DelivOIL!$C91*DelivOIL!R$78^5/(Conv!$I$5*Conv!$D$46)/10^6 + OILTrade!$E$5</f>
        <v>2.711187060579618</v>
      </c>
      <c r="K592" s="421">
        <f>DelivOIL!$C91*DelivOIL!S$78^5/(Conv!$I$5*Conv!$D$46)/10^6 + OILTrade!$E$5</f>
        <v>3.2659505948916676</v>
      </c>
      <c r="L592" s="421">
        <f>DelivOIL!$C91*DelivOIL!T$78^5/(Conv!$I$5*Conv!$D$46)/10^6 + OILTrade!$E$5</f>
        <v>2.9951192478810502</v>
      </c>
      <c r="M592" s="421">
        <f>DelivOIL!$C91*DelivOIL!U$78^5/(Conv!$I$5*Conv!$D$46)/10^6 + OILTrade!$E$5</f>
        <v>2.6542642200309476</v>
      </c>
      <c r="N592" s="421">
        <f>DelivOIL!$C91*DelivOIL!V$78^5/(Conv!$I$5*Conv!$D$46)/10^6 + OILTrade!$E$5</f>
        <v>2.6542642200309476</v>
      </c>
      <c r="O592" s="421">
        <f>DelivOIL!$C91*DelivOIL!W$78^5/(Conv!$I$5*Conv!$D$46)/10^6 + OILTrade!$E$5</f>
        <v>2.6542642200309476</v>
      </c>
      <c r="P592" s="421">
        <f>DelivOIL!$C91*DelivOIL!X$78^5/(Conv!$I$5*Conv!$D$46)/10^6 + OILTrade!$E$5</f>
        <v>2.6542642200309476</v>
      </c>
      <c r="Q592" s="421">
        <f>DelivOIL!$C91*DelivOIL!Y$78^5/(Conv!$I$5*Conv!$D$46)/10^6 + OILTrade!$E$5</f>
        <v>2.6542642200309476</v>
      </c>
      <c r="S592" s="395"/>
      <c r="T592" s="395"/>
      <c r="U592" s="395"/>
      <c r="V592" s="395"/>
      <c r="W592" s="395"/>
      <c r="X592" s="395"/>
      <c r="Y592" s="395"/>
      <c r="Z592" s="395"/>
      <c r="AA592" s="395"/>
      <c r="AB592" s="395"/>
      <c r="AC592" s="395"/>
    </row>
    <row r="593" spans="2:29">
      <c r="B593" s="376" t="str">
        <f>IF(OR(LEFT(Commodities!B$328,1)="*",LEFT(Technologies!B$711,1)="*"),"*","R2")</f>
        <v>*</v>
      </c>
      <c r="C593" s="376" t="str">
        <f>Technologies!C711</f>
        <v>XIINDLPGP1</v>
      </c>
      <c r="D593" s="376" t="str">
        <f>Technologies!D711</f>
        <v>Delivery of Imported LPG to the Industrial Sector</v>
      </c>
      <c r="E593" s="415" t="str">
        <f>Commodities!C$328</f>
        <v>LPGP1</v>
      </c>
      <c r="F593" s="415" t="str">
        <f>Commodities!C99</f>
        <v>INDLPG</v>
      </c>
      <c r="G593" s="422">
        <v>1</v>
      </c>
      <c r="H593" s="421">
        <f>DelivOIL!$C92*DelivOIL!P$78^5/(Conv!$I$5*Conv!$D$46)/10^6 + OILTrade!$E$5</f>
        <v>2.2499428301740831</v>
      </c>
      <c r="I593" s="421">
        <f>DelivOIL!$C92*DelivOIL!Q$78^5/(Conv!$I$5*Conv!$D$46)/10^6 + OILTrade!$E$5</f>
        <v>2.2380532523422918</v>
      </c>
      <c r="J593" s="421">
        <f>DelivOIL!$C92*DelivOIL!R$78^5/(Conv!$I$5*Conv!$D$46)/10^6 + OILTrade!$E$5</f>
        <v>2.3544519210296686</v>
      </c>
      <c r="K593" s="421">
        <f>DelivOIL!$C92*DelivOIL!S$78^5/(Conv!$I$5*Conv!$D$46)/10^6 + OILTrade!$E$5</f>
        <v>2.8362202534585546</v>
      </c>
      <c r="L593" s="421">
        <f>DelivOIL!$C92*DelivOIL!T$78^5/(Conv!$I$5*Conv!$D$46)/10^6 + OILTrade!$E$5</f>
        <v>2.6010246100019652</v>
      </c>
      <c r="M593" s="421">
        <f>DelivOIL!$C92*DelivOIL!U$78^5/(Conv!$I$5*Conv!$D$46)/10^6 + OILTrade!$E$5</f>
        <v>2.3050189279216133</v>
      </c>
      <c r="N593" s="421">
        <f>DelivOIL!$C92*DelivOIL!V$78^5/(Conv!$I$5*Conv!$D$46)/10^6 + OILTrade!$E$5</f>
        <v>2.3050189279216133</v>
      </c>
      <c r="O593" s="421">
        <f>DelivOIL!$C92*DelivOIL!W$78^5/(Conv!$I$5*Conv!$D$46)/10^6 + OILTrade!$E$5</f>
        <v>2.3050189279216133</v>
      </c>
      <c r="P593" s="421">
        <f>DelivOIL!$C92*DelivOIL!X$78^5/(Conv!$I$5*Conv!$D$46)/10^6 + OILTrade!$E$5</f>
        <v>2.3050189279216133</v>
      </c>
      <c r="Q593" s="421">
        <f>DelivOIL!$C92*DelivOIL!Y$78^5/(Conv!$I$5*Conv!$D$46)/10^6 + OILTrade!$E$5</f>
        <v>2.3050189279216133</v>
      </c>
      <c r="S593" s="395"/>
      <c r="T593" s="395"/>
      <c r="U593" s="395"/>
      <c r="V593" s="395"/>
      <c r="W593" s="395"/>
      <c r="X593" s="395"/>
      <c r="Y593" s="395"/>
      <c r="Z593" s="395"/>
      <c r="AA593" s="395"/>
      <c r="AB593" s="395"/>
      <c r="AC593" s="395"/>
    </row>
    <row r="594" spans="2:29">
      <c r="B594" s="376" t="str">
        <f>IF(OR(LEFT(Commodities!B$328,1)="*",LEFT(Technologies!B$712,1)="*"),"*","R2")</f>
        <v>*</v>
      </c>
      <c r="C594" s="376" t="str">
        <f>Technologies!C712</f>
        <v>XITRNLPGP1</v>
      </c>
      <c r="D594" s="376" t="str">
        <f>Technologies!D712</f>
        <v>Delivery of Imported LPG to the Transportation Sector</v>
      </c>
      <c r="E594" s="415" t="str">
        <f>Commodities!C$328</f>
        <v>LPGP1</v>
      </c>
      <c r="F594" s="415" t="str">
        <f>Commodities!C100</f>
        <v>TRNLPG</v>
      </c>
      <c r="G594" s="422">
        <v>1</v>
      </c>
      <c r="H594" s="421">
        <f>DelivOIL!$C93*DelivOIL!P$78^5/(Conv!$I$5*Conv!$D$46)/10^6 + OILTrade!$E$5</f>
        <v>3.8317208198722259</v>
      </c>
      <c r="I594" s="421">
        <f>DelivOIL!$C93*DelivOIL!Q$78^5/(Conv!$I$5*Conv!$D$46)/10^6 + OILTrade!$E$5</f>
        <v>3.8114725085344463</v>
      </c>
      <c r="J594" s="421">
        <f>DelivOIL!$C93*DelivOIL!R$78^5/(Conv!$I$5*Conv!$D$46)/10^6 + OILTrade!$E$5</f>
        <v>4.0097029685414354</v>
      </c>
      <c r="K594" s="421">
        <f>DelivOIL!$C93*DelivOIL!S$78^5/(Conv!$I$5*Conv!$D$46)/10^6 + OILTrade!$E$5</f>
        <v>4.8301690377082034</v>
      </c>
      <c r="L594" s="421">
        <f>DelivOIL!$C93*DelivOIL!T$78^5/(Conv!$I$5*Conv!$D$46)/10^6 + OILTrade!$E$5</f>
        <v>4.4296237297609213</v>
      </c>
      <c r="M594" s="421">
        <f>DelivOIL!$C93*DelivOIL!U$78^5/(Conv!$I$5*Conv!$D$46)/10^6 + OILTrade!$E$5</f>
        <v>3.9255170833089279</v>
      </c>
      <c r="N594" s="421">
        <f>DelivOIL!$C93*DelivOIL!V$78^5/(Conv!$I$5*Conv!$D$46)/10^6 + OILTrade!$E$5</f>
        <v>3.9255170833089279</v>
      </c>
      <c r="O594" s="421">
        <f>DelivOIL!$C93*DelivOIL!W$78^5/(Conv!$I$5*Conv!$D$46)/10^6 + OILTrade!$E$5</f>
        <v>3.9255170833089279</v>
      </c>
      <c r="P594" s="421">
        <f>DelivOIL!$C93*DelivOIL!X$78^5/(Conv!$I$5*Conv!$D$46)/10^6 + OILTrade!$E$5</f>
        <v>3.9255170833089279</v>
      </c>
      <c r="Q594" s="421">
        <f>DelivOIL!$C93*DelivOIL!Y$78^5/(Conv!$I$5*Conv!$D$46)/10^6 + OILTrade!$E$5</f>
        <v>3.9255170833089279</v>
      </c>
      <c r="S594" s="395"/>
      <c r="T594" s="395"/>
      <c r="U594" s="395"/>
      <c r="V594" s="395"/>
      <c r="W594" s="395"/>
      <c r="X594" s="395"/>
      <c r="Y594" s="395"/>
      <c r="Z594" s="395"/>
      <c r="AA594" s="395"/>
      <c r="AB594" s="395"/>
      <c r="AC594" s="395"/>
    </row>
    <row r="595" spans="2:29">
      <c r="B595" s="376" t="str">
        <f>IF(LEFT(Technologies!B$713,1)="*","*","R2")</f>
        <v>*</v>
      </c>
      <c r="C595" s="376" t="str">
        <f>Technologies!C713</f>
        <v>XITRNMTHP1</v>
      </c>
      <c r="D595" s="376" t="str">
        <f>Technologies!D713</f>
        <v>Delivery of Imported Methanol</v>
      </c>
      <c r="E595" s="415" t="str">
        <f>Commodities!C$329</f>
        <v>MTHP1</v>
      </c>
      <c r="F595" s="415" t="str">
        <f>Commodities!C101</f>
        <v>TRNMTH</v>
      </c>
      <c r="G595" s="422">
        <v>1</v>
      </c>
      <c r="H595" s="421">
        <f>DelivOIL!$C94*DelivOIL!P$78^5/(Conv!$I$5*Conv!$D$46)/10^6 + OILTrade!$E$5</f>
        <v>3.6612706054650994</v>
      </c>
      <c r="I595" s="421">
        <f>DelivOIL!$C94*DelivOIL!Q$78^5/(Conv!$I$5*Conv!$D$46)/10^6 + OILTrade!$E$5</f>
        <v>3.6419230197206378</v>
      </c>
      <c r="J595" s="421">
        <f>DelivOIL!$C94*DelivOIL!R$78^5/(Conv!$I$5*Conv!$D$46)/10^6 + OILTrade!$E$5</f>
        <v>3.8313353987664609</v>
      </c>
      <c r="K595" s="421">
        <f>DelivOIL!$C94*DelivOIL!S$78^5/(Conv!$I$5*Conv!$D$46)/10^6 + OILTrade!$E$5</f>
        <v>4.6153038669916464</v>
      </c>
      <c r="L595" s="421">
        <f>DelivOIL!$C94*DelivOIL!T$78^5/(Conv!$I$5*Conv!$D$46)/10^6 + OILTrade!$E$5</f>
        <v>4.2325764108213795</v>
      </c>
      <c r="M595" s="421">
        <f>DelivOIL!$C94*DelivOIL!U$78^5/(Conv!$I$5*Conv!$D$46)/10^6 + OILTrade!$E$5</f>
        <v>3.750894437254261</v>
      </c>
      <c r="N595" s="421">
        <f>DelivOIL!$C94*DelivOIL!V$78^5/(Conv!$I$5*Conv!$D$46)/10^6 + OILTrade!$E$5</f>
        <v>3.750894437254261</v>
      </c>
      <c r="O595" s="421">
        <f>DelivOIL!$C94*DelivOIL!W$78^5/(Conv!$I$5*Conv!$D$46)/10^6 + OILTrade!$E$5</f>
        <v>3.750894437254261</v>
      </c>
      <c r="P595" s="421">
        <f>DelivOIL!$C94*DelivOIL!X$78^5/(Conv!$I$5*Conv!$D$46)/10^6 + OILTrade!$E$5</f>
        <v>3.750894437254261</v>
      </c>
      <c r="Q595" s="421">
        <f>DelivOIL!$C94*DelivOIL!Y$78^5/(Conv!$I$5*Conv!$D$46)/10^6 + OILTrade!$E$5</f>
        <v>3.750894437254261</v>
      </c>
      <c r="S595" s="395"/>
      <c r="T595" s="395"/>
      <c r="U595" s="395"/>
      <c r="V595" s="395"/>
      <c r="W595" s="395"/>
      <c r="X595" s="395"/>
      <c r="Y595" s="395"/>
      <c r="Z595" s="395"/>
      <c r="AA595" s="395"/>
      <c r="AB595" s="395"/>
      <c r="AC595" s="395"/>
    </row>
    <row r="596" spans="2:29">
      <c r="B596" s="376" t="str">
        <f>IF(OR(LEFT(Commodities!B$102,1)="*",LEFT(Technologies!B$714,1)="*"),"*","R2")</f>
        <v>*</v>
      </c>
      <c r="C596" s="376" t="str">
        <f>Technologies!C714</f>
        <v>XIINDPFSP1</v>
      </c>
      <c r="D596" s="376" t="str">
        <f>Technologies!D714</f>
        <v>Delivery of Imported Petrochemical Feedstocks</v>
      </c>
      <c r="E596" s="415" t="str">
        <f>Commodities!C$330</f>
        <v>PFSP1</v>
      </c>
      <c r="F596" s="415" t="str">
        <f>Commodities!C102</f>
        <v>INDPFS</v>
      </c>
      <c r="G596" s="422">
        <v>1</v>
      </c>
      <c r="H596" s="421">
        <f>DelivOIL!$C95*DelivOIL!P$78^5/(Conv!$I$5*Conv!$D$46)/10^6 + OILTrade!$E$5</f>
        <v>0.27953835162768936</v>
      </c>
      <c r="I596" s="421">
        <f>DelivOIL!$C95*DelivOIL!Q$78^5/(Conv!$I$5*Conv!$D$46)/10^6 + OILTrade!$E$5</f>
        <v>0.27806116165464856</v>
      </c>
      <c r="J596" s="421">
        <f>DelivOIL!$C95*DelivOIL!R$78^5/(Conv!$I$5*Conv!$D$46)/10^6 + OILTrade!$E$5</f>
        <v>0.29252281443095907</v>
      </c>
      <c r="K596" s="421">
        <f>DelivOIL!$C95*DelivOIL!S$78^5/(Conv!$I$5*Conv!$D$46)/10^6 + OILTrade!$E$5</f>
        <v>0.35237887997515394</v>
      </c>
      <c r="L596" s="421">
        <f>DelivOIL!$C95*DelivOIL!T$78^5/(Conv!$I$5*Conv!$D$46)/10^6 + OILTrade!$E$5</f>
        <v>0.32315760306085045</v>
      </c>
      <c r="M596" s="421">
        <f>DelivOIL!$C95*DelivOIL!U$78^5/(Conv!$I$5*Conv!$D$46)/10^6 + OILTrade!$E$5</f>
        <v>0.28638113952965516</v>
      </c>
      <c r="N596" s="421">
        <f>DelivOIL!$C95*DelivOIL!V$78^5/(Conv!$I$5*Conv!$D$46)/10^6 + OILTrade!$E$5</f>
        <v>0.28638113952965516</v>
      </c>
      <c r="O596" s="421">
        <f>DelivOIL!$C95*DelivOIL!W$78^5/(Conv!$I$5*Conv!$D$46)/10^6 + OILTrade!$E$5</f>
        <v>0.28638113952965516</v>
      </c>
      <c r="P596" s="421">
        <f>DelivOIL!$C95*DelivOIL!X$78^5/(Conv!$I$5*Conv!$D$46)/10^6 + OILTrade!$E$5</f>
        <v>0.28638113952965516</v>
      </c>
      <c r="Q596" s="421">
        <f>DelivOIL!$C95*DelivOIL!Y$78^5/(Conv!$I$5*Conv!$D$46)/10^6 + OILTrade!$E$5</f>
        <v>0.28638113952965516</v>
      </c>
      <c r="S596" s="395"/>
      <c r="T596" s="395"/>
      <c r="U596" s="395"/>
      <c r="V596" s="395"/>
      <c r="W596" s="395"/>
      <c r="X596" s="395"/>
      <c r="Y596" s="395"/>
      <c r="Z596" s="395"/>
      <c r="AA596" s="395"/>
      <c r="AB596" s="395"/>
      <c r="AC596" s="395"/>
    </row>
    <row r="597" spans="2:29">
      <c r="B597" s="376" t="str">
        <f>IF(OR(LEFT(Commodities!B$332,1)="*",LEFT(Technologies!B$715,1)="*"),"*","R2")</f>
        <v>*</v>
      </c>
      <c r="C597" s="376" t="str">
        <f>Technologies!C715</f>
        <v>XIRESRFLP1</v>
      </c>
      <c r="D597" s="376" t="str">
        <f>Technologies!D715</f>
        <v>Delivery of Imported Low Sulfur Residual Fuel Oil to Residential Sector</v>
      </c>
      <c r="E597" s="415" t="str">
        <f>Commodities!C$332</f>
        <v>RFLP1</v>
      </c>
      <c r="F597" s="415" t="str">
        <f>Commodities!C103</f>
        <v>RESRFL</v>
      </c>
      <c r="G597" s="422">
        <v>1</v>
      </c>
      <c r="H597" s="421">
        <f>DelivOIL!$C96*DelivOIL!P$78^5/(Conv!$I$5*Conv!$D$46)/10^6 + OILTrade!$E$5</f>
        <v>0.65452882332336948</v>
      </c>
      <c r="I597" s="421">
        <f>DelivOIL!$C96*DelivOIL!Q$78^5/(Conv!$I$5*Conv!$D$46)/10^6 + OILTrade!$E$5</f>
        <v>0.65107003704502997</v>
      </c>
      <c r="J597" s="421">
        <f>DelivOIL!$C96*DelivOIL!R$78^5/(Conv!$I$5*Conv!$D$46)/10^6 + OILTrade!$E$5</f>
        <v>0.68493146793590332</v>
      </c>
      <c r="K597" s="421">
        <f>DelivOIL!$C96*DelivOIL!S$78^5/(Conv!$I$5*Conv!$D$46)/10^6 + OILTrade!$E$5</f>
        <v>0.82508225555157899</v>
      </c>
      <c r="L597" s="421">
        <f>DelivOIL!$C96*DelivOIL!T$78^5/(Conv!$I$5*Conv!$D$46)/10^6 + OILTrade!$E$5</f>
        <v>0.75666170472784411</v>
      </c>
      <c r="M597" s="421">
        <f>DelivOIL!$C96*DelivOIL!U$78^5/(Conv!$I$5*Conv!$D$46)/10^6 + OILTrade!$E$5</f>
        <v>0.67055096084992349</v>
      </c>
      <c r="N597" s="421">
        <f>DelivOIL!$C96*DelivOIL!V$78^5/(Conv!$I$5*Conv!$D$46)/10^6 + OILTrade!$E$5</f>
        <v>0.67055096084992349</v>
      </c>
      <c r="O597" s="421">
        <f>DelivOIL!$C96*DelivOIL!W$78^5/(Conv!$I$5*Conv!$D$46)/10^6 + OILTrade!$E$5</f>
        <v>0.67055096084992349</v>
      </c>
      <c r="P597" s="421">
        <f>DelivOIL!$C96*DelivOIL!X$78^5/(Conv!$I$5*Conv!$D$46)/10^6 + OILTrade!$E$5</f>
        <v>0.67055096084992349</v>
      </c>
      <c r="Q597" s="421">
        <f>DelivOIL!$C96*DelivOIL!Y$78^5/(Conv!$I$5*Conv!$D$46)/10^6 + OILTrade!$E$5</f>
        <v>0.67055096084992349</v>
      </c>
      <c r="S597" s="395"/>
      <c r="T597" s="395"/>
      <c r="U597" s="395"/>
      <c r="V597" s="395"/>
      <c r="W597" s="395"/>
      <c r="X597" s="395"/>
      <c r="Y597" s="395"/>
      <c r="Z597" s="395"/>
      <c r="AA597" s="395"/>
      <c r="AB597" s="395"/>
      <c r="AC597" s="395"/>
    </row>
    <row r="598" spans="2:29">
      <c r="B598" s="376" t="str">
        <f>IF(OR(LEFT(Commodities!B$332,1)="*",LEFT(Technologies!B$716,1)="*"),"*","R2")</f>
        <v>*</v>
      </c>
      <c r="C598" s="376" t="str">
        <f>Technologies!C716</f>
        <v>XICOMRFLP1</v>
      </c>
      <c r="D598" s="376" t="str">
        <f>Technologies!D716</f>
        <v>Delivery of Imported Low Sulfur Residual Fuel Oil to Commercial Sector</v>
      </c>
      <c r="E598" s="415" t="str">
        <f>Commodities!C$332</f>
        <v>RFLP1</v>
      </c>
      <c r="F598" s="415" t="str">
        <f>Commodities!C104</f>
        <v>COMRFL</v>
      </c>
      <c r="G598" s="422">
        <v>1</v>
      </c>
      <c r="H598" s="421">
        <f>DelivOIL!$C96*DelivOIL!P$78^5/(Conv!$I$5*Conv!$D$46)/10^6 + OILTrade!$E$5</f>
        <v>0.65452882332336948</v>
      </c>
      <c r="I598" s="421">
        <f>DelivOIL!$C96*DelivOIL!Q$78^5/(Conv!$I$5*Conv!$D$46)/10^6 + OILTrade!$E$5</f>
        <v>0.65107003704502997</v>
      </c>
      <c r="J598" s="421">
        <f>DelivOIL!$C96*DelivOIL!R$78^5/(Conv!$I$5*Conv!$D$46)/10^6 + OILTrade!$E$5</f>
        <v>0.68493146793590332</v>
      </c>
      <c r="K598" s="421">
        <f>DelivOIL!$C96*DelivOIL!S$78^5/(Conv!$I$5*Conv!$D$46)/10^6 + OILTrade!$E$5</f>
        <v>0.82508225555157899</v>
      </c>
      <c r="L598" s="421">
        <f>DelivOIL!$C96*DelivOIL!T$78^5/(Conv!$I$5*Conv!$D$46)/10^6 + OILTrade!$E$5</f>
        <v>0.75666170472784411</v>
      </c>
      <c r="M598" s="421">
        <f>DelivOIL!$C96*DelivOIL!U$78^5/(Conv!$I$5*Conv!$D$46)/10^6 + OILTrade!$E$5</f>
        <v>0.67055096084992349</v>
      </c>
      <c r="N598" s="421">
        <f>DelivOIL!$C96*DelivOIL!V$78^5/(Conv!$I$5*Conv!$D$46)/10^6 + OILTrade!$E$5</f>
        <v>0.67055096084992349</v>
      </c>
      <c r="O598" s="421">
        <f>DelivOIL!$C96*DelivOIL!W$78^5/(Conv!$I$5*Conv!$D$46)/10^6 + OILTrade!$E$5</f>
        <v>0.67055096084992349</v>
      </c>
      <c r="P598" s="421">
        <f>DelivOIL!$C96*DelivOIL!X$78^5/(Conv!$I$5*Conv!$D$46)/10^6 + OILTrade!$E$5</f>
        <v>0.67055096084992349</v>
      </c>
      <c r="Q598" s="421">
        <f>DelivOIL!$C96*DelivOIL!Y$78^5/(Conv!$I$5*Conv!$D$46)/10^6 + OILTrade!$E$5</f>
        <v>0.67055096084992349</v>
      </c>
      <c r="S598" s="395"/>
      <c r="T598" s="395"/>
      <c r="U598" s="395"/>
      <c r="V598" s="395"/>
      <c r="W598" s="395"/>
      <c r="X598" s="395"/>
      <c r="Y598" s="395"/>
      <c r="Z598" s="395"/>
      <c r="AA598" s="395"/>
      <c r="AB598" s="395"/>
      <c r="AC598" s="395"/>
    </row>
    <row r="599" spans="2:29">
      <c r="B599" s="376" t="str">
        <f>IF(OR(LEFT(Commodities!B$332,1)="*",LEFT(Technologies!B$717,1)="*"),"*","R2")</f>
        <v>R2</v>
      </c>
      <c r="C599" s="376" t="str">
        <f>Technologies!C717</f>
        <v>XIINDRFLP1</v>
      </c>
      <c r="D599" s="376" t="str">
        <f>Technologies!D717</f>
        <v>Delivery of Imported Low Sulfur Residual Fuel Oil to Industrial Sector</v>
      </c>
      <c r="E599" s="415" t="str">
        <f>Commodities!C$332</f>
        <v>RFLP1</v>
      </c>
      <c r="F599" s="415" t="str">
        <f>Commodities!C105</f>
        <v>INDRFL</v>
      </c>
      <c r="G599" s="422">
        <v>1</v>
      </c>
      <c r="H599" s="421">
        <f>DelivOIL!$C97*DelivOIL!P$78^5/(Conv!$I$5*Conv!$D$46)/10^6 + OILTrade!$E$5</f>
        <v>0.51135064322138224</v>
      </c>
      <c r="I599" s="421">
        <f>DelivOIL!$C97*DelivOIL!Q$78^5/(Conv!$I$5*Conv!$D$46)/10^6 + OILTrade!$E$5</f>
        <v>0.50864846644142947</v>
      </c>
      <c r="J599" s="421">
        <f>DelivOIL!$C97*DelivOIL!R$78^5/(Conv!$I$5*Conv!$D$46)/10^6 + OILTrade!$E$5</f>
        <v>0.53510270932492443</v>
      </c>
      <c r="K599" s="421">
        <f>DelivOIL!$C97*DelivOIL!S$78^5/(Conv!$I$5*Conv!$D$46)/10^6 + OILTrade!$E$5</f>
        <v>0.64459551214967092</v>
      </c>
      <c r="L599" s="421">
        <f>DelivOIL!$C97*DelivOIL!T$78^5/(Conv!$I$5*Conv!$D$46)/10^6 + OILTrade!$E$5</f>
        <v>0.59114195681862802</v>
      </c>
      <c r="M599" s="421">
        <f>DelivOIL!$C97*DelivOIL!U$78^5/(Conv!$I$5*Conv!$D$46)/10^6 + OILTrade!$E$5</f>
        <v>0.52386793816400257</v>
      </c>
      <c r="N599" s="421">
        <f>DelivOIL!$C97*DelivOIL!V$78^5/(Conv!$I$5*Conv!$D$46)/10^6 + OILTrade!$E$5</f>
        <v>0.52386793816400257</v>
      </c>
      <c r="O599" s="421">
        <f>DelivOIL!$C97*DelivOIL!W$78^5/(Conv!$I$5*Conv!$D$46)/10^6 + OILTrade!$E$5</f>
        <v>0.52386793816400257</v>
      </c>
      <c r="P599" s="421">
        <f>DelivOIL!$C97*DelivOIL!X$78^5/(Conv!$I$5*Conv!$D$46)/10^6 + OILTrade!$E$5</f>
        <v>0.52386793816400257</v>
      </c>
      <c r="Q599" s="421">
        <f>DelivOIL!$C97*DelivOIL!Y$78^5/(Conv!$I$5*Conv!$D$46)/10^6 + OILTrade!$E$5</f>
        <v>0.52386793816400257</v>
      </c>
      <c r="S599" s="395"/>
      <c r="T599" s="395"/>
      <c r="U599" s="395"/>
      <c r="V599" s="395"/>
      <c r="W599" s="395"/>
      <c r="X599" s="395"/>
      <c r="Y599" s="395"/>
      <c r="Z599" s="395"/>
      <c r="AA599" s="395"/>
      <c r="AB599" s="395"/>
      <c r="AC599" s="395"/>
    </row>
    <row r="600" spans="2:29">
      <c r="B600" s="376" t="str">
        <f>IF(OR(LEFT(Commodities!B$332,1)="*",LEFT(Technologies!B$718,1)="*"),"*","R2")</f>
        <v>*</v>
      </c>
      <c r="C600" s="376" t="str">
        <f>Technologies!C718</f>
        <v>XIELCRFLP1</v>
      </c>
      <c r="D600" s="376" t="str">
        <f>Technologies!D718</f>
        <v>Delivery of Imported Low Sulfur Residual Fuel Oil to Electricity Sector</v>
      </c>
      <c r="E600" s="415" t="str">
        <f>Commodities!C$332</f>
        <v>RFLP1</v>
      </c>
      <c r="F600" s="415" t="str">
        <f>Commodities!C106</f>
        <v>ELCRFL</v>
      </c>
      <c r="G600" s="422">
        <v>1</v>
      </c>
      <c r="H600" s="421">
        <f>DelivOIL!$C98*DelivOIL!P$78^5/(Conv!$I$5*Conv!$D$46)/10^6 + OILTrade!$E$5</f>
        <v>0</v>
      </c>
      <c r="I600" s="421">
        <f>DelivOIL!$C98*DelivOIL!Q$78^5/(Conv!$I$5*Conv!$D$46)/10^6 + OILTrade!$E$5</f>
        <v>0</v>
      </c>
      <c r="J600" s="421">
        <f>DelivOIL!$C98*DelivOIL!R$78^5/(Conv!$I$5*Conv!$D$46)/10^6 + OILTrade!$E$5</f>
        <v>0</v>
      </c>
      <c r="K600" s="421">
        <f>DelivOIL!$C98*DelivOIL!S$78^5/(Conv!$I$5*Conv!$D$46)/10^6 + OILTrade!$E$5</f>
        <v>0</v>
      </c>
      <c r="L600" s="421">
        <f>DelivOIL!$C98*DelivOIL!T$78^5/(Conv!$I$5*Conv!$D$46)/10^6 + OILTrade!$E$5</f>
        <v>0</v>
      </c>
      <c r="M600" s="421">
        <f>DelivOIL!$C98*DelivOIL!U$78^5/(Conv!$I$5*Conv!$D$46)/10^6 + OILTrade!$E$5</f>
        <v>0</v>
      </c>
      <c r="N600" s="421">
        <f>DelivOIL!$C98*DelivOIL!V$78^5/(Conv!$I$5*Conv!$D$46)/10^6 + OILTrade!$E$5</f>
        <v>0</v>
      </c>
      <c r="O600" s="421">
        <f>DelivOIL!$C98*DelivOIL!W$78^5/(Conv!$I$5*Conv!$D$46)/10^6 + OILTrade!$E$5</f>
        <v>0</v>
      </c>
      <c r="P600" s="421">
        <f>DelivOIL!$C98*DelivOIL!X$78^5/(Conv!$I$5*Conv!$D$46)/10^6 + OILTrade!$E$5</f>
        <v>0</v>
      </c>
      <c r="Q600" s="421">
        <f>DelivOIL!$C98*DelivOIL!Y$78^5/(Conv!$I$5*Conv!$D$46)/10^6 + OILTrade!$E$5</f>
        <v>0</v>
      </c>
      <c r="S600" s="395"/>
      <c r="T600" s="395"/>
      <c r="U600" s="395"/>
      <c r="V600" s="395"/>
      <c r="W600" s="395"/>
      <c r="X600" s="395"/>
      <c r="Y600" s="395"/>
      <c r="Z600" s="395"/>
      <c r="AA600" s="395"/>
      <c r="AB600" s="395"/>
      <c r="AC600" s="395"/>
    </row>
    <row r="601" spans="2:29">
      <c r="B601" s="376" t="str">
        <f>IF(OR(LEFT(Commodities!B$331,1)="*",LEFT(Technologies!B$719,1)="*"),"*","R2")</f>
        <v>*</v>
      </c>
      <c r="C601" s="376" t="str">
        <f>Technologies!C719</f>
        <v>XITRNRFHP1</v>
      </c>
      <c r="D601" s="376" t="str">
        <f>Technologies!D719</f>
        <v>Delivery of Imported High Sulfur Residual Fuel Oil to Transportation Sector</v>
      </c>
      <c r="E601" s="415" t="str">
        <f>Commodities!C$331</f>
        <v>RFHP1</v>
      </c>
      <c r="F601" s="415" t="str">
        <f>Commodities!C107</f>
        <v>TRNRFH</v>
      </c>
      <c r="G601" s="422">
        <v>1</v>
      </c>
      <c r="H601" s="421">
        <f>DelivOIL!$C99*DelivOIL!P$78^5/(Conv!$I$5*Conv!$D$46)/10^6 + OILTrade!$E$5</f>
        <v>3.8999009056350769</v>
      </c>
      <c r="I601" s="421">
        <f>DelivOIL!$C99*DelivOIL!Q$78^5/(Conv!$I$5*Conv!$D$46)/10^6 + OILTrade!$E$5</f>
        <v>3.8792923040599705</v>
      </c>
      <c r="J601" s="421">
        <f>DelivOIL!$C99*DelivOIL!R$78^5/(Conv!$I$5*Conv!$D$46)/10^6 + OILTrade!$E$5</f>
        <v>4.0810499964514246</v>
      </c>
      <c r="K601" s="421">
        <f>DelivOIL!$C99*DelivOIL!S$78^5/(Conv!$I$5*Conv!$D$46)/10^6 + OILTrade!$E$5</f>
        <v>4.9161151059948258</v>
      </c>
      <c r="L601" s="421">
        <f>DelivOIL!$C99*DelivOIL!T$78^5/(Conv!$I$5*Conv!$D$46)/10^6 + OILTrade!$E$5</f>
        <v>4.5084426573367375</v>
      </c>
      <c r="M601" s="421">
        <f>DelivOIL!$C99*DelivOIL!U$78^5/(Conv!$I$5*Conv!$D$46)/10^6 + OILTrade!$E$5</f>
        <v>3.9953661417307949</v>
      </c>
      <c r="N601" s="421">
        <f>DelivOIL!$C99*DelivOIL!V$78^5/(Conv!$I$5*Conv!$D$46)/10^6 + OILTrade!$E$5</f>
        <v>3.9953661417307949</v>
      </c>
      <c r="O601" s="421">
        <f>DelivOIL!$C99*DelivOIL!W$78^5/(Conv!$I$5*Conv!$D$46)/10^6 + OILTrade!$E$5</f>
        <v>3.9953661417307949</v>
      </c>
      <c r="P601" s="421">
        <f>DelivOIL!$C99*DelivOIL!X$78^5/(Conv!$I$5*Conv!$D$46)/10^6 + OILTrade!$E$5</f>
        <v>3.9953661417307949</v>
      </c>
      <c r="Q601" s="421">
        <f>DelivOIL!$C99*DelivOIL!Y$78^5/(Conv!$I$5*Conv!$D$46)/10^6 + OILTrade!$E$5</f>
        <v>3.9953661417307949</v>
      </c>
      <c r="S601" s="395"/>
      <c r="T601" s="395"/>
      <c r="U601" s="395"/>
      <c r="V601" s="395"/>
      <c r="W601" s="395"/>
      <c r="X601" s="395"/>
      <c r="Y601" s="395"/>
      <c r="Z601" s="395"/>
      <c r="AA601" s="395"/>
      <c r="AB601" s="395"/>
      <c r="AC601" s="395"/>
    </row>
    <row r="602" spans="2:29">
      <c r="B602" s="376" t="str">
        <f>IF(OR(LEFT(Commodities!B$331,1)="*",LEFT(Technologies!B$720,1)="*"),"*","R2")</f>
        <v>*</v>
      </c>
      <c r="C602" s="376" t="str">
        <f>Technologies!C720</f>
        <v>XIELCRFHP1</v>
      </c>
      <c r="D602" s="376" t="str">
        <f>Technologies!D720</f>
        <v>Delivery of Imported High Sulfur Residual Fuel Oil to Electricity Sector</v>
      </c>
      <c r="E602" s="415" t="str">
        <f>Commodities!C$331</f>
        <v>RFHP1</v>
      </c>
      <c r="F602" s="415" t="str">
        <f>Commodities!C108</f>
        <v>ELCRFH</v>
      </c>
      <c r="G602" s="422">
        <v>1</v>
      </c>
      <c r="H602" s="421">
        <f>DelivOIL!$C100*DelivOIL!P$78^5/(Conv!$I$5*Conv!$D$46)/10^6 + OILTrade!$E$5</f>
        <v>1.159061457968467</v>
      </c>
      <c r="I602" s="421">
        <f>DelivOIL!$C100*DelivOIL!Q$78^5/(Conv!$I$5*Conv!$D$46)/10^6 + OILTrade!$E$5</f>
        <v>1.1529365239339078</v>
      </c>
      <c r="J602" s="421">
        <f>DelivOIL!$C100*DelivOIL!R$78^5/(Conv!$I$5*Conv!$D$46)/10^6 + OILTrade!$E$5</f>
        <v>1.2128994744698294</v>
      </c>
      <c r="K602" s="421">
        <f>DelivOIL!$C100*DelivOIL!S$78^5/(Conv!$I$5*Conv!$D$46)/10^6 + OILTrade!$E$5</f>
        <v>1.4610831608725885</v>
      </c>
      <c r="L602" s="421">
        <f>DelivOIL!$C100*DelivOIL!T$78^5/(Conv!$I$5*Conv!$D$46)/10^6 + OILTrade!$E$5</f>
        <v>1.3399217687888909</v>
      </c>
      <c r="M602" s="421">
        <f>DelivOIL!$C100*DelivOIL!U$78^5/(Conv!$I$5*Conv!$D$46)/10^6 + OILTrade!$E$5</f>
        <v>1.1874339931717401</v>
      </c>
      <c r="N602" s="421">
        <f>DelivOIL!$C100*DelivOIL!V$78^5/(Conv!$I$5*Conv!$D$46)/10^6 + OILTrade!$E$5</f>
        <v>1.1874339931717401</v>
      </c>
      <c r="O602" s="421">
        <f>DelivOIL!$C100*DelivOIL!W$78^5/(Conv!$I$5*Conv!$D$46)/10^6 + OILTrade!$E$5</f>
        <v>1.1874339931717401</v>
      </c>
      <c r="P602" s="421">
        <f>DelivOIL!$C100*DelivOIL!X$78^5/(Conv!$I$5*Conv!$D$46)/10^6 + OILTrade!$E$5</f>
        <v>1.1874339931717401</v>
      </c>
      <c r="Q602" s="421">
        <f>DelivOIL!$C100*DelivOIL!Y$78^5/(Conv!$I$5*Conv!$D$46)/10^6 + OILTrade!$E$5</f>
        <v>1.1874339931717401</v>
      </c>
      <c r="S602" s="395"/>
      <c r="T602" s="395"/>
      <c r="U602" s="395"/>
      <c r="V602" s="395"/>
      <c r="W602" s="395"/>
      <c r="X602" s="395"/>
      <c r="Y602" s="395"/>
      <c r="Z602" s="395"/>
      <c r="AA602" s="395"/>
      <c r="AB602" s="395"/>
      <c r="AC602" s="395"/>
    </row>
    <row r="603" spans="2:29">
      <c r="B603" s="378" t="s">
        <v>1086</v>
      </c>
      <c r="C603" s="378"/>
      <c r="D603" s="378"/>
      <c r="E603" s="414"/>
      <c r="F603" s="414"/>
      <c r="G603" s="418"/>
      <c r="H603" s="392"/>
      <c r="I603" s="392"/>
      <c r="J603" s="392"/>
      <c r="K603" s="392"/>
      <c r="L603" s="392"/>
      <c r="M603" s="392"/>
      <c r="N603" s="392"/>
      <c r="O603" s="392"/>
      <c r="P603" s="392"/>
      <c r="Q603" s="392"/>
    </row>
    <row r="604" spans="2:29">
      <c r="B604" s="376" t="str">
        <f>IF(LEFT(Technologies!B$702,1)="*","*","R3")</f>
        <v>R3</v>
      </c>
      <c r="C604" s="376" t="str">
        <f>Technologies!C702</f>
        <v>XITRGSLCP1</v>
      </c>
      <c r="D604" s="376" t="str">
        <f>Technologies!D702</f>
        <v>Delivery of Imported Conventional Gasoline</v>
      </c>
      <c r="E604" s="415" t="str">
        <f>Commodities!C$325</f>
        <v>GSCP1</v>
      </c>
      <c r="F604" s="415" t="str">
        <f>Commodities!C85</f>
        <v>TRGSLC</v>
      </c>
      <c r="G604" s="422">
        <v>1</v>
      </c>
      <c r="H604" s="421">
        <f>DelivOIL!$D77*DelivOIL!P$79^5/(Conv!$I$5*Conv!$D$46)/10^6 + OILTrade!$F$6</f>
        <v>3.2385540737354233</v>
      </c>
      <c r="I604" s="421">
        <f>DelivOIL!$D77*DelivOIL!Q$79^5/(Conv!$I$5*Conv!$D$46)/10^6 + OILTrade!$F$6</f>
        <v>2.8988744243739593</v>
      </c>
      <c r="J604" s="421">
        <f>DelivOIL!$D77*DelivOIL!R$79^5/(Conv!$I$5*Conv!$D$46)/10^6 + OILTrade!$F$6</f>
        <v>3.2883106312974966</v>
      </c>
      <c r="K604" s="421">
        <f>DelivOIL!$D77*DelivOIL!S$79^5/(Conv!$I$5*Conv!$D$46)/10^6 + OILTrade!$F$6</f>
        <v>3.7657689436739297</v>
      </c>
      <c r="L604" s="421">
        <f>DelivOIL!$D77*DelivOIL!T$79^5/(Conv!$I$5*Conv!$D$46)/10^6 + OILTrade!$F$6</f>
        <v>3.4451566955628401</v>
      </c>
      <c r="M604" s="421">
        <f>DelivOIL!$D77*DelivOIL!U$79^5/(Conv!$I$5*Conv!$D$46)/10^6 + OILTrade!$F$6</f>
        <v>3.2867226684291446</v>
      </c>
      <c r="N604" s="421">
        <f>DelivOIL!$D77*DelivOIL!V$79^5/(Conv!$I$5*Conv!$D$46)/10^6 + OILTrade!$F$6</f>
        <v>3.2867226684291446</v>
      </c>
      <c r="O604" s="421">
        <f>DelivOIL!$D77*DelivOIL!W$79^5/(Conv!$I$5*Conv!$D$46)/10^6 + OILTrade!$F$6</f>
        <v>3.2867226684291446</v>
      </c>
      <c r="P604" s="421">
        <f>DelivOIL!$D77*DelivOIL!X$79^5/(Conv!$I$5*Conv!$D$46)/10^6 + OILTrade!$F$6</f>
        <v>3.2867226684291446</v>
      </c>
      <c r="Q604" s="421">
        <f>DelivOIL!$D77*DelivOIL!Y$79^5/(Conv!$I$5*Conv!$D$46)/10^6 + OILTrade!$F$6</f>
        <v>3.2867226684291446</v>
      </c>
      <c r="S604" s="395"/>
      <c r="T604" s="395"/>
      <c r="U604" s="395"/>
      <c r="V604" s="395"/>
      <c r="W604" s="395"/>
      <c r="X604" s="395"/>
      <c r="Y604" s="395"/>
      <c r="Z604" s="395"/>
      <c r="AA604" s="395"/>
      <c r="AB604" s="395"/>
      <c r="AC604" s="395"/>
    </row>
    <row r="605" spans="2:29">
      <c r="B605" s="376" t="str">
        <f>IF(LEFT(Technologies!B$703,1)="*","*","R3")</f>
        <v>R3</v>
      </c>
      <c r="C605" s="376" t="str">
        <f>Technologies!C703</f>
        <v>XITRGSLRP1</v>
      </c>
      <c r="D605" s="376" t="str">
        <f>Technologies!D703</f>
        <v>Delivery of Imported Reformulated Gasoline</v>
      </c>
      <c r="E605" s="415" t="str">
        <f>Commodities!C$326</f>
        <v>GSRP1</v>
      </c>
      <c r="F605" s="415" t="str">
        <f>Commodities!C86</f>
        <v>TRGSLR</v>
      </c>
      <c r="G605" s="422">
        <v>1</v>
      </c>
      <c r="H605" s="421">
        <f>DelivOIL!$D78*DelivOIL!P$79^5/(Conv!$I$5*Conv!$D$46)/10^6 + OILTrade!$F$6</f>
        <v>3.1771919965488564</v>
      </c>
      <c r="I605" s="421">
        <f>DelivOIL!$D78*DelivOIL!Q$79^5/(Conv!$I$5*Conv!$D$46)/10^6 + OILTrade!$F$6</f>
        <v>2.843948382648978</v>
      </c>
      <c r="J605" s="421">
        <f>DelivOIL!$D78*DelivOIL!R$79^5/(Conv!$I$5*Conv!$D$46)/10^6 + OILTrade!$F$6</f>
        <v>3.2260057982834383</v>
      </c>
      <c r="K605" s="421">
        <f>DelivOIL!$D78*DelivOIL!S$79^5/(Conv!$I$5*Conv!$D$46)/10^6 + OILTrade!$F$6</f>
        <v>3.6944175321095809</v>
      </c>
      <c r="L605" s="421">
        <f>DelivOIL!$D78*DelivOIL!T$79^5/(Conv!$I$5*Conv!$D$46)/10^6 + OILTrade!$F$6</f>
        <v>3.3798800423837543</v>
      </c>
      <c r="M605" s="421">
        <f>DelivOIL!$D78*DelivOIL!U$79^5/(Conv!$I$5*Conv!$D$46)/10^6 + OILTrade!$F$6</f>
        <v>3.2244479231325913</v>
      </c>
      <c r="N605" s="421">
        <f>DelivOIL!$D78*DelivOIL!V$79^5/(Conv!$I$5*Conv!$D$46)/10^6 + OILTrade!$F$6</f>
        <v>3.2244479231325913</v>
      </c>
      <c r="O605" s="421">
        <f>DelivOIL!$D78*DelivOIL!W$79^5/(Conv!$I$5*Conv!$D$46)/10^6 + OILTrade!$F$6</f>
        <v>3.2244479231325913</v>
      </c>
      <c r="P605" s="421">
        <f>DelivOIL!$D78*DelivOIL!X$79^5/(Conv!$I$5*Conv!$D$46)/10^6 + OILTrade!$F$6</f>
        <v>3.2244479231325913</v>
      </c>
      <c r="Q605" s="421">
        <f>DelivOIL!$D78*DelivOIL!Y$79^5/(Conv!$I$5*Conv!$D$46)/10^6 + OILTrade!$F$6</f>
        <v>3.2244479231325913</v>
      </c>
      <c r="S605" s="395"/>
      <c r="T605" s="395"/>
      <c r="U605" s="395"/>
      <c r="V605" s="395"/>
      <c r="W605" s="395"/>
      <c r="X605" s="395"/>
      <c r="Y605" s="395"/>
      <c r="Z605" s="395"/>
      <c r="AA605" s="395"/>
      <c r="AB605" s="395"/>
      <c r="AC605" s="395"/>
    </row>
    <row r="606" spans="2:29">
      <c r="B606" s="376" t="str">
        <f>IF(OR(LEFT(Commodities!B$323,1)="*",LEFT(Technologies!B$704,1)="*"),"*","R3")</f>
        <v>R3</v>
      </c>
      <c r="C606" s="376" t="str">
        <f>Technologies!C704</f>
        <v>XITRDSLLP1</v>
      </c>
      <c r="D606" s="376" t="str">
        <f>Technologies!D704</f>
        <v>Delivery of Imported Distillate-Low Sulfur Highway Diesel (500 ppm)</v>
      </c>
      <c r="E606" s="415" t="str">
        <f>Commodities!C$323</f>
        <v>DSLP1</v>
      </c>
      <c r="F606" s="415" t="str">
        <f>Commodities!C91</f>
        <v>TRDSLL</v>
      </c>
      <c r="G606" s="422">
        <v>1</v>
      </c>
      <c r="H606" s="421">
        <f>DelivOIL!$D84*DelivOIL!P$79^5/(Conv!$I$5*Conv!$D$46)/10^6 + OILTrade!$F$6</f>
        <v>3.7021786569228099</v>
      </c>
      <c r="I606" s="421">
        <f>DelivOIL!$D84*DelivOIL!Q$79^5/(Conv!$I$5*Conv!$D$46)/10^6 + OILTrade!$F$6</f>
        <v>3.3138711840738093</v>
      </c>
      <c r="J606" s="421">
        <f>DelivOIL!$D84*DelivOIL!R$79^5/(Conv!$I$5*Conv!$D$46)/10^6 + OILTrade!$F$6</f>
        <v>3.759058258514822</v>
      </c>
      <c r="K606" s="421">
        <f>DelivOIL!$D84*DelivOIL!S$79^5/(Conv!$I$5*Conv!$D$46)/10^6 + OILTrade!$F$6</f>
        <v>4.3048684977156704</v>
      </c>
      <c r="L606" s="421">
        <f>DelivOIL!$D84*DelivOIL!T$79^5/(Conv!$I$5*Conv!$D$46)/10^6 + OILTrade!$F$6</f>
        <v>3.9383580751381513</v>
      </c>
      <c r="M606" s="421">
        <f>DelivOIL!$D84*DelivOIL!U$79^5/(Conv!$I$5*Conv!$D$46)/10^6 + OILTrade!$F$6</f>
        <v>3.7572429662253168</v>
      </c>
      <c r="N606" s="421">
        <f>DelivOIL!$D84*DelivOIL!V$79^5/(Conv!$I$5*Conv!$D$46)/10^6 + OILTrade!$F$6</f>
        <v>3.7572429662253168</v>
      </c>
      <c r="O606" s="421">
        <f>DelivOIL!$D84*DelivOIL!W$79^5/(Conv!$I$5*Conv!$D$46)/10^6 + OILTrade!$F$6</f>
        <v>3.7572429662253168</v>
      </c>
      <c r="P606" s="421">
        <f>DelivOIL!$D84*DelivOIL!X$79^5/(Conv!$I$5*Conv!$D$46)/10^6 + OILTrade!$F$6</f>
        <v>3.7572429662253168</v>
      </c>
      <c r="Q606" s="421">
        <f>DelivOIL!$D84*DelivOIL!Y$79^5/(Conv!$I$5*Conv!$D$46)/10^6 + OILTrade!$F$6</f>
        <v>3.7572429662253168</v>
      </c>
      <c r="S606" s="395"/>
      <c r="T606" s="395"/>
      <c r="U606" s="395"/>
      <c r="V606" s="395"/>
      <c r="W606" s="395"/>
      <c r="X606" s="395"/>
      <c r="Y606" s="395"/>
      <c r="Z606" s="395"/>
      <c r="AA606" s="395"/>
      <c r="AB606" s="395"/>
      <c r="AC606" s="395"/>
    </row>
    <row r="607" spans="2:29">
      <c r="B607" s="376" t="str">
        <f>IF(OR(LEFT(Commodities!B$324,1)="*",LEFT(Technologies!B$705,1)="*"),"*","R3")</f>
        <v>R3</v>
      </c>
      <c r="C607" s="376" t="str">
        <f>Technologies!C705</f>
        <v>XITRDSLUP1</v>
      </c>
      <c r="D607" s="376" t="str">
        <f>Technologies!D705</f>
        <v>Delivery of Imported Distillate-Ultralow Sulfur Highway Diesel (15 ppm)</v>
      </c>
      <c r="E607" s="415" t="str">
        <f>Commodities!C$324</f>
        <v>DSUP1</v>
      </c>
      <c r="F607" s="415" t="str">
        <f>Commodities!C92</f>
        <v>TRDSLU</v>
      </c>
      <c r="G607" s="422">
        <v>1</v>
      </c>
      <c r="H607" s="421">
        <f>DelivOIL!$D85*DelivOIL!P$79^5/(Conv!$I$5*Conv!$D$46)/10^6 + OILTrade!$F$6</f>
        <v>2.9726517392603045</v>
      </c>
      <c r="I607" s="421">
        <f>DelivOIL!$D85*DelivOIL!Q$79^5/(Conv!$I$5*Conv!$D$46)/10^6 + OILTrade!$F$6</f>
        <v>2.6608615768990442</v>
      </c>
      <c r="J607" s="421">
        <f>DelivOIL!$D85*DelivOIL!R$79^5/(Conv!$I$5*Conv!$D$46)/10^6 + OILTrade!$F$6</f>
        <v>3.0183230215699122</v>
      </c>
      <c r="K607" s="421">
        <f>DelivOIL!$D85*DelivOIL!S$79^5/(Conv!$I$5*Conv!$D$46)/10^6 + OILTrade!$F$6</f>
        <v>3.4565794935617546</v>
      </c>
      <c r="L607" s="421">
        <f>DelivOIL!$D85*DelivOIL!T$79^5/(Conv!$I$5*Conv!$D$46)/10^6 + OILTrade!$F$6</f>
        <v>3.1622911984534703</v>
      </c>
      <c r="M607" s="421">
        <f>DelivOIL!$D85*DelivOIL!U$79^5/(Conv!$I$5*Conv!$D$46)/10^6 + OILTrade!$F$6</f>
        <v>3.0168654388107514</v>
      </c>
      <c r="N607" s="421">
        <f>DelivOIL!$D85*DelivOIL!V$79^5/(Conv!$I$5*Conv!$D$46)/10^6 + OILTrade!$F$6</f>
        <v>3.0168654388107514</v>
      </c>
      <c r="O607" s="421">
        <f>DelivOIL!$D85*DelivOIL!W$79^5/(Conv!$I$5*Conv!$D$46)/10^6 + OILTrade!$F$6</f>
        <v>3.0168654388107514</v>
      </c>
      <c r="P607" s="421">
        <f>DelivOIL!$D85*DelivOIL!X$79^5/(Conv!$I$5*Conv!$D$46)/10^6 + OILTrade!$F$6</f>
        <v>3.0168654388107514</v>
      </c>
      <c r="Q607" s="421">
        <f>DelivOIL!$D85*DelivOIL!Y$79^5/(Conv!$I$5*Conv!$D$46)/10^6 + OILTrade!$F$6</f>
        <v>3.0168654388107514</v>
      </c>
      <c r="S607" s="395"/>
      <c r="T607" s="395"/>
      <c r="U607" s="395"/>
      <c r="V607" s="395"/>
      <c r="W607" s="395"/>
      <c r="X607" s="395"/>
      <c r="Y607" s="395"/>
      <c r="Z607" s="395"/>
      <c r="AA607" s="395"/>
      <c r="AB607" s="395"/>
      <c r="AC607" s="395"/>
    </row>
    <row r="608" spans="2:29">
      <c r="B608" s="376" t="str">
        <f>IF(OR(LEFT(Commodities!B$64,1)="*",LEFT(Technologies!B$232,1)="*"),"*","R3")</f>
        <v>R3</v>
      </c>
      <c r="C608" s="376" t="str">
        <f>Technologies!C232</f>
        <v>XITRNJTFP1</v>
      </c>
      <c r="D608" s="376" t="str">
        <f>Technologies!D232</f>
        <v>Delivery of Imported Jet Fuel</v>
      </c>
      <c r="E608" s="415" t="str">
        <f>Commodities!C$64</f>
        <v>JTFP1</v>
      </c>
      <c r="F608" s="415" t="str">
        <f>Commodities!C93</f>
        <v>TRNJTF</v>
      </c>
      <c r="G608" s="422">
        <v>1</v>
      </c>
      <c r="H608" s="421">
        <f>DelivOIL!$D86*DelivOIL!P$79^5/(Conv!$I$5*Conv!$D$46)/10^6 + OILTrade!$F$6</f>
        <v>0.53180466895023826</v>
      </c>
      <c r="I608" s="421">
        <f>DelivOIL!$D86*DelivOIL!Q$79^5/(Conv!$I$5*Conv!$D$46)/10^6 + OILTrade!$F$6</f>
        <v>0.47602569494982944</v>
      </c>
      <c r="J608" s="421">
        <f>DelivOIL!$D86*DelivOIL!R$79^5/(Conv!$I$5*Conv!$D$46)/10^6 + OILTrade!$F$6</f>
        <v>0.53997521945516824</v>
      </c>
      <c r="K608" s="421">
        <f>DelivOIL!$D86*DelivOIL!S$79^5/(Conv!$I$5*Conv!$D$46)/10^6 + OILTrade!$F$6</f>
        <v>0.61837890022435094</v>
      </c>
      <c r="L608" s="421">
        <f>DelivOIL!$D86*DelivOIL!T$79^5/(Conv!$I$5*Conv!$D$46)/10^6 + OILTrade!$F$6</f>
        <v>0.56573099421874051</v>
      </c>
      <c r="M608" s="421">
        <f>DelivOIL!$D86*DelivOIL!U$79^5/(Conv!$I$5*Conv!$D$46)/10^6 + OILTrade!$F$6</f>
        <v>0.53971445923678618</v>
      </c>
      <c r="N608" s="421">
        <f>DelivOIL!$D86*DelivOIL!V$79^5/(Conv!$I$5*Conv!$D$46)/10^6 + OILTrade!$F$6</f>
        <v>0.53971445923678618</v>
      </c>
      <c r="O608" s="421">
        <f>DelivOIL!$D86*DelivOIL!W$79^5/(Conv!$I$5*Conv!$D$46)/10^6 + OILTrade!$F$6</f>
        <v>0.53971445923678618</v>
      </c>
      <c r="P608" s="421">
        <f>DelivOIL!$D86*DelivOIL!X$79^5/(Conv!$I$5*Conv!$D$46)/10^6 + OILTrade!$F$6</f>
        <v>0.53971445923678618</v>
      </c>
      <c r="Q608" s="421">
        <f>DelivOIL!$D86*DelivOIL!Y$79^5/(Conv!$I$5*Conv!$D$46)/10^6 + OILTrade!$F$6</f>
        <v>0.53971445923678618</v>
      </c>
      <c r="S608" s="395"/>
      <c r="T608" s="395"/>
      <c r="U608" s="395"/>
      <c r="V608" s="395"/>
      <c r="W608" s="395"/>
      <c r="X608" s="395"/>
      <c r="Y608" s="395"/>
      <c r="Z608" s="395"/>
      <c r="AA608" s="395"/>
      <c r="AB608" s="395"/>
      <c r="AC608" s="395"/>
    </row>
    <row r="609" spans="2:29">
      <c r="B609" s="376" t="str">
        <f>IF(OR(LEFT(Commodities!B$327,1)="*",LEFT(Technologies!B$706,1)="*"),"*","R3")</f>
        <v>*</v>
      </c>
      <c r="C609" s="376" t="str">
        <f>Technologies!C706</f>
        <v>XIRESKERP1</v>
      </c>
      <c r="D609" s="376" t="str">
        <f>Technologies!D706</f>
        <v>Delivery of Imported Kerosene and Other Refined Products to the Residential Sector</v>
      </c>
      <c r="E609" s="415" t="str">
        <f>Commodities!C$327</f>
        <v>KERP1</v>
      </c>
      <c r="F609" s="415" t="str">
        <f>Commodities!C94</f>
        <v>RESKER</v>
      </c>
      <c r="G609" s="422">
        <v>1</v>
      </c>
      <c r="H609" s="421">
        <f>DelivOIL!$D87*DelivOIL!P$79^5/(Conv!$I$5*Conv!$D$46)/10^6 + OILTrade!$F$6</f>
        <v>2.6794773704800448</v>
      </c>
      <c r="I609" s="421">
        <f>DelivOIL!$D87*DelivOIL!Q$79^5/(Conv!$I$5*Conv!$D$46)/10^6 + OILTrade!$F$6</f>
        <v>2.3984371553241384</v>
      </c>
      <c r="J609" s="421">
        <f>DelivOIL!$D87*DelivOIL!R$79^5/(Conv!$I$5*Conv!$D$46)/10^6 + OILTrade!$F$6</f>
        <v>2.7206443749471916</v>
      </c>
      <c r="K609" s="421">
        <f>DelivOIL!$D87*DelivOIL!S$79^5/(Conv!$I$5*Conv!$D$46)/10^6 + OILTrade!$F$6</f>
        <v>3.1156783049765351</v>
      </c>
      <c r="L609" s="421">
        <f>DelivOIL!$D87*DelivOIL!T$79^5/(Conv!$I$5*Conv!$D$46)/10^6 + OILTrade!$F$6</f>
        <v>2.8504138554867282</v>
      </c>
      <c r="M609" s="421">
        <f>DelivOIL!$D87*DelivOIL!U$79^5/(Conv!$I$5*Conv!$D$46)/10^6 + OILTrade!$F$6</f>
        <v>2.7193305446161129</v>
      </c>
      <c r="N609" s="421">
        <f>DelivOIL!$D87*DelivOIL!V$79^5/(Conv!$I$5*Conv!$D$46)/10^6 + OILTrade!$F$6</f>
        <v>2.7193305446161129</v>
      </c>
      <c r="O609" s="421">
        <f>DelivOIL!$D87*DelivOIL!W$79^5/(Conv!$I$5*Conv!$D$46)/10^6 + OILTrade!$F$6</f>
        <v>2.7193305446161129</v>
      </c>
      <c r="P609" s="421">
        <f>DelivOIL!$D87*DelivOIL!X$79^5/(Conv!$I$5*Conv!$D$46)/10^6 + OILTrade!$F$6</f>
        <v>2.7193305446161129</v>
      </c>
      <c r="Q609" s="421">
        <f>DelivOIL!$D87*DelivOIL!Y$79^5/(Conv!$I$5*Conv!$D$46)/10^6 + OILTrade!$F$6</f>
        <v>2.7193305446161129</v>
      </c>
      <c r="S609" s="395"/>
      <c r="T609" s="395"/>
      <c r="U609" s="395"/>
      <c r="V609" s="395"/>
      <c r="W609" s="395"/>
      <c r="X609" s="395"/>
      <c r="Y609" s="395"/>
      <c r="Z609" s="395"/>
      <c r="AA609" s="395"/>
      <c r="AB609" s="395"/>
      <c r="AC609" s="395"/>
    </row>
    <row r="610" spans="2:29">
      <c r="B610" s="376" t="str">
        <f>IF(OR(LEFT(Commodities!B$327,1)="*",LEFT(Technologies!B$707,1)="*"),"*","R3")</f>
        <v>*</v>
      </c>
      <c r="C610" s="376" t="str">
        <f>Technologies!C707</f>
        <v>XICOMKERP1</v>
      </c>
      <c r="D610" s="376" t="str">
        <f>Technologies!D707</f>
        <v>Delivery of Imported Kerosene and Other Refined Products to the Commercial Sector</v>
      </c>
      <c r="E610" s="415" t="str">
        <f>Commodities!C$327</f>
        <v>KERP1</v>
      </c>
      <c r="F610" s="415" t="str">
        <f>Commodities!C95</f>
        <v>COMKER</v>
      </c>
      <c r="G610" s="422">
        <v>1</v>
      </c>
      <c r="H610" s="421">
        <f>DelivOIL!$D88*DelivOIL!P$79^5/(Conv!$I$5*Conv!$D$46)/10^6 + OILTrade!$F$6</f>
        <v>2.8022015248531766</v>
      </c>
      <c r="I610" s="421">
        <f>DelivOIL!$D88*DelivOIL!Q$79^5/(Conv!$I$5*Conv!$D$46)/10^6 + OILTrade!$F$6</f>
        <v>2.5082892387740987</v>
      </c>
      <c r="J610" s="421">
        <f>DelivOIL!$D88*DelivOIL!R$79^5/(Conv!$I$5*Conv!$D$46)/10^6 + OILTrade!$F$6</f>
        <v>2.8452540409753073</v>
      </c>
      <c r="K610" s="421">
        <f>DelivOIL!$D88*DelivOIL!S$79^5/(Conv!$I$5*Conv!$D$46)/10^6 + OILTrade!$F$6</f>
        <v>3.2583811281052317</v>
      </c>
      <c r="L610" s="421">
        <f>DelivOIL!$D88*DelivOIL!T$79^5/(Conv!$I$5*Conv!$D$46)/10^6 + OILTrade!$F$6</f>
        <v>2.9809671618448994</v>
      </c>
      <c r="M610" s="421">
        <f>DelivOIL!$D88*DelivOIL!U$79^5/(Conv!$I$5*Conv!$D$46)/10^6 + OILTrade!$F$6</f>
        <v>2.8438800352092177</v>
      </c>
      <c r="N610" s="421">
        <f>DelivOIL!$D88*DelivOIL!V$79^5/(Conv!$I$5*Conv!$D$46)/10^6 + OILTrade!$F$6</f>
        <v>2.8438800352092177</v>
      </c>
      <c r="O610" s="421">
        <f>DelivOIL!$D88*DelivOIL!W$79^5/(Conv!$I$5*Conv!$D$46)/10^6 + OILTrade!$F$6</f>
        <v>2.8438800352092177</v>
      </c>
      <c r="P610" s="421">
        <f>DelivOIL!$D88*DelivOIL!X$79^5/(Conv!$I$5*Conv!$D$46)/10^6 + OILTrade!$F$6</f>
        <v>2.8438800352092177</v>
      </c>
      <c r="Q610" s="421">
        <f>DelivOIL!$D88*DelivOIL!Y$79^5/(Conv!$I$5*Conv!$D$46)/10^6 + OILTrade!$F$6</f>
        <v>2.8438800352092177</v>
      </c>
      <c r="S610" s="395"/>
      <c r="T610" s="395"/>
      <c r="U610" s="395"/>
      <c r="V610" s="395"/>
      <c r="W610" s="395"/>
      <c r="X610" s="395"/>
      <c r="Y610" s="395"/>
      <c r="Z610" s="395"/>
      <c r="AA610" s="395"/>
      <c r="AB610" s="395"/>
      <c r="AC610" s="395"/>
    </row>
    <row r="611" spans="2:29">
      <c r="B611" s="376" t="str">
        <f>IF(OR(LEFT(Commodities!B$327,1)="*",LEFT(Technologies!B$708,1)="*"),"*","R3")</f>
        <v>*</v>
      </c>
      <c r="C611" s="376" t="str">
        <f>Technologies!C708</f>
        <v>XIINDKERP1</v>
      </c>
      <c r="D611" s="376" t="str">
        <f>Technologies!D708</f>
        <v>Delivery of Imported Kerosene and Other Refined Products to the Industrial Sector</v>
      </c>
      <c r="E611" s="415" t="str">
        <f>Commodities!C$327</f>
        <v>KERP1</v>
      </c>
      <c r="F611" s="415" t="str">
        <f>Commodities!C96</f>
        <v>INDKER</v>
      </c>
      <c r="G611" s="422">
        <v>1</v>
      </c>
      <c r="H611" s="421">
        <f>DelivOIL!$D89*DelivOIL!P$79^5/(Conv!$I$5*Conv!$D$46)/10^6 + OILTrade!$F$6</f>
        <v>1.3431476895281651</v>
      </c>
      <c r="I611" s="421">
        <f>DelivOIL!$D89*DelivOIL!Q$79^5/(Conv!$I$5*Conv!$D$46)/10^6 + OILTrade!$F$6</f>
        <v>1.2022700244245683</v>
      </c>
      <c r="J611" s="421">
        <f>DelivOIL!$D89*DelivOIL!R$79^5/(Conv!$I$5*Conv!$D$46)/10^6 + OILTrade!$F$6</f>
        <v>1.3637835670854883</v>
      </c>
      <c r="K611" s="421">
        <f>DelivOIL!$D89*DelivOIL!S$79^5/(Conv!$I$5*Conv!$D$46)/10^6 + OILTrade!$F$6</f>
        <v>1.5618031197973985</v>
      </c>
      <c r="L611" s="421">
        <f>DelivOIL!$D89*DelivOIL!T$79^5/(Conv!$I$5*Conv!$D$46)/10^6 + OILTrade!$F$6</f>
        <v>1.4288334084755359</v>
      </c>
      <c r="M611" s="421">
        <f>DelivOIL!$D89*DelivOIL!U$79^5/(Conv!$I$5*Conv!$D$46)/10^6 + OILTrade!$F$6</f>
        <v>1.3631249803800876</v>
      </c>
      <c r="N611" s="421">
        <f>DelivOIL!$D89*DelivOIL!V$79^5/(Conv!$I$5*Conv!$D$46)/10^6 + OILTrade!$F$6</f>
        <v>1.3631249803800876</v>
      </c>
      <c r="O611" s="421">
        <f>DelivOIL!$D89*DelivOIL!W$79^5/(Conv!$I$5*Conv!$D$46)/10^6 + OILTrade!$F$6</f>
        <v>1.3631249803800876</v>
      </c>
      <c r="P611" s="421">
        <f>DelivOIL!$D89*DelivOIL!X$79^5/(Conv!$I$5*Conv!$D$46)/10^6 + OILTrade!$F$6</f>
        <v>1.3631249803800876</v>
      </c>
      <c r="Q611" s="421">
        <f>DelivOIL!$D89*DelivOIL!Y$79^5/(Conv!$I$5*Conv!$D$46)/10^6 + OILTrade!$F$6</f>
        <v>1.3631249803800876</v>
      </c>
      <c r="S611" s="395"/>
      <c r="T611" s="395"/>
      <c r="U611" s="395"/>
      <c r="V611" s="395"/>
      <c r="W611" s="395"/>
      <c r="X611" s="395"/>
      <c r="Y611" s="395"/>
      <c r="Z611" s="395"/>
      <c r="AA611" s="395"/>
      <c r="AB611" s="395"/>
      <c r="AC611" s="395"/>
    </row>
    <row r="612" spans="2:29">
      <c r="B612" s="376" t="str">
        <f>IF(OR(LEFT(Commodities!B$328,1)="*",LEFT(Technologies!B$709,1)="*"),"*","R3")</f>
        <v>*</v>
      </c>
      <c r="C612" s="376" t="str">
        <f>Technologies!C709</f>
        <v>XIRESLPGP1</v>
      </c>
      <c r="D612" s="376" t="str">
        <f>Technologies!D709</f>
        <v>Delivery of Imported LPG to the Residential Sector</v>
      </c>
      <c r="E612" s="415" t="str">
        <f>Commodities!C$328</f>
        <v>LPGP1</v>
      </c>
      <c r="F612" s="415" t="str">
        <f>Commodities!C97</f>
        <v>RESLPG</v>
      </c>
      <c r="G612" s="422">
        <v>1</v>
      </c>
      <c r="H612" s="421">
        <f>DelivOIL!$D90*DelivOIL!P$79^5/(Conv!$I$5*Conv!$D$46)/10^6 + OILTrade!$F$6</f>
        <v>3.4430943310239761</v>
      </c>
      <c r="I612" s="421">
        <f>DelivOIL!$D90*DelivOIL!Q$79^5/(Conv!$I$5*Conv!$D$46)/10^6 + OILTrade!$F$6</f>
        <v>3.0819612301238934</v>
      </c>
      <c r="J612" s="421">
        <f>DelivOIL!$D90*DelivOIL!R$79^5/(Conv!$I$5*Conv!$D$46)/10^6 + OILTrade!$F$6</f>
        <v>3.4959934080110231</v>
      </c>
      <c r="K612" s="421">
        <f>DelivOIL!$D90*DelivOIL!S$79^5/(Conv!$I$5*Conv!$D$46)/10^6 + OILTrade!$F$6</f>
        <v>4.0036069822217568</v>
      </c>
      <c r="L612" s="421">
        <f>DelivOIL!$D90*DelivOIL!T$79^5/(Conv!$I$5*Conv!$D$46)/10^6 + OILTrade!$F$6</f>
        <v>3.662745539493125</v>
      </c>
      <c r="M612" s="421">
        <f>DelivOIL!$D90*DelivOIL!U$79^5/(Conv!$I$5*Conv!$D$46)/10^6 + OILTrade!$F$6</f>
        <v>3.4943051527509854</v>
      </c>
      <c r="N612" s="421">
        <f>DelivOIL!$D90*DelivOIL!V$79^5/(Conv!$I$5*Conv!$D$46)/10^6 + OILTrade!$F$6</f>
        <v>3.4943051527509854</v>
      </c>
      <c r="O612" s="421">
        <f>DelivOIL!$D90*DelivOIL!W$79^5/(Conv!$I$5*Conv!$D$46)/10^6 + OILTrade!$F$6</f>
        <v>3.4943051527509854</v>
      </c>
      <c r="P612" s="421">
        <f>DelivOIL!$D90*DelivOIL!X$79^5/(Conv!$I$5*Conv!$D$46)/10^6 + OILTrade!$F$6</f>
        <v>3.4943051527509854</v>
      </c>
      <c r="Q612" s="421">
        <f>DelivOIL!$D90*DelivOIL!Y$79^5/(Conv!$I$5*Conv!$D$46)/10^6 + OILTrade!$F$6</f>
        <v>3.4943051527509854</v>
      </c>
      <c r="S612" s="395"/>
      <c r="T612" s="395"/>
      <c r="U612" s="395"/>
      <c r="V612" s="395"/>
      <c r="W612" s="395"/>
      <c r="X612" s="395"/>
      <c r="Y612" s="395"/>
      <c r="Z612" s="395"/>
      <c r="AA612" s="395"/>
      <c r="AB612" s="395"/>
      <c r="AC612" s="395"/>
    </row>
    <row r="613" spans="2:29">
      <c r="B613" s="376" t="str">
        <f>IF(OR(LEFT(Commodities!B$328,1)="*",LEFT(Technologies!B$710,1)="*"),"*","R3")</f>
        <v>*</v>
      </c>
      <c r="C613" s="376" t="str">
        <f>Technologies!C710</f>
        <v>XICOMLPGP1</v>
      </c>
      <c r="D613" s="376" t="str">
        <f>Technologies!D710</f>
        <v>Delivery of Imported LPG to the Commercial Sector</v>
      </c>
      <c r="E613" s="415" t="str">
        <f>Commodities!C$328</f>
        <v>LPGP1</v>
      </c>
      <c r="F613" s="415" t="str">
        <f>Commodities!C98</f>
        <v>COMLPG</v>
      </c>
      <c r="G613" s="422">
        <v>1</v>
      </c>
      <c r="H613" s="421">
        <f>DelivOIL!$D91*DelivOIL!P$79^5/(Conv!$I$5*Conv!$D$46)/10^6 + OILTrade!$F$6</f>
        <v>3.1908280137014269</v>
      </c>
      <c r="I613" s="421">
        <f>DelivOIL!$D91*DelivOIL!Q$79^5/(Conv!$I$5*Conv!$D$46)/10^6 + OILTrade!$F$6</f>
        <v>2.8561541696989736</v>
      </c>
      <c r="J613" s="421">
        <f>DelivOIL!$D91*DelivOIL!R$79^5/(Conv!$I$5*Conv!$D$46)/10^6 + OILTrade!$F$6</f>
        <v>3.239851316731007</v>
      </c>
      <c r="K613" s="421">
        <f>DelivOIL!$D91*DelivOIL!S$79^5/(Conv!$I$5*Conv!$D$46)/10^6 + OILTrade!$F$6</f>
        <v>3.7102734013461025</v>
      </c>
      <c r="L613" s="421">
        <f>DelivOIL!$D91*DelivOIL!T$79^5/(Conv!$I$5*Conv!$D$46)/10^6 + OILTrade!$F$6</f>
        <v>3.3943859653124395</v>
      </c>
      <c r="M613" s="421">
        <f>DelivOIL!$D91*DelivOIL!U$79^5/(Conv!$I$5*Conv!$D$46)/10^6 + OILTrade!$F$6</f>
        <v>3.238286755420714</v>
      </c>
      <c r="N613" s="421">
        <f>DelivOIL!$D91*DelivOIL!V$79^5/(Conv!$I$5*Conv!$D$46)/10^6 + OILTrade!$F$6</f>
        <v>3.238286755420714</v>
      </c>
      <c r="O613" s="421">
        <f>DelivOIL!$D91*DelivOIL!W$79^5/(Conv!$I$5*Conv!$D$46)/10^6 + OILTrade!$F$6</f>
        <v>3.238286755420714</v>
      </c>
      <c r="P613" s="421">
        <f>DelivOIL!$D91*DelivOIL!X$79^5/(Conv!$I$5*Conv!$D$46)/10^6 + OILTrade!$F$6</f>
        <v>3.238286755420714</v>
      </c>
      <c r="Q613" s="421">
        <f>DelivOIL!$D91*DelivOIL!Y$79^5/(Conv!$I$5*Conv!$D$46)/10^6 + OILTrade!$F$6</f>
        <v>3.238286755420714</v>
      </c>
      <c r="S613" s="395"/>
      <c r="T613" s="395"/>
      <c r="U613" s="395"/>
      <c r="V613" s="395"/>
      <c r="W613" s="395"/>
      <c r="X613" s="395"/>
      <c r="Y613" s="395"/>
      <c r="Z613" s="395"/>
      <c r="AA613" s="395"/>
      <c r="AB613" s="395"/>
      <c r="AC613" s="395"/>
    </row>
    <row r="614" spans="2:29">
      <c r="B614" s="376" t="str">
        <f>IF(OR(LEFT(Commodities!B$328,1)="*",LEFT(Technologies!B$711,1)="*"),"*","R3")</f>
        <v>*</v>
      </c>
      <c r="C614" s="376" t="str">
        <f>Technologies!C711</f>
        <v>XIINDLPGP1</v>
      </c>
      <c r="D614" s="376" t="str">
        <f>Technologies!D711</f>
        <v>Delivery of Imported LPG to the Industrial Sector</v>
      </c>
      <c r="E614" s="415" t="str">
        <f>Commodities!C$328</f>
        <v>LPGP1</v>
      </c>
      <c r="F614" s="415" t="str">
        <f>Commodities!C99</f>
        <v>INDLPG</v>
      </c>
      <c r="G614" s="422">
        <v>1</v>
      </c>
      <c r="H614" s="421">
        <f>DelivOIL!$D92*DelivOIL!P$79^5/(Conv!$I$5*Conv!$D$46)/10^6 + OILTrade!$F$6</f>
        <v>2.7067494047851852</v>
      </c>
      <c r="I614" s="421">
        <f>DelivOIL!$D92*DelivOIL!Q$79^5/(Conv!$I$5*Conv!$D$46)/10^6 + OILTrade!$F$6</f>
        <v>2.4228487294241297</v>
      </c>
      <c r="J614" s="421">
        <f>DelivOIL!$D92*DelivOIL!R$79^5/(Conv!$I$5*Conv!$D$46)/10^6 + OILTrade!$F$6</f>
        <v>2.7483354118423287</v>
      </c>
      <c r="K614" s="421">
        <f>DelivOIL!$D92*DelivOIL!S$79^5/(Conv!$I$5*Conv!$D$46)/10^6 + OILTrade!$F$6</f>
        <v>3.1473900434495787</v>
      </c>
      <c r="L614" s="421">
        <f>DelivOIL!$D92*DelivOIL!T$79^5/(Conv!$I$5*Conv!$D$46)/10^6 + OILTrade!$F$6</f>
        <v>2.8794257013441</v>
      </c>
      <c r="M614" s="421">
        <f>DelivOIL!$D92*DelivOIL!U$79^5/(Conv!$I$5*Conv!$D$46)/10^6 + OILTrade!$F$6</f>
        <v>2.7470082091923582</v>
      </c>
      <c r="N614" s="421">
        <f>DelivOIL!$D92*DelivOIL!V$79^5/(Conv!$I$5*Conv!$D$46)/10^6 + OILTrade!$F$6</f>
        <v>2.7470082091923582</v>
      </c>
      <c r="O614" s="421">
        <f>DelivOIL!$D92*DelivOIL!W$79^5/(Conv!$I$5*Conv!$D$46)/10^6 + OILTrade!$F$6</f>
        <v>2.7470082091923582</v>
      </c>
      <c r="P614" s="421">
        <f>DelivOIL!$D92*DelivOIL!X$79^5/(Conv!$I$5*Conv!$D$46)/10^6 + OILTrade!$F$6</f>
        <v>2.7470082091923582</v>
      </c>
      <c r="Q614" s="421">
        <f>DelivOIL!$D92*DelivOIL!Y$79^5/(Conv!$I$5*Conv!$D$46)/10^6 + OILTrade!$F$6</f>
        <v>2.7470082091923582</v>
      </c>
      <c r="S614" s="395"/>
      <c r="T614" s="395"/>
      <c r="U614" s="395"/>
      <c r="V614" s="395"/>
      <c r="W614" s="395"/>
      <c r="X614" s="395"/>
      <c r="Y614" s="395"/>
      <c r="Z614" s="395"/>
      <c r="AA614" s="395"/>
      <c r="AB614" s="395"/>
      <c r="AC614" s="395"/>
    </row>
    <row r="615" spans="2:29">
      <c r="B615" s="376" t="str">
        <f>IF(OR(LEFT(Commodities!B$328,1)="*",LEFT(Technologies!B$712,1)="*"),"*","R3")</f>
        <v>*</v>
      </c>
      <c r="C615" s="376" t="str">
        <f>Technologies!C712</f>
        <v>XITRNLPGP1</v>
      </c>
      <c r="D615" s="376" t="str">
        <f>Technologies!D712</f>
        <v>Delivery of Imported LPG to the Transportation Sector</v>
      </c>
      <c r="E615" s="415" t="str">
        <f>Commodities!C$328</f>
        <v>LPGP1</v>
      </c>
      <c r="F615" s="415" t="str">
        <f>Commodities!C100</f>
        <v>TRNLPG</v>
      </c>
      <c r="G615" s="422">
        <v>1</v>
      </c>
      <c r="H615" s="421">
        <f>DelivOIL!$D93*DelivOIL!P$79^5/(Conv!$I$5*Conv!$D$46)/10^6 + OILTrade!$F$6</f>
        <v>4.0908051457710606</v>
      </c>
      <c r="I615" s="421">
        <f>DelivOIL!$D93*DelivOIL!Q$79^5/(Conv!$I$5*Conv!$D$46)/10^6 + OILTrade!$F$6</f>
        <v>3.6617361149986851</v>
      </c>
      <c r="J615" s="421">
        <f>DelivOIL!$D93*DelivOIL!R$79^5/(Conv!$I$5*Conv!$D$46)/10^6 + OILTrade!$F$6</f>
        <v>4.1536555342705226</v>
      </c>
      <c r="K615" s="421">
        <f>DelivOIL!$D93*DelivOIL!S$79^5/(Conv!$I$5*Conv!$D$46)/10^6 + OILTrade!$F$6</f>
        <v>4.7567607709565429</v>
      </c>
      <c r="L615" s="421">
        <f>DelivOIL!$D93*DelivOIL!T$79^5/(Conv!$I$5*Conv!$D$46)/10^6 + OILTrade!$F$6</f>
        <v>4.3517768786056923</v>
      </c>
      <c r="M615" s="421">
        <f>DelivOIL!$D93*DelivOIL!U$79^5/(Conv!$I$5*Conv!$D$46)/10^6 + OILTrade!$F$6</f>
        <v>4.151649686436814</v>
      </c>
      <c r="N615" s="421">
        <f>DelivOIL!$D93*DelivOIL!V$79^5/(Conv!$I$5*Conv!$D$46)/10^6 + OILTrade!$F$6</f>
        <v>4.151649686436814</v>
      </c>
      <c r="O615" s="421">
        <f>DelivOIL!$D93*DelivOIL!W$79^5/(Conv!$I$5*Conv!$D$46)/10^6 + OILTrade!$F$6</f>
        <v>4.151649686436814</v>
      </c>
      <c r="P615" s="421">
        <f>DelivOIL!$D93*DelivOIL!X$79^5/(Conv!$I$5*Conv!$D$46)/10^6 + OILTrade!$F$6</f>
        <v>4.151649686436814</v>
      </c>
      <c r="Q615" s="421">
        <f>DelivOIL!$D93*DelivOIL!Y$79^5/(Conv!$I$5*Conv!$D$46)/10^6 + OILTrade!$F$6</f>
        <v>4.151649686436814</v>
      </c>
      <c r="S615" s="395"/>
      <c r="T615" s="395"/>
      <c r="U615" s="395"/>
      <c r="V615" s="395"/>
      <c r="W615" s="395"/>
      <c r="X615" s="395"/>
      <c r="Y615" s="395"/>
      <c r="Z615" s="395"/>
      <c r="AA615" s="395"/>
      <c r="AB615" s="395"/>
      <c r="AC615" s="395"/>
    </row>
    <row r="616" spans="2:29">
      <c r="B616" s="376" t="str">
        <f>IF(LEFT(Technologies!B$713,1)="*","*","R3")</f>
        <v>*</v>
      </c>
      <c r="C616" s="376" t="str">
        <f>Technologies!C713</f>
        <v>XITRNMTHP1</v>
      </c>
      <c r="D616" s="376" t="str">
        <f>Technologies!D713</f>
        <v>Delivery of Imported Methanol</v>
      </c>
      <c r="E616" s="415" t="str">
        <f>Commodities!C$329</f>
        <v>MTHP1</v>
      </c>
      <c r="F616" s="415" t="str">
        <f>Commodities!C101</f>
        <v>TRNMTH</v>
      </c>
      <c r="G616" s="422">
        <v>1</v>
      </c>
      <c r="H616" s="421">
        <f>DelivOIL!$D94*DelivOIL!P$79^5/(Conv!$I$5*Conv!$D$46)/10^6 + OILTrade!$F$6</f>
        <v>0.6613468318996546</v>
      </c>
      <c r="I616" s="421">
        <f>DelivOIL!$D94*DelivOIL!Q$79^5/(Conv!$I$5*Conv!$D$46)/10^6 + OILTrade!$F$6</f>
        <v>0.59198067192478709</v>
      </c>
      <c r="J616" s="421">
        <f>DelivOIL!$D94*DelivOIL!R$79^5/(Conv!$I$5*Conv!$D$46)/10^6 + OILTrade!$F$6</f>
        <v>0.67150764470706736</v>
      </c>
      <c r="K616" s="421">
        <f>DelivOIL!$D94*DelivOIL!S$79^5/(Conv!$I$5*Conv!$D$46)/10^6 + OILTrade!$F$6</f>
        <v>0.76900965797130738</v>
      </c>
      <c r="L616" s="421">
        <f>DelivOIL!$D94*DelivOIL!T$79^5/(Conv!$I$5*Conv!$D$46)/10^6 + OILTrade!$F$6</f>
        <v>0.70353726204125344</v>
      </c>
      <c r="M616" s="421">
        <f>DelivOIL!$D94*DelivOIL!U$79^5/(Conv!$I$5*Conv!$D$46)/10^6 + OILTrade!$F$6</f>
        <v>0.67118336597395145</v>
      </c>
      <c r="N616" s="421">
        <f>DelivOIL!$D94*DelivOIL!V$79^5/(Conv!$I$5*Conv!$D$46)/10^6 + OILTrade!$F$6</f>
        <v>0.67118336597395145</v>
      </c>
      <c r="O616" s="421">
        <f>DelivOIL!$D94*DelivOIL!W$79^5/(Conv!$I$5*Conv!$D$46)/10^6 + OILTrade!$F$6</f>
        <v>0.67118336597395145</v>
      </c>
      <c r="P616" s="421">
        <f>DelivOIL!$D94*DelivOIL!X$79^5/(Conv!$I$5*Conv!$D$46)/10^6 + OILTrade!$F$6</f>
        <v>0.67118336597395145</v>
      </c>
      <c r="Q616" s="421">
        <f>DelivOIL!$D94*DelivOIL!Y$79^5/(Conv!$I$5*Conv!$D$46)/10^6 + OILTrade!$F$6</f>
        <v>0.67118336597395145</v>
      </c>
      <c r="S616" s="395"/>
      <c r="T616" s="395"/>
      <c r="U616" s="395"/>
      <c r="V616" s="395"/>
      <c r="W616" s="395"/>
      <c r="X616" s="395"/>
      <c r="Y616" s="395"/>
      <c r="Z616" s="395"/>
      <c r="AA616" s="395"/>
      <c r="AB616" s="395"/>
      <c r="AC616" s="395"/>
    </row>
    <row r="617" spans="2:29">
      <c r="B617" s="376" t="str">
        <f>IF(OR(LEFT(Commodities!B$102,1)="*",LEFT(Technologies!B$714,1)="*"),"*","R3")</f>
        <v>*</v>
      </c>
      <c r="C617" s="376" t="str">
        <f>Technologies!C714</f>
        <v>XIINDPFSP1</v>
      </c>
      <c r="D617" s="376" t="str">
        <f>Technologies!D714</f>
        <v>Delivery of Imported Petrochemical Feedstocks</v>
      </c>
      <c r="E617" s="415" t="str">
        <f>Commodities!C$330</f>
        <v>PFSP1</v>
      </c>
      <c r="F617" s="415" t="str">
        <f>Commodities!C102</f>
        <v>INDPFS</v>
      </c>
      <c r="G617" s="422">
        <v>1</v>
      </c>
      <c r="H617" s="421">
        <f>DelivOIL!$D95*DelivOIL!P$79^5/(Conv!$I$5*Conv!$D$46)/10^6 + OILTrade!$F$6</f>
        <v>1.0976993807819011</v>
      </c>
      <c r="I617" s="421">
        <f>DelivOIL!$D95*DelivOIL!Q$79^5/(Conv!$I$5*Conv!$D$46)/10^6 + OILTrade!$F$6</f>
        <v>0.98256585752464676</v>
      </c>
      <c r="J617" s="421">
        <f>DelivOIL!$D95*DelivOIL!R$79^5/(Conv!$I$5*Conv!$D$46)/10^6 + OILTrade!$F$6</f>
        <v>1.1145642350292564</v>
      </c>
      <c r="K617" s="421">
        <f>DelivOIL!$D95*DelivOIL!S$79^5/(Conv!$I$5*Conv!$D$46)/10^6 + OILTrade!$F$6</f>
        <v>1.2763974735400052</v>
      </c>
      <c r="L617" s="421">
        <f>DelivOIL!$D95*DelivOIL!T$79^5/(Conv!$I$5*Conv!$D$46)/10^6 + OILTrade!$F$6</f>
        <v>1.1677267957591939</v>
      </c>
      <c r="M617" s="421">
        <f>DelivOIL!$D95*DelivOIL!U$79^5/(Conv!$I$5*Conv!$D$46)/10^6 + OILTrade!$F$6</f>
        <v>1.1140259991938781</v>
      </c>
      <c r="N617" s="421">
        <f>DelivOIL!$D95*DelivOIL!V$79^5/(Conv!$I$5*Conv!$D$46)/10^6 + OILTrade!$F$6</f>
        <v>1.1140259991938781</v>
      </c>
      <c r="O617" s="421">
        <f>DelivOIL!$D95*DelivOIL!W$79^5/(Conv!$I$5*Conv!$D$46)/10^6 + OILTrade!$F$6</f>
        <v>1.1140259991938781</v>
      </c>
      <c r="P617" s="421">
        <f>DelivOIL!$D95*DelivOIL!X$79^5/(Conv!$I$5*Conv!$D$46)/10^6 + OILTrade!$F$6</f>
        <v>1.1140259991938781</v>
      </c>
      <c r="Q617" s="421">
        <f>DelivOIL!$D95*DelivOIL!Y$79^5/(Conv!$I$5*Conv!$D$46)/10^6 + OILTrade!$F$6</f>
        <v>1.1140259991938781</v>
      </c>
      <c r="S617" s="395"/>
      <c r="T617" s="395"/>
      <c r="U617" s="395"/>
      <c r="V617" s="395"/>
      <c r="W617" s="395"/>
      <c r="X617" s="395"/>
      <c r="Y617" s="395"/>
      <c r="Z617" s="395"/>
      <c r="AA617" s="395"/>
      <c r="AB617" s="395"/>
      <c r="AC617" s="395"/>
    </row>
    <row r="618" spans="2:29">
      <c r="B618" s="376" t="str">
        <f>IF(OR(LEFT(Commodities!B$332,1)="*",LEFT(Technologies!B$715,1)="*"),"*","R3")</f>
        <v>*</v>
      </c>
      <c r="C618" s="376" t="str">
        <f>Technologies!C715</f>
        <v>XIRESRFLP1</v>
      </c>
      <c r="D618" s="376" t="str">
        <f>Technologies!D715</f>
        <v>Delivery of Imported Low Sulfur Residual Fuel Oil to Residential Sector</v>
      </c>
      <c r="E618" s="415" t="str">
        <f>Commodities!C$332</f>
        <v>RFLP1</v>
      </c>
      <c r="F618" s="415" t="str">
        <f>Commodities!C103</f>
        <v>RESRFL</v>
      </c>
      <c r="G618" s="422">
        <v>1</v>
      </c>
      <c r="H618" s="421">
        <f>DelivOIL!$D96*DelivOIL!P$79^5/(Conv!$I$5*Conv!$D$46)/10^6 + OILTrade!$F$6</f>
        <v>0.14317818010198724</v>
      </c>
      <c r="I618" s="421">
        <f>DelivOIL!$D96*DelivOIL!Q$79^5/(Conv!$I$5*Conv!$D$46)/10^6 + OILTrade!$F$6</f>
        <v>0.12816076402495408</v>
      </c>
      <c r="J618" s="421">
        <f>DelivOIL!$D96*DelivOIL!R$79^5/(Conv!$I$5*Conv!$D$46)/10^6 + OILTrade!$F$6</f>
        <v>0.14537794369946835</v>
      </c>
      <c r="K618" s="421">
        <f>DelivOIL!$D96*DelivOIL!S$79^5/(Conv!$I$5*Conv!$D$46)/10^6 + OILTrade!$F$6</f>
        <v>0.16648662698347913</v>
      </c>
      <c r="L618" s="421">
        <f>DelivOIL!$D96*DelivOIL!T$79^5/(Conv!$I$5*Conv!$D$46)/10^6 + OILTrade!$F$6</f>
        <v>0.15231219075119934</v>
      </c>
      <c r="M618" s="421">
        <f>DelivOIL!$D96*DelivOIL!U$79^5/(Conv!$I$5*Conv!$D$46)/10^6 + OILTrade!$F$6</f>
        <v>0.14530773902528862</v>
      </c>
      <c r="N618" s="421">
        <f>DelivOIL!$D96*DelivOIL!V$79^5/(Conv!$I$5*Conv!$D$46)/10^6 + OILTrade!$F$6</f>
        <v>0.14530773902528862</v>
      </c>
      <c r="O618" s="421">
        <f>DelivOIL!$D96*DelivOIL!W$79^5/(Conv!$I$5*Conv!$D$46)/10^6 + OILTrade!$F$6</f>
        <v>0.14530773902528862</v>
      </c>
      <c r="P618" s="421">
        <f>DelivOIL!$D96*DelivOIL!X$79^5/(Conv!$I$5*Conv!$D$46)/10^6 + OILTrade!$F$6</f>
        <v>0.14530773902528862</v>
      </c>
      <c r="Q618" s="421">
        <f>DelivOIL!$D96*DelivOIL!Y$79^5/(Conv!$I$5*Conv!$D$46)/10^6 + OILTrade!$F$6</f>
        <v>0.14530773902528862</v>
      </c>
      <c r="S618" s="395"/>
      <c r="T618" s="395"/>
      <c r="U618" s="395"/>
      <c r="V618" s="395"/>
      <c r="W618" s="395"/>
      <c r="X618" s="395"/>
      <c r="Y618" s="395"/>
      <c r="Z618" s="395"/>
      <c r="AA618" s="395"/>
      <c r="AB618" s="395"/>
      <c r="AC618" s="395"/>
    </row>
    <row r="619" spans="2:29">
      <c r="B619" s="376" t="str">
        <f>IF(OR(LEFT(Commodities!B$332,1)="*",LEFT(Technologies!B$716,1)="*"),"*","R3")</f>
        <v>*</v>
      </c>
      <c r="C619" s="376" t="str">
        <f>Technologies!C716</f>
        <v>XICOMRFLP1</v>
      </c>
      <c r="D619" s="376" t="str">
        <f>Technologies!D716</f>
        <v>Delivery of Imported Low Sulfur Residual Fuel Oil to Commercial Sector</v>
      </c>
      <c r="E619" s="415" t="str">
        <f>Commodities!C$332</f>
        <v>RFLP1</v>
      </c>
      <c r="F619" s="415" t="str">
        <f>Commodities!C104</f>
        <v>COMRFL</v>
      </c>
      <c r="G619" s="422">
        <v>1</v>
      </c>
      <c r="H619" s="421">
        <f>DelivOIL!$D96*DelivOIL!P$79^5/(Conv!$I$5*Conv!$D$46)/10^6 + OILTrade!$F$6</f>
        <v>0.14317818010198724</v>
      </c>
      <c r="I619" s="421">
        <f>DelivOIL!$D96*DelivOIL!Q$79^5/(Conv!$I$5*Conv!$D$46)/10^6 + OILTrade!$F$6</f>
        <v>0.12816076402495408</v>
      </c>
      <c r="J619" s="421">
        <f>DelivOIL!$D96*DelivOIL!R$79^5/(Conv!$I$5*Conv!$D$46)/10^6 + OILTrade!$F$6</f>
        <v>0.14537794369946835</v>
      </c>
      <c r="K619" s="421">
        <f>DelivOIL!$D96*DelivOIL!S$79^5/(Conv!$I$5*Conv!$D$46)/10^6 + OILTrade!$F$6</f>
        <v>0.16648662698347913</v>
      </c>
      <c r="L619" s="421">
        <f>DelivOIL!$D96*DelivOIL!T$79^5/(Conv!$I$5*Conv!$D$46)/10^6 + OILTrade!$F$6</f>
        <v>0.15231219075119934</v>
      </c>
      <c r="M619" s="421">
        <f>DelivOIL!$D96*DelivOIL!U$79^5/(Conv!$I$5*Conv!$D$46)/10^6 + OILTrade!$F$6</f>
        <v>0.14530773902528862</v>
      </c>
      <c r="N619" s="421">
        <f>DelivOIL!$D96*DelivOIL!V$79^5/(Conv!$I$5*Conv!$D$46)/10^6 + OILTrade!$F$6</f>
        <v>0.14530773902528862</v>
      </c>
      <c r="O619" s="421">
        <f>DelivOIL!$D96*DelivOIL!W$79^5/(Conv!$I$5*Conv!$D$46)/10^6 + OILTrade!$F$6</f>
        <v>0.14530773902528862</v>
      </c>
      <c r="P619" s="421">
        <f>DelivOIL!$D96*DelivOIL!X$79^5/(Conv!$I$5*Conv!$D$46)/10^6 + OILTrade!$F$6</f>
        <v>0.14530773902528862</v>
      </c>
      <c r="Q619" s="421">
        <f>DelivOIL!$D96*DelivOIL!Y$79^5/(Conv!$I$5*Conv!$D$46)/10^6 + OILTrade!$F$6</f>
        <v>0.14530773902528862</v>
      </c>
      <c r="S619" s="395"/>
      <c r="T619" s="395"/>
      <c r="U619" s="395"/>
      <c r="V619" s="395"/>
      <c r="W619" s="395"/>
      <c r="X619" s="395"/>
      <c r="Y619" s="395"/>
      <c r="Z619" s="395"/>
      <c r="AA619" s="395"/>
      <c r="AB619" s="395"/>
      <c r="AC619" s="395"/>
    </row>
    <row r="620" spans="2:29">
      <c r="B620" s="376" t="str">
        <f>IF(OR(LEFT(Commodities!B$332,1)="*",LEFT(Technologies!B$717,1)="*"),"*","R3")</f>
        <v>R3</v>
      </c>
      <c r="C620" s="376" t="str">
        <f>Technologies!C717</f>
        <v>XIINDRFLP1</v>
      </c>
      <c r="D620" s="376" t="str">
        <f>Technologies!D717</f>
        <v>Delivery of Imported Low Sulfur Residual Fuel Oil to Industrial Sector</v>
      </c>
      <c r="E620" s="415" t="str">
        <f>Commodities!C$332</f>
        <v>RFLP1</v>
      </c>
      <c r="F620" s="415" t="str">
        <f>Commodities!C105</f>
        <v>INDRFL</v>
      </c>
      <c r="G620" s="422">
        <v>1</v>
      </c>
      <c r="H620" s="421">
        <f>DelivOIL!$D97*DelivOIL!P$79^5/(Conv!$I$5*Conv!$D$46)/10^6 + OILTrade!$F$6</f>
        <v>0.21817627444112342</v>
      </c>
      <c r="I620" s="421">
        <f>DelivOIL!$D97*DelivOIL!Q$79^5/(Conv!$I$5*Conv!$D$46)/10^6 + OILTrade!$F$6</f>
        <v>0.19529259279993003</v>
      </c>
      <c r="J620" s="421">
        <f>DelivOIL!$D97*DelivOIL!R$79^5/(Conv!$I$5*Conv!$D$46)/10^6 + OILTrade!$F$6</f>
        <v>0.22152829516109465</v>
      </c>
      <c r="K620" s="421">
        <f>DelivOIL!$D97*DelivOIL!S$79^5/(Conv!$I$5*Conv!$D$46)/10^6 + OILTrade!$F$6</f>
        <v>0.25369390778434914</v>
      </c>
      <c r="L620" s="421">
        <f>DelivOIL!$D97*DelivOIL!T$79^5/(Conv!$I$5*Conv!$D$46)/10^6 + OILTrade!$F$6</f>
        <v>0.23209476685897049</v>
      </c>
      <c r="M620" s="421">
        <f>DelivOIL!$D97*DelivOIL!U$79^5/(Conv!$I$5*Conv!$D$46)/10^6 + OILTrade!$F$6</f>
        <v>0.22142131660996359</v>
      </c>
      <c r="N620" s="421">
        <f>DelivOIL!$D97*DelivOIL!V$79^5/(Conv!$I$5*Conv!$D$46)/10^6 + OILTrade!$F$6</f>
        <v>0.22142131660996359</v>
      </c>
      <c r="O620" s="421">
        <f>DelivOIL!$D97*DelivOIL!W$79^5/(Conv!$I$5*Conv!$D$46)/10^6 + OILTrade!$F$6</f>
        <v>0.22142131660996359</v>
      </c>
      <c r="P620" s="421">
        <f>DelivOIL!$D97*DelivOIL!X$79^5/(Conv!$I$5*Conv!$D$46)/10^6 + OILTrade!$F$6</f>
        <v>0.22142131660996359</v>
      </c>
      <c r="Q620" s="421">
        <f>DelivOIL!$D97*DelivOIL!Y$79^5/(Conv!$I$5*Conv!$D$46)/10^6 + OILTrade!$F$6</f>
        <v>0.22142131660996359</v>
      </c>
      <c r="S620" s="395"/>
      <c r="T620" s="395"/>
      <c r="U620" s="395"/>
      <c r="V620" s="395"/>
      <c r="W620" s="395"/>
      <c r="X620" s="395"/>
      <c r="Y620" s="395"/>
      <c r="Z620" s="395"/>
      <c r="AA620" s="395"/>
      <c r="AB620" s="395"/>
      <c r="AC620" s="395"/>
    </row>
    <row r="621" spans="2:29">
      <c r="B621" s="376" t="str">
        <f>IF(OR(LEFT(Commodities!B$332,1)="*",LEFT(Technologies!B$718,1)="*"),"*","R3")</f>
        <v>*</v>
      </c>
      <c r="C621" s="376" t="str">
        <f>Technologies!C718</f>
        <v>XIELCRFLP1</v>
      </c>
      <c r="D621" s="376" t="str">
        <f>Technologies!D718</f>
        <v>Delivery of Imported Low Sulfur Residual Fuel Oil to Electricity Sector</v>
      </c>
      <c r="E621" s="415" t="str">
        <f>Commodities!C$332</f>
        <v>RFLP1</v>
      </c>
      <c r="F621" s="415" t="str">
        <f>Commodities!C106</f>
        <v>ELCRFL</v>
      </c>
      <c r="G621" s="422">
        <v>1</v>
      </c>
      <c r="H621" s="421">
        <f>DelivOIL!$D98*DelivOIL!P$79^5/(Conv!$I$5*Conv!$D$46)/10^6 + OILTrade!$F$6</f>
        <v>0.49089661749252766</v>
      </c>
      <c r="I621" s="421">
        <f>DelivOIL!$D98*DelivOIL!Q$79^5/(Conv!$I$5*Conv!$D$46)/10^6 + OILTrade!$F$6</f>
        <v>0.43940833379984257</v>
      </c>
      <c r="J621" s="421">
        <f>DelivOIL!$D98*DelivOIL!R$79^5/(Conv!$I$5*Conv!$D$46)/10^6 + OILTrade!$F$6</f>
        <v>0.49843866411246301</v>
      </c>
      <c r="K621" s="421">
        <f>DelivOIL!$D98*DelivOIL!S$79^5/(Conv!$I$5*Conv!$D$46)/10^6 + OILTrade!$F$6</f>
        <v>0.57081129251478557</v>
      </c>
      <c r="L621" s="421">
        <f>DelivOIL!$D98*DelivOIL!T$79^5/(Conv!$I$5*Conv!$D$46)/10^6 + OILTrade!$F$6</f>
        <v>0.52221322543268345</v>
      </c>
      <c r="M621" s="421">
        <f>DelivOIL!$D98*DelivOIL!U$79^5/(Conv!$I$5*Conv!$D$46)/10^6 + OILTrade!$F$6</f>
        <v>0.49819796237241809</v>
      </c>
      <c r="N621" s="421">
        <f>DelivOIL!$D98*DelivOIL!V$79^5/(Conv!$I$5*Conv!$D$46)/10^6 + OILTrade!$F$6</f>
        <v>0.49819796237241809</v>
      </c>
      <c r="O621" s="421">
        <f>DelivOIL!$D98*DelivOIL!W$79^5/(Conv!$I$5*Conv!$D$46)/10^6 + OILTrade!$F$6</f>
        <v>0.49819796237241809</v>
      </c>
      <c r="P621" s="421">
        <f>DelivOIL!$D98*DelivOIL!X$79^5/(Conv!$I$5*Conv!$D$46)/10^6 + OILTrade!$F$6</f>
        <v>0.49819796237241809</v>
      </c>
      <c r="Q621" s="421">
        <f>DelivOIL!$D98*DelivOIL!Y$79^5/(Conv!$I$5*Conv!$D$46)/10^6 + OILTrade!$F$6</f>
        <v>0.49819796237241809</v>
      </c>
      <c r="S621" s="395"/>
      <c r="T621" s="395"/>
      <c r="U621" s="395"/>
      <c r="V621" s="395"/>
      <c r="W621" s="395"/>
      <c r="X621" s="395"/>
      <c r="Y621" s="395"/>
      <c r="Z621" s="395"/>
      <c r="AA621" s="395"/>
      <c r="AB621" s="395"/>
      <c r="AC621" s="395"/>
    </row>
    <row r="622" spans="2:29">
      <c r="B622" s="376" t="str">
        <f>IF(OR(LEFT(Commodities!B$331,1)="*",LEFT(Technologies!B$719,1)="*"),"*","R3")</f>
        <v>*</v>
      </c>
      <c r="C622" s="376" t="str">
        <f>Technologies!C719</f>
        <v>XITRNRFHP1</v>
      </c>
      <c r="D622" s="376" t="str">
        <f>Technologies!D719</f>
        <v>Delivery of Imported High Sulfur Residual Fuel Oil to Transportation Sector</v>
      </c>
      <c r="E622" s="415" t="str">
        <f>Commodities!C$331</f>
        <v>RFHP1</v>
      </c>
      <c r="F622" s="415" t="str">
        <f>Commodities!C107</f>
        <v>TRNRFH</v>
      </c>
      <c r="G622" s="422">
        <v>1</v>
      </c>
      <c r="H622" s="421">
        <f>DelivOIL!$D99*DelivOIL!P$79^5/(Conv!$I$5*Conv!$D$46)/10^6 + OILTrade!$F$6</f>
        <v>0.79770700342535739</v>
      </c>
      <c r="I622" s="421">
        <f>DelivOIL!$D99*DelivOIL!Q$79^5/(Conv!$I$5*Conv!$D$46)/10^6 + OILTrade!$F$6</f>
        <v>0.71403854242474407</v>
      </c>
      <c r="J622" s="421">
        <f>DelivOIL!$D99*DelivOIL!R$79^5/(Conv!$I$5*Conv!$D$46)/10^6 + OILTrade!$F$6</f>
        <v>0.80996282918275242</v>
      </c>
      <c r="K622" s="421">
        <f>DelivOIL!$D99*DelivOIL!S$79^5/(Conv!$I$5*Conv!$D$46)/10^6 + OILTrade!$F$6</f>
        <v>0.92756835033652651</v>
      </c>
      <c r="L622" s="421">
        <f>DelivOIL!$D99*DelivOIL!T$79^5/(Conv!$I$5*Conv!$D$46)/10^6 + OILTrade!$F$6</f>
        <v>0.84859649132811066</v>
      </c>
      <c r="M622" s="421">
        <f>DelivOIL!$D99*DelivOIL!U$79^5/(Conv!$I$5*Conv!$D$46)/10^6 + OILTrade!$F$6</f>
        <v>0.80957168885517938</v>
      </c>
      <c r="N622" s="421">
        <f>DelivOIL!$D99*DelivOIL!V$79^5/(Conv!$I$5*Conv!$D$46)/10^6 + OILTrade!$F$6</f>
        <v>0.80957168885517938</v>
      </c>
      <c r="O622" s="421">
        <f>DelivOIL!$D99*DelivOIL!W$79^5/(Conv!$I$5*Conv!$D$46)/10^6 + OILTrade!$F$6</f>
        <v>0.80957168885517938</v>
      </c>
      <c r="P622" s="421">
        <f>DelivOIL!$D99*DelivOIL!X$79^5/(Conv!$I$5*Conv!$D$46)/10^6 + OILTrade!$F$6</f>
        <v>0.80957168885517938</v>
      </c>
      <c r="Q622" s="421">
        <f>DelivOIL!$D99*DelivOIL!Y$79^5/(Conv!$I$5*Conv!$D$46)/10^6 + OILTrade!$F$6</f>
        <v>0.80957168885517938</v>
      </c>
      <c r="S622" s="395"/>
      <c r="T622" s="395"/>
      <c r="U622" s="395"/>
      <c r="V622" s="395"/>
      <c r="W622" s="395"/>
      <c r="X622" s="395"/>
      <c r="Y622" s="395"/>
      <c r="Z622" s="395"/>
      <c r="AA622" s="395"/>
      <c r="AB622" s="395"/>
      <c r="AC622" s="395"/>
    </row>
    <row r="623" spans="2:29">
      <c r="B623" s="376" t="str">
        <f>IF(OR(LEFT(Commodities!B$331,1)="*",LEFT(Technologies!B$720,1)="*"),"*","R3")</f>
        <v>*</v>
      </c>
      <c r="C623" s="376" t="str">
        <f>Technologies!C720</f>
        <v>XIELCRFHP1</v>
      </c>
      <c r="D623" s="376" t="str">
        <f>Technologies!D720</f>
        <v>Delivery of Imported High Sulfur Residual Fuel Oil to Electricity Sector</v>
      </c>
      <c r="E623" s="415" t="str">
        <f>Commodities!C$331</f>
        <v>RFHP1</v>
      </c>
      <c r="F623" s="415" t="str">
        <f>Commodities!C108</f>
        <v>ELCRFH</v>
      </c>
      <c r="G623" s="422">
        <v>1</v>
      </c>
      <c r="H623" s="421">
        <f>DelivOIL!$D100*DelivOIL!P$79^5/(Conv!$I$5*Conv!$D$46)/10^6 + OILTrade!$F$6</f>
        <v>0</v>
      </c>
      <c r="I623" s="421">
        <f>DelivOIL!$D100*DelivOIL!Q$79^5/(Conv!$I$5*Conv!$D$46)/10^6 + OILTrade!$F$6</f>
        <v>0</v>
      </c>
      <c r="J623" s="421">
        <f>DelivOIL!$D100*DelivOIL!R$79^5/(Conv!$I$5*Conv!$D$46)/10^6 + OILTrade!$F$6</f>
        <v>0</v>
      </c>
      <c r="K623" s="421">
        <f>DelivOIL!$D100*DelivOIL!S$79^5/(Conv!$I$5*Conv!$D$46)/10^6 + OILTrade!$F$6</f>
        <v>0</v>
      </c>
      <c r="L623" s="421">
        <f>DelivOIL!$D100*DelivOIL!T$79^5/(Conv!$I$5*Conv!$D$46)/10^6 + OILTrade!$F$6</f>
        <v>0</v>
      </c>
      <c r="M623" s="421">
        <f>DelivOIL!$D100*DelivOIL!U$79^5/(Conv!$I$5*Conv!$D$46)/10^6 + OILTrade!$F$6</f>
        <v>0</v>
      </c>
      <c r="N623" s="421">
        <f>DelivOIL!$D100*DelivOIL!V$79^5/(Conv!$I$5*Conv!$D$46)/10^6 + OILTrade!$F$6</f>
        <v>0</v>
      </c>
      <c r="O623" s="421">
        <f>DelivOIL!$D100*DelivOIL!W$79^5/(Conv!$I$5*Conv!$D$46)/10^6 + OILTrade!$F$6</f>
        <v>0</v>
      </c>
      <c r="P623" s="421">
        <f>DelivOIL!$D100*DelivOIL!X$79^5/(Conv!$I$5*Conv!$D$46)/10^6 + OILTrade!$F$6</f>
        <v>0</v>
      </c>
      <c r="Q623" s="421">
        <f>DelivOIL!$D100*DelivOIL!Y$79^5/(Conv!$I$5*Conv!$D$46)/10^6 + OILTrade!$F$6</f>
        <v>0</v>
      </c>
      <c r="S623" s="395"/>
      <c r="T623" s="395"/>
      <c r="U623" s="395"/>
      <c r="V623" s="395"/>
      <c r="W623" s="395"/>
      <c r="X623" s="395"/>
      <c r="Y623" s="395"/>
      <c r="Z623" s="395"/>
      <c r="AA623" s="395"/>
      <c r="AB623" s="395"/>
      <c r="AC623" s="395"/>
    </row>
    <row r="624" spans="2:29">
      <c r="B624" s="378" t="s">
        <v>1087</v>
      </c>
      <c r="C624" s="378"/>
      <c r="D624" s="378"/>
      <c r="E624" s="414"/>
      <c r="F624" s="414"/>
      <c r="G624" s="418"/>
      <c r="H624" s="392"/>
      <c r="I624" s="392"/>
      <c r="J624" s="392"/>
      <c r="K624" s="392"/>
      <c r="L624" s="392"/>
      <c r="M624" s="392"/>
      <c r="N624" s="392"/>
      <c r="O624" s="392"/>
      <c r="P624" s="392"/>
      <c r="Q624" s="392"/>
    </row>
    <row r="625" spans="2:29">
      <c r="B625" s="376" t="str">
        <f>IF(LEFT(Technologies!B$702,1)="*","*","R4")</f>
        <v>R4</v>
      </c>
      <c r="C625" s="376" t="str">
        <f>Technologies!C702</f>
        <v>XITRGSLCP1</v>
      </c>
      <c r="D625" s="376" t="str">
        <f>Technologies!D702</f>
        <v>Delivery of Imported Conventional Gasoline</v>
      </c>
      <c r="E625" s="415" t="str">
        <f>Commodities!C$325</f>
        <v>GSCP1</v>
      </c>
      <c r="F625" s="415" t="str">
        <f>Commodities!C85</f>
        <v>TRGSLC</v>
      </c>
      <c r="G625" s="422">
        <v>1</v>
      </c>
      <c r="H625" s="421">
        <f>DelivOIL!$E77*DelivOIL!P$80^5/(Conv!$I$5*Conv!$D$46)/10^6 + OILTrade!$G$6</f>
        <v>3.0885578850571509</v>
      </c>
      <c r="I625" s="421">
        <f>DelivOIL!$E77*DelivOIL!Q$80^5/(Conv!$I$5*Conv!$D$46)/10^6 + OILTrade!$G$6</f>
        <v>2.7646107668240072</v>
      </c>
      <c r="J625" s="421">
        <f>DelivOIL!$E77*DelivOIL!R$80^5/(Conv!$I$5*Conv!$D$46)/10^6 + OILTrade!$G$6</f>
        <v>3.1360099283742437</v>
      </c>
      <c r="K625" s="421">
        <f>DelivOIL!$E77*DelivOIL!S$80^5/(Conv!$I$5*Conv!$D$46)/10^6 + OILTrade!$G$6</f>
        <v>3.5913543820721903</v>
      </c>
      <c r="L625" s="421">
        <f>DelivOIL!$E77*DelivOIL!T$80^5/(Conv!$I$5*Conv!$D$46)/10^6 + OILTrade!$G$6</f>
        <v>3.285591543347298</v>
      </c>
      <c r="M625" s="421">
        <f>DelivOIL!$E77*DelivOIL!U$80^5/(Conv!$I$5*Conv!$D$46)/10^6 + OILTrade!$G$6</f>
        <v>3.1344955132597949</v>
      </c>
      <c r="N625" s="421">
        <f>DelivOIL!$E77*DelivOIL!V$80^5/(Conv!$I$5*Conv!$D$46)/10^6 + OILTrade!$G$6</f>
        <v>3.1344955132597949</v>
      </c>
      <c r="O625" s="421">
        <f>DelivOIL!$E77*DelivOIL!W$80^5/(Conv!$I$5*Conv!$D$46)/10^6 + OILTrade!$G$6</f>
        <v>3.1344955132597949</v>
      </c>
      <c r="P625" s="421">
        <f>DelivOIL!$E77*DelivOIL!X$80^5/(Conv!$I$5*Conv!$D$46)/10^6 + OILTrade!$G$6</f>
        <v>3.1344955132597949</v>
      </c>
      <c r="Q625" s="421">
        <f>DelivOIL!$E77*DelivOIL!Y$80^5/(Conv!$I$5*Conv!$D$46)/10^6 + OILTrade!$G$6</f>
        <v>3.1344955132597949</v>
      </c>
      <c r="S625" s="395"/>
      <c r="T625" s="395"/>
      <c r="U625" s="395"/>
      <c r="V625" s="395"/>
      <c r="W625" s="395"/>
      <c r="X625" s="395"/>
      <c r="Y625" s="395"/>
      <c r="Z625" s="395"/>
      <c r="AA625" s="395"/>
      <c r="AB625" s="395"/>
      <c r="AC625" s="395"/>
    </row>
    <row r="626" spans="2:29">
      <c r="B626" s="376" t="str">
        <f>IF(LEFT(Technologies!B$703,1)="*","*","R4")</f>
        <v>R4</v>
      </c>
      <c r="C626" s="376" t="str">
        <f>Technologies!C703</f>
        <v>XITRGSLRP1</v>
      </c>
      <c r="D626" s="376" t="str">
        <f>Technologies!D703</f>
        <v>Delivery of Imported Reformulated Gasoline</v>
      </c>
      <c r="E626" s="415" t="str">
        <f>Commodities!C$326</f>
        <v>GSRP1</v>
      </c>
      <c r="F626" s="415" t="str">
        <f>Commodities!C86</f>
        <v>TRGSLR</v>
      </c>
      <c r="G626" s="422">
        <v>1</v>
      </c>
      <c r="H626" s="421">
        <f>DelivOIL!$E78*DelivOIL!P$80^5/(Conv!$I$5*Conv!$D$46)/10^6 + OILTrade!$G$6</f>
        <v>2.952197713531449</v>
      </c>
      <c r="I626" s="421">
        <f>DelivOIL!$E78*DelivOIL!Q$80^5/(Conv!$I$5*Conv!$D$46)/10^6 + OILTrade!$G$6</f>
        <v>2.6425528963240512</v>
      </c>
      <c r="J626" s="421">
        <f>DelivOIL!$E78*DelivOIL!R$80^5/(Conv!$I$5*Conv!$D$46)/10^6 + OILTrade!$G$6</f>
        <v>2.9975547438985597</v>
      </c>
      <c r="K626" s="421">
        <f>DelivOIL!$E78*DelivOIL!S$80^5/(Conv!$I$5*Conv!$D$46)/10^6 + OILTrade!$G$6</f>
        <v>3.4327956897069716</v>
      </c>
      <c r="L626" s="421">
        <f>DelivOIL!$E78*DelivOIL!T$80^5/(Conv!$I$5*Conv!$D$46)/10^6 + OILTrade!$G$6</f>
        <v>3.1405323140604415</v>
      </c>
      <c r="M626" s="421">
        <f>DelivOIL!$E78*DelivOIL!U$80^5/(Conv!$I$5*Conv!$D$46)/10^6 + OILTrade!$G$6</f>
        <v>2.996107190378567</v>
      </c>
      <c r="N626" s="421">
        <f>DelivOIL!$E78*DelivOIL!V$80^5/(Conv!$I$5*Conv!$D$46)/10^6 + OILTrade!$G$6</f>
        <v>2.996107190378567</v>
      </c>
      <c r="O626" s="421">
        <f>DelivOIL!$E78*DelivOIL!W$80^5/(Conv!$I$5*Conv!$D$46)/10^6 + OILTrade!$G$6</f>
        <v>2.996107190378567</v>
      </c>
      <c r="P626" s="421">
        <f>DelivOIL!$E78*DelivOIL!X$80^5/(Conv!$I$5*Conv!$D$46)/10^6 + OILTrade!$G$6</f>
        <v>2.996107190378567</v>
      </c>
      <c r="Q626" s="421">
        <f>DelivOIL!$E78*DelivOIL!Y$80^5/(Conv!$I$5*Conv!$D$46)/10^6 + OILTrade!$G$6</f>
        <v>2.996107190378567</v>
      </c>
      <c r="S626" s="395"/>
      <c r="T626" s="395"/>
      <c r="U626" s="395"/>
      <c r="V626" s="395"/>
      <c r="W626" s="395"/>
      <c r="X626" s="395"/>
      <c r="Y626" s="395"/>
      <c r="Z626" s="395"/>
      <c r="AA626" s="395"/>
      <c r="AB626" s="395"/>
      <c r="AC626" s="395"/>
    </row>
    <row r="627" spans="2:29">
      <c r="B627" s="376" t="str">
        <f>IF(OR(LEFT(Commodities!B$323,1)="*",LEFT(Technologies!B$704,1)="*"),"*","R4")</f>
        <v>R4</v>
      </c>
      <c r="C627" s="376" t="str">
        <f>Technologies!C704</f>
        <v>XITRDSLLP1</v>
      </c>
      <c r="D627" s="376" t="str">
        <f>Technologies!D704</f>
        <v>Delivery of Imported Distillate-Low Sulfur Highway Diesel (500 ppm)</v>
      </c>
      <c r="E627" s="415" t="str">
        <f>Commodities!C$323</f>
        <v>DSLP1</v>
      </c>
      <c r="F627" s="415" t="str">
        <f>Commodities!C91</f>
        <v>TRDSLL</v>
      </c>
      <c r="G627" s="422">
        <v>1</v>
      </c>
      <c r="H627" s="421">
        <f>DelivOIL!$E84*DelivOIL!P$80^5/(Conv!$I$5*Conv!$D$46)/10^6 + OILTrade!$G$6</f>
        <v>3.5453644596682516</v>
      </c>
      <c r="I627" s="421">
        <f>DelivOIL!$E84*DelivOIL!Q$80^5/(Conv!$I$5*Conv!$D$46)/10^6 + OILTrade!$G$6</f>
        <v>3.173504632998859</v>
      </c>
      <c r="J627" s="421">
        <f>DelivOIL!$E84*DelivOIL!R$80^5/(Conv!$I$5*Conv!$D$46)/10^6 + OILTrade!$G$6</f>
        <v>3.5998347963677846</v>
      </c>
      <c r="K627" s="421">
        <f>DelivOIL!$E84*DelivOIL!S$80^5/(Conv!$I$5*Conv!$D$46)/10^6 + OILTrade!$G$6</f>
        <v>4.1225260014956691</v>
      </c>
      <c r="L627" s="421">
        <f>DelivOIL!$E84*DelivOIL!T$80^5/(Conv!$I$5*Conv!$D$46)/10^6 + OILTrade!$G$6</f>
        <v>3.7715399614582656</v>
      </c>
      <c r="M627" s="421">
        <f>DelivOIL!$E84*DelivOIL!U$80^5/(Conv!$I$5*Conv!$D$46)/10^6 + OILTrade!$G$6</f>
        <v>3.5980963949119049</v>
      </c>
      <c r="N627" s="421">
        <f>DelivOIL!$E84*DelivOIL!V$80^5/(Conv!$I$5*Conv!$D$46)/10^6 + OILTrade!$G$6</f>
        <v>3.5980963949119049</v>
      </c>
      <c r="O627" s="421">
        <f>DelivOIL!$E84*DelivOIL!W$80^5/(Conv!$I$5*Conv!$D$46)/10^6 + OILTrade!$G$6</f>
        <v>3.5980963949119049</v>
      </c>
      <c r="P627" s="421">
        <f>DelivOIL!$E84*DelivOIL!X$80^5/(Conv!$I$5*Conv!$D$46)/10^6 + OILTrade!$G$6</f>
        <v>3.5980963949119049</v>
      </c>
      <c r="Q627" s="421">
        <f>DelivOIL!$E84*DelivOIL!Y$80^5/(Conv!$I$5*Conv!$D$46)/10^6 + OILTrade!$G$6</f>
        <v>3.5980963949119049</v>
      </c>
      <c r="S627" s="395"/>
      <c r="T627" s="395"/>
      <c r="U627" s="395"/>
      <c r="V627" s="395"/>
      <c r="W627" s="395"/>
      <c r="X627" s="395"/>
      <c r="Y627" s="395"/>
      <c r="Z627" s="395"/>
      <c r="AA627" s="395"/>
      <c r="AB627" s="395"/>
      <c r="AC627" s="395"/>
    </row>
    <row r="628" spans="2:29">
      <c r="B628" s="376" t="str">
        <f>IF(OR(LEFT(Commodities!B$324,1)="*",LEFT(Technologies!B$705,1)="*"),"*","R4")</f>
        <v>R4</v>
      </c>
      <c r="C628" s="376" t="str">
        <f>Technologies!C705</f>
        <v>XITRDSLUP1</v>
      </c>
      <c r="D628" s="376" t="str">
        <f>Technologies!D705</f>
        <v>Delivery of Imported Distillate-Ultralow Sulfur Highway Diesel (15 ppm)</v>
      </c>
      <c r="E628" s="415" t="str">
        <f>Commodities!C$324</f>
        <v>DSUP1</v>
      </c>
      <c r="F628" s="415" t="str">
        <f>Commodities!C92</f>
        <v>TRDSLU</v>
      </c>
      <c r="G628" s="422">
        <v>1</v>
      </c>
      <c r="H628" s="421">
        <f>DelivOIL!$E85*DelivOIL!P$80^5/(Conv!$I$5*Conv!$D$46)/10^6 + OILTrade!$G$6</f>
        <v>2.8158375420057458</v>
      </c>
      <c r="I628" s="421">
        <f>DelivOIL!$E85*DelivOIL!Q$80^5/(Conv!$I$5*Conv!$D$46)/10^6 + OILTrade!$G$6</f>
        <v>2.5204950258240943</v>
      </c>
      <c r="J628" s="421">
        <f>DelivOIL!$E85*DelivOIL!R$80^5/(Conv!$I$5*Conv!$D$46)/10^6 + OILTrade!$G$6</f>
        <v>2.8590995594228752</v>
      </c>
      <c r="K628" s="421">
        <f>DelivOIL!$E85*DelivOIL!S$80^5/(Conv!$I$5*Conv!$D$46)/10^6 + OILTrade!$G$6</f>
        <v>3.2742369973417524</v>
      </c>
      <c r="L628" s="421">
        <f>DelivOIL!$E85*DelivOIL!T$80^5/(Conv!$I$5*Conv!$D$46)/10^6 + OILTrade!$G$6</f>
        <v>2.9954730847735838</v>
      </c>
      <c r="M628" s="421">
        <f>DelivOIL!$E85*DelivOIL!U$80^5/(Conv!$I$5*Conv!$D$46)/10^6 + OILTrade!$G$6</f>
        <v>2.8577188674973395</v>
      </c>
      <c r="N628" s="421">
        <f>DelivOIL!$E85*DelivOIL!V$80^5/(Conv!$I$5*Conv!$D$46)/10^6 + OILTrade!$G$6</f>
        <v>2.8577188674973395</v>
      </c>
      <c r="O628" s="421">
        <f>DelivOIL!$E85*DelivOIL!W$80^5/(Conv!$I$5*Conv!$D$46)/10^6 + OILTrade!$G$6</f>
        <v>2.8577188674973395</v>
      </c>
      <c r="P628" s="421">
        <f>DelivOIL!$E85*DelivOIL!X$80^5/(Conv!$I$5*Conv!$D$46)/10^6 + OILTrade!$G$6</f>
        <v>2.8577188674973395</v>
      </c>
      <c r="Q628" s="421">
        <f>DelivOIL!$E85*DelivOIL!Y$80^5/(Conv!$I$5*Conv!$D$46)/10^6 + OILTrade!$G$6</f>
        <v>2.8577188674973395</v>
      </c>
      <c r="S628" s="395"/>
      <c r="T628" s="395"/>
      <c r="U628" s="395"/>
      <c r="V628" s="395"/>
      <c r="W628" s="395"/>
      <c r="X628" s="395"/>
      <c r="Y628" s="395"/>
      <c r="Z628" s="395"/>
      <c r="AA628" s="395"/>
      <c r="AB628" s="395"/>
      <c r="AC628" s="395"/>
    </row>
    <row r="629" spans="2:29">
      <c r="B629" s="376" t="str">
        <f>IF(OR(LEFT(Commodities!B$64,1)="*",LEFT(Technologies!B$232,1)="*"),"*","R4")</f>
        <v>R4</v>
      </c>
      <c r="C629" s="376" t="str">
        <f>Technologies!C232</f>
        <v>XITRNJTFP1</v>
      </c>
      <c r="D629" s="376" t="str">
        <f>Technologies!D232</f>
        <v>Delivery of Imported Jet Fuel</v>
      </c>
      <c r="E629" s="415" t="str">
        <f>Commodities!C$64</f>
        <v>JTFP1</v>
      </c>
      <c r="F629" s="415" t="str">
        <f>Commodities!C93</f>
        <v>TRNJTF</v>
      </c>
      <c r="G629" s="422">
        <v>1</v>
      </c>
      <c r="H629" s="421">
        <f>DelivOIL!$E86*DelivOIL!P$80^5/(Conv!$I$5*Conv!$D$46)/10^6 + OILTrade!$G$6</f>
        <v>0.72952691766250566</v>
      </c>
      <c r="I629" s="421">
        <f>DelivOIL!$E86*DelivOIL!Q$80^5/(Conv!$I$5*Conv!$D$46)/10^6 + OILTrade!$G$6</f>
        <v>0.65300960717476531</v>
      </c>
      <c r="J629" s="421">
        <f>DelivOIL!$E86*DelivOIL!R$80^5/(Conv!$I$5*Conv!$D$46)/10^6 + OILTrade!$G$6</f>
        <v>0.7407352369449095</v>
      </c>
      <c r="K629" s="421">
        <f>DelivOIL!$E86*DelivOIL!S$80^5/(Conv!$I$5*Conv!$D$46)/10^6 + OILTrade!$G$6</f>
        <v>0.8482890041539165</v>
      </c>
      <c r="L629" s="421">
        <f>DelivOIL!$E86*DelivOIL!T$80^5/(Conv!$I$5*Conv!$D$46)/10^6 + OILTrade!$G$6</f>
        <v>0.77606687668468166</v>
      </c>
      <c r="M629" s="421">
        <f>DelivOIL!$E86*DelivOIL!U$80^5/(Conv!$I$5*Conv!$D$46)/10^6 + OILTrade!$G$6</f>
        <v>0.74037752741456497</v>
      </c>
      <c r="N629" s="421">
        <f>DelivOIL!$E86*DelivOIL!V$80^5/(Conv!$I$5*Conv!$D$46)/10^6 + OILTrade!$G$6</f>
        <v>0.74037752741456497</v>
      </c>
      <c r="O629" s="421">
        <f>DelivOIL!$E86*DelivOIL!W$80^5/(Conv!$I$5*Conv!$D$46)/10^6 + OILTrade!$G$6</f>
        <v>0.74037752741456497</v>
      </c>
      <c r="P629" s="421">
        <f>DelivOIL!$E86*DelivOIL!X$80^5/(Conv!$I$5*Conv!$D$46)/10^6 + OILTrade!$G$6</f>
        <v>0.74037752741456497</v>
      </c>
      <c r="Q629" s="421">
        <f>DelivOIL!$E86*DelivOIL!Y$80^5/(Conv!$I$5*Conv!$D$46)/10^6 + OILTrade!$G$6</f>
        <v>0.74037752741456497</v>
      </c>
      <c r="S629" s="395"/>
      <c r="T629" s="395"/>
      <c r="U629" s="395"/>
      <c r="V629" s="395"/>
      <c r="W629" s="395"/>
      <c r="X629" s="395"/>
      <c r="Y629" s="395"/>
      <c r="Z629" s="395"/>
      <c r="AA629" s="395"/>
      <c r="AB629" s="395"/>
      <c r="AC629" s="395"/>
    </row>
    <row r="630" spans="2:29">
      <c r="B630" s="376" t="str">
        <f>IF(OR(LEFT(Commodities!B$327,1)="*",LEFT(Technologies!B$706,1)="*"),"*","R4")</f>
        <v>*</v>
      </c>
      <c r="C630" s="376" t="str">
        <f>Technologies!C706</f>
        <v>XIRESKERP1</v>
      </c>
      <c r="D630" s="376" t="str">
        <f>Technologies!D706</f>
        <v>Delivery of Imported Kerosene and Other Refined Products to the Residential Sector</v>
      </c>
      <c r="E630" s="415" t="str">
        <f>Commodities!C$327</f>
        <v>KERP1</v>
      </c>
      <c r="F630" s="415" t="str">
        <f>Commodities!C94</f>
        <v>RESKER</v>
      </c>
      <c r="G630" s="422">
        <v>1</v>
      </c>
      <c r="H630" s="421">
        <f>DelivOIL!$E87*DelivOIL!P$80^5/(Conv!$I$5*Conv!$D$46)/10^6 + OILTrade!$G$6</f>
        <v>1.8476803241732616</v>
      </c>
      <c r="I630" s="421">
        <f>DelivOIL!$E87*DelivOIL!Q$80^5/(Conv!$I$5*Conv!$D$46)/10^6 + OILTrade!$G$6</f>
        <v>1.6538841452744051</v>
      </c>
      <c r="J630" s="421">
        <f>DelivOIL!$E87*DelivOIL!R$80^5/(Conv!$I$5*Conv!$D$46)/10^6 + OILTrade!$G$6</f>
        <v>1.8760677496455185</v>
      </c>
      <c r="K630" s="421">
        <f>DelivOIL!$E87*DelivOIL!S$80^5/(Conv!$I$5*Conv!$D$46)/10^6 + OILTrade!$G$6</f>
        <v>2.148470281548704</v>
      </c>
      <c r="L630" s="421">
        <f>DelivOIL!$E87*DelivOIL!T$80^5/(Conv!$I$5*Conv!$D$46)/10^6 + OILTrade!$G$6</f>
        <v>1.9655525568369037</v>
      </c>
      <c r="M630" s="421">
        <f>DelivOIL!$E87*DelivOIL!U$80^5/(Conv!$I$5*Conv!$D$46)/10^6 + OILTrade!$G$6</f>
        <v>1.8751617750406269</v>
      </c>
      <c r="N630" s="421">
        <f>DelivOIL!$E87*DelivOIL!V$80^5/(Conv!$I$5*Conv!$D$46)/10^6 + OILTrade!$G$6</f>
        <v>1.8751617750406269</v>
      </c>
      <c r="O630" s="421">
        <f>DelivOIL!$E87*DelivOIL!W$80^5/(Conv!$I$5*Conv!$D$46)/10^6 + OILTrade!$G$6</f>
        <v>1.8751617750406269</v>
      </c>
      <c r="P630" s="421">
        <f>DelivOIL!$E87*DelivOIL!X$80^5/(Conv!$I$5*Conv!$D$46)/10^6 + OILTrade!$G$6</f>
        <v>1.8751617750406269</v>
      </c>
      <c r="Q630" s="421">
        <f>DelivOIL!$E87*DelivOIL!Y$80^5/(Conv!$I$5*Conv!$D$46)/10^6 + OILTrade!$G$6</f>
        <v>1.8751617750406269</v>
      </c>
      <c r="S630" s="395"/>
      <c r="T630" s="395"/>
      <c r="U630" s="395"/>
      <c r="V630" s="395"/>
      <c r="W630" s="395"/>
      <c r="X630" s="395"/>
      <c r="Y630" s="395"/>
      <c r="Z630" s="395"/>
      <c r="AA630" s="395"/>
      <c r="AB630" s="395"/>
      <c r="AC630" s="395"/>
    </row>
    <row r="631" spans="2:29">
      <c r="B631" s="376" t="str">
        <f>IF(OR(LEFT(Commodities!B$327,1)="*",LEFT(Technologies!B$707,1)="*"),"*","R4")</f>
        <v>*</v>
      </c>
      <c r="C631" s="376" t="str">
        <f>Technologies!C707</f>
        <v>XICOMKERP1</v>
      </c>
      <c r="D631" s="376" t="str">
        <f>Technologies!D707</f>
        <v>Delivery of Imported Kerosene and Other Refined Products to the Commercial Sector</v>
      </c>
      <c r="E631" s="415" t="str">
        <f>Commodities!C$327</f>
        <v>KERP1</v>
      </c>
      <c r="F631" s="415" t="str">
        <f>Commodities!C95</f>
        <v>COMKER</v>
      </c>
      <c r="G631" s="422">
        <v>1</v>
      </c>
      <c r="H631" s="421">
        <f>DelivOIL!$E88*DelivOIL!P$80^5/(Conv!$I$5*Conv!$D$46)/10^6 + OILTrade!$G$6</f>
        <v>1.874952358478402</v>
      </c>
      <c r="I631" s="421">
        <f>DelivOIL!$E88*DelivOIL!Q$80^5/(Conv!$I$5*Conv!$D$46)/10^6 + OILTrade!$G$6</f>
        <v>1.6782957193743966</v>
      </c>
      <c r="J631" s="421">
        <f>DelivOIL!$E88*DelivOIL!R$80^5/(Conv!$I$5*Conv!$D$46)/10^6 + OILTrade!$G$6</f>
        <v>1.9037587865406551</v>
      </c>
      <c r="K631" s="421">
        <f>DelivOIL!$E88*DelivOIL!S$80^5/(Conv!$I$5*Conv!$D$46)/10^6 + OILTrade!$G$6</f>
        <v>2.1801820200217477</v>
      </c>
      <c r="L631" s="421">
        <f>DelivOIL!$E88*DelivOIL!T$80^5/(Conv!$I$5*Conv!$D$46)/10^6 + OILTrade!$G$6</f>
        <v>1.9945644026942748</v>
      </c>
      <c r="M631" s="421">
        <f>DelivOIL!$E88*DelivOIL!U$80^5/(Conv!$I$5*Conv!$D$46)/10^6 + OILTrade!$G$6</f>
        <v>1.9028394396168722</v>
      </c>
      <c r="N631" s="421">
        <f>DelivOIL!$E88*DelivOIL!V$80^5/(Conv!$I$5*Conv!$D$46)/10^6 + OILTrade!$G$6</f>
        <v>1.9028394396168722</v>
      </c>
      <c r="O631" s="421">
        <f>DelivOIL!$E88*DelivOIL!W$80^5/(Conv!$I$5*Conv!$D$46)/10^6 + OILTrade!$G$6</f>
        <v>1.9028394396168722</v>
      </c>
      <c r="P631" s="421">
        <f>DelivOIL!$E88*DelivOIL!X$80^5/(Conv!$I$5*Conv!$D$46)/10^6 + OILTrade!$G$6</f>
        <v>1.9028394396168722</v>
      </c>
      <c r="Q631" s="421">
        <f>DelivOIL!$E88*DelivOIL!Y$80^5/(Conv!$I$5*Conv!$D$46)/10^6 + OILTrade!$G$6</f>
        <v>1.9028394396168722</v>
      </c>
      <c r="S631" s="395"/>
      <c r="T631" s="395"/>
      <c r="U631" s="395"/>
      <c r="V631" s="395"/>
      <c r="W631" s="395"/>
      <c r="X631" s="395"/>
      <c r="Y631" s="395"/>
      <c r="Z631" s="395"/>
      <c r="AA631" s="395"/>
      <c r="AB631" s="395"/>
      <c r="AC631" s="395"/>
    </row>
    <row r="632" spans="2:29">
      <c r="B632" s="376" t="str">
        <f>IF(OR(LEFT(Commodities!B$327,1)="*",LEFT(Technologies!B$708,1)="*"),"*","R4")</f>
        <v>*</v>
      </c>
      <c r="C632" s="376" t="str">
        <f>Technologies!C708</f>
        <v>XIINDKERP1</v>
      </c>
      <c r="D632" s="376" t="str">
        <f>Technologies!D708</f>
        <v>Delivery of Imported Kerosene and Other Refined Products to the Industrial Sector</v>
      </c>
      <c r="E632" s="415" t="str">
        <f>Commodities!C$327</f>
        <v>KERP1</v>
      </c>
      <c r="F632" s="415" t="str">
        <f>Commodities!C96</f>
        <v>INDKER</v>
      </c>
      <c r="G632" s="422">
        <v>1</v>
      </c>
      <c r="H632" s="421">
        <f>DelivOIL!$E89*DelivOIL!P$80^5/(Conv!$I$5*Conv!$D$46)/10^6 + OILTrade!$G$6</f>
        <v>1.4726898524775816</v>
      </c>
      <c r="I632" s="421">
        <f>DelivOIL!$E89*DelivOIL!Q$80^5/(Conv!$I$5*Conv!$D$46)/10^6 + OILTrade!$G$6</f>
        <v>1.318225001399526</v>
      </c>
      <c r="J632" s="421">
        <f>DelivOIL!$E89*DelivOIL!R$80^5/(Conv!$I$5*Conv!$D$46)/10^6 + OILTrade!$G$6</f>
        <v>1.4953159923373875</v>
      </c>
      <c r="K632" s="421">
        <f>DelivOIL!$E89*DelivOIL!S$80^5/(Conv!$I$5*Conv!$D$46)/10^6 + OILTrade!$G$6</f>
        <v>1.7124338775443548</v>
      </c>
      <c r="L632" s="421">
        <f>DelivOIL!$E89*DelivOIL!T$80^5/(Conv!$I$5*Conv!$D$46)/10^6 + OILTrade!$G$6</f>
        <v>1.566639676298049</v>
      </c>
      <c r="M632" s="421">
        <f>DelivOIL!$E89*DelivOIL!U$80^5/(Conv!$I$5*Conv!$D$46)/10^6 + OILTrade!$G$6</f>
        <v>1.4945938871172526</v>
      </c>
      <c r="N632" s="421">
        <f>DelivOIL!$E89*DelivOIL!V$80^5/(Conv!$I$5*Conv!$D$46)/10^6 + OILTrade!$G$6</f>
        <v>1.4945938871172526</v>
      </c>
      <c r="O632" s="421">
        <f>DelivOIL!$E89*DelivOIL!W$80^5/(Conv!$I$5*Conv!$D$46)/10^6 + OILTrade!$G$6</f>
        <v>1.4945938871172526</v>
      </c>
      <c r="P632" s="421">
        <f>DelivOIL!$E89*DelivOIL!X$80^5/(Conv!$I$5*Conv!$D$46)/10^6 + OILTrade!$G$6</f>
        <v>1.4945938871172526</v>
      </c>
      <c r="Q632" s="421">
        <f>DelivOIL!$E89*DelivOIL!Y$80^5/(Conv!$I$5*Conv!$D$46)/10^6 + OILTrade!$G$6</f>
        <v>1.4945938871172526</v>
      </c>
      <c r="S632" s="395"/>
      <c r="T632" s="395"/>
      <c r="U632" s="395"/>
      <c r="V632" s="395"/>
      <c r="W632" s="395"/>
      <c r="X632" s="395"/>
      <c r="Y632" s="395"/>
      <c r="Z632" s="395"/>
      <c r="AA632" s="395"/>
      <c r="AB632" s="395"/>
      <c r="AC632" s="395"/>
    </row>
    <row r="633" spans="2:29">
      <c r="B633" s="376" t="str">
        <f>IF(OR(LEFT(Commodities!B$328,1)="*",LEFT(Technologies!B$709,1)="*"),"*","R4")</f>
        <v>*</v>
      </c>
      <c r="C633" s="376" t="str">
        <f>Technologies!C709</f>
        <v>XIRESLPGP1</v>
      </c>
      <c r="D633" s="376" t="str">
        <f>Technologies!D709</f>
        <v>Delivery of Imported LPG to the Residential Sector</v>
      </c>
      <c r="E633" s="415" t="str">
        <f>Commodities!C$328</f>
        <v>LPGP1</v>
      </c>
      <c r="F633" s="415" t="str">
        <f>Commodities!C97</f>
        <v>RESLPG</v>
      </c>
      <c r="G633" s="422">
        <v>1</v>
      </c>
      <c r="H633" s="421">
        <f>DelivOIL!$E90*DelivOIL!P$80^5/(Conv!$I$5*Conv!$D$46)/10^6 + OILTrade!$G$6</f>
        <v>2.4408470703100664</v>
      </c>
      <c r="I633" s="421">
        <f>DelivOIL!$E90*DelivOIL!Q$80^5/(Conv!$I$5*Conv!$D$46)/10^6 + OILTrade!$G$6</f>
        <v>2.1848358819492155</v>
      </c>
      <c r="J633" s="421">
        <f>DelivOIL!$E90*DelivOIL!R$80^5/(Conv!$I$5*Conv!$D$46)/10^6 + OILTrade!$G$6</f>
        <v>2.4783478021147451</v>
      </c>
      <c r="K633" s="421">
        <f>DelivOIL!$E90*DelivOIL!S$80^5/(Conv!$I$5*Conv!$D$46)/10^6 + OILTrade!$G$6</f>
        <v>2.8382005933374042</v>
      </c>
      <c r="L633" s="421">
        <f>DelivOIL!$E90*DelivOIL!T$80^5/(Conv!$I$5*Conv!$D$46)/10^6 + OILTrade!$G$6</f>
        <v>2.5965602042347307</v>
      </c>
      <c r="M633" s="421">
        <f>DelivOIL!$E90*DelivOIL!U$80^5/(Conv!$I$5*Conv!$D$46)/10^6 + OILTrade!$G$6</f>
        <v>2.4771509795739659</v>
      </c>
      <c r="N633" s="421">
        <f>DelivOIL!$E90*DelivOIL!V$80^5/(Conv!$I$5*Conv!$D$46)/10^6 + OILTrade!$G$6</f>
        <v>2.4771509795739659</v>
      </c>
      <c r="O633" s="421">
        <f>DelivOIL!$E90*DelivOIL!W$80^5/(Conv!$I$5*Conv!$D$46)/10^6 + OILTrade!$G$6</f>
        <v>2.4771509795739659</v>
      </c>
      <c r="P633" s="421">
        <f>DelivOIL!$E90*DelivOIL!X$80^5/(Conv!$I$5*Conv!$D$46)/10^6 + OILTrade!$G$6</f>
        <v>2.4771509795739659</v>
      </c>
      <c r="Q633" s="421">
        <f>DelivOIL!$E90*DelivOIL!Y$80^5/(Conv!$I$5*Conv!$D$46)/10^6 + OILTrade!$G$6</f>
        <v>2.4771509795739659</v>
      </c>
      <c r="S633" s="395"/>
      <c r="T633" s="395"/>
      <c r="U633" s="395"/>
      <c r="V633" s="395"/>
      <c r="W633" s="395"/>
      <c r="X633" s="395"/>
      <c r="Y633" s="395"/>
      <c r="Z633" s="395"/>
      <c r="AA633" s="395"/>
      <c r="AB633" s="395"/>
      <c r="AC633" s="395"/>
    </row>
    <row r="634" spans="2:29">
      <c r="B634" s="376" t="str">
        <f>IF(OR(LEFT(Commodities!B$328,1)="*",LEFT(Technologies!B$710,1)="*"),"*","R4")</f>
        <v>*</v>
      </c>
      <c r="C634" s="376" t="str">
        <f>Technologies!C710</f>
        <v>XICOMLPGP1</v>
      </c>
      <c r="D634" s="376" t="str">
        <f>Technologies!D710</f>
        <v>Delivery of Imported LPG to the Commercial Sector</v>
      </c>
      <c r="E634" s="415" t="str">
        <f>Commodities!C$328</f>
        <v>LPGP1</v>
      </c>
      <c r="F634" s="415" t="str">
        <f>Commodities!C98</f>
        <v>COMLPG</v>
      </c>
      <c r="G634" s="422">
        <v>1</v>
      </c>
      <c r="H634" s="421">
        <f>DelivOIL!$E91*DelivOIL!P$80^5/(Conv!$I$5*Conv!$D$46)/10^6 + OILTrade!$G$6</f>
        <v>2.5635712246831979</v>
      </c>
      <c r="I634" s="421">
        <f>DelivOIL!$E91*DelivOIL!Q$80^5/(Conv!$I$5*Conv!$D$46)/10^6 + OILTrade!$G$6</f>
        <v>2.2946879653991754</v>
      </c>
      <c r="J634" s="421">
        <f>DelivOIL!$E91*DelivOIL!R$80^5/(Conv!$I$5*Conv!$D$46)/10^6 + OILTrade!$G$6</f>
        <v>2.60295746814286</v>
      </c>
      <c r="K634" s="421">
        <f>DelivOIL!$E91*DelivOIL!S$80^5/(Conv!$I$5*Conv!$D$46)/10^6 + OILTrade!$G$6</f>
        <v>2.9809034164660995</v>
      </c>
      <c r="L634" s="421">
        <f>DelivOIL!$E91*DelivOIL!T$80^5/(Conv!$I$5*Conv!$D$46)/10^6 + OILTrade!$G$6</f>
        <v>2.7271135105929001</v>
      </c>
      <c r="M634" s="421">
        <f>DelivOIL!$E91*DelivOIL!U$80^5/(Conv!$I$5*Conv!$D$46)/10^6 + OILTrade!$G$6</f>
        <v>2.6017004701670698</v>
      </c>
      <c r="N634" s="421">
        <f>DelivOIL!$E91*DelivOIL!V$80^5/(Conv!$I$5*Conv!$D$46)/10^6 + OILTrade!$G$6</f>
        <v>2.6017004701670698</v>
      </c>
      <c r="O634" s="421">
        <f>DelivOIL!$E91*DelivOIL!W$80^5/(Conv!$I$5*Conv!$D$46)/10^6 + OILTrade!$G$6</f>
        <v>2.6017004701670698</v>
      </c>
      <c r="P634" s="421">
        <f>DelivOIL!$E91*DelivOIL!X$80^5/(Conv!$I$5*Conv!$D$46)/10^6 + OILTrade!$G$6</f>
        <v>2.6017004701670698</v>
      </c>
      <c r="Q634" s="421">
        <f>DelivOIL!$E91*DelivOIL!Y$80^5/(Conv!$I$5*Conv!$D$46)/10^6 + OILTrade!$G$6</f>
        <v>2.6017004701670698</v>
      </c>
      <c r="S634" s="395"/>
      <c r="T634" s="395"/>
      <c r="U634" s="395"/>
      <c r="V634" s="395"/>
      <c r="W634" s="395"/>
      <c r="X634" s="395"/>
      <c r="Y634" s="395"/>
      <c r="Z634" s="395"/>
      <c r="AA634" s="395"/>
      <c r="AB634" s="395"/>
      <c r="AC634" s="395"/>
    </row>
    <row r="635" spans="2:29">
      <c r="B635" s="376" t="str">
        <f>IF(OR(LEFT(Commodities!B$328,1)="*",LEFT(Technologies!B$711,1)="*"),"*","R4")</f>
        <v>*</v>
      </c>
      <c r="C635" s="376" t="str">
        <f>Technologies!C711</f>
        <v>XIINDLPGP1</v>
      </c>
      <c r="D635" s="376" t="str">
        <f>Technologies!D711</f>
        <v>Delivery of Imported LPG to the Industrial Sector</v>
      </c>
      <c r="E635" s="415" t="str">
        <f>Commodities!C$328</f>
        <v>LPGP1</v>
      </c>
      <c r="F635" s="415" t="str">
        <f>Commodities!C99</f>
        <v>INDLPG</v>
      </c>
      <c r="G635" s="422">
        <v>1</v>
      </c>
      <c r="H635" s="421">
        <f>DelivOIL!$E92*DelivOIL!P$80^5/(Conv!$I$5*Conv!$D$46)/10^6 + OILTrade!$G$6</f>
        <v>1.5204159125115781</v>
      </c>
      <c r="I635" s="421">
        <f>DelivOIL!$E92*DelivOIL!Q$80^5/(Conv!$I$5*Conv!$D$46)/10^6 + OILTrade!$G$6</f>
        <v>1.3609452560745117</v>
      </c>
      <c r="J635" s="421">
        <f>DelivOIL!$E92*DelivOIL!R$80^5/(Conv!$I$5*Conv!$D$46)/10^6 + OILTrade!$G$6</f>
        <v>1.5437753069038778</v>
      </c>
      <c r="K635" s="421">
        <f>DelivOIL!$E92*DelivOIL!S$80^5/(Conv!$I$5*Conv!$D$46)/10^6 + OILTrade!$G$6</f>
        <v>1.7679294198721822</v>
      </c>
      <c r="L635" s="421">
        <f>DelivOIL!$E92*DelivOIL!T$80^5/(Conv!$I$5*Conv!$D$46)/10^6 + OILTrade!$G$6</f>
        <v>1.6174104065484496</v>
      </c>
      <c r="M635" s="421">
        <f>DelivOIL!$E92*DelivOIL!U$80^5/(Conv!$I$5*Conv!$D$46)/10^6 + OILTrade!$G$6</f>
        <v>1.543029800125683</v>
      </c>
      <c r="N635" s="421">
        <f>DelivOIL!$E92*DelivOIL!V$80^5/(Conv!$I$5*Conv!$D$46)/10^6 + OILTrade!$G$6</f>
        <v>1.543029800125683</v>
      </c>
      <c r="O635" s="421">
        <f>DelivOIL!$E92*DelivOIL!W$80^5/(Conv!$I$5*Conv!$D$46)/10^6 + OILTrade!$G$6</f>
        <v>1.543029800125683</v>
      </c>
      <c r="P635" s="421">
        <f>DelivOIL!$E92*DelivOIL!X$80^5/(Conv!$I$5*Conv!$D$46)/10^6 + OILTrade!$G$6</f>
        <v>1.543029800125683</v>
      </c>
      <c r="Q635" s="421">
        <f>DelivOIL!$E92*DelivOIL!Y$80^5/(Conv!$I$5*Conv!$D$46)/10^6 + OILTrade!$G$6</f>
        <v>1.543029800125683</v>
      </c>
      <c r="S635" s="395"/>
      <c r="T635" s="395"/>
      <c r="U635" s="395"/>
      <c r="V635" s="395"/>
      <c r="W635" s="395"/>
      <c r="X635" s="395"/>
      <c r="Y635" s="395"/>
      <c r="Z635" s="395"/>
      <c r="AA635" s="395"/>
      <c r="AB635" s="395"/>
      <c r="AC635" s="395"/>
    </row>
    <row r="636" spans="2:29">
      <c r="B636" s="376" t="str">
        <f>IF(OR(LEFT(Commodities!B$328,1)="*",LEFT(Technologies!B$712,1)="*"),"*","R4")</f>
        <v>*</v>
      </c>
      <c r="C636" s="376" t="str">
        <f>Technologies!C712</f>
        <v>XITRNLPGP1</v>
      </c>
      <c r="D636" s="376" t="str">
        <f>Technologies!D712</f>
        <v>Delivery of Imported LPG to the Transportation Sector</v>
      </c>
      <c r="E636" s="415" t="str">
        <f>Commodities!C$328</f>
        <v>LPGP1</v>
      </c>
      <c r="F636" s="415" t="str">
        <f>Commodities!C100</f>
        <v>TRNLPG</v>
      </c>
      <c r="G636" s="422">
        <v>1</v>
      </c>
      <c r="H636" s="421">
        <f>DelivOIL!$E93*DelivOIL!P$80^5/(Conv!$I$5*Conv!$D$46)/10^6 + OILTrade!$G$6</f>
        <v>2.8771996191923126</v>
      </c>
      <c r="I636" s="421">
        <f>DelivOIL!$E93*DelivOIL!Q$80^5/(Conv!$I$5*Conv!$D$46)/10^6 + OILTrade!$G$6</f>
        <v>2.5754210675490752</v>
      </c>
      <c r="J636" s="421">
        <f>DelivOIL!$E93*DelivOIL!R$80^5/(Conv!$I$5*Conv!$D$46)/10^6 + OILTrade!$G$6</f>
        <v>2.9214043924369335</v>
      </c>
      <c r="K636" s="421">
        <f>DelivOIL!$E93*DelivOIL!S$80^5/(Conv!$I$5*Conv!$D$46)/10^6 + OILTrade!$G$6</f>
        <v>3.3455884089061017</v>
      </c>
      <c r="L636" s="421">
        <f>DelivOIL!$E93*DelivOIL!T$80^5/(Conv!$I$5*Conv!$D$46)/10^6 + OILTrade!$G$6</f>
        <v>3.0607497379526705</v>
      </c>
      <c r="M636" s="421">
        <f>DelivOIL!$E93*DelivOIL!U$80^5/(Conv!$I$5*Conv!$D$46)/10^6 + OILTrade!$G$6</f>
        <v>2.9199936127938928</v>
      </c>
      <c r="N636" s="421">
        <f>DelivOIL!$E93*DelivOIL!V$80^5/(Conv!$I$5*Conv!$D$46)/10^6 + OILTrade!$G$6</f>
        <v>2.9199936127938928</v>
      </c>
      <c r="O636" s="421">
        <f>DelivOIL!$E93*DelivOIL!W$80^5/(Conv!$I$5*Conv!$D$46)/10^6 + OILTrade!$G$6</f>
        <v>2.9199936127938928</v>
      </c>
      <c r="P636" s="421">
        <f>DelivOIL!$E93*DelivOIL!X$80^5/(Conv!$I$5*Conv!$D$46)/10^6 + OILTrade!$G$6</f>
        <v>2.9199936127938928</v>
      </c>
      <c r="Q636" s="421">
        <f>DelivOIL!$E93*DelivOIL!Y$80^5/(Conv!$I$5*Conv!$D$46)/10^6 + OILTrade!$G$6</f>
        <v>2.9199936127938928</v>
      </c>
      <c r="S636" s="395"/>
      <c r="T636" s="395"/>
      <c r="U636" s="395"/>
      <c r="V636" s="395"/>
      <c r="W636" s="395"/>
      <c r="X636" s="395"/>
      <c r="Y636" s="395"/>
      <c r="Z636" s="395"/>
      <c r="AA636" s="395"/>
      <c r="AB636" s="395"/>
      <c r="AC636" s="395"/>
    </row>
    <row r="637" spans="2:29">
      <c r="B637" s="376" t="str">
        <f>IF(LEFT(Technologies!B$713,1)="*","*","R4")</f>
        <v>*</v>
      </c>
      <c r="C637" s="376" t="str">
        <f>Technologies!C713</f>
        <v>XITRNMTHP1</v>
      </c>
      <c r="D637" s="376" t="str">
        <f>Technologies!D713</f>
        <v>Delivery of Imported Methanol</v>
      </c>
      <c r="E637" s="415" t="str">
        <f>Commodities!C$329</f>
        <v>MTHP1</v>
      </c>
      <c r="F637" s="415" t="str">
        <f>Commodities!C101</f>
        <v>TRNMTH</v>
      </c>
      <c r="G637" s="422">
        <v>1</v>
      </c>
      <c r="H637" s="421">
        <f>DelivOIL!$E94*DelivOIL!P$80^5/(Conv!$I$5*Conv!$D$46)/10^6 + OILTrade!$G$6</f>
        <v>0.36135445454310988</v>
      </c>
      <c r="I637" s="421">
        <f>DelivOIL!$E94*DelivOIL!Q$80^5/(Conv!$I$5*Conv!$D$46)/10^6 + OILTrade!$G$6</f>
        <v>0.32345335682488341</v>
      </c>
      <c r="J637" s="421">
        <f>DelivOIL!$E94*DelivOIL!R$80^5/(Conv!$I$5*Conv!$D$46)/10^6 + OILTrade!$G$6</f>
        <v>0.36690623886056228</v>
      </c>
      <c r="K637" s="421">
        <f>DelivOIL!$E94*DelivOIL!S$80^5/(Conv!$I$5*Conv!$D$46)/10^6 + OILTrade!$G$6</f>
        <v>0.42018053476782735</v>
      </c>
      <c r="L637" s="421">
        <f>DelivOIL!$E94*DelivOIL!T$80^5/(Conv!$I$5*Conv!$D$46)/10^6 + OILTrade!$G$6</f>
        <v>0.38440695761016902</v>
      </c>
      <c r="M637" s="421">
        <f>DelivOIL!$E94*DelivOIL!U$80^5/(Conv!$I$5*Conv!$D$46)/10^6 + OILTrade!$G$6</f>
        <v>0.36672905563525143</v>
      </c>
      <c r="N637" s="421">
        <f>DelivOIL!$E94*DelivOIL!V$80^5/(Conv!$I$5*Conv!$D$46)/10^6 + OILTrade!$G$6</f>
        <v>0.36672905563525143</v>
      </c>
      <c r="O637" s="421">
        <f>DelivOIL!$E94*DelivOIL!W$80^5/(Conv!$I$5*Conv!$D$46)/10^6 + OILTrade!$G$6</f>
        <v>0.36672905563525143</v>
      </c>
      <c r="P637" s="421">
        <f>DelivOIL!$E94*DelivOIL!X$80^5/(Conv!$I$5*Conv!$D$46)/10^6 + OILTrade!$G$6</f>
        <v>0.36672905563525143</v>
      </c>
      <c r="Q637" s="421">
        <f>DelivOIL!$E94*DelivOIL!Y$80^5/(Conv!$I$5*Conv!$D$46)/10^6 + OILTrade!$G$6</f>
        <v>0.36672905563525143</v>
      </c>
      <c r="S637" s="395"/>
      <c r="T637" s="395"/>
      <c r="U637" s="395"/>
      <c r="V637" s="395"/>
      <c r="W637" s="395"/>
      <c r="X637" s="395"/>
      <c r="Y637" s="395"/>
      <c r="Z637" s="395"/>
      <c r="AA637" s="395"/>
      <c r="AB637" s="395"/>
      <c r="AC637" s="395"/>
    </row>
    <row r="638" spans="2:29">
      <c r="B638" s="376" t="str">
        <f>IF(OR(LEFT(Commodities!B$102,1)="*",LEFT(Technologies!B$714,1)="*"),"*","R4")</f>
        <v>*</v>
      </c>
      <c r="C638" s="376" t="str">
        <f>Technologies!C714</f>
        <v>XIINDPFSP1</v>
      </c>
      <c r="D638" s="376" t="str">
        <f>Technologies!D714</f>
        <v>Delivery of Imported Petrochemical Feedstocks</v>
      </c>
      <c r="E638" s="415" t="str">
        <f>Commodities!C$330</f>
        <v>PFSP1</v>
      </c>
      <c r="F638" s="415" t="str">
        <f>Commodities!C102</f>
        <v>INDPFS</v>
      </c>
      <c r="G638" s="422">
        <v>1</v>
      </c>
      <c r="H638" s="421">
        <f>DelivOIL!$E95*DelivOIL!P$80^5/(Conv!$I$5*Conv!$D$46)/10^6 + OILTrade!$G$6</f>
        <v>0.95452120067991375</v>
      </c>
      <c r="I638" s="421">
        <f>DelivOIL!$E95*DelivOIL!Q$80^5/(Conv!$I$5*Conv!$D$46)/10^6 + OILTrade!$G$6</f>
        <v>0.85440509349969285</v>
      </c>
      <c r="J638" s="421">
        <f>DelivOIL!$E95*DelivOIL!R$80^5/(Conv!$I$5*Conv!$D$46)/10^6 + OILTrade!$G$6</f>
        <v>0.96918629132978806</v>
      </c>
      <c r="K638" s="421">
        <f>DelivOIL!$E95*DelivOIL!S$80^5/(Conv!$I$5*Conv!$D$46)/10^6 + OILTrade!$G$6</f>
        <v>1.1099108465565262</v>
      </c>
      <c r="L638" s="421">
        <f>DelivOIL!$E95*DelivOIL!T$80^5/(Conv!$I$5*Conv!$D$46)/10^6 + OILTrade!$G$6</f>
        <v>1.0154146050079944</v>
      </c>
      <c r="M638" s="421">
        <f>DelivOIL!$E95*DelivOIL!U$80^5/(Conv!$I$5*Conv!$D$46)/10^6 + OILTrade!$G$6</f>
        <v>0.96871826016858953</v>
      </c>
      <c r="N638" s="421">
        <f>DelivOIL!$E95*DelivOIL!V$80^5/(Conv!$I$5*Conv!$D$46)/10^6 + OILTrade!$G$6</f>
        <v>0.96871826016858953</v>
      </c>
      <c r="O638" s="421">
        <f>DelivOIL!$E95*DelivOIL!W$80^5/(Conv!$I$5*Conv!$D$46)/10^6 + OILTrade!$G$6</f>
        <v>0.96871826016858953</v>
      </c>
      <c r="P638" s="421">
        <f>DelivOIL!$E95*DelivOIL!X$80^5/(Conv!$I$5*Conv!$D$46)/10^6 + OILTrade!$G$6</f>
        <v>0.96871826016858953</v>
      </c>
      <c r="Q638" s="421">
        <f>DelivOIL!$E95*DelivOIL!Y$80^5/(Conv!$I$5*Conv!$D$46)/10^6 + OILTrade!$G$6</f>
        <v>0.96871826016858953</v>
      </c>
      <c r="S638" s="395"/>
      <c r="T638" s="395"/>
      <c r="U638" s="395"/>
      <c r="V638" s="395"/>
      <c r="W638" s="395"/>
      <c r="X638" s="395"/>
      <c r="Y638" s="395"/>
      <c r="Z638" s="395"/>
      <c r="AA638" s="395"/>
      <c r="AB638" s="395"/>
      <c r="AC638" s="395"/>
    </row>
    <row r="639" spans="2:29">
      <c r="B639" s="376" t="str">
        <f>IF(OR(LEFT(Commodities!B$332,1)="*",LEFT(Technologies!B$715,1)="*"),"*","R4")</f>
        <v>*</v>
      </c>
      <c r="C639" s="376" t="str">
        <f>Technologies!C715</f>
        <v>XIRESRFLP1</v>
      </c>
      <c r="D639" s="376" t="str">
        <f>Technologies!D715</f>
        <v>Delivery of Imported Low Sulfur Residual Fuel Oil to Residential Sector</v>
      </c>
      <c r="E639" s="415" t="str">
        <f>Commodities!C$332</f>
        <v>RFLP1</v>
      </c>
      <c r="F639" s="415" t="str">
        <f>Commodities!C103</f>
        <v>RESRFL</v>
      </c>
      <c r="G639" s="422">
        <v>1</v>
      </c>
      <c r="H639" s="421">
        <f>DelivOIL!$E96*DelivOIL!P$80^5/(Conv!$I$5*Conv!$D$46)/10^6 + OILTrade!$G$6</f>
        <v>0.13636017152570212</v>
      </c>
      <c r="I639" s="421">
        <f>DelivOIL!$E96*DelivOIL!Q$80^5/(Conv!$I$5*Conv!$D$46)/10^6 + OILTrade!$G$6</f>
        <v>0.12205787049995626</v>
      </c>
      <c r="J639" s="421">
        <f>DelivOIL!$E96*DelivOIL!R$80^5/(Conv!$I$5*Conv!$D$46)/10^6 + OILTrade!$G$6</f>
        <v>0.13845518447568417</v>
      </c>
      <c r="K639" s="421">
        <f>DelivOIL!$E96*DelivOIL!S$80^5/(Conv!$I$5*Conv!$D$46)/10^6 + OILTrade!$G$6</f>
        <v>0.15855869236521822</v>
      </c>
      <c r="L639" s="421">
        <f>DelivOIL!$E96*DelivOIL!T$80^5/(Conv!$I$5*Conv!$D$46)/10^6 + OILTrade!$G$6</f>
        <v>0.14505922928685655</v>
      </c>
      <c r="M639" s="421">
        <f>DelivOIL!$E96*DelivOIL!U$80^5/(Conv!$I$5*Conv!$D$46)/10^6 + OILTrade!$G$6</f>
        <v>0.13838832288122724</v>
      </c>
      <c r="N639" s="421">
        <f>DelivOIL!$E96*DelivOIL!V$80^5/(Conv!$I$5*Conv!$D$46)/10^6 + OILTrade!$G$6</f>
        <v>0.13838832288122724</v>
      </c>
      <c r="O639" s="421">
        <f>DelivOIL!$E96*DelivOIL!W$80^5/(Conv!$I$5*Conv!$D$46)/10^6 + OILTrade!$G$6</f>
        <v>0.13838832288122724</v>
      </c>
      <c r="P639" s="421">
        <f>DelivOIL!$E96*DelivOIL!X$80^5/(Conv!$I$5*Conv!$D$46)/10^6 + OILTrade!$G$6</f>
        <v>0.13838832288122724</v>
      </c>
      <c r="Q639" s="421">
        <f>DelivOIL!$E96*DelivOIL!Y$80^5/(Conv!$I$5*Conv!$D$46)/10^6 + OILTrade!$G$6</f>
        <v>0.13838832288122724</v>
      </c>
      <c r="S639" s="395"/>
      <c r="T639" s="395"/>
      <c r="U639" s="395"/>
      <c r="V639" s="395"/>
      <c r="W639" s="395"/>
      <c r="X639" s="395"/>
      <c r="Y639" s="395"/>
      <c r="Z639" s="395"/>
      <c r="AA639" s="395"/>
      <c r="AB639" s="395"/>
      <c r="AC639" s="395"/>
    </row>
    <row r="640" spans="2:29">
      <c r="B640" s="376" t="str">
        <f>IF(OR(LEFT(Commodities!B$332,1)="*",LEFT(Technologies!B$716,1)="*"),"*","R4")</f>
        <v>*</v>
      </c>
      <c r="C640" s="376" t="str">
        <f>Technologies!C716</f>
        <v>XICOMRFLP1</v>
      </c>
      <c r="D640" s="376" t="str">
        <f>Technologies!D716</f>
        <v>Delivery of Imported Low Sulfur Residual Fuel Oil to Commercial Sector</v>
      </c>
      <c r="E640" s="415" t="str">
        <f>Commodities!C$332</f>
        <v>RFLP1</v>
      </c>
      <c r="F640" s="415" t="str">
        <f>Commodities!C104</f>
        <v>COMRFL</v>
      </c>
      <c r="G640" s="422">
        <v>1</v>
      </c>
      <c r="H640" s="421">
        <f>DelivOIL!$E96*DelivOIL!P$80^5/(Conv!$I$5*Conv!$D$46)/10^6 + OILTrade!$G$6</f>
        <v>0.13636017152570212</v>
      </c>
      <c r="I640" s="421">
        <f>DelivOIL!$E96*DelivOIL!Q$80^5/(Conv!$I$5*Conv!$D$46)/10^6 + OILTrade!$G$6</f>
        <v>0.12205787049995626</v>
      </c>
      <c r="J640" s="421">
        <f>DelivOIL!$E96*DelivOIL!R$80^5/(Conv!$I$5*Conv!$D$46)/10^6 + OILTrade!$G$6</f>
        <v>0.13845518447568417</v>
      </c>
      <c r="K640" s="421">
        <f>DelivOIL!$E96*DelivOIL!S$80^5/(Conv!$I$5*Conv!$D$46)/10^6 + OILTrade!$G$6</f>
        <v>0.15855869236521822</v>
      </c>
      <c r="L640" s="421">
        <f>DelivOIL!$E96*DelivOIL!T$80^5/(Conv!$I$5*Conv!$D$46)/10^6 + OILTrade!$G$6</f>
        <v>0.14505922928685655</v>
      </c>
      <c r="M640" s="421">
        <f>DelivOIL!$E96*DelivOIL!U$80^5/(Conv!$I$5*Conv!$D$46)/10^6 + OILTrade!$G$6</f>
        <v>0.13838832288122724</v>
      </c>
      <c r="N640" s="421">
        <f>DelivOIL!$E96*DelivOIL!V$80^5/(Conv!$I$5*Conv!$D$46)/10^6 + OILTrade!$G$6</f>
        <v>0.13838832288122724</v>
      </c>
      <c r="O640" s="421">
        <f>DelivOIL!$E96*DelivOIL!W$80^5/(Conv!$I$5*Conv!$D$46)/10^6 + OILTrade!$G$6</f>
        <v>0.13838832288122724</v>
      </c>
      <c r="P640" s="421">
        <f>DelivOIL!$E96*DelivOIL!X$80^5/(Conv!$I$5*Conv!$D$46)/10^6 + OILTrade!$G$6</f>
        <v>0.13838832288122724</v>
      </c>
      <c r="Q640" s="421">
        <f>DelivOIL!$E96*DelivOIL!Y$80^5/(Conv!$I$5*Conv!$D$46)/10^6 + OILTrade!$G$6</f>
        <v>0.13838832288122724</v>
      </c>
      <c r="S640" s="395"/>
      <c r="T640" s="395"/>
      <c r="U640" s="395"/>
      <c r="V640" s="395"/>
      <c r="W640" s="395"/>
      <c r="X640" s="395"/>
      <c r="Y640" s="395"/>
      <c r="Z640" s="395"/>
      <c r="AA640" s="395"/>
      <c r="AB640" s="395"/>
      <c r="AC640" s="395"/>
    </row>
    <row r="641" spans="2:29">
      <c r="B641" s="376" t="str">
        <f>IF(OR(LEFT(Commodities!B$332,1)="*",LEFT(Technologies!B$717,1)="*"),"*","R4")</f>
        <v>R4</v>
      </c>
      <c r="C641" s="376" t="str">
        <f>Technologies!C717</f>
        <v>XIINDRFLP1</v>
      </c>
      <c r="D641" s="376" t="str">
        <f>Technologies!D717</f>
        <v>Delivery of Imported Low Sulfur Residual Fuel Oil to Industrial Sector</v>
      </c>
      <c r="E641" s="415" t="str">
        <f>Commodities!C$332</f>
        <v>RFLP1</v>
      </c>
      <c r="F641" s="415" t="str">
        <f>Commodities!C105</f>
        <v>INDRFL</v>
      </c>
      <c r="G641" s="422">
        <v>1</v>
      </c>
      <c r="H641" s="421">
        <f>DelivOIL!$E97*DelivOIL!P$80^5/(Conv!$I$5*Conv!$D$46)/10^6 + OILTrade!$G$6</f>
        <v>0.15681419725455745</v>
      </c>
      <c r="I641" s="421">
        <f>DelivOIL!$E97*DelivOIL!Q$80^5/(Conv!$I$5*Conv!$D$46)/10^6 + OILTrade!$G$6</f>
        <v>0.14036655107494969</v>
      </c>
      <c r="J641" s="421">
        <f>DelivOIL!$E97*DelivOIL!R$80^5/(Conv!$I$5*Conv!$D$46)/10^6 + OILTrade!$G$6</f>
        <v>0.15922346214703678</v>
      </c>
      <c r="K641" s="421">
        <f>DelivOIL!$E97*DelivOIL!S$80^5/(Conv!$I$5*Conv!$D$46)/10^6 + OILTrade!$G$6</f>
        <v>0.18234249622000093</v>
      </c>
      <c r="L641" s="421">
        <f>DelivOIL!$E97*DelivOIL!T$80^5/(Conv!$I$5*Conv!$D$46)/10^6 + OILTrade!$G$6</f>
        <v>0.16681811367988503</v>
      </c>
      <c r="M641" s="421">
        <f>DelivOIL!$E97*DelivOIL!U$80^5/(Conv!$I$5*Conv!$D$46)/10^6 + OILTrade!$G$6</f>
        <v>0.15914657131341131</v>
      </c>
      <c r="N641" s="421">
        <f>DelivOIL!$E97*DelivOIL!V$80^5/(Conv!$I$5*Conv!$D$46)/10^6 + OILTrade!$G$6</f>
        <v>0.15914657131341131</v>
      </c>
      <c r="O641" s="421">
        <f>DelivOIL!$E97*DelivOIL!W$80^5/(Conv!$I$5*Conv!$D$46)/10^6 + OILTrade!$G$6</f>
        <v>0.15914657131341131</v>
      </c>
      <c r="P641" s="421">
        <f>DelivOIL!$E97*DelivOIL!X$80^5/(Conv!$I$5*Conv!$D$46)/10^6 + OILTrade!$G$6</f>
        <v>0.15914657131341131</v>
      </c>
      <c r="Q641" s="421">
        <f>DelivOIL!$E97*DelivOIL!Y$80^5/(Conv!$I$5*Conv!$D$46)/10^6 + OILTrade!$G$6</f>
        <v>0.15914657131341131</v>
      </c>
      <c r="S641" s="395"/>
      <c r="T641" s="395"/>
      <c r="U641" s="395"/>
      <c r="V641" s="395"/>
      <c r="W641" s="395"/>
      <c r="X641" s="395"/>
      <c r="Y641" s="395"/>
      <c r="Z641" s="395"/>
      <c r="AA641" s="395"/>
      <c r="AB641" s="395"/>
      <c r="AC641" s="395"/>
    </row>
    <row r="642" spans="2:29">
      <c r="B642" s="376" t="str">
        <f>IF(OR(LEFT(Commodities!B$332,1)="*",LEFT(Technologies!B$718,1)="*"),"*","R4")</f>
        <v>*</v>
      </c>
      <c r="C642" s="376" t="str">
        <f>Technologies!C718</f>
        <v>XIELCRFLP1</v>
      </c>
      <c r="D642" s="376" t="str">
        <f>Technologies!D718</f>
        <v>Delivery of Imported Low Sulfur Residual Fuel Oil to Electricity Sector</v>
      </c>
      <c r="E642" s="415" t="str">
        <f>Commodities!C$332</f>
        <v>RFLP1</v>
      </c>
      <c r="F642" s="415" t="str">
        <f>Commodities!C106</f>
        <v>ELCRFL</v>
      </c>
      <c r="G642" s="422">
        <v>1</v>
      </c>
      <c r="H642" s="421">
        <f>DelivOIL!$E98*DelivOIL!P$80^5/(Conv!$I$5*Conv!$D$46)/10^6 + OILTrade!$G$6</f>
        <v>0</v>
      </c>
      <c r="I642" s="421">
        <f>DelivOIL!$E98*DelivOIL!Q$80^5/(Conv!$I$5*Conv!$D$46)/10^6 + OILTrade!$G$6</f>
        <v>0</v>
      </c>
      <c r="J642" s="421">
        <f>DelivOIL!$E98*DelivOIL!R$80^5/(Conv!$I$5*Conv!$D$46)/10^6 + OILTrade!$G$6</f>
        <v>0</v>
      </c>
      <c r="K642" s="421">
        <f>DelivOIL!$E98*DelivOIL!S$80^5/(Conv!$I$5*Conv!$D$46)/10^6 + OILTrade!$G$6</f>
        <v>0</v>
      </c>
      <c r="L642" s="421">
        <f>DelivOIL!$E98*DelivOIL!T$80^5/(Conv!$I$5*Conv!$D$46)/10^6 + OILTrade!$G$6</f>
        <v>0</v>
      </c>
      <c r="M642" s="421">
        <f>DelivOIL!$E98*DelivOIL!U$80^5/(Conv!$I$5*Conv!$D$46)/10^6 + OILTrade!$G$6</f>
        <v>0</v>
      </c>
      <c r="N642" s="421">
        <f>DelivOIL!$E98*DelivOIL!V$80^5/(Conv!$I$5*Conv!$D$46)/10^6 + OILTrade!$G$6</f>
        <v>0</v>
      </c>
      <c r="O642" s="421">
        <f>DelivOIL!$E98*DelivOIL!W$80^5/(Conv!$I$5*Conv!$D$46)/10^6 + OILTrade!$G$6</f>
        <v>0</v>
      </c>
      <c r="P642" s="421">
        <f>DelivOIL!$E98*DelivOIL!X$80^5/(Conv!$I$5*Conv!$D$46)/10^6 + OILTrade!$G$6</f>
        <v>0</v>
      </c>
      <c r="Q642" s="421">
        <f>DelivOIL!$E98*DelivOIL!Y$80^5/(Conv!$I$5*Conv!$D$46)/10^6 + OILTrade!$G$6</f>
        <v>0</v>
      </c>
      <c r="S642" s="395"/>
      <c r="T642" s="395"/>
      <c r="U642" s="395"/>
      <c r="V642" s="395"/>
      <c r="W642" s="395"/>
      <c r="X642" s="395"/>
      <c r="Y642" s="395"/>
      <c r="Z642" s="395"/>
      <c r="AA642" s="395"/>
      <c r="AB642" s="395"/>
      <c r="AC642" s="395"/>
    </row>
    <row r="643" spans="2:29">
      <c r="B643" s="376" t="str">
        <f>IF(OR(LEFT(Commodities!B$331,1)="*",LEFT(Technologies!B$719,1)="*"),"*","R4")</f>
        <v>*</v>
      </c>
      <c r="C643" s="376" t="str">
        <f>Technologies!C719</f>
        <v>XITRNRFHP1</v>
      </c>
      <c r="D643" s="376" t="str">
        <f>Technologies!D719</f>
        <v>Delivery of Imported High Sulfur Residual Fuel Oil to Transportation Sector</v>
      </c>
      <c r="E643" s="415" t="str">
        <f>Commodities!C$331</f>
        <v>RFHP1</v>
      </c>
      <c r="F643" s="415" t="str">
        <f>Commodities!C107</f>
        <v>TRNRFH</v>
      </c>
      <c r="G643" s="422">
        <v>1</v>
      </c>
      <c r="H643" s="421">
        <f>DelivOIL!$E99*DelivOIL!P$80^5/(Conv!$I$5*Conv!$D$46)/10^6 + OILTrade!$G$6</f>
        <v>6.8180085762851068E-3</v>
      </c>
      <c r="I643" s="421">
        <f>DelivOIL!$E99*DelivOIL!Q$80^5/(Conv!$I$5*Conv!$D$46)/10^6 + OILTrade!$G$6</f>
        <v>6.1028935249978133E-3</v>
      </c>
      <c r="J643" s="421">
        <f>DelivOIL!$E99*DelivOIL!R$80^5/(Conv!$I$5*Conv!$D$46)/10^6 + OILTrade!$G$6</f>
        <v>6.9227592237842079E-3</v>
      </c>
      <c r="K643" s="421">
        <f>DelivOIL!$E99*DelivOIL!S$80^5/(Conv!$I$5*Conv!$D$46)/10^6 + OILTrade!$G$6</f>
        <v>7.9279346182609105E-3</v>
      </c>
      <c r="L643" s="421">
        <f>DelivOIL!$E99*DelivOIL!T$80^5/(Conv!$I$5*Conv!$D$46)/10^6 + OILTrade!$G$6</f>
        <v>7.2529614643428277E-3</v>
      </c>
      <c r="M643" s="421">
        <f>DelivOIL!$E99*DelivOIL!U$80^5/(Conv!$I$5*Conv!$D$46)/10^6 + OILTrade!$G$6</f>
        <v>6.9194161440613621E-3</v>
      </c>
      <c r="N643" s="421">
        <f>DelivOIL!$E99*DelivOIL!V$80^5/(Conv!$I$5*Conv!$D$46)/10^6 + OILTrade!$G$6</f>
        <v>6.9194161440613621E-3</v>
      </c>
      <c r="O643" s="421">
        <f>DelivOIL!$E99*DelivOIL!W$80^5/(Conv!$I$5*Conv!$D$46)/10^6 + OILTrade!$G$6</f>
        <v>6.9194161440613621E-3</v>
      </c>
      <c r="P643" s="421">
        <f>DelivOIL!$E99*DelivOIL!X$80^5/(Conv!$I$5*Conv!$D$46)/10^6 + OILTrade!$G$6</f>
        <v>6.9194161440613621E-3</v>
      </c>
      <c r="Q643" s="421">
        <f>DelivOIL!$E99*DelivOIL!Y$80^5/(Conv!$I$5*Conv!$D$46)/10^6 + OILTrade!$G$6</f>
        <v>6.9194161440613621E-3</v>
      </c>
      <c r="S643" s="395"/>
      <c r="T643" s="395"/>
      <c r="U643" s="395"/>
      <c r="V643" s="395"/>
      <c r="W643" s="395"/>
      <c r="X643" s="395"/>
      <c r="Y643" s="395"/>
      <c r="Z643" s="395"/>
      <c r="AA643" s="395"/>
      <c r="AB643" s="395"/>
      <c r="AC643" s="395"/>
    </row>
    <row r="644" spans="2:29">
      <c r="B644" s="376" t="str">
        <f>IF(OR(LEFT(Commodities!B$331,1)="*",LEFT(Technologies!B$720,1)="*"),"*","R4")</f>
        <v>*</v>
      </c>
      <c r="C644" s="376" t="str">
        <f>Technologies!C720</f>
        <v>XIELCRFHP1</v>
      </c>
      <c r="D644" s="376" t="str">
        <f>Technologies!D720</f>
        <v>Delivery of Imported High Sulfur Residual Fuel Oil to Electricity Sector</v>
      </c>
      <c r="E644" s="415" t="str">
        <f>Commodities!C$331</f>
        <v>RFHP1</v>
      </c>
      <c r="F644" s="415" t="str">
        <f>Commodities!C108</f>
        <v>ELCRFH</v>
      </c>
      <c r="G644" s="422">
        <v>1</v>
      </c>
      <c r="H644" s="421">
        <f>DelivOIL!$E100*DelivOIL!P$80^5/(Conv!$I$5*Conv!$D$46)/10^6 + OILTrade!$G$6</f>
        <v>0</v>
      </c>
      <c r="I644" s="421">
        <f>DelivOIL!$E100*DelivOIL!Q$80^5/(Conv!$I$5*Conv!$D$46)/10^6 + OILTrade!$G$6</f>
        <v>0</v>
      </c>
      <c r="J644" s="421">
        <f>DelivOIL!$E100*DelivOIL!R$80^5/(Conv!$I$5*Conv!$D$46)/10^6 + OILTrade!$G$6</f>
        <v>0</v>
      </c>
      <c r="K644" s="421">
        <f>DelivOIL!$E100*DelivOIL!S$80^5/(Conv!$I$5*Conv!$D$46)/10^6 + OILTrade!$G$6</f>
        <v>0</v>
      </c>
      <c r="L644" s="421">
        <f>DelivOIL!$E100*DelivOIL!T$80^5/(Conv!$I$5*Conv!$D$46)/10^6 + OILTrade!$G$6</f>
        <v>0</v>
      </c>
      <c r="M644" s="421">
        <f>DelivOIL!$E100*DelivOIL!U$80^5/(Conv!$I$5*Conv!$D$46)/10^6 + OILTrade!$G$6</f>
        <v>0</v>
      </c>
      <c r="N644" s="421">
        <f>DelivOIL!$E100*DelivOIL!V$80^5/(Conv!$I$5*Conv!$D$46)/10^6 + OILTrade!$G$6</f>
        <v>0</v>
      </c>
      <c r="O644" s="421">
        <f>DelivOIL!$E100*DelivOIL!W$80^5/(Conv!$I$5*Conv!$D$46)/10^6 + OILTrade!$G$6</f>
        <v>0</v>
      </c>
      <c r="P644" s="421">
        <f>DelivOIL!$E100*DelivOIL!X$80^5/(Conv!$I$5*Conv!$D$46)/10^6 + OILTrade!$G$6</f>
        <v>0</v>
      </c>
      <c r="Q644" s="421">
        <f>DelivOIL!$E100*DelivOIL!Y$80^5/(Conv!$I$5*Conv!$D$46)/10^6 + OILTrade!$G$6</f>
        <v>0</v>
      </c>
      <c r="S644" s="395"/>
      <c r="T644" s="395"/>
      <c r="U644" s="395"/>
      <c r="V644" s="395"/>
      <c r="W644" s="395"/>
      <c r="X644" s="395"/>
      <c r="Y644" s="395"/>
      <c r="Z644" s="395"/>
      <c r="AA644" s="395"/>
      <c r="AB644" s="395"/>
      <c r="AC644" s="395"/>
    </row>
    <row r="645" spans="2:29">
      <c r="B645" s="378" t="s">
        <v>1088</v>
      </c>
      <c r="C645" s="378"/>
      <c r="D645" s="378"/>
      <c r="E645" s="414"/>
      <c r="F645" s="414"/>
      <c r="G645" s="418"/>
      <c r="H645" s="392"/>
      <c r="I645" s="392"/>
      <c r="J645" s="392"/>
      <c r="K645" s="392"/>
      <c r="L645" s="392"/>
      <c r="M645" s="392"/>
      <c r="N645" s="392"/>
      <c r="O645" s="392"/>
      <c r="P645" s="392"/>
      <c r="Q645" s="392"/>
    </row>
    <row r="646" spans="2:29">
      <c r="B646" s="376" t="str">
        <f>IF(LEFT(Technologies!B$702,1)="*","*","R5")</f>
        <v>R5</v>
      </c>
      <c r="C646" s="376" t="str">
        <f>Technologies!C702</f>
        <v>XITRGSLCP1</v>
      </c>
      <c r="D646" s="376" t="str">
        <f>Technologies!D702</f>
        <v>Delivery of Imported Conventional Gasoline</v>
      </c>
      <c r="E646" s="415" t="str">
        <f>Commodities!C$325</f>
        <v>GSCP1</v>
      </c>
      <c r="F646" s="415" t="str">
        <f>Commodities!C85</f>
        <v>TRGSLC</v>
      </c>
      <c r="G646" s="422">
        <v>1</v>
      </c>
      <c r="H646" s="421">
        <f>DelivOIL!$F77*DelivOIL!P$81^5/(Conv!$I$5*Conv!$D$46)/10^6 + OILTrade!$H$5</f>
        <v>2.9044716534974531</v>
      </c>
      <c r="I646" s="421">
        <f>DelivOIL!$F77*DelivOIL!Q$81^5/(Conv!$I$5*Conv!$D$46)/10^6 + OILTrade!$H$5</f>
        <v>2.8891232893873218</v>
      </c>
      <c r="J646" s="421">
        <f>DelivOIL!$F77*DelivOIL!R$81^5/(Conv!$I$5*Conv!$D$46)/10^6 + OILTrade!$H$5</f>
        <v>3.0393833889655721</v>
      </c>
      <c r="K646" s="421">
        <f>DelivOIL!$F77*DelivOIL!S$81^5/(Conv!$I$5*Conv!$D$46)/10^6 + OILTrade!$H$5</f>
        <v>3.6613025090101332</v>
      </c>
      <c r="L646" s="421">
        <f>DelivOIL!$F77*DelivOIL!T$81^5/(Conv!$I$5*Conv!$D$46)/10^6 + OILTrade!$H$5</f>
        <v>3.3576863147298095</v>
      </c>
      <c r="M646" s="421">
        <f>DelivOIL!$F77*DelivOIL!U$81^5/(Conv!$I$5*Conv!$D$46)/10^6 + OILTrade!$H$5</f>
        <v>2.9755698887715369</v>
      </c>
      <c r="N646" s="421">
        <f>DelivOIL!$F77*DelivOIL!V$81^5/(Conv!$I$5*Conv!$D$46)/10^6 + OILTrade!$H$5</f>
        <v>2.9755698887715369</v>
      </c>
      <c r="O646" s="421">
        <f>DelivOIL!$F77*DelivOIL!W$81^5/(Conv!$I$5*Conv!$D$46)/10^6 + OILTrade!$H$5</f>
        <v>2.9755698887715369</v>
      </c>
      <c r="P646" s="421">
        <f>DelivOIL!$F77*DelivOIL!X$81^5/(Conv!$I$5*Conv!$D$46)/10^6 + OILTrade!$H$5</f>
        <v>2.9755698887715369</v>
      </c>
      <c r="Q646" s="421">
        <f>DelivOIL!$F77*DelivOIL!Y$81^5/(Conv!$I$5*Conv!$D$46)/10^6 + OILTrade!$H$5</f>
        <v>2.9755698887715369</v>
      </c>
      <c r="S646" s="395"/>
      <c r="T646" s="395"/>
      <c r="U646" s="395"/>
      <c r="V646" s="395"/>
      <c r="W646" s="395"/>
      <c r="X646" s="395"/>
      <c r="Y646" s="395"/>
      <c r="Z646" s="395"/>
      <c r="AA646" s="395"/>
      <c r="AB646" s="395"/>
      <c r="AC646" s="395"/>
    </row>
    <row r="647" spans="2:29">
      <c r="B647" s="376" t="str">
        <f>IF(LEFT(Technologies!B$703,1)="*","*","R5")</f>
        <v>R5</v>
      </c>
      <c r="C647" s="376" t="str">
        <f>Technologies!C703</f>
        <v>XITRGSLRP1</v>
      </c>
      <c r="D647" s="376" t="str">
        <f>Technologies!D703</f>
        <v>Delivery of Imported Reformulated Gasoline</v>
      </c>
      <c r="E647" s="415" t="str">
        <f>Commodities!C$326</f>
        <v>GSRP1</v>
      </c>
      <c r="F647" s="415" t="str">
        <f>Commodities!C86</f>
        <v>TRGSLR</v>
      </c>
      <c r="G647" s="422">
        <v>1</v>
      </c>
      <c r="H647" s="421">
        <f>DelivOIL!$F78*DelivOIL!P$81^5/(Conv!$I$5*Conv!$D$46)/10^6 + OILTrade!$H$5</f>
        <v>2.8567455934634571</v>
      </c>
      <c r="I647" s="421">
        <f>DelivOIL!$F78*DelivOIL!Q$81^5/(Conv!$I$5*Conv!$D$46)/10^6 + OILTrade!$H$5</f>
        <v>2.8416494325194543</v>
      </c>
      <c r="J647" s="421">
        <f>DelivOIL!$F78*DelivOIL!R$81^5/(Conv!$I$5*Conv!$D$46)/10^6 + OILTrade!$H$5</f>
        <v>2.9894404694285792</v>
      </c>
      <c r="K647" s="421">
        <f>DelivOIL!$F78*DelivOIL!S$81^5/(Conv!$I$5*Conv!$D$46)/10^6 + OILTrade!$H$5</f>
        <v>3.6011402612094967</v>
      </c>
      <c r="L647" s="421">
        <f>DelivOIL!$F78*DelivOIL!T$81^5/(Conv!$I$5*Conv!$D$46)/10^6 + OILTrade!$H$5</f>
        <v>3.3025130654267372</v>
      </c>
      <c r="M647" s="421">
        <f>DelivOIL!$F78*DelivOIL!U$81^5/(Conv!$I$5*Conv!$D$46)/10^6 + OILTrade!$H$5</f>
        <v>2.9266755478762296</v>
      </c>
      <c r="N647" s="421">
        <f>DelivOIL!$F78*DelivOIL!V$81^5/(Conv!$I$5*Conv!$D$46)/10^6 + OILTrade!$H$5</f>
        <v>2.9266755478762296</v>
      </c>
      <c r="O647" s="421">
        <f>DelivOIL!$F78*DelivOIL!W$81^5/(Conv!$I$5*Conv!$D$46)/10^6 + OILTrade!$H$5</f>
        <v>2.9266755478762296</v>
      </c>
      <c r="P647" s="421">
        <f>DelivOIL!$F78*DelivOIL!X$81^5/(Conv!$I$5*Conv!$D$46)/10^6 + OILTrade!$H$5</f>
        <v>2.9266755478762296</v>
      </c>
      <c r="Q647" s="421">
        <f>DelivOIL!$F78*DelivOIL!Y$81^5/(Conv!$I$5*Conv!$D$46)/10^6 + OILTrade!$H$5</f>
        <v>2.9266755478762296</v>
      </c>
      <c r="S647" s="395"/>
      <c r="T647" s="395"/>
      <c r="U647" s="395"/>
      <c r="V647" s="395"/>
      <c r="W647" s="395"/>
      <c r="X647" s="395"/>
      <c r="Y647" s="395"/>
      <c r="Z647" s="395"/>
      <c r="AA647" s="395"/>
      <c r="AB647" s="395"/>
      <c r="AC647" s="395"/>
    </row>
    <row r="648" spans="2:29">
      <c r="B648" s="376" t="str">
        <f>IF(OR(LEFT(Commodities!B$323,1)="*",LEFT(Technologies!B$704,1)="*"),"*","R5")</f>
        <v>R5</v>
      </c>
      <c r="C648" s="376" t="str">
        <f>Technologies!C704</f>
        <v>XITRDSLLP1</v>
      </c>
      <c r="D648" s="376" t="str">
        <f>Technologies!D704</f>
        <v>Delivery of Imported Distillate-Low Sulfur Highway Diesel (500 ppm)</v>
      </c>
      <c r="E648" s="415" t="str">
        <f>Commodities!C$323</f>
        <v>DSLP1</v>
      </c>
      <c r="F648" s="415" t="str">
        <f>Commodities!C91</f>
        <v>TRDSLL</v>
      </c>
      <c r="G648" s="422">
        <v>1</v>
      </c>
      <c r="H648" s="421">
        <f>DelivOIL!$F84*DelivOIL!P$81^5/(Conv!$I$5*Conv!$D$46)/10^6 + OILTrade!$H$5</f>
        <v>3.3953682709899806</v>
      </c>
      <c r="I648" s="421">
        <f>DelivOIL!$F84*DelivOIL!Q$81^5/(Conv!$I$5*Conv!$D$46)/10^6 + OILTrade!$H$5</f>
        <v>3.3774258171710945</v>
      </c>
      <c r="J648" s="421">
        <f>DelivOIL!$F84*DelivOIL!R$81^5/(Conv!$I$5*Conv!$D$46)/10^6 + OILTrade!$H$5</f>
        <v>3.553081989917501</v>
      </c>
      <c r="K648" s="421">
        <f>DelivOIL!$F84*DelivOIL!S$81^5/(Conv!$I$5*Conv!$D$46)/10^6 + OILTrade!$H$5</f>
        <v>4.2801142006738182</v>
      </c>
      <c r="L648" s="421">
        <f>DelivOIL!$F84*DelivOIL!T$81^5/(Conv!$I$5*Conv!$D$46)/10^6 + OILTrade!$H$5</f>
        <v>3.925182593275693</v>
      </c>
      <c r="M648" s="421">
        <f>DelivOIL!$F84*DelivOIL!U$81^5/(Conv!$I$5*Conv!$D$46)/10^6 + OILTrade!$H$5</f>
        <v>3.4784831094089799</v>
      </c>
      <c r="N648" s="421">
        <f>DelivOIL!$F84*DelivOIL!V$81^5/(Conv!$I$5*Conv!$D$46)/10^6 + OILTrade!$H$5</f>
        <v>3.4784831094089799</v>
      </c>
      <c r="O648" s="421">
        <f>DelivOIL!$F84*DelivOIL!W$81^5/(Conv!$I$5*Conv!$D$46)/10^6 + OILTrade!$H$5</f>
        <v>3.4784831094089799</v>
      </c>
      <c r="P648" s="421">
        <f>DelivOIL!$F84*DelivOIL!X$81^5/(Conv!$I$5*Conv!$D$46)/10^6 + OILTrade!$H$5</f>
        <v>3.4784831094089799</v>
      </c>
      <c r="Q648" s="421">
        <f>DelivOIL!$F84*DelivOIL!Y$81^5/(Conv!$I$5*Conv!$D$46)/10^6 + OILTrade!$H$5</f>
        <v>3.4784831094089799</v>
      </c>
      <c r="S648" s="395"/>
      <c r="T648" s="395"/>
      <c r="U648" s="395"/>
      <c r="V648" s="395"/>
      <c r="W648" s="395"/>
      <c r="X648" s="395"/>
      <c r="Y648" s="395"/>
      <c r="Z648" s="395"/>
      <c r="AA648" s="395"/>
      <c r="AB648" s="395"/>
      <c r="AC648" s="395"/>
    </row>
    <row r="649" spans="2:29">
      <c r="B649" s="376" t="str">
        <f>IF(OR(LEFT(Commodities!B$324,1)="*",LEFT(Technologies!B$705,1)="*"),"*","R5")</f>
        <v>R5</v>
      </c>
      <c r="C649" s="376" t="str">
        <f>Technologies!C705</f>
        <v>XITRDSLUP1</v>
      </c>
      <c r="D649" s="376" t="str">
        <f>Technologies!D705</f>
        <v>Delivery of Imported Distillate-Ultralow Sulfur Highway Diesel (15 ppm)</v>
      </c>
      <c r="E649" s="415" t="str">
        <f>Commodities!C$324</f>
        <v>DSUP1</v>
      </c>
      <c r="F649" s="415" t="str">
        <f>Commodities!C92</f>
        <v>TRDSLU</v>
      </c>
      <c r="G649" s="422">
        <v>1</v>
      </c>
      <c r="H649" s="421">
        <f>DelivOIL!$F85*DelivOIL!P$81^5/(Conv!$I$5*Conv!$D$46)/10^6 + OILTrade!$H$5</f>
        <v>2.7544754648191812</v>
      </c>
      <c r="I649" s="421">
        <f>DelivOIL!$F85*DelivOIL!Q$81^5/(Conv!$I$5*Conv!$D$46)/10^6 + OILTrade!$H$5</f>
        <v>2.7399197392311696</v>
      </c>
      <c r="J649" s="421">
        <f>DelivOIL!$F85*DelivOIL!R$81^5/(Conv!$I$5*Conv!$D$46)/10^6 + OILTrade!$H$5</f>
        <v>2.8824199275635953</v>
      </c>
      <c r="K649" s="421">
        <f>DelivOIL!$F85*DelivOIL!S$81^5/(Conv!$I$5*Conv!$D$46)/10^6 + OILTrade!$H$5</f>
        <v>3.4722211587795635</v>
      </c>
      <c r="L649" s="421">
        <f>DelivOIL!$F85*DelivOIL!T$81^5/(Conv!$I$5*Conv!$D$46)/10^6 + OILTrade!$H$5</f>
        <v>3.1842846740630124</v>
      </c>
      <c r="M649" s="421">
        <f>DelivOIL!$F85*DelivOIL!U$81^5/(Conv!$I$5*Conv!$D$46)/10^6 + OILTrade!$H$5</f>
        <v>2.8219019602434301</v>
      </c>
      <c r="N649" s="421">
        <f>DelivOIL!$F85*DelivOIL!V$81^5/(Conv!$I$5*Conv!$D$46)/10^6 + OILTrade!$H$5</f>
        <v>2.8219019602434301</v>
      </c>
      <c r="O649" s="421">
        <f>DelivOIL!$F85*DelivOIL!W$81^5/(Conv!$I$5*Conv!$D$46)/10^6 + OILTrade!$H$5</f>
        <v>2.8219019602434301</v>
      </c>
      <c r="P649" s="421">
        <f>DelivOIL!$F85*DelivOIL!X$81^5/(Conv!$I$5*Conv!$D$46)/10^6 + OILTrade!$H$5</f>
        <v>2.8219019602434301</v>
      </c>
      <c r="Q649" s="421">
        <f>DelivOIL!$F85*DelivOIL!Y$81^5/(Conv!$I$5*Conv!$D$46)/10^6 + OILTrade!$H$5</f>
        <v>2.8219019602434301</v>
      </c>
      <c r="S649" s="395"/>
      <c r="T649" s="395"/>
      <c r="U649" s="395"/>
      <c r="V649" s="395"/>
      <c r="W649" s="395"/>
      <c r="X649" s="395"/>
      <c r="Y649" s="395"/>
      <c r="Z649" s="395"/>
      <c r="AA649" s="395"/>
      <c r="AB649" s="395"/>
      <c r="AC649" s="395"/>
    </row>
    <row r="650" spans="2:29">
      <c r="B650" s="376" t="str">
        <f>IF(OR(LEFT(Commodities!B$64,1)="*",LEFT(Technologies!B$232,1)="*"),"*","R5")</f>
        <v>R5</v>
      </c>
      <c r="C650" s="376" t="str">
        <f>Technologies!C232</f>
        <v>XITRNJTFP1</v>
      </c>
      <c r="D650" s="376" t="str">
        <f>Technologies!D232</f>
        <v>Delivery of Imported Jet Fuel</v>
      </c>
      <c r="E650" s="415" t="str">
        <f>Commodities!C$64</f>
        <v>JTFP1</v>
      </c>
      <c r="F650" s="415" t="str">
        <f>Commodities!C93</f>
        <v>TRNJTF</v>
      </c>
      <c r="G650" s="422">
        <v>1</v>
      </c>
      <c r="H650" s="421">
        <f>DelivOIL!$F86*DelivOIL!P$81^5/(Conv!$I$5*Conv!$D$46)/10^6 + OILTrade!$H$5</f>
        <v>0.60680276328937377</v>
      </c>
      <c r="I650" s="421">
        <f>DelivOIL!$F86*DelivOIL!Q$81^5/(Conv!$I$5*Conv!$D$46)/10^6 + OILTrade!$H$5</f>
        <v>0.6035961801771631</v>
      </c>
      <c r="J650" s="421">
        <f>DelivOIL!$F86*DelivOIL!R$81^5/(Conv!$I$5*Conv!$D$46)/10^6 + OILTrade!$H$5</f>
        <v>0.63498854839891028</v>
      </c>
      <c r="K650" s="421">
        <f>DelivOIL!$F86*DelivOIL!S$81^5/(Conv!$I$5*Conv!$D$46)/10^6 + OILTrade!$H$5</f>
        <v>0.76492000775094293</v>
      </c>
      <c r="L650" s="421">
        <f>DelivOIL!$F86*DelivOIL!T$81^5/(Conv!$I$5*Conv!$D$46)/10^6 + OILTrade!$H$5</f>
        <v>0.70148845542477201</v>
      </c>
      <c r="M650" s="421">
        <f>DelivOIL!$F86*DelivOIL!U$81^5/(Conv!$I$5*Conv!$D$46)/10^6 + OILTrade!$H$5</f>
        <v>0.62165661995461652</v>
      </c>
      <c r="N650" s="421">
        <f>DelivOIL!$F86*DelivOIL!V$81^5/(Conv!$I$5*Conv!$D$46)/10^6 + OILTrade!$H$5</f>
        <v>0.62165661995461652</v>
      </c>
      <c r="O650" s="421">
        <f>DelivOIL!$F86*DelivOIL!W$81^5/(Conv!$I$5*Conv!$D$46)/10^6 + OILTrade!$H$5</f>
        <v>0.62165661995461652</v>
      </c>
      <c r="P650" s="421">
        <f>DelivOIL!$F86*DelivOIL!X$81^5/(Conv!$I$5*Conv!$D$46)/10^6 + OILTrade!$H$5</f>
        <v>0.62165661995461652</v>
      </c>
      <c r="Q650" s="421">
        <f>DelivOIL!$F86*DelivOIL!Y$81^5/(Conv!$I$5*Conv!$D$46)/10^6 + OILTrade!$H$5</f>
        <v>0.62165661995461652</v>
      </c>
      <c r="S650" s="395"/>
      <c r="T650" s="395"/>
      <c r="U650" s="395"/>
      <c r="V650" s="395"/>
      <c r="W650" s="395"/>
      <c r="X650" s="395"/>
      <c r="Y650" s="395"/>
      <c r="Z650" s="395"/>
      <c r="AA650" s="395"/>
      <c r="AB650" s="395"/>
      <c r="AC650" s="395"/>
    </row>
    <row r="651" spans="2:29">
      <c r="B651" s="376" t="str">
        <f>IF(OR(LEFT(Commodities!B$327,1)="*",LEFT(Technologies!B$706,1)="*"),"*","R5")</f>
        <v>*</v>
      </c>
      <c r="C651" s="376" t="str">
        <f>Technologies!C706</f>
        <v>XIRESKERP1</v>
      </c>
      <c r="D651" s="376" t="str">
        <f>Technologies!D706</f>
        <v>Delivery of Imported Kerosene and Other Refined Products to the Residential Sector</v>
      </c>
      <c r="E651" s="415" t="str">
        <f>Commodities!C$327</f>
        <v>KERP1</v>
      </c>
      <c r="F651" s="415" t="str">
        <f>Commodities!C94</f>
        <v>RESKER</v>
      </c>
      <c r="G651" s="422">
        <v>1</v>
      </c>
      <c r="H651" s="421">
        <f>DelivOIL!$F87*DelivOIL!P$81^5/(Conv!$I$5*Conv!$D$46)/10^6 + OILTrade!$H$5</f>
        <v>2.2363068130215127</v>
      </c>
      <c r="I651" s="421">
        <f>DelivOIL!$F87*DelivOIL!Q$81^5/(Conv!$I$5*Conv!$D$46)/10^6 + OILTrade!$H$5</f>
        <v>2.2244892932371862</v>
      </c>
      <c r="J651" s="421">
        <f>DelivOIL!$F87*DelivOIL!R$81^5/(Conv!$I$5*Conv!$D$46)/10^6 + OILTrade!$H$5</f>
        <v>2.3401825154476703</v>
      </c>
      <c r="K651" s="421">
        <f>DelivOIL!$F87*DelivOIL!S$81^5/(Conv!$I$5*Conv!$D$46)/10^6 + OILTrade!$H$5</f>
        <v>2.8190310398012288</v>
      </c>
      <c r="L651" s="421">
        <f>DelivOIL!$F87*DelivOIL!T$81^5/(Conv!$I$5*Conv!$D$46)/10^6 + OILTrade!$H$5</f>
        <v>2.5852608244868009</v>
      </c>
      <c r="M651" s="421">
        <f>DelivOIL!$F87*DelivOIL!U$81^5/(Conv!$I$5*Conv!$D$46)/10^6 + OILTrade!$H$5</f>
        <v>2.2910491162372391</v>
      </c>
      <c r="N651" s="421">
        <f>DelivOIL!$F87*DelivOIL!V$81^5/(Conv!$I$5*Conv!$D$46)/10^6 + OILTrade!$H$5</f>
        <v>2.2910491162372391</v>
      </c>
      <c r="O651" s="421">
        <f>DelivOIL!$F87*DelivOIL!W$81^5/(Conv!$I$5*Conv!$D$46)/10^6 + OILTrade!$H$5</f>
        <v>2.2910491162372391</v>
      </c>
      <c r="P651" s="421">
        <f>DelivOIL!$F87*DelivOIL!X$81^5/(Conv!$I$5*Conv!$D$46)/10^6 + OILTrade!$H$5</f>
        <v>2.2910491162372391</v>
      </c>
      <c r="Q651" s="421">
        <f>DelivOIL!$F87*DelivOIL!Y$81^5/(Conv!$I$5*Conv!$D$46)/10^6 + OILTrade!$H$5</f>
        <v>2.2910491162372391</v>
      </c>
      <c r="S651" s="395"/>
      <c r="T651" s="395"/>
      <c r="U651" s="395"/>
      <c r="V651" s="395"/>
      <c r="W651" s="395"/>
      <c r="X651" s="395"/>
      <c r="Y651" s="395"/>
      <c r="Z651" s="395"/>
      <c r="AA651" s="395"/>
      <c r="AB651" s="395"/>
      <c r="AC651" s="395"/>
    </row>
    <row r="652" spans="2:29">
      <c r="B652" s="376" t="str">
        <f>IF(OR(LEFT(Commodities!B$327,1)="*",LEFT(Technologies!B$707,1)="*"),"*","R5")</f>
        <v>*</v>
      </c>
      <c r="C652" s="376" t="str">
        <f>Technologies!C707</f>
        <v>XICOMKERP1</v>
      </c>
      <c r="D652" s="376" t="str">
        <f>Technologies!D707</f>
        <v>Delivery of Imported Kerosene and Other Refined Products to the Commercial Sector</v>
      </c>
      <c r="E652" s="415" t="str">
        <f>Commodities!C$327</f>
        <v>KERP1</v>
      </c>
      <c r="F652" s="415" t="str">
        <f>Commodities!C95</f>
        <v>COMKER</v>
      </c>
      <c r="G652" s="422">
        <v>1</v>
      </c>
      <c r="H652" s="421">
        <f>DelivOIL!$F88*DelivOIL!P$81^5/(Conv!$I$5*Conv!$D$46)/10^6 + OILTrade!$H$5</f>
        <v>2.1340366843772367</v>
      </c>
      <c r="I652" s="421">
        <f>DelivOIL!$F88*DelivOIL!Q$81^5/(Conv!$I$5*Conv!$D$46)/10^6 + OILTrade!$H$5</f>
        <v>2.1227595999489006</v>
      </c>
      <c r="J652" s="421">
        <f>DelivOIL!$F88*DelivOIL!R$81^5/(Conv!$I$5*Conv!$D$46)/10^6 + OILTrade!$H$5</f>
        <v>2.233161973582686</v>
      </c>
      <c r="K652" s="421">
        <f>DelivOIL!$F88*DelivOIL!S$81^5/(Conv!$I$5*Conv!$D$46)/10^6 + OILTrade!$H$5</f>
        <v>2.6901119373712956</v>
      </c>
      <c r="L652" s="421">
        <f>DelivOIL!$F88*DelivOIL!T$81^5/(Conv!$I$5*Conv!$D$46)/10^6 + OILTrade!$H$5</f>
        <v>2.4670324331230757</v>
      </c>
      <c r="M652" s="421">
        <f>DelivOIL!$F88*DelivOIL!U$81^5/(Conv!$I$5*Conv!$D$46)/10^6 + OILTrade!$H$5</f>
        <v>2.1862755286044391</v>
      </c>
      <c r="N652" s="421">
        <f>DelivOIL!$F88*DelivOIL!V$81^5/(Conv!$I$5*Conv!$D$46)/10^6 + OILTrade!$H$5</f>
        <v>2.1862755286044391</v>
      </c>
      <c r="O652" s="421">
        <f>DelivOIL!$F88*DelivOIL!W$81^5/(Conv!$I$5*Conv!$D$46)/10^6 + OILTrade!$H$5</f>
        <v>2.1862755286044391</v>
      </c>
      <c r="P652" s="421">
        <f>DelivOIL!$F88*DelivOIL!X$81^5/(Conv!$I$5*Conv!$D$46)/10^6 + OILTrade!$H$5</f>
        <v>2.1862755286044391</v>
      </c>
      <c r="Q652" s="421">
        <f>DelivOIL!$F88*DelivOIL!Y$81^5/(Conv!$I$5*Conv!$D$46)/10^6 + OILTrade!$H$5</f>
        <v>2.1862755286044391</v>
      </c>
      <c r="S652" s="395"/>
      <c r="T652" s="395"/>
      <c r="U652" s="395"/>
      <c r="V652" s="395"/>
      <c r="W652" s="395"/>
      <c r="X652" s="395"/>
      <c r="Y652" s="395"/>
      <c r="Z652" s="395"/>
      <c r="AA652" s="395"/>
      <c r="AB652" s="395"/>
      <c r="AC652" s="395"/>
    </row>
    <row r="653" spans="2:29">
      <c r="B653" s="376" t="str">
        <f>IF(OR(LEFT(Commodities!B$327,1)="*",LEFT(Technologies!B$708,1)="*"),"*","R5")</f>
        <v>*</v>
      </c>
      <c r="C653" s="376" t="str">
        <f>Technologies!C708</f>
        <v>XIINDKERP1</v>
      </c>
      <c r="D653" s="376" t="str">
        <f>Technologies!D708</f>
        <v>Delivery of Imported Kerosene and Other Refined Products to the Industrial Sector</v>
      </c>
      <c r="E653" s="415" t="str">
        <f>Commodities!C$327</f>
        <v>KERP1</v>
      </c>
      <c r="F653" s="415" t="str">
        <f>Commodities!C96</f>
        <v>INDKER</v>
      </c>
      <c r="G653" s="422">
        <v>1</v>
      </c>
      <c r="H653" s="421">
        <f>DelivOIL!$F89*DelivOIL!P$81^5/(Conv!$I$5*Conv!$D$46)/10^6 + OILTrade!$H$5</f>
        <v>1.4385998095961561</v>
      </c>
      <c r="I653" s="421">
        <f>DelivOIL!$F89*DelivOIL!Q$81^5/(Conv!$I$5*Conv!$D$46)/10^6 + OILTrade!$H$5</f>
        <v>1.4309976855885556</v>
      </c>
      <c r="J653" s="421">
        <f>DelivOIL!$F89*DelivOIL!R$81^5/(Conv!$I$5*Conv!$D$46)/10^6 + OILTrade!$H$5</f>
        <v>1.5054222889007878</v>
      </c>
      <c r="K653" s="421">
        <f>DelivOIL!$F89*DelivOIL!S$81^5/(Conv!$I$5*Conv!$D$46)/10^6 + OILTrade!$H$5</f>
        <v>1.8134620408477415</v>
      </c>
      <c r="L653" s="421">
        <f>DelivOIL!$F89*DelivOIL!T$81^5/(Conv!$I$5*Conv!$D$46)/10^6 + OILTrade!$H$5</f>
        <v>1.6630793718497405</v>
      </c>
      <c r="M653" s="421">
        <f>DelivOIL!$F89*DelivOIL!U$81^5/(Conv!$I$5*Conv!$D$46)/10^6 + OILTrade!$H$5</f>
        <v>1.4738151327013946</v>
      </c>
      <c r="N653" s="421">
        <f>DelivOIL!$F89*DelivOIL!V$81^5/(Conv!$I$5*Conv!$D$46)/10^6 + OILTrade!$H$5</f>
        <v>1.4738151327013946</v>
      </c>
      <c r="O653" s="421">
        <f>DelivOIL!$F89*DelivOIL!W$81^5/(Conv!$I$5*Conv!$D$46)/10^6 + OILTrade!$H$5</f>
        <v>1.4738151327013946</v>
      </c>
      <c r="P653" s="421">
        <f>DelivOIL!$F89*DelivOIL!X$81^5/(Conv!$I$5*Conv!$D$46)/10^6 + OILTrade!$H$5</f>
        <v>1.4738151327013946</v>
      </c>
      <c r="Q653" s="421">
        <f>DelivOIL!$F89*DelivOIL!Y$81^5/(Conv!$I$5*Conv!$D$46)/10^6 + OILTrade!$H$5</f>
        <v>1.4738151327013946</v>
      </c>
      <c r="S653" s="395"/>
      <c r="T653" s="395"/>
      <c r="U653" s="395"/>
      <c r="V653" s="395"/>
      <c r="W653" s="395"/>
      <c r="X653" s="395"/>
      <c r="Y653" s="395"/>
      <c r="Z653" s="395"/>
      <c r="AA653" s="395"/>
      <c r="AB653" s="395"/>
      <c r="AC653" s="395"/>
    </row>
    <row r="654" spans="2:29">
      <c r="B654" s="376" t="str">
        <f>IF(OR(LEFT(Commodities!B$328,1)="*",LEFT(Technologies!B$709,1)="*"),"*","R5")</f>
        <v>*</v>
      </c>
      <c r="C654" s="376" t="str">
        <f>Technologies!C709</f>
        <v>XIRESLPGP1</v>
      </c>
      <c r="D654" s="376" t="str">
        <f>Technologies!D709</f>
        <v>Delivery of Imported LPG to the Residential Sector</v>
      </c>
      <c r="E654" s="415" t="str">
        <f>Commodities!C$328</f>
        <v>LPGP1</v>
      </c>
      <c r="F654" s="415" t="str">
        <f>Commodities!C97</f>
        <v>RESLPG</v>
      </c>
      <c r="G654" s="422">
        <v>1</v>
      </c>
      <c r="H654" s="421">
        <f>DelivOIL!$F90*DelivOIL!P$81^5/(Conv!$I$5*Conv!$D$46)/10^6 + OILTrade!$H$5</f>
        <v>5.4544068610280814</v>
      </c>
      <c r="I654" s="421">
        <f>DelivOIL!$F90*DelivOIL!Q$81^5/(Conv!$I$5*Conv!$D$46)/10^6 + OILTrade!$H$5</f>
        <v>5.4255836420419188</v>
      </c>
      <c r="J654" s="421">
        <f>DelivOIL!$F90*DelivOIL!R$81^5/(Conv!$I$5*Conv!$D$46)/10^6 + OILTrade!$H$5</f>
        <v>5.7077622327991975</v>
      </c>
      <c r="K654" s="421">
        <f>DelivOIL!$F90*DelivOIL!S$81^5/(Conv!$I$5*Conv!$D$46)/10^6 + OILTrade!$H$5</f>
        <v>6.8756854629298285</v>
      </c>
      <c r="L654" s="421">
        <f>DelivOIL!$F90*DelivOIL!T$81^5/(Conv!$I$5*Conv!$D$46)/10^6 + OILTrade!$H$5</f>
        <v>6.3055142060653697</v>
      </c>
      <c r="M654" s="421">
        <f>DelivOIL!$F90*DelivOIL!U$81^5/(Conv!$I$5*Conv!$D$46)/10^6 + OILTrade!$H$5</f>
        <v>5.5879246737493649</v>
      </c>
      <c r="N654" s="421">
        <f>DelivOIL!$F90*DelivOIL!V$81^5/(Conv!$I$5*Conv!$D$46)/10^6 + OILTrade!$H$5</f>
        <v>5.5879246737493649</v>
      </c>
      <c r="O654" s="421">
        <f>DelivOIL!$F90*DelivOIL!W$81^5/(Conv!$I$5*Conv!$D$46)/10^6 + OILTrade!$H$5</f>
        <v>5.5879246737493649</v>
      </c>
      <c r="P654" s="421">
        <f>DelivOIL!$F90*DelivOIL!X$81^5/(Conv!$I$5*Conv!$D$46)/10^6 + OILTrade!$H$5</f>
        <v>5.5879246737493649</v>
      </c>
      <c r="Q654" s="421">
        <f>DelivOIL!$F90*DelivOIL!Y$81^5/(Conv!$I$5*Conv!$D$46)/10^6 + OILTrade!$H$5</f>
        <v>5.5879246737493649</v>
      </c>
      <c r="S654" s="395"/>
      <c r="T654" s="395"/>
      <c r="U654" s="395"/>
      <c r="V654" s="395"/>
      <c r="W654" s="395"/>
      <c r="X654" s="395"/>
      <c r="Y654" s="395"/>
      <c r="Z654" s="395"/>
      <c r="AA654" s="395"/>
      <c r="AB654" s="395"/>
      <c r="AC654" s="395"/>
    </row>
    <row r="655" spans="2:29">
      <c r="B655" s="376" t="str">
        <f>IF(OR(LEFT(Commodities!B$328,1)="*",LEFT(Technologies!B$710,1)="*"),"*","R5")</f>
        <v>*</v>
      </c>
      <c r="C655" s="376" t="str">
        <f>Technologies!C710</f>
        <v>XICOMLPGP1</v>
      </c>
      <c r="D655" s="376" t="str">
        <f>Technologies!D710</f>
        <v>Delivery of Imported LPG to the Commercial Sector</v>
      </c>
      <c r="E655" s="415" t="str">
        <f>Commodities!C$328</f>
        <v>LPGP1</v>
      </c>
      <c r="F655" s="415" t="str">
        <f>Commodities!C98</f>
        <v>COMLPG</v>
      </c>
      <c r="G655" s="422">
        <v>1</v>
      </c>
      <c r="H655" s="421">
        <f>DelivOIL!$F91*DelivOIL!P$81^5/(Conv!$I$5*Conv!$D$46)/10^6 + OILTrade!$H$5</f>
        <v>3.0817398764808659</v>
      </c>
      <c r="I655" s="421">
        <f>DelivOIL!$F91*DelivOIL!Q$81^5/(Conv!$I$5*Conv!$D$46)/10^6 + OILTrade!$H$5</f>
        <v>3.0654547577536837</v>
      </c>
      <c r="J655" s="421">
        <f>DelivOIL!$F91*DelivOIL!R$81^5/(Conv!$I$5*Conv!$D$46)/10^6 + OILTrade!$H$5</f>
        <v>3.224885661531546</v>
      </c>
      <c r="K655" s="421">
        <f>DelivOIL!$F91*DelivOIL!S$81^5/(Conv!$I$5*Conv!$D$46)/10^6 + OILTrade!$H$5</f>
        <v>3.8847622865553531</v>
      </c>
      <c r="L655" s="421">
        <f>DelivOIL!$F91*DelivOIL!T$81^5/(Conv!$I$5*Conv!$D$46)/10^6 + OILTrade!$H$5</f>
        <v>3.5626155264269337</v>
      </c>
      <c r="M655" s="421">
        <f>DelivOIL!$F91*DelivOIL!U$81^5/(Conv!$I$5*Conv!$D$46)/10^6 + OILTrade!$H$5</f>
        <v>3.157177440668391</v>
      </c>
      <c r="N655" s="421">
        <f>DelivOIL!$F91*DelivOIL!V$81^5/(Conv!$I$5*Conv!$D$46)/10^6 + OILTrade!$H$5</f>
        <v>3.157177440668391</v>
      </c>
      <c r="O655" s="421">
        <f>DelivOIL!$F91*DelivOIL!W$81^5/(Conv!$I$5*Conv!$D$46)/10^6 + OILTrade!$H$5</f>
        <v>3.157177440668391</v>
      </c>
      <c r="P655" s="421">
        <f>DelivOIL!$F91*DelivOIL!X$81^5/(Conv!$I$5*Conv!$D$46)/10^6 + OILTrade!$H$5</f>
        <v>3.157177440668391</v>
      </c>
      <c r="Q655" s="421">
        <f>DelivOIL!$F91*DelivOIL!Y$81^5/(Conv!$I$5*Conv!$D$46)/10^6 + OILTrade!$H$5</f>
        <v>3.157177440668391</v>
      </c>
      <c r="S655" s="395"/>
      <c r="T655" s="395"/>
      <c r="U655" s="395"/>
      <c r="V655" s="395"/>
      <c r="W655" s="395"/>
      <c r="X655" s="395"/>
      <c r="Y655" s="395"/>
      <c r="Z655" s="395"/>
      <c r="AA655" s="395"/>
      <c r="AB655" s="395"/>
      <c r="AC655" s="395"/>
    </row>
    <row r="656" spans="2:29">
      <c r="B656" s="376" t="str">
        <f>IF(OR(LEFT(Commodities!B$328,1)="*",LEFT(Technologies!B$711,1)="*"),"*","R5")</f>
        <v>*</v>
      </c>
      <c r="C656" s="376" t="str">
        <f>Technologies!C711</f>
        <v>XIINDLPGP1</v>
      </c>
      <c r="D656" s="376" t="str">
        <f>Technologies!D711</f>
        <v>Delivery of Imported LPG to the Industrial Sector</v>
      </c>
      <c r="E656" s="415" t="str">
        <f>Commodities!C$328</f>
        <v>LPGP1</v>
      </c>
      <c r="F656" s="415" t="str">
        <f>Commodities!C99</f>
        <v>INDLPG</v>
      </c>
      <c r="G656" s="422">
        <v>1</v>
      </c>
      <c r="H656" s="421">
        <f>DelivOIL!$F92*DelivOIL!P$81^5/(Conv!$I$5*Conv!$D$46)/10^6 + OILTrade!$H$5</f>
        <v>2.5567532161069124</v>
      </c>
      <c r="I656" s="421">
        <f>DelivOIL!$F92*DelivOIL!Q$81^5/(Conv!$I$5*Conv!$D$46)/10^6 + OILTrade!$H$5</f>
        <v>2.5432423322071487</v>
      </c>
      <c r="J656" s="421">
        <f>DelivOIL!$F92*DelivOIL!R$81^5/(Conv!$I$5*Conv!$D$46)/10^6 + OILTrade!$H$5</f>
        <v>2.6755135466246234</v>
      </c>
      <c r="K656" s="421">
        <f>DelivOIL!$F92*DelivOIL!S$81^5/(Conv!$I$5*Conv!$D$46)/10^6 + OILTrade!$H$5</f>
        <v>3.222977560748356</v>
      </c>
      <c r="L656" s="421">
        <f>DelivOIL!$F92*DelivOIL!T$81^5/(Conv!$I$5*Conv!$D$46)/10^6 + OILTrade!$H$5</f>
        <v>2.9557097840931417</v>
      </c>
      <c r="M656" s="421">
        <f>DelivOIL!$F92*DelivOIL!U$81^5/(Conv!$I$5*Conv!$D$46)/10^6 + OILTrade!$H$5</f>
        <v>2.6193396908200146</v>
      </c>
      <c r="N656" s="421">
        <f>DelivOIL!$F92*DelivOIL!V$81^5/(Conv!$I$5*Conv!$D$46)/10^6 + OILTrade!$H$5</f>
        <v>2.6193396908200146</v>
      </c>
      <c r="O656" s="421">
        <f>DelivOIL!$F92*DelivOIL!W$81^5/(Conv!$I$5*Conv!$D$46)/10^6 + OILTrade!$H$5</f>
        <v>2.6193396908200146</v>
      </c>
      <c r="P656" s="421">
        <f>DelivOIL!$F92*DelivOIL!X$81^5/(Conv!$I$5*Conv!$D$46)/10^6 + OILTrade!$H$5</f>
        <v>2.6193396908200146</v>
      </c>
      <c r="Q656" s="421">
        <f>DelivOIL!$F92*DelivOIL!Y$81^5/(Conv!$I$5*Conv!$D$46)/10^6 + OILTrade!$H$5</f>
        <v>2.6193396908200146</v>
      </c>
      <c r="S656" s="395"/>
      <c r="T656" s="395"/>
      <c r="U656" s="395"/>
      <c r="V656" s="395"/>
      <c r="W656" s="395"/>
      <c r="X656" s="395"/>
      <c r="Y656" s="395"/>
      <c r="Z656" s="395"/>
      <c r="AA656" s="395"/>
      <c r="AB656" s="395"/>
      <c r="AC656" s="395"/>
    </row>
    <row r="657" spans="2:29">
      <c r="B657" s="376" t="str">
        <f>IF(OR(LEFT(Commodities!B$328,1)="*",LEFT(Technologies!B$712,1)="*"),"*","R5")</f>
        <v>*</v>
      </c>
      <c r="C657" s="376" t="str">
        <f>Technologies!C712</f>
        <v>XITRNLPGP1</v>
      </c>
      <c r="D657" s="376" t="str">
        <f>Technologies!D712</f>
        <v>Delivery of Imported LPG to the Transportation Sector</v>
      </c>
      <c r="E657" s="415" t="str">
        <f>Commodities!C$328</f>
        <v>LPGP1</v>
      </c>
      <c r="F657" s="415" t="str">
        <f>Commodities!C100</f>
        <v>TRNLPG</v>
      </c>
      <c r="G657" s="422">
        <v>1</v>
      </c>
      <c r="H657" s="421">
        <f>DelivOIL!$F93*DelivOIL!P$81^5/(Conv!$I$5*Conv!$D$46)/10^6 + OILTrade!$H$5</f>
        <v>4.3226174373647535</v>
      </c>
      <c r="I657" s="421">
        <f>DelivOIL!$F93*DelivOIL!Q$81^5/(Conv!$I$5*Conv!$D$46)/10^6 + OILTrade!$H$5</f>
        <v>4.2997750363182199</v>
      </c>
      <c r="J657" s="421">
        <f>DelivOIL!$F93*DelivOIL!R$81^5/(Conv!$I$5*Conv!$D$46)/10^6 + OILTrade!$H$5</f>
        <v>4.5234015694933625</v>
      </c>
      <c r="K657" s="421">
        <f>DelivOIL!$F93*DelivOIL!S$81^5/(Conv!$I$5*Conv!$D$46)/10^6 + OILTrade!$H$5</f>
        <v>5.4489807293718879</v>
      </c>
      <c r="L657" s="421">
        <f>DelivOIL!$F93*DelivOIL!T$81^5/(Conv!$I$5*Conv!$D$46)/10^6 + OILTrade!$H$5</f>
        <v>4.9971200083068039</v>
      </c>
      <c r="M657" s="421">
        <f>DelivOIL!$F93*DelivOIL!U$81^5/(Conv!$I$5*Conv!$D$46)/10^6 + OILTrade!$H$5</f>
        <v>4.4284303039463708</v>
      </c>
      <c r="N657" s="421">
        <f>DelivOIL!$F93*DelivOIL!V$81^5/(Conv!$I$5*Conv!$D$46)/10^6 + OILTrade!$H$5</f>
        <v>4.4284303039463708</v>
      </c>
      <c r="O657" s="421">
        <f>DelivOIL!$F93*DelivOIL!W$81^5/(Conv!$I$5*Conv!$D$46)/10^6 + OILTrade!$H$5</f>
        <v>4.4284303039463708</v>
      </c>
      <c r="P657" s="421">
        <f>DelivOIL!$F93*DelivOIL!X$81^5/(Conv!$I$5*Conv!$D$46)/10^6 + OILTrade!$H$5</f>
        <v>4.4284303039463708</v>
      </c>
      <c r="Q657" s="421">
        <f>DelivOIL!$F93*DelivOIL!Y$81^5/(Conv!$I$5*Conv!$D$46)/10^6 + OILTrade!$H$5</f>
        <v>4.4284303039463708</v>
      </c>
      <c r="S657" s="395"/>
      <c r="T657" s="395"/>
      <c r="U657" s="395"/>
      <c r="V657" s="395"/>
      <c r="W657" s="395"/>
      <c r="X657" s="395"/>
      <c r="Y657" s="395"/>
      <c r="Z657" s="395"/>
      <c r="AA657" s="395"/>
      <c r="AB657" s="395"/>
      <c r="AC657" s="395"/>
    </row>
    <row r="658" spans="2:29">
      <c r="B658" s="376" t="str">
        <f>IF(LEFT(Technologies!B$713,1)="*","*","R5")</f>
        <v>*</v>
      </c>
      <c r="C658" s="376" t="str">
        <f>Technologies!C713</f>
        <v>XITRNMTHP1</v>
      </c>
      <c r="D658" s="376" t="str">
        <f>Technologies!D713</f>
        <v>Delivery of Imported Methanol</v>
      </c>
      <c r="E658" s="415" t="str">
        <f>Commodities!C$329</f>
        <v>MTHP1</v>
      </c>
      <c r="F658" s="415" t="str">
        <f>Commodities!C101</f>
        <v>TRNMTH</v>
      </c>
      <c r="G658" s="422">
        <v>1</v>
      </c>
      <c r="H658" s="421">
        <f>DelivOIL!$F94*DelivOIL!P$81^5/(Conv!$I$5*Conv!$D$46)/10^6 + OILTrade!$H$5</f>
        <v>3.593090519702248</v>
      </c>
      <c r="I658" s="421">
        <f>DelivOIL!$F94*DelivOIL!Q$81^5/(Conv!$I$5*Conv!$D$46)/10^6 + OILTrade!$H$5</f>
        <v>3.5741032241951141</v>
      </c>
      <c r="J658" s="421">
        <f>DelivOIL!$F94*DelivOIL!R$81^5/(Conv!$I$5*Conv!$D$46)/10^6 + OILTrade!$H$5</f>
        <v>3.7599883708564708</v>
      </c>
      <c r="K658" s="421">
        <f>DelivOIL!$F94*DelivOIL!S$81^5/(Conv!$I$5*Conv!$D$46)/10^6 + OILTrade!$H$5</f>
        <v>4.529357798705024</v>
      </c>
      <c r="L658" s="421">
        <f>DelivOIL!$F94*DelivOIL!T$81^5/(Conv!$I$5*Conv!$D$46)/10^6 + OILTrade!$H$5</f>
        <v>4.1537574832455615</v>
      </c>
      <c r="M658" s="421">
        <f>DelivOIL!$F94*DelivOIL!U$81^5/(Conv!$I$5*Conv!$D$46)/10^6 + OILTrade!$H$5</f>
        <v>3.6810453788323936</v>
      </c>
      <c r="N658" s="421">
        <f>DelivOIL!$F94*DelivOIL!V$81^5/(Conv!$I$5*Conv!$D$46)/10^6 + OILTrade!$H$5</f>
        <v>3.6810453788323936</v>
      </c>
      <c r="O658" s="421">
        <f>DelivOIL!$F94*DelivOIL!W$81^5/(Conv!$I$5*Conv!$D$46)/10^6 + OILTrade!$H$5</f>
        <v>3.6810453788323936</v>
      </c>
      <c r="P658" s="421">
        <f>DelivOIL!$F94*DelivOIL!X$81^5/(Conv!$I$5*Conv!$D$46)/10^6 + OILTrade!$H$5</f>
        <v>3.6810453788323936</v>
      </c>
      <c r="Q658" s="421">
        <f>DelivOIL!$F94*DelivOIL!Y$81^5/(Conv!$I$5*Conv!$D$46)/10^6 + OILTrade!$H$5</f>
        <v>3.6810453788323936</v>
      </c>
      <c r="S658" s="395"/>
      <c r="T658" s="395"/>
      <c r="U658" s="395"/>
      <c r="V658" s="395"/>
      <c r="W658" s="395"/>
      <c r="X658" s="395"/>
      <c r="Y658" s="395"/>
      <c r="Z658" s="395"/>
      <c r="AA658" s="395"/>
      <c r="AB658" s="395"/>
      <c r="AC658" s="395"/>
    </row>
    <row r="659" spans="2:29">
      <c r="B659" s="376" t="str">
        <f>IF(OR(LEFT(Commodities!B$102,1)="*",LEFT(Technologies!B$714,1)="*"),"*","R5")</f>
        <v>*</v>
      </c>
      <c r="C659" s="376" t="str">
        <f>Technologies!C714</f>
        <v>XIINDPFSP1</v>
      </c>
      <c r="D659" s="376" t="str">
        <f>Technologies!D714</f>
        <v>Delivery of Imported Petrochemical Feedstocks</v>
      </c>
      <c r="E659" s="415" t="str">
        <f>Commodities!C$330</f>
        <v>PFSP1</v>
      </c>
      <c r="F659" s="415" t="str">
        <f>Commodities!C102</f>
        <v>INDPFS</v>
      </c>
      <c r="G659" s="422">
        <v>1</v>
      </c>
      <c r="H659" s="421">
        <f>DelivOIL!$F95*DelivOIL!P$81^5/(Conv!$I$5*Conv!$D$46)/10^6 + OILTrade!$H$5</f>
        <v>0.25226631732254895</v>
      </c>
      <c r="I659" s="421">
        <f>DelivOIL!$F95*DelivOIL!Q$81^5/(Conv!$I$5*Conv!$D$46)/10^6 + OILTrade!$H$5</f>
        <v>0.2509332434444389</v>
      </c>
      <c r="J659" s="421">
        <f>DelivOIL!$F95*DelivOIL!R$81^5/(Conv!$I$5*Conv!$D$46)/10^6 + OILTrade!$H$5</f>
        <v>0.26398400326696309</v>
      </c>
      <c r="K659" s="421">
        <f>DelivOIL!$F95*DelivOIL!S$81^5/(Conv!$I$5*Conv!$D$46)/10^6 + OILTrade!$H$5</f>
        <v>0.31800045266050481</v>
      </c>
      <c r="L659" s="421">
        <f>DelivOIL!$F95*DelivOIL!T$81^5/(Conv!$I$5*Conv!$D$46)/10^6 + OILTrade!$H$5</f>
        <v>0.29163003203052357</v>
      </c>
      <c r="M659" s="421">
        <f>DelivOIL!$F95*DelivOIL!U$81^5/(Conv!$I$5*Conv!$D$46)/10^6 + OILTrade!$H$5</f>
        <v>0.25844151616090832</v>
      </c>
      <c r="N659" s="421">
        <f>DelivOIL!$F95*DelivOIL!V$81^5/(Conv!$I$5*Conv!$D$46)/10^6 + OILTrade!$H$5</f>
        <v>0.25844151616090832</v>
      </c>
      <c r="O659" s="421">
        <f>DelivOIL!$F95*DelivOIL!W$81^5/(Conv!$I$5*Conv!$D$46)/10^6 + OILTrade!$H$5</f>
        <v>0.25844151616090832</v>
      </c>
      <c r="P659" s="421">
        <f>DelivOIL!$F95*DelivOIL!X$81^5/(Conv!$I$5*Conv!$D$46)/10^6 + OILTrade!$H$5</f>
        <v>0.25844151616090832</v>
      </c>
      <c r="Q659" s="421">
        <f>DelivOIL!$F95*DelivOIL!Y$81^5/(Conv!$I$5*Conv!$D$46)/10^6 + OILTrade!$H$5</f>
        <v>0.25844151616090832</v>
      </c>
      <c r="S659" s="395"/>
      <c r="T659" s="395"/>
      <c r="U659" s="395"/>
      <c r="V659" s="395"/>
      <c r="W659" s="395"/>
      <c r="X659" s="395"/>
      <c r="Y659" s="395"/>
      <c r="Z659" s="395"/>
      <c r="AA659" s="395"/>
      <c r="AB659" s="395"/>
      <c r="AC659" s="395"/>
    </row>
    <row r="660" spans="2:29">
      <c r="B660" s="376" t="str">
        <f>IF(OR(LEFT(Commodities!B$332,1)="*",LEFT(Technologies!B$715,1)="*"),"*","R5")</f>
        <v>*</v>
      </c>
      <c r="C660" s="376" t="str">
        <f>Technologies!C715</f>
        <v>XIRESRFLP1</v>
      </c>
      <c r="D660" s="376" t="str">
        <f>Technologies!D715</f>
        <v>Delivery of Imported Low Sulfur Residual Fuel Oil to Residential Sector</v>
      </c>
      <c r="E660" s="415" t="str">
        <f>Commodities!C$332</f>
        <v>RFLP1</v>
      </c>
      <c r="F660" s="415" t="str">
        <f>Commodities!C103</f>
        <v>RESRFL</v>
      </c>
      <c r="G660" s="422">
        <v>1</v>
      </c>
      <c r="H660" s="421">
        <f>DelivOIL!$F96*DelivOIL!P$81^5/(Conv!$I$5*Conv!$D$46)/10^6 + OILTrade!$H$5</f>
        <v>1.2340595523076034</v>
      </c>
      <c r="I660" s="421">
        <f>DelivOIL!$F96*DelivOIL!Q$81^5/(Conv!$I$5*Conv!$D$46)/10^6 + OILTrade!$H$5</f>
        <v>1.2275382990119841</v>
      </c>
      <c r="J660" s="421">
        <f>DelivOIL!$F96*DelivOIL!R$81^5/(Conv!$I$5*Conv!$D$46)/10^6 + OILTrade!$H$5</f>
        <v>1.2913812051708187</v>
      </c>
      <c r="K660" s="421">
        <f>DelivOIL!$F96*DelivOIL!S$81^5/(Conv!$I$5*Conv!$D$46)/10^6 + OILTrade!$H$5</f>
        <v>1.5556238359878738</v>
      </c>
      <c r="L660" s="421">
        <f>DelivOIL!$F96*DelivOIL!T$81^5/(Conv!$I$5*Conv!$D$46)/10^6 + OILTrade!$H$5</f>
        <v>1.4266225891222903</v>
      </c>
      <c r="M660" s="421">
        <f>DelivOIL!$F96*DelivOIL!U$81^5/(Conv!$I$5*Conv!$D$46)/10^6 + OILTrade!$H$5</f>
        <v>1.264267957435794</v>
      </c>
      <c r="N660" s="421">
        <f>DelivOIL!$F96*DelivOIL!V$81^5/(Conv!$I$5*Conv!$D$46)/10^6 + OILTrade!$H$5</f>
        <v>1.264267957435794</v>
      </c>
      <c r="O660" s="421">
        <f>DelivOIL!$F96*DelivOIL!W$81^5/(Conv!$I$5*Conv!$D$46)/10^6 + OILTrade!$H$5</f>
        <v>1.264267957435794</v>
      </c>
      <c r="P660" s="421">
        <f>DelivOIL!$F96*DelivOIL!X$81^5/(Conv!$I$5*Conv!$D$46)/10^6 + OILTrade!$H$5</f>
        <v>1.264267957435794</v>
      </c>
      <c r="Q660" s="421">
        <f>DelivOIL!$F96*DelivOIL!Y$81^5/(Conv!$I$5*Conv!$D$46)/10^6 + OILTrade!$H$5</f>
        <v>1.264267957435794</v>
      </c>
      <c r="S660" s="395"/>
      <c r="T660" s="395"/>
      <c r="U660" s="395"/>
      <c r="V660" s="395"/>
      <c r="W660" s="395"/>
      <c r="X660" s="395"/>
      <c r="Y660" s="395"/>
      <c r="Z660" s="395"/>
      <c r="AA660" s="395"/>
      <c r="AB660" s="395"/>
      <c r="AC660" s="395"/>
    </row>
    <row r="661" spans="2:29">
      <c r="B661" s="376" t="str">
        <f>IF(OR(LEFT(Commodities!B$332,1)="*",LEFT(Technologies!B$716,1)="*"),"*","R5")</f>
        <v>*</v>
      </c>
      <c r="C661" s="376" t="str">
        <f>Technologies!C716</f>
        <v>XICOMRFLP1</v>
      </c>
      <c r="D661" s="376" t="str">
        <f>Technologies!D716</f>
        <v>Delivery of Imported Low Sulfur Residual Fuel Oil to Commercial Sector</v>
      </c>
      <c r="E661" s="415" t="str">
        <f>Commodities!C$332</f>
        <v>RFLP1</v>
      </c>
      <c r="F661" s="415" t="str">
        <f>Commodities!C104</f>
        <v>COMRFL</v>
      </c>
      <c r="G661" s="422">
        <v>1</v>
      </c>
      <c r="H661" s="421">
        <f>DelivOIL!$F96*DelivOIL!P$81^5/(Conv!$I$5*Conv!$D$46)/10^6 + OILTrade!$H$5</f>
        <v>1.2340595523076034</v>
      </c>
      <c r="I661" s="421">
        <f>DelivOIL!$F96*DelivOIL!Q$81^5/(Conv!$I$5*Conv!$D$46)/10^6 + OILTrade!$H$5</f>
        <v>1.2275382990119841</v>
      </c>
      <c r="J661" s="421">
        <f>DelivOIL!$F96*DelivOIL!R$81^5/(Conv!$I$5*Conv!$D$46)/10^6 + OILTrade!$H$5</f>
        <v>1.2913812051708187</v>
      </c>
      <c r="K661" s="421">
        <f>DelivOIL!$F96*DelivOIL!S$81^5/(Conv!$I$5*Conv!$D$46)/10^6 + OILTrade!$H$5</f>
        <v>1.5556238359878738</v>
      </c>
      <c r="L661" s="421">
        <f>DelivOIL!$F96*DelivOIL!T$81^5/(Conv!$I$5*Conv!$D$46)/10^6 + OILTrade!$H$5</f>
        <v>1.4266225891222903</v>
      </c>
      <c r="M661" s="421">
        <f>DelivOIL!$F96*DelivOIL!U$81^5/(Conv!$I$5*Conv!$D$46)/10^6 + OILTrade!$H$5</f>
        <v>1.264267957435794</v>
      </c>
      <c r="N661" s="421">
        <f>DelivOIL!$F96*DelivOIL!V$81^5/(Conv!$I$5*Conv!$D$46)/10^6 + OILTrade!$H$5</f>
        <v>1.264267957435794</v>
      </c>
      <c r="O661" s="421">
        <f>DelivOIL!$F96*DelivOIL!W$81^5/(Conv!$I$5*Conv!$D$46)/10^6 + OILTrade!$H$5</f>
        <v>1.264267957435794</v>
      </c>
      <c r="P661" s="421">
        <f>DelivOIL!$F96*DelivOIL!X$81^5/(Conv!$I$5*Conv!$D$46)/10^6 + OILTrade!$H$5</f>
        <v>1.264267957435794</v>
      </c>
      <c r="Q661" s="421">
        <f>DelivOIL!$F96*DelivOIL!Y$81^5/(Conv!$I$5*Conv!$D$46)/10^6 + OILTrade!$H$5</f>
        <v>1.264267957435794</v>
      </c>
      <c r="S661" s="395"/>
      <c r="T661" s="395"/>
      <c r="U661" s="395"/>
      <c r="V661" s="395"/>
      <c r="W661" s="395"/>
      <c r="X661" s="395"/>
      <c r="Y661" s="395"/>
      <c r="Z661" s="395"/>
      <c r="AA661" s="395"/>
      <c r="AB661" s="395"/>
      <c r="AC661" s="395"/>
    </row>
    <row r="662" spans="2:29">
      <c r="B662" s="376" t="str">
        <f>IF(OR(LEFT(Commodities!B$332,1)="*",LEFT(Technologies!B$717,1)="*"),"*","R5")</f>
        <v>R5</v>
      </c>
      <c r="C662" s="376" t="str">
        <f>Technologies!C717</f>
        <v>XIINDRFLP1</v>
      </c>
      <c r="D662" s="376" t="str">
        <f>Technologies!D717</f>
        <v>Delivery of Imported Low Sulfur Residual Fuel Oil to Industrial Sector</v>
      </c>
      <c r="E662" s="415" t="str">
        <f>Commodities!C$332</f>
        <v>RFLP1</v>
      </c>
      <c r="F662" s="415" t="str">
        <f>Commodities!C105</f>
        <v>INDRFL</v>
      </c>
      <c r="G662" s="422">
        <v>1</v>
      </c>
      <c r="H662" s="421">
        <f>DelivOIL!$F97*DelivOIL!P$81^5/(Conv!$I$5*Conv!$D$46)/10^6 + OILTrade!$H$5</f>
        <v>1.2954216294941694</v>
      </c>
      <c r="I662" s="421">
        <f>DelivOIL!$F97*DelivOIL!Q$81^5/(Conv!$I$5*Conv!$D$46)/10^6 + OILTrade!$H$5</f>
        <v>1.2885761149849559</v>
      </c>
      <c r="J662" s="421">
        <f>DelivOIL!$F97*DelivOIL!R$81^5/(Conv!$I$5*Conv!$D$46)/10^6 + OILTrade!$H$5</f>
        <v>1.3555935302898094</v>
      </c>
      <c r="K662" s="421">
        <f>DelivOIL!$F97*DelivOIL!S$81^5/(Conv!$I$5*Conv!$D$46)/10^6 + OILTrade!$H$5</f>
        <v>1.6329752974458345</v>
      </c>
      <c r="L662" s="421">
        <f>DelivOIL!$F97*DelivOIL!T$81^5/(Conv!$I$5*Conv!$D$46)/10^6 + OILTrade!$H$5</f>
        <v>1.4975596239405256</v>
      </c>
      <c r="M662" s="421">
        <f>DelivOIL!$F97*DelivOIL!U$81^5/(Conv!$I$5*Conv!$D$46)/10^6 + OILTrade!$H$5</f>
        <v>1.3271321100154743</v>
      </c>
      <c r="N662" s="421">
        <f>DelivOIL!$F97*DelivOIL!V$81^5/(Conv!$I$5*Conv!$D$46)/10^6 + OILTrade!$H$5</f>
        <v>1.3271321100154743</v>
      </c>
      <c r="O662" s="421">
        <f>DelivOIL!$F97*DelivOIL!W$81^5/(Conv!$I$5*Conv!$D$46)/10^6 + OILTrade!$H$5</f>
        <v>1.3271321100154743</v>
      </c>
      <c r="P662" s="421">
        <f>DelivOIL!$F97*DelivOIL!X$81^5/(Conv!$I$5*Conv!$D$46)/10^6 + OILTrade!$H$5</f>
        <v>1.3271321100154743</v>
      </c>
      <c r="Q662" s="421">
        <f>DelivOIL!$F97*DelivOIL!Y$81^5/(Conv!$I$5*Conv!$D$46)/10^6 + OILTrade!$H$5</f>
        <v>1.3271321100154743</v>
      </c>
      <c r="S662" s="395"/>
      <c r="T662" s="395"/>
      <c r="U662" s="395"/>
      <c r="V662" s="395"/>
      <c r="W662" s="395"/>
      <c r="X662" s="395"/>
      <c r="Y662" s="395"/>
      <c r="Z662" s="395"/>
      <c r="AA662" s="395"/>
      <c r="AB662" s="395"/>
      <c r="AC662" s="395"/>
    </row>
    <row r="663" spans="2:29">
      <c r="B663" s="376" t="str">
        <f>IF(OR(LEFT(Commodities!B$332,1)="*",LEFT(Technologies!B$718,1)="*"),"*","R5")</f>
        <v>*</v>
      </c>
      <c r="C663" s="376" t="str">
        <f>Technologies!C718</f>
        <v>XIELCRFLP1</v>
      </c>
      <c r="D663" s="376" t="str">
        <f>Technologies!D718</f>
        <v>Delivery of Imported Low Sulfur Residual Fuel Oil to Electricity Sector</v>
      </c>
      <c r="E663" s="415" t="str">
        <f>Commodities!C$332</f>
        <v>RFLP1</v>
      </c>
      <c r="F663" s="415" t="str">
        <f>Commodities!C106</f>
        <v>ELCRFL</v>
      </c>
      <c r="G663" s="422">
        <v>1</v>
      </c>
      <c r="H663" s="421">
        <f>DelivOIL!$F98*DelivOIL!P$81^5/(Conv!$I$5*Conv!$D$46)/10^6 + OILTrade!$H$5</f>
        <v>1.2136055265787482</v>
      </c>
      <c r="I663" s="421">
        <f>DelivOIL!$F98*DelivOIL!Q$81^5/(Conv!$I$5*Conv!$D$46)/10^6 + OILTrade!$H$5</f>
        <v>1.2071923603543269</v>
      </c>
      <c r="J663" s="421">
        <f>DelivOIL!$F98*DelivOIL!R$81^5/(Conv!$I$5*Conv!$D$46)/10^6 + OILTrade!$H$5</f>
        <v>1.2699770967978214</v>
      </c>
      <c r="K663" s="421">
        <f>DelivOIL!$F98*DelivOIL!S$81^5/(Conv!$I$5*Conv!$D$46)/10^6 + OILTrade!$H$5</f>
        <v>1.5298400155018868</v>
      </c>
      <c r="L663" s="421">
        <f>DelivOIL!$F98*DelivOIL!T$81^5/(Conv!$I$5*Conv!$D$46)/10^6 + OILTrade!$H$5</f>
        <v>1.4029769108495449</v>
      </c>
      <c r="M663" s="421">
        <f>DelivOIL!$F98*DelivOIL!U$81^5/(Conv!$I$5*Conv!$D$46)/10^6 + OILTrade!$H$5</f>
        <v>1.2433132399092337</v>
      </c>
      <c r="N663" s="421">
        <f>DelivOIL!$F98*DelivOIL!V$81^5/(Conv!$I$5*Conv!$D$46)/10^6 + OILTrade!$H$5</f>
        <v>1.2433132399092337</v>
      </c>
      <c r="O663" s="421">
        <f>DelivOIL!$F98*DelivOIL!W$81^5/(Conv!$I$5*Conv!$D$46)/10^6 + OILTrade!$H$5</f>
        <v>1.2433132399092337</v>
      </c>
      <c r="P663" s="421">
        <f>DelivOIL!$F98*DelivOIL!X$81^5/(Conv!$I$5*Conv!$D$46)/10^6 + OILTrade!$H$5</f>
        <v>1.2433132399092337</v>
      </c>
      <c r="Q663" s="421">
        <f>DelivOIL!$F98*DelivOIL!Y$81^5/(Conv!$I$5*Conv!$D$46)/10^6 + OILTrade!$H$5</f>
        <v>1.2433132399092337</v>
      </c>
      <c r="S663" s="395"/>
      <c r="T663" s="395"/>
      <c r="U663" s="395"/>
      <c r="V663" s="395"/>
      <c r="W663" s="395"/>
      <c r="X663" s="395"/>
      <c r="Y663" s="395"/>
      <c r="Z663" s="395"/>
      <c r="AA663" s="395"/>
      <c r="AB663" s="395"/>
      <c r="AC663" s="395"/>
    </row>
    <row r="664" spans="2:29">
      <c r="B664" s="376" t="str">
        <f>IF(OR(LEFT(Commodities!B$331,1)="*",LEFT(Technologies!B$719,1)="*"),"*","R5")</f>
        <v>*</v>
      </c>
      <c r="C664" s="376" t="str">
        <f>Technologies!C719</f>
        <v>XITRNRFHP1</v>
      </c>
      <c r="D664" s="376" t="str">
        <f>Technologies!D719</f>
        <v>Delivery of Imported High Sulfur Residual Fuel Oil to Transportation Sector</v>
      </c>
      <c r="E664" s="415" t="str">
        <f>Commodities!C$331</f>
        <v>RFHP1</v>
      </c>
      <c r="F664" s="415" t="str">
        <f>Commodities!C107</f>
        <v>TRNRFH</v>
      </c>
      <c r="G664" s="422">
        <v>1</v>
      </c>
      <c r="H664" s="421">
        <f>DelivOIL!$F99*DelivOIL!P$81^5/(Conv!$I$5*Conv!$D$46)/10^6 + OILTrade!$H$5</f>
        <v>5.2703206294683822</v>
      </c>
      <c r="I664" s="421">
        <f>DelivOIL!$F99*DelivOIL!Q$81^5/(Conv!$I$5*Conv!$D$46)/10^6 + OILTrade!$H$5</f>
        <v>5.242470194123003</v>
      </c>
      <c r="J664" s="421">
        <f>DelivOIL!$F99*DelivOIL!R$81^5/(Conv!$I$5*Conv!$D$46)/10^6 + OILTrade!$H$5</f>
        <v>5.5151252574422225</v>
      </c>
      <c r="K664" s="421">
        <f>DelivOIL!$F99*DelivOIL!S$81^5/(Conv!$I$5*Conv!$D$46)/10^6 + OILTrade!$H$5</f>
        <v>6.6436310785559449</v>
      </c>
      <c r="L664" s="421">
        <f>DelivOIL!$F99*DelivOIL!T$81^5/(Conv!$I$5*Conv!$D$46)/10^6 + OILTrade!$H$5</f>
        <v>6.0927031016106623</v>
      </c>
      <c r="M664" s="421">
        <f>DelivOIL!$F99*DelivOIL!U$81^5/(Conv!$I$5*Conv!$D$46)/10^6 + OILTrade!$H$5</f>
        <v>5.3993322160103236</v>
      </c>
      <c r="N664" s="421">
        <f>DelivOIL!$F99*DelivOIL!V$81^5/(Conv!$I$5*Conv!$D$46)/10^6 + OILTrade!$H$5</f>
        <v>5.3993322160103236</v>
      </c>
      <c r="O664" s="421">
        <f>DelivOIL!$F99*DelivOIL!W$81^5/(Conv!$I$5*Conv!$D$46)/10^6 + OILTrade!$H$5</f>
        <v>5.3993322160103236</v>
      </c>
      <c r="P664" s="421">
        <f>DelivOIL!$F99*DelivOIL!X$81^5/(Conv!$I$5*Conv!$D$46)/10^6 + OILTrade!$H$5</f>
        <v>5.3993322160103236</v>
      </c>
      <c r="Q664" s="421">
        <f>DelivOIL!$F99*DelivOIL!Y$81^5/(Conv!$I$5*Conv!$D$46)/10^6 + OILTrade!$H$5</f>
        <v>5.3993322160103236</v>
      </c>
      <c r="S664" s="395"/>
      <c r="T664" s="395"/>
      <c r="U664" s="395"/>
      <c r="V664" s="395"/>
      <c r="W664" s="395"/>
      <c r="X664" s="395"/>
      <c r="Y664" s="395"/>
      <c r="Z664" s="395"/>
      <c r="AA664" s="395"/>
      <c r="AB664" s="395"/>
      <c r="AC664" s="395"/>
    </row>
    <row r="665" spans="2:29">
      <c r="B665" s="376" t="str">
        <f>IF(OR(LEFT(Commodities!B$331,1)="*",LEFT(Technologies!B$720,1)="*"),"*","R5")</f>
        <v>*</v>
      </c>
      <c r="C665" s="376" t="str">
        <f>Technologies!C720</f>
        <v>XIELCRFHP1</v>
      </c>
      <c r="D665" s="376" t="str">
        <f>Technologies!D720</f>
        <v>Delivery of Imported High Sulfur Residual Fuel Oil to Electricity Sector</v>
      </c>
      <c r="E665" s="415" t="str">
        <f>Commodities!C$331</f>
        <v>RFHP1</v>
      </c>
      <c r="F665" s="415" t="str">
        <f>Commodities!C108</f>
        <v>ELCRFH</v>
      </c>
      <c r="G665" s="422">
        <v>1</v>
      </c>
      <c r="H665" s="421">
        <f>DelivOIL!$F100*DelivOIL!P$81^5/(Conv!$I$5*Conv!$D$46)/10^6 + OILTrade!$H$5</f>
        <v>0.54544068610280794</v>
      </c>
      <c r="I665" s="421">
        <f>DelivOIL!$F100*DelivOIL!Q$81^5/(Conv!$I$5*Conv!$D$46)/10^6 + OILTrade!$H$5</f>
        <v>0.54255836420419179</v>
      </c>
      <c r="J665" s="421">
        <f>DelivOIL!$F100*DelivOIL!R$81^5/(Conv!$I$5*Conv!$D$46)/10^6 + OILTrade!$H$5</f>
        <v>0.57077622327991961</v>
      </c>
      <c r="K665" s="421">
        <f>DelivOIL!$F100*DelivOIL!S$81^5/(Conv!$I$5*Conv!$D$46)/10^6 + OILTrade!$H$5</f>
        <v>0.6875685462929827</v>
      </c>
      <c r="L665" s="421">
        <f>DelivOIL!$F100*DelivOIL!T$81^5/(Conv!$I$5*Conv!$D$46)/10^6 + OILTrade!$H$5</f>
        <v>0.63055142060653679</v>
      </c>
      <c r="M665" s="421">
        <f>DelivOIL!$F100*DelivOIL!U$81^5/(Conv!$I$5*Conv!$D$46)/10^6 + OILTrade!$H$5</f>
        <v>0.55879246737493637</v>
      </c>
      <c r="N665" s="421">
        <f>DelivOIL!$F100*DelivOIL!V$81^5/(Conv!$I$5*Conv!$D$46)/10^6 + OILTrade!$H$5</f>
        <v>0.55879246737493637</v>
      </c>
      <c r="O665" s="421">
        <f>DelivOIL!$F100*DelivOIL!W$81^5/(Conv!$I$5*Conv!$D$46)/10^6 + OILTrade!$H$5</f>
        <v>0.55879246737493637</v>
      </c>
      <c r="P665" s="421">
        <f>DelivOIL!$F100*DelivOIL!X$81^5/(Conv!$I$5*Conv!$D$46)/10^6 + OILTrade!$H$5</f>
        <v>0.55879246737493637</v>
      </c>
      <c r="Q665" s="421">
        <f>DelivOIL!$F100*DelivOIL!Y$81^5/(Conv!$I$5*Conv!$D$46)/10^6 + OILTrade!$H$5</f>
        <v>0.55879246737493637</v>
      </c>
      <c r="S665" s="395"/>
      <c r="T665" s="395"/>
      <c r="U665" s="395"/>
      <c r="V665" s="395"/>
      <c r="W665" s="395"/>
      <c r="X665" s="395"/>
      <c r="Y665" s="395"/>
      <c r="Z665" s="395"/>
      <c r="AA665" s="395"/>
      <c r="AB665" s="395"/>
      <c r="AC665" s="395"/>
    </row>
    <row r="666" spans="2:29">
      <c r="B666" s="378" t="s">
        <v>1089</v>
      </c>
      <c r="C666" s="378"/>
      <c r="D666" s="378"/>
      <c r="E666" s="414"/>
      <c r="F666" s="414"/>
      <c r="G666" s="418"/>
      <c r="H666" s="392"/>
      <c r="I666" s="392"/>
      <c r="J666" s="392"/>
      <c r="K666" s="392"/>
      <c r="L666" s="392"/>
      <c r="M666" s="392"/>
      <c r="N666" s="392"/>
      <c r="O666" s="392"/>
      <c r="P666" s="392"/>
      <c r="Q666" s="392"/>
    </row>
    <row r="667" spans="2:29">
      <c r="B667" s="376" t="str">
        <f>IF(LEFT(Technologies!B$702,1)="*","*","R6")</f>
        <v>R6</v>
      </c>
      <c r="C667" s="376" t="str">
        <f>Technologies!C702</f>
        <v>XITRGSLCP1</v>
      </c>
      <c r="D667" s="376" t="str">
        <f>Technologies!D702</f>
        <v>Delivery of Imported Conventional Gasoline</v>
      </c>
      <c r="E667" s="415" t="str">
        <f>Commodities!C$325</f>
        <v>GSCP1</v>
      </c>
      <c r="F667" s="415" t="str">
        <f>Commodities!C85</f>
        <v>TRGSLC</v>
      </c>
      <c r="G667" s="422">
        <v>1</v>
      </c>
      <c r="H667" s="421">
        <f>DelivOIL!$G77*DelivOIL!P$82^5/(Conv!$I$5*Conv!$D$46)/10^6 + OILTrade!$I$7</f>
        <v>3.3340061938034138</v>
      </c>
      <c r="I667" s="421">
        <f>DelivOIL!$G77*DelivOIL!Q$82^5/(Conv!$I$5*Conv!$D$46)/10^6 + OILTrade!$I$7</f>
        <v>2.9843149337239279</v>
      </c>
      <c r="J667" s="421">
        <f>DelivOIL!$G77*DelivOIL!R$82^5/(Conv!$I$5*Conv!$D$46)/10^6 + OILTrade!$I$7</f>
        <v>3.3852292604304748</v>
      </c>
      <c r="K667" s="421">
        <f>DelivOIL!$G77*DelivOIL!S$82^5/(Conv!$I$5*Conv!$D$46)/10^6 + OILTrade!$I$7</f>
        <v>3.8767600283295818</v>
      </c>
      <c r="L667" s="421">
        <f>DelivOIL!$G77*DelivOIL!T$82^5/(Conv!$I$5*Conv!$D$46)/10^6 + OILTrade!$I$7</f>
        <v>3.5466981560636386</v>
      </c>
      <c r="M667" s="421">
        <f>DelivOIL!$G77*DelivOIL!U$82^5/(Conv!$I$5*Conv!$D$46)/10^6 + OILTrade!$I$7</f>
        <v>3.3835944944460028</v>
      </c>
      <c r="N667" s="421">
        <f>DelivOIL!$G77*DelivOIL!V$82^5/(Conv!$I$5*Conv!$D$46)/10^6 + OILTrade!$I$7</f>
        <v>3.3835944944460028</v>
      </c>
      <c r="O667" s="421">
        <f>DelivOIL!$G77*DelivOIL!W$82^5/(Conv!$I$5*Conv!$D$46)/10^6 + OILTrade!$I$7</f>
        <v>3.3835944944460028</v>
      </c>
      <c r="P667" s="421">
        <f>DelivOIL!$G77*DelivOIL!X$82^5/(Conv!$I$5*Conv!$D$46)/10^6 + OILTrade!$I$7</f>
        <v>3.3835944944460028</v>
      </c>
      <c r="Q667" s="421">
        <f>DelivOIL!$G77*DelivOIL!Y$82^5/(Conv!$I$5*Conv!$D$46)/10^6 + OILTrade!$I$7</f>
        <v>3.3835944944460028</v>
      </c>
      <c r="S667" s="395"/>
      <c r="T667" s="395"/>
      <c r="U667" s="395"/>
      <c r="V667" s="395"/>
      <c r="W667" s="395"/>
      <c r="X667" s="395"/>
      <c r="Y667" s="395"/>
      <c r="Z667" s="395"/>
      <c r="AA667" s="395"/>
      <c r="AB667" s="395"/>
      <c r="AC667" s="395"/>
    </row>
    <row r="668" spans="2:29">
      <c r="B668" s="376" t="str">
        <f>IF(LEFT(Technologies!B$703,1)="*","*","R6")</f>
        <v>R6</v>
      </c>
      <c r="C668" s="376" t="str">
        <f>Technologies!C703</f>
        <v>XITRGSLRP1</v>
      </c>
      <c r="D668" s="376" t="str">
        <f>Technologies!D703</f>
        <v>Delivery of Imported Reformulated Gasoline</v>
      </c>
      <c r="E668" s="415" t="str">
        <f>Commodities!C$326</f>
        <v>GSRP1</v>
      </c>
      <c r="F668" s="415" t="str">
        <f>Commodities!C86</f>
        <v>TRGSLR</v>
      </c>
      <c r="G668" s="422">
        <v>1</v>
      </c>
      <c r="H668" s="421">
        <f>DelivOIL!$G78*DelivOIL!P$82^5/(Conv!$I$5*Conv!$D$46)/10^6 + OILTrade!$I$7</f>
        <v>3.3203701766508433</v>
      </c>
      <c r="I668" s="421">
        <f>DelivOIL!$G78*DelivOIL!Q$82^5/(Conv!$I$5*Conv!$D$46)/10^6 + OILTrade!$I$7</f>
        <v>2.9721091466739313</v>
      </c>
      <c r="J668" s="421">
        <f>DelivOIL!$G78*DelivOIL!R$82^5/(Conv!$I$5*Conv!$D$46)/10^6 + OILTrade!$I$7</f>
        <v>3.3713837419829056</v>
      </c>
      <c r="K668" s="421">
        <f>DelivOIL!$G78*DelivOIL!S$82^5/(Conv!$I$5*Conv!$D$46)/10^6 + OILTrade!$I$7</f>
        <v>3.8609041590930593</v>
      </c>
      <c r="L668" s="421">
        <f>DelivOIL!$G78*DelivOIL!T$82^5/(Conv!$I$5*Conv!$D$46)/10^6 + OILTrade!$I$7</f>
        <v>3.5321922331349525</v>
      </c>
      <c r="M668" s="421">
        <f>DelivOIL!$G78*DelivOIL!U$82^5/(Conv!$I$5*Conv!$D$46)/10^6 + OILTrade!$I$7</f>
        <v>3.3697556621578793</v>
      </c>
      <c r="N668" s="421">
        <f>DelivOIL!$G78*DelivOIL!V$82^5/(Conv!$I$5*Conv!$D$46)/10^6 + OILTrade!$I$7</f>
        <v>3.3697556621578793</v>
      </c>
      <c r="O668" s="421">
        <f>DelivOIL!$G78*DelivOIL!W$82^5/(Conv!$I$5*Conv!$D$46)/10^6 + OILTrade!$I$7</f>
        <v>3.3697556621578793</v>
      </c>
      <c r="P668" s="421">
        <f>DelivOIL!$G78*DelivOIL!X$82^5/(Conv!$I$5*Conv!$D$46)/10^6 + OILTrade!$I$7</f>
        <v>3.3697556621578793</v>
      </c>
      <c r="Q668" s="421">
        <f>DelivOIL!$G78*DelivOIL!Y$82^5/(Conv!$I$5*Conv!$D$46)/10^6 + OILTrade!$I$7</f>
        <v>3.3697556621578793</v>
      </c>
      <c r="S668" s="395"/>
      <c r="T668" s="395"/>
      <c r="U668" s="395"/>
      <c r="V668" s="395"/>
      <c r="W668" s="395"/>
      <c r="X668" s="395"/>
      <c r="Y668" s="395"/>
      <c r="Z668" s="395"/>
      <c r="AA668" s="395"/>
      <c r="AB668" s="395"/>
      <c r="AC668" s="395"/>
    </row>
    <row r="669" spans="2:29">
      <c r="B669" s="376" t="str">
        <f>IF(OR(LEFT(Commodities!B$323,1)="*",LEFT(Technologies!B$704,1)="*"),"*","R6")</f>
        <v>R6</v>
      </c>
      <c r="C669" s="376" t="str">
        <f>Technologies!C704</f>
        <v>XITRDSLLP1</v>
      </c>
      <c r="D669" s="376" t="str">
        <f>Technologies!D704</f>
        <v>Delivery of Imported Distillate-Low Sulfur Highway Diesel (500 ppm)</v>
      </c>
      <c r="E669" s="415" t="str">
        <f>Commodities!C$323</f>
        <v>DSLP1</v>
      </c>
      <c r="F669" s="415" t="str">
        <f>Commodities!C91</f>
        <v>TRDSLL</v>
      </c>
      <c r="G669" s="422">
        <v>1</v>
      </c>
      <c r="H669" s="421">
        <f>DelivOIL!$G84*DelivOIL!P$82^5/(Conv!$I$5*Conv!$D$46)/10^6 + OILTrade!$I$7</f>
        <v>3.5658184853971071</v>
      </c>
      <c r="I669" s="421">
        <f>DelivOIL!$G84*DelivOIL!Q$82^5/(Conv!$I$5*Conv!$D$46)/10^6 + OILTrade!$I$7</f>
        <v>3.1918133135738525</v>
      </c>
      <c r="J669" s="421">
        <f>DelivOIL!$G84*DelivOIL!R$82^5/(Conv!$I$5*Conv!$D$46)/10^6 + OILTrade!$I$7</f>
        <v>3.6206030740391371</v>
      </c>
      <c r="K669" s="421">
        <f>DelivOIL!$G84*DelivOIL!S$82^5/(Conv!$I$5*Conv!$D$46)/10^6 + OILTrade!$I$7</f>
        <v>4.1463098053504526</v>
      </c>
      <c r="L669" s="421">
        <f>DelivOIL!$G84*DelivOIL!T$82^5/(Conv!$I$5*Conv!$D$46)/10^6 + OILTrade!$I$7</f>
        <v>3.7932988458512944</v>
      </c>
      <c r="M669" s="421">
        <f>DelivOIL!$G84*DelivOIL!U$82^5/(Conv!$I$5*Conv!$D$46)/10^6 + OILTrade!$I$7</f>
        <v>3.6188546433440885</v>
      </c>
      <c r="N669" s="421">
        <f>DelivOIL!$G84*DelivOIL!V$82^5/(Conv!$I$5*Conv!$D$46)/10^6 + OILTrade!$I$7</f>
        <v>3.6188546433440885</v>
      </c>
      <c r="O669" s="421">
        <f>DelivOIL!$G84*DelivOIL!W$82^5/(Conv!$I$5*Conv!$D$46)/10^6 + OILTrade!$I$7</f>
        <v>3.6188546433440885</v>
      </c>
      <c r="P669" s="421">
        <f>DelivOIL!$G84*DelivOIL!X$82^5/(Conv!$I$5*Conv!$D$46)/10^6 + OILTrade!$I$7</f>
        <v>3.6188546433440885</v>
      </c>
      <c r="Q669" s="421">
        <f>DelivOIL!$G84*DelivOIL!Y$82^5/(Conv!$I$5*Conv!$D$46)/10^6 + OILTrade!$I$7</f>
        <v>3.6188546433440885</v>
      </c>
      <c r="S669" s="395"/>
      <c r="T669" s="395"/>
      <c r="U669" s="395"/>
      <c r="V669" s="395"/>
      <c r="W669" s="395"/>
      <c r="X669" s="395"/>
      <c r="Y669" s="395"/>
      <c r="Z669" s="395"/>
      <c r="AA669" s="395"/>
      <c r="AB669" s="395"/>
      <c r="AC669" s="395"/>
    </row>
    <row r="670" spans="2:29">
      <c r="B670" s="376" t="str">
        <f>IF(OR(LEFT(Commodities!B$324,1)="*",LEFT(Technologies!B$705,1)="*"),"*","R6")</f>
        <v>R6</v>
      </c>
      <c r="C670" s="376" t="str">
        <f>Technologies!C705</f>
        <v>XITRDSLUP1</v>
      </c>
      <c r="D670" s="376" t="str">
        <f>Technologies!D705</f>
        <v>Delivery of Imported Distillate-Ultralow Sulfur Highway Diesel (15 ppm)</v>
      </c>
      <c r="E670" s="415" t="str">
        <f>Commodities!C$324</f>
        <v>DSUP1</v>
      </c>
      <c r="F670" s="415" t="str">
        <f>Commodities!C92</f>
        <v>TRDSLU</v>
      </c>
      <c r="G670" s="422">
        <v>1</v>
      </c>
      <c r="H670" s="421">
        <f>DelivOIL!$G85*DelivOIL!P$82^5/(Conv!$I$5*Conv!$D$46)/10^6 + OILTrade!$I$7</f>
        <v>2.9249256792263076</v>
      </c>
      <c r="I670" s="421">
        <f>DelivOIL!$G85*DelivOIL!Q$82^5/(Conv!$I$5*Conv!$D$46)/10^6 + OILTrade!$I$7</f>
        <v>2.618141322224059</v>
      </c>
      <c r="J670" s="421">
        <f>DelivOIL!$G85*DelivOIL!R$82^5/(Conv!$I$5*Conv!$D$46)/10^6 + OILTrade!$I$7</f>
        <v>2.9698637070034226</v>
      </c>
      <c r="K670" s="421">
        <f>DelivOIL!$G85*DelivOIL!S$82^5/(Conv!$I$5*Conv!$D$46)/10^6 + OILTrade!$I$7</f>
        <v>3.401083951233927</v>
      </c>
      <c r="L670" s="421">
        <f>DelivOIL!$G85*DelivOIL!T$82^5/(Conv!$I$5*Conv!$D$46)/10^6 + OILTrade!$I$7</f>
        <v>3.1115204682030697</v>
      </c>
      <c r="M670" s="421">
        <f>DelivOIL!$G85*DelivOIL!U$82^5/(Conv!$I$5*Conv!$D$46)/10^6 + OILTrade!$I$7</f>
        <v>2.9684295258023212</v>
      </c>
      <c r="N670" s="421">
        <f>DelivOIL!$G85*DelivOIL!V$82^5/(Conv!$I$5*Conv!$D$46)/10^6 + OILTrade!$I$7</f>
        <v>2.9684295258023212</v>
      </c>
      <c r="O670" s="421">
        <f>DelivOIL!$G85*DelivOIL!W$82^5/(Conv!$I$5*Conv!$D$46)/10^6 + OILTrade!$I$7</f>
        <v>2.9684295258023212</v>
      </c>
      <c r="P670" s="421">
        <f>DelivOIL!$G85*DelivOIL!X$82^5/(Conv!$I$5*Conv!$D$46)/10^6 + OILTrade!$I$7</f>
        <v>2.9684295258023212</v>
      </c>
      <c r="Q670" s="421">
        <f>DelivOIL!$G85*DelivOIL!Y$82^5/(Conv!$I$5*Conv!$D$46)/10^6 + OILTrade!$I$7</f>
        <v>2.9684295258023212</v>
      </c>
      <c r="S670" s="395"/>
      <c r="T670" s="395"/>
      <c r="U670" s="395"/>
      <c r="V670" s="395"/>
      <c r="W670" s="395"/>
      <c r="X670" s="395"/>
      <c r="Y670" s="395"/>
      <c r="Z670" s="395"/>
      <c r="AA670" s="395"/>
      <c r="AB670" s="395"/>
      <c r="AC670" s="395"/>
    </row>
    <row r="671" spans="2:29">
      <c r="B671" s="376" t="str">
        <f>IF(OR(LEFT(Commodities!B$64,1)="*",LEFT(Technologies!B$232,1)="*"),"*","R6")</f>
        <v>R6</v>
      </c>
      <c r="C671" s="376" t="str">
        <f>Technologies!C232</f>
        <v>XITRNJTFP1</v>
      </c>
      <c r="D671" s="376" t="str">
        <f>Technologies!D232</f>
        <v>Delivery of Imported Jet Fuel</v>
      </c>
      <c r="E671" s="415" t="str">
        <f>Commodities!C$64</f>
        <v>JTFP1</v>
      </c>
      <c r="F671" s="415" t="str">
        <f>Commodities!C93</f>
        <v>TRNJTF</v>
      </c>
      <c r="G671" s="422">
        <v>1</v>
      </c>
      <c r="H671" s="421">
        <f>DelivOIL!$G86*DelivOIL!P$82^5/(Conv!$I$5*Conv!$D$46)/10^6 + OILTrade!$I$7</f>
        <v>0.7090728919336502</v>
      </c>
      <c r="I671" s="421">
        <f>DelivOIL!$G86*DelivOIL!Q$82^5/(Conv!$I$5*Conv!$D$46)/10^6 + OILTrade!$I$7</f>
        <v>0.63470092659977184</v>
      </c>
      <c r="J671" s="421">
        <f>DelivOIL!$G86*DelivOIL!R$82^5/(Conv!$I$5*Conv!$D$46)/10^6 + OILTrade!$I$7</f>
        <v>0.71996695927355681</v>
      </c>
      <c r="K671" s="421">
        <f>DelivOIL!$G86*DelivOIL!S$82^5/(Conv!$I$5*Conv!$D$46)/10^6 + OILTrade!$I$7</f>
        <v>0.82450520029913388</v>
      </c>
      <c r="L671" s="421">
        <f>DelivOIL!$G86*DelivOIL!T$82^5/(Conv!$I$5*Conv!$D$46)/10^6 + OILTrade!$I$7</f>
        <v>0.75430799229165302</v>
      </c>
      <c r="M671" s="421">
        <f>DelivOIL!$G86*DelivOIL!U$82^5/(Conv!$I$5*Conv!$D$46)/10^6 + OILTrade!$I$7</f>
        <v>0.71961927898238087</v>
      </c>
      <c r="N671" s="421">
        <f>DelivOIL!$G86*DelivOIL!V$82^5/(Conv!$I$5*Conv!$D$46)/10^6 + OILTrade!$I$7</f>
        <v>0.71961927898238087</v>
      </c>
      <c r="O671" s="421">
        <f>DelivOIL!$G86*DelivOIL!W$82^5/(Conv!$I$5*Conv!$D$46)/10^6 + OILTrade!$I$7</f>
        <v>0.71961927898238087</v>
      </c>
      <c r="P671" s="421">
        <f>DelivOIL!$G86*DelivOIL!X$82^5/(Conv!$I$5*Conv!$D$46)/10^6 + OILTrade!$I$7</f>
        <v>0.71961927898238087</v>
      </c>
      <c r="Q671" s="421">
        <f>DelivOIL!$G86*DelivOIL!Y$82^5/(Conv!$I$5*Conv!$D$46)/10^6 + OILTrade!$I$7</f>
        <v>0.71961927898238087</v>
      </c>
      <c r="S671" s="395"/>
      <c r="T671" s="395"/>
      <c r="U671" s="395"/>
      <c r="V671" s="395"/>
      <c r="W671" s="395"/>
      <c r="X671" s="395"/>
      <c r="Y671" s="395"/>
      <c r="Z671" s="395"/>
      <c r="AA671" s="395"/>
      <c r="AB671" s="395"/>
      <c r="AC671" s="395"/>
    </row>
    <row r="672" spans="2:29">
      <c r="B672" s="376" t="str">
        <f>IF(OR(LEFT(Commodities!B$327,1)="*",LEFT(Technologies!B$706,1)="*"),"*","R6")</f>
        <v>*</v>
      </c>
      <c r="C672" s="376" t="str">
        <f>Technologies!C706</f>
        <v>XIRESKERP1</v>
      </c>
      <c r="D672" s="376" t="str">
        <f>Technologies!D706</f>
        <v>Delivery of Imported Kerosene and Other Refined Products to the Residential Sector</v>
      </c>
      <c r="E672" s="415" t="str">
        <f>Commodities!C$327</f>
        <v>KERP1</v>
      </c>
      <c r="F672" s="415" t="str">
        <f>Commodities!C94</f>
        <v>RESKER</v>
      </c>
      <c r="G672" s="422">
        <v>1</v>
      </c>
      <c r="H672" s="421">
        <f>DelivOIL!$G87*DelivOIL!P$82^5/(Conv!$I$5*Conv!$D$46)/10^6 + OILTrade!$I$7</f>
        <v>2.7067494047851857</v>
      </c>
      <c r="I672" s="421">
        <f>DelivOIL!$G87*DelivOIL!Q$82^5/(Conv!$I$5*Conv!$D$46)/10^6 + OILTrade!$I$7</f>
        <v>2.4228487294241305</v>
      </c>
      <c r="J672" s="421">
        <f>DelivOIL!$G87*DelivOIL!R$82^5/(Conv!$I$5*Conv!$D$46)/10^6 + OILTrade!$I$7</f>
        <v>2.7483354118423291</v>
      </c>
      <c r="K672" s="421">
        <f>DelivOIL!$G87*DelivOIL!S$82^5/(Conv!$I$5*Conv!$D$46)/10^6 + OILTrade!$I$7</f>
        <v>3.1473900434495796</v>
      </c>
      <c r="L672" s="421">
        <f>DelivOIL!$G87*DelivOIL!T$82^5/(Conv!$I$5*Conv!$D$46)/10^6 + OILTrade!$I$7</f>
        <v>2.8794257013441005</v>
      </c>
      <c r="M672" s="421">
        <f>DelivOIL!$G87*DelivOIL!U$82^5/(Conv!$I$5*Conv!$D$46)/10^6 + OILTrade!$I$7</f>
        <v>2.7470082091923596</v>
      </c>
      <c r="N672" s="421">
        <f>DelivOIL!$G87*DelivOIL!V$82^5/(Conv!$I$5*Conv!$D$46)/10^6 + OILTrade!$I$7</f>
        <v>2.7470082091923596</v>
      </c>
      <c r="O672" s="421">
        <f>DelivOIL!$G87*DelivOIL!W$82^5/(Conv!$I$5*Conv!$D$46)/10^6 + OILTrade!$I$7</f>
        <v>2.7470082091923596</v>
      </c>
      <c r="P672" s="421">
        <f>DelivOIL!$G87*DelivOIL!X$82^5/(Conv!$I$5*Conv!$D$46)/10^6 + OILTrade!$I$7</f>
        <v>2.7470082091923596</v>
      </c>
      <c r="Q672" s="421">
        <f>DelivOIL!$G87*DelivOIL!Y$82^5/(Conv!$I$5*Conv!$D$46)/10^6 + OILTrade!$I$7</f>
        <v>2.7470082091923596</v>
      </c>
      <c r="S672" s="395"/>
      <c r="T672" s="395"/>
      <c r="U672" s="395"/>
      <c r="V672" s="395"/>
      <c r="W672" s="395"/>
      <c r="X672" s="395"/>
      <c r="Y672" s="395"/>
      <c r="Z672" s="395"/>
      <c r="AA672" s="395"/>
      <c r="AB672" s="395"/>
      <c r="AC672" s="395"/>
    </row>
    <row r="673" spans="2:29">
      <c r="B673" s="376" t="str">
        <f>IF(OR(LEFT(Commodities!B$327,1)="*",LEFT(Technologies!B$707,1)="*"),"*","R6")</f>
        <v>*</v>
      </c>
      <c r="C673" s="376" t="str">
        <f>Technologies!C707</f>
        <v>XICOMKERP1</v>
      </c>
      <c r="D673" s="376" t="str">
        <f>Technologies!D707</f>
        <v>Delivery of Imported Kerosene and Other Refined Products to the Commercial Sector</v>
      </c>
      <c r="E673" s="415" t="str">
        <f>Commodities!C$327</f>
        <v>KERP1</v>
      </c>
      <c r="F673" s="415" t="str">
        <f>Commodities!C95</f>
        <v>COMKER</v>
      </c>
      <c r="G673" s="422">
        <v>1</v>
      </c>
      <c r="H673" s="421">
        <f>DelivOIL!$G88*DelivOIL!P$82^5/(Conv!$I$5*Conv!$D$46)/10^6 + OILTrade!$I$7</f>
        <v>2.7749294905480353</v>
      </c>
      <c r="I673" s="421">
        <f>DelivOIL!$G88*DelivOIL!Q$82^5/(Conv!$I$5*Conv!$D$46)/10^6 + OILTrade!$I$7</f>
        <v>2.483877664674107</v>
      </c>
      <c r="J673" s="421">
        <f>DelivOIL!$G88*DelivOIL!R$82^5/(Conv!$I$5*Conv!$D$46)/10^6 + OILTrade!$I$7</f>
        <v>2.8175630040801698</v>
      </c>
      <c r="K673" s="421">
        <f>DelivOIL!$G88*DelivOIL!S$82^5/(Conv!$I$5*Conv!$D$46)/10^6 + OILTrade!$I$7</f>
        <v>3.2266693896321872</v>
      </c>
      <c r="L673" s="421">
        <f>DelivOIL!$G88*DelivOIL!T$82^5/(Conv!$I$5*Conv!$D$46)/10^6 + OILTrade!$I$7</f>
        <v>2.9519553159875267</v>
      </c>
      <c r="M673" s="421">
        <f>DelivOIL!$G88*DelivOIL!U$82^5/(Conv!$I$5*Conv!$D$46)/10^6 + OILTrade!$I$7</f>
        <v>2.8162023706329711</v>
      </c>
      <c r="N673" s="421">
        <f>DelivOIL!$G88*DelivOIL!V$82^5/(Conv!$I$5*Conv!$D$46)/10^6 + OILTrade!$I$7</f>
        <v>2.8162023706329711</v>
      </c>
      <c r="O673" s="421">
        <f>DelivOIL!$G88*DelivOIL!W$82^5/(Conv!$I$5*Conv!$D$46)/10^6 + OILTrade!$I$7</f>
        <v>2.8162023706329711</v>
      </c>
      <c r="P673" s="421">
        <f>DelivOIL!$G88*DelivOIL!X$82^5/(Conv!$I$5*Conv!$D$46)/10^6 + OILTrade!$I$7</f>
        <v>2.8162023706329711</v>
      </c>
      <c r="Q673" s="421">
        <f>DelivOIL!$G88*DelivOIL!Y$82^5/(Conv!$I$5*Conv!$D$46)/10^6 + OILTrade!$I$7</f>
        <v>2.8162023706329711</v>
      </c>
      <c r="S673" s="395"/>
      <c r="T673" s="395"/>
      <c r="U673" s="395"/>
      <c r="V673" s="395"/>
      <c r="W673" s="395"/>
      <c r="X673" s="395"/>
      <c r="Y673" s="395"/>
      <c r="Z673" s="395"/>
      <c r="AA673" s="395"/>
      <c r="AB673" s="395"/>
      <c r="AC673" s="395"/>
    </row>
    <row r="674" spans="2:29">
      <c r="B674" s="376" t="str">
        <f>IF(OR(LEFT(Commodities!B$327,1)="*",LEFT(Technologies!B$708,1)="*"),"*","R6")</f>
        <v>*</v>
      </c>
      <c r="C674" s="376" t="str">
        <f>Technologies!C708</f>
        <v>XIINDKERP1</v>
      </c>
      <c r="D674" s="376" t="str">
        <f>Technologies!D708</f>
        <v>Delivery of Imported Kerosene and Other Refined Products to the Industrial Sector</v>
      </c>
      <c r="E674" s="415" t="str">
        <f>Commodities!C$327</f>
        <v>KERP1</v>
      </c>
      <c r="F674" s="415" t="str">
        <f>Commodities!C96</f>
        <v>INDKER</v>
      </c>
      <c r="G674" s="422">
        <v>1</v>
      </c>
      <c r="H674" s="421">
        <f>DelivOIL!$G89*DelivOIL!P$82^5/(Conv!$I$5*Conv!$D$46)/10^6 + OILTrade!$I$7</f>
        <v>1.6090500240032843</v>
      </c>
      <c r="I674" s="421">
        <f>DelivOIL!$G89*DelivOIL!Q$82^5/(Conv!$I$5*Conv!$D$46)/10^6 + OILTrade!$I$7</f>
        <v>1.4402828718994833</v>
      </c>
      <c r="J674" s="421">
        <f>DelivOIL!$G89*DelivOIL!R$82^5/(Conv!$I$5*Conv!$D$46)/10^6 + OILTrade!$I$7</f>
        <v>1.6337711768130725</v>
      </c>
      <c r="K674" s="421">
        <f>DelivOIL!$G89*DelivOIL!S$82^5/(Conv!$I$5*Conv!$D$46)/10^6 + OILTrade!$I$7</f>
        <v>1.8709925699095742</v>
      </c>
      <c r="L674" s="421">
        <f>DelivOIL!$G89*DelivOIL!T$82^5/(Conv!$I$5*Conv!$D$46)/10^6 + OILTrade!$I$7</f>
        <v>1.7116989055849063</v>
      </c>
      <c r="M674" s="421">
        <f>DelivOIL!$G89*DelivOIL!U$82^5/(Conv!$I$5*Conv!$D$46)/10^6 + OILTrade!$I$7</f>
        <v>1.6329822099984808</v>
      </c>
      <c r="N674" s="421">
        <f>DelivOIL!$G89*DelivOIL!V$82^5/(Conv!$I$5*Conv!$D$46)/10^6 + OILTrade!$I$7</f>
        <v>1.6329822099984808</v>
      </c>
      <c r="O674" s="421">
        <f>DelivOIL!$G89*DelivOIL!W$82^5/(Conv!$I$5*Conv!$D$46)/10^6 + OILTrade!$I$7</f>
        <v>1.6329822099984808</v>
      </c>
      <c r="P674" s="421">
        <f>DelivOIL!$G89*DelivOIL!X$82^5/(Conv!$I$5*Conv!$D$46)/10^6 + OILTrade!$I$7</f>
        <v>1.6329822099984808</v>
      </c>
      <c r="Q674" s="421">
        <f>DelivOIL!$G89*DelivOIL!Y$82^5/(Conv!$I$5*Conv!$D$46)/10^6 + OILTrade!$I$7</f>
        <v>1.6329822099984808</v>
      </c>
      <c r="S674" s="395"/>
      <c r="T674" s="395"/>
      <c r="U674" s="395"/>
      <c r="V674" s="395"/>
      <c r="W674" s="395"/>
      <c r="X674" s="395"/>
      <c r="Y674" s="395"/>
      <c r="Z674" s="395"/>
      <c r="AA674" s="395"/>
      <c r="AB674" s="395"/>
      <c r="AC674" s="395"/>
    </row>
    <row r="675" spans="2:29">
      <c r="B675" s="376" t="str">
        <f>IF(OR(LEFT(Commodities!B$328,1)="*",LEFT(Technologies!B$709,1)="*"),"*","R6")</f>
        <v>*</v>
      </c>
      <c r="C675" s="376" t="str">
        <f>Technologies!C709</f>
        <v>XIRESLPGP1</v>
      </c>
      <c r="D675" s="376" t="str">
        <f>Technologies!D709</f>
        <v>Delivery of Imported LPG to the Residential Sector</v>
      </c>
      <c r="E675" s="415" t="str">
        <f>Commodities!C$328</f>
        <v>LPGP1</v>
      </c>
      <c r="F675" s="415" t="str">
        <f>Commodities!C97</f>
        <v>RESLPG</v>
      </c>
      <c r="G675" s="422">
        <v>1</v>
      </c>
      <c r="H675" s="421">
        <f>DelivOIL!$G90*DelivOIL!P$82^5/(Conv!$I$5*Conv!$D$46)/10^6 + OILTrade!$I$7</f>
        <v>4.6907899004841482</v>
      </c>
      <c r="I675" s="421">
        <f>DelivOIL!$G90*DelivOIL!Q$82^5/(Conv!$I$5*Conv!$D$46)/10^6 + OILTrade!$I$7</f>
        <v>4.1987907451984912</v>
      </c>
      <c r="J675" s="421">
        <f>DelivOIL!$G90*DelivOIL!R$82^5/(Conv!$I$5*Conv!$D$46)/10^6 + OILTrade!$I$7</f>
        <v>4.7628583459635312</v>
      </c>
      <c r="K675" s="421">
        <f>DelivOIL!$G90*DelivOIL!S$82^5/(Conv!$I$5*Conv!$D$46)/10^6 + OILTrade!$I$7</f>
        <v>5.4544190173635005</v>
      </c>
      <c r="L675" s="421">
        <f>DelivOIL!$G90*DelivOIL!T$82^5/(Conv!$I$5*Conv!$D$46)/10^6 + OILTrade!$I$7</f>
        <v>4.9900374874678599</v>
      </c>
      <c r="M675" s="421">
        <f>DelivOIL!$G90*DelivOIL!U$82^5/(Conv!$I$5*Conv!$D$46)/10^6 + OILTrade!$I$7</f>
        <v>4.7605583071142128</v>
      </c>
      <c r="N675" s="421">
        <f>DelivOIL!$G90*DelivOIL!V$82^5/(Conv!$I$5*Conv!$D$46)/10^6 + OILTrade!$I$7</f>
        <v>4.7605583071142128</v>
      </c>
      <c r="O675" s="421">
        <f>DelivOIL!$G90*DelivOIL!W$82^5/(Conv!$I$5*Conv!$D$46)/10^6 + OILTrade!$I$7</f>
        <v>4.7605583071142128</v>
      </c>
      <c r="P675" s="421">
        <f>DelivOIL!$G90*DelivOIL!X$82^5/(Conv!$I$5*Conv!$D$46)/10^6 + OILTrade!$I$7</f>
        <v>4.7605583071142128</v>
      </c>
      <c r="Q675" s="421">
        <f>DelivOIL!$G90*DelivOIL!Y$82^5/(Conv!$I$5*Conv!$D$46)/10^6 + OILTrade!$I$7</f>
        <v>4.7605583071142128</v>
      </c>
      <c r="S675" s="395"/>
      <c r="T675" s="395"/>
      <c r="U675" s="395"/>
      <c r="V675" s="395"/>
      <c r="W675" s="395"/>
      <c r="X675" s="395"/>
      <c r="Y675" s="395"/>
      <c r="Z675" s="395"/>
      <c r="AA675" s="395"/>
      <c r="AB675" s="395"/>
      <c r="AC675" s="395"/>
    </row>
    <row r="676" spans="2:29">
      <c r="B676" s="376" t="str">
        <f>IF(OR(LEFT(Commodities!B$328,1)="*",LEFT(Technologies!B$710,1)="*"),"*","R6")</f>
        <v>*</v>
      </c>
      <c r="C676" s="376" t="str">
        <f>Technologies!C710</f>
        <v>XICOMLPGP1</v>
      </c>
      <c r="D676" s="376" t="str">
        <f>Technologies!D710</f>
        <v>Delivery of Imported LPG to the Commercial Sector</v>
      </c>
      <c r="E676" s="415" t="str">
        <f>Commodities!C$328</f>
        <v>LPGP1</v>
      </c>
      <c r="F676" s="415" t="str">
        <f>Commodities!C98</f>
        <v>COMLPG</v>
      </c>
      <c r="G676" s="422">
        <v>1</v>
      </c>
      <c r="H676" s="421">
        <f>DelivOIL!$G91*DelivOIL!P$82^5/(Conv!$I$5*Conv!$D$46)/10^6 + OILTrade!$I$7</f>
        <v>2.5431171989543424</v>
      </c>
      <c r="I676" s="421">
        <f>DelivOIL!$G91*DelivOIL!Q$82^5/(Conv!$I$5*Conv!$D$46)/10^6 + OILTrade!$I$7</f>
        <v>2.2763792848241824</v>
      </c>
      <c r="J676" s="421">
        <f>DelivOIL!$G91*DelivOIL!R$82^5/(Conv!$I$5*Conv!$D$46)/10^6 + OILTrade!$I$7</f>
        <v>2.5821891904715075</v>
      </c>
      <c r="K676" s="421">
        <f>DelivOIL!$G91*DelivOIL!S$82^5/(Conv!$I$5*Conv!$D$46)/10^6 + OILTrade!$I$7</f>
        <v>2.9571196126113173</v>
      </c>
      <c r="L676" s="421">
        <f>DelivOIL!$G91*DelivOIL!T$82^5/(Conv!$I$5*Conv!$D$46)/10^6 + OILTrade!$I$7</f>
        <v>2.7053546261998718</v>
      </c>
      <c r="M676" s="421">
        <f>DelivOIL!$G91*DelivOIL!U$82^5/(Conv!$I$5*Conv!$D$46)/10^6 + OILTrade!$I$7</f>
        <v>2.5809422217348859</v>
      </c>
      <c r="N676" s="421">
        <f>DelivOIL!$G91*DelivOIL!V$82^5/(Conv!$I$5*Conv!$D$46)/10^6 + OILTrade!$I$7</f>
        <v>2.5809422217348859</v>
      </c>
      <c r="O676" s="421">
        <f>DelivOIL!$G91*DelivOIL!W$82^5/(Conv!$I$5*Conv!$D$46)/10^6 + OILTrade!$I$7</f>
        <v>2.5809422217348859</v>
      </c>
      <c r="P676" s="421">
        <f>DelivOIL!$G91*DelivOIL!X$82^5/(Conv!$I$5*Conv!$D$46)/10^6 + OILTrade!$I$7</f>
        <v>2.5809422217348859</v>
      </c>
      <c r="Q676" s="421">
        <f>DelivOIL!$G91*DelivOIL!Y$82^5/(Conv!$I$5*Conv!$D$46)/10^6 + OILTrade!$I$7</f>
        <v>2.5809422217348859</v>
      </c>
      <c r="S676" s="395"/>
      <c r="T676" s="395"/>
      <c r="U676" s="395"/>
      <c r="V676" s="395"/>
      <c r="W676" s="395"/>
      <c r="X676" s="395"/>
      <c r="Y676" s="395"/>
      <c r="Z676" s="395"/>
      <c r="AA676" s="395"/>
      <c r="AB676" s="395"/>
      <c r="AC676" s="395"/>
    </row>
    <row r="677" spans="2:29">
      <c r="B677" s="376" t="str">
        <f>IF(OR(LEFT(Commodities!B$328,1)="*",LEFT(Technologies!B$711,1)="*"),"*","R6")</f>
        <v>*</v>
      </c>
      <c r="C677" s="376" t="str">
        <f>Technologies!C711</f>
        <v>XIINDLPGP1</v>
      </c>
      <c r="D677" s="376" t="str">
        <f>Technologies!D711</f>
        <v>Delivery of Imported LPG to the Industrial Sector</v>
      </c>
      <c r="E677" s="415" t="str">
        <f>Commodities!C$328</f>
        <v>LPGP1</v>
      </c>
      <c r="F677" s="415" t="str">
        <f>Commodities!C99</f>
        <v>INDLPG</v>
      </c>
      <c r="G677" s="422">
        <v>1</v>
      </c>
      <c r="H677" s="421">
        <f>DelivOIL!$G92*DelivOIL!P$82^5/(Conv!$I$5*Conv!$D$46)/10^6 + OILTrade!$I$7</f>
        <v>2.2226707958689431</v>
      </c>
      <c r="I677" s="421">
        <f>DelivOIL!$G92*DelivOIL!Q$82^5/(Conv!$I$5*Conv!$D$46)/10^6 + OILTrade!$I$7</f>
        <v>1.9895432891492857</v>
      </c>
      <c r="J677" s="421">
        <f>DelivOIL!$G92*DelivOIL!R$82^5/(Conv!$I$5*Conv!$D$46)/10^6 + OILTrade!$I$7</f>
        <v>2.2568195069536507</v>
      </c>
      <c r="K677" s="421">
        <f>DelivOIL!$G92*DelivOIL!S$82^5/(Conv!$I$5*Conv!$D$46)/10^6 + OILTrade!$I$7</f>
        <v>2.584506685553055</v>
      </c>
      <c r="L677" s="421">
        <f>DelivOIL!$G92*DelivOIL!T$82^5/(Conv!$I$5*Conv!$D$46)/10^6 + OILTrade!$I$7</f>
        <v>2.3644654373757596</v>
      </c>
      <c r="M677" s="421">
        <f>DelivOIL!$G92*DelivOIL!U$82^5/(Conv!$I$5*Conv!$D$46)/10^6 + OILTrade!$I$7</f>
        <v>2.255729662964002</v>
      </c>
      <c r="N677" s="421">
        <f>DelivOIL!$G92*DelivOIL!V$82^5/(Conv!$I$5*Conv!$D$46)/10^6 + OILTrade!$I$7</f>
        <v>2.255729662964002</v>
      </c>
      <c r="O677" s="421">
        <f>DelivOIL!$G92*DelivOIL!W$82^5/(Conv!$I$5*Conv!$D$46)/10^6 + OILTrade!$I$7</f>
        <v>2.255729662964002</v>
      </c>
      <c r="P677" s="421">
        <f>DelivOIL!$G92*DelivOIL!X$82^5/(Conv!$I$5*Conv!$D$46)/10^6 + OILTrade!$I$7</f>
        <v>2.255729662964002</v>
      </c>
      <c r="Q677" s="421">
        <f>DelivOIL!$G92*DelivOIL!Y$82^5/(Conv!$I$5*Conv!$D$46)/10^6 + OILTrade!$I$7</f>
        <v>2.255729662964002</v>
      </c>
      <c r="S677" s="395"/>
      <c r="T677" s="395"/>
      <c r="U677" s="395"/>
      <c r="V677" s="395"/>
      <c r="W677" s="395"/>
      <c r="X677" s="395"/>
      <c r="Y677" s="395"/>
      <c r="Z677" s="395"/>
      <c r="AA677" s="395"/>
      <c r="AB677" s="395"/>
      <c r="AC677" s="395"/>
    </row>
    <row r="678" spans="2:29">
      <c r="B678" s="376" t="str">
        <f>IF(OR(LEFT(Commodities!B$328,1)="*",LEFT(Technologies!B$712,1)="*"),"*","R6")</f>
        <v>*</v>
      </c>
      <c r="C678" s="376" t="str">
        <f>Technologies!C712</f>
        <v>XITRNLPGP1</v>
      </c>
      <c r="D678" s="376" t="str">
        <f>Technologies!D712</f>
        <v>Delivery of Imported LPG to the Transportation Sector</v>
      </c>
      <c r="E678" s="415" t="str">
        <f>Commodities!C$328</f>
        <v>LPGP1</v>
      </c>
      <c r="F678" s="415" t="str">
        <f>Commodities!C100</f>
        <v>TRNLPG</v>
      </c>
      <c r="G678" s="422">
        <v>1</v>
      </c>
      <c r="H678" s="421">
        <f>DelivOIL!$G93*DelivOIL!P$82^5/(Conv!$I$5*Conv!$D$46)/10^6 + OILTrade!$I$7</f>
        <v>3.4294583138714061</v>
      </c>
      <c r="I678" s="421">
        <f>DelivOIL!$G93*DelivOIL!Q$82^5/(Conv!$I$5*Conv!$D$46)/10^6 + OILTrade!$I$7</f>
        <v>3.0697554430738978</v>
      </c>
      <c r="J678" s="421">
        <f>DelivOIL!$G93*DelivOIL!R$82^5/(Conv!$I$5*Conv!$D$46)/10^6 + OILTrade!$I$7</f>
        <v>3.4821478895634548</v>
      </c>
      <c r="K678" s="421">
        <f>DelivOIL!$G93*DelivOIL!S$82^5/(Conv!$I$5*Conv!$D$46)/10^6 + OILTrade!$I$7</f>
        <v>3.9877511129852357</v>
      </c>
      <c r="L678" s="421">
        <f>DelivOIL!$G93*DelivOIL!T$82^5/(Conv!$I$5*Conv!$D$46)/10^6 + OILTrade!$I$7</f>
        <v>3.6482396165644393</v>
      </c>
      <c r="M678" s="421">
        <f>DelivOIL!$G93*DelivOIL!U$82^5/(Conv!$I$5*Conv!$D$46)/10^6 + OILTrade!$I$7</f>
        <v>3.4804663204628623</v>
      </c>
      <c r="N678" s="421">
        <f>DelivOIL!$G93*DelivOIL!V$82^5/(Conv!$I$5*Conv!$D$46)/10^6 + OILTrade!$I$7</f>
        <v>3.4804663204628623</v>
      </c>
      <c r="O678" s="421">
        <f>DelivOIL!$G93*DelivOIL!W$82^5/(Conv!$I$5*Conv!$D$46)/10^6 + OILTrade!$I$7</f>
        <v>3.4804663204628623</v>
      </c>
      <c r="P678" s="421">
        <f>DelivOIL!$G93*DelivOIL!X$82^5/(Conv!$I$5*Conv!$D$46)/10^6 + OILTrade!$I$7</f>
        <v>3.4804663204628623</v>
      </c>
      <c r="Q678" s="421">
        <f>DelivOIL!$G93*DelivOIL!Y$82^5/(Conv!$I$5*Conv!$D$46)/10^6 + OILTrade!$I$7</f>
        <v>3.4804663204628623</v>
      </c>
      <c r="S678" s="395"/>
      <c r="T678" s="395"/>
      <c r="U678" s="395"/>
      <c r="V678" s="395"/>
      <c r="W678" s="395"/>
      <c r="X678" s="395"/>
      <c r="Y678" s="395"/>
      <c r="Z678" s="395"/>
      <c r="AA678" s="395"/>
      <c r="AB678" s="395"/>
      <c r="AC678" s="395"/>
    </row>
    <row r="679" spans="2:29">
      <c r="B679" s="376" t="str">
        <f>IF(LEFT(Technologies!B$713,1)="*","*","R6")</f>
        <v>*</v>
      </c>
      <c r="C679" s="376" t="str">
        <f>Technologies!C713</f>
        <v>XITRNMTHP1</v>
      </c>
      <c r="D679" s="376" t="str">
        <f>Technologies!D713</f>
        <v>Delivery of Imported Methanol</v>
      </c>
      <c r="E679" s="415" t="str">
        <f>Commodities!C$329</f>
        <v>MTHP1</v>
      </c>
      <c r="F679" s="415" t="str">
        <f>Commodities!C101</f>
        <v>TRNMTH</v>
      </c>
      <c r="G679" s="422">
        <v>1</v>
      </c>
      <c r="H679" s="421">
        <f>DelivOIL!$G94*DelivOIL!P$82^5/(Conv!$I$5*Conv!$D$46)/10^6 + OILTrade!$I$7</f>
        <v>3.545364459668253</v>
      </c>
      <c r="I679" s="421">
        <f>DelivOIL!$G94*DelivOIL!Q$82^5/(Conv!$I$5*Conv!$D$46)/10^6 + OILTrade!$I$7</f>
        <v>3.1735046329988603</v>
      </c>
      <c r="J679" s="421">
        <f>DelivOIL!$G94*DelivOIL!R$82^5/(Conv!$I$5*Conv!$D$46)/10^6 + OILTrade!$I$7</f>
        <v>3.5998347963677859</v>
      </c>
      <c r="K679" s="421">
        <f>DelivOIL!$G94*DelivOIL!S$82^5/(Conv!$I$5*Conv!$D$46)/10^6 + OILTrade!$I$7</f>
        <v>4.1225260014956708</v>
      </c>
      <c r="L679" s="421">
        <f>DelivOIL!$G94*DelivOIL!T$82^5/(Conv!$I$5*Conv!$D$46)/10^6 + OILTrade!$I$7</f>
        <v>3.771539961458267</v>
      </c>
      <c r="M679" s="421">
        <f>DelivOIL!$G94*DelivOIL!U$82^5/(Conv!$I$5*Conv!$D$46)/10^6 + OILTrade!$I$7</f>
        <v>3.5980963949119062</v>
      </c>
      <c r="N679" s="421">
        <f>DelivOIL!$G94*DelivOIL!V$82^5/(Conv!$I$5*Conv!$D$46)/10^6 + OILTrade!$I$7</f>
        <v>3.5980963949119062</v>
      </c>
      <c r="O679" s="421">
        <f>DelivOIL!$G94*DelivOIL!W$82^5/(Conv!$I$5*Conv!$D$46)/10^6 + OILTrade!$I$7</f>
        <v>3.5980963949119062</v>
      </c>
      <c r="P679" s="421">
        <f>DelivOIL!$G94*DelivOIL!X$82^5/(Conv!$I$5*Conv!$D$46)/10^6 + OILTrade!$I$7</f>
        <v>3.5980963949119062</v>
      </c>
      <c r="Q679" s="421">
        <f>DelivOIL!$G94*DelivOIL!Y$82^5/(Conv!$I$5*Conv!$D$46)/10^6 + OILTrade!$I$7</f>
        <v>3.5980963949119062</v>
      </c>
      <c r="S679" s="395"/>
      <c r="T679" s="395"/>
      <c r="U679" s="395"/>
      <c r="V679" s="395"/>
      <c r="W679" s="395"/>
      <c r="X679" s="395"/>
      <c r="Y679" s="395"/>
      <c r="Z679" s="395"/>
      <c r="AA679" s="395"/>
      <c r="AB679" s="395"/>
      <c r="AC679" s="395"/>
    </row>
    <row r="680" spans="2:29">
      <c r="B680" s="376" t="str">
        <f>IF(OR(LEFT(Commodities!B$102,1)="*",LEFT(Technologies!B$714,1)="*"),"*","R6")</f>
        <v>*</v>
      </c>
      <c r="C680" s="376" t="str">
        <f>Technologies!C714</f>
        <v>XIINDPFSP1</v>
      </c>
      <c r="D680" s="376" t="str">
        <f>Technologies!D714</f>
        <v>Delivery of Imported Petrochemical Feedstocks</v>
      </c>
      <c r="E680" s="415" t="str">
        <f>Commodities!C$330</f>
        <v>PFSP1</v>
      </c>
      <c r="F680" s="415" t="str">
        <f>Commodities!C102</f>
        <v>INDPFS</v>
      </c>
      <c r="G680" s="422">
        <v>1</v>
      </c>
      <c r="H680" s="421">
        <f>DelivOIL!$G95*DelivOIL!P$82^5/(Conv!$I$5*Conv!$D$46)/10^6 + OILTrade!$I$7</f>
        <v>1.2067875180024625</v>
      </c>
      <c r="I680" s="421">
        <f>DelivOIL!$G95*DelivOIL!Q$82^5/(Conv!$I$5*Conv!$D$46)/10^6 + OILTrade!$I$7</f>
        <v>1.0802121539246119</v>
      </c>
      <c r="J680" s="421">
        <f>DelivOIL!$G95*DelivOIL!R$82^5/(Conv!$I$5*Conv!$D$46)/10^6 + OILTrade!$I$7</f>
        <v>1.2253283826098036</v>
      </c>
      <c r="K680" s="421">
        <f>DelivOIL!$G95*DelivOIL!S$82^5/(Conv!$I$5*Conv!$D$46)/10^6 + OILTrade!$I$7</f>
        <v>1.4032444274321796</v>
      </c>
      <c r="L680" s="421">
        <f>DelivOIL!$G95*DelivOIL!T$82^5/(Conv!$I$5*Conv!$D$46)/10^6 + OILTrade!$I$7</f>
        <v>1.2837741791886792</v>
      </c>
      <c r="M680" s="421">
        <f>DelivOIL!$G95*DelivOIL!U$82^5/(Conv!$I$5*Conv!$D$46)/10^6 + OILTrade!$I$7</f>
        <v>1.2247366574988598</v>
      </c>
      <c r="N680" s="421">
        <f>DelivOIL!$G95*DelivOIL!V$82^5/(Conv!$I$5*Conv!$D$46)/10^6 + OILTrade!$I$7</f>
        <v>1.2247366574988598</v>
      </c>
      <c r="O680" s="421">
        <f>DelivOIL!$G95*DelivOIL!W$82^5/(Conv!$I$5*Conv!$D$46)/10^6 + OILTrade!$I$7</f>
        <v>1.2247366574988598</v>
      </c>
      <c r="P680" s="421">
        <f>DelivOIL!$G95*DelivOIL!X$82^5/(Conv!$I$5*Conv!$D$46)/10^6 + OILTrade!$I$7</f>
        <v>1.2247366574988598</v>
      </c>
      <c r="Q680" s="421">
        <f>DelivOIL!$G95*DelivOIL!Y$82^5/(Conv!$I$5*Conv!$D$46)/10^6 + OILTrade!$I$7</f>
        <v>1.2247366574988598</v>
      </c>
      <c r="S680" s="395"/>
      <c r="T680" s="395"/>
      <c r="U680" s="395"/>
      <c r="V680" s="395"/>
      <c r="W680" s="395"/>
      <c r="X680" s="395"/>
      <c r="Y680" s="395"/>
      <c r="Z680" s="395"/>
      <c r="AA680" s="395"/>
      <c r="AB680" s="395"/>
      <c r="AC680" s="395"/>
    </row>
    <row r="681" spans="2:29">
      <c r="B681" s="376" t="str">
        <f>IF(OR(LEFT(Commodities!B$332,1)="*",LEFT(Technologies!B$715,1)="*"),"*","R6")</f>
        <v>*</v>
      </c>
      <c r="C681" s="376" t="str">
        <f>Technologies!C715</f>
        <v>XIRESRFLP1</v>
      </c>
      <c r="D681" s="376" t="str">
        <f>Technologies!D715</f>
        <v>Delivery of Imported Low Sulfur Residual Fuel Oil to Residential Sector</v>
      </c>
      <c r="E681" s="415" t="str">
        <f>Commodities!C$332</f>
        <v>RFLP1</v>
      </c>
      <c r="F681" s="415" t="str">
        <f>Commodities!C103</f>
        <v>RESRFL</v>
      </c>
      <c r="G681" s="422">
        <v>1</v>
      </c>
      <c r="H681" s="421">
        <f>DelivOIL!$G96*DelivOIL!P$82^5/(Conv!$I$5*Conv!$D$46)/10^6 + OILTrade!$I$7</f>
        <v>0.25226631732254895</v>
      </c>
      <c r="I681" s="421">
        <f>DelivOIL!$G96*DelivOIL!Q$82^5/(Conv!$I$5*Conv!$D$46)/10^6 + OILTrade!$I$7</f>
        <v>0.22580706042491908</v>
      </c>
      <c r="J681" s="421">
        <f>DelivOIL!$G96*DelivOIL!R$82^5/(Conv!$I$5*Conv!$D$46)/10^6 + OILTrade!$I$7</f>
        <v>0.25614209128001575</v>
      </c>
      <c r="K681" s="421">
        <f>DelivOIL!$G96*DelivOIL!S$82^5/(Conv!$I$5*Conv!$D$46)/10^6 + OILTrade!$I$7</f>
        <v>0.2933335808756537</v>
      </c>
      <c r="L681" s="421">
        <f>DelivOIL!$G96*DelivOIL!T$82^5/(Conv!$I$5*Conv!$D$46)/10^6 + OILTrade!$I$7</f>
        <v>0.26835957418068457</v>
      </c>
      <c r="M681" s="421">
        <f>DelivOIL!$G96*DelivOIL!U$82^5/(Conv!$I$5*Conv!$D$46)/10^6 + OILTrade!$I$7</f>
        <v>0.25601839733027038</v>
      </c>
      <c r="N681" s="421">
        <f>DelivOIL!$G96*DelivOIL!V$82^5/(Conv!$I$5*Conv!$D$46)/10^6 + OILTrade!$I$7</f>
        <v>0.25601839733027038</v>
      </c>
      <c r="O681" s="421">
        <f>DelivOIL!$G96*DelivOIL!W$82^5/(Conv!$I$5*Conv!$D$46)/10^6 + OILTrade!$I$7</f>
        <v>0.25601839733027038</v>
      </c>
      <c r="P681" s="421">
        <f>DelivOIL!$G96*DelivOIL!X$82^5/(Conv!$I$5*Conv!$D$46)/10^6 + OILTrade!$I$7</f>
        <v>0.25601839733027038</v>
      </c>
      <c r="Q681" s="421">
        <f>DelivOIL!$G96*DelivOIL!Y$82^5/(Conv!$I$5*Conv!$D$46)/10^6 + OILTrade!$I$7</f>
        <v>0.25601839733027038</v>
      </c>
      <c r="S681" s="395"/>
      <c r="T681" s="395"/>
      <c r="U681" s="395"/>
      <c r="V681" s="395"/>
      <c r="W681" s="395"/>
      <c r="X681" s="395"/>
      <c r="Y681" s="395"/>
      <c r="Z681" s="395"/>
      <c r="AA681" s="395"/>
      <c r="AB681" s="395"/>
      <c r="AC681" s="395"/>
    </row>
    <row r="682" spans="2:29">
      <c r="B682" s="376" t="str">
        <f>IF(OR(LEFT(Commodities!B$332,1)="*",LEFT(Technologies!B$716,1)="*"),"*","R6")</f>
        <v>*</v>
      </c>
      <c r="C682" s="376" t="str">
        <f>Technologies!C716</f>
        <v>XICOMRFLP1</v>
      </c>
      <c r="D682" s="376" t="str">
        <f>Technologies!D716</f>
        <v>Delivery of Imported Low Sulfur Residual Fuel Oil to Commercial Sector</v>
      </c>
      <c r="E682" s="415" t="str">
        <f>Commodities!C$332</f>
        <v>RFLP1</v>
      </c>
      <c r="F682" s="415" t="str">
        <f>Commodities!C104</f>
        <v>COMRFL</v>
      </c>
      <c r="G682" s="422">
        <v>1</v>
      </c>
      <c r="H682" s="421">
        <f>DelivOIL!$G96*DelivOIL!P$82^5/(Conv!$I$5*Conv!$D$46)/10^6 + OILTrade!$I$7</f>
        <v>0.25226631732254895</v>
      </c>
      <c r="I682" s="421">
        <f>DelivOIL!$G96*DelivOIL!Q$82^5/(Conv!$I$5*Conv!$D$46)/10^6 + OILTrade!$I$7</f>
        <v>0.22580706042491908</v>
      </c>
      <c r="J682" s="421">
        <f>DelivOIL!$G96*DelivOIL!R$82^5/(Conv!$I$5*Conv!$D$46)/10^6 + OILTrade!$I$7</f>
        <v>0.25614209128001575</v>
      </c>
      <c r="K682" s="421">
        <f>DelivOIL!$G96*DelivOIL!S$82^5/(Conv!$I$5*Conv!$D$46)/10^6 + OILTrade!$I$7</f>
        <v>0.2933335808756537</v>
      </c>
      <c r="L682" s="421">
        <f>DelivOIL!$G96*DelivOIL!T$82^5/(Conv!$I$5*Conv!$D$46)/10^6 + OILTrade!$I$7</f>
        <v>0.26835957418068457</v>
      </c>
      <c r="M682" s="421">
        <f>DelivOIL!$G96*DelivOIL!U$82^5/(Conv!$I$5*Conv!$D$46)/10^6 + OILTrade!$I$7</f>
        <v>0.25601839733027038</v>
      </c>
      <c r="N682" s="421">
        <f>DelivOIL!$G96*DelivOIL!V$82^5/(Conv!$I$5*Conv!$D$46)/10^6 + OILTrade!$I$7</f>
        <v>0.25601839733027038</v>
      </c>
      <c r="O682" s="421">
        <f>DelivOIL!$G96*DelivOIL!W$82^5/(Conv!$I$5*Conv!$D$46)/10^6 + OILTrade!$I$7</f>
        <v>0.25601839733027038</v>
      </c>
      <c r="P682" s="421">
        <f>DelivOIL!$G96*DelivOIL!X$82^5/(Conv!$I$5*Conv!$D$46)/10^6 + OILTrade!$I$7</f>
        <v>0.25601839733027038</v>
      </c>
      <c r="Q682" s="421">
        <f>DelivOIL!$G96*DelivOIL!Y$82^5/(Conv!$I$5*Conv!$D$46)/10^6 + OILTrade!$I$7</f>
        <v>0.25601839733027038</v>
      </c>
      <c r="S682" s="395"/>
      <c r="T682" s="395"/>
      <c r="U682" s="395"/>
      <c r="V682" s="395"/>
      <c r="W682" s="395"/>
      <c r="X682" s="395"/>
      <c r="Y682" s="395"/>
      <c r="Z682" s="395"/>
      <c r="AA682" s="395"/>
      <c r="AB682" s="395"/>
      <c r="AC682" s="395"/>
    </row>
    <row r="683" spans="2:29">
      <c r="B683" s="376" t="str">
        <f>IF(OR(LEFT(Commodities!B$332,1)="*",LEFT(Technologies!B$717,1)="*"),"*","R6")</f>
        <v>R6</v>
      </c>
      <c r="C683" s="376" t="str">
        <f>Technologies!C717</f>
        <v>XIINDRFLP1</v>
      </c>
      <c r="D683" s="376" t="str">
        <f>Technologies!D717</f>
        <v>Delivery of Imported Low Sulfur Residual Fuel Oil to Industrial Sector</v>
      </c>
      <c r="E683" s="415" t="str">
        <f>Commodities!C$332</f>
        <v>RFLP1</v>
      </c>
      <c r="F683" s="415" t="str">
        <f>Commodities!C105</f>
        <v>INDRFL</v>
      </c>
      <c r="G683" s="422">
        <v>1</v>
      </c>
      <c r="H683" s="421">
        <f>DelivOIL!$G97*DelivOIL!P$82^5/(Conv!$I$5*Conv!$D$46)/10^6 + OILTrade!$I$7</f>
        <v>6.1362077186565958E-2</v>
      </c>
      <c r="I683" s="421">
        <f>DelivOIL!$G97*DelivOIL!Q$82^5/(Conv!$I$5*Conv!$D$46)/10^6 + OILTrade!$I$7</f>
        <v>5.4926041724980321E-2</v>
      </c>
      <c r="J683" s="421">
        <f>DelivOIL!$G97*DelivOIL!R$82^5/(Conv!$I$5*Conv!$D$46)/10^6 + OILTrade!$I$7</f>
        <v>6.2304833014057877E-2</v>
      </c>
      <c r="K683" s="421">
        <f>DelivOIL!$G97*DelivOIL!S$82^5/(Conv!$I$5*Conv!$D$46)/10^6 + OILTrade!$I$7</f>
        <v>7.1351411564348197E-2</v>
      </c>
      <c r="L683" s="421">
        <f>DelivOIL!$G97*DelivOIL!T$82^5/(Conv!$I$5*Conv!$D$46)/10^6 + OILTrade!$I$7</f>
        <v>6.5276653179085431E-2</v>
      </c>
      <c r="M683" s="421">
        <f>DelivOIL!$G97*DelivOIL!U$82^5/(Conv!$I$5*Conv!$D$46)/10^6 + OILTrade!$I$7</f>
        <v>6.2274745296552261E-2</v>
      </c>
      <c r="N683" s="421">
        <f>DelivOIL!$G97*DelivOIL!V$82^5/(Conv!$I$5*Conv!$D$46)/10^6 + OILTrade!$I$7</f>
        <v>6.2274745296552261E-2</v>
      </c>
      <c r="O683" s="421">
        <f>DelivOIL!$G97*DelivOIL!W$82^5/(Conv!$I$5*Conv!$D$46)/10^6 + OILTrade!$I$7</f>
        <v>6.2274745296552261E-2</v>
      </c>
      <c r="P683" s="421">
        <f>DelivOIL!$G97*DelivOIL!X$82^5/(Conv!$I$5*Conv!$D$46)/10^6 + OILTrade!$I$7</f>
        <v>6.2274745296552261E-2</v>
      </c>
      <c r="Q683" s="421">
        <f>DelivOIL!$G97*DelivOIL!Y$82^5/(Conv!$I$5*Conv!$D$46)/10^6 + OILTrade!$I$7</f>
        <v>6.2274745296552261E-2</v>
      </c>
      <c r="S683" s="395"/>
      <c r="T683" s="395"/>
      <c r="U683" s="395"/>
      <c r="V683" s="395"/>
      <c r="W683" s="395"/>
      <c r="X683" s="395"/>
      <c r="Y683" s="395"/>
      <c r="Z683" s="395"/>
      <c r="AA683" s="395"/>
      <c r="AB683" s="395"/>
      <c r="AC683" s="395"/>
    </row>
    <row r="684" spans="2:29">
      <c r="B684" s="376" t="str">
        <f>IF(OR(LEFT(Commodities!B$332,1)="*",LEFT(Technologies!B$718,1)="*"),"*","R6")</f>
        <v>*</v>
      </c>
      <c r="C684" s="376" t="str">
        <f>Technologies!C718</f>
        <v>XIELCRFLP1</v>
      </c>
      <c r="D684" s="376" t="str">
        <f>Technologies!D718</f>
        <v>Delivery of Imported Low Sulfur Residual Fuel Oil to Electricity Sector</v>
      </c>
      <c r="E684" s="415" t="str">
        <f>Commodities!C$332</f>
        <v>RFLP1</v>
      </c>
      <c r="F684" s="415" t="str">
        <f>Commodities!C106</f>
        <v>ELCRFL</v>
      </c>
      <c r="G684" s="422">
        <v>1</v>
      </c>
      <c r="H684" s="421">
        <f>DelivOIL!$G98*DelivOIL!P$82^5/(Conv!$I$5*Conv!$D$46)/10^6 + OILTrade!$I$7</f>
        <v>0</v>
      </c>
      <c r="I684" s="421">
        <f>DelivOIL!$G98*DelivOIL!Q$82^5/(Conv!$I$5*Conv!$D$46)/10^6 + OILTrade!$I$7</f>
        <v>0</v>
      </c>
      <c r="J684" s="421">
        <f>DelivOIL!$G98*DelivOIL!R$82^5/(Conv!$I$5*Conv!$D$46)/10^6 + OILTrade!$I$7</f>
        <v>0</v>
      </c>
      <c r="K684" s="421">
        <f>DelivOIL!$G98*DelivOIL!S$82^5/(Conv!$I$5*Conv!$D$46)/10^6 + OILTrade!$I$7</f>
        <v>0</v>
      </c>
      <c r="L684" s="421">
        <f>DelivOIL!$G98*DelivOIL!T$82^5/(Conv!$I$5*Conv!$D$46)/10^6 + OILTrade!$I$7</f>
        <v>0</v>
      </c>
      <c r="M684" s="421">
        <f>DelivOIL!$G98*DelivOIL!U$82^5/(Conv!$I$5*Conv!$D$46)/10^6 + OILTrade!$I$7</f>
        <v>0</v>
      </c>
      <c r="N684" s="421">
        <f>DelivOIL!$G98*DelivOIL!V$82^5/(Conv!$I$5*Conv!$D$46)/10^6 + OILTrade!$I$7</f>
        <v>0</v>
      </c>
      <c r="O684" s="421">
        <f>DelivOIL!$G98*DelivOIL!W$82^5/(Conv!$I$5*Conv!$D$46)/10^6 + OILTrade!$I$7</f>
        <v>0</v>
      </c>
      <c r="P684" s="421">
        <f>DelivOIL!$G98*DelivOIL!X$82^5/(Conv!$I$5*Conv!$D$46)/10^6 + OILTrade!$I$7</f>
        <v>0</v>
      </c>
      <c r="Q684" s="421">
        <f>DelivOIL!$G98*DelivOIL!Y$82^5/(Conv!$I$5*Conv!$D$46)/10^6 + OILTrade!$I$7</f>
        <v>0</v>
      </c>
      <c r="S684" s="395"/>
      <c r="T684" s="395"/>
      <c r="U684" s="395"/>
      <c r="V684" s="395"/>
      <c r="W684" s="395"/>
      <c r="X684" s="395"/>
      <c r="Y684" s="395"/>
      <c r="Z684" s="395"/>
      <c r="AA684" s="395"/>
      <c r="AB684" s="395"/>
      <c r="AC684" s="395"/>
    </row>
    <row r="685" spans="2:29">
      <c r="B685" s="376" t="str">
        <f>IF(OR(LEFT(Commodities!B$331,1)="*",LEFT(Technologies!B$719,1)="*"),"*","R6")</f>
        <v>*</v>
      </c>
      <c r="C685" s="376" t="str">
        <f>Technologies!C719</f>
        <v>XITRNRFHP1</v>
      </c>
      <c r="D685" s="376" t="str">
        <f>Technologies!D719</f>
        <v>Delivery of Imported High Sulfur Residual Fuel Oil to Transportation Sector</v>
      </c>
      <c r="E685" s="415" t="str">
        <f>Commodities!C$331</f>
        <v>RFHP1</v>
      </c>
      <c r="F685" s="415" t="str">
        <f>Commodities!C107</f>
        <v>TRNRFH</v>
      </c>
      <c r="G685" s="422">
        <v>1</v>
      </c>
      <c r="H685" s="421">
        <f>DelivOIL!$G99*DelivOIL!P$82^5/(Conv!$I$5*Conv!$D$46)/10^6 + OILTrade!$I$7</f>
        <v>0</v>
      </c>
      <c r="I685" s="421">
        <f>DelivOIL!$G99*DelivOIL!Q$82^5/(Conv!$I$5*Conv!$D$46)/10^6 + OILTrade!$I$7</f>
        <v>0</v>
      </c>
      <c r="J685" s="421">
        <f>DelivOIL!$G99*DelivOIL!R$82^5/(Conv!$I$5*Conv!$D$46)/10^6 + OILTrade!$I$7</f>
        <v>0</v>
      </c>
      <c r="K685" s="421">
        <f>DelivOIL!$G99*DelivOIL!S$82^5/(Conv!$I$5*Conv!$D$46)/10^6 + OILTrade!$I$7</f>
        <v>0</v>
      </c>
      <c r="L685" s="421">
        <f>DelivOIL!$G99*DelivOIL!T$82^5/(Conv!$I$5*Conv!$D$46)/10^6 + OILTrade!$I$7</f>
        <v>0</v>
      </c>
      <c r="M685" s="421">
        <f>DelivOIL!$G99*DelivOIL!U$82^5/(Conv!$I$5*Conv!$D$46)/10^6 + OILTrade!$I$7</f>
        <v>0</v>
      </c>
      <c r="N685" s="421">
        <f>DelivOIL!$G99*DelivOIL!V$82^5/(Conv!$I$5*Conv!$D$46)/10^6 + OILTrade!$I$7</f>
        <v>0</v>
      </c>
      <c r="O685" s="421">
        <f>DelivOIL!$G99*DelivOIL!W$82^5/(Conv!$I$5*Conv!$D$46)/10^6 + OILTrade!$I$7</f>
        <v>0</v>
      </c>
      <c r="P685" s="421">
        <f>DelivOIL!$G99*DelivOIL!X$82^5/(Conv!$I$5*Conv!$D$46)/10^6 + OILTrade!$I$7</f>
        <v>0</v>
      </c>
      <c r="Q685" s="421">
        <f>DelivOIL!$G99*DelivOIL!Y$82^5/(Conv!$I$5*Conv!$D$46)/10^6 + OILTrade!$I$7</f>
        <v>0</v>
      </c>
      <c r="S685" s="395"/>
      <c r="T685" s="395"/>
      <c r="U685" s="395"/>
      <c r="V685" s="395"/>
      <c r="W685" s="395"/>
      <c r="X685" s="395"/>
      <c r="Y685" s="395"/>
      <c r="Z685" s="395"/>
      <c r="AA685" s="395"/>
      <c r="AB685" s="395"/>
      <c r="AC685" s="395"/>
    </row>
    <row r="686" spans="2:29">
      <c r="B686" s="376" t="str">
        <f>IF(OR(LEFT(Commodities!B$331,1)="*",LEFT(Technologies!B$720,1)="*"),"*","R6")</f>
        <v>*</v>
      </c>
      <c r="C686" s="376" t="str">
        <f>Technologies!C720</f>
        <v>XIELCRFHP1</v>
      </c>
      <c r="D686" s="376" t="str">
        <f>Technologies!D720</f>
        <v>Delivery of Imported High Sulfur Residual Fuel Oil to Electricity Sector</v>
      </c>
      <c r="E686" s="415" t="str">
        <f>Commodities!C$331</f>
        <v>RFHP1</v>
      </c>
      <c r="F686" s="415" t="str">
        <f>Commodities!C108</f>
        <v>ELCRFH</v>
      </c>
      <c r="G686" s="422">
        <v>1</v>
      </c>
      <c r="H686" s="421">
        <f>DelivOIL!$G100*DelivOIL!P$82^5/(Conv!$I$5*Conv!$D$46)/10^6 + OILTrade!$I$7</f>
        <v>0</v>
      </c>
      <c r="I686" s="421">
        <f>DelivOIL!$G100*DelivOIL!Q$82^5/(Conv!$I$5*Conv!$D$46)/10^6 + OILTrade!$I$7</f>
        <v>0</v>
      </c>
      <c r="J686" s="421">
        <f>DelivOIL!$G100*DelivOIL!R$82^5/(Conv!$I$5*Conv!$D$46)/10^6 + OILTrade!$I$7</f>
        <v>0</v>
      </c>
      <c r="K686" s="421">
        <f>DelivOIL!$G100*DelivOIL!S$82^5/(Conv!$I$5*Conv!$D$46)/10^6 + OILTrade!$I$7</f>
        <v>0</v>
      </c>
      <c r="L686" s="421">
        <f>DelivOIL!$G100*DelivOIL!T$82^5/(Conv!$I$5*Conv!$D$46)/10^6 + OILTrade!$I$7</f>
        <v>0</v>
      </c>
      <c r="M686" s="421">
        <f>DelivOIL!$G100*DelivOIL!U$82^5/(Conv!$I$5*Conv!$D$46)/10^6 + OILTrade!$I$7</f>
        <v>0</v>
      </c>
      <c r="N686" s="421">
        <f>DelivOIL!$G100*DelivOIL!V$82^5/(Conv!$I$5*Conv!$D$46)/10^6 + OILTrade!$I$7</f>
        <v>0</v>
      </c>
      <c r="O686" s="421">
        <f>DelivOIL!$G100*DelivOIL!W$82^5/(Conv!$I$5*Conv!$D$46)/10^6 + OILTrade!$I$7</f>
        <v>0</v>
      </c>
      <c r="P686" s="421">
        <f>DelivOIL!$G100*DelivOIL!X$82^5/(Conv!$I$5*Conv!$D$46)/10^6 + OILTrade!$I$7</f>
        <v>0</v>
      </c>
      <c r="Q686" s="421">
        <f>DelivOIL!$G100*DelivOIL!Y$82^5/(Conv!$I$5*Conv!$D$46)/10^6 + OILTrade!$I$7</f>
        <v>0</v>
      </c>
      <c r="S686" s="395"/>
      <c r="T686" s="395"/>
      <c r="U686" s="395"/>
      <c r="V686" s="395"/>
      <c r="W686" s="395"/>
      <c r="X686" s="395"/>
      <c r="Y686" s="395"/>
      <c r="Z686" s="395"/>
      <c r="AA686" s="395"/>
      <c r="AB686" s="395"/>
      <c r="AC686" s="395"/>
    </row>
    <row r="687" spans="2:29">
      <c r="B687" s="376" t="s">
        <v>588</v>
      </c>
      <c r="C687" s="376"/>
      <c r="D687" s="376"/>
      <c r="E687" s="415"/>
      <c r="F687" s="415"/>
      <c r="G687" s="422"/>
      <c r="H687" s="423"/>
      <c r="I687" s="423"/>
      <c r="J687" s="423"/>
      <c r="K687" s="423"/>
      <c r="L687" s="423"/>
      <c r="M687" s="423"/>
      <c r="N687" s="423"/>
      <c r="O687" s="423"/>
      <c r="P687" s="423"/>
      <c r="Q687" s="423"/>
    </row>
    <row r="690" spans="2:29" ht="17.25" customHeight="1">
      <c r="F690" s="410"/>
    </row>
    <row r="691" spans="2:29" ht="15.75" customHeight="1">
      <c r="B691" s="371" t="s">
        <v>739</v>
      </c>
      <c r="C691" s="371" t="s">
        <v>375</v>
      </c>
      <c r="D691" s="371" t="s">
        <v>376</v>
      </c>
      <c r="E691" s="371" t="s">
        <v>378</v>
      </c>
      <c r="F691" s="371" t="s">
        <v>379</v>
      </c>
      <c r="G691" s="371" t="s">
        <v>2538</v>
      </c>
      <c r="H691" s="371" t="s">
        <v>2540</v>
      </c>
      <c r="I691" s="371" t="s">
        <v>2541</v>
      </c>
      <c r="J691" s="371" t="s">
        <v>2542</v>
      </c>
      <c r="K691" s="371" t="s">
        <v>2543</v>
      </c>
      <c r="L691" s="371" t="s">
        <v>2544</v>
      </c>
      <c r="M691" s="371" t="s">
        <v>2545</v>
      </c>
      <c r="N691" s="371" t="s">
        <v>2546</v>
      </c>
      <c r="O691" s="371" t="s">
        <v>2547</v>
      </c>
      <c r="P691" s="371" t="s">
        <v>2548</v>
      </c>
      <c r="Q691" s="371" t="s">
        <v>2549</v>
      </c>
      <c r="S691" s="407"/>
      <c r="T691" s="407"/>
      <c r="U691" s="407"/>
      <c r="V691" s="407"/>
      <c r="W691" s="407"/>
      <c r="X691" s="407"/>
      <c r="Y691" s="407"/>
      <c r="Z691" s="407"/>
      <c r="AA691" s="407"/>
      <c r="AB691" s="407"/>
      <c r="AC691" s="407"/>
    </row>
    <row r="692" spans="2:29">
      <c r="B692" s="420" t="s">
        <v>2471</v>
      </c>
      <c r="C692" s="419"/>
      <c r="D692" s="419"/>
      <c r="E692" s="418"/>
      <c r="F692" s="418"/>
      <c r="G692" s="418"/>
      <c r="H692" s="419"/>
      <c r="I692" s="419"/>
      <c r="J692" s="419"/>
      <c r="K692" s="419"/>
      <c r="L692" s="419"/>
      <c r="M692" s="419"/>
      <c r="N692" s="419"/>
      <c r="O692" s="419"/>
      <c r="P692" s="419"/>
      <c r="Q692" s="419"/>
    </row>
    <row r="693" spans="2:29">
      <c r="B693" s="420" t="s">
        <v>1091</v>
      </c>
      <c r="C693" s="419"/>
      <c r="D693" s="419"/>
      <c r="E693" s="418"/>
      <c r="F693" s="418"/>
      <c r="G693" s="418"/>
      <c r="H693" s="419"/>
      <c r="I693" s="419"/>
      <c r="J693" s="419"/>
      <c r="K693" s="419"/>
      <c r="L693" s="419"/>
      <c r="M693" s="419"/>
      <c r="N693" s="419"/>
      <c r="O693" s="419"/>
      <c r="P693" s="419"/>
      <c r="Q693" s="419"/>
    </row>
    <row r="694" spans="2:29">
      <c r="B694" s="376" t="str">
        <f>IF(LEFT(Technologies!B$702,1)="*","*","R1")</f>
        <v>R1</v>
      </c>
      <c r="C694" s="376" t="str">
        <f>Technologies!C$722</f>
        <v>XITRGSLCP2</v>
      </c>
      <c r="D694" s="376" t="str">
        <f>Technologies!D702</f>
        <v>Delivery of Imported Conventional Gasoline</v>
      </c>
      <c r="E694" s="415" t="str">
        <f>Commodities!C$336</f>
        <v>GSCP2</v>
      </c>
      <c r="F694" s="415" t="str">
        <f>Commodities!C85</f>
        <v>TRGSLC</v>
      </c>
      <c r="G694" s="422">
        <v>1</v>
      </c>
      <c r="H694" s="421">
        <f>DelivOIL!$B77*DelivOIL!P$77^5/(Conv!$I$5*Conv!$D$46)/10^6 + OILTrade!$D$5</f>
        <v>3.5590004768208217</v>
      </c>
      <c r="I694" s="421">
        <f>DelivOIL!$B77*DelivOIL!Q$77^5/(Conv!$I$5*Conv!$D$46)/10^6 + OILTrade!$D$5</f>
        <v>3.5401933264323509</v>
      </c>
      <c r="J694" s="421">
        <f>DelivOIL!$B77*DelivOIL!R$77^5/(Conv!$I$5*Conv!$D$46)/10^6 + OILTrade!$D$5</f>
        <v>3.7243148569014748</v>
      </c>
      <c r="K694" s="421">
        <f>DelivOIL!$B77*DelivOIL!S$77^5/(Conv!$I$5*Conv!$D$46)/10^6 + OILTrade!$D$5</f>
        <v>4.486384764561711</v>
      </c>
      <c r="L694" s="421">
        <f>DelivOIL!$B77*DelivOIL!T$77^5/(Conv!$I$5*Conv!$D$46)/10^6 + OILTrade!$D$5</f>
        <v>4.1143480194576521</v>
      </c>
      <c r="M694" s="421">
        <f>DelivOIL!$B77*DelivOIL!U$77^5/(Conv!$I$5*Conv!$D$46)/10^6 + OILTrade!$D$5</f>
        <v>3.6461208496214592</v>
      </c>
      <c r="N694" s="421">
        <f>DelivOIL!$B77*DelivOIL!V$77^5/(Conv!$I$5*Conv!$D$46)/10^6 + OILTrade!$D$5</f>
        <v>3.6461208496214592</v>
      </c>
      <c r="O694" s="421">
        <f>DelivOIL!$B77*DelivOIL!W$77^5/(Conv!$I$5*Conv!$D$46)/10^6 + OILTrade!$D$5</f>
        <v>3.6461208496214592</v>
      </c>
      <c r="P694" s="421">
        <f>DelivOIL!$B77*DelivOIL!X$77^5/(Conv!$I$5*Conv!$D$46)/10^6 + OILTrade!$D$5</f>
        <v>3.6461208496214592</v>
      </c>
      <c r="Q694" s="421">
        <f>DelivOIL!$B77*DelivOIL!Y$77^5/(Conv!$I$5*Conv!$D$46)/10^6 + OILTrade!$D$5</f>
        <v>3.6461208496214592</v>
      </c>
      <c r="S694" s="395"/>
      <c r="T694" s="395"/>
      <c r="U694" s="395"/>
      <c r="V694" s="395"/>
      <c r="W694" s="395"/>
      <c r="X694" s="395"/>
      <c r="Y694" s="395"/>
      <c r="Z694" s="395"/>
      <c r="AA694" s="395"/>
      <c r="AB694" s="395"/>
      <c r="AC694" s="395"/>
    </row>
    <row r="695" spans="2:29">
      <c r="B695" s="376" t="str">
        <f>IF(LEFT(Technologies!B$703,1)="*","*","R1")</f>
        <v>R1</v>
      </c>
      <c r="C695" s="376" t="str">
        <f>Technologies!C$723</f>
        <v>XITRGSLRP2</v>
      </c>
      <c r="D695" s="376" t="str">
        <f>Technologies!D703</f>
        <v>Delivery of Imported Reformulated Gasoline</v>
      </c>
      <c r="E695" s="415" t="str">
        <f>Commodities!C$337</f>
        <v>GSRP2</v>
      </c>
      <c r="F695" s="415" t="str">
        <f>Commodities!C86</f>
        <v>TRGSLR</v>
      </c>
      <c r="G695" s="422">
        <v>1</v>
      </c>
      <c r="H695" s="421">
        <f>DelivOIL!$B78*DelivOIL!P$77^5/(Conv!$I$5*Conv!$D$46)/10^6 + OILTrade!$D$5</f>
        <v>3.2521900908879937</v>
      </c>
      <c r="I695" s="421">
        <f>DelivOIL!$B78*DelivOIL!Q$77^5/(Conv!$I$5*Conv!$D$46)/10^6 + OILTrade!$D$5</f>
        <v>3.2350042465674944</v>
      </c>
      <c r="J695" s="421">
        <f>DelivOIL!$B78*DelivOIL!R$77^5/(Conv!$I$5*Conv!$D$46)/10^6 + OILTrade!$D$5</f>
        <v>3.4032532313065218</v>
      </c>
      <c r="K695" s="421">
        <f>DelivOIL!$B78*DelivOIL!S$77^5/(Conv!$I$5*Conv!$D$46)/10^6 + OILTrade!$D$5</f>
        <v>4.09962745727191</v>
      </c>
      <c r="L695" s="421">
        <f>DelivOIL!$B78*DelivOIL!T$77^5/(Conv!$I$5*Conv!$D$46)/10^6 + OILTrade!$D$5</f>
        <v>3.7596628453664769</v>
      </c>
      <c r="M695" s="421">
        <f>DelivOIL!$B78*DelivOIL!U$77^5/(Conv!$I$5*Conv!$D$46)/10^6 + OILTrade!$D$5</f>
        <v>3.3318000867230588</v>
      </c>
      <c r="N695" s="421">
        <f>DelivOIL!$B78*DelivOIL!V$77^5/(Conv!$I$5*Conv!$D$46)/10^6 + OILTrade!$D$5</f>
        <v>3.3318000867230588</v>
      </c>
      <c r="O695" s="421">
        <f>DelivOIL!$B78*DelivOIL!W$77^5/(Conv!$I$5*Conv!$D$46)/10^6 + OILTrade!$D$5</f>
        <v>3.3318000867230588</v>
      </c>
      <c r="P695" s="421">
        <f>DelivOIL!$B78*DelivOIL!X$77^5/(Conv!$I$5*Conv!$D$46)/10^6 + OILTrade!$D$5</f>
        <v>3.3318000867230588</v>
      </c>
      <c r="Q695" s="421">
        <f>DelivOIL!$B78*DelivOIL!Y$77^5/(Conv!$I$5*Conv!$D$46)/10^6 + OILTrade!$D$5</f>
        <v>3.3318000867230588</v>
      </c>
      <c r="S695" s="395"/>
      <c r="T695" s="395"/>
      <c r="U695" s="395"/>
      <c r="V695" s="395"/>
      <c r="W695" s="395"/>
      <c r="X695" s="395"/>
      <c r="Y695" s="395"/>
      <c r="Z695" s="395"/>
      <c r="AA695" s="395"/>
      <c r="AB695" s="395"/>
      <c r="AC695" s="395"/>
    </row>
    <row r="696" spans="2:29">
      <c r="B696" s="376" t="str">
        <f>IF(OR(LEFT(Commodities!B$65,1)="*",LEFT(Technologies!B$233,1)="*"),"*","R1")</f>
        <v>R1</v>
      </c>
      <c r="C696" s="376" t="str">
        <f>Technologies!C$724</f>
        <v>XIRESDSLP2</v>
      </c>
      <c r="D696" s="376" t="str">
        <f>Technologies!D233</f>
        <v>Delivery of Imported Distillate-Heating Oil No. 2 to the Residential Sector</v>
      </c>
      <c r="E696" s="415" t="str">
        <f>Commodities!C$67</f>
        <v>DSHP2</v>
      </c>
      <c r="F696" s="415" t="str">
        <f>Commodities!C87</f>
        <v>RESDSL</v>
      </c>
      <c r="G696" s="422">
        <v>1</v>
      </c>
      <c r="H696" s="421">
        <f>DelivOIL!$B80*DelivOIL!P$77^5/(Conv!$I$5*Conv!$D$46)/10^6 + OILTrade!$D$5</f>
        <v>3.0749218679045796</v>
      </c>
      <c r="I696" s="421">
        <f>DelivOIL!$B80*DelivOIL!Q$77^5/(Conv!$I$5*Conv!$D$46)/10^6 + OILTrade!$D$5</f>
        <v>3.0586727782011311</v>
      </c>
      <c r="J696" s="421">
        <f>DelivOIL!$B80*DelivOIL!R$77^5/(Conv!$I$5*Conv!$D$46)/10^6 + OILTrade!$D$5</f>
        <v>3.2177509587405466</v>
      </c>
      <c r="K696" s="421">
        <f>DelivOIL!$B80*DelivOIL!S$77^5/(Conv!$I$5*Conv!$D$46)/10^6 + OILTrade!$D$5</f>
        <v>3.8761676797266897</v>
      </c>
      <c r="L696" s="421">
        <f>DelivOIL!$B80*DelivOIL!T$77^5/(Conv!$I$5*Conv!$D$46)/10^6 + OILTrade!$D$5</f>
        <v>3.5547336336693514</v>
      </c>
      <c r="M696" s="421">
        <f>DelivOIL!$B80*DelivOIL!U$77^5/(Conv!$I$5*Conv!$D$46)/10^6 + OILTrade!$D$5</f>
        <v>3.1501925348262039</v>
      </c>
      <c r="N696" s="421">
        <f>DelivOIL!$B80*DelivOIL!V$77^5/(Conv!$I$5*Conv!$D$46)/10^6 + OILTrade!$D$5</f>
        <v>3.1501925348262039</v>
      </c>
      <c r="O696" s="421">
        <f>DelivOIL!$B80*DelivOIL!W$77^5/(Conv!$I$5*Conv!$D$46)/10^6 + OILTrade!$D$5</f>
        <v>3.1501925348262039</v>
      </c>
      <c r="P696" s="421">
        <f>DelivOIL!$B80*DelivOIL!X$77^5/(Conv!$I$5*Conv!$D$46)/10^6 + OILTrade!$D$5</f>
        <v>3.1501925348262039</v>
      </c>
      <c r="Q696" s="421">
        <f>DelivOIL!$B80*DelivOIL!Y$77^5/(Conv!$I$5*Conv!$D$46)/10^6 + OILTrade!$D$5</f>
        <v>3.1501925348262039</v>
      </c>
      <c r="S696" s="395"/>
      <c r="T696" s="395"/>
      <c r="U696" s="395"/>
      <c r="V696" s="395"/>
      <c r="W696" s="395"/>
      <c r="X696" s="395"/>
      <c r="Y696" s="395"/>
      <c r="Z696" s="395"/>
      <c r="AA696" s="395"/>
      <c r="AB696" s="395"/>
      <c r="AC696" s="395"/>
    </row>
    <row r="697" spans="2:29">
      <c r="B697" s="376" t="str">
        <f>IF(OR(LEFT(Commodities!B$65,1)="*",LEFT(Technologies!B$234,1)="*"),"*","R1")</f>
        <v>R1</v>
      </c>
      <c r="C697" s="376" t="str">
        <f>Technologies!C$725</f>
        <v>XICOMDSLP2</v>
      </c>
      <c r="D697" s="376" t="str">
        <f>Technologies!D234</f>
        <v>Delivery of Imported Distillate-Heating Oil No. 2 to the Commercial Sector</v>
      </c>
      <c r="E697" s="415" t="str">
        <f>Commodities!C$67</f>
        <v>DSHP2</v>
      </c>
      <c r="F697" s="415" t="str">
        <f>Commodities!C88</f>
        <v>COMDSL</v>
      </c>
      <c r="G697" s="422">
        <v>1</v>
      </c>
      <c r="H697" s="421">
        <f>DelivOIL!$B81*DelivOIL!P$77^5/(Conv!$I$5*Conv!$D$46)/10^6 + OILTrade!$D$5</f>
        <v>1.6635940926135653</v>
      </c>
      <c r="I697" s="421">
        <f>DelivOIL!$B81*DelivOIL!Q$77^5/(Conv!$I$5*Conv!$D$46)/10^6 + OILTrade!$D$5</f>
        <v>1.6548030108227858</v>
      </c>
      <c r="J697" s="421">
        <f>DelivOIL!$B81*DelivOIL!R$77^5/(Conv!$I$5*Conv!$D$46)/10^6 + OILTrade!$D$5</f>
        <v>1.7408674810037557</v>
      </c>
      <c r="K697" s="421">
        <f>DelivOIL!$B81*DelivOIL!S$77^5/(Conv!$I$5*Conv!$D$46)/10^6 + OILTrade!$D$5</f>
        <v>2.0970840661935979</v>
      </c>
      <c r="L697" s="421">
        <f>DelivOIL!$B81*DelivOIL!T$77^5/(Conv!$I$5*Conv!$D$46)/10^6 + OILTrade!$D$5</f>
        <v>1.9231818328499382</v>
      </c>
      <c r="M697" s="421">
        <f>DelivOIL!$B81*DelivOIL!U$77^5/(Conv!$I$5*Conv!$D$46)/10^6 + OILTrade!$D$5</f>
        <v>1.7043170254935567</v>
      </c>
      <c r="N697" s="421">
        <f>DelivOIL!$B81*DelivOIL!V$77^5/(Conv!$I$5*Conv!$D$46)/10^6 + OILTrade!$D$5</f>
        <v>1.7043170254935567</v>
      </c>
      <c r="O697" s="421">
        <f>DelivOIL!$B81*DelivOIL!W$77^5/(Conv!$I$5*Conv!$D$46)/10^6 + OILTrade!$D$5</f>
        <v>1.7043170254935567</v>
      </c>
      <c r="P697" s="421">
        <f>DelivOIL!$B81*DelivOIL!X$77^5/(Conv!$I$5*Conv!$D$46)/10^6 + OILTrade!$D$5</f>
        <v>1.7043170254935567</v>
      </c>
      <c r="Q697" s="421">
        <f>DelivOIL!$B81*DelivOIL!Y$77^5/(Conv!$I$5*Conv!$D$46)/10^6 + OILTrade!$D$5</f>
        <v>1.7043170254935567</v>
      </c>
      <c r="S697" s="395"/>
      <c r="T697" s="395"/>
      <c r="U697" s="395"/>
      <c r="V697" s="395"/>
      <c r="W697" s="395"/>
      <c r="X697" s="395"/>
      <c r="Y697" s="395"/>
      <c r="Z697" s="395"/>
      <c r="AA697" s="395"/>
      <c r="AB697" s="395"/>
      <c r="AC697" s="395"/>
    </row>
    <row r="698" spans="2:29">
      <c r="B698" s="376" t="str">
        <f>IF(OR(LEFT(Commodities!B$65,1)="*",LEFT(Technologies!B$235,1)="*"),"*","R1")</f>
        <v>*</v>
      </c>
      <c r="C698" s="376" t="str">
        <f>Technologies!C$726</f>
        <v>XIINDDSLP2</v>
      </c>
      <c r="D698" s="376" t="str">
        <f>Technologies!D235</f>
        <v>Delivery of Imported Distillate-Heating Oil No. 2 to the Indistrial Sector</v>
      </c>
      <c r="E698" s="415" t="str">
        <f>Commodities!C$67</f>
        <v>DSHP2</v>
      </c>
      <c r="F698" s="415" t="str">
        <f>Commodities!C89</f>
        <v>INDDSL</v>
      </c>
      <c r="G698" s="422">
        <v>1</v>
      </c>
      <c r="H698" s="421">
        <f>DelivOIL!$B82*DelivOIL!P$77^5/(Conv!$I$5*Conv!$D$46)/10^6 + OILTrade!$D$5</f>
        <v>1.6976841354949901</v>
      </c>
      <c r="I698" s="421">
        <f>DelivOIL!$B82*DelivOIL!Q$77^5/(Conv!$I$5*Conv!$D$46)/10^6 + OILTrade!$D$5</f>
        <v>1.6887129085855468</v>
      </c>
      <c r="J698" s="421">
        <f>DelivOIL!$B82*DelivOIL!R$77^5/(Conv!$I$5*Conv!$D$46)/10^6 + OILTrade!$D$5</f>
        <v>1.7765409949587494</v>
      </c>
      <c r="K698" s="421">
        <f>DelivOIL!$B82*DelivOIL!S$77^5/(Conv!$I$5*Conv!$D$46)/10^6 + OILTrade!$D$5</f>
        <v>2.1400571003369087</v>
      </c>
      <c r="L698" s="421">
        <f>DelivOIL!$B82*DelivOIL!T$77^5/(Conv!$I$5*Conv!$D$46)/10^6 + OILTrade!$D$5</f>
        <v>1.9625912966378458</v>
      </c>
      <c r="M698" s="421">
        <f>DelivOIL!$B82*DelivOIL!U$77^5/(Conv!$I$5*Conv!$D$46)/10^6 + OILTrade!$D$5</f>
        <v>1.7392415547044897</v>
      </c>
      <c r="N698" s="421">
        <f>DelivOIL!$B82*DelivOIL!V$77^5/(Conv!$I$5*Conv!$D$46)/10^6 + OILTrade!$D$5</f>
        <v>1.7392415547044897</v>
      </c>
      <c r="O698" s="421">
        <f>DelivOIL!$B82*DelivOIL!W$77^5/(Conv!$I$5*Conv!$D$46)/10^6 + OILTrade!$D$5</f>
        <v>1.7392415547044897</v>
      </c>
      <c r="P698" s="421">
        <f>DelivOIL!$B82*DelivOIL!X$77^5/(Conv!$I$5*Conv!$D$46)/10^6 + OILTrade!$D$5</f>
        <v>1.7392415547044897</v>
      </c>
      <c r="Q698" s="421">
        <f>DelivOIL!$B82*DelivOIL!Y$77^5/(Conv!$I$5*Conv!$D$46)/10^6 + OILTrade!$D$5</f>
        <v>1.7392415547044897</v>
      </c>
      <c r="S698" s="395"/>
      <c r="T698" s="395"/>
      <c r="U698" s="395"/>
      <c r="V698" s="395"/>
      <c r="W698" s="395"/>
      <c r="X698" s="395"/>
      <c r="Y698" s="395"/>
      <c r="Z698" s="395"/>
      <c r="AA698" s="395"/>
      <c r="AB698" s="395"/>
      <c r="AC698" s="395"/>
    </row>
    <row r="699" spans="2:29">
      <c r="B699" s="376" t="str">
        <f>IF(OR(LEFT(Commodities!B$65,1)="*",LEFT(Technologies!B$236,1)="*"),"*","R1")</f>
        <v>R1</v>
      </c>
      <c r="C699" s="376" t="str">
        <f>Technologies!C$727</f>
        <v>XIELCDSLP2</v>
      </c>
      <c r="D699" s="376" t="str">
        <f>Technologies!D236</f>
        <v>Delivery of Imported Distillate-Heating Oil No. 2 to the Electricity Sector</v>
      </c>
      <c r="E699" s="415" t="str">
        <f>Commodities!C$67</f>
        <v>DSHP2</v>
      </c>
      <c r="F699" s="415" t="str">
        <f>Commodities!C90</f>
        <v>ELCDSL</v>
      </c>
      <c r="G699" s="422">
        <v>1</v>
      </c>
      <c r="H699" s="421">
        <f>DelivOIL!$B83*DelivOIL!P$77^5/(Conv!$I$5*Conv!$D$46)/10^6 + OILTrade!$D$5</f>
        <v>0.54544068610280849</v>
      </c>
      <c r="I699" s="421">
        <f>DelivOIL!$B83*DelivOIL!Q$77^5/(Conv!$I$5*Conv!$D$46)/10^6 + OILTrade!$D$5</f>
        <v>0.54255836420419234</v>
      </c>
      <c r="J699" s="421">
        <f>DelivOIL!$B83*DelivOIL!R$77^5/(Conv!$I$5*Conv!$D$46)/10^6 + OILTrade!$D$5</f>
        <v>0.57077622327992017</v>
      </c>
      <c r="K699" s="421">
        <f>DelivOIL!$B83*DelivOIL!S$77^5/(Conv!$I$5*Conv!$D$46)/10^6 + OILTrade!$D$5</f>
        <v>0.68756854629298325</v>
      </c>
      <c r="L699" s="421">
        <f>DelivOIL!$B83*DelivOIL!T$77^5/(Conv!$I$5*Conv!$D$46)/10^6 + OILTrade!$D$5</f>
        <v>0.63055142060653735</v>
      </c>
      <c r="M699" s="421">
        <f>DelivOIL!$B83*DelivOIL!U$77^5/(Conv!$I$5*Conv!$D$46)/10^6 + OILTrade!$D$5</f>
        <v>0.55879246737493693</v>
      </c>
      <c r="N699" s="421">
        <f>DelivOIL!$B83*DelivOIL!V$77^5/(Conv!$I$5*Conv!$D$46)/10^6 + OILTrade!$D$5</f>
        <v>0.55879246737493693</v>
      </c>
      <c r="O699" s="421">
        <f>DelivOIL!$B83*DelivOIL!W$77^5/(Conv!$I$5*Conv!$D$46)/10^6 + OILTrade!$D$5</f>
        <v>0.55879246737493693</v>
      </c>
      <c r="P699" s="421">
        <f>DelivOIL!$B83*DelivOIL!X$77^5/(Conv!$I$5*Conv!$D$46)/10^6 + OILTrade!$D$5</f>
        <v>0.55879246737493693</v>
      </c>
      <c r="Q699" s="421">
        <f>DelivOIL!$B83*DelivOIL!Y$77^5/(Conv!$I$5*Conv!$D$46)/10^6 + OILTrade!$D$5</f>
        <v>0.55879246737493693</v>
      </c>
      <c r="S699" s="395"/>
      <c r="T699" s="395"/>
      <c r="U699" s="395"/>
      <c r="V699" s="395"/>
      <c r="W699" s="395"/>
      <c r="X699" s="395"/>
      <c r="Y699" s="395"/>
      <c r="Z699" s="395"/>
      <c r="AA699" s="395"/>
      <c r="AB699" s="395"/>
      <c r="AC699" s="395"/>
    </row>
    <row r="700" spans="2:29">
      <c r="B700" s="376" t="str">
        <f>IF(OR(LEFT(Commodities!B$323,1)="*",LEFT(Technologies!B$704,1)="*"),"*","R1")</f>
        <v>R1</v>
      </c>
      <c r="C700" s="376" t="str">
        <f>Technologies!C$728</f>
        <v>XITRDSLLP2</v>
      </c>
      <c r="D700" s="376" t="str">
        <f>Technologies!D704</f>
        <v>Delivery of Imported Distillate-Low Sulfur Highway Diesel (500 ppm)</v>
      </c>
      <c r="E700" s="415" t="str">
        <f>Commodities!C$334</f>
        <v>DSLP2</v>
      </c>
      <c r="F700" s="415" t="str">
        <f>Commodities!C91</f>
        <v>TRDSLL</v>
      </c>
      <c r="G700" s="422">
        <v>1</v>
      </c>
      <c r="H700" s="421">
        <f>DelivOIL!$B84*DelivOIL!P$77^5/(Conv!$I$5*Conv!$D$46)/10^6 + OILTrade!$D$5</f>
        <v>4.383979514551319</v>
      </c>
      <c r="I700" s="421">
        <f>DelivOIL!$B84*DelivOIL!Q$77^5/(Conv!$I$5*Conv!$D$46)/10^6 + OILTrade!$D$5</f>
        <v>4.3608128522911906</v>
      </c>
      <c r="J700" s="421">
        <f>DelivOIL!$B84*DelivOIL!R$77^5/(Conv!$I$5*Conv!$D$46)/10^6 + OILTrade!$D$5</f>
        <v>4.5876138946123532</v>
      </c>
      <c r="K700" s="421">
        <f>DelivOIL!$B84*DelivOIL!S$77^5/(Conv!$I$5*Conv!$D$46)/10^6 + OILTrade!$D$5</f>
        <v>5.5263321908298479</v>
      </c>
      <c r="L700" s="421">
        <f>DelivOIL!$B84*DelivOIL!T$77^5/(Conv!$I$5*Conv!$D$46)/10^6 + OILTrade!$D$5</f>
        <v>5.06805704312504</v>
      </c>
      <c r="M700" s="421">
        <f>DelivOIL!$B84*DelivOIL!U$77^5/(Conv!$I$5*Conv!$D$46)/10^6 + OILTrade!$D$5</f>
        <v>4.4912944565260515</v>
      </c>
      <c r="N700" s="421">
        <f>DelivOIL!$B84*DelivOIL!V$77^5/(Conv!$I$5*Conv!$D$46)/10^6 + OILTrade!$D$5</f>
        <v>4.4912944565260515</v>
      </c>
      <c r="O700" s="421">
        <f>DelivOIL!$B84*DelivOIL!W$77^5/(Conv!$I$5*Conv!$D$46)/10^6 + OILTrade!$D$5</f>
        <v>4.4912944565260515</v>
      </c>
      <c r="P700" s="421">
        <f>DelivOIL!$B84*DelivOIL!X$77^5/(Conv!$I$5*Conv!$D$46)/10^6 + OILTrade!$D$5</f>
        <v>4.4912944565260515</v>
      </c>
      <c r="Q700" s="421">
        <f>DelivOIL!$B84*DelivOIL!Y$77^5/(Conv!$I$5*Conv!$D$46)/10^6 + OILTrade!$D$5</f>
        <v>4.4912944565260515</v>
      </c>
      <c r="S700" s="395"/>
      <c r="T700" s="395"/>
      <c r="U700" s="395"/>
      <c r="V700" s="395"/>
      <c r="W700" s="395"/>
      <c r="X700" s="395"/>
      <c r="Y700" s="395"/>
      <c r="Z700" s="395"/>
      <c r="AA700" s="395"/>
      <c r="AB700" s="395"/>
      <c r="AC700" s="395"/>
    </row>
    <row r="701" spans="2:29">
      <c r="B701" s="376" t="str">
        <f>IF(OR(LEFT(Commodities!B$324,1)="*",LEFT(Technologies!B$705,1)="*"),"*","R1")</f>
        <v>R1</v>
      </c>
      <c r="C701" s="376" t="str">
        <f>Technologies!C$729</f>
        <v>XITRDSLUP2</v>
      </c>
      <c r="D701" s="376" t="str">
        <f>Technologies!D705</f>
        <v>Delivery of Imported Distillate-Ultralow Sulfur Highway Diesel (15 ppm)</v>
      </c>
      <c r="E701" s="415" t="str">
        <f>Commodities!C$335</f>
        <v>DSUP2</v>
      </c>
      <c r="F701" s="415" t="str">
        <f>Commodities!C92</f>
        <v>TRDSLU</v>
      </c>
      <c r="G701" s="422">
        <v>1</v>
      </c>
      <c r="H701" s="421">
        <f>DelivOIL!$B85*DelivOIL!P$77^5/(Conv!$I$5*Conv!$D$46)/10^6 + OILTrade!$D$5</f>
        <v>3.7430867083805195</v>
      </c>
      <c r="I701" s="421">
        <f>DelivOIL!$B85*DelivOIL!Q$77^5/(Conv!$I$5*Conv!$D$46)/10^6 + OILTrade!$D$5</f>
        <v>3.7233067743512653</v>
      </c>
      <c r="J701" s="421">
        <f>DelivOIL!$B85*DelivOIL!R$77^5/(Conv!$I$5*Conv!$D$46)/10^6 + OILTrade!$D$5</f>
        <v>3.916951832258448</v>
      </c>
      <c r="K701" s="421">
        <f>DelivOIL!$B85*DelivOIL!S$77^5/(Conv!$I$5*Conv!$D$46)/10^6 + OILTrade!$D$5</f>
        <v>4.7184391489355928</v>
      </c>
      <c r="L701" s="421">
        <f>DelivOIL!$B85*DelivOIL!T$77^5/(Conv!$I$5*Conv!$D$46)/10^6 + OILTrade!$D$5</f>
        <v>4.3271591239123586</v>
      </c>
      <c r="M701" s="421">
        <f>DelivOIL!$B85*DelivOIL!U$77^5/(Conv!$I$5*Conv!$D$46)/10^6 + OILTrade!$D$5</f>
        <v>3.8347133073605009</v>
      </c>
      <c r="N701" s="421">
        <f>DelivOIL!$B85*DelivOIL!V$77^5/(Conv!$I$5*Conv!$D$46)/10^6 + OILTrade!$D$5</f>
        <v>3.8347133073605009</v>
      </c>
      <c r="O701" s="421">
        <f>DelivOIL!$B85*DelivOIL!W$77^5/(Conv!$I$5*Conv!$D$46)/10^6 + OILTrade!$D$5</f>
        <v>3.8347133073605009</v>
      </c>
      <c r="P701" s="421">
        <f>DelivOIL!$B85*DelivOIL!X$77^5/(Conv!$I$5*Conv!$D$46)/10^6 + OILTrade!$D$5</f>
        <v>3.8347133073605009</v>
      </c>
      <c r="Q701" s="421">
        <f>DelivOIL!$B85*DelivOIL!Y$77^5/(Conv!$I$5*Conv!$D$46)/10^6 + OILTrade!$D$5</f>
        <v>3.8347133073605009</v>
      </c>
      <c r="S701" s="395"/>
      <c r="T701" s="395"/>
      <c r="U701" s="395"/>
      <c r="V701" s="395"/>
      <c r="W701" s="395"/>
      <c r="X701" s="395"/>
      <c r="Y701" s="395"/>
      <c r="Z701" s="395"/>
      <c r="AA701" s="395"/>
      <c r="AB701" s="395"/>
      <c r="AC701" s="395"/>
    </row>
    <row r="702" spans="2:29">
      <c r="B702" s="376" t="str">
        <f>IF(OR(LEFT(Commodities!B$64,1)="*",LEFT(Technologies!B$232,1)="*"),"*","R1")</f>
        <v>R1</v>
      </c>
      <c r="C702" s="376" t="str">
        <f>Technologies!C$730</f>
        <v>XITRNJTFP2</v>
      </c>
      <c r="D702" s="376" t="str">
        <f>Technologies!D232</f>
        <v>Delivery of Imported Jet Fuel</v>
      </c>
      <c r="E702" s="415" t="str">
        <f>Commodities!C$66</f>
        <v>JTFP2</v>
      </c>
      <c r="F702" s="415" t="str">
        <f>Commodities!C93</f>
        <v>TRNJTF</v>
      </c>
      <c r="G702" s="422">
        <v>1</v>
      </c>
      <c r="H702" s="421">
        <f>DelivOIL!$B86*DelivOIL!P$77^5/(Conv!$I$5*Conv!$D$46)/10^6 + OILTrade!$D$5</f>
        <v>0.94770319210362897</v>
      </c>
      <c r="I702" s="421">
        <f>DelivOIL!$B86*DelivOIL!Q$77^5/(Conv!$I$5*Conv!$D$46)/10^6 + OILTrade!$D$5</f>
        <v>0.9426951578047833</v>
      </c>
      <c r="J702" s="421">
        <f>DelivOIL!$B86*DelivOIL!R$77^5/(Conv!$I$5*Conv!$D$46)/10^6 + OILTrade!$D$5</f>
        <v>0.99172368794886034</v>
      </c>
      <c r="K702" s="421">
        <f>DelivOIL!$B86*DelivOIL!S$77^5/(Conv!$I$5*Conv!$D$46)/10^6 + OILTrade!$D$5</f>
        <v>1.1946503491840577</v>
      </c>
      <c r="L702" s="421">
        <f>DelivOIL!$B86*DelivOIL!T$77^5/(Conv!$I$5*Conv!$D$46)/10^6 + OILTrade!$D$5</f>
        <v>1.0955830933038582</v>
      </c>
      <c r="M702" s="421">
        <f>DelivOIL!$B86*DelivOIL!U$77^5/(Conv!$I$5*Conv!$D$46)/10^6 + OILTrade!$D$5</f>
        <v>0.97090191206395204</v>
      </c>
      <c r="N702" s="421">
        <f>DelivOIL!$B86*DelivOIL!V$77^5/(Conv!$I$5*Conv!$D$46)/10^6 + OILTrade!$D$5</f>
        <v>0.97090191206395204</v>
      </c>
      <c r="O702" s="421">
        <f>DelivOIL!$B86*DelivOIL!W$77^5/(Conv!$I$5*Conv!$D$46)/10^6 + OILTrade!$D$5</f>
        <v>0.97090191206395204</v>
      </c>
      <c r="P702" s="421">
        <f>DelivOIL!$B86*DelivOIL!X$77^5/(Conv!$I$5*Conv!$D$46)/10^6 + OILTrade!$D$5</f>
        <v>0.97090191206395204</v>
      </c>
      <c r="Q702" s="421">
        <f>DelivOIL!$B86*DelivOIL!Y$77^5/(Conv!$I$5*Conv!$D$46)/10^6 + OILTrade!$D$5</f>
        <v>0.97090191206395204</v>
      </c>
      <c r="S702" s="395"/>
      <c r="T702" s="395"/>
      <c r="U702" s="395"/>
      <c r="V702" s="395"/>
      <c r="W702" s="395"/>
      <c r="X702" s="395"/>
      <c r="Y702" s="395"/>
      <c r="Z702" s="395"/>
      <c r="AA702" s="395"/>
      <c r="AB702" s="395"/>
      <c r="AC702" s="395"/>
    </row>
    <row r="703" spans="2:29">
      <c r="B703" s="376" t="str">
        <f>IF(OR(LEFT(Commodities!B$327,1)="*",LEFT(Technologies!B$706,1)="*"),"*","R1")</f>
        <v>*</v>
      </c>
      <c r="C703" s="376" t="str">
        <f>Technologies!C$731</f>
        <v>XIRESKERP2</v>
      </c>
      <c r="D703" s="376" t="str">
        <f>Technologies!D706</f>
        <v>Delivery of Imported Kerosene and Other Refined Products to the Residential Sector</v>
      </c>
      <c r="E703" s="415" t="str">
        <f>Commodities!C$338</f>
        <v>KERP2</v>
      </c>
      <c r="F703" s="415" t="str">
        <f>Commodities!C94</f>
        <v>RESKER</v>
      </c>
      <c r="G703" s="422">
        <v>1</v>
      </c>
      <c r="H703" s="421">
        <f>DelivOIL!$B87*DelivOIL!P$77^5/(Conv!$I$5*Conv!$D$46)/10^6 + OILTrade!$D$5</f>
        <v>1.5408699382404334</v>
      </c>
      <c r="I703" s="421">
        <f>DelivOIL!$B87*DelivOIL!Q$77^5/(Conv!$I$5*Conv!$D$46)/10^6 + OILTrade!$D$5</f>
        <v>1.5327273788768423</v>
      </c>
      <c r="J703" s="421">
        <f>DelivOIL!$B87*DelivOIL!R$77^5/(Conv!$I$5*Conv!$D$46)/10^6 + OILTrade!$D$5</f>
        <v>1.6124428307657734</v>
      </c>
      <c r="K703" s="421">
        <f>DelivOIL!$B87*DelivOIL!S$77^5/(Conv!$I$5*Conv!$D$46)/10^6 + OILTrade!$D$5</f>
        <v>1.9423811432776767</v>
      </c>
      <c r="L703" s="421">
        <f>DelivOIL!$B87*DelivOIL!T$77^5/(Conv!$I$5*Conv!$D$46)/10^6 + OILTrade!$D$5</f>
        <v>1.7813077632134673</v>
      </c>
      <c r="M703" s="421">
        <f>DelivOIL!$B87*DelivOIL!U$77^5/(Conv!$I$5*Conv!$D$46)/10^6 + OILTrade!$D$5</f>
        <v>1.5785887203341959</v>
      </c>
      <c r="N703" s="421">
        <f>DelivOIL!$B87*DelivOIL!V$77^5/(Conv!$I$5*Conv!$D$46)/10^6 + OILTrade!$D$5</f>
        <v>1.5785887203341959</v>
      </c>
      <c r="O703" s="421">
        <f>DelivOIL!$B87*DelivOIL!W$77^5/(Conv!$I$5*Conv!$D$46)/10^6 + OILTrade!$D$5</f>
        <v>1.5785887203341959</v>
      </c>
      <c r="P703" s="421">
        <f>DelivOIL!$B87*DelivOIL!X$77^5/(Conv!$I$5*Conv!$D$46)/10^6 + OILTrade!$D$5</f>
        <v>1.5785887203341959</v>
      </c>
      <c r="Q703" s="421">
        <f>DelivOIL!$B87*DelivOIL!Y$77^5/(Conv!$I$5*Conv!$D$46)/10^6 + OILTrade!$D$5</f>
        <v>1.5785887203341959</v>
      </c>
      <c r="S703" s="395"/>
      <c r="T703" s="395"/>
      <c r="U703" s="395"/>
      <c r="V703" s="395"/>
      <c r="W703" s="395"/>
      <c r="X703" s="395"/>
      <c r="Y703" s="395"/>
      <c r="Z703" s="395"/>
      <c r="AA703" s="395"/>
      <c r="AB703" s="395"/>
      <c r="AC703" s="395"/>
    </row>
    <row r="704" spans="2:29">
      <c r="B704" s="376" t="str">
        <f>IF(OR(LEFT(Commodities!B$327,1)="*",LEFT(Technologies!B$707,1)="*"),"*","R1")</f>
        <v>*</v>
      </c>
      <c r="C704" s="376" t="str">
        <f>Technologies!C$732</f>
        <v>XICOMKERP2</v>
      </c>
      <c r="D704" s="376" t="str">
        <f>Technologies!D707</f>
        <v>Delivery of Imported Kerosene and Other Refined Products to the Commercial Sector</v>
      </c>
      <c r="E704" s="415" t="str">
        <f>E703</f>
        <v>KERP2</v>
      </c>
      <c r="F704" s="415" t="str">
        <f>Commodities!C95</f>
        <v>COMKER</v>
      </c>
      <c r="G704" s="422">
        <v>1</v>
      </c>
      <c r="H704" s="421">
        <f>DelivOIL!$B88*DelivOIL!P$77^5/(Conv!$I$5*Conv!$D$46)/10^6 + OILTrade!$D$5</f>
        <v>1.5135979039352927</v>
      </c>
      <c r="I704" s="421">
        <f>DelivOIL!$B88*DelivOIL!Q$77^5/(Conv!$I$5*Conv!$D$46)/10^6 + OILTrade!$D$5</f>
        <v>1.5055994606666327</v>
      </c>
      <c r="J704" s="421">
        <f>DelivOIL!$B88*DelivOIL!R$77^5/(Conv!$I$5*Conv!$D$46)/10^6 + OILTrade!$D$5</f>
        <v>1.5839040196017777</v>
      </c>
      <c r="K704" s="421">
        <f>DelivOIL!$B88*DelivOIL!S$77^5/(Conv!$I$5*Conv!$D$46)/10^6 + OILTrade!$D$5</f>
        <v>1.9080027159630277</v>
      </c>
      <c r="L704" s="421">
        <f>DelivOIL!$B88*DelivOIL!T$77^5/(Conv!$I$5*Conv!$D$46)/10^6 + OILTrade!$D$5</f>
        <v>1.7497801921831406</v>
      </c>
      <c r="M704" s="421">
        <f>DelivOIL!$B88*DelivOIL!U$77^5/(Conv!$I$5*Conv!$D$46)/10^6 + OILTrade!$D$5</f>
        <v>1.5506490969654489</v>
      </c>
      <c r="N704" s="421">
        <f>DelivOIL!$B88*DelivOIL!V$77^5/(Conv!$I$5*Conv!$D$46)/10^6 + OILTrade!$D$5</f>
        <v>1.5506490969654489</v>
      </c>
      <c r="O704" s="421">
        <f>DelivOIL!$B88*DelivOIL!W$77^5/(Conv!$I$5*Conv!$D$46)/10^6 + OILTrade!$D$5</f>
        <v>1.5506490969654489</v>
      </c>
      <c r="P704" s="421">
        <f>DelivOIL!$B88*DelivOIL!X$77^5/(Conv!$I$5*Conv!$D$46)/10^6 + OILTrade!$D$5</f>
        <v>1.5506490969654489</v>
      </c>
      <c r="Q704" s="421">
        <f>DelivOIL!$B88*DelivOIL!Y$77^5/(Conv!$I$5*Conv!$D$46)/10^6 + OILTrade!$D$5</f>
        <v>1.5506490969654489</v>
      </c>
      <c r="S704" s="395"/>
      <c r="T704" s="395"/>
      <c r="U704" s="395"/>
      <c r="V704" s="395"/>
      <c r="W704" s="395"/>
      <c r="X704" s="395"/>
      <c r="Y704" s="395"/>
      <c r="Z704" s="395"/>
      <c r="AA704" s="395"/>
      <c r="AB704" s="395"/>
      <c r="AC704" s="395"/>
    </row>
    <row r="705" spans="2:29">
      <c r="B705" s="376" t="str">
        <f>IF(OR(LEFT(Commodities!B$327,1)="*",LEFT(Technologies!B$708,1)="*"),"*","R1")</f>
        <v>*</v>
      </c>
      <c r="C705" s="376" t="str">
        <f>Technologies!C$733</f>
        <v>XIINDKERP2</v>
      </c>
      <c r="D705" s="376" t="str">
        <f>Technologies!D708</f>
        <v>Delivery of Imported Kerosene and Other Refined Products to the Industrial Sector</v>
      </c>
      <c r="E705" s="415" t="str">
        <f>E704</f>
        <v>KERP2</v>
      </c>
      <c r="F705" s="415" t="str">
        <f>Commodities!C96</f>
        <v>INDKER</v>
      </c>
      <c r="G705" s="422">
        <v>1</v>
      </c>
      <c r="H705" s="421">
        <f>DelivOIL!$B89*DelivOIL!P$77^5/(Conv!$I$5*Conv!$D$46)/10^6 + OILTrade!$D$5</f>
        <v>1.2204235351550325</v>
      </c>
      <c r="I705" s="421">
        <f>DelivOIL!$B89*DelivOIL!Q$77^5/(Conv!$I$5*Conv!$D$46)/10^6 + OILTrade!$D$5</f>
        <v>1.2139743399068788</v>
      </c>
      <c r="J705" s="421">
        <f>DelivOIL!$B89*DelivOIL!R$77^5/(Conv!$I$5*Conv!$D$46)/10^6 + OILTrade!$D$5</f>
        <v>1.2771117995888197</v>
      </c>
      <c r="K705" s="421">
        <f>DelivOIL!$B89*DelivOIL!S$77^5/(Conv!$I$5*Conv!$D$46)/10^6 + OILTrade!$D$5</f>
        <v>1.5384346223305483</v>
      </c>
      <c r="L705" s="421">
        <f>DelivOIL!$B89*DelivOIL!T$77^5/(Conv!$I$5*Conv!$D$46)/10^6 + OILTrade!$D$5</f>
        <v>1.4108588036071257</v>
      </c>
      <c r="M705" s="421">
        <f>DelivOIL!$B89*DelivOIL!U$77^5/(Conv!$I$5*Conv!$D$46)/10^6 + OILTrade!$D$5</f>
        <v>1.2502981457514197</v>
      </c>
      <c r="N705" s="421">
        <f>DelivOIL!$B89*DelivOIL!V$77^5/(Conv!$I$5*Conv!$D$46)/10^6 + OILTrade!$D$5</f>
        <v>1.2502981457514197</v>
      </c>
      <c r="O705" s="421">
        <f>DelivOIL!$B89*DelivOIL!W$77^5/(Conv!$I$5*Conv!$D$46)/10^6 + OILTrade!$D$5</f>
        <v>1.2502981457514197</v>
      </c>
      <c r="P705" s="421">
        <f>DelivOIL!$B89*DelivOIL!X$77^5/(Conv!$I$5*Conv!$D$46)/10^6 + OILTrade!$D$5</f>
        <v>1.2502981457514197</v>
      </c>
      <c r="Q705" s="421">
        <f>DelivOIL!$B89*DelivOIL!Y$77^5/(Conv!$I$5*Conv!$D$46)/10^6 + OILTrade!$D$5</f>
        <v>1.2502981457514197</v>
      </c>
      <c r="S705" s="395"/>
      <c r="T705" s="395"/>
      <c r="U705" s="395"/>
      <c r="V705" s="395"/>
      <c r="W705" s="395"/>
      <c r="X705" s="395"/>
      <c r="Y705" s="395"/>
      <c r="Z705" s="395"/>
      <c r="AA705" s="395"/>
      <c r="AB705" s="395"/>
      <c r="AC705" s="395"/>
    </row>
    <row r="706" spans="2:29">
      <c r="B706" s="376" t="str">
        <f>IF(OR(LEFT(Commodities!B$328,1)="*",LEFT(Technologies!B$709,1)="*"),"*","R1")</f>
        <v>*</v>
      </c>
      <c r="C706" s="376" t="str">
        <f>Technologies!C$734</f>
        <v>XIRESLPGP2</v>
      </c>
      <c r="D706" s="376" t="str">
        <f>Technologies!D709</f>
        <v>Delivery of Imported LPG to the Residential Sector</v>
      </c>
      <c r="E706" s="415" t="str">
        <f>Commodities!C$339</f>
        <v>LPGP2</v>
      </c>
      <c r="F706" s="415" t="str">
        <f>Commodities!C97</f>
        <v>RESLPG</v>
      </c>
      <c r="G706" s="422">
        <v>1</v>
      </c>
      <c r="H706" s="421">
        <f>DelivOIL!$B90*DelivOIL!P$77^5/(Conv!$I$5*Conv!$D$46)/10^6 + OILTrade!$D$5</f>
        <v>5.9453034785206071</v>
      </c>
      <c r="I706" s="421">
        <f>DelivOIL!$B90*DelivOIL!Q$77^5/(Conv!$I$5*Conv!$D$46)/10^6 + OILTrade!$D$5</f>
        <v>5.913886169825691</v>
      </c>
      <c r="J706" s="421">
        <f>DelivOIL!$B90*DelivOIL!R$77^5/(Conv!$I$5*Conv!$D$46)/10^6 + OILTrade!$D$5</f>
        <v>6.2214608337511237</v>
      </c>
      <c r="K706" s="421">
        <f>DelivOIL!$B90*DelivOIL!S$77^5/(Conv!$I$5*Conv!$D$46)/10^6 + OILTrade!$D$5</f>
        <v>7.4944971545935104</v>
      </c>
      <c r="L706" s="421">
        <f>DelivOIL!$B90*DelivOIL!T$77^5/(Conv!$I$5*Conv!$D$46)/10^6 + OILTrade!$D$5</f>
        <v>6.8730104846112514</v>
      </c>
      <c r="M706" s="421">
        <f>DelivOIL!$B90*DelivOIL!U$77^5/(Conv!$I$5*Conv!$D$46)/10^6 + OILTrade!$D$5</f>
        <v>6.0908378943868069</v>
      </c>
      <c r="N706" s="421">
        <f>DelivOIL!$B90*DelivOIL!V$77^5/(Conv!$I$5*Conv!$D$46)/10^6 + OILTrade!$D$5</f>
        <v>6.0908378943868069</v>
      </c>
      <c r="O706" s="421">
        <f>DelivOIL!$B90*DelivOIL!W$77^5/(Conv!$I$5*Conv!$D$46)/10^6 + OILTrade!$D$5</f>
        <v>6.0908378943868069</v>
      </c>
      <c r="P706" s="421">
        <f>DelivOIL!$B90*DelivOIL!X$77^5/(Conv!$I$5*Conv!$D$46)/10^6 + OILTrade!$D$5</f>
        <v>6.0908378943868069</v>
      </c>
      <c r="Q706" s="421">
        <f>DelivOIL!$B90*DelivOIL!Y$77^5/(Conv!$I$5*Conv!$D$46)/10^6 + OILTrade!$D$5</f>
        <v>6.0908378943868069</v>
      </c>
      <c r="S706" s="395"/>
      <c r="T706" s="395"/>
      <c r="U706" s="395"/>
      <c r="V706" s="395"/>
      <c r="W706" s="395"/>
      <c r="X706" s="395"/>
      <c r="Y706" s="395"/>
      <c r="Z706" s="395"/>
      <c r="AA706" s="395"/>
      <c r="AB706" s="395"/>
      <c r="AC706" s="395"/>
    </row>
    <row r="707" spans="2:29">
      <c r="B707" s="376" t="str">
        <f>IF(OR(LEFT(Commodities!B$328,1)="*",LEFT(Technologies!B$710,1)="*"),"*","R1")</f>
        <v>*</v>
      </c>
      <c r="C707" s="376" t="str">
        <f>Technologies!C$735</f>
        <v>XICOMLPGP2</v>
      </c>
      <c r="D707" s="376" t="str">
        <f>Technologies!D710</f>
        <v>Delivery of Imported LPG to the Commercial Sector</v>
      </c>
      <c r="E707" s="415" t="str">
        <f>Commodities!C$339</f>
        <v>LPGP2</v>
      </c>
      <c r="F707" s="415" t="str">
        <f>Commodities!C98</f>
        <v>COMLPG</v>
      </c>
      <c r="G707" s="422">
        <v>1</v>
      </c>
      <c r="H707" s="421">
        <f>DelivOIL!$B91*DelivOIL!P$77^5/(Conv!$I$5*Conv!$D$46)/10^6 + OILTrade!$D$5</f>
        <v>2.7681114819717512</v>
      </c>
      <c r="I707" s="421">
        <f>DelivOIL!$B91*DelivOIL!Q$77^5/(Conv!$I$5*Conv!$D$46)/10^6 + OILTrade!$D$5</f>
        <v>2.7534836983362734</v>
      </c>
      <c r="J707" s="421">
        <f>DelivOIL!$B91*DelivOIL!R$77^5/(Conv!$I$5*Conv!$D$46)/10^6 + OILTrade!$D$5</f>
        <v>2.8966893331455923</v>
      </c>
      <c r="K707" s="421">
        <f>DelivOIL!$B91*DelivOIL!S$77^5/(Conv!$I$5*Conv!$D$46)/10^6 + OILTrade!$D$5</f>
        <v>3.489410372436887</v>
      </c>
      <c r="L707" s="421">
        <f>DelivOIL!$B91*DelivOIL!T$77^5/(Conv!$I$5*Conv!$D$46)/10^6 + OILTrade!$D$5</f>
        <v>3.2000484595781753</v>
      </c>
      <c r="M707" s="421">
        <f>DelivOIL!$B91*DelivOIL!U$77^5/(Conv!$I$5*Conv!$D$46)/10^6 + OILTrade!$D$5</f>
        <v>2.8358717719278022</v>
      </c>
      <c r="N707" s="421">
        <f>DelivOIL!$B91*DelivOIL!V$77^5/(Conv!$I$5*Conv!$D$46)/10^6 + OILTrade!$D$5</f>
        <v>2.8358717719278022</v>
      </c>
      <c r="O707" s="421">
        <f>DelivOIL!$B91*DelivOIL!W$77^5/(Conv!$I$5*Conv!$D$46)/10^6 + OILTrade!$D$5</f>
        <v>2.8358717719278022</v>
      </c>
      <c r="P707" s="421">
        <f>DelivOIL!$B91*DelivOIL!X$77^5/(Conv!$I$5*Conv!$D$46)/10^6 + OILTrade!$D$5</f>
        <v>2.8358717719278022</v>
      </c>
      <c r="Q707" s="421">
        <f>DelivOIL!$B91*DelivOIL!Y$77^5/(Conv!$I$5*Conv!$D$46)/10^6 + OILTrade!$D$5</f>
        <v>2.8358717719278022</v>
      </c>
      <c r="S707" s="395"/>
      <c r="T707" s="395"/>
      <c r="U707" s="395"/>
      <c r="V707" s="395"/>
      <c r="W707" s="395"/>
      <c r="X707" s="395"/>
      <c r="Y707" s="395"/>
      <c r="Z707" s="395"/>
      <c r="AA707" s="395"/>
      <c r="AB707" s="395"/>
      <c r="AC707" s="395"/>
    </row>
    <row r="708" spans="2:29">
      <c r="B708" s="376" t="str">
        <f>IF(OR(LEFT(Commodities!B$328,1)="*",LEFT(Technologies!B$711,1)="*"),"*","R1")</f>
        <v>*</v>
      </c>
      <c r="C708" s="376" t="str">
        <f>Technologies!C$736</f>
        <v>XIINDLPGP2</v>
      </c>
      <c r="D708" s="376" t="str">
        <f>Technologies!D711</f>
        <v>Delivery of Imported LPG to the Industrial Sector</v>
      </c>
      <c r="E708" s="415" t="str">
        <f>Commodities!C$339</f>
        <v>LPGP2</v>
      </c>
      <c r="F708" s="415" t="str">
        <f>Commodities!C99</f>
        <v>INDLPG</v>
      </c>
      <c r="G708" s="422">
        <v>1</v>
      </c>
      <c r="H708" s="421">
        <f>DelivOIL!$B92*DelivOIL!P$77^5/(Conv!$I$5*Conv!$D$46)/10^6 + OILTrade!$D$5</f>
        <v>2.1749447358349472</v>
      </c>
      <c r="I708" s="421">
        <f>DelivOIL!$B92*DelivOIL!Q$77^5/(Conv!$I$5*Conv!$D$46)/10^6 + OILTrade!$D$5</f>
        <v>2.1634514772642151</v>
      </c>
      <c r="J708" s="421">
        <f>DelivOIL!$B92*DelivOIL!R$77^5/(Conv!$I$5*Conv!$D$46)/10^6 + OILTrade!$D$5</f>
        <v>2.27597019032868</v>
      </c>
      <c r="K708" s="421">
        <f>DelivOIL!$B92*DelivOIL!S$77^5/(Conv!$I$5*Conv!$D$46)/10^6 + OILTrade!$D$5</f>
        <v>2.7416795783432688</v>
      </c>
      <c r="L708" s="421">
        <f>DelivOIL!$B92*DelivOIL!T$77^5/(Conv!$I$5*Conv!$D$46)/10^6 + OILTrade!$D$5</f>
        <v>2.5143237896685662</v>
      </c>
      <c r="M708" s="421">
        <f>DelivOIL!$B92*DelivOIL!U$77^5/(Conv!$I$5*Conv!$D$46)/10^6 + OILTrade!$D$5</f>
        <v>2.2281849636575592</v>
      </c>
      <c r="N708" s="421">
        <f>DelivOIL!$B92*DelivOIL!V$77^5/(Conv!$I$5*Conv!$D$46)/10^6 + OILTrade!$D$5</f>
        <v>2.2281849636575592</v>
      </c>
      <c r="O708" s="421">
        <f>DelivOIL!$B92*DelivOIL!W$77^5/(Conv!$I$5*Conv!$D$46)/10^6 + OILTrade!$D$5</f>
        <v>2.2281849636575592</v>
      </c>
      <c r="P708" s="421">
        <f>DelivOIL!$B92*DelivOIL!X$77^5/(Conv!$I$5*Conv!$D$46)/10^6 + OILTrade!$D$5</f>
        <v>2.2281849636575592</v>
      </c>
      <c r="Q708" s="421">
        <f>DelivOIL!$B92*DelivOIL!Y$77^5/(Conv!$I$5*Conv!$D$46)/10^6 + OILTrade!$D$5</f>
        <v>2.2281849636575592</v>
      </c>
      <c r="S708" s="395"/>
      <c r="T708" s="395"/>
      <c r="U708" s="395"/>
      <c r="V708" s="395"/>
      <c r="W708" s="395"/>
      <c r="X708" s="395"/>
      <c r="Y708" s="395"/>
      <c r="Z708" s="395"/>
      <c r="AA708" s="395"/>
      <c r="AB708" s="395"/>
      <c r="AC708" s="395"/>
    </row>
    <row r="709" spans="2:29">
      <c r="B709" s="376" t="str">
        <f>IF(OR(LEFT(Commodities!B$328,1)="*",LEFT(Technologies!B$712,1)="*"),"*","R1")</f>
        <v>*</v>
      </c>
      <c r="C709" s="376" t="str">
        <f>Technologies!C$737</f>
        <v>XITRNLPGP2</v>
      </c>
      <c r="D709" s="376" t="str">
        <f>Technologies!D712</f>
        <v>Delivery of Imported LPG to the Transportation Sector</v>
      </c>
      <c r="E709" s="415" t="str">
        <f>Commodities!C$339</f>
        <v>LPGP2</v>
      </c>
      <c r="F709" s="415" t="str">
        <f>Commodities!C100</f>
        <v>TRNLPG</v>
      </c>
      <c r="G709" s="422">
        <v>1</v>
      </c>
      <c r="H709" s="421">
        <f>DelivOIL!$B93*DelivOIL!P$77^5/(Conv!$I$5*Conv!$D$46)/10^6 + OILTrade!$D$5</f>
        <v>4.0362610771607796</v>
      </c>
      <c r="I709" s="421">
        <f>DelivOIL!$B93*DelivOIL!Q$77^5/(Conv!$I$5*Conv!$D$46)/10^6 + OILTrade!$D$5</f>
        <v>4.0149318951110189</v>
      </c>
      <c r="J709" s="421">
        <f>DelivOIL!$B93*DelivOIL!R$77^5/(Conv!$I$5*Conv!$D$46)/10^6 + OILTrade!$D$5</f>
        <v>4.2237440522714049</v>
      </c>
      <c r="K709" s="421">
        <f>DelivOIL!$B93*DelivOIL!S$77^5/(Conv!$I$5*Conv!$D$46)/10^6 + OILTrade!$D$5</f>
        <v>5.0880072425680707</v>
      </c>
      <c r="L709" s="421">
        <f>DelivOIL!$B93*DelivOIL!T$77^5/(Conv!$I$5*Conv!$D$46)/10^6 + OILTrade!$D$5</f>
        <v>4.6660805124883726</v>
      </c>
      <c r="M709" s="421">
        <f>DelivOIL!$B93*DelivOIL!U$77^5/(Conv!$I$5*Conv!$D$46)/10^6 + OILTrade!$D$5</f>
        <v>4.1350642585745288</v>
      </c>
      <c r="N709" s="421">
        <f>DelivOIL!$B93*DelivOIL!V$77^5/(Conv!$I$5*Conv!$D$46)/10^6 + OILTrade!$D$5</f>
        <v>4.1350642585745288</v>
      </c>
      <c r="O709" s="421">
        <f>DelivOIL!$B93*DelivOIL!W$77^5/(Conv!$I$5*Conv!$D$46)/10^6 + OILTrade!$D$5</f>
        <v>4.1350642585745288</v>
      </c>
      <c r="P709" s="421">
        <f>DelivOIL!$B93*DelivOIL!X$77^5/(Conv!$I$5*Conv!$D$46)/10^6 + OILTrade!$D$5</f>
        <v>4.1350642585745288</v>
      </c>
      <c r="Q709" s="421">
        <f>DelivOIL!$B93*DelivOIL!Y$77^5/(Conv!$I$5*Conv!$D$46)/10^6 + OILTrade!$D$5</f>
        <v>4.1350642585745288</v>
      </c>
      <c r="S709" s="395"/>
      <c r="T709" s="395"/>
      <c r="U709" s="395"/>
      <c r="V709" s="395"/>
      <c r="W709" s="395"/>
      <c r="X709" s="395"/>
      <c r="Y709" s="395"/>
      <c r="Z709" s="395"/>
      <c r="AA709" s="395"/>
      <c r="AB709" s="395"/>
      <c r="AC709" s="395"/>
    </row>
    <row r="710" spans="2:29">
      <c r="B710" s="376" t="str">
        <f>IF(LEFT(Technologies!B$713,1)="*","*","R1")</f>
        <v>*</v>
      </c>
      <c r="C710" s="376" t="str">
        <f>Technologies!C$738</f>
        <v>XITRNMTHP2</v>
      </c>
      <c r="D710" s="376" t="str">
        <f>Technologies!D713</f>
        <v>Delivery of Imported Methanol</v>
      </c>
      <c r="E710" s="415" t="str">
        <f>Commodities!C$340</f>
        <v>MTHP2</v>
      </c>
      <c r="F710" s="415" t="s">
        <v>457</v>
      </c>
      <c r="G710" s="422">
        <v>1</v>
      </c>
      <c r="H710" s="421">
        <f>DelivOIL!$B94*DelivOIL!P$77^5/(Conv!$I$5*Conv!$D$46)/10^6 + OILTrade!$D$5</f>
        <v>3.8658108627536518</v>
      </c>
      <c r="I710" s="421">
        <f>DelivOIL!$B94*DelivOIL!Q$77^5/(Conv!$I$5*Conv!$D$46)/10^6 + OILTrade!$D$5</f>
        <v>3.8453824062972091</v>
      </c>
      <c r="J710" s="421">
        <f>DelivOIL!$B94*DelivOIL!R$77^5/(Conv!$I$5*Conv!$D$46)/10^6 + OILTrade!$D$5</f>
        <v>4.0453764824964313</v>
      </c>
      <c r="K710" s="421">
        <f>DelivOIL!$B94*DelivOIL!S$77^5/(Conv!$I$5*Conv!$D$46)/10^6 + OILTrade!$D$5</f>
        <v>4.8731420718515155</v>
      </c>
      <c r="L710" s="421">
        <f>DelivOIL!$B94*DelivOIL!T$77^5/(Conv!$I$5*Conv!$D$46)/10^6 + OILTrade!$D$5</f>
        <v>4.4690331935488308</v>
      </c>
      <c r="M710" s="421">
        <f>DelivOIL!$B94*DelivOIL!U$77^5/(Conv!$I$5*Conv!$D$46)/10^6 + OILTrade!$D$5</f>
        <v>3.9604416125198623</v>
      </c>
      <c r="N710" s="421">
        <f>DelivOIL!$B94*DelivOIL!V$77^5/(Conv!$I$5*Conv!$D$46)/10^6 + OILTrade!$D$5</f>
        <v>3.9604416125198623</v>
      </c>
      <c r="O710" s="421">
        <f>DelivOIL!$B94*DelivOIL!W$77^5/(Conv!$I$5*Conv!$D$46)/10^6 + OILTrade!$D$5</f>
        <v>3.9604416125198623</v>
      </c>
      <c r="P710" s="421">
        <f>DelivOIL!$B94*DelivOIL!X$77^5/(Conv!$I$5*Conv!$D$46)/10^6 + OILTrade!$D$5</f>
        <v>3.9604416125198623</v>
      </c>
      <c r="Q710" s="421">
        <f>DelivOIL!$B94*DelivOIL!Y$77^5/(Conv!$I$5*Conv!$D$46)/10^6 + OILTrade!$D$5</f>
        <v>3.9604416125198623</v>
      </c>
      <c r="S710" s="395"/>
      <c r="T710" s="395"/>
      <c r="U710" s="395"/>
      <c r="V710" s="395"/>
      <c r="W710" s="395"/>
      <c r="X710" s="395"/>
      <c r="Y710" s="395"/>
      <c r="Z710" s="395"/>
      <c r="AA710" s="395"/>
      <c r="AB710" s="395"/>
      <c r="AC710" s="395"/>
    </row>
    <row r="711" spans="2:29">
      <c r="B711" s="376" t="str">
        <f>IF(OR(LEFT(Commodities!B$102,1)="*",LEFT(Technologies!B$714,1)="*"),"*","R1")</f>
        <v>*</v>
      </c>
      <c r="C711" s="376" t="str">
        <f>Technologies!C$739</f>
        <v>XIINDPFSP2</v>
      </c>
      <c r="D711" s="376" t="str">
        <f>Technologies!D714</f>
        <v>Delivery of Imported Petrochemical Feedstocks</v>
      </c>
      <c r="E711" s="415" t="str">
        <f>Commodities!C$341</f>
        <v>PFSP2</v>
      </c>
      <c r="F711" s="415" t="str">
        <f>Commodities!C102</f>
        <v>INDPFS</v>
      </c>
      <c r="G711" s="422">
        <v>1</v>
      </c>
      <c r="H711" s="421">
        <f>DelivOIL!$B95*DelivOIL!P$77^5/(Conv!$I$5*Conv!$D$46)/10^6 + OILTrade!$D$5</f>
        <v>1.206787518002463</v>
      </c>
      <c r="I711" s="421">
        <f>DelivOIL!$B95*DelivOIL!Q$77^5/(Conv!$I$5*Conv!$D$46)/10^6 + OILTrade!$D$5</f>
        <v>1.2004103808017748</v>
      </c>
      <c r="J711" s="421">
        <f>DelivOIL!$B95*DelivOIL!R$77^5/(Conv!$I$5*Conv!$D$46)/10^6 + OILTrade!$D$5</f>
        <v>1.2628423940068225</v>
      </c>
      <c r="K711" s="421">
        <f>DelivOIL!$B95*DelivOIL!S$77^5/(Conv!$I$5*Conv!$D$46)/10^6 + OILTrade!$D$5</f>
        <v>1.5212454086732246</v>
      </c>
      <c r="L711" s="421">
        <f>DelivOIL!$B95*DelivOIL!T$77^5/(Conv!$I$5*Conv!$D$46)/10^6 + OILTrade!$D$5</f>
        <v>1.3950950180919632</v>
      </c>
      <c r="M711" s="421">
        <f>DelivOIL!$B95*DelivOIL!U$77^5/(Conv!$I$5*Conv!$D$46)/10^6 + OILTrade!$D$5</f>
        <v>1.236328334067047</v>
      </c>
      <c r="N711" s="421">
        <f>DelivOIL!$B95*DelivOIL!V$77^5/(Conv!$I$5*Conv!$D$46)/10^6 + OILTrade!$D$5</f>
        <v>1.236328334067047</v>
      </c>
      <c r="O711" s="421">
        <f>DelivOIL!$B95*DelivOIL!W$77^5/(Conv!$I$5*Conv!$D$46)/10^6 + OILTrade!$D$5</f>
        <v>1.236328334067047</v>
      </c>
      <c r="P711" s="421">
        <f>DelivOIL!$B95*DelivOIL!X$77^5/(Conv!$I$5*Conv!$D$46)/10^6 + OILTrade!$D$5</f>
        <v>1.236328334067047</v>
      </c>
      <c r="Q711" s="421">
        <f>DelivOIL!$B95*DelivOIL!Y$77^5/(Conv!$I$5*Conv!$D$46)/10^6 + OILTrade!$D$5</f>
        <v>1.236328334067047</v>
      </c>
      <c r="S711" s="395"/>
      <c r="T711" s="395"/>
      <c r="U711" s="395"/>
      <c r="V711" s="395"/>
      <c r="W711" s="395"/>
      <c r="X711" s="395"/>
      <c r="Y711" s="395"/>
      <c r="Z711" s="395"/>
      <c r="AA711" s="395"/>
      <c r="AB711" s="395"/>
      <c r="AC711" s="395"/>
    </row>
    <row r="712" spans="2:29">
      <c r="B712" s="376" t="str">
        <f>IF(OR(LEFT(Commodities!B$332,1)="*",LEFT(Technologies!B$715,1)="*"),"*","R1")</f>
        <v>*</v>
      </c>
      <c r="C712" s="376" t="str">
        <f>Technologies!C$740</f>
        <v>XIRESRFLP2</v>
      </c>
      <c r="D712" s="376" t="str">
        <f>D737</f>
        <v>Delivery of Imported Low Sulfur Residual Fuel Oil to Residential Sector</v>
      </c>
      <c r="E712" s="415" t="str">
        <f>Commodities!C$343</f>
        <v>RFLP2</v>
      </c>
      <c r="F712" s="415" t="str">
        <f>F737</f>
        <v>RESRFL</v>
      </c>
      <c r="G712" s="422"/>
      <c r="H712" s="421"/>
      <c r="I712" s="421"/>
      <c r="J712" s="421"/>
      <c r="K712" s="421"/>
      <c r="L712" s="421"/>
      <c r="M712" s="421"/>
      <c r="N712" s="421"/>
      <c r="O712" s="421"/>
      <c r="P712" s="421"/>
      <c r="Q712" s="421"/>
      <c r="S712" s="395"/>
      <c r="T712" s="395"/>
      <c r="U712" s="395"/>
      <c r="V712" s="395"/>
      <c r="W712" s="395"/>
      <c r="X712" s="395"/>
      <c r="Y712" s="395"/>
      <c r="Z712" s="395"/>
      <c r="AA712" s="395"/>
      <c r="AB712" s="395"/>
      <c r="AC712" s="395"/>
    </row>
    <row r="713" spans="2:29">
      <c r="B713" s="376" t="str">
        <f>IF(OR(LEFT(Commodities!B$332,1)="*",LEFT(Technologies!B$716,1)="*"),"*","R1")</f>
        <v>*</v>
      </c>
      <c r="C713" s="376" t="str">
        <f>Technologies!C$741</f>
        <v>XICOMRFLP2</v>
      </c>
      <c r="D713" s="376" t="str">
        <f>Technologies!D716</f>
        <v>Delivery of Imported Low Sulfur Residual Fuel Oil to Commercial Sector</v>
      </c>
      <c r="E713" s="415" t="str">
        <f>Commodities!C$343</f>
        <v>RFLP2</v>
      </c>
      <c r="F713" s="415" t="str">
        <f>Commodities!C104</f>
        <v>COMRFL</v>
      </c>
      <c r="G713" s="422">
        <v>1</v>
      </c>
      <c r="H713" s="421">
        <f>DelivOIL!$B96*DelivOIL!P$77^5/(Conv!$I$5*Conv!$D$46)/10^6 + OILTrade!$D$5</f>
        <v>0.21817627444112342</v>
      </c>
      <c r="I713" s="421">
        <f>DelivOIL!$B96*DelivOIL!Q$77^5/(Conv!$I$5*Conv!$D$46)/10^6 + OILTrade!$D$5</f>
        <v>0.21702334568167692</v>
      </c>
      <c r="J713" s="421">
        <f>DelivOIL!$B96*DelivOIL!R$77^5/(Conv!$I$5*Conv!$D$46)/10^6 + OILTrade!$D$5</f>
        <v>0.22831048931196804</v>
      </c>
      <c r="K713" s="421">
        <f>DelivOIL!$B96*DelivOIL!S$77^5/(Conv!$I$5*Conv!$D$46)/10^6 + OILTrade!$D$5</f>
        <v>0.27502741851719331</v>
      </c>
      <c r="L713" s="421">
        <f>DelivOIL!$B96*DelivOIL!T$77^5/(Conv!$I$5*Conv!$D$46)/10^6 + OILTrade!$D$5</f>
        <v>0.25222056824261502</v>
      </c>
      <c r="M713" s="421">
        <f>DelivOIL!$B96*DelivOIL!U$77^5/(Conv!$I$5*Conv!$D$46)/10^6 + OILTrade!$D$5</f>
        <v>0.22351698694997474</v>
      </c>
      <c r="N713" s="421">
        <f>DelivOIL!$B96*DelivOIL!V$77^5/(Conv!$I$5*Conv!$D$46)/10^6 + OILTrade!$D$5</f>
        <v>0.22351698694997474</v>
      </c>
      <c r="O713" s="421">
        <f>DelivOIL!$B96*DelivOIL!W$77^5/(Conv!$I$5*Conv!$D$46)/10^6 + OILTrade!$D$5</f>
        <v>0.22351698694997474</v>
      </c>
      <c r="P713" s="421">
        <f>DelivOIL!$B96*DelivOIL!X$77^5/(Conv!$I$5*Conv!$D$46)/10^6 + OILTrade!$D$5</f>
        <v>0.22351698694997474</v>
      </c>
      <c r="Q713" s="421">
        <f>DelivOIL!$B96*DelivOIL!Y$77^5/(Conv!$I$5*Conv!$D$46)/10^6 + OILTrade!$D$5</f>
        <v>0.22351698694997474</v>
      </c>
      <c r="S713" s="395"/>
      <c r="T713" s="395"/>
      <c r="U713" s="395"/>
      <c r="V713" s="395"/>
      <c r="W713" s="395"/>
      <c r="X713" s="395"/>
      <c r="Y713" s="395"/>
      <c r="Z713" s="395"/>
      <c r="AA713" s="395"/>
      <c r="AB713" s="395"/>
      <c r="AC713" s="395"/>
    </row>
    <row r="714" spans="2:29">
      <c r="B714" s="376" t="str">
        <f>IF(OR(LEFT(Commodities!B$332,1)="*",LEFT(Technologies!B$717,1)="*"),"*","R1")</f>
        <v>R1</v>
      </c>
      <c r="C714" s="376" t="str">
        <f>Technologies!C$742</f>
        <v>XIINDRFLP2</v>
      </c>
      <c r="D714" s="376" t="str">
        <f>Technologies!D717</f>
        <v>Delivery of Imported Low Sulfur Residual Fuel Oil to Industrial Sector</v>
      </c>
      <c r="E714" s="415" t="str">
        <f>Commodities!C$343</f>
        <v>RFLP2</v>
      </c>
      <c r="F714" s="415" t="str">
        <f>Commodities!C105</f>
        <v>INDRFL</v>
      </c>
      <c r="G714" s="422">
        <v>1</v>
      </c>
      <c r="H714" s="421">
        <f>DelivOIL!$B97*DelivOIL!P$77^5/(Conv!$I$5*Conv!$D$46)/10^6 + OILTrade!$D$5</f>
        <v>0.2113582658648383</v>
      </c>
      <c r="I714" s="421">
        <f>DelivOIL!$B97*DelivOIL!Q$77^5/(Conv!$I$5*Conv!$D$46)/10^6 + OILTrade!$D$5</f>
        <v>0.2102413661291245</v>
      </c>
      <c r="J714" s="421">
        <f>DelivOIL!$B97*DelivOIL!R$77^5/(Conv!$I$5*Conv!$D$46)/10^6 + OILTrade!$D$5</f>
        <v>0.22117578652096903</v>
      </c>
      <c r="K714" s="421">
        <f>DelivOIL!$B97*DelivOIL!S$77^5/(Conv!$I$5*Conv!$D$46)/10^6 + OILTrade!$D$5</f>
        <v>0.26643281168853106</v>
      </c>
      <c r="L714" s="421">
        <f>DelivOIL!$B97*DelivOIL!T$77^5/(Conv!$I$5*Conv!$D$46)/10^6 + OILTrade!$D$5</f>
        <v>0.24433867548503324</v>
      </c>
      <c r="M714" s="421">
        <f>DelivOIL!$B97*DelivOIL!U$77^5/(Conv!$I$5*Conv!$D$46)/10^6 + OILTrade!$D$5</f>
        <v>0.21653208110778804</v>
      </c>
      <c r="N714" s="421">
        <f>DelivOIL!$B97*DelivOIL!V$77^5/(Conv!$I$5*Conv!$D$46)/10^6 + OILTrade!$D$5</f>
        <v>0.21653208110778804</v>
      </c>
      <c r="O714" s="421">
        <f>DelivOIL!$B97*DelivOIL!W$77^5/(Conv!$I$5*Conv!$D$46)/10^6 + OILTrade!$D$5</f>
        <v>0.21653208110778804</v>
      </c>
      <c r="P714" s="421">
        <f>DelivOIL!$B97*DelivOIL!X$77^5/(Conv!$I$5*Conv!$D$46)/10^6 + OILTrade!$D$5</f>
        <v>0.21653208110778804</v>
      </c>
      <c r="Q714" s="421">
        <f>DelivOIL!$B97*DelivOIL!Y$77^5/(Conv!$I$5*Conv!$D$46)/10^6 + OILTrade!$D$5</f>
        <v>0.21653208110778804</v>
      </c>
      <c r="S714" s="395"/>
      <c r="T714" s="395"/>
      <c r="U714" s="395"/>
      <c r="V714" s="395"/>
      <c r="W714" s="395"/>
      <c r="X714" s="395"/>
      <c r="Y714" s="395"/>
      <c r="Z714" s="395"/>
      <c r="AA714" s="395"/>
      <c r="AB714" s="395"/>
      <c r="AC714" s="395"/>
    </row>
    <row r="715" spans="2:29">
      <c r="B715" s="376" t="str">
        <f>IF(OR(LEFT(Commodities!B$332,1)="*",LEFT(Technologies!B$718,1)="*"),"*","R1")</f>
        <v>*</v>
      </c>
      <c r="C715" s="376" t="str">
        <f>Technologies!C$743</f>
        <v>XIELCRFLP2</v>
      </c>
      <c r="D715" s="376" t="str">
        <f>Technologies!D718</f>
        <v>Delivery of Imported Low Sulfur Residual Fuel Oil to Electricity Sector</v>
      </c>
      <c r="E715" s="415" t="str">
        <f>Commodities!C$343</f>
        <v>RFLP2</v>
      </c>
      <c r="F715" s="415" t="str">
        <f>Commodities!C106</f>
        <v>ELCRFL</v>
      </c>
      <c r="G715" s="422">
        <v>1</v>
      </c>
      <c r="H715" s="421">
        <f>DelivOIL!$B98*DelivOIL!P$77^5/(Conv!$I$5*Conv!$D$46)/10^6 + OILTrade!$D$5</f>
        <v>0</v>
      </c>
      <c r="I715" s="421">
        <f>DelivOIL!$B98*DelivOIL!Q$77^5/(Conv!$I$5*Conv!$D$46)/10^6 + OILTrade!$D$5</f>
        <v>0</v>
      </c>
      <c r="J715" s="421">
        <f>DelivOIL!$B98*DelivOIL!R$77^5/(Conv!$I$5*Conv!$D$46)/10^6 + OILTrade!$D$5</f>
        <v>0</v>
      </c>
      <c r="K715" s="421">
        <f>DelivOIL!$B98*DelivOIL!S$77^5/(Conv!$I$5*Conv!$D$46)/10^6 + OILTrade!$D$5</f>
        <v>0</v>
      </c>
      <c r="L715" s="421">
        <f>DelivOIL!$B98*DelivOIL!T$77^5/(Conv!$I$5*Conv!$D$46)/10^6 + OILTrade!$D$5</f>
        <v>0</v>
      </c>
      <c r="M715" s="421">
        <f>DelivOIL!$B98*DelivOIL!U$77^5/(Conv!$I$5*Conv!$D$46)/10^6 + OILTrade!$D$5</f>
        <v>0</v>
      </c>
      <c r="N715" s="421">
        <f>DelivOIL!$B98*DelivOIL!V$77^5/(Conv!$I$5*Conv!$D$46)/10^6 + OILTrade!$D$5</f>
        <v>0</v>
      </c>
      <c r="O715" s="421">
        <f>DelivOIL!$B98*DelivOIL!W$77^5/(Conv!$I$5*Conv!$D$46)/10^6 + OILTrade!$D$5</f>
        <v>0</v>
      </c>
      <c r="P715" s="421">
        <f>DelivOIL!$B98*DelivOIL!X$77^5/(Conv!$I$5*Conv!$D$46)/10^6 + OILTrade!$D$5</f>
        <v>0</v>
      </c>
      <c r="Q715" s="421">
        <f>DelivOIL!$B98*DelivOIL!Y$77^5/(Conv!$I$5*Conv!$D$46)/10^6 + OILTrade!$D$5</f>
        <v>0</v>
      </c>
      <c r="S715" s="395"/>
      <c r="T715" s="395"/>
      <c r="U715" s="395"/>
      <c r="V715" s="395"/>
      <c r="W715" s="395"/>
      <c r="X715" s="395"/>
      <c r="Y715" s="395"/>
      <c r="Z715" s="395"/>
      <c r="AA715" s="395"/>
      <c r="AB715" s="395"/>
      <c r="AC715" s="395"/>
    </row>
    <row r="716" spans="2:29">
      <c r="B716" s="376" t="str">
        <f>IF(OR(LEFT(Commodities!B$331,1)="*",LEFT(Technologies!B$719,1)="*"),"*","R1")</f>
        <v>*</v>
      </c>
      <c r="C716" s="376" t="str">
        <f>Technologies!C$744</f>
        <v>XITRNRFHP2</v>
      </c>
      <c r="D716" s="376" t="str">
        <f>Technologies!D719</f>
        <v>Delivery of Imported High Sulfur Residual Fuel Oil to Transportation Sector</v>
      </c>
      <c r="E716" s="415" t="str">
        <f>Commodities!C$342</f>
        <v>RFHP2</v>
      </c>
      <c r="F716" s="415" t="str">
        <f>Commodities!C107</f>
        <v>TRNRFH</v>
      </c>
      <c r="G716" s="422">
        <v>1</v>
      </c>
      <c r="H716" s="421">
        <f>DelivOIL!$B99*DelivOIL!P$77^5/(Conv!$I$5*Conv!$D$46)/10^6 + OILTrade!$D$5</f>
        <v>3.3203701766508438</v>
      </c>
      <c r="I716" s="421">
        <f>DelivOIL!$B99*DelivOIL!Q$77^5/(Conv!$I$5*Conv!$D$46)/10^6 + OILTrade!$D$5</f>
        <v>3.3028240420930177</v>
      </c>
      <c r="J716" s="421">
        <f>DelivOIL!$B99*DelivOIL!R$77^5/(Conv!$I$5*Conv!$D$46)/10^6 + OILTrade!$D$5</f>
        <v>3.4746002592165106</v>
      </c>
      <c r="K716" s="421">
        <f>DelivOIL!$B99*DelivOIL!S$77^5/(Conv!$I$5*Conv!$D$46)/10^6 + OILTrade!$D$5</f>
        <v>4.1855735255585325</v>
      </c>
      <c r="L716" s="421">
        <f>DelivOIL!$B99*DelivOIL!T$77^5/(Conv!$I$5*Conv!$D$46)/10^6 + OILTrade!$D$5</f>
        <v>3.8384817729422931</v>
      </c>
      <c r="M716" s="421">
        <f>DelivOIL!$B99*DelivOIL!U$77^5/(Conv!$I$5*Conv!$D$46)/10^6 + OILTrade!$D$5</f>
        <v>3.4016491451449249</v>
      </c>
      <c r="N716" s="421">
        <f>DelivOIL!$B99*DelivOIL!V$77^5/(Conv!$I$5*Conv!$D$46)/10^6 + OILTrade!$D$5</f>
        <v>3.4016491451449249</v>
      </c>
      <c r="O716" s="421">
        <f>DelivOIL!$B99*DelivOIL!W$77^5/(Conv!$I$5*Conv!$D$46)/10^6 + OILTrade!$D$5</f>
        <v>3.4016491451449249</v>
      </c>
      <c r="P716" s="421">
        <f>DelivOIL!$B99*DelivOIL!X$77^5/(Conv!$I$5*Conv!$D$46)/10^6 + OILTrade!$D$5</f>
        <v>3.4016491451449249</v>
      </c>
      <c r="Q716" s="421">
        <f>DelivOIL!$B99*DelivOIL!Y$77^5/(Conv!$I$5*Conv!$D$46)/10^6 + OILTrade!$D$5</f>
        <v>3.4016491451449249</v>
      </c>
      <c r="S716" s="395"/>
      <c r="T716" s="395"/>
      <c r="U716" s="395"/>
      <c r="V716" s="395"/>
      <c r="W716" s="395"/>
      <c r="X716" s="395"/>
      <c r="Y716" s="395"/>
      <c r="Z716" s="395"/>
      <c r="AA716" s="395"/>
      <c r="AB716" s="395"/>
      <c r="AC716" s="395"/>
    </row>
    <row r="717" spans="2:29">
      <c r="B717" s="376" t="str">
        <f>IF(OR(LEFT(Commodities!B$331,1)="*",LEFT(Technologies!B$720,1)="*"),"*","R1")</f>
        <v>*</v>
      </c>
      <c r="C717" s="376" t="str">
        <f>Technologies!C$745</f>
        <v>XIELCRFHP2</v>
      </c>
      <c r="D717" s="376" t="str">
        <f>Technologies!D720</f>
        <v>Delivery of Imported High Sulfur Residual Fuel Oil to Electricity Sector</v>
      </c>
      <c r="E717" s="415" t="str">
        <f>Commodities!C$342</f>
        <v>RFHP2</v>
      </c>
      <c r="F717" s="415" t="str">
        <f>Commodities!C108</f>
        <v>ELCRFH</v>
      </c>
      <c r="G717" s="422">
        <v>1</v>
      </c>
      <c r="H717" s="421">
        <f>DelivOIL!$B100*DelivOIL!P$77^5/(Conv!$I$5*Conv!$D$46)/10^6 + OILTrade!$D$5</f>
        <v>0.27953835162768914</v>
      </c>
      <c r="I717" s="421">
        <f>DelivOIL!$B100*DelivOIL!Q$77^5/(Conv!$I$5*Conv!$D$46)/10^6 + OILTrade!$D$5</f>
        <v>0.27806116165464834</v>
      </c>
      <c r="J717" s="421">
        <f>DelivOIL!$B100*DelivOIL!R$77^5/(Conv!$I$5*Conv!$D$46)/10^6 + OILTrade!$D$5</f>
        <v>0.29252281443095884</v>
      </c>
      <c r="K717" s="421">
        <f>DelivOIL!$B100*DelivOIL!S$77^5/(Conv!$I$5*Conv!$D$46)/10^6 + OILTrade!$D$5</f>
        <v>0.35237887997515366</v>
      </c>
      <c r="L717" s="421">
        <f>DelivOIL!$B100*DelivOIL!T$77^5/(Conv!$I$5*Conv!$D$46)/10^6 + OILTrade!$D$5</f>
        <v>0.32315760306085017</v>
      </c>
      <c r="M717" s="421">
        <f>DelivOIL!$B100*DelivOIL!U$77^5/(Conv!$I$5*Conv!$D$46)/10^6 + OILTrade!$D$5</f>
        <v>0.28638113952965494</v>
      </c>
      <c r="N717" s="421">
        <f>DelivOIL!$B100*DelivOIL!V$77^5/(Conv!$I$5*Conv!$D$46)/10^6 + OILTrade!$D$5</f>
        <v>0.28638113952965494</v>
      </c>
      <c r="O717" s="421">
        <f>DelivOIL!$B100*DelivOIL!W$77^5/(Conv!$I$5*Conv!$D$46)/10^6 + OILTrade!$D$5</f>
        <v>0.28638113952965494</v>
      </c>
      <c r="P717" s="421">
        <f>DelivOIL!$B100*DelivOIL!X$77^5/(Conv!$I$5*Conv!$D$46)/10^6 + OILTrade!$D$5</f>
        <v>0.28638113952965494</v>
      </c>
      <c r="Q717" s="421">
        <f>DelivOIL!$B100*DelivOIL!Y$77^5/(Conv!$I$5*Conv!$D$46)/10^6 + OILTrade!$D$5</f>
        <v>0.28638113952965494</v>
      </c>
      <c r="S717" s="395"/>
      <c r="T717" s="395"/>
      <c r="U717" s="395"/>
      <c r="V717" s="395"/>
      <c r="W717" s="395"/>
      <c r="X717" s="395"/>
      <c r="Y717" s="395"/>
      <c r="Z717" s="395"/>
      <c r="AA717" s="395"/>
      <c r="AB717" s="395"/>
      <c r="AC717" s="395"/>
    </row>
    <row r="718" spans="2:29">
      <c r="B718" s="378" t="s">
        <v>1085</v>
      </c>
      <c r="C718" s="378"/>
      <c r="D718" s="378"/>
      <c r="E718" s="414"/>
      <c r="F718" s="414"/>
      <c r="G718" s="418"/>
      <c r="H718" s="392"/>
      <c r="I718" s="392"/>
      <c r="J718" s="392"/>
      <c r="K718" s="392"/>
      <c r="L718" s="392"/>
      <c r="M718" s="392"/>
      <c r="N718" s="392"/>
      <c r="O718" s="392"/>
      <c r="P718" s="392"/>
      <c r="Q718" s="392"/>
      <c r="S718" s="395"/>
      <c r="T718" s="395"/>
      <c r="U718" s="395"/>
      <c r="V718" s="395"/>
      <c r="W718" s="395"/>
      <c r="X718" s="395"/>
      <c r="Y718" s="395"/>
      <c r="Z718" s="395"/>
      <c r="AA718" s="395"/>
      <c r="AB718" s="395"/>
      <c r="AC718" s="395"/>
    </row>
    <row r="719" spans="2:29">
      <c r="B719" s="376" t="str">
        <f>IF(LEFT(Technologies!B$702,1)="*","*","R2")</f>
        <v>R2</v>
      </c>
      <c r="C719" s="376" t="str">
        <f>Technologies!C$722</f>
        <v>XITRGSLCP2</v>
      </c>
      <c r="D719" s="376" t="str">
        <f>Technologies!D702</f>
        <v>Delivery of Imported Conventional Gasoline</v>
      </c>
      <c r="E719" s="415" t="str">
        <f>Commodities!C$336</f>
        <v>GSCP2</v>
      </c>
      <c r="F719" s="415" t="str">
        <f>Commodities!C85</f>
        <v>TRGSLC</v>
      </c>
      <c r="G719" s="422">
        <v>1</v>
      </c>
      <c r="H719" s="421">
        <f>DelivOIL!$C77*DelivOIL!P$78^5/(Conv!$I$5*Conv!$D$46)/10^6 + OILTrade!$E$5</f>
        <v>3.3680962366848402</v>
      </c>
      <c r="I719" s="421">
        <f>DelivOIL!$C77*DelivOIL!Q$78^5/(Conv!$I$5*Conv!$D$46)/10^6 + OILTrade!$E$5</f>
        <v>3.3502978989608847</v>
      </c>
      <c r="J719" s="421">
        <f>DelivOIL!$C77*DelivOIL!R$78^5/(Conv!$I$5*Conv!$D$46)/10^6 + OILTrade!$E$5</f>
        <v>3.524543178753504</v>
      </c>
      <c r="K719" s="421">
        <f>DelivOIL!$C77*DelivOIL!S$78^5/(Conv!$I$5*Conv!$D$46)/10^6 + OILTrade!$E$5</f>
        <v>4.2457357733591694</v>
      </c>
      <c r="L719" s="421">
        <f>DelivOIL!$C77*DelivOIL!T$78^5/(Conv!$I$5*Conv!$D$46)/10^6 + OILTrade!$E$5</f>
        <v>3.8936550222453663</v>
      </c>
      <c r="M719" s="421">
        <f>DelivOIL!$C77*DelivOIL!U$78^5/(Conv!$I$5*Conv!$D$46)/10^6 + OILTrade!$E$5</f>
        <v>3.4505434860402331</v>
      </c>
      <c r="N719" s="421">
        <f>DelivOIL!$C77*DelivOIL!V$78^5/(Conv!$I$5*Conv!$D$46)/10^6 + OILTrade!$E$5</f>
        <v>3.4505434860402331</v>
      </c>
      <c r="O719" s="421">
        <f>DelivOIL!$C77*DelivOIL!W$78^5/(Conv!$I$5*Conv!$D$46)/10^6 + OILTrade!$E$5</f>
        <v>3.4505434860402331</v>
      </c>
      <c r="P719" s="421">
        <f>DelivOIL!$C77*DelivOIL!X$78^5/(Conv!$I$5*Conv!$D$46)/10^6 + OILTrade!$E$5</f>
        <v>3.4505434860402331</v>
      </c>
      <c r="Q719" s="421">
        <f>DelivOIL!$C77*DelivOIL!Y$78^5/(Conv!$I$5*Conv!$D$46)/10^6 + OILTrade!$E$5</f>
        <v>3.4505434860402331</v>
      </c>
      <c r="S719" s="395"/>
      <c r="T719" s="395"/>
      <c r="U719" s="395"/>
      <c r="V719" s="395"/>
      <c r="W719" s="395"/>
      <c r="X719" s="395"/>
      <c r="Y719" s="395"/>
      <c r="Z719" s="395"/>
      <c r="AA719" s="395"/>
      <c r="AB719" s="395"/>
      <c r="AC719" s="395"/>
    </row>
    <row r="720" spans="2:29">
      <c r="B720" s="376" t="str">
        <f>IF(LEFT(Technologies!B$703,1)="*","*","R2")</f>
        <v>R2</v>
      </c>
      <c r="C720" s="376" t="str">
        <f>Technologies!C$723</f>
        <v>XITRGSLRP2</v>
      </c>
      <c r="D720" s="376" t="str">
        <f>Technologies!D703</f>
        <v>Delivery of Imported Reformulated Gasoline</v>
      </c>
      <c r="E720" s="415" t="str">
        <f>Commodities!C$337</f>
        <v>GSRP2</v>
      </c>
      <c r="F720" s="415" t="str">
        <f>Commodities!C86</f>
        <v>TRGSLR</v>
      </c>
      <c r="G720" s="422">
        <v>1</v>
      </c>
      <c r="H720" s="421">
        <f>DelivOIL!$C78*DelivOIL!P$78^5/(Conv!$I$5*Conv!$D$46)/10^6 + OILTrade!$E$5</f>
        <v>3.3749142452611252</v>
      </c>
      <c r="I720" s="421">
        <f>DelivOIL!$C78*DelivOIL!Q$78^5/(Conv!$I$5*Conv!$D$46)/10^6 + OILTrade!$E$5</f>
        <v>3.3570798785134373</v>
      </c>
      <c r="J720" s="421">
        <f>DelivOIL!$C78*DelivOIL!R$78^5/(Conv!$I$5*Conv!$D$46)/10^6 + OILTrade!$E$5</f>
        <v>3.5316778815445034</v>
      </c>
      <c r="K720" s="421">
        <f>DelivOIL!$C78*DelivOIL!S$78^5/(Conv!$I$5*Conv!$D$46)/10^6 + OILTrade!$E$5</f>
        <v>4.2543303801878309</v>
      </c>
      <c r="L720" s="421">
        <f>DelivOIL!$C78*DelivOIL!T$78^5/(Conv!$I$5*Conv!$D$46)/10^6 + OILTrade!$E$5</f>
        <v>3.9015369150029477</v>
      </c>
      <c r="M720" s="421">
        <f>DelivOIL!$C78*DelivOIL!U$78^5/(Conv!$I$5*Conv!$D$46)/10^6 + OILTrade!$E$5</f>
        <v>3.4575283918824198</v>
      </c>
      <c r="N720" s="421">
        <f>DelivOIL!$C78*DelivOIL!V$78^5/(Conv!$I$5*Conv!$D$46)/10^6 + OILTrade!$E$5</f>
        <v>3.4575283918824198</v>
      </c>
      <c r="O720" s="421">
        <f>DelivOIL!$C78*DelivOIL!W$78^5/(Conv!$I$5*Conv!$D$46)/10^6 + OILTrade!$E$5</f>
        <v>3.4575283918824198</v>
      </c>
      <c r="P720" s="421">
        <f>DelivOIL!$C78*DelivOIL!X$78^5/(Conv!$I$5*Conv!$D$46)/10^6 + OILTrade!$E$5</f>
        <v>3.4575283918824198</v>
      </c>
      <c r="Q720" s="421">
        <f>DelivOIL!$C78*DelivOIL!Y$78^5/(Conv!$I$5*Conv!$D$46)/10^6 + OILTrade!$E$5</f>
        <v>3.4575283918824198</v>
      </c>
      <c r="S720" s="395"/>
      <c r="T720" s="395"/>
      <c r="U720" s="395"/>
      <c r="V720" s="395"/>
      <c r="W720" s="395"/>
      <c r="X720" s="395"/>
      <c r="Y720" s="395"/>
      <c r="Z720" s="395"/>
      <c r="AA720" s="395"/>
      <c r="AB720" s="395"/>
      <c r="AC720" s="395"/>
    </row>
    <row r="721" spans="2:29">
      <c r="B721" s="376" t="str">
        <f>IF(OR(LEFT(Commodities!B$65,1)="*",LEFT(Technologies!B$233,1)="*"),"*","R2")</f>
        <v>R2</v>
      </c>
      <c r="C721" s="376" t="str">
        <f>Technologies!C$724</f>
        <v>XIRESDSLP2</v>
      </c>
      <c r="D721" s="376" t="str">
        <f>Technologies!D233</f>
        <v>Delivery of Imported Distillate-Heating Oil No. 2 to the Residential Sector</v>
      </c>
      <c r="E721" s="415" t="str">
        <f>Commodities!C$67</f>
        <v>DSHP2</v>
      </c>
      <c r="F721" s="415" t="str">
        <f>Commodities!C87</f>
        <v>RESDSL</v>
      </c>
      <c r="G721" s="422">
        <v>1</v>
      </c>
      <c r="H721" s="421">
        <f>DelivOIL!$C80*DelivOIL!P$78^5/(Conv!$I$5*Conv!$D$46)/10^6 + OILTrade!$E$5</f>
        <v>3.4362763224476911</v>
      </c>
      <c r="I721" s="421">
        <f>DelivOIL!$C80*DelivOIL!Q$78^5/(Conv!$I$5*Conv!$D$46)/10^6 + OILTrade!$E$5</f>
        <v>3.4181176944864093</v>
      </c>
      <c r="J721" s="421">
        <f>DelivOIL!$C80*DelivOIL!R$78^5/(Conv!$I$5*Conv!$D$46)/10^6 + OILTrade!$E$5</f>
        <v>3.5958902066634946</v>
      </c>
      <c r="K721" s="421">
        <f>DelivOIL!$C80*DelivOIL!S$78^5/(Conv!$I$5*Conv!$D$46)/10^6 + OILTrade!$E$5</f>
        <v>4.3316818416457918</v>
      </c>
      <c r="L721" s="421">
        <f>DelivOIL!$C80*DelivOIL!T$78^5/(Conv!$I$5*Conv!$D$46)/10^6 + OILTrade!$E$5</f>
        <v>3.972473949821183</v>
      </c>
      <c r="M721" s="421">
        <f>DelivOIL!$C80*DelivOIL!U$78^5/(Conv!$I$5*Conv!$D$46)/10^6 + OILTrade!$E$5</f>
        <v>3.5203925444621</v>
      </c>
      <c r="N721" s="421">
        <f>DelivOIL!$C80*DelivOIL!V$78^5/(Conv!$I$5*Conv!$D$46)/10^6 + OILTrade!$E$5</f>
        <v>3.5203925444621</v>
      </c>
      <c r="O721" s="421">
        <f>DelivOIL!$C80*DelivOIL!W$78^5/(Conv!$I$5*Conv!$D$46)/10^6 + OILTrade!$E$5</f>
        <v>3.5203925444621</v>
      </c>
      <c r="P721" s="421">
        <f>DelivOIL!$C80*DelivOIL!X$78^5/(Conv!$I$5*Conv!$D$46)/10^6 + OILTrade!$E$5</f>
        <v>3.5203925444621</v>
      </c>
      <c r="Q721" s="421">
        <f>DelivOIL!$C80*DelivOIL!Y$78^5/(Conv!$I$5*Conv!$D$46)/10^6 + OILTrade!$E$5</f>
        <v>3.5203925444621</v>
      </c>
      <c r="S721" s="395"/>
      <c r="T721" s="395"/>
      <c r="U721" s="395"/>
      <c r="V721" s="395"/>
      <c r="W721" s="395"/>
      <c r="X721" s="395"/>
      <c r="Y721" s="395"/>
      <c r="Z721" s="395"/>
      <c r="AA721" s="395"/>
      <c r="AB721" s="395"/>
      <c r="AC721" s="395"/>
    </row>
    <row r="722" spans="2:29">
      <c r="B722" s="376" t="str">
        <f>IF(OR(LEFT(Commodities!B$65,1)="*",LEFT(Technologies!B$234,1)="*"),"*","R2")</f>
        <v>R2</v>
      </c>
      <c r="C722" s="376" t="str">
        <f>Technologies!C$725</f>
        <v>XICOMDSLP2</v>
      </c>
      <c r="D722" s="376" t="str">
        <f>Technologies!D234</f>
        <v>Delivery of Imported Distillate-Heating Oil No. 2 to the Commercial Sector</v>
      </c>
      <c r="E722" s="415" t="str">
        <f>Commodities!C$67</f>
        <v>DSHP2</v>
      </c>
      <c r="F722" s="415" t="str">
        <f>Commodities!C88</f>
        <v>COMDSL</v>
      </c>
      <c r="G722" s="422">
        <v>1</v>
      </c>
      <c r="H722" s="421">
        <f>DelivOIL!$C81*DelivOIL!P$78^5/(Conv!$I$5*Conv!$D$46)/10^6 + OILTrade!$E$5</f>
        <v>1.3976917581384452</v>
      </c>
      <c r="I722" s="421">
        <f>DelivOIL!$C81*DelivOIL!Q$78^5/(Conv!$I$5*Conv!$D$46)/10^6 + OILTrade!$E$5</f>
        <v>1.3903058082732411</v>
      </c>
      <c r="J722" s="421">
        <f>DelivOIL!$C81*DelivOIL!R$78^5/(Conv!$I$5*Conv!$D$46)/10^6 + OILTrade!$E$5</f>
        <v>1.4626140721547936</v>
      </c>
      <c r="K722" s="421">
        <f>DelivOIL!$C81*DelivOIL!S$78^5/(Conv!$I$5*Conv!$D$46)/10^6 + OILTrade!$E$5</f>
        <v>1.7618943998757679</v>
      </c>
      <c r="L722" s="421">
        <f>DelivOIL!$C81*DelivOIL!T$78^5/(Conv!$I$5*Conv!$D$46)/10^6 + OILTrade!$E$5</f>
        <v>1.6157880153042503</v>
      </c>
      <c r="M722" s="421">
        <f>DelivOIL!$C81*DelivOIL!U$78^5/(Conv!$I$5*Conv!$D$46)/10^6 + OILTrade!$E$5</f>
        <v>1.4319056976482742</v>
      </c>
      <c r="N722" s="421">
        <f>DelivOIL!$C81*DelivOIL!V$78^5/(Conv!$I$5*Conv!$D$46)/10^6 + OILTrade!$E$5</f>
        <v>1.4319056976482742</v>
      </c>
      <c r="O722" s="421">
        <f>DelivOIL!$C81*DelivOIL!W$78^5/(Conv!$I$5*Conv!$D$46)/10^6 + OILTrade!$E$5</f>
        <v>1.4319056976482742</v>
      </c>
      <c r="P722" s="421">
        <f>DelivOIL!$C81*DelivOIL!X$78^5/(Conv!$I$5*Conv!$D$46)/10^6 + OILTrade!$E$5</f>
        <v>1.4319056976482742</v>
      </c>
      <c r="Q722" s="421">
        <f>DelivOIL!$C81*DelivOIL!Y$78^5/(Conv!$I$5*Conv!$D$46)/10^6 + OILTrade!$E$5</f>
        <v>1.4319056976482742</v>
      </c>
      <c r="S722" s="395"/>
      <c r="T722" s="395"/>
      <c r="U722" s="395"/>
      <c r="V722" s="395"/>
      <c r="W722" s="395"/>
      <c r="X722" s="395"/>
      <c r="Y722" s="395"/>
      <c r="Z722" s="395"/>
      <c r="AA722" s="395"/>
      <c r="AB722" s="395"/>
      <c r="AC722" s="395"/>
    </row>
    <row r="723" spans="2:29">
      <c r="B723" s="376" t="str">
        <f>IF(OR(LEFT(Commodities!B$65,1)="*",LEFT(Technologies!B$235,1)="*"),"*","R2")</f>
        <v>*</v>
      </c>
      <c r="C723" s="376" t="str">
        <f>Technologies!C$726</f>
        <v>XIINDDSLP2</v>
      </c>
      <c r="D723" s="376" t="str">
        <f>Technologies!D235</f>
        <v>Delivery of Imported Distillate-Heating Oil No. 2 to the Indistrial Sector</v>
      </c>
      <c r="E723" s="415" t="str">
        <f>Commodities!C$67</f>
        <v>DSHP2</v>
      </c>
      <c r="F723" s="415" t="str">
        <f>Commodities!C89</f>
        <v>INDDSL</v>
      </c>
      <c r="G723" s="422">
        <v>1</v>
      </c>
      <c r="H723" s="421">
        <f>DelivOIL!$C82*DelivOIL!P$78^5/(Conv!$I$5*Conv!$D$46)/10^6 + OILTrade!$E$5</f>
        <v>1.4999618867827225</v>
      </c>
      <c r="I723" s="421">
        <f>DelivOIL!$C82*DelivOIL!Q$78^5/(Conv!$I$5*Conv!$D$46)/10^6 + OILTrade!$E$5</f>
        <v>1.4920355015615279</v>
      </c>
      <c r="J723" s="421">
        <f>DelivOIL!$C82*DelivOIL!R$78^5/(Conv!$I$5*Conv!$D$46)/10^6 + OILTrade!$E$5</f>
        <v>1.5696346140197794</v>
      </c>
      <c r="K723" s="421">
        <f>DelivOIL!$C82*DelivOIL!S$78^5/(Conv!$I$5*Conv!$D$46)/10^6 + OILTrade!$E$5</f>
        <v>1.8908135023057033</v>
      </c>
      <c r="L723" s="421">
        <f>DelivOIL!$C82*DelivOIL!T$78^5/(Conv!$I$5*Conv!$D$46)/10^6 + OILTrade!$E$5</f>
        <v>1.7340164066679769</v>
      </c>
      <c r="M723" s="421">
        <f>DelivOIL!$C82*DelivOIL!U$78^5/(Conv!$I$5*Conv!$D$46)/10^6 + OILTrade!$E$5</f>
        <v>1.5366792852810756</v>
      </c>
      <c r="N723" s="421">
        <f>DelivOIL!$C82*DelivOIL!V$78^5/(Conv!$I$5*Conv!$D$46)/10^6 + OILTrade!$E$5</f>
        <v>1.5366792852810756</v>
      </c>
      <c r="O723" s="421">
        <f>DelivOIL!$C82*DelivOIL!W$78^5/(Conv!$I$5*Conv!$D$46)/10^6 + OILTrade!$E$5</f>
        <v>1.5366792852810756</v>
      </c>
      <c r="P723" s="421">
        <f>DelivOIL!$C82*DelivOIL!X$78^5/(Conv!$I$5*Conv!$D$46)/10^6 + OILTrade!$E$5</f>
        <v>1.5366792852810756</v>
      </c>
      <c r="Q723" s="421">
        <f>DelivOIL!$C82*DelivOIL!Y$78^5/(Conv!$I$5*Conv!$D$46)/10^6 + OILTrade!$E$5</f>
        <v>1.5366792852810756</v>
      </c>
      <c r="S723" s="395"/>
      <c r="T723" s="395"/>
      <c r="U723" s="395"/>
      <c r="V723" s="395"/>
      <c r="W723" s="395"/>
      <c r="X723" s="395"/>
      <c r="Y723" s="395"/>
      <c r="Z723" s="395"/>
      <c r="AA723" s="395"/>
      <c r="AB723" s="395"/>
      <c r="AC723" s="395"/>
    </row>
    <row r="724" spans="2:29">
      <c r="B724" s="376" t="str">
        <f>IF(OR(LEFT(Commodities!B$65,1)="*",LEFT(Technologies!B$236,1)="*"),"*","R2")</f>
        <v>R2</v>
      </c>
      <c r="C724" s="376" t="str">
        <f>Technologies!C$727</f>
        <v>XIELCDSLP2</v>
      </c>
      <c r="D724" s="376" t="str">
        <f>Technologies!D236</f>
        <v>Delivery of Imported Distillate-Heating Oil No. 2 to the Electricity Sector</v>
      </c>
      <c r="E724" s="415" t="str">
        <f>Commodities!C$67</f>
        <v>DSHP2</v>
      </c>
      <c r="F724" s="415" t="str">
        <f>Commodities!C90</f>
        <v>ELCDSL</v>
      </c>
      <c r="G724" s="422">
        <v>1</v>
      </c>
      <c r="H724" s="421">
        <f>DelivOIL!$C83*DelivOIL!P$78^5/(Conv!$I$5*Conv!$D$46)/10^6 + OILTrade!$E$5</f>
        <v>0.51816865179766802</v>
      </c>
      <c r="I724" s="421">
        <f>DelivOIL!$C83*DelivOIL!Q$78^5/(Conv!$I$5*Conv!$D$46)/10^6 + OILTrade!$E$5</f>
        <v>0.51543044599398258</v>
      </c>
      <c r="J724" s="421">
        <f>DelivOIL!$C83*DelivOIL!R$78^5/(Conv!$I$5*Conv!$D$46)/10^6 + OILTrade!$E$5</f>
        <v>0.54223741211592402</v>
      </c>
      <c r="K724" s="421">
        <f>DelivOIL!$C83*DelivOIL!S$78^5/(Conv!$I$5*Conv!$D$46)/10^6 + OILTrade!$E$5</f>
        <v>0.65319011897833412</v>
      </c>
      <c r="L724" s="421">
        <f>DelivOIL!$C83*DelivOIL!T$78^5/(Conv!$I$5*Conv!$D$46)/10^6 + OILTrade!$E$5</f>
        <v>0.59902384957621058</v>
      </c>
      <c r="M724" s="421">
        <f>DelivOIL!$C83*DelivOIL!U$78^5/(Conv!$I$5*Conv!$D$46)/10^6 + OILTrade!$E$5</f>
        <v>0.53085284400619004</v>
      </c>
      <c r="N724" s="421">
        <f>DelivOIL!$C83*DelivOIL!V$78^5/(Conv!$I$5*Conv!$D$46)/10^6 + OILTrade!$E$5</f>
        <v>0.53085284400619004</v>
      </c>
      <c r="O724" s="421">
        <f>DelivOIL!$C83*DelivOIL!W$78^5/(Conv!$I$5*Conv!$D$46)/10^6 + OILTrade!$E$5</f>
        <v>0.53085284400619004</v>
      </c>
      <c r="P724" s="421">
        <f>DelivOIL!$C83*DelivOIL!X$78^5/(Conv!$I$5*Conv!$D$46)/10^6 + OILTrade!$E$5</f>
        <v>0.53085284400619004</v>
      </c>
      <c r="Q724" s="421">
        <f>DelivOIL!$C83*DelivOIL!Y$78^5/(Conv!$I$5*Conv!$D$46)/10^6 + OILTrade!$E$5</f>
        <v>0.53085284400619004</v>
      </c>
      <c r="S724" s="395"/>
      <c r="T724" s="395"/>
      <c r="U724" s="395"/>
      <c r="V724" s="395"/>
      <c r="W724" s="395"/>
      <c r="X724" s="395"/>
      <c r="Y724" s="395"/>
      <c r="Z724" s="395"/>
      <c r="AA724" s="395"/>
      <c r="AB724" s="395"/>
      <c r="AC724" s="395"/>
    </row>
    <row r="725" spans="2:29">
      <c r="B725" s="376" t="str">
        <f>IF(OR(LEFT(Commodities!B$323,1)="*",LEFT(Technologies!B$704,1)="*"),"*","R2")</f>
        <v>R2</v>
      </c>
      <c r="C725" s="376" t="str">
        <f>Technologies!C$728</f>
        <v>XITRDSLLP2</v>
      </c>
      <c r="D725" s="376" t="str">
        <f>Technologies!D704</f>
        <v>Delivery of Imported Distillate-Low Sulfur Highway Diesel (500 ppm)</v>
      </c>
      <c r="E725" s="415" t="str">
        <f>Commodities!C$334</f>
        <v>DSLP2</v>
      </c>
      <c r="F725" s="415" t="str">
        <f>Commodities!C91</f>
        <v>TRDSLL</v>
      </c>
      <c r="G725" s="422">
        <v>1</v>
      </c>
      <c r="H725" s="421">
        <f>DelivOIL!$C84*DelivOIL!P$78^5/(Conv!$I$5*Conv!$D$46)/10^6 + OILTrade!$E$5</f>
        <v>4.2203473087204779</v>
      </c>
      <c r="I725" s="421">
        <f>DelivOIL!$C84*DelivOIL!Q$78^5/(Conv!$I$5*Conv!$D$46)/10^6 + OILTrade!$E$5</f>
        <v>4.1980453430299347</v>
      </c>
      <c r="J725" s="421">
        <f>DelivOIL!$C84*DelivOIL!R$78^5/(Conv!$I$5*Conv!$D$46)/10^6 + OILTrade!$E$5</f>
        <v>4.416381027628379</v>
      </c>
      <c r="K725" s="421">
        <f>DelivOIL!$C84*DelivOIL!S$78^5/(Conv!$I$5*Conv!$D$46)/10^6 + OILTrade!$E$5</f>
        <v>5.3200616269419534</v>
      </c>
      <c r="L725" s="421">
        <f>DelivOIL!$C84*DelivOIL!T$78^5/(Conv!$I$5*Conv!$D$46)/10^6 + OILTrade!$E$5</f>
        <v>4.87889161694308</v>
      </c>
      <c r="M725" s="421">
        <f>DelivOIL!$C84*DelivOIL!U$78^5/(Conv!$I$5*Conv!$D$46)/10^6 + OILTrade!$E$5</f>
        <v>4.3236567163135717</v>
      </c>
      <c r="N725" s="421">
        <f>DelivOIL!$C84*DelivOIL!V$78^5/(Conv!$I$5*Conv!$D$46)/10^6 + OILTrade!$E$5</f>
        <v>4.3236567163135717</v>
      </c>
      <c r="O725" s="421">
        <f>DelivOIL!$C84*DelivOIL!W$78^5/(Conv!$I$5*Conv!$D$46)/10^6 + OILTrade!$E$5</f>
        <v>4.3236567163135717</v>
      </c>
      <c r="P725" s="421">
        <f>DelivOIL!$C84*DelivOIL!X$78^5/(Conv!$I$5*Conv!$D$46)/10^6 + OILTrade!$E$5</f>
        <v>4.3236567163135717</v>
      </c>
      <c r="Q725" s="421">
        <f>DelivOIL!$C84*DelivOIL!Y$78^5/(Conv!$I$5*Conv!$D$46)/10^6 + OILTrade!$E$5</f>
        <v>4.3236567163135717</v>
      </c>
      <c r="S725" s="395"/>
      <c r="T725" s="395"/>
      <c r="U725" s="395"/>
      <c r="V725" s="395"/>
      <c r="W725" s="395"/>
      <c r="X725" s="395"/>
      <c r="Y725" s="395"/>
      <c r="Z725" s="395"/>
      <c r="AA725" s="395"/>
      <c r="AB725" s="395"/>
      <c r="AC725" s="395"/>
    </row>
    <row r="726" spans="2:29">
      <c r="B726" s="376" t="str">
        <f>IF(OR(LEFT(Commodities!B$324,1)="*",LEFT(Technologies!B$705,1)="*"),"*","R2")</f>
        <v>R2</v>
      </c>
      <c r="C726" s="376" t="str">
        <f>Technologies!C$729</f>
        <v>XITRDSLUP2</v>
      </c>
      <c r="D726" s="376" t="str">
        <f>Technologies!D705</f>
        <v>Delivery of Imported Distillate-Ultralow Sulfur Highway Diesel (15 ppm)</v>
      </c>
      <c r="E726" s="415" t="str">
        <f>Commodities!C$335</f>
        <v>DSUP2</v>
      </c>
      <c r="F726" s="415" t="str">
        <f>Commodities!C92</f>
        <v>TRDSLU</v>
      </c>
      <c r="G726" s="422">
        <v>1</v>
      </c>
      <c r="H726" s="421">
        <f>DelivOIL!$C85*DelivOIL!P$78^5/(Conv!$I$5*Conv!$D$46)/10^6 + OILTrade!$E$5</f>
        <v>3.5794545025496785</v>
      </c>
      <c r="I726" s="421">
        <f>DelivOIL!$C85*DelivOIL!Q$78^5/(Conv!$I$5*Conv!$D$46)/10^6 + OILTrade!$E$5</f>
        <v>3.5605392650900098</v>
      </c>
      <c r="J726" s="421">
        <f>DelivOIL!$C85*DelivOIL!R$78^5/(Conv!$I$5*Conv!$D$46)/10^6 + OILTrade!$E$5</f>
        <v>3.7457189652744733</v>
      </c>
      <c r="K726" s="421">
        <f>DelivOIL!$C85*DelivOIL!S$78^5/(Conv!$I$5*Conv!$D$46)/10^6 + OILTrade!$E$5</f>
        <v>4.5121685850477</v>
      </c>
      <c r="L726" s="421">
        <f>DelivOIL!$C85*DelivOIL!T$78^5/(Conv!$I$5*Conv!$D$46)/10^6 + OILTrade!$E$5</f>
        <v>4.1379936977303995</v>
      </c>
      <c r="M726" s="421">
        <f>DelivOIL!$C85*DelivOIL!U$78^5/(Conv!$I$5*Conv!$D$46)/10^6 + OILTrade!$E$5</f>
        <v>3.6670755671480211</v>
      </c>
      <c r="N726" s="421">
        <f>DelivOIL!$C85*DelivOIL!V$78^5/(Conv!$I$5*Conv!$D$46)/10^6 + OILTrade!$E$5</f>
        <v>3.6670755671480211</v>
      </c>
      <c r="O726" s="421">
        <f>DelivOIL!$C85*DelivOIL!W$78^5/(Conv!$I$5*Conv!$D$46)/10^6 + OILTrade!$E$5</f>
        <v>3.6670755671480211</v>
      </c>
      <c r="P726" s="421">
        <f>DelivOIL!$C85*DelivOIL!X$78^5/(Conv!$I$5*Conv!$D$46)/10^6 + OILTrade!$E$5</f>
        <v>3.6670755671480211</v>
      </c>
      <c r="Q726" s="421">
        <f>DelivOIL!$C85*DelivOIL!Y$78^5/(Conv!$I$5*Conv!$D$46)/10^6 + OILTrade!$E$5</f>
        <v>3.6670755671480211</v>
      </c>
      <c r="S726" s="395"/>
      <c r="T726" s="395"/>
      <c r="U726" s="395"/>
      <c r="V726" s="395"/>
      <c r="W726" s="395"/>
      <c r="X726" s="395"/>
      <c r="Y726" s="395"/>
      <c r="Z726" s="395"/>
      <c r="AA726" s="395"/>
      <c r="AB726" s="395"/>
      <c r="AC726" s="395"/>
    </row>
    <row r="727" spans="2:29">
      <c r="B727" s="376" t="str">
        <f>IF(OR(LEFT(Commodities!B$64,1)="*",LEFT(Technologies!B$232,1)="*"),"*","R2")</f>
        <v>R2</v>
      </c>
      <c r="C727" s="376" t="str">
        <f>Technologies!C$730</f>
        <v>XITRNJTFP2</v>
      </c>
      <c r="D727" s="376" t="str">
        <f>Technologies!D232</f>
        <v>Delivery of Imported Jet Fuel</v>
      </c>
      <c r="E727" s="415" t="str">
        <f>Commodities!C$66</f>
        <v>JTFP2</v>
      </c>
      <c r="F727" s="415" t="str">
        <f>Commodities!C93</f>
        <v>TRNJTF</v>
      </c>
      <c r="G727" s="422">
        <v>1</v>
      </c>
      <c r="H727" s="421">
        <f>DelivOIL!$C86*DelivOIL!P$78^5/(Conv!$I$5*Conv!$D$46)/10^6 + OILTrade!$E$5</f>
        <v>0.68861886620479495</v>
      </c>
      <c r="I727" s="421">
        <f>DelivOIL!$C86*DelivOIL!Q$78^5/(Conv!$I$5*Conv!$D$46)/10^6 + OILTrade!$E$5</f>
        <v>0.68497993480779196</v>
      </c>
      <c r="J727" s="421">
        <f>DelivOIL!$C86*DelivOIL!R$78^5/(Conv!$I$5*Conv!$D$46)/10^6 + OILTrade!$E$5</f>
        <v>0.72060498189089828</v>
      </c>
      <c r="K727" s="421">
        <f>DelivOIL!$C86*DelivOIL!S$78^5/(Conv!$I$5*Conv!$D$46)/10^6 + OILTrade!$E$5</f>
        <v>0.86805528969489054</v>
      </c>
      <c r="L727" s="421">
        <f>DelivOIL!$C86*DelivOIL!T$78^5/(Conv!$I$5*Conv!$D$46)/10^6 + OILTrade!$E$5</f>
        <v>0.79607116851575266</v>
      </c>
      <c r="M727" s="421">
        <f>DelivOIL!$C86*DelivOIL!U$78^5/(Conv!$I$5*Conv!$D$46)/10^6 + OILTrade!$E$5</f>
        <v>0.70547549006085708</v>
      </c>
      <c r="N727" s="421">
        <f>DelivOIL!$C86*DelivOIL!V$78^5/(Conv!$I$5*Conv!$D$46)/10^6 + OILTrade!$E$5</f>
        <v>0.70547549006085708</v>
      </c>
      <c r="O727" s="421">
        <f>DelivOIL!$C86*DelivOIL!W$78^5/(Conv!$I$5*Conv!$D$46)/10^6 + OILTrade!$E$5</f>
        <v>0.70547549006085708</v>
      </c>
      <c r="P727" s="421">
        <f>DelivOIL!$C86*DelivOIL!X$78^5/(Conv!$I$5*Conv!$D$46)/10^6 + OILTrade!$E$5</f>
        <v>0.70547549006085708</v>
      </c>
      <c r="Q727" s="421">
        <f>DelivOIL!$C86*DelivOIL!Y$78^5/(Conv!$I$5*Conv!$D$46)/10^6 + OILTrade!$E$5</f>
        <v>0.70547549006085708</v>
      </c>
      <c r="S727" s="395"/>
      <c r="T727" s="395"/>
      <c r="U727" s="395"/>
      <c r="V727" s="395"/>
      <c r="W727" s="395"/>
      <c r="X727" s="395"/>
      <c r="Y727" s="395"/>
      <c r="Z727" s="395"/>
      <c r="AA727" s="395"/>
      <c r="AB727" s="395"/>
      <c r="AC727" s="395"/>
    </row>
    <row r="728" spans="2:29">
      <c r="B728" s="376" t="str">
        <f>IF(OR(LEFT(Commodities!B$327,1)="*",LEFT(Technologies!B$706,1)="*"),"*","R2")</f>
        <v>*</v>
      </c>
      <c r="C728" s="376" t="str">
        <f>Technologies!C$731</f>
        <v>XIRESKERP2</v>
      </c>
      <c r="D728" s="376" t="str">
        <f>Technologies!D706</f>
        <v>Delivery of Imported Kerosene and Other Refined Products to the Residential Sector</v>
      </c>
      <c r="E728" s="415" t="str">
        <f>Commodities!C$338</f>
        <v>KERP2</v>
      </c>
      <c r="F728" s="415" t="str">
        <f>Commodities!C94</f>
        <v>RESKER</v>
      </c>
      <c r="G728" s="422">
        <v>1</v>
      </c>
      <c r="H728" s="421">
        <f>DelivOIL!$C87*DelivOIL!P$78^5/(Conv!$I$5*Conv!$D$46)/10^6 + OILTrade!$E$5</f>
        <v>2.1135826586483804</v>
      </c>
      <c r="I728" s="421">
        <f>DelivOIL!$C87*DelivOIL!Q$78^5/(Conv!$I$5*Conv!$D$46)/10^6 + OILTrade!$E$5</f>
        <v>2.1024136612912425</v>
      </c>
      <c r="J728" s="421">
        <f>DelivOIL!$C87*DelivOIL!R$78^5/(Conv!$I$5*Conv!$D$46)/10^6 + OILTrade!$E$5</f>
        <v>2.2117578652096879</v>
      </c>
      <c r="K728" s="421">
        <f>DelivOIL!$C87*DelivOIL!S$78^5/(Conv!$I$5*Conv!$D$46)/10^6 + OILTrade!$E$5</f>
        <v>2.6643281168853075</v>
      </c>
      <c r="L728" s="421">
        <f>DelivOIL!$C87*DelivOIL!T$78^5/(Conv!$I$5*Conv!$D$46)/10^6 + OILTrade!$E$5</f>
        <v>2.4433867548503301</v>
      </c>
      <c r="M728" s="421">
        <f>DelivOIL!$C87*DelivOIL!U$78^5/(Conv!$I$5*Conv!$D$46)/10^6 + OILTrade!$E$5</f>
        <v>2.1653208110778785</v>
      </c>
      <c r="N728" s="421">
        <f>DelivOIL!$C87*DelivOIL!V$78^5/(Conv!$I$5*Conv!$D$46)/10^6 + OILTrade!$E$5</f>
        <v>2.1653208110778785</v>
      </c>
      <c r="O728" s="421">
        <f>DelivOIL!$C87*DelivOIL!W$78^5/(Conv!$I$5*Conv!$D$46)/10^6 + OILTrade!$E$5</f>
        <v>2.1653208110778785</v>
      </c>
      <c r="P728" s="421">
        <f>DelivOIL!$C87*DelivOIL!X$78^5/(Conv!$I$5*Conv!$D$46)/10^6 + OILTrade!$E$5</f>
        <v>2.1653208110778785</v>
      </c>
      <c r="Q728" s="421">
        <f>DelivOIL!$C87*DelivOIL!Y$78^5/(Conv!$I$5*Conv!$D$46)/10^6 + OILTrade!$E$5</f>
        <v>2.1653208110778785</v>
      </c>
      <c r="S728" s="395"/>
      <c r="T728" s="395"/>
      <c r="U728" s="395"/>
      <c r="V728" s="395"/>
      <c r="W728" s="395"/>
      <c r="X728" s="395"/>
      <c r="Y728" s="395"/>
      <c r="Z728" s="395"/>
      <c r="AA728" s="395"/>
      <c r="AB728" s="395"/>
      <c r="AC728" s="395"/>
    </row>
    <row r="729" spans="2:29">
      <c r="B729" s="376" t="str">
        <f>IF(OR(LEFT(Commodities!B$327,1)="*",LEFT(Technologies!B$707,1)="*"),"*","R2")</f>
        <v>*</v>
      </c>
      <c r="C729" s="376" t="str">
        <f>Technologies!C$732</f>
        <v>XICOMKERP2</v>
      </c>
      <c r="D729" s="376" t="str">
        <f>Technologies!D707</f>
        <v>Delivery of Imported Kerosene and Other Refined Products to the Commercial Sector</v>
      </c>
      <c r="E729" s="415" t="str">
        <f>E728</f>
        <v>KERP2</v>
      </c>
      <c r="F729" s="415" t="str">
        <f>Commodities!C95</f>
        <v>COMKER</v>
      </c>
      <c r="G729" s="422">
        <v>1</v>
      </c>
      <c r="H729" s="421">
        <f>DelivOIL!$C88*DelivOIL!P$78^5/(Conv!$I$5*Conv!$D$46)/10^6 + OILTrade!$E$5</f>
        <v>1.8681343499021184</v>
      </c>
      <c r="I729" s="421">
        <f>DelivOIL!$C88*DelivOIL!Q$78^5/(Conv!$I$5*Conv!$D$46)/10^6 + OILTrade!$E$5</f>
        <v>1.8582623973993577</v>
      </c>
      <c r="J729" s="421">
        <f>DelivOIL!$C88*DelivOIL!R$78^5/(Conv!$I$5*Conv!$D$46)/10^6 + OILTrade!$E$5</f>
        <v>1.9549085647337254</v>
      </c>
      <c r="K729" s="421">
        <f>DelivOIL!$C88*DelivOIL!S$78^5/(Conv!$I$5*Conv!$D$46)/10^6 + OILTrade!$E$5</f>
        <v>2.354922271053467</v>
      </c>
      <c r="L729" s="421">
        <f>DelivOIL!$C88*DelivOIL!T$78^5/(Conv!$I$5*Conv!$D$46)/10^6 + OILTrade!$E$5</f>
        <v>2.1596386155773901</v>
      </c>
      <c r="M729" s="421">
        <f>DelivOIL!$C88*DelivOIL!U$78^5/(Conv!$I$5*Conv!$D$46)/10^6 + OILTrade!$E$5</f>
        <v>1.9138642007591582</v>
      </c>
      <c r="N729" s="421">
        <f>DelivOIL!$C88*DelivOIL!V$78^5/(Conv!$I$5*Conv!$D$46)/10^6 + OILTrade!$E$5</f>
        <v>1.9138642007591582</v>
      </c>
      <c r="O729" s="421">
        <f>DelivOIL!$C88*DelivOIL!W$78^5/(Conv!$I$5*Conv!$D$46)/10^6 + OILTrade!$E$5</f>
        <v>1.9138642007591582</v>
      </c>
      <c r="P729" s="421">
        <f>DelivOIL!$C88*DelivOIL!X$78^5/(Conv!$I$5*Conv!$D$46)/10^6 + OILTrade!$E$5</f>
        <v>1.9138642007591582</v>
      </c>
      <c r="Q729" s="421">
        <f>DelivOIL!$C88*DelivOIL!Y$78^5/(Conv!$I$5*Conv!$D$46)/10^6 + OILTrade!$E$5</f>
        <v>1.9138642007591582</v>
      </c>
      <c r="S729" s="395"/>
      <c r="T729" s="395"/>
      <c r="U729" s="395"/>
      <c r="V729" s="395"/>
      <c r="W729" s="395"/>
      <c r="X729" s="395"/>
      <c r="Y729" s="395"/>
      <c r="Z729" s="395"/>
      <c r="AA729" s="395"/>
      <c r="AB729" s="395"/>
      <c r="AC729" s="395"/>
    </row>
    <row r="730" spans="2:29">
      <c r="B730" s="376" t="str">
        <f>IF(OR(LEFT(Commodities!B$327,1)="*",LEFT(Technologies!B$708,1)="*"),"*","R2")</f>
        <v>*</v>
      </c>
      <c r="C730" s="376" t="str">
        <f>Technologies!C$733</f>
        <v>XIINDKERP2</v>
      </c>
      <c r="D730" s="376" t="str">
        <f>Technologies!D708</f>
        <v>Delivery of Imported Kerosene and Other Refined Products to the Industrial Sector</v>
      </c>
      <c r="E730" s="415" t="str">
        <f>E729</f>
        <v>KERP2</v>
      </c>
      <c r="F730" s="415" t="str">
        <f>Commodities!C96</f>
        <v>INDKER</v>
      </c>
      <c r="G730" s="422">
        <v>1</v>
      </c>
      <c r="H730" s="421">
        <f>DelivOIL!$C89*DelivOIL!P$78^5/(Conv!$I$5*Conv!$D$46)/10^6 + OILTrade!$E$5</f>
        <v>1.1590614579684675</v>
      </c>
      <c r="I730" s="421">
        <f>DelivOIL!$C89*DelivOIL!Q$78^5/(Conv!$I$5*Conv!$D$46)/10^6 + OILTrade!$E$5</f>
        <v>1.152936523933908</v>
      </c>
      <c r="J730" s="421">
        <f>DelivOIL!$C89*DelivOIL!R$78^5/(Conv!$I$5*Conv!$D$46)/10^6 + OILTrade!$E$5</f>
        <v>1.2128994744698296</v>
      </c>
      <c r="K730" s="421">
        <f>DelivOIL!$C89*DelivOIL!S$78^5/(Conv!$I$5*Conv!$D$46)/10^6 + OILTrade!$E$5</f>
        <v>1.4610831608725887</v>
      </c>
      <c r="L730" s="421">
        <f>DelivOIL!$C89*DelivOIL!T$78^5/(Conv!$I$5*Conv!$D$46)/10^6 + OILTrade!$E$5</f>
        <v>1.3399217687888911</v>
      </c>
      <c r="M730" s="421">
        <f>DelivOIL!$C89*DelivOIL!U$78^5/(Conv!$I$5*Conv!$D$46)/10^6 + OILTrade!$E$5</f>
        <v>1.1874339931717401</v>
      </c>
      <c r="N730" s="421">
        <f>DelivOIL!$C89*DelivOIL!V$78^5/(Conv!$I$5*Conv!$D$46)/10^6 + OILTrade!$E$5</f>
        <v>1.1874339931717401</v>
      </c>
      <c r="O730" s="421">
        <f>DelivOIL!$C89*DelivOIL!W$78^5/(Conv!$I$5*Conv!$D$46)/10^6 + OILTrade!$E$5</f>
        <v>1.1874339931717401</v>
      </c>
      <c r="P730" s="421">
        <f>DelivOIL!$C89*DelivOIL!X$78^5/(Conv!$I$5*Conv!$D$46)/10^6 + OILTrade!$E$5</f>
        <v>1.1874339931717401</v>
      </c>
      <c r="Q730" s="421">
        <f>DelivOIL!$C89*DelivOIL!Y$78^5/(Conv!$I$5*Conv!$D$46)/10^6 + OILTrade!$E$5</f>
        <v>1.1874339931717401</v>
      </c>
      <c r="S730" s="395"/>
      <c r="T730" s="395"/>
      <c r="U730" s="395"/>
      <c r="V730" s="395"/>
      <c r="W730" s="395"/>
      <c r="X730" s="395"/>
      <c r="Y730" s="395"/>
      <c r="Z730" s="395"/>
      <c r="AA730" s="395"/>
      <c r="AB730" s="395"/>
      <c r="AC730" s="395"/>
    </row>
    <row r="731" spans="2:29">
      <c r="B731" s="376" t="str">
        <f>IF(OR(LEFT(Commodities!B$328,1)="*",LEFT(Technologies!B$709,1)="*"),"*","R2")</f>
        <v>*</v>
      </c>
      <c r="C731" s="376" t="str">
        <f>Technologies!C$734</f>
        <v>XIRESLPGP2</v>
      </c>
      <c r="D731" s="376" t="str">
        <f>Technologies!D709</f>
        <v>Delivery of Imported LPG to the Residential Sector</v>
      </c>
      <c r="E731" s="415" t="str">
        <f>Commodities!C$339</f>
        <v>LPGP2</v>
      </c>
      <c r="F731" s="415" t="str">
        <f>Commodities!C97</f>
        <v>RESLPG</v>
      </c>
      <c r="G731" s="422">
        <v>1</v>
      </c>
      <c r="H731" s="421">
        <f>DelivOIL!$C90*DelivOIL!P$78^5/(Conv!$I$5*Conv!$D$46)/10^6 + OILTrade!$E$5</f>
        <v>6.4907441646234156</v>
      </c>
      <c r="I731" s="421">
        <f>DelivOIL!$C90*DelivOIL!Q$78^5/(Conv!$I$5*Conv!$D$46)/10^6 + OILTrade!$E$5</f>
        <v>6.4564445340298828</v>
      </c>
      <c r="J731" s="421">
        <f>DelivOIL!$C90*DelivOIL!R$78^5/(Conv!$I$5*Conv!$D$46)/10^6 + OILTrade!$E$5</f>
        <v>6.792237057031044</v>
      </c>
      <c r="K731" s="421">
        <f>DelivOIL!$C90*DelivOIL!S$78^5/(Conv!$I$5*Conv!$D$46)/10^6 + OILTrade!$E$5</f>
        <v>8.1820657008864952</v>
      </c>
      <c r="L731" s="421">
        <f>DelivOIL!$C90*DelivOIL!T$78^5/(Conv!$I$5*Conv!$D$46)/10^6 + OILTrade!$E$5</f>
        <v>7.50356190521779</v>
      </c>
      <c r="M731" s="421">
        <f>DelivOIL!$C90*DelivOIL!U$78^5/(Conv!$I$5*Conv!$D$46)/10^6 + OILTrade!$E$5</f>
        <v>6.6496303617617434</v>
      </c>
      <c r="N731" s="421">
        <f>DelivOIL!$C90*DelivOIL!V$78^5/(Conv!$I$5*Conv!$D$46)/10^6 + OILTrade!$E$5</f>
        <v>6.6496303617617434</v>
      </c>
      <c r="O731" s="421">
        <f>DelivOIL!$C90*DelivOIL!W$78^5/(Conv!$I$5*Conv!$D$46)/10^6 + OILTrade!$E$5</f>
        <v>6.6496303617617434</v>
      </c>
      <c r="P731" s="421">
        <f>DelivOIL!$C90*DelivOIL!X$78^5/(Conv!$I$5*Conv!$D$46)/10^6 + OILTrade!$E$5</f>
        <v>6.6496303617617434</v>
      </c>
      <c r="Q731" s="421">
        <f>DelivOIL!$C90*DelivOIL!Y$78^5/(Conv!$I$5*Conv!$D$46)/10^6 + OILTrade!$E$5</f>
        <v>6.6496303617617434</v>
      </c>
      <c r="S731" s="395"/>
      <c r="T731" s="395"/>
      <c r="U731" s="395"/>
      <c r="V731" s="395"/>
      <c r="W731" s="395"/>
      <c r="X731" s="395"/>
      <c r="Y731" s="395"/>
      <c r="Z731" s="395"/>
      <c r="AA731" s="395"/>
      <c r="AB731" s="395"/>
      <c r="AC731" s="395"/>
    </row>
    <row r="732" spans="2:29">
      <c r="B732" s="376" t="str">
        <f>IF(OR(LEFT(Commodities!B$328,1)="*",LEFT(Technologies!B$710,1)="*"),"*","R2")</f>
        <v>*</v>
      </c>
      <c r="C732" s="376" t="str">
        <f>Technologies!C$735</f>
        <v>XICOMLPGP2</v>
      </c>
      <c r="D732" s="376" t="str">
        <f>Technologies!D710</f>
        <v>Delivery of Imported LPG to the Commercial Sector</v>
      </c>
      <c r="E732" s="415" t="str">
        <f>Commodities!C$339</f>
        <v>LPGP2</v>
      </c>
      <c r="F732" s="415" t="str">
        <f>Commodities!C98</f>
        <v>COMLPG</v>
      </c>
      <c r="G732" s="422">
        <v>1</v>
      </c>
      <c r="H732" s="421">
        <f>DelivOIL!$C91*DelivOIL!P$78^5/(Conv!$I$5*Conv!$D$46)/10^6 + OILTrade!$E$5</f>
        <v>2.5908432589883379</v>
      </c>
      <c r="I732" s="421">
        <f>DelivOIL!$C91*DelivOIL!Q$78^5/(Conv!$I$5*Conv!$D$46)/10^6 + OILTrade!$E$5</f>
        <v>2.577152229969911</v>
      </c>
      <c r="J732" s="421">
        <f>DelivOIL!$C91*DelivOIL!R$78^5/(Conv!$I$5*Conv!$D$46)/10^6 + OILTrade!$E$5</f>
        <v>2.711187060579618</v>
      </c>
      <c r="K732" s="421">
        <f>DelivOIL!$C91*DelivOIL!S$78^5/(Conv!$I$5*Conv!$D$46)/10^6 + OILTrade!$E$5</f>
        <v>3.2659505948916676</v>
      </c>
      <c r="L732" s="421">
        <f>DelivOIL!$C91*DelivOIL!T$78^5/(Conv!$I$5*Conv!$D$46)/10^6 + OILTrade!$E$5</f>
        <v>2.9951192478810502</v>
      </c>
      <c r="M732" s="421">
        <f>DelivOIL!$C91*DelivOIL!U$78^5/(Conv!$I$5*Conv!$D$46)/10^6 + OILTrade!$E$5</f>
        <v>2.6542642200309476</v>
      </c>
      <c r="N732" s="421">
        <f>DelivOIL!$C91*DelivOIL!V$78^5/(Conv!$I$5*Conv!$D$46)/10^6 + OILTrade!$E$5</f>
        <v>2.6542642200309476</v>
      </c>
      <c r="O732" s="421">
        <f>DelivOIL!$C91*DelivOIL!W$78^5/(Conv!$I$5*Conv!$D$46)/10^6 + OILTrade!$E$5</f>
        <v>2.6542642200309476</v>
      </c>
      <c r="P732" s="421">
        <f>DelivOIL!$C91*DelivOIL!X$78^5/(Conv!$I$5*Conv!$D$46)/10^6 + OILTrade!$E$5</f>
        <v>2.6542642200309476</v>
      </c>
      <c r="Q732" s="421">
        <f>DelivOIL!$C91*DelivOIL!Y$78^5/(Conv!$I$5*Conv!$D$46)/10^6 + OILTrade!$E$5</f>
        <v>2.6542642200309476</v>
      </c>
      <c r="S732" s="395"/>
      <c r="T732" s="395"/>
      <c r="U732" s="395"/>
      <c r="V732" s="395"/>
      <c r="W732" s="395"/>
      <c r="X732" s="395"/>
      <c r="Y732" s="395"/>
      <c r="Z732" s="395"/>
      <c r="AA732" s="395"/>
      <c r="AB732" s="395"/>
      <c r="AC732" s="395"/>
    </row>
    <row r="733" spans="2:29">
      <c r="B733" s="376" t="str">
        <f>IF(OR(LEFT(Commodities!B$328,1)="*",LEFT(Technologies!B$711,1)="*"),"*","R2")</f>
        <v>*</v>
      </c>
      <c r="C733" s="376" t="str">
        <f>Technologies!C$736</f>
        <v>XIINDLPGP2</v>
      </c>
      <c r="D733" s="376" t="str">
        <f>Technologies!D711</f>
        <v>Delivery of Imported LPG to the Industrial Sector</v>
      </c>
      <c r="E733" s="415" t="str">
        <f>Commodities!C$339</f>
        <v>LPGP2</v>
      </c>
      <c r="F733" s="415" t="str">
        <f>Commodities!C99</f>
        <v>INDLPG</v>
      </c>
      <c r="G733" s="422">
        <v>1</v>
      </c>
      <c r="H733" s="421">
        <f>DelivOIL!$C92*DelivOIL!P$78^5/(Conv!$I$5*Conv!$D$46)/10^6 + OILTrade!$E$5</f>
        <v>2.2499428301740831</v>
      </c>
      <c r="I733" s="421">
        <f>DelivOIL!$C92*DelivOIL!Q$78^5/(Conv!$I$5*Conv!$D$46)/10^6 + OILTrade!$E$5</f>
        <v>2.2380532523422918</v>
      </c>
      <c r="J733" s="421">
        <f>DelivOIL!$C92*DelivOIL!R$78^5/(Conv!$I$5*Conv!$D$46)/10^6 + OILTrade!$E$5</f>
        <v>2.3544519210296686</v>
      </c>
      <c r="K733" s="421">
        <f>DelivOIL!$C92*DelivOIL!S$78^5/(Conv!$I$5*Conv!$D$46)/10^6 + OILTrade!$E$5</f>
        <v>2.8362202534585546</v>
      </c>
      <c r="L733" s="421">
        <f>DelivOIL!$C92*DelivOIL!T$78^5/(Conv!$I$5*Conv!$D$46)/10^6 + OILTrade!$E$5</f>
        <v>2.6010246100019652</v>
      </c>
      <c r="M733" s="421">
        <f>DelivOIL!$C92*DelivOIL!U$78^5/(Conv!$I$5*Conv!$D$46)/10^6 + OILTrade!$E$5</f>
        <v>2.3050189279216133</v>
      </c>
      <c r="N733" s="421">
        <f>DelivOIL!$C92*DelivOIL!V$78^5/(Conv!$I$5*Conv!$D$46)/10^6 + OILTrade!$E$5</f>
        <v>2.3050189279216133</v>
      </c>
      <c r="O733" s="421">
        <f>DelivOIL!$C92*DelivOIL!W$78^5/(Conv!$I$5*Conv!$D$46)/10^6 + OILTrade!$E$5</f>
        <v>2.3050189279216133</v>
      </c>
      <c r="P733" s="421">
        <f>DelivOIL!$C92*DelivOIL!X$78^5/(Conv!$I$5*Conv!$D$46)/10^6 + OILTrade!$E$5</f>
        <v>2.3050189279216133</v>
      </c>
      <c r="Q733" s="421">
        <f>DelivOIL!$C92*DelivOIL!Y$78^5/(Conv!$I$5*Conv!$D$46)/10^6 + OILTrade!$E$5</f>
        <v>2.3050189279216133</v>
      </c>
      <c r="S733" s="395"/>
      <c r="T733" s="395"/>
      <c r="U733" s="395"/>
      <c r="V733" s="395"/>
      <c r="W733" s="395"/>
      <c r="X733" s="395"/>
      <c r="Y733" s="395"/>
      <c r="Z733" s="395"/>
      <c r="AA733" s="395"/>
      <c r="AB733" s="395"/>
      <c r="AC733" s="395"/>
    </row>
    <row r="734" spans="2:29">
      <c r="B734" s="376" t="str">
        <f>IF(OR(LEFT(Commodities!B$328,1)="*",LEFT(Technologies!B$712,1)="*"),"*","R2")</f>
        <v>*</v>
      </c>
      <c r="C734" s="376" t="str">
        <f>Technologies!C$737</f>
        <v>XITRNLPGP2</v>
      </c>
      <c r="D734" s="376" t="str">
        <f>Technologies!D712</f>
        <v>Delivery of Imported LPG to the Transportation Sector</v>
      </c>
      <c r="E734" s="415" t="str">
        <f>Commodities!C$339</f>
        <v>LPGP2</v>
      </c>
      <c r="F734" s="415" t="str">
        <f>Commodities!C100</f>
        <v>TRNLPG</v>
      </c>
      <c r="G734" s="422">
        <v>1</v>
      </c>
      <c r="H734" s="421">
        <f>DelivOIL!$C93*DelivOIL!P$78^5/(Conv!$I$5*Conv!$D$46)/10^6 + OILTrade!$E$5</f>
        <v>3.8317208198722259</v>
      </c>
      <c r="I734" s="421">
        <f>DelivOIL!$C93*DelivOIL!Q$78^5/(Conv!$I$5*Conv!$D$46)/10^6 + OILTrade!$E$5</f>
        <v>3.8114725085344463</v>
      </c>
      <c r="J734" s="421">
        <f>DelivOIL!$C93*DelivOIL!R$78^5/(Conv!$I$5*Conv!$D$46)/10^6 + OILTrade!$E$5</f>
        <v>4.0097029685414354</v>
      </c>
      <c r="K734" s="421">
        <f>DelivOIL!$C93*DelivOIL!S$78^5/(Conv!$I$5*Conv!$D$46)/10^6 + OILTrade!$E$5</f>
        <v>4.8301690377082034</v>
      </c>
      <c r="L734" s="421">
        <f>DelivOIL!$C93*DelivOIL!T$78^5/(Conv!$I$5*Conv!$D$46)/10^6 + OILTrade!$E$5</f>
        <v>4.4296237297609213</v>
      </c>
      <c r="M734" s="421">
        <f>DelivOIL!$C93*DelivOIL!U$78^5/(Conv!$I$5*Conv!$D$46)/10^6 + OILTrade!$E$5</f>
        <v>3.9255170833089279</v>
      </c>
      <c r="N734" s="421">
        <f>DelivOIL!$C93*DelivOIL!V$78^5/(Conv!$I$5*Conv!$D$46)/10^6 + OILTrade!$E$5</f>
        <v>3.9255170833089279</v>
      </c>
      <c r="O734" s="421">
        <f>DelivOIL!$C93*DelivOIL!W$78^5/(Conv!$I$5*Conv!$D$46)/10^6 + OILTrade!$E$5</f>
        <v>3.9255170833089279</v>
      </c>
      <c r="P734" s="421">
        <f>DelivOIL!$C93*DelivOIL!X$78^5/(Conv!$I$5*Conv!$D$46)/10^6 + OILTrade!$E$5</f>
        <v>3.9255170833089279</v>
      </c>
      <c r="Q734" s="421">
        <f>DelivOIL!$C93*DelivOIL!Y$78^5/(Conv!$I$5*Conv!$D$46)/10^6 + OILTrade!$E$5</f>
        <v>3.9255170833089279</v>
      </c>
      <c r="S734" s="395"/>
      <c r="T734" s="395"/>
      <c r="U734" s="395"/>
      <c r="V734" s="395"/>
      <c r="W734" s="395"/>
      <c r="X734" s="395"/>
      <c r="Y734" s="395"/>
      <c r="Z734" s="395"/>
      <c r="AA734" s="395"/>
      <c r="AB734" s="395"/>
      <c r="AC734" s="395"/>
    </row>
    <row r="735" spans="2:29">
      <c r="B735" s="376" t="str">
        <f>IF(LEFT(Technologies!B$713,1)="*","*","R2")</f>
        <v>*</v>
      </c>
      <c r="C735" s="376" t="str">
        <f>Technologies!C$738</f>
        <v>XITRNMTHP2</v>
      </c>
      <c r="D735" s="376" t="str">
        <f>Technologies!D713</f>
        <v>Delivery of Imported Methanol</v>
      </c>
      <c r="E735" s="415" t="str">
        <f>Commodities!C$340</f>
        <v>MTHP2</v>
      </c>
      <c r="F735" s="415" t="str">
        <f>Commodities!C101</f>
        <v>TRNMTH</v>
      </c>
      <c r="G735" s="422">
        <v>1</v>
      </c>
      <c r="H735" s="421">
        <f>DelivOIL!$C94*DelivOIL!P$78^5/(Conv!$I$5*Conv!$D$46)/10^6 + OILTrade!$E$5</f>
        <v>3.6612706054650994</v>
      </c>
      <c r="I735" s="421">
        <f>DelivOIL!$C94*DelivOIL!Q$78^5/(Conv!$I$5*Conv!$D$46)/10^6 + OILTrade!$E$5</f>
        <v>3.6419230197206378</v>
      </c>
      <c r="J735" s="421">
        <f>DelivOIL!$C94*DelivOIL!R$78^5/(Conv!$I$5*Conv!$D$46)/10^6 + OILTrade!$E$5</f>
        <v>3.8313353987664609</v>
      </c>
      <c r="K735" s="421">
        <f>DelivOIL!$C94*DelivOIL!S$78^5/(Conv!$I$5*Conv!$D$46)/10^6 + OILTrade!$E$5</f>
        <v>4.6153038669916464</v>
      </c>
      <c r="L735" s="421">
        <f>DelivOIL!$C94*DelivOIL!T$78^5/(Conv!$I$5*Conv!$D$46)/10^6 + OILTrade!$E$5</f>
        <v>4.2325764108213795</v>
      </c>
      <c r="M735" s="421">
        <f>DelivOIL!$C94*DelivOIL!U$78^5/(Conv!$I$5*Conv!$D$46)/10^6 + OILTrade!$E$5</f>
        <v>3.750894437254261</v>
      </c>
      <c r="N735" s="421">
        <f>DelivOIL!$C94*DelivOIL!V$78^5/(Conv!$I$5*Conv!$D$46)/10^6 + OILTrade!$E$5</f>
        <v>3.750894437254261</v>
      </c>
      <c r="O735" s="421">
        <f>DelivOIL!$C94*DelivOIL!W$78^5/(Conv!$I$5*Conv!$D$46)/10^6 + OILTrade!$E$5</f>
        <v>3.750894437254261</v>
      </c>
      <c r="P735" s="421">
        <f>DelivOIL!$C94*DelivOIL!X$78^5/(Conv!$I$5*Conv!$D$46)/10^6 + OILTrade!$E$5</f>
        <v>3.750894437254261</v>
      </c>
      <c r="Q735" s="421">
        <f>DelivOIL!$C94*DelivOIL!Y$78^5/(Conv!$I$5*Conv!$D$46)/10^6 + OILTrade!$E$5</f>
        <v>3.750894437254261</v>
      </c>
      <c r="S735" s="395"/>
      <c r="T735" s="395"/>
      <c r="U735" s="395"/>
      <c r="V735" s="395"/>
      <c r="W735" s="395"/>
      <c r="X735" s="395"/>
      <c r="Y735" s="395"/>
      <c r="Z735" s="395"/>
      <c r="AA735" s="395"/>
      <c r="AB735" s="395"/>
      <c r="AC735" s="395"/>
    </row>
    <row r="736" spans="2:29">
      <c r="B736" s="376" t="str">
        <f>IF(OR(LEFT(Commodities!B$102,1)="*",LEFT(Technologies!B$714,1)="*"),"*","R2")</f>
        <v>*</v>
      </c>
      <c r="C736" s="376" t="str">
        <f>Technologies!C$739</f>
        <v>XIINDPFSP2</v>
      </c>
      <c r="D736" s="376" t="str">
        <f>Technologies!D714</f>
        <v>Delivery of Imported Petrochemical Feedstocks</v>
      </c>
      <c r="E736" s="415" t="str">
        <f>Commodities!C$341</f>
        <v>PFSP2</v>
      </c>
      <c r="F736" s="415" t="str">
        <f>Commodities!C102</f>
        <v>INDPFS</v>
      </c>
      <c r="G736" s="422">
        <v>1</v>
      </c>
      <c r="H736" s="421">
        <f>DelivOIL!$C95*DelivOIL!P$78^5/(Conv!$I$5*Conv!$D$46)/10^6 + OILTrade!$E$5</f>
        <v>0.27953835162768936</v>
      </c>
      <c r="I736" s="421">
        <f>DelivOIL!$C95*DelivOIL!Q$78^5/(Conv!$I$5*Conv!$D$46)/10^6 + OILTrade!$E$5</f>
        <v>0.27806116165464856</v>
      </c>
      <c r="J736" s="421">
        <f>DelivOIL!$C95*DelivOIL!R$78^5/(Conv!$I$5*Conv!$D$46)/10^6 + OILTrade!$E$5</f>
        <v>0.29252281443095907</v>
      </c>
      <c r="K736" s="421">
        <f>DelivOIL!$C95*DelivOIL!S$78^5/(Conv!$I$5*Conv!$D$46)/10^6 + OILTrade!$E$5</f>
        <v>0.35237887997515394</v>
      </c>
      <c r="L736" s="421">
        <f>DelivOIL!$C95*DelivOIL!T$78^5/(Conv!$I$5*Conv!$D$46)/10^6 + OILTrade!$E$5</f>
        <v>0.32315760306085045</v>
      </c>
      <c r="M736" s="421">
        <f>DelivOIL!$C95*DelivOIL!U$78^5/(Conv!$I$5*Conv!$D$46)/10^6 + OILTrade!$E$5</f>
        <v>0.28638113952965516</v>
      </c>
      <c r="N736" s="421">
        <f>DelivOIL!$C95*DelivOIL!V$78^5/(Conv!$I$5*Conv!$D$46)/10^6 + OILTrade!$E$5</f>
        <v>0.28638113952965516</v>
      </c>
      <c r="O736" s="421">
        <f>DelivOIL!$C95*DelivOIL!W$78^5/(Conv!$I$5*Conv!$D$46)/10^6 + OILTrade!$E$5</f>
        <v>0.28638113952965516</v>
      </c>
      <c r="P736" s="421">
        <f>DelivOIL!$C95*DelivOIL!X$78^5/(Conv!$I$5*Conv!$D$46)/10^6 + OILTrade!$E$5</f>
        <v>0.28638113952965516</v>
      </c>
      <c r="Q736" s="421">
        <f>DelivOIL!$C95*DelivOIL!Y$78^5/(Conv!$I$5*Conv!$D$46)/10^6 + OILTrade!$E$5</f>
        <v>0.28638113952965516</v>
      </c>
      <c r="S736" s="395"/>
      <c r="T736" s="395"/>
      <c r="U736" s="395"/>
      <c r="V736" s="395"/>
      <c r="W736" s="395"/>
      <c r="X736" s="395"/>
      <c r="Y736" s="395"/>
      <c r="Z736" s="395"/>
      <c r="AA736" s="395"/>
      <c r="AB736" s="395"/>
      <c r="AC736" s="395"/>
    </row>
    <row r="737" spans="2:29">
      <c r="B737" s="376" t="str">
        <f>IF(OR(LEFT(Commodities!B$332,1)="*",LEFT(Technologies!B$715,1)="*"),"*","R2")</f>
        <v>*</v>
      </c>
      <c r="C737" s="376" t="str">
        <f>Technologies!C$740</f>
        <v>XIRESRFLP2</v>
      </c>
      <c r="D737" s="376" t="str">
        <f>Technologies!D715</f>
        <v>Delivery of Imported Low Sulfur Residual Fuel Oil to Residential Sector</v>
      </c>
      <c r="E737" s="415" t="str">
        <f>Commodities!C$343</f>
        <v>RFLP2</v>
      </c>
      <c r="F737" s="415" t="str">
        <f>Commodities!C103</f>
        <v>RESRFL</v>
      </c>
      <c r="G737" s="422">
        <v>1</v>
      </c>
      <c r="H737" s="421">
        <f>DelivOIL!$C96*DelivOIL!P$78^5/(Conv!$I$5*Conv!$D$46)/10^6 + OILTrade!$E$5</f>
        <v>0.65452882332336948</v>
      </c>
      <c r="I737" s="421">
        <f>DelivOIL!$C96*DelivOIL!Q$78^5/(Conv!$I$5*Conv!$D$46)/10^6 + OILTrade!$E$5</f>
        <v>0.65107003704502997</v>
      </c>
      <c r="J737" s="421">
        <f>DelivOIL!$C96*DelivOIL!R$78^5/(Conv!$I$5*Conv!$D$46)/10^6 + OILTrade!$E$5</f>
        <v>0.68493146793590332</v>
      </c>
      <c r="K737" s="421">
        <f>DelivOIL!$C96*DelivOIL!S$78^5/(Conv!$I$5*Conv!$D$46)/10^6 + OILTrade!$E$5</f>
        <v>0.82508225555157899</v>
      </c>
      <c r="L737" s="421">
        <f>DelivOIL!$C96*DelivOIL!T$78^5/(Conv!$I$5*Conv!$D$46)/10^6 + OILTrade!$E$5</f>
        <v>0.75666170472784411</v>
      </c>
      <c r="M737" s="421">
        <f>DelivOIL!$C96*DelivOIL!U$78^5/(Conv!$I$5*Conv!$D$46)/10^6 + OILTrade!$E$5</f>
        <v>0.67055096084992349</v>
      </c>
      <c r="N737" s="421">
        <f>DelivOIL!$C96*DelivOIL!V$78^5/(Conv!$I$5*Conv!$D$46)/10^6 + OILTrade!$E$5</f>
        <v>0.67055096084992349</v>
      </c>
      <c r="O737" s="421">
        <f>DelivOIL!$C96*DelivOIL!W$78^5/(Conv!$I$5*Conv!$D$46)/10^6 + OILTrade!$E$5</f>
        <v>0.67055096084992349</v>
      </c>
      <c r="P737" s="421">
        <f>DelivOIL!$C96*DelivOIL!X$78^5/(Conv!$I$5*Conv!$D$46)/10^6 + OILTrade!$E$5</f>
        <v>0.67055096084992349</v>
      </c>
      <c r="Q737" s="421">
        <f>DelivOIL!$C96*DelivOIL!Y$78^5/(Conv!$I$5*Conv!$D$46)/10^6 + OILTrade!$E$5</f>
        <v>0.67055096084992349</v>
      </c>
      <c r="S737" s="395"/>
      <c r="T737" s="395"/>
      <c r="U737" s="395"/>
      <c r="V737" s="395"/>
      <c r="W737" s="395"/>
      <c r="X737" s="395"/>
      <c r="Y737" s="395"/>
      <c r="Z737" s="395"/>
      <c r="AA737" s="395"/>
      <c r="AB737" s="395"/>
      <c r="AC737" s="395"/>
    </row>
    <row r="738" spans="2:29">
      <c r="B738" s="376" t="str">
        <f>IF(OR(LEFT(Commodities!B$332,1)="*",LEFT(Technologies!B$716,1)="*"),"*","R2")</f>
        <v>*</v>
      </c>
      <c r="C738" s="376" t="str">
        <f>Technologies!C$741</f>
        <v>XICOMRFLP2</v>
      </c>
      <c r="D738" s="376" t="str">
        <f>Technologies!D716</f>
        <v>Delivery of Imported Low Sulfur Residual Fuel Oil to Commercial Sector</v>
      </c>
      <c r="E738" s="415" t="str">
        <f>Commodities!C$343</f>
        <v>RFLP2</v>
      </c>
      <c r="F738" s="415" t="str">
        <f>Commodities!C104</f>
        <v>COMRFL</v>
      </c>
      <c r="G738" s="422">
        <v>1</v>
      </c>
      <c r="H738" s="421">
        <f>DelivOIL!$C96*DelivOIL!P$78^5/(Conv!$I$5*Conv!$D$46)/10^6 + OILTrade!$E$5</f>
        <v>0.65452882332336948</v>
      </c>
      <c r="I738" s="421">
        <f>DelivOIL!$C96*DelivOIL!Q$78^5/(Conv!$I$5*Conv!$D$46)/10^6 + OILTrade!$E$5</f>
        <v>0.65107003704502997</v>
      </c>
      <c r="J738" s="421">
        <f>DelivOIL!$C96*DelivOIL!R$78^5/(Conv!$I$5*Conv!$D$46)/10^6 + OILTrade!$E$5</f>
        <v>0.68493146793590332</v>
      </c>
      <c r="K738" s="421">
        <f>DelivOIL!$C96*DelivOIL!S$78^5/(Conv!$I$5*Conv!$D$46)/10^6 + OILTrade!$E$5</f>
        <v>0.82508225555157899</v>
      </c>
      <c r="L738" s="421">
        <f>DelivOIL!$C96*DelivOIL!T$78^5/(Conv!$I$5*Conv!$D$46)/10^6 + OILTrade!$E$5</f>
        <v>0.75666170472784411</v>
      </c>
      <c r="M738" s="421">
        <f>DelivOIL!$C96*DelivOIL!U$78^5/(Conv!$I$5*Conv!$D$46)/10^6 + OILTrade!$E$5</f>
        <v>0.67055096084992349</v>
      </c>
      <c r="N738" s="421">
        <f>DelivOIL!$C96*DelivOIL!V$78^5/(Conv!$I$5*Conv!$D$46)/10^6 + OILTrade!$E$5</f>
        <v>0.67055096084992349</v>
      </c>
      <c r="O738" s="421">
        <f>DelivOIL!$C96*DelivOIL!W$78^5/(Conv!$I$5*Conv!$D$46)/10^6 + OILTrade!$E$5</f>
        <v>0.67055096084992349</v>
      </c>
      <c r="P738" s="421">
        <f>DelivOIL!$C96*DelivOIL!X$78^5/(Conv!$I$5*Conv!$D$46)/10^6 + OILTrade!$E$5</f>
        <v>0.67055096084992349</v>
      </c>
      <c r="Q738" s="421">
        <f>DelivOIL!$C96*DelivOIL!Y$78^5/(Conv!$I$5*Conv!$D$46)/10^6 + OILTrade!$E$5</f>
        <v>0.67055096084992349</v>
      </c>
      <c r="S738" s="395"/>
      <c r="T738" s="395"/>
      <c r="U738" s="395"/>
      <c r="V738" s="395"/>
      <c r="W738" s="395"/>
      <c r="X738" s="395"/>
      <c r="Y738" s="395"/>
      <c r="Z738" s="395"/>
      <c r="AA738" s="395"/>
      <c r="AB738" s="395"/>
      <c r="AC738" s="395"/>
    </row>
    <row r="739" spans="2:29">
      <c r="B739" s="376" t="str">
        <f>IF(OR(LEFT(Commodities!B$332,1)="*",LEFT(Technologies!B$717,1)="*"),"*","R2")</f>
        <v>R2</v>
      </c>
      <c r="C739" s="376" t="str">
        <f>Technologies!C$742</f>
        <v>XIINDRFLP2</v>
      </c>
      <c r="D739" s="376" t="str">
        <f>Technologies!D717</f>
        <v>Delivery of Imported Low Sulfur Residual Fuel Oil to Industrial Sector</v>
      </c>
      <c r="E739" s="415" t="str">
        <f>Commodities!C$343</f>
        <v>RFLP2</v>
      </c>
      <c r="F739" s="415" t="str">
        <f>Commodities!C105</f>
        <v>INDRFL</v>
      </c>
      <c r="G739" s="422">
        <v>1</v>
      </c>
      <c r="H739" s="421">
        <f>DelivOIL!$C97*DelivOIL!P$78^5/(Conv!$I$5*Conv!$D$46)/10^6 + OILTrade!$E$5</f>
        <v>0.51135064322138224</v>
      </c>
      <c r="I739" s="421">
        <f>DelivOIL!$C97*DelivOIL!Q$78^5/(Conv!$I$5*Conv!$D$46)/10^6 + OILTrade!$E$5</f>
        <v>0.50864846644142947</v>
      </c>
      <c r="J739" s="421">
        <f>DelivOIL!$C97*DelivOIL!R$78^5/(Conv!$I$5*Conv!$D$46)/10^6 + OILTrade!$E$5</f>
        <v>0.53510270932492443</v>
      </c>
      <c r="K739" s="421">
        <f>DelivOIL!$C97*DelivOIL!S$78^5/(Conv!$I$5*Conv!$D$46)/10^6 + OILTrade!$E$5</f>
        <v>0.64459551214967092</v>
      </c>
      <c r="L739" s="421">
        <f>DelivOIL!$C97*DelivOIL!T$78^5/(Conv!$I$5*Conv!$D$46)/10^6 + OILTrade!$E$5</f>
        <v>0.59114195681862802</v>
      </c>
      <c r="M739" s="421">
        <f>DelivOIL!$C97*DelivOIL!U$78^5/(Conv!$I$5*Conv!$D$46)/10^6 + OILTrade!$E$5</f>
        <v>0.52386793816400257</v>
      </c>
      <c r="N739" s="421">
        <f>DelivOIL!$C97*DelivOIL!V$78^5/(Conv!$I$5*Conv!$D$46)/10^6 + OILTrade!$E$5</f>
        <v>0.52386793816400257</v>
      </c>
      <c r="O739" s="421">
        <f>DelivOIL!$C97*DelivOIL!W$78^5/(Conv!$I$5*Conv!$D$46)/10^6 + OILTrade!$E$5</f>
        <v>0.52386793816400257</v>
      </c>
      <c r="P739" s="421">
        <f>DelivOIL!$C97*DelivOIL!X$78^5/(Conv!$I$5*Conv!$D$46)/10^6 + OILTrade!$E$5</f>
        <v>0.52386793816400257</v>
      </c>
      <c r="Q739" s="421">
        <f>DelivOIL!$C97*DelivOIL!Y$78^5/(Conv!$I$5*Conv!$D$46)/10^6 + OILTrade!$E$5</f>
        <v>0.52386793816400257</v>
      </c>
      <c r="S739" s="395"/>
      <c r="T739" s="395"/>
      <c r="U739" s="395"/>
      <c r="V739" s="395"/>
      <c r="W739" s="395"/>
      <c r="X739" s="395"/>
      <c r="Y739" s="395"/>
      <c r="Z739" s="395"/>
      <c r="AA739" s="395"/>
      <c r="AB739" s="395"/>
      <c r="AC739" s="395"/>
    </row>
    <row r="740" spans="2:29">
      <c r="B740" s="376" t="str">
        <f>IF(OR(LEFT(Commodities!B$332,1)="*",LEFT(Technologies!B$718,1)="*"),"*","R2")</f>
        <v>*</v>
      </c>
      <c r="C740" s="376" t="str">
        <f>Technologies!C$743</f>
        <v>XIELCRFLP2</v>
      </c>
      <c r="D740" s="376" t="str">
        <f>Technologies!D718</f>
        <v>Delivery of Imported Low Sulfur Residual Fuel Oil to Electricity Sector</v>
      </c>
      <c r="E740" s="415" t="str">
        <f>Commodities!C$343</f>
        <v>RFLP2</v>
      </c>
      <c r="F740" s="415" t="str">
        <f>Commodities!C106</f>
        <v>ELCRFL</v>
      </c>
      <c r="G740" s="422">
        <v>1</v>
      </c>
      <c r="H740" s="421">
        <f>DelivOIL!$C98*DelivOIL!P$78^5/(Conv!$I$5*Conv!$D$46)/10^6 + OILTrade!$E$5</f>
        <v>0</v>
      </c>
      <c r="I740" s="421">
        <f>DelivOIL!$C98*DelivOIL!Q$78^5/(Conv!$I$5*Conv!$D$46)/10^6 + OILTrade!$E$5</f>
        <v>0</v>
      </c>
      <c r="J740" s="421">
        <f>DelivOIL!$C98*DelivOIL!R$78^5/(Conv!$I$5*Conv!$D$46)/10^6 + OILTrade!$E$5</f>
        <v>0</v>
      </c>
      <c r="K740" s="421">
        <f>DelivOIL!$C98*DelivOIL!S$78^5/(Conv!$I$5*Conv!$D$46)/10^6 + OILTrade!$E$5</f>
        <v>0</v>
      </c>
      <c r="L740" s="421">
        <f>DelivOIL!$C98*DelivOIL!T$78^5/(Conv!$I$5*Conv!$D$46)/10^6 + OILTrade!$E$5</f>
        <v>0</v>
      </c>
      <c r="M740" s="421">
        <f>DelivOIL!$C98*DelivOIL!U$78^5/(Conv!$I$5*Conv!$D$46)/10^6 + OILTrade!$E$5</f>
        <v>0</v>
      </c>
      <c r="N740" s="421">
        <f>DelivOIL!$C98*DelivOIL!V$78^5/(Conv!$I$5*Conv!$D$46)/10^6 + OILTrade!$E$5</f>
        <v>0</v>
      </c>
      <c r="O740" s="421">
        <f>DelivOIL!$C98*DelivOIL!W$78^5/(Conv!$I$5*Conv!$D$46)/10^6 + OILTrade!$E$5</f>
        <v>0</v>
      </c>
      <c r="P740" s="421">
        <f>DelivOIL!$C98*DelivOIL!X$78^5/(Conv!$I$5*Conv!$D$46)/10^6 + OILTrade!$E$5</f>
        <v>0</v>
      </c>
      <c r="Q740" s="421">
        <f>DelivOIL!$C98*DelivOIL!Y$78^5/(Conv!$I$5*Conv!$D$46)/10^6 + OILTrade!$E$5</f>
        <v>0</v>
      </c>
      <c r="S740" s="395"/>
      <c r="T740" s="395"/>
      <c r="U740" s="395"/>
      <c r="V740" s="395"/>
      <c r="W740" s="395"/>
      <c r="X740" s="395"/>
      <c r="Y740" s="395"/>
      <c r="Z740" s="395"/>
      <c r="AA740" s="395"/>
      <c r="AB740" s="395"/>
      <c r="AC740" s="395"/>
    </row>
    <row r="741" spans="2:29">
      <c r="B741" s="376" t="str">
        <f>IF(OR(LEFT(Commodities!B$331,1)="*",LEFT(Technologies!B$719,1)="*"),"*","R2")</f>
        <v>*</v>
      </c>
      <c r="C741" s="376" t="str">
        <f>Technologies!C$744</f>
        <v>XITRNRFHP2</v>
      </c>
      <c r="D741" s="376" t="str">
        <f>Technologies!D719</f>
        <v>Delivery of Imported High Sulfur Residual Fuel Oil to Transportation Sector</v>
      </c>
      <c r="E741" s="415" t="str">
        <f>Commodities!C$342</f>
        <v>RFHP2</v>
      </c>
      <c r="F741" s="415" t="str">
        <f>Commodities!C107</f>
        <v>TRNRFH</v>
      </c>
      <c r="G741" s="422">
        <v>1</v>
      </c>
      <c r="H741" s="421">
        <f>DelivOIL!$C99*DelivOIL!P$78^5/(Conv!$I$5*Conv!$D$46)/10^6 + OILTrade!$E$5</f>
        <v>3.8999009056350769</v>
      </c>
      <c r="I741" s="421">
        <f>DelivOIL!$C99*DelivOIL!Q$78^5/(Conv!$I$5*Conv!$D$46)/10^6 + OILTrade!$E$5</f>
        <v>3.8792923040599705</v>
      </c>
      <c r="J741" s="421">
        <f>DelivOIL!$C99*DelivOIL!R$78^5/(Conv!$I$5*Conv!$D$46)/10^6 + OILTrade!$E$5</f>
        <v>4.0810499964514246</v>
      </c>
      <c r="K741" s="421">
        <f>DelivOIL!$C99*DelivOIL!S$78^5/(Conv!$I$5*Conv!$D$46)/10^6 + OILTrade!$E$5</f>
        <v>4.9161151059948258</v>
      </c>
      <c r="L741" s="421">
        <f>DelivOIL!$C99*DelivOIL!T$78^5/(Conv!$I$5*Conv!$D$46)/10^6 + OILTrade!$E$5</f>
        <v>4.5084426573367375</v>
      </c>
      <c r="M741" s="421">
        <f>DelivOIL!$C99*DelivOIL!U$78^5/(Conv!$I$5*Conv!$D$46)/10^6 + OILTrade!$E$5</f>
        <v>3.9953661417307949</v>
      </c>
      <c r="N741" s="421">
        <f>DelivOIL!$C99*DelivOIL!V$78^5/(Conv!$I$5*Conv!$D$46)/10^6 + OILTrade!$E$5</f>
        <v>3.9953661417307949</v>
      </c>
      <c r="O741" s="421">
        <f>DelivOIL!$C99*DelivOIL!W$78^5/(Conv!$I$5*Conv!$D$46)/10^6 + OILTrade!$E$5</f>
        <v>3.9953661417307949</v>
      </c>
      <c r="P741" s="421">
        <f>DelivOIL!$C99*DelivOIL!X$78^5/(Conv!$I$5*Conv!$D$46)/10^6 + OILTrade!$E$5</f>
        <v>3.9953661417307949</v>
      </c>
      <c r="Q741" s="421">
        <f>DelivOIL!$C99*DelivOIL!Y$78^5/(Conv!$I$5*Conv!$D$46)/10^6 + OILTrade!$E$5</f>
        <v>3.9953661417307949</v>
      </c>
      <c r="S741" s="395"/>
      <c r="T741" s="395"/>
      <c r="U741" s="395"/>
      <c r="V741" s="395"/>
      <c r="W741" s="395"/>
      <c r="X741" s="395"/>
      <c r="Y741" s="395"/>
      <c r="Z741" s="395"/>
      <c r="AA741" s="395"/>
      <c r="AB741" s="395"/>
      <c r="AC741" s="395"/>
    </row>
    <row r="742" spans="2:29">
      <c r="B742" s="376" t="str">
        <f>IF(OR(LEFT(Commodities!B$331,1)="*",LEFT(Technologies!B$720,1)="*"),"*","R2")</f>
        <v>*</v>
      </c>
      <c r="C742" s="376" t="str">
        <f>Technologies!C$745</f>
        <v>XIELCRFHP2</v>
      </c>
      <c r="D742" s="376" t="str">
        <f>Technologies!D720</f>
        <v>Delivery of Imported High Sulfur Residual Fuel Oil to Electricity Sector</v>
      </c>
      <c r="E742" s="415" t="str">
        <f>Commodities!C$342</f>
        <v>RFHP2</v>
      </c>
      <c r="F742" s="415" t="str">
        <f>Commodities!C108</f>
        <v>ELCRFH</v>
      </c>
      <c r="G742" s="422">
        <v>1</v>
      </c>
      <c r="H742" s="421">
        <f>DelivOIL!$C100*DelivOIL!P$78^5/(Conv!$I$5*Conv!$D$46)/10^6 + OILTrade!$E$5</f>
        <v>1.159061457968467</v>
      </c>
      <c r="I742" s="421">
        <f>DelivOIL!$C100*DelivOIL!Q$78^5/(Conv!$I$5*Conv!$D$46)/10^6 + OILTrade!$E$5</f>
        <v>1.1529365239339078</v>
      </c>
      <c r="J742" s="421">
        <f>DelivOIL!$C100*DelivOIL!R$78^5/(Conv!$I$5*Conv!$D$46)/10^6 + OILTrade!$E$5</f>
        <v>1.2128994744698294</v>
      </c>
      <c r="K742" s="421">
        <f>DelivOIL!$C100*DelivOIL!S$78^5/(Conv!$I$5*Conv!$D$46)/10^6 + OILTrade!$E$5</f>
        <v>1.4610831608725885</v>
      </c>
      <c r="L742" s="421">
        <f>DelivOIL!$C100*DelivOIL!T$78^5/(Conv!$I$5*Conv!$D$46)/10^6 + OILTrade!$E$5</f>
        <v>1.3399217687888909</v>
      </c>
      <c r="M742" s="421">
        <f>DelivOIL!$C100*DelivOIL!U$78^5/(Conv!$I$5*Conv!$D$46)/10^6 + OILTrade!$E$5</f>
        <v>1.1874339931717401</v>
      </c>
      <c r="N742" s="421">
        <f>DelivOIL!$C100*DelivOIL!V$78^5/(Conv!$I$5*Conv!$D$46)/10^6 + OILTrade!$E$5</f>
        <v>1.1874339931717401</v>
      </c>
      <c r="O742" s="421">
        <f>DelivOIL!$C100*DelivOIL!W$78^5/(Conv!$I$5*Conv!$D$46)/10^6 + OILTrade!$E$5</f>
        <v>1.1874339931717401</v>
      </c>
      <c r="P742" s="421">
        <f>DelivOIL!$C100*DelivOIL!X$78^5/(Conv!$I$5*Conv!$D$46)/10^6 + OILTrade!$E$5</f>
        <v>1.1874339931717401</v>
      </c>
      <c r="Q742" s="421">
        <f>DelivOIL!$C100*DelivOIL!Y$78^5/(Conv!$I$5*Conv!$D$46)/10^6 + OILTrade!$E$5</f>
        <v>1.1874339931717401</v>
      </c>
      <c r="S742" s="395"/>
      <c r="T742" s="395"/>
      <c r="U742" s="395"/>
      <c r="V742" s="395"/>
      <c r="W742" s="395"/>
      <c r="X742" s="395"/>
      <c r="Y742" s="395"/>
      <c r="Z742" s="395"/>
      <c r="AA742" s="395"/>
      <c r="AB742" s="395"/>
      <c r="AC742" s="395"/>
    </row>
    <row r="743" spans="2:29">
      <c r="B743" s="378" t="s">
        <v>1086</v>
      </c>
      <c r="C743" s="378"/>
      <c r="D743" s="378"/>
      <c r="E743" s="414"/>
      <c r="F743" s="414"/>
      <c r="G743" s="418"/>
      <c r="H743" s="392"/>
      <c r="I743" s="392"/>
      <c r="J743" s="392"/>
      <c r="K743" s="392"/>
      <c r="L743" s="392"/>
      <c r="M743" s="392"/>
      <c r="N743" s="392"/>
      <c r="O743" s="392"/>
      <c r="P743" s="392"/>
      <c r="Q743" s="392"/>
    </row>
    <row r="744" spans="2:29">
      <c r="B744" s="376" t="str">
        <f>IF(LEFT(Technologies!B$702,1)="*","*","R3")</f>
        <v>R3</v>
      </c>
      <c r="C744" s="376" t="str">
        <f>Technologies!C$722</f>
        <v>XITRGSLCP2</v>
      </c>
      <c r="D744" s="376" t="str">
        <f>Technologies!D702</f>
        <v>Delivery of Imported Conventional Gasoline</v>
      </c>
      <c r="E744" s="415" t="str">
        <f>Commodities!C$336</f>
        <v>GSCP2</v>
      </c>
      <c r="F744" s="415" t="str">
        <f>Commodities!C85</f>
        <v>TRGSLC</v>
      </c>
      <c r="G744" s="422">
        <v>1</v>
      </c>
      <c r="H744" s="421">
        <f>DelivOIL!$D77*DelivOIL!P$79^5/(Conv!$I$5*Conv!$D$46)/10^6 + OILTrade!$F$6</f>
        <v>3.2385540737354233</v>
      </c>
      <c r="I744" s="421">
        <f>DelivOIL!$D77*DelivOIL!Q$79^5/(Conv!$I$5*Conv!$D$46)/10^6 + OILTrade!$F$6</f>
        <v>2.8988744243739593</v>
      </c>
      <c r="J744" s="421">
        <f>DelivOIL!$D77*DelivOIL!R$79^5/(Conv!$I$5*Conv!$D$46)/10^6 + OILTrade!$F$6</f>
        <v>3.2883106312974966</v>
      </c>
      <c r="K744" s="421">
        <f>DelivOIL!$D77*DelivOIL!S$79^5/(Conv!$I$5*Conv!$D$46)/10^6 + OILTrade!$F$6</f>
        <v>3.7657689436739297</v>
      </c>
      <c r="L744" s="421">
        <f>DelivOIL!$D77*DelivOIL!T$79^5/(Conv!$I$5*Conv!$D$46)/10^6 + OILTrade!$F$6</f>
        <v>3.4451566955628401</v>
      </c>
      <c r="M744" s="421">
        <f>DelivOIL!$D77*DelivOIL!U$79^5/(Conv!$I$5*Conv!$D$46)/10^6 + OILTrade!$F$6</f>
        <v>3.2867226684291446</v>
      </c>
      <c r="N744" s="421">
        <f>DelivOIL!$D77*DelivOIL!V$79^5/(Conv!$I$5*Conv!$D$46)/10^6 + OILTrade!$F$6</f>
        <v>3.2867226684291446</v>
      </c>
      <c r="O744" s="421">
        <f>DelivOIL!$D77*DelivOIL!W$79^5/(Conv!$I$5*Conv!$D$46)/10^6 + OILTrade!$F$6</f>
        <v>3.2867226684291446</v>
      </c>
      <c r="P744" s="421">
        <f>DelivOIL!$D77*DelivOIL!X$79^5/(Conv!$I$5*Conv!$D$46)/10^6 + OILTrade!$F$6</f>
        <v>3.2867226684291446</v>
      </c>
      <c r="Q744" s="421">
        <f>DelivOIL!$D77*DelivOIL!Y$79^5/(Conv!$I$5*Conv!$D$46)/10^6 + OILTrade!$F$6</f>
        <v>3.2867226684291446</v>
      </c>
      <c r="S744" s="395"/>
      <c r="T744" s="395"/>
      <c r="U744" s="395"/>
      <c r="V744" s="395"/>
      <c r="W744" s="395"/>
      <c r="X744" s="395"/>
      <c r="Y744" s="395"/>
      <c r="Z744" s="395"/>
      <c r="AA744" s="395"/>
      <c r="AB744" s="395"/>
      <c r="AC744" s="395"/>
    </row>
    <row r="745" spans="2:29">
      <c r="B745" s="376" t="str">
        <f>IF(LEFT(Technologies!B$703,1)="*","*","R3")</f>
        <v>R3</v>
      </c>
      <c r="C745" s="376" t="str">
        <f>Technologies!C$723</f>
        <v>XITRGSLRP2</v>
      </c>
      <c r="D745" s="376" t="str">
        <f>Technologies!D703</f>
        <v>Delivery of Imported Reformulated Gasoline</v>
      </c>
      <c r="E745" s="415" t="str">
        <f>Commodities!C$337</f>
        <v>GSRP2</v>
      </c>
      <c r="F745" s="415" t="str">
        <f>Commodities!C86</f>
        <v>TRGSLR</v>
      </c>
      <c r="G745" s="422">
        <v>1</v>
      </c>
      <c r="H745" s="421">
        <f>DelivOIL!$D78*DelivOIL!P$79^5/(Conv!$I$5*Conv!$D$46)/10^6 + OILTrade!$F$6</f>
        <v>3.1771919965488564</v>
      </c>
      <c r="I745" s="421">
        <f>DelivOIL!$D78*DelivOIL!Q$79^5/(Conv!$I$5*Conv!$D$46)/10^6 + OILTrade!$F$6</f>
        <v>2.843948382648978</v>
      </c>
      <c r="J745" s="421">
        <f>DelivOIL!$D78*DelivOIL!R$79^5/(Conv!$I$5*Conv!$D$46)/10^6 + OILTrade!$F$6</f>
        <v>3.2260057982834383</v>
      </c>
      <c r="K745" s="421">
        <f>DelivOIL!$D78*DelivOIL!S$79^5/(Conv!$I$5*Conv!$D$46)/10^6 + OILTrade!$F$6</f>
        <v>3.6944175321095809</v>
      </c>
      <c r="L745" s="421">
        <f>DelivOIL!$D78*DelivOIL!T$79^5/(Conv!$I$5*Conv!$D$46)/10^6 + OILTrade!$F$6</f>
        <v>3.3798800423837543</v>
      </c>
      <c r="M745" s="421">
        <f>DelivOIL!$D78*DelivOIL!U$79^5/(Conv!$I$5*Conv!$D$46)/10^6 + OILTrade!$F$6</f>
        <v>3.2244479231325913</v>
      </c>
      <c r="N745" s="421">
        <f>DelivOIL!$D78*DelivOIL!V$79^5/(Conv!$I$5*Conv!$D$46)/10^6 + OILTrade!$F$6</f>
        <v>3.2244479231325913</v>
      </c>
      <c r="O745" s="421">
        <f>DelivOIL!$D78*DelivOIL!W$79^5/(Conv!$I$5*Conv!$D$46)/10^6 + OILTrade!$F$6</f>
        <v>3.2244479231325913</v>
      </c>
      <c r="P745" s="421">
        <f>DelivOIL!$D78*DelivOIL!X$79^5/(Conv!$I$5*Conv!$D$46)/10^6 + OILTrade!$F$6</f>
        <v>3.2244479231325913</v>
      </c>
      <c r="Q745" s="421">
        <f>DelivOIL!$D78*DelivOIL!Y$79^5/(Conv!$I$5*Conv!$D$46)/10^6 + OILTrade!$F$6</f>
        <v>3.2244479231325913</v>
      </c>
      <c r="S745" s="395"/>
      <c r="T745" s="395"/>
      <c r="U745" s="395"/>
      <c r="V745" s="395"/>
      <c r="W745" s="395"/>
      <c r="X745" s="395"/>
      <c r="Y745" s="395"/>
      <c r="Z745" s="395"/>
      <c r="AA745" s="395"/>
      <c r="AB745" s="395"/>
      <c r="AC745" s="395"/>
    </row>
    <row r="746" spans="2:29">
      <c r="B746" s="376" t="str">
        <f>IF(OR(LEFT(Commodities!B$65,1)="*",LEFT(Technologies!B$233,1)="*"),"*","R3")</f>
        <v>R3</v>
      </c>
      <c r="C746" s="376" t="str">
        <f>Technologies!C$724</f>
        <v>XIRESDSLP2</v>
      </c>
      <c r="D746" s="376" t="str">
        <f>Technologies!D233</f>
        <v>Delivery of Imported Distillate-Heating Oil No. 2 to the Residential Sector</v>
      </c>
      <c r="E746" s="415" t="str">
        <f>Commodities!C$67</f>
        <v>DSHP2</v>
      </c>
      <c r="F746" s="415" t="str">
        <f>Commodities!C87</f>
        <v>RESDSL</v>
      </c>
      <c r="G746" s="422">
        <v>1</v>
      </c>
      <c r="H746" s="421">
        <f>DelivOIL!$D80*DelivOIL!P$79^5/(Conv!$I$5*Conv!$D$46)/10^6 + OILTrade!$F$6</f>
        <v>2.7612934733954657</v>
      </c>
      <c r="I746" s="421">
        <f>DelivOIL!$D80*DelivOIL!Q$79^5/(Conv!$I$5*Conv!$D$46)/10^6 + OILTrade!$F$6</f>
        <v>2.4716718776241122</v>
      </c>
      <c r="J746" s="421">
        <f>DelivOIL!$D80*DelivOIL!R$79^5/(Conv!$I$5*Conv!$D$46)/10^6 + OILTrade!$F$6</f>
        <v>2.8037174856326019</v>
      </c>
      <c r="K746" s="421">
        <f>DelivOIL!$D80*DelivOIL!S$79^5/(Conv!$I$5*Conv!$D$46)/10^6 + OILTrade!$F$6</f>
        <v>3.210813520395666</v>
      </c>
      <c r="L746" s="421">
        <f>DelivOIL!$D80*DelivOIL!T$79^5/(Conv!$I$5*Conv!$D$46)/10^6 + OILTrade!$F$6</f>
        <v>2.9374493930588423</v>
      </c>
      <c r="M746" s="421">
        <f>DelivOIL!$D80*DelivOIL!U$79^5/(Conv!$I$5*Conv!$D$46)/10^6 + OILTrade!$F$6</f>
        <v>2.8023635383448493</v>
      </c>
      <c r="N746" s="421">
        <f>DelivOIL!$D80*DelivOIL!V$79^5/(Conv!$I$5*Conv!$D$46)/10^6 + OILTrade!$F$6</f>
        <v>2.8023635383448493</v>
      </c>
      <c r="O746" s="421">
        <f>DelivOIL!$D80*DelivOIL!W$79^5/(Conv!$I$5*Conv!$D$46)/10^6 + OILTrade!$F$6</f>
        <v>2.8023635383448493</v>
      </c>
      <c r="P746" s="421">
        <f>DelivOIL!$D80*DelivOIL!X$79^5/(Conv!$I$5*Conv!$D$46)/10^6 + OILTrade!$F$6</f>
        <v>2.8023635383448493</v>
      </c>
      <c r="Q746" s="421">
        <f>DelivOIL!$D80*DelivOIL!Y$79^5/(Conv!$I$5*Conv!$D$46)/10^6 + OILTrade!$F$6</f>
        <v>2.8023635383448493</v>
      </c>
      <c r="S746" s="395"/>
      <c r="T746" s="395"/>
      <c r="U746" s="395"/>
      <c r="V746" s="395"/>
      <c r="W746" s="395"/>
      <c r="X746" s="395"/>
      <c r="Y746" s="395"/>
      <c r="Z746" s="395"/>
      <c r="AA746" s="395"/>
      <c r="AB746" s="395"/>
      <c r="AC746" s="395"/>
    </row>
    <row r="747" spans="2:29">
      <c r="B747" s="376" t="str">
        <f>IF(OR(LEFT(Commodities!B$65,1)="*",LEFT(Technologies!B$234,1)="*"),"*","R3")</f>
        <v>R3</v>
      </c>
      <c r="C747" s="376" t="str">
        <f>Technologies!C$725</f>
        <v>XICOMDSLP2</v>
      </c>
      <c r="D747" s="376" t="str">
        <f>Technologies!D234</f>
        <v>Delivery of Imported Distillate-Heating Oil No. 2 to the Commercial Sector</v>
      </c>
      <c r="E747" s="415" t="str">
        <f>Commodities!C$67</f>
        <v>DSHP2</v>
      </c>
      <c r="F747" s="415" t="str">
        <f>Commodities!C88</f>
        <v>COMDSL</v>
      </c>
      <c r="G747" s="422">
        <v>1</v>
      </c>
      <c r="H747" s="421">
        <f>DelivOIL!$D81*DelivOIL!P$79^5/(Conv!$I$5*Conv!$D$46)/10^6 + OILTrade!$F$6</f>
        <v>0.97497522640876955</v>
      </c>
      <c r="I747" s="421">
        <f>DelivOIL!$D81*DelivOIL!Q$79^5/(Conv!$I$5*Conv!$D$46)/10^6 + OILTrade!$F$6</f>
        <v>0.87271377407468642</v>
      </c>
      <c r="J747" s="421">
        <f>DelivOIL!$D81*DelivOIL!R$79^5/(Conv!$I$5*Conv!$D$46)/10^6 + OILTrade!$F$6</f>
        <v>0.98995456900114098</v>
      </c>
      <c r="K747" s="421">
        <f>DelivOIL!$D81*DelivOIL!S$79^5/(Conv!$I$5*Conv!$D$46)/10^6 + OILTrade!$F$6</f>
        <v>1.1336946504113095</v>
      </c>
      <c r="L747" s="421">
        <f>DelivOIL!$D81*DelivOIL!T$79^5/(Conv!$I$5*Conv!$D$46)/10^6 + OILTrade!$F$6</f>
        <v>1.0371734894010234</v>
      </c>
      <c r="M747" s="421">
        <f>DelivOIL!$D81*DelivOIL!U$79^5/(Conv!$I$5*Conv!$D$46)/10^6 + OILTrade!$F$6</f>
        <v>0.98947650860077407</v>
      </c>
      <c r="N747" s="421">
        <f>DelivOIL!$D81*DelivOIL!V$79^5/(Conv!$I$5*Conv!$D$46)/10^6 + OILTrade!$F$6</f>
        <v>0.98947650860077407</v>
      </c>
      <c r="O747" s="421">
        <f>DelivOIL!$D81*DelivOIL!W$79^5/(Conv!$I$5*Conv!$D$46)/10^6 + OILTrade!$F$6</f>
        <v>0.98947650860077407</v>
      </c>
      <c r="P747" s="421">
        <f>DelivOIL!$D81*DelivOIL!X$79^5/(Conv!$I$5*Conv!$D$46)/10^6 + OILTrade!$F$6</f>
        <v>0.98947650860077407</v>
      </c>
      <c r="Q747" s="421">
        <f>DelivOIL!$D81*DelivOIL!Y$79^5/(Conv!$I$5*Conv!$D$46)/10^6 + OILTrade!$F$6</f>
        <v>0.98947650860077407</v>
      </c>
      <c r="S747" s="395"/>
      <c r="T747" s="395"/>
      <c r="U747" s="395"/>
      <c r="V747" s="395"/>
      <c r="W747" s="395"/>
      <c r="X747" s="395"/>
      <c r="Y747" s="395"/>
      <c r="Z747" s="395"/>
      <c r="AA747" s="395"/>
      <c r="AB747" s="395"/>
      <c r="AC747" s="395"/>
    </row>
    <row r="748" spans="2:29">
      <c r="B748" s="376" t="str">
        <f>IF(OR(LEFT(Commodities!B$65,1)="*",LEFT(Technologies!B$235,1)="*"),"*","R3")</f>
        <v>*</v>
      </c>
      <c r="C748" s="376" t="str">
        <f>Technologies!C$726</f>
        <v>XIINDDSLP2</v>
      </c>
      <c r="D748" s="376" t="str">
        <f>Technologies!D235</f>
        <v>Delivery of Imported Distillate-Heating Oil No. 2 to the Indistrial Sector</v>
      </c>
      <c r="E748" s="415" t="str">
        <f>Commodities!C$67</f>
        <v>DSHP2</v>
      </c>
      <c r="F748" s="415" t="str">
        <f>Commodities!C89</f>
        <v>INDDSL</v>
      </c>
      <c r="G748" s="422">
        <v>1</v>
      </c>
      <c r="H748" s="421">
        <f>DelivOIL!$D82*DelivOIL!P$79^5/(Conv!$I$5*Conv!$D$46)/10^6 + OILTrade!$F$6</f>
        <v>1.4726898524775816</v>
      </c>
      <c r="I748" s="421">
        <f>DelivOIL!$D82*DelivOIL!Q$79^5/(Conv!$I$5*Conv!$D$46)/10^6 + OILTrade!$F$6</f>
        <v>1.318225001399526</v>
      </c>
      <c r="J748" s="421">
        <f>DelivOIL!$D82*DelivOIL!R$79^5/(Conv!$I$5*Conv!$D$46)/10^6 + OILTrade!$F$6</f>
        <v>1.4953159923373875</v>
      </c>
      <c r="K748" s="421">
        <f>DelivOIL!$D82*DelivOIL!S$79^5/(Conv!$I$5*Conv!$D$46)/10^6 + OILTrade!$F$6</f>
        <v>1.7124338775443548</v>
      </c>
      <c r="L748" s="421">
        <f>DelivOIL!$D82*DelivOIL!T$79^5/(Conv!$I$5*Conv!$D$46)/10^6 + OILTrade!$F$6</f>
        <v>1.566639676298049</v>
      </c>
      <c r="M748" s="421">
        <f>DelivOIL!$D82*DelivOIL!U$79^5/(Conv!$I$5*Conv!$D$46)/10^6 + OILTrade!$F$6</f>
        <v>1.4945938871172526</v>
      </c>
      <c r="N748" s="421">
        <f>DelivOIL!$D82*DelivOIL!V$79^5/(Conv!$I$5*Conv!$D$46)/10^6 + OILTrade!$F$6</f>
        <v>1.4945938871172526</v>
      </c>
      <c r="O748" s="421">
        <f>DelivOIL!$D82*DelivOIL!W$79^5/(Conv!$I$5*Conv!$D$46)/10^6 + OILTrade!$F$6</f>
        <v>1.4945938871172526</v>
      </c>
      <c r="P748" s="421">
        <f>DelivOIL!$D82*DelivOIL!X$79^5/(Conv!$I$5*Conv!$D$46)/10^6 + OILTrade!$F$6</f>
        <v>1.4945938871172526</v>
      </c>
      <c r="Q748" s="421">
        <f>DelivOIL!$D82*DelivOIL!Y$79^5/(Conv!$I$5*Conv!$D$46)/10^6 + OILTrade!$F$6</f>
        <v>1.4945938871172526</v>
      </c>
      <c r="S748" s="395"/>
      <c r="T748" s="395"/>
      <c r="U748" s="395"/>
      <c r="V748" s="395"/>
      <c r="W748" s="395"/>
      <c r="X748" s="395"/>
      <c r="Y748" s="395"/>
      <c r="Z748" s="395"/>
      <c r="AA748" s="395"/>
      <c r="AB748" s="395"/>
      <c r="AC748" s="395"/>
    </row>
    <row r="749" spans="2:29">
      <c r="B749" s="376" t="str">
        <f>IF(OR(LEFT(Commodities!B$65,1)="*",LEFT(Technologies!B$236,1)="*"),"*","R3")</f>
        <v>R3</v>
      </c>
      <c r="C749" s="376" t="str">
        <f>Technologies!C$727</f>
        <v>XIELCDSLP2</v>
      </c>
      <c r="D749" s="376" t="str">
        <f>Technologies!D236</f>
        <v>Delivery of Imported Distillate-Heating Oil No. 2 to the Electricity Sector</v>
      </c>
      <c r="E749" s="415" t="str">
        <f>Commodities!C$67</f>
        <v>DSHP2</v>
      </c>
      <c r="F749" s="415" t="str">
        <f>Commodities!C90</f>
        <v>ELCDSL</v>
      </c>
      <c r="G749" s="422">
        <v>1</v>
      </c>
      <c r="H749" s="421">
        <f>DelivOIL!$D83*DelivOIL!P$79^5/(Conv!$I$5*Conv!$D$46)/10^6 + OILTrade!$F$6</f>
        <v>0.56589471183166307</v>
      </c>
      <c r="I749" s="421">
        <f>DelivOIL!$D83*DelivOIL!Q$79^5/(Conv!$I$5*Conv!$D$46)/10^6 + OILTrade!$F$6</f>
        <v>0.50654016257481782</v>
      </c>
      <c r="J749" s="421">
        <f>DelivOIL!$D83*DelivOIL!R$79^5/(Conv!$I$5*Conv!$D$46)/10^6 + OILTrade!$F$6</f>
        <v>0.57458901557408859</v>
      </c>
      <c r="K749" s="421">
        <f>DelivOIL!$D83*DelivOIL!S$79^5/(Conv!$I$5*Conv!$D$46)/10^6 + OILTrade!$F$6</f>
        <v>0.65801857331565461</v>
      </c>
      <c r="L749" s="421">
        <f>DelivOIL!$D83*DelivOIL!T$79^5/(Conv!$I$5*Conv!$D$46)/10^6 + OILTrade!$F$6</f>
        <v>0.60199580154045385</v>
      </c>
      <c r="M749" s="421">
        <f>DelivOIL!$D83*DelivOIL!U$79^5/(Conv!$I$5*Conv!$D$46)/10^6 + OILTrade!$F$6</f>
        <v>0.57431153995709228</v>
      </c>
      <c r="N749" s="421">
        <f>DelivOIL!$D83*DelivOIL!V$79^5/(Conv!$I$5*Conv!$D$46)/10^6 + OILTrade!$F$6</f>
        <v>0.57431153995709228</v>
      </c>
      <c r="O749" s="421">
        <f>DelivOIL!$D83*DelivOIL!W$79^5/(Conv!$I$5*Conv!$D$46)/10^6 + OILTrade!$F$6</f>
        <v>0.57431153995709228</v>
      </c>
      <c r="P749" s="421">
        <f>DelivOIL!$D83*DelivOIL!X$79^5/(Conv!$I$5*Conv!$D$46)/10^6 + OILTrade!$F$6</f>
        <v>0.57431153995709228</v>
      </c>
      <c r="Q749" s="421">
        <f>DelivOIL!$D83*DelivOIL!Y$79^5/(Conv!$I$5*Conv!$D$46)/10^6 + OILTrade!$F$6</f>
        <v>0.57431153995709228</v>
      </c>
      <c r="S749" s="395"/>
      <c r="T749" s="395"/>
      <c r="U749" s="395"/>
      <c r="V749" s="395"/>
      <c r="W749" s="395"/>
      <c r="X749" s="395"/>
      <c r="Y749" s="395"/>
      <c r="Z749" s="395"/>
      <c r="AA749" s="395"/>
      <c r="AB749" s="395"/>
      <c r="AC749" s="395"/>
    </row>
    <row r="750" spans="2:29">
      <c r="B750" s="376" t="str">
        <f>IF(OR(LEFT(Commodities!B$323,1)="*",LEFT(Technologies!B$704,1)="*"),"*","R3")</f>
        <v>R3</v>
      </c>
      <c r="C750" s="376" t="str">
        <f>Technologies!C$728</f>
        <v>XITRDSLLP2</v>
      </c>
      <c r="D750" s="376" t="str">
        <f>Technologies!D704</f>
        <v>Delivery of Imported Distillate-Low Sulfur Highway Diesel (500 ppm)</v>
      </c>
      <c r="E750" s="415" t="str">
        <f>Commodities!C$334</f>
        <v>DSLP2</v>
      </c>
      <c r="F750" s="415" t="str">
        <f>Commodities!C91</f>
        <v>TRDSLL</v>
      </c>
      <c r="G750" s="422">
        <v>1</v>
      </c>
      <c r="H750" s="421">
        <f>DelivOIL!$D84*DelivOIL!P$79^5/(Conv!$I$5*Conv!$D$46)/10^6 + OILTrade!$F$6</f>
        <v>3.7021786569228099</v>
      </c>
      <c r="I750" s="421">
        <f>DelivOIL!$D84*DelivOIL!Q$79^5/(Conv!$I$5*Conv!$D$46)/10^6 + OILTrade!$F$6</f>
        <v>3.3138711840738093</v>
      </c>
      <c r="J750" s="421">
        <f>DelivOIL!$D84*DelivOIL!R$79^5/(Conv!$I$5*Conv!$D$46)/10^6 + OILTrade!$F$6</f>
        <v>3.759058258514822</v>
      </c>
      <c r="K750" s="421">
        <f>DelivOIL!$D84*DelivOIL!S$79^5/(Conv!$I$5*Conv!$D$46)/10^6 + OILTrade!$F$6</f>
        <v>4.3048684977156704</v>
      </c>
      <c r="L750" s="421">
        <f>DelivOIL!$D84*DelivOIL!T$79^5/(Conv!$I$5*Conv!$D$46)/10^6 + OILTrade!$F$6</f>
        <v>3.9383580751381513</v>
      </c>
      <c r="M750" s="421">
        <f>DelivOIL!$D84*DelivOIL!U$79^5/(Conv!$I$5*Conv!$D$46)/10^6 + OILTrade!$F$6</f>
        <v>3.7572429662253168</v>
      </c>
      <c r="N750" s="421">
        <f>DelivOIL!$D84*DelivOIL!V$79^5/(Conv!$I$5*Conv!$D$46)/10^6 + OILTrade!$F$6</f>
        <v>3.7572429662253168</v>
      </c>
      <c r="O750" s="421">
        <f>DelivOIL!$D84*DelivOIL!W$79^5/(Conv!$I$5*Conv!$D$46)/10^6 + OILTrade!$F$6</f>
        <v>3.7572429662253168</v>
      </c>
      <c r="P750" s="421">
        <f>DelivOIL!$D84*DelivOIL!X$79^5/(Conv!$I$5*Conv!$D$46)/10^6 + OILTrade!$F$6</f>
        <v>3.7572429662253168</v>
      </c>
      <c r="Q750" s="421">
        <f>DelivOIL!$D84*DelivOIL!Y$79^5/(Conv!$I$5*Conv!$D$46)/10^6 + OILTrade!$F$6</f>
        <v>3.7572429662253168</v>
      </c>
      <c r="S750" s="395"/>
      <c r="T750" s="395"/>
      <c r="U750" s="395"/>
      <c r="V750" s="395"/>
      <c r="W750" s="395"/>
      <c r="X750" s="395"/>
      <c r="Y750" s="395"/>
      <c r="Z750" s="395"/>
      <c r="AA750" s="395"/>
      <c r="AB750" s="395"/>
      <c r="AC750" s="395"/>
    </row>
    <row r="751" spans="2:29">
      <c r="B751" s="376" t="str">
        <f>IF(OR(LEFT(Commodities!B$324,1)="*",LEFT(Technologies!B$705,1)="*"),"*","R3")</f>
        <v>R3</v>
      </c>
      <c r="C751" s="376" t="str">
        <f>Technologies!C$729</f>
        <v>XITRDSLUP2</v>
      </c>
      <c r="D751" s="376" t="str">
        <f>Technologies!D705</f>
        <v>Delivery of Imported Distillate-Ultralow Sulfur Highway Diesel (15 ppm)</v>
      </c>
      <c r="E751" s="415" t="str">
        <f>Commodities!C$335</f>
        <v>DSUP2</v>
      </c>
      <c r="F751" s="415" t="str">
        <f>Commodities!C92</f>
        <v>TRDSLU</v>
      </c>
      <c r="G751" s="422">
        <v>1</v>
      </c>
      <c r="H751" s="421">
        <f>DelivOIL!$D85*DelivOIL!P$79^5/(Conv!$I$5*Conv!$D$46)/10^6 + OILTrade!$F$6</f>
        <v>2.9726517392603045</v>
      </c>
      <c r="I751" s="421">
        <f>DelivOIL!$D85*DelivOIL!Q$79^5/(Conv!$I$5*Conv!$D$46)/10^6 + OILTrade!$F$6</f>
        <v>2.6608615768990442</v>
      </c>
      <c r="J751" s="421">
        <f>DelivOIL!$D85*DelivOIL!R$79^5/(Conv!$I$5*Conv!$D$46)/10^6 + OILTrade!$F$6</f>
        <v>3.0183230215699122</v>
      </c>
      <c r="K751" s="421">
        <f>DelivOIL!$D85*DelivOIL!S$79^5/(Conv!$I$5*Conv!$D$46)/10^6 + OILTrade!$F$6</f>
        <v>3.4565794935617546</v>
      </c>
      <c r="L751" s="421">
        <f>DelivOIL!$D85*DelivOIL!T$79^5/(Conv!$I$5*Conv!$D$46)/10^6 + OILTrade!$F$6</f>
        <v>3.1622911984534703</v>
      </c>
      <c r="M751" s="421">
        <f>DelivOIL!$D85*DelivOIL!U$79^5/(Conv!$I$5*Conv!$D$46)/10^6 + OILTrade!$F$6</f>
        <v>3.0168654388107514</v>
      </c>
      <c r="N751" s="421">
        <f>DelivOIL!$D85*DelivOIL!V$79^5/(Conv!$I$5*Conv!$D$46)/10^6 + OILTrade!$F$6</f>
        <v>3.0168654388107514</v>
      </c>
      <c r="O751" s="421">
        <f>DelivOIL!$D85*DelivOIL!W$79^5/(Conv!$I$5*Conv!$D$46)/10^6 + OILTrade!$F$6</f>
        <v>3.0168654388107514</v>
      </c>
      <c r="P751" s="421">
        <f>DelivOIL!$D85*DelivOIL!X$79^5/(Conv!$I$5*Conv!$D$46)/10^6 + OILTrade!$F$6</f>
        <v>3.0168654388107514</v>
      </c>
      <c r="Q751" s="421">
        <f>DelivOIL!$D85*DelivOIL!Y$79^5/(Conv!$I$5*Conv!$D$46)/10^6 + OILTrade!$F$6</f>
        <v>3.0168654388107514</v>
      </c>
      <c r="S751" s="395"/>
      <c r="T751" s="395"/>
      <c r="U751" s="395"/>
      <c r="V751" s="395"/>
      <c r="W751" s="395"/>
      <c r="X751" s="395"/>
      <c r="Y751" s="395"/>
      <c r="Z751" s="395"/>
      <c r="AA751" s="395"/>
      <c r="AB751" s="395"/>
      <c r="AC751" s="395"/>
    </row>
    <row r="752" spans="2:29">
      <c r="B752" s="376" t="str">
        <f>IF(OR(LEFT(Commodities!B$64,1)="*",LEFT(Technologies!B$232,1)="*"),"*","R3")</f>
        <v>R3</v>
      </c>
      <c r="C752" s="376" t="str">
        <f>Technologies!C$730</f>
        <v>XITRNJTFP2</v>
      </c>
      <c r="D752" s="376" t="str">
        <f>Technologies!D232</f>
        <v>Delivery of Imported Jet Fuel</v>
      </c>
      <c r="E752" s="415" t="str">
        <f>Commodities!C$66</f>
        <v>JTFP2</v>
      </c>
      <c r="F752" s="415" t="str">
        <f>Commodities!C93</f>
        <v>TRNJTF</v>
      </c>
      <c r="G752" s="422">
        <v>1</v>
      </c>
      <c r="H752" s="421">
        <f>DelivOIL!$D86*DelivOIL!P$79^5/(Conv!$I$5*Conv!$D$46)/10^6 + OILTrade!$F$6</f>
        <v>0.53180466895023826</v>
      </c>
      <c r="I752" s="421">
        <f>DelivOIL!$D86*DelivOIL!Q$79^5/(Conv!$I$5*Conv!$D$46)/10^6 + OILTrade!$F$6</f>
        <v>0.47602569494982944</v>
      </c>
      <c r="J752" s="421">
        <f>DelivOIL!$D86*DelivOIL!R$79^5/(Conv!$I$5*Conv!$D$46)/10^6 + OILTrade!$F$6</f>
        <v>0.53997521945516824</v>
      </c>
      <c r="K752" s="421">
        <f>DelivOIL!$D86*DelivOIL!S$79^5/(Conv!$I$5*Conv!$D$46)/10^6 + OILTrade!$F$6</f>
        <v>0.61837890022435094</v>
      </c>
      <c r="L752" s="421">
        <f>DelivOIL!$D86*DelivOIL!T$79^5/(Conv!$I$5*Conv!$D$46)/10^6 + OILTrade!$F$6</f>
        <v>0.56573099421874051</v>
      </c>
      <c r="M752" s="421">
        <f>DelivOIL!$D86*DelivOIL!U$79^5/(Conv!$I$5*Conv!$D$46)/10^6 + OILTrade!$F$6</f>
        <v>0.53971445923678618</v>
      </c>
      <c r="N752" s="421">
        <f>DelivOIL!$D86*DelivOIL!V$79^5/(Conv!$I$5*Conv!$D$46)/10^6 + OILTrade!$F$6</f>
        <v>0.53971445923678618</v>
      </c>
      <c r="O752" s="421">
        <f>DelivOIL!$D86*DelivOIL!W$79^5/(Conv!$I$5*Conv!$D$46)/10^6 + OILTrade!$F$6</f>
        <v>0.53971445923678618</v>
      </c>
      <c r="P752" s="421">
        <f>DelivOIL!$D86*DelivOIL!X$79^5/(Conv!$I$5*Conv!$D$46)/10^6 + OILTrade!$F$6</f>
        <v>0.53971445923678618</v>
      </c>
      <c r="Q752" s="421">
        <f>DelivOIL!$D86*DelivOIL!Y$79^5/(Conv!$I$5*Conv!$D$46)/10^6 + OILTrade!$F$6</f>
        <v>0.53971445923678618</v>
      </c>
      <c r="S752" s="395"/>
      <c r="T752" s="395"/>
      <c r="U752" s="395"/>
      <c r="V752" s="395"/>
      <c r="W752" s="395"/>
      <c r="X752" s="395"/>
      <c r="Y752" s="395"/>
      <c r="Z752" s="395"/>
      <c r="AA752" s="395"/>
      <c r="AB752" s="395"/>
      <c r="AC752" s="395"/>
    </row>
    <row r="753" spans="2:29">
      <c r="B753" s="376" t="str">
        <f>IF(OR(LEFT(Commodities!B$327,1)="*",LEFT(Technologies!B$706,1)="*"),"*","R3")</f>
        <v>*</v>
      </c>
      <c r="C753" s="376" t="str">
        <f>Technologies!C$731</f>
        <v>XIRESKERP2</v>
      </c>
      <c r="D753" s="376" t="str">
        <f>Technologies!D706</f>
        <v>Delivery of Imported Kerosene and Other Refined Products to the Residential Sector</v>
      </c>
      <c r="E753" s="415" t="str">
        <f>Commodities!C$338</f>
        <v>KERP2</v>
      </c>
      <c r="F753" s="415" t="str">
        <f>Commodities!C94</f>
        <v>RESKER</v>
      </c>
      <c r="G753" s="422">
        <v>1</v>
      </c>
      <c r="H753" s="421">
        <f>DelivOIL!$D87*DelivOIL!P$79^5/(Conv!$I$5*Conv!$D$46)/10^6 + OILTrade!$F$6</f>
        <v>2.6794773704800448</v>
      </c>
      <c r="I753" s="421">
        <f>DelivOIL!$D87*DelivOIL!Q$79^5/(Conv!$I$5*Conv!$D$46)/10^6 + OILTrade!$F$6</f>
        <v>2.3984371553241384</v>
      </c>
      <c r="J753" s="421">
        <f>DelivOIL!$D87*DelivOIL!R$79^5/(Conv!$I$5*Conv!$D$46)/10^6 + OILTrade!$F$6</f>
        <v>2.7206443749471916</v>
      </c>
      <c r="K753" s="421">
        <f>DelivOIL!$D87*DelivOIL!S$79^5/(Conv!$I$5*Conv!$D$46)/10^6 + OILTrade!$F$6</f>
        <v>3.1156783049765351</v>
      </c>
      <c r="L753" s="421">
        <f>DelivOIL!$D87*DelivOIL!T$79^5/(Conv!$I$5*Conv!$D$46)/10^6 + OILTrade!$F$6</f>
        <v>2.8504138554867282</v>
      </c>
      <c r="M753" s="421">
        <f>DelivOIL!$D87*DelivOIL!U$79^5/(Conv!$I$5*Conv!$D$46)/10^6 + OILTrade!$F$6</f>
        <v>2.7193305446161129</v>
      </c>
      <c r="N753" s="421">
        <f>DelivOIL!$D87*DelivOIL!V$79^5/(Conv!$I$5*Conv!$D$46)/10^6 + OILTrade!$F$6</f>
        <v>2.7193305446161129</v>
      </c>
      <c r="O753" s="421">
        <f>DelivOIL!$D87*DelivOIL!W$79^5/(Conv!$I$5*Conv!$D$46)/10^6 + OILTrade!$F$6</f>
        <v>2.7193305446161129</v>
      </c>
      <c r="P753" s="421">
        <f>DelivOIL!$D87*DelivOIL!X$79^5/(Conv!$I$5*Conv!$D$46)/10^6 + OILTrade!$F$6</f>
        <v>2.7193305446161129</v>
      </c>
      <c r="Q753" s="421">
        <f>DelivOIL!$D87*DelivOIL!Y$79^5/(Conv!$I$5*Conv!$D$46)/10^6 + OILTrade!$F$6</f>
        <v>2.7193305446161129</v>
      </c>
      <c r="S753" s="395"/>
      <c r="T753" s="395"/>
      <c r="U753" s="395"/>
      <c r="V753" s="395"/>
      <c r="W753" s="395"/>
      <c r="X753" s="395"/>
      <c r="Y753" s="395"/>
      <c r="Z753" s="395"/>
      <c r="AA753" s="395"/>
      <c r="AB753" s="395"/>
      <c r="AC753" s="395"/>
    </row>
    <row r="754" spans="2:29">
      <c r="B754" s="376" t="str">
        <f>IF(OR(LEFT(Commodities!B$327,1)="*",LEFT(Technologies!B$707,1)="*"),"*","R3")</f>
        <v>*</v>
      </c>
      <c r="C754" s="376" t="str">
        <f>Technologies!C$732</f>
        <v>XICOMKERP2</v>
      </c>
      <c r="D754" s="376" t="str">
        <f>Technologies!D707</f>
        <v>Delivery of Imported Kerosene and Other Refined Products to the Commercial Sector</v>
      </c>
      <c r="E754" s="415" t="str">
        <f>E753</f>
        <v>KERP2</v>
      </c>
      <c r="F754" s="415" t="str">
        <f>Commodities!C95</f>
        <v>COMKER</v>
      </c>
      <c r="G754" s="422">
        <v>1</v>
      </c>
      <c r="H754" s="421">
        <f>DelivOIL!$D88*DelivOIL!P$79^5/(Conv!$I$5*Conv!$D$46)/10^6 + OILTrade!$F$6</f>
        <v>2.8022015248531766</v>
      </c>
      <c r="I754" s="421">
        <f>DelivOIL!$D88*DelivOIL!Q$79^5/(Conv!$I$5*Conv!$D$46)/10^6 + OILTrade!$F$6</f>
        <v>2.5082892387740987</v>
      </c>
      <c r="J754" s="421">
        <f>DelivOIL!$D88*DelivOIL!R$79^5/(Conv!$I$5*Conv!$D$46)/10^6 + OILTrade!$F$6</f>
        <v>2.8452540409753073</v>
      </c>
      <c r="K754" s="421">
        <f>DelivOIL!$D88*DelivOIL!S$79^5/(Conv!$I$5*Conv!$D$46)/10^6 + OILTrade!$F$6</f>
        <v>3.2583811281052317</v>
      </c>
      <c r="L754" s="421">
        <f>DelivOIL!$D88*DelivOIL!T$79^5/(Conv!$I$5*Conv!$D$46)/10^6 + OILTrade!$F$6</f>
        <v>2.9809671618448994</v>
      </c>
      <c r="M754" s="421">
        <f>DelivOIL!$D88*DelivOIL!U$79^5/(Conv!$I$5*Conv!$D$46)/10^6 + OILTrade!$F$6</f>
        <v>2.8438800352092177</v>
      </c>
      <c r="N754" s="421">
        <f>DelivOIL!$D88*DelivOIL!V$79^5/(Conv!$I$5*Conv!$D$46)/10^6 + OILTrade!$F$6</f>
        <v>2.8438800352092177</v>
      </c>
      <c r="O754" s="421">
        <f>DelivOIL!$D88*DelivOIL!W$79^5/(Conv!$I$5*Conv!$D$46)/10^6 + OILTrade!$F$6</f>
        <v>2.8438800352092177</v>
      </c>
      <c r="P754" s="421">
        <f>DelivOIL!$D88*DelivOIL!X$79^5/(Conv!$I$5*Conv!$D$46)/10^6 + OILTrade!$F$6</f>
        <v>2.8438800352092177</v>
      </c>
      <c r="Q754" s="421">
        <f>DelivOIL!$D88*DelivOIL!Y$79^5/(Conv!$I$5*Conv!$D$46)/10^6 + OILTrade!$F$6</f>
        <v>2.8438800352092177</v>
      </c>
      <c r="S754" s="395"/>
      <c r="T754" s="395"/>
      <c r="U754" s="395"/>
      <c r="V754" s="395"/>
      <c r="W754" s="395"/>
      <c r="X754" s="395"/>
      <c r="Y754" s="395"/>
      <c r="Z754" s="395"/>
      <c r="AA754" s="395"/>
      <c r="AB754" s="395"/>
      <c r="AC754" s="395"/>
    </row>
    <row r="755" spans="2:29">
      <c r="B755" s="376" t="str">
        <f>IF(OR(LEFT(Commodities!B$327,1)="*",LEFT(Technologies!B$708,1)="*"),"*","R3")</f>
        <v>*</v>
      </c>
      <c r="C755" s="376" t="str">
        <f>Technologies!C$733</f>
        <v>XIINDKERP2</v>
      </c>
      <c r="D755" s="376" t="str">
        <f>Technologies!D708</f>
        <v>Delivery of Imported Kerosene and Other Refined Products to the Industrial Sector</v>
      </c>
      <c r="E755" s="415" t="str">
        <f>E754</f>
        <v>KERP2</v>
      </c>
      <c r="F755" s="415" t="str">
        <f>Commodities!C96</f>
        <v>INDKER</v>
      </c>
      <c r="G755" s="422">
        <v>1</v>
      </c>
      <c r="H755" s="421">
        <f>DelivOIL!$D89*DelivOIL!P$79^5/(Conv!$I$5*Conv!$D$46)/10^6 + OILTrade!$F$6</f>
        <v>1.3431476895281651</v>
      </c>
      <c r="I755" s="421">
        <f>DelivOIL!$D89*DelivOIL!Q$79^5/(Conv!$I$5*Conv!$D$46)/10^6 + OILTrade!$F$6</f>
        <v>1.2022700244245683</v>
      </c>
      <c r="J755" s="421">
        <f>DelivOIL!$D89*DelivOIL!R$79^5/(Conv!$I$5*Conv!$D$46)/10^6 + OILTrade!$F$6</f>
        <v>1.3637835670854883</v>
      </c>
      <c r="K755" s="421">
        <f>DelivOIL!$D89*DelivOIL!S$79^5/(Conv!$I$5*Conv!$D$46)/10^6 + OILTrade!$F$6</f>
        <v>1.5618031197973985</v>
      </c>
      <c r="L755" s="421">
        <f>DelivOIL!$D89*DelivOIL!T$79^5/(Conv!$I$5*Conv!$D$46)/10^6 + OILTrade!$F$6</f>
        <v>1.4288334084755359</v>
      </c>
      <c r="M755" s="421">
        <f>DelivOIL!$D89*DelivOIL!U$79^5/(Conv!$I$5*Conv!$D$46)/10^6 + OILTrade!$F$6</f>
        <v>1.3631249803800876</v>
      </c>
      <c r="N755" s="421">
        <f>DelivOIL!$D89*DelivOIL!V$79^5/(Conv!$I$5*Conv!$D$46)/10^6 + OILTrade!$F$6</f>
        <v>1.3631249803800876</v>
      </c>
      <c r="O755" s="421">
        <f>DelivOIL!$D89*DelivOIL!W$79^5/(Conv!$I$5*Conv!$D$46)/10^6 + OILTrade!$F$6</f>
        <v>1.3631249803800876</v>
      </c>
      <c r="P755" s="421">
        <f>DelivOIL!$D89*DelivOIL!X$79^5/(Conv!$I$5*Conv!$D$46)/10^6 + OILTrade!$F$6</f>
        <v>1.3631249803800876</v>
      </c>
      <c r="Q755" s="421">
        <f>DelivOIL!$D89*DelivOIL!Y$79^5/(Conv!$I$5*Conv!$D$46)/10^6 + OILTrade!$F$6</f>
        <v>1.3631249803800876</v>
      </c>
      <c r="S755" s="395"/>
      <c r="T755" s="395"/>
      <c r="U755" s="395"/>
      <c r="V755" s="395"/>
      <c r="W755" s="395"/>
      <c r="X755" s="395"/>
      <c r="Y755" s="395"/>
      <c r="Z755" s="395"/>
      <c r="AA755" s="395"/>
      <c r="AB755" s="395"/>
      <c r="AC755" s="395"/>
    </row>
    <row r="756" spans="2:29">
      <c r="B756" s="376" t="str">
        <f>IF(OR(LEFT(Commodities!B$328,1)="*",LEFT(Technologies!B$709,1)="*"),"*","R3")</f>
        <v>*</v>
      </c>
      <c r="C756" s="376" t="str">
        <f>Technologies!C$734</f>
        <v>XIRESLPGP2</v>
      </c>
      <c r="D756" s="376" t="str">
        <f>Technologies!D709</f>
        <v>Delivery of Imported LPG to the Residential Sector</v>
      </c>
      <c r="E756" s="415" t="str">
        <f>Commodities!C$339</f>
        <v>LPGP2</v>
      </c>
      <c r="F756" s="415" t="str">
        <f>Commodities!C97</f>
        <v>RESLPG</v>
      </c>
      <c r="G756" s="422">
        <v>1</v>
      </c>
      <c r="H756" s="421">
        <f>DelivOIL!$D90*DelivOIL!P$79^5/(Conv!$I$5*Conv!$D$46)/10^6 + OILTrade!$F$6</f>
        <v>3.4430943310239761</v>
      </c>
      <c r="I756" s="421">
        <f>DelivOIL!$D90*DelivOIL!Q$79^5/(Conv!$I$5*Conv!$D$46)/10^6 + OILTrade!$F$6</f>
        <v>3.0819612301238934</v>
      </c>
      <c r="J756" s="421">
        <f>DelivOIL!$D90*DelivOIL!R$79^5/(Conv!$I$5*Conv!$D$46)/10^6 + OILTrade!$F$6</f>
        <v>3.4959934080110231</v>
      </c>
      <c r="K756" s="421">
        <f>DelivOIL!$D90*DelivOIL!S$79^5/(Conv!$I$5*Conv!$D$46)/10^6 + OILTrade!$F$6</f>
        <v>4.0036069822217568</v>
      </c>
      <c r="L756" s="421">
        <f>DelivOIL!$D90*DelivOIL!T$79^5/(Conv!$I$5*Conv!$D$46)/10^6 + OILTrade!$F$6</f>
        <v>3.662745539493125</v>
      </c>
      <c r="M756" s="421">
        <f>DelivOIL!$D90*DelivOIL!U$79^5/(Conv!$I$5*Conv!$D$46)/10^6 + OILTrade!$F$6</f>
        <v>3.4943051527509854</v>
      </c>
      <c r="N756" s="421">
        <f>DelivOIL!$D90*DelivOIL!V$79^5/(Conv!$I$5*Conv!$D$46)/10^6 + OILTrade!$F$6</f>
        <v>3.4943051527509854</v>
      </c>
      <c r="O756" s="421">
        <f>DelivOIL!$D90*DelivOIL!W$79^5/(Conv!$I$5*Conv!$D$46)/10^6 + OILTrade!$F$6</f>
        <v>3.4943051527509854</v>
      </c>
      <c r="P756" s="421">
        <f>DelivOIL!$D90*DelivOIL!X$79^5/(Conv!$I$5*Conv!$D$46)/10^6 + OILTrade!$F$6</f>
        <v>3.4943051527509854</v>
      </c>
      <c r="Q756" s="421">
        <f>DelivOIL!$D90*DelivOIL!Y$79^5/(Conv!$I$5*Conv!$D$46)/10^6 + OILTrade!$F$6</f>
        <v>3.4943051527509854</v>
      </c>
      <c r="S756" s="395"/>
      <c r="T756" s="395"/>
      <c r="U756" s="395"/>
      <c r="V756" s="395"/>
      <c r="W756" s="395"/>
      <c r="X756" s="395"/>
      <c r="Y756" s="395"/>
      <c r="Z756" s="395"/>
      <c r="AA756" s="395"/>
      <c r="AB756" s="395"/>
      <c r="AC756" s="395"/>
    </row>
    <row r="757" spans="2:29">
      <c r="B757" s="376" t="str">
        <f>IF(OR(LEFT(Commodities!B$328,1)="*",LEFT(Technologies!B$710,1)="*"),"*","R3")</f>
        <v>*</v>
      </c>
      <c r="C757" s="376" t="str">
        <f>Technologies!C$735</f>
        <v>XICOMLPGP2</v>
      </c>
      <c r="D757" s="376" t="str">
        <f>Technologies!D710</f>
        <v>Delivery of Imported LPG to the Commercial Sector</v>
      </c>
      <c r="E757" s="415" t="str">
        <f>Commodities!C$339</f>
        <v>LPGP2</v>
      </c>
      <c r="F757" s="415" t="str">
        <f>Commodities!C98</f>
        <v>COMLPG</v>
      </c>
      <c r="G757" s="422">
        <v>1</v>
      </c>
      <c r="H757" s="421">
        <f>DelivOIL!$D91*DelivOIL!P$79^5/(Conv!$I$5*Conv!$D$46)/10^6 + OILTrade!$F$6</f>
        <v>3.1908280137014269</v>
      </c>
      <c r="I757" s="421">
        <f>DelivOIL!$D91*DelivOIL!Q$79^5/(Conv!$I$5*Conv!$D$46)/10^6 + OILTrade!$F$6</f>
        <v>2.8561541696989736</v>
      </c>
      <c r="J757" s="421">
        <f>DelivOIL!$D91*DelivOIL!R$79^5/(Conv!$I$5*Conv!$D$46)/10^6 + OILTrade!$F$6</f>
        <v>3.239851316731007</v>
      </c>
      <c r="K757" s="421">
        <f>DelivOIL!$D91*DelivOIL!S$79^5/(Conv!$I$5*Conv!$D$46)/10^6 + OILTrade!$F$6</f>
        <v>3.7102734013461025</v>
      </c>
      <c r="L757" s="421">
        <f>DelivOIL!$D91*DelivOIL!T$79^5/(Conv!$I$5*Conv!$D$46)/10^6 + OILTrade!$F$6</f>
        <v>3.3943859653124395</v>
      </c>
      <c r="M757" s="421">
        <f>DelivOIL!$D91*DelivOIL!U$79^5/(Conv!$I$5*Conv!$D$46)/10^6 + OILTrade!$F$6</f>
        <v>3.238286755420714</v>
      </c>
      <c r="N757" s="421">
        <f>DelivOIL!$D91*DelivOIL!V$79^5/(Conv!$I$5*Conv!$D$46)/10^6 + OILTrade!$F$6</f>
        <v>3.238286755420714</v>
      </c>
      <c r="O757" s="421">
        <f>DelivOIL!$D91*DelivOIL!W$79^5/(Conv!$I$5*Conv!$D$46)/10^6 + OILTrade!$F$6</f>
        <v>3.238286755420714</v>
      </c>
      <c r="P757" s="421">
        <f>DelivOIL!$D91*DelivOIL!X$79^5/(Conv!$I$5*Conv!$D$46)/10^6 + OILTrade!$F$6</f>
        <v>3.238286755420714</v>
      </c>
      <c r="Q757" s="421">
        <f>DelivOIL!$D91*DelivOIL!Y$79^5/(Conv!$I$5*Conv!$D$46)/10^6 + OILTrade!$F$6</f>
        <v>3.238286755420714</v>
      </c>
      <c r="S757" s="395"/>
      <c r="T757" s="395"/>
      <c r="U757" s="395"/>
      <c r="V757" s="395"/>
      <c r="W757" s="395"/>
      <c r="X757" s="395"/>
      <c r="Y757" s="395"/>
      <c r="Z757" s="395"/>
      <c r="AA757" s="395"/>
      <c r="AB757" s="395"/>
      <c r="AC757" s="395"/>
    </row>
    <row r="758" spans="2:29">
      <c r="B758" s="376" t="str">
        <f>IF(OR(LEFT(Commodities!B$328,1)="*",LEFT(Technologies!B$711,1)="*"),"*","R3")</f>
        <v>*</v>
      </c>
      <c r="C758" s="376" t="str">
        <f>Technologies!C$736</f>
        <v>XIINDLPGP2</v>
      </c>
      <c r="D758" s="376" t="str">
        <f>Technologies!D711</f>
        <v>Delivery of Imported LPG to the Industrial Sector</v>
      </c>
      <c r="E758" s="415" t="str">
        <f>Commodities!C$339</f>
        <v>LPGP2</v>
      </c>
      <c r="F758" s="415" t="str">
        <f>Commodities!C99</f>
        <v>INDLPG</v>
      </c>
      <c r="G758" s="422">
        <v>1</v>
      </c>
      <c r="H758" s="421">
        <f>DelivOIL!$D92*DelivOIL!P$79^5/(Conv!$I$5*Conv!$D$46)/10^6 + OILTrade!$F$6</f>
        <v>2.7067494047851852</v>
      </c>
      <c r="I758" s="421">
        <f>DelivOIL!$D92*DelivOIL!Q$79^5/(Conv!$I$5*Conv!$D$46)/10^6 + OILTrade!$F$6</f>
        <v>2.4228487294241297</v>
      </c>
      <c r="J758" s="421">
        <f>DelivOIL!$D92*DelivOIL!R$79^5/(Conv!$I$5*Conv!$D$46)/10^6 + OILTrade!$F$6</f>
        <v>2.7483354118423287</v>
      </c>
      <c r="K758" s="421">
        <f>DelivOIL!$D92*DelivOIL!S$79^5/(Conv!$I$5*Conv!$D$46)/10^6 + OILTrade!$F$6</f>
        <v>3.1473900434495787</v>
      </c>
      <c r="L758" s="421">
        <f>DelivOIL!$D92*DelivOIL!T$79^5/(Conv!$I$5*Conv!$D$46)/10^6 + OILTrade!$F$6</f>
        <v>2.8794257013441</v>
      </c>
      <c r="M758" s="421">
        <f>DelivOIL!$D92*DelivOIL!U$79^5/(Conv!$I$5*Conv!$D$46)/10^6 + OILTrade!$F$6</f>
        <v>2.7470082091923582</v>
      </c>
      <c r="N758" s="421">
        <f>DelivOIL!$D92*DelivOIL!V$79^5/(Conv!$I$5*Conv!$D$46)/10^6 + OILTrade!$F$6</f>
        <v>2.7470082091923582</v>
      </c>
      <c r="O758" s="421">
        <f>DelivOIL!$D92*DelivOIL!W$79^5/(Conv!$I$5*Conv!$D$46)/10^6 + OILTrade!$F$6</f>
        <v>2.7470082091923582</v>
      </c>
      <c r="P758" s="421">
        <f>DelivOIL!$D92*DelivOIL!X$79^5/(Conv!$I$5*Conv!$D$46)/10^6 + OILTrade!$F$6</f>
        <v>2.7470082091923582</v>
      </c>
      <c r="Q758" s="421">
        <f>DelivOIL!$D92*DelivOIL!Y$79^5/(Conv!$I$5*Conv!$D$46)/10^6 + OILTrade!$F$6</f>
        <v>2.7470082091923582</v>
      </c>
      <c r="S758" s="395"/>
      <c r="T758" s="395"/>
      <c r="U758" s="395"/>
      <c r="V758" s="395"/>
      <c r="W758" s="395"/>
      <c r="X758" s="395"/>
      <c r="Y758" s="395"/>
      <c r="Z758" s="395"/>
      <c r="AA758" s="395"/>
      <c r="AB758" s="395"/>
      <c r="AC758" s="395"/>
    </row>
    <row r="759" spans="2:29">
      <c r="B759" s="376" t="str">
        <f>IF(OR(LEFT(Commodities!B$328,1)="*",LEFT(Technologies!B$712,1)="*"),"*","R3")</f>
        <v>*</v>
      </c>
      <c r="C759" s="376" t="str">
        <f>Technologies!C$737</f>
        <v>XITRNLPGP2</v>
      </c>
      <c r="D759" s="376" t="str">
        <f>Technologies!D712</f>
        <v>Delivery of Imported LPG to the Transportation Sector</v>
      </c>
      <c r="E759" s="415" t="str">
        <f>Commodities!C$339</f>
        <v>LPGP2</v>
      </c>
      <c r="F759" s="415" t="str">
        <f>Commodities!C100</f>
        <v>TRNLPG</v>
      </c>
      <c r="G759" s="422">
        <v>1</v>
      </c>
      <c r="H759" s="421">
        <f>DelivOIL!$D93*DelivOIL!P$79^5/(Conv!$I$5*Conv!$D$46)/10^6 + OILTrade!$F$6</f>
        <v>4.0908051457710606</v>
      </c>
      <c r="I759" s="421">
        <f>DelivOIL!$D93*DelivOIL!Q$79^5/(Conv!$I$5*Conv!$D$46)/10^6 + OILTrade!$F$6</f>
        <v>3.6617361149986851</v>
      </c>
      <c r="J759" s="421">
        <f>DelivOIL!$D93*DelivOIL!R$79^5/(Conv!$I$5*Conv!$D$46)/10^6 + OILTrade!$F$6</f>
        <v>4.1536555342705226</v>
      </c>
      <c r="K759" s="421">
        <f>DelivOIL!$D93*DelivOIL!S$79^5/(Conv!$I$5*Conv!$D$46)/10^6 + OILTrade!$F$6</f>
        <v>4.7567607709565429</v>
      </c>
      <c r="L759" s="421">
        <f>DelivOIL!$D93*DelivOIL!T$79^5/(Conv!$I$5*Conv!$D$46)/10^6 + OILTrade!$F$6</f>
        <v>4.3517768786056923</v>
      </c>
      <c r="M759" s="421">
        <f>DelivOIL!$D93*DelivOIL!U$79^5/(Conv!$I$5*Conv!$D$46)/10^6 + OILTrade!$F$6</f>
        <v>4.151649686436814</v>
      </c>
      <c r="N759" s="421">
        <f>DelivOIL!$D93*DelivOIL!V$79^5/(Conv!$I$5*Conv!$D$46)/10^6 + OILTrade!$F$6</f>
        <v>4.151649686436814</v>
      </c>
      <c r="O759" s="421">
        <f>DelivOIL!$D93*DelivOIL!W$79^5/(Conv!$I$5*Conv!$D$46)/10^6 + OILTrade!$F$6</f>
        <v>4.151649686436814</v>
      </c>
      <c r="P759" s="421">
        <f>DelivOIL!$D93*DelivOIL!X$79^5/(Conv!$I$5*Conv!$D$46)/10^6 + OILTrade!$F$6</f>
        <v>4.151649686436814</v>
      </c>
      <c r="Q759" s="421">
        <f>DelivOIL!$D93*DelivOIL!Y$79^5/(Conv!$I$5*Conv!$D$46)/10^6 + OILTrade!$F$6</f>
        <v>4.151649686436814</v>
      </c>
      <c r="S759" s="395"/>
      <c r="T759" s="395"/>
      <c r="U759" s="395"/>
      <c r="V759" s="395"/>
      <c r="W759" s="395"/>
      <c r="X759" s="395"/>
      <c r="Y759" s="395"/>
      <c r="Z759" s="395"/>
      <c r="AA759" s="395"/>
      <c r="AB759" s="395"/>
      <c r="AC759" s="395"/>
    </row>
    <row r="760" spans="2:29">
      <c r="B760" s="376" t="str">
        <f>IF(LEFT(Technologies!B$713,1)="*","*","R3")</f>
        <v>*</v>
      </c>
      <c r="C760" s="376" t="str">
        <f>Technologies!C$738</f>
        <v>XITRNMTHP2</v>
      </c>
      <c r="D760" s="376" t="str">
        <f>Technologies!D713</f>
        <v>Delivery of Imported Methanol</v>
      </c>
      <c r="E760" s="415" t="str">
        <f>Commodities!C$340</f>
        <v>MTHP2</v>
      </c>
      <c r="F760" s="415" t="str">
        <f>Commodities!C101</f>
        <v>TRNMTH</v>
      </c>
      <c r="G760" s="422">
        <v>1</v>
      </c>
      <c r="H760" s="421">
        <f>DelivOIL!$D94*DelivOIL!P$79^5/(Conv!$I$5*Conv!$D$46)/10^6 + OILTrade!$F$6</f>
        <v>0.6613468318996546</v>
      </c>
      <c r="I760" s="421">
        <f>DelivOIL!$D94*DelivOIL!Q$79^5/(Conv!$I$5*Conv!$D$46)/10^6 + OILTrade!$F$6</f>
        <v>0.59198067192478709</v>
      </c>
      <c r="J760" s="421">
        <f>DelivOIL!$D94*DelivOIL!R$79^5/(Conv!$I$5*Conv!$D$46)/10^6 + OILTrade!$F$6</f>
        <v>0.67150764470706736</v>
      </c>
      <c r="K760" s="421">
        <f>DelivOIL!$D94*DelivOIL!S$79^5/(Conv!$I$5*Conv!$D$46)/10^6 + OILTrade!$F$6</f>
        <v>0.76900965797130738</v>
      </c>
      <c r="L760" s="421">
        <f>DelivOIL!$D94*DelivOIL!T$79^5/(Conv!$I$5*Conv!$D$46)/10^6 + OILTrade!$F$6</f>
        <v>0.70353726204125344</v>
      </c>
      <c r="M760" s="421">
        <f>DelivOIL!$D94*DelivOIL!U$79^5/(Conv!$I$5*Conv!$D$46)/10^6 + OILTrade!$F$6</f>
        <v>0.67118336597395145</v>
      </c>
      <c r="N760" s="421">
        <f>DelivOIL!$D94*DelivOIL!V$79^5/(Conv!$I$5*Conv!$D$46)/10^6 + OILTrade!$F$6</f>
        <v>0.67118336597395145</v>
      </c>
      <c r="O760" s="421">
        <f>DelivOIL!$D94*DelivOIL!W$79^5/(Conv!$I$5*Conv!$D$46)/10^6 + OILTrade!$F$6</f>
        <v>0.67118336597395145</v>
      </c>
      <c r="P760" s="421">
        <f>DelivOIL!$D94*DelivOIL!X$79^5/(Conv!$I$5*Conv!$D$46)/10^6 + OILTrade!$F$6</f>
        <v>0.67118336597395145</v>
      </c>
      <c r="Q760" s="421">
        <f>DelivOIL!$D94*DelivOIL!Y$79^5/(Conv!$I$5*Conv!$D$46)/10^6 + OILTrade!$F$6</f>
        <v>0.67118336597395145</v>
      </c>
      <c r="S760" s="395"/>
      <c r="T760" s="395"/>
      <c r="U760" s="395"/>
      <c r="V760" s="395"/>
      <c r="W760" s="395"/>
      <c r="X760" s="395"/>
      <c r="Y760" s="395"/>
      <c r="Z760" s="395"/>
      <c r="AA760" s="395"/>
      <c r="AB760" s="395"/>
      <c r="AC760" s="395"/>
    </row>
    <row r="761" spans="2:29">
      <c r="B761" s="376" t="str">
        <f>IF(OR(LEFT(Commodities!B$102,1)="*",LEFT(Technologies!B$714,1)="*"),"*","R3")</f>
        <v>*</v>
      </c>
      <c r="C761" s="376" t="str">
        <f>Technologies!C$739</f>
        <v>XIINDPFSP2</v>
      </c>
      <c r="D761" s="376" t="str">
        <f>Technologies!D714</f>
        <v>Delivery of Imported Petrochemical Feedstocks</v>
      </c>
      <c r="E761" s="415" t="str">
        <f>Commodities!C$341</f>
        <v>PFSP2</v>
      </c>
      <c r="F761" s="415" t="str">
        <f>Commodities!C102</f>
        <v>INDPFS</v>
      </c>
      <c r="G761" s="422">
        <v>1</v>
      </c>
      <c r="H761" s="421">
        <f>DelivOIL!$D95*DelivOIL!P$79^5/(Conv!$I$5*Conv!$D$46)/10^6 + OILTrade!$F$6</f>
        <v>1.0976993807819011</v>
      </c>
      <c r="I761" s="421">
        <f>DelivOIL!$D95*DelivOIL!Q$79^5/(Conv!$I$5*Conv!$D$46)/10^6 + OILTrade!$F$6</f>
        <v>0.98256585752464676</v>
      </c>
      <c r="J761" s="421">
        <f>DelivOIL!$D95*DelivOIL!R$79^5/(Conv!$I$5*Conv!$D$46)/10^6 + OILTrade!$F$6</f>
        <v>1.1145642350292564</v>
      </c>
      <c r="K761" s="421">
        <f>DelivOIL!$D95*DelivOIL!S$79^5/(Conv!$I$5*Conv!$D$46)/10^6 + OILTrade!$F$6</f>
        <v>1.2763974735400052</v>
      </c>
      <c r="L761" s="421">
        <f>DelivOIL!$D95*DelivOIL!T$79^5/(Conv!$I$5*Conv!$D$46)/10^6 + OILTrade!$F$6</f>
        <v>1.1677267957591939</v>
      </c>
      <c r="M761" s="421">
        <f>DelivOIL!$D95*DelivOIL!U$79^5/(Conv!$I$5*Conv!$D$46)/10^6 + OILTrade!$F$6</f>
        <v>1.1140259991938781</v>
      </c>
      <c r="N761" s="421">
        <f>DelivOIL!$D95*DelivOIL!V$79^5/(Conv!$I$5*Conv!$D$46)/10^6 + OILTrade!$F$6</f>
        <v>1.1140259991938781</v>
      </c>
      <c r="O761" s="421">
        <f>DelivOIL!$D95*DelivOIL!W$79^5/(Conv!$I$5*Conv!$D$46)/10^6 + OILTrade!$F$6</f>
        <v>1.1140259991938781</v>
      </c>
      <c r="P761" s="421">
        <f>DelivOIL!$D95*DelivOIL!X$79^5/(Conv!$I$5*Conv!$D$46)/10^6 + OILTrade!$F$6</f>
        <v>1.1140259991938781</v>
      </c>
      <c r="Q761" s="421">
        <f>DelivOIL!$D95*DelivOIL!Y$79^5/(Conv!$I$5*Conv!$D$46)/10^6 + OILTrade!$F$6</f>
        <v>1.1140259991938781</v>
      </c>
      <c r="S761" s="395"/>
      <c r="T761" s="395"/>
      <c r="U761" s="395"/>
      <c r="V761" s="395"/>
      <c r="W761" s="395"/>
      <c r="X761" s="395"/>
      <c r="Y761" s="395"/>
      <c r="Z761" s="395"/>
      <c r="AA761" s="395"/>
      <c r="AB761" s="395"/>
      <c r="AC761" s="395"/>
    </row>
    <row r="762" spans="2:29">
      <c r="B762" s="376" t="str">
        <f>IF(OR(LEFT(Commodities!B$332,1)="*",LEFT(Technologies!B$715,1)="*"),"*","R3")</f>
        <v>*</v>
      </c>
      <c r="C762" s="376" t="str">
        <f>Technologies!C$740</f>
        <v>XIRESRFLP2</v>
      </c>
      <c r="D762" s="376" t="str">
        <f>Technologies!D715</f>
        <v>Delivery of Imported Low Sulfur Residual Fuel Oil to Residential Sector</v>
      </c>
      <c r="E762" s="415" t="str">
        <f>Commodities!C$343</f>
        <v>RFLP2</v>
      </c>
      <c r="F762" s="415" t="str">
        <f>Commodities!C103</f>
        <v>RESRFL</v>
      </c>
      <c r="G762" s="422">
        <v>1</v>
      </c>
      <c r="H762" s="421">
        <f>DelivOIL!$D96*DelivOIL!P$79^5/(Conv!$I$5*Conv!$D$46)/10^6 + OILTrade!$F$6</f>
        <v>0.14317818010198724</v>
      </c>
      <c r="I762" s="421">
        <f>DelivOIL!$D96*DelivOIL!Q$79^5/(Conv!$I$5*Conv!$D$46)/10^6 + OILTrade!$F$6</f>
        <v>0.12816076402495408</v>
      </c>
      <c r="J762" s="421">
        <f>DelivOIL!$D96*DelivOIL!R$79^5/(Conv!$I$5*Conv!$D$46)/10^6 + OILTrade!$F$6</f>
        <v>0.14537794369946835</v>
      </c>
      <c r="K762" s="421">
        <f>DelivOIL!$D96*DelivOIL!S$79^5/(Conv!$I$5*Conv!$D$46)/10^6 + OILTrade!$F$6</f>
        <v>0.16648662698347913</v>
      </c>
      <c r="L762" s="421">
        <f>DelivOIL!$D96*DelivOIL!T$79^5/(Conv!$I$5*Conv!$D$46)/10^6 + OILTrade!$F$6</f>
        <v>0.15231219075119934</v>
      </c>
      <c r="M762" s="421">
        <f>DelivOIL!$D96*DelivOIL!U$79^5/(Conv!$I$5*Conv!$D$46)/10^6 + OILTrade!$F$6</f>
        <v>0.14530773902528862</v>
      </c>
      <c r="N762" s="421">
        <f>DelivOIL!$D96*DelivOIL!V$79^5/(Conv!$I$5*Conv!$D$46)/10^6 + OILTrade!$F$6</f>
        <v>0.14530773902528862</v>
      </c>
      <c r="O762" s="421">
        <f>DelivOIL!$D96*DelivOIL!W$79^5/(Conv!$I$5*Conv!$D$46)/10^6 + OILTrade!$F$6</f>
        <v>0.14530773902528862</v>
      </c>
      <c r="P762" s="421">
        <f>DelivOIL!$D96*DelivOIL!X$79^5/(Conv!$I$5*Conv!$D$46)/10^6 + OILTrade!$F$6</f>
        <v>0.14530773902528862</v>
      </c>
      <c r="Q762" s="421">
        <f>DelivOIL!$D96*DelivOIL!Y$79^5/(Conv!$I$5*Conv!$D$46)/10^6 + OILTrade!$F$6</f>
        <v>0.14530773902528862</v>
      </c>
      <c r="S762" s="395"/>
      <c r="T762" s="395"/>
      <c r="U762" s="395"/>
      <c r="V762" s="395"/>
      <c r="W762" s="395"/>
      <c r="X762" s="395"/>
      <c r="Y762" s="395"/>
      <c r="Z762" s="395"/>
      <c r="AA762" s="395"/>
      <c r="AB762" s="395"/>
      <c r="AC762" s="395"/>
    </row>
    <row r="763" spans="2:29">
      <c r="B763" s="376" t="str">
        <f>IF(OR(LEFT(Commodities!B$332,1)="*",LEFT(Technologies!B$716,1)="*"),"*","R3")</f>
        <v>*</v>
      </c>
      <c r="C763" s="376" t="str">
        <f>Technologies!C$741</f>
        <v>XICOMRFLP2</v>
      </c>
      <c r="D763" s="376" t="str">
        <f>Technologies!D716</f>
        <v>Delivery of Imported Low Sulfur Residual Fuel Oil to Commercial Sector</v>
      </c>
      <c r="E763" s="415" t="str">
        <f>Commodities!C$343</f>
        <v>RFLP2</v>
      </c>
      <c r="F763" s="415" t="str">
        <f>Commodities!C104</f>
        <v>COMRFL</v>
      </c>
      <c r="G763" s="422">
        <v>1</v>
      </c>
      <c r="H763" s="421">
        <f>DelivOIL!$D96*DelivOIL!P$79^5/(Conv!$I$5*Conv!$D$46)/10^6 + OILTrade!$F$6</f>
        <v>0.14317818010198724</v>
      </c>
      <c r="I763" s="421">
        <f>DelivOIL!$D96*DelivOIL!Q$79^5/(Conv!$I$5*Conv!$D$46)/10^6 + OILTrade!$F$6</f>
        <v>0.12816076402495408</v>
      </c>
      <c r="J763" s="421">
        <f>DelivOIL!$D96*DelivOIL!R$79^5/(Conv!$I$5*Conv!$D$46)/10^6 + OILTrade!$F$6</f>
        <v>0.14537794369946835</v>
      </c>
      <c r="K763" s="421">
        <f>DelivOIL!$D96*DelivOIL!S$79^5/(Conv!$I$5*Conv!$D$46)/10^6 + OILTrade!$F$6</f>
        <v>0.16648662698347913</v>
      </c>
      <c r="L763" s="421">
        <f>DelivOIL!$D96*DelivOIL!T$79^5/(Conv!$I$5*Conv!$D$46)/10^6 + OILTrade!$F$6</f>
        <v>0.15231219075119934</v>
      </c>
      <c r="M763" s="421">
        <f>DelivOIL!$D96*DelivOIL!U$79^5/(Conv!$I$5*Conv!$D$46)/10^6 + OILTrade!$F$6</f>
        <v>0.14530773902528862</v>
      </c>
      <c r="N763" s="421">
        <f>DelivOIL!$D96*DelivOIL!V$79^5/(Conv!$I$5*Conv!$D$46)/10^6 + OILTrade!$F$6</f>
        <v>0.14530773902528862</v>
      </c>
      <c r="O763" s="421">
        <f>DelivOIL!$D96*DelivOIL!W$79^5/(Conv!$I$5*Conv!$D$46)/10^6 + OILTrade!$F$6</f>
        <v>0.14530773902528862</v>
      </c>
      <c r="P763" s="421">
        <f>DelivOIL!$D96*DelivOIL!X$79^5/(Conv!$I$5*Conv!$D$46)/10^6 + OILTrade!$F$6</f>
        <v>0.14530773902528862</v>
      </c>
      <c r="Q763" s="421">
        <f>DelivOIL!$D96*DelivOIL!Y$79^5/(Conv!$I$5*Conv!$D$46)/10^6 + OILTrade!$F$6</f>
        <v>0.14530773902528862</v>
      </c>
      <c r="S763" s="395"/>
      <c r="T763" s="395"/>
      <c r="U763" s="395"/>
      <c r="V763" s="395"/>
      <c r="W763" s="395"/>
      <c r="X763" s="395"/>
      <c r="Y763" s="395"/>
      <c r="Z763" s="395"/>
      <c r="AA763" s="395"/>
      <c r="AB763" s="395"/>
      <c r="AC763" s="395"/>
    </row>
    <row r="764" spans="2:29">
      <c r="B764" s="376" t="str">
        <f>IF(OR(LEFT(Commodities!B$332,1)="*",LEFT(Technologies!B$717,1)="*"),"*","R3")</f>
        <v>R3</v>
      </c>
      <c r="C764" s="376" t="str">
        <f>Technologies!C$742</f>
        <v>XIINDRFLP2</v>
      </c>
      <c r="D764" s="376" t="str">
        <f>Technologies!D717</f>
        <v>Delivery of Imported Low Sulfur Residual Fuel Oil to Industrial Sector</v>
      </c>
      <c r="E764" s="415" t="str">
        <f>Commodities!C$343</f>
        <v>RFLP2</v>
      </c>
      <c r="F764" s="415" t="str">
        <f>Commodities!C105</f>
        <v>INDRFL</v>
      </c>
      <c r="G764" s="422">
        <v>1</v>
      </c>
      <c r="H764" s="421">
        <f>DelivOIL!$D97*DelivOIL!P$79^5/(Conv!$I$5*Conv!$D$46)/10^6 + OILTrade!$F$6</f>
        <v>0.21817627444112342</v>
      </c>
      <c r="I764" s="421">
        <f>DelivOIL!$D97*DelivOIL!Q$79^5/(Conv!$I$5*Conv!$D$46)/10^6 + OILTrade!$F$6</f>
        <v>0.19529259279993003</v>
      </c>
      <c r="J764" s="421">
        <f>DelivOIL!$D97*DelivOIL!R$79^5/(Conv!$I$5*Conv!$D$46)/10^6 + OILTrade!$F$6</f>
        <v>0.22152829516109465</v>
      </c>
      <c r="K764" s="421">
        <f>DelivOIL!$D97*DelivOIL!S$79^5/(Conv!$I$5*Conv!$D$46)/10^6 + OILTrade!$F$6</f>
        <v>0.25369390778434914</v>
      </c>
      <c r="L764" s="421">
        <f>DelivOIL!$D97*DelivOIL!T$79^5/(Conv!$I$5*Conv!$D$46)/10^6 + OILTrade!$F$6</f>
        <v>0.23209476685897049</v>
      </c>
      <c r="M764" s="421">
        <f>DelivOIL!$D97*DelivOIL!U$79^5/(Conv!$I$5*Conv!$D$46)/10^6 + OILTrade!$F$6</f>
        <v>0.22142131660996359</v>
      </c>
      <c r="N764" s="421">
        <f>DelivOIL!$D97*DelivOIL!V$79^5/(Conv!$I$5*Conv!$D$46)/10^6 + OILTrade!$F$6</f>
        <v>0.22142131660996359</v>
      </c>
      <c r="O764" s="421">
        <f>DelivOIL!$D97*DelivOIL!W$79^5/(Conv!$I$5*Conv!$D$46)/10^6 + OILTrade!$F$6</f>
        <v>0.22142131660996359</v>
      </c>
      <c r="P764" s="421">
        <f>DelivOIL!$D97*DelivOIL!X$79^5/(Conv!$I$5*Conv!$D$46)/10^6 + OILTrade!$F$6</f>
        <v>0.22142131660996359</v>
      </c>
      <c r="Q764" s="421">
        <f>DelivOIL!$D97*DelivOIL!Y$79^5/(Conv!$I$5*Conv!$D$46)/10^6 + OILTrade!$F$6</f>
        <v>0.22142131660996359</v>
      </c>
      <c r="S764" s="395"/>
      <c r="T764" s="395"/>
      <c r="U764" s="395"/>
      <c r="V764" s="395"/>
      <c r="W764" s="395"/>
      <c r="X764" s="395"/>
      <c r="Y764" s="395"/>
      <c r="Z764" s="395"/>
      <c r="AA764" s="395"/>
      <c r="AB764" s="395"/>
      <c r="AC764" s="395"/>
    </row>
    <row r="765" spans="2:29">
      <c r="B765" s="376" t="str">
        <f>IF(OR(LEFT(Commodities!B$332,1)="*",LEFT(Technologies!B$718,1)="*"),"*","R3")</f>
        <v>*</v>
      </c>
      <c r="C765" s="376" t="str">
        <f>Technologies!C$743</f>
        <v>XIELCRFLP2</v>
      </c>
      <c r="D765" s="376" t="str">
        <f>Technologies!D718</f>
        <v>Delivery of Imported Low Sulfur Residual Fuel Oil to Electricity Sector</v>
      </c>
      <c r="E765" s="415" t="str">
        <f>Commodities!C$343</f>
        <v>RFLP2</v>
      </c>
      <c r="F765" s="415" t="str">
        <f>Commodities!C106</f>
        <v>ELCRFL</v>
      </c>
      <c r="G765" s="422">
        <v>1</v>
      </c>
      <c r="H765" s="421">
        <f>DelivOIL!$D98*DelivOIL!P$79^5/(Conv!$I$5*Conv!$D$46)/10^6 + OILTrade!$F$6</f>
        <v>0.49089661749252766</v>
      </c>
      <c r="I765" s="421">
        <f>DelivOIL!$D98*DelivOIL!Q$79^5/(Conv!$I$5*Conv!$D$46)/10^6 + OILTrade!$F$6</f>
        <v>0.43940833379984257</v>
      </c>
      <c r="J765" s="421">
        <f>DelivOIL!$D98*DelivOIL!R$79^5/(Conv!$I$5*Conv!$D$46)/10^6 + OILTrade!$F$6</f>
        <v>0.49843866411246301</v>
      </c>
      <c r="K765" s="421">
        <f>DelivOIL!$D98*DelivOIL!S$79^5/(Conv!$I$5*Conv!$D$46)/10^6 + OILTrade!$F$6</f>
        <v>0.57081129251478557</v>
      </c>
      <c r="L765" s="421">
        <f>DelivOIL!$D98*DelivOIL!T$79^5/(Conv!$I$5*Conv!$D$46)/10^6 + OILTrade!$F$6</f>
        <v>0.52221322543268345</v>
      </c>
      <c r="M765" s="421">
        <f>DelivOIL!$D98*DelivOIL!U$79^5/(Conv!$I$5*Conv!$D$46)/10^6 + OILTrade!$F$6</f>
        <v>0.49819796237241809</v>
      </c>
      <c r="N765" s="421">
        <f>DelivOIL!$D98*DelivOIL!V$79^5/(Conv!$I$5*Conv!$D$46)/10^6 + OILTrade!$F$6</f>
        <v>0.49819796237241809</v>
      </c>
      <c r="O765" s="421">
        <f>DelivOIL!$D98*DelivOIL!W$79^5/(Conv!$I$5*Conv!$D$46)/10^6 + OILTrade!$F$6</f>
        <v>0.49819796237241809</v>
      </c>
      <c r="P765" s="421">
        <f>DelivOIL!$D98*DelivOIL!X$79^5/(Conv!$I$5*Conv!$D$46)/10^6 + OILTrade!$F$6</f>
        <v>0.49819796237241809</v>
      </c>
      <c r="Q765" s="421">
        <f>DelivOIL!$D98*DelivOIL!Y$79^5/(Conv!$I$5*Conv!$D$46)/10^6 + OILTrade!$F$6</f>
        <v>0.49819796237241809</v>
      </c>
      <c r="S765" s="395"/>
      <c r="T765" s="395"/>
      <c r="U765" s="395"/>
      <c r="V765" s="395"/>
      <c r="W765" s="395"/>
      <c r="X765" s="395"/>
      <c r="Y765" s="395"/>
      <c r="Z765" s="395"/>
      <c r="AA765" s="395"/>
      <c r="AB765" s="395"/>
      <c r="AC765" s="395"/>
    </row>
    <row r="766" spans="2:29">
      <c r="B766" s="376" t="str">
        <f>IF(OR(LEFT(Commodities!B$331,1)="*",LEFT(Technologies!B$719,1)="*"),"*","R3")</f>
        <v>*</v>
      </c>
      <c r="C766" s="376" t="str">
        <f>Technologies!C$744</f>
        <v>XITRNRFHP2</v>
      </c>
      <c r="D766" s="376" t="str">
        <f>Technologies!D719</f>
        <v>Delivery of Imported High Sulfur Residual Fuel Oil to Transportation Sector</v>
      </c>
      <c r="E766" s="415" t="str">
        <f>Commodities!C$342</f>
        <v>RFHP2</v>
      </c>
      <c r="F766" s="415" t="str">
        <f>Commodities!C107</f>
        <v>TRNRFH</v>
      </c>
      <c r="G766" s="422">
        <v>1</v>
      </c>
      <c r="H766" s="421">
        <f>DelivOIL!$D99*DelivOIL!P$79^5/(Conv!$I$5*Conv!$D$46)/10^6 + OILTrade!$F$6</f>
        <v>0.79770700342535739</v>
      </c>
      <c r="I766" s="421">
        <f>DelivOIL!$D99*DelivOIL!Q$79^5/(Conv!$I$5*Conv!$D$46)/10^6 + OILTrade!$F$6</f>
        <v>0.71403854242474407</v>
      </c>
      <c r="J766" s="421">
        <f>DelivOIL!$D99*DelivOIL!R$79^5/(Conv!$I$5*Conv!$D$46)/10^6 + OILTrade!$F$6</f>
        <v>0.80996282918275242</v>
      </c>
      <c r="K766" s="421">
        <f>DelivOIL!$D99*DelivOIL!S$79^5/(Conv!$I$5*Conv!$D$46)/10^6 + OILTrade!$F$6</f>
        <v>0.92756835033652651</v>
      </c>
      <c r="L766" s="421">
        <f>DelivOIL!$D99*DelivOIL!T$79^5/(Conv!$I$5*Conv!$D$46)/10^6 + OILTrade!$F$6</f>
        <v>0.84859649132811066</v>
      </c>
      <c r="M766" s="421">
        <f>DelivOIL!$D99*DelivOIL!U$79^5/(Conv!$I$5*Conv!$D$46)/10^6 + OILTrade!$F$6</f>
        <v>0.80957168885517938</v>
      </c>
      <c r="N766" s="421">
        <f>DelivOIL!$D99*DelivOIL!V$79^5/(Conv!$I$5*Conv!$D$46)/10^6 + OILTrade!$F$6</f>
        <v>0.80957168885517938</v>
      </c>
      <c r="O766" s="421">
        <f>DelivOIL!$D99*DelivOIL!W$79^5/(Conv!$I$5*Conv!$D$46)/10^6 + OILTrade!$F$6</f>
        <v>0.80957168885517938</v>
      </c>
      <c r="P766" s="421">
        <f>DelivOIL!$D99*DelivOIL!X$79^5/(Conv!$I$5*Conv!$D$46)/10^6 + OILTrade!$F$6</f>
        <v>0.80957168885517938</v>
      </c>
      <c r="Q766" s="421">
        <f>DelivOIL!$D99*DelivOIL!Y$79^5/(Conv!$I$5*Conv!$D$46)/10^6 + OILTrade!$F$6</f>
        <v>0.80957168885517938</v>
      </c>
      <c r="S766" s="395"/>
      <c r="T766" s="395"/>
      <c r="U766" s="395"/>
      <c r="V766" s="395"/>
      <c r="W766" s="395"/>
      <c r="X766" s="395"/>
      <c r="Y766" s="395"/>
      <c r="Z766" s="395"/>
      <c r="AA766" s="395"/>
      <c r="AB766" s="395"/>
      <c r="AC766" s="395"/>
    </row>
    <row r="767" spans="2:29">
      <c r="B767" s="376" t="str">
        <f>IF(OR(LEFT(Commodities!B$331,1)="*",LEFT(Technologies!B$720,1)="*"),"*","R3")</f>
        <v>*</v>
      </c>
      <c r="C767" s="376" t="str">
        <f>Technologies!C$745</f>
        <v>XIELCRFHP2</v>
      </c>
      <c r="D767" s="376" t="str">
        <f>Technologies!D720</f>
        <v>Delivery of Imported High Sulfur Residual Fuel Oil to Electricity Sector</v>
      </c>
      <c r="E767" s="415" t="str">
        <f>Commodities!C$342</f>
        <v>RFHP2</v>
      </c>
      <c r="F767" s="415" t="str">
        <f>Commodities!C108</f>
        <v>ELCRFH</v>
      </c>
      <c r="G767" s="422">
        <v>1</v>
      </c>
      <c r="H767" s="421">
        <f>DelivOIL!$D100*DelivOIL!P$79^5/(Conv!$I$5*Conv!$D$46)/10^6 + OILTrade!$F$6</f>
        <v>0</v>
      </c>
      <c r="I767" s="421">
        <f>DelivOIL!$D100*DelivOIL!Q$79^5/(Conv!$I$5*Conv!$D$46)/10^6 + OILTrade!$F$6</f>
        <v>0</v>
      </c>
      <c r="J767" s="421">
        <f>DelivOIL!$D100*DelivOIL!R$79^5/(Conv!$I$5*Conv!$D$46)/10^6 + OILTrade!$F$6</f>
        <v>0</v>
      </c>
      <c r="K767" s="421">
        <f>DelivOIL!$D100*DelivOIL!S$79^5/(Conv!$I$5*Conv!$D$46)/10^6 + OILTrade!$F$6</f>
        <v>0</v>
      </c>
      <c r="L767" s="421">
        <f>DelivOIL!$D100*DelivOIL!T$79^5/(Conv!$I$5*Conv!$D$46)/10^6 + OILTrade!$F$6</f>
        <v>0</v>
      </c>
      <c r="M767" s="421">
        <f>DelivOIL!$D100*DelivOIL!U$79^5/(Conv!$I$5*Conv!$D$46)/10^6 + OILTrade!$F$6</f>
        <v>0</v>
      </c>
      <c r="N767" s="421">
        <f>DelivOIL!$D100*DelivOIL!V$79^5/(Conv!$I$5*Conv!$D$46)/10^6 + OILTrade!$F$6</f>
        <v>0</v>
      </c>
      <c r="O767" s="421">
        <f>DelivOIL!$D100*DelivOIL!W$79^5/(Conv!$I$5*Conv!$D$46)/10^6 + OILTrade!$F$6</f>
        <v>0</v>
      </c>
      <c r="P767" s="421">
        <f>DelivOIL!$D100*DelivOIL!X$79^5/(Conv!$I$5*Conv!$D$46)/10^6 + OILTrade!$F$6</f>
        <v>0</v>
      </c>
      <c r="Q767" s="421">
        <f>DelivOIL!$D100*DelivOIL!Y$79^5/(Conv!$I$5*Conv!$D$46)/10^6 + OILTrade!$F$6</f>
        <v>0</v>
      </c>
      <c r="S767" s="395"/>
      <c r="T767" s="395"/>
      <c r="U767" s="395"/>
      <c r="V767" s="395"/>
      <c r="W767" s="395"/>
      <c r="X767" s="395"/>
      <c r="Y767" s="395"/>
      <c r="Z767" s="395"/>
      <c r="AA767" s="395"/>
      <c r="AB767" s="395"/>
      <c r="AC767" s="395"/>
    </row>
    <row r="768" spans="2:29">
      <c r="B768" s="378" t="s">
        <v>1087</v>
      </c>
      <c r="C768" s="378"/>
      <c r="D768" s="378"/>
      <c r="E768" s="414"/>
      <c r="F768" s="414"/>
      <c r="G768" s="418"/>
      <c r="H768" s="392"/>
      <c r="I768" s="392"/>
      <c r="J768" s="392"/>
      <c r="K768" s="392"/>
      <c r="L768" s="392"/>
      <c r="M768" s="392"/>
      <c r="N768" s="392"/>
      <c r="O768" s="392"/>
      <c r="P768" s="392"/>
      <c r="Q768" s="392"/>
    </row>
    <row r="769" spans="2:29">
      <c r="B769" s="376" t="str">
        <f>IF(LEFT(Technologies!B$702,1)="*","*","R4")</f>
        <v>R4</v>
      </c>
      <c r="C769" s="376" t="str">
        <f>Technologies!C$722</f>
        <v>XITRGSLCP2</v>
      </c>
      <c r="D769" s="376" t="str">
        <f>Technologies!D702</f>
        <v>Delivery of Imported Conventional Gasoline</v>
      </c>
      <c r="E769" s="415" t="str">
        <f>Commodities!C$336</f>
        <v>GSCP2</v>
      </c>
      <c r="F769" s="415" t="str">
        <f>Commodities!C85</f>
        <v>TRGSLC</v>
      </c>
      <c r="G769" s="422">
        <v>1</v>
      </c>
      <c r="H769" s="421">
        <f>DelivOIL!$E77*DelivOIL!P$80^5/(Conv!$I$5*Conv!$D$46)/10^6 + OILTrade!$G$6</f>
        <v>3.0885578850571509</v>
      </c>
      <c r="I769" s="421">
        <f>DelivOIL!$E77*DelivOIL!Q$80^5/(Conv!$I$5*Conv!$D$46)/10^6 + OILTrade!$G$6</f>
        <v>2.7646107668240072</v>
      </c>
      <c r="J769" s="421">
        <f>DelivOIL!$E77*DelivOIL!R$80^5/(Conv!$I$5*Conv!$D$46)/10^6 + OILTrade!$G$6</f>
        <v>3.1360099283742437</v>
      </c>
      <c r="K769" s="421">
        <f>DelivOIL!$E77*DelivOIL!S$80^5/(Conv!$I$5*Conv!$D$46)/10^6 + OILTrade!$G$6</f>
        <v>3.5913543820721903</v>
      </c>
      <c r="L769" s="421">
        <f>DelivOIL!$E77*DelivOIL!T$80^5/(Conv!$I$5*Conv!$D$46)/10^6 + OILTrade!$G$6</f>
        <v>3.285591543347298</v>
      </c>
      <c r="M769" s="421">
        <f>DelivOIL!$E77*DelivOIL!U$80^5/(Conv!$I$5*Conv!$D$46)/10^6 + OILTrade!$G$6</f>
        <v>3.1344955132597949</v>
      </c>
      <c r="N769" s="421">
        <f>DelivOIL!$E77*DelivOIL!V$80^5/(Conv!$I$5*Conv!$D$46)/10^6 + OILTrade!$G$6</f>
        <v>3.1344955132597949</v>
      </c>
      <c r="O769" s="421">
        <f>DelivOIL!$E77*DelivOIL!W$80^5/(Conv!$I$5*Conv!$D$46)/10^6 + OILTrade!$G$6</f>
        <v>3.1344955132597949</v>
      </c>
      <c r="P769" s="421">
        <f>DelivOIL!$E77*DelivOIL!X$80^5/(Conv!$I$5*Conv!$D$46)/10^6 + OILTrade!$G$6</f>
        <v>3.1344955132597949</v>
      </c>
      <c r="Q769" s="421">
        <f>DelivOIL!$E77*DelivOIL!Y$80^5/(Conv!$I$5*Conv!$D$46)/10^6 + OILTrade!$G$6</f>
        <v>3.1344955132597949</v>
      </c>
      <c r="S769" s="395"/>
      <c r="T769" s="395"/>
      <c r="U769" s="395"/>
      <c r="V769" s="395"/>
      <c r="W769" s="395"/>
      <c r="X769" s="395"/>
      <c r="Y769" s="395"/>
      <c r="Z769" s="395"/>
      <c r="AA769" s="395"/>
      <c r="AB769" s="395"/>
      <c r="AC769" s="395"/>
    </row>
    <row r="770" spans="2:29">
      <c r="B770" s="376" t="str">
        <f>IF(LEFT(Technologies!B$703,1)="*","*","R4")</f>
        <v>R4</v>
      </c>
      <c r="C770" s="376" t="str">
        <f>Technologies!C$723</f>
        <v>XITRGSLRP2</v>
      </c>
      <c r="D770" s="376" t="str">
        <f>Technologies!D703</f>
        <v>Delivery of Imported Reformulated Gasoline</v>
      </c>
      <c r="E770" s="415" t="str">
        <f>Commodities!C$337</f>
        <v>GSRP2</v>
      </c>
      <c r="F770" s="415" t="str">
        <f>Commodities!C86</f>
        <v>TRGSLR</v>
      </c>
      <c r="G770" s="422">
        <v>1</v>
      </c>
      <c r="H770" s="421">
        <f>DelivOIL!$E78*DelivOIL!P$80^5/(Conv!$I$5*Conv!$D$46)/10^6 + OILTrade!$G$6</f>
        <v>2.952197713531449</v>
      </c>
      <c r="I770" s="421">
        <f>DelivOIL!$E78*DelivOIL!Q$80^5/(Conv!$I$5*Conv!$D$46)/10^6 + OILTrade!$G$6</f>
        <v>2.6425528963240512</v>
      </c>
      <c r="J770" s="421">
        <f>DelivOIL!$E78*DelivOIL!R$80^5/(Conv!$I$5*Conv!$D$46)/10^6 + OILTrade!$G$6</f>
        <v>2.9975547438985597</v>
      </c>
      <c r="K770" s="421">
        <f>DelivOIL!$E78*DelivOIL!S$80^5/(Conv!$I$5*Conv!$D$46)/10^6 + OILTrade!$G$6</f>
        <v>3.4327956897069716</v>
      </c>
      <c r="L770" s="421">
        <f>DelivOIL!$E78*DelivOIL!T$80^5/(Conv!$I$5*Conv!$D$46)/10^6 + OILTrade!$G$6</f>
        <v>3.1405323140604415</v>
      </c>
      <c r="M770" s="421">
        <f>DelivOIL!$E78*DelivOIL!U$80^5/(Conv!$I$5*Conv!$D$46)/10^6 + OILTrade!$G$6</f>
        <v>2.996107190378567</v>
      </c>
      <c r="N770" s="421">
        <f>DelivOIL!$E78*DelivOIL!V$80^5/(Conv!$I$5*Conv!$D$46)/10^6 + OILTrade!$G$6</f>
        <v>2.996107190378567</v>
      </c>
      <c r="O770" s="421">
        <f>DelivOIL!$E78*DelivOIL!W$80^5/(Conv!$I$5*Conv!$D$46)/10^6 + OILTrade!$G$6</f>
        <v>2.996107190378567</v>
      </c>
      <c r="P770" s="421">
        <f>DelivOIL!$E78*DelivOIL!X$80^5/(Conv!$I$5*Conv!$D$46)/10^6 + OILTrade!$G$6</f>
        <v>2.996107190378567</v>
      </c>
      <c r="Q770" s="421">
        <f>DelivOIL!$E78*DelivOIL!Y$80^5/(Conv!$I$5*Conv!$D$46)/10^6 + OILTrade!$G$6</f>
        <v>2.996107190378567</v>
      </c>
      <c r="S770" s="395"/>
      <c r="T770" s="395"/>
      <c r="U770" s="395"/>
      <c r="V770" s="395"/>
      <c r="W770" s="395"/>
      <c r="X770" s="395"/>
      <c r="Y770" s="395"/>
      <c r="Z770" s="395"/>
      <c r="AA770" s="395"/>
      <c r="AB770" s="395"/>
      <c r="AC770" s="395"/>
    </row>
    <row r="771" spans="2:29">
      <c r="B771" s="376" t="str">
        <f>IF(OR(LEFT(Commodities!B$65,1)="*",LEFT(Technologies!B$233,1)="*"),"*","R4")</f>
        <v>R4</v>
      </c>
      <c r="C771" s="376" t="str">
        <f>Technologies!C$724</f>
        <v>XIRESDSLP2</v>
      </c>
      <c r="D771" s="376" t="str">
        <f>Technologies!D233</f>
        <v>Delivery of Imported Distillate-Heating Oil No. 2 to the Residential Sector</v>
      </c>
      <c r="E771" s="415" t="str">
        <f>Commodities!C$67</f>
        <v>DSHP2</v>
      </c>
      <c r="F771" s="415" t="str">
        <f>Commodities!C87</f>
        <v>RESDSL</v>
      </c>
      <c r="G771" s="422">
        <v>1</v>
      </c>
      <c r="H771" s="421">
        <f>DelivOIL!$E80*DelivOIL!P$80^5/(Conv!$I$5*Conv!$D$46)/10^6 + OILTrade!$G$6</f>
        <v>2.2567608387503681</v>
      </c>
      <c r="I771" s="421">
        <f>DelivOIL!$E80*DelivOIL!Q$80^5/(Conv!$I$5*Conv!$D$46)/10^6 + OILTrade!$G$6</f>
        <v>2.0200577567742739</v>
      </c>
      <c r="J771" s="421">
        <f>DelivOIL!$E80*DelivOIL!R$80^5/(Conv!$I$5*Conv!$D$46)/10^6 + OILTrade!$G$6</f>
        <v>2.2914333030725706</v>
      </c>
      <c r="K771" s="421">
        <f>DelivOIL!$E80*DelivOIL!S$80^5/(Conv!$I$5*Conv!$D$46)/10^6 + OILTrade!$G$6</f>
        <v>2.6241463586443587</v>
      </c>
      <c r="L771" s="421">
        <f>DelivOIL!$E80*DelivOIL!T$80^5/(Conv!$I$5*Conv!$D$46)/10^6 + OILTrade!$G$6</f>
        <v>2.4007302446974732</v>
      </c>
      <c r="M771" s="421">
        <f>DelivOIL!$E80*DelivOIL!U$80^5/(Conv!$I$5*Conv!$D$46)/10^6 + OILTrade!$G$6</f>
        <v>2.2903267436843087</v>
      </c>
      <c r="N771" s="421">
        <f>DelivOIL!$E80*DelivOIL!V$80^5/(Conv!$I$5*Conv!$D$46)/10^6 + OILTrade!$G$6</f>
        <v>2.2903267436843087</v>
      </c>
      <c r="O771" s="421">
        <f>DelivOIL!$E80*DelivOIL!W$80^5/(Conv!$I$5*Conv!$D$46)/10^6 + OILTrade!$G$6</f>
        <v>2.2903267436843087</v>
      </c>
      <c r="P771" s="421">
        <f>DelivOIL!$E80*DelivOIL!X$80^5/(Conv!$I$5*Conv!$D$46)/10^6 + OILTrade!$G$6</f>
        <v>2.2903267436843087</v>
      </c>
      <c r="Q771" s="421">
        <f>DelivOIL!$E80*DelivOIL!Y$80^5/(Conv!$I$5*Conv!$D$46)/10^6 + OILTrade!$G$6</f>
        <v>2.2903267436843087</v>
      </c>
      <c r="S771" s="395"/>
      <c r="T771" s="395"/>
      <c r="U771" s="395"/>
      <c r="V771" s="395"/>
      <c r="W771" s="395"/>
      <c r="X771" s="395"/>
      <c r="Y771" s="395"/>
      <c r="Z771" s="395"/>
      <c r="AA771" s="395"/>
      <c r="AB771" s="395"/>
      <c r="AC771" s="395"/>
    </row>
    <row r="772" spans="2:29">
      <c r="B772" s="376" t="str">
        <f>IF(OR(LEFT(Commodities!B$65,1)="*",LEFT(Technologies!B$234,1)="*"),"*","R4")</f>
        <v>R4</v>
      </c>
      <c r="C772" s="376" t="str">
        <f>Technologies!C$725</f>
        <v>XICOMDSLP2</v>
      </c>
      <c r="D772" s="376" t="str">
        <f>Technologies!D234</f>
        <v>Delivery of Imported Distillate-Heating Oil No. 2 to the Commercial Sector</v>
      </c>
      <c r="E772" s="415" t="str">
        <f>Commodities!C$67</f>
        <v>DSHP2</v>
      </c>
      <c r="F772" s="415" t="str">
        <f>Commodities!C88</f>
        <v>COMDSL</v>
      </c>
      <c r="G772" s="422">
        <v>1</v>
      </c>
      <c r="H772" s="421">
        <f>DelivOIL!$E81*DelivOIL!P$80^5/(Conv!$I$5*Conv!$D$46)/10^6 + OILTrade!$G$6</f>
        <v>0.8317970463067822</v>
      </c>
      <c r="I772" s="421">
        <f>DelivOIL!$E81*DelivOIL!Q$80^5/(Conv!$I$5*Conv!$D$46)/10^6 + OILTrade!$G$6</f>
        <v>0.7445530100497324</v>
      </c>
      <c r="J772" s="421">
        <f>DelivOIL!$E81*DelivOIL!R$80^5/(Conv!$I$5*Conv!$D$46)/10^6 + OILTrade!$G$6</f>
        <v>0.84457662530167266</v>
      </c>
      <c r="K772" s="421">
        <f>DelivOIL!$E81*DelivOIL!S$80^5/(Conv!$I$5*Conv!$D$46)/10^6 + OILTrade!$G$6</f>
        <v>0.9672080234278303</v>
      </c>
      <c r="L772" s="421">
        <f>DelivOIL!$E81*DelivOIL!T$80^5/(Conv!$I$5*Conv!$D$46)/10^6 + OILTrade!$G$6</f>
        <v>0.8848612986498241</v>
      </c>
      <c r="M772" s="421">
        <f>DelivOIL!$E81*DelivOIL!U$80^5/(Conv!$I$5*Conv!$D$46)/10^6 + OILTrade!$G$6</f>
        <v>0.84416876957548537</v>
      </c>
      <c r="N772" s="421">
        <f>DelivOIL!$E81*DelivOIL!V$80^5/(Conv!$I$5*Conv!$D$46)/10^6 + OILTrade!$G$6</f>
        <v>0.84416876957548537</v>
      </c>
      <c r="O772" s="421">
        <f>DelivOIL!$E81*DelivOIL!W$80^5/(Conv!$I$5*Conv!$D$46)/10^6 + OILTrade!$G$6</f>
        <v>0.84416876957548537</v>
      </c>
      <c r="P772" s="421">
        <f>DelivOIL!$E81*DelivOIL!X$80^5/(Conv!$I$5*Conv!$D$46)/10^6 + OILTrade!$G$6</f>
        <v>0.84416876957548537</v>
      </c>
      <c r="Q772" s="421">
        <f>DelivOIL!$E81*DelivOIL!Y$80^5/(Conv!$I$5*Conv!$D$46)/10^6 + OILTrade!$G$6</f>
        <v>0.84416876957548537</v>
      </c>
      <c r="S772" s="395"/>
      <c r="T772" s="395"/>
      <c r="U772" s="395"/>
      <c r="V772" s="395"/>
      <c r="W772" s="395"/>
      <c r="X772" s="395"/>
      <c r="Y772" s="395"/>
      <c r="Z772" s="395"/>
      <c r="AA772" s="395"/>
      <c r="AB772" s="395"/>
      <c r="AC772" s="395"/>
    </row>
    <row r="773" spans="2:29">
      <c r="B773" s="376" t="str">
        <f>IF(OR(LEFT(Commodities!B$65,1)="*",LEFT(Technologies!B$235,1)="*"),"*","R4")</f>
        <v>*</v>
      </c>
      <c r="C773" s="376" t="str">
        <f>Technologies!C$726</f>
        <v>XIINDDSLP2</v>
      </c>
      <c r="D773" s="376" t="str">
        <f>Technologies!D235</f>
        <v>Delivery of Imported Distillate-Heating Oil No. 2 to the Indistrial Sector</v>
      </c>
      <c r="E773" s="415" t="str">
        <f>Commodities!C$67</f>
        <v>DSHP2</v>
      </c>
      <c r="F773" s="415" t="str">
        <f>Commodities!C89</f>
        <v>INDDSL</v>
      </c>
      <c r="G773" s="422">
        <v>1</v>
      </c>
      <c r="H773" s="421">
        <f>DelivOIL!$E82*DelivOIL!P$80^5/(Conv!$I$5*Conv!$D$46)/10^6 + OILTrade!$G$6</f>
        <v>1.309057646646739</v>
      </c>
      <c r="I773" s="421">
        <f>DelivOIL!$E82*DelivOIL!Q$80^5/(Conv!$I$5*Conv!$D$46)/10^6 + OILTrade!$G$6</f>
        <v>1.1717555567995788</v>
      </c>
      <c r="J773" s="421">
        <f>DelivOIL!$E82*DelivOIL!R$80^5/(Conv!$I$5*Conv!$D$46)/10^6 + OILTrade!$G$6</f>
        <v>1.3291697709665664</v>
      </c>
      <c r="K773" s="421">
        <f>DelivOIL!$E82*DelivOIL!S$80^5/(Conv!$I$5*Conv!$D$46)/10^6 + OILTrade!$G$6</f>
        <v>1.5221634467060929</v>
      </c>
      <c r="L773" s="421">
        <f>DelivOIL!$E82*DelivOIL!T$80^5/(Conv!$I$5*Conv!$D$46)/10^6 + OILTrade!$G$6</f>
        <v>1.3925686011538212</v>
      </c>
      <c r="M773" s="421">
        <f>DelivOIL!$E82*DelivOIL!U$80^5/(Conv!$I$5*Conv!$D$46)/10^6 + OILTrade!$G$6</f>
        <v>1.3285278996597798</v>
      </c>
      <c r="N773" s="421">
        <f>DelivOIL!$E82*DelivOIL!V$80^5/(Conv!$I$5*Conv!$D$46)/10^6 + OILTrade!$G$6</f>
        <v>1.3285278996597798</v>
      </c>
      <c r="O773" s="421">
        <f>DelivOIL!$E82*DelivOIL!W$80^5/(Conv!$I$5*Conv!$D$46)/10^6 + OILTrade!$G$6</f>
        <v>1.3285278996597798</v>
      </c>
      <c r="P773" s="421">
        <f>DelivOIL!$E82*DelivOIL!X$80^5/(Conv!$I$5*Conv!$D$46)/10^6 + OILTrade!$G$6</f>
        <v>1.3285278996597798</v>
      </c>
      <c r="Q773" s="421">
        <f>DelivOIL!$E82*DelivOIL!Y$80^5/(Conv!$I$5*Conv!$D$46)/10^6 + OILTrade!$G$6</f>
        <v>1.3285278996597798</v>
      </c>
      <c r="S773" s="395"/>
      <c r="T773" s="395"/>
      <c r="U773" s="395"/>
      <c r="V773" s="395"/>
      <c r="W773" s="395"/>
      <c r="X773" s="395"/>
      <c r="Y773" s="395"/>
      <c r="Z773" s="395"/>
      <c r="AA773" s="395"/>
      <c r="AB773" s="395"/>
      <c r="AC773" s="395"/>
    </row>
    <row r="774" spans="2:29">
      <c r="B774" s="376" t="str">
        <f>IF(OR(LEFT(Commodities!B$65,1)="*",LEFT(Technologies!B$236,1)="*"),"*","R4")</f>
        <v>R4</v>
      </c>
      <c r="C774" s="376" t="str">
        <f>Technologies!C$727</f>
        <v>XIELCDSLP2</v>
      </c>
      <c r="D774" s="376" t="str">
        <f>Technologies!D236</f>
        <v>Delivery of Imported Distillate-Heating Oil No. 2 to the Electricity Sector</v>
      </c>
      <c r="E774" s="415" t="str">
        <f>Commodities!C$67</f>
        <v>DSHP2</v>
      </c>
      <c r="F774" s="415" t="str">
        <f>Commodities!C90</f>
        <v>ELCDSL</v>
      </c>
      <c r="G774" s="422">
        <v>1</v>
      </c>
      <c r="H774" s="421">
        <f>DelivOIL!$E83*DelivOIL!P$80^5/(Conv!$I$5*Conv!$D$46)/10^6 + OILTrade!$G$6</f>
        <v>0.4636245831873872</v>
      </c>
      <c r="I774" s="421">
        <f>DelivOIL!$E83*DelivOIL!Q$80^5/(Conv!$I$5*Conv!$D$46)/10^6 + OILTrade!$G$6</f>
        <v>0.41499675969985128</v>
      </c>
      <c r="J774" s="421">
        <f>DelivOIL!$E83*DelivOIL!R$80^5/(Conv!$I$5*Conv!$D$46)/10^6 + OILTrade!$G$6</f>
        <v>0.47074762721732616</v>
      </c>
      <c r="K774" s="421">
        <f>DelivOIL!$E83*DelivOIL!S$80^5/(Conv!$I$5*Conv!$D$46)/10^6 + OILTrade!$G$6</f>
        <v>0.53909955404174204</v>
      </c>
      <c r="L774" s="421">
        <f>DelivOIL!$E83*DelivOIL!T$80^5/(Conv!$I$5*Conv!$D$46)/10^6 + OILTrade!$G$6</f>
        <v>0.49320137957531218</v>
      </c>
      <c r="M774" s="421">
        <f>DelivOIL!$E83*DelivOIL!U$80^5/(Conv!$I$5*Conv!$D$46)/10^6 + OILTrade!$G$6</f>
        <v>0.4705202977961726</v>
      </c>
      <c r="N774" s="421">
        <f>DelivOIL!$E83*DelivOIL!V$80^5/(Conv!$I$5*Conv!$D$46)/10^6 + OILTrade!$G$6</f>
        <v>0.4705202977961726</v>
      </c>
      <c r="O774" s="421">
        <f>DelivOIL!$E83*DelivOIL!W$80^5/(Conv!$I$5*Conv!$D$46)/10^6 + OILTrade!$G$6</f>
        <v>0.4705202977961726</v>
      </c>
      <c r="P774" s="421">
        <f>DelivOIL!$E83*DelivOIL!X$80^5/(Conv!$I$5*Conv!$D$46)/10^6 + OILTrade!$G$6</f>
        <v>0.4705202977961726</v>
      </c>
      <c r="Q774" s="421">
        <f>DelivOIL!$E83*DelivOIL!Y$80^5/(Conv!$I$5*Conv!$D$46)/10^6 + OILTrade!$G$6</f>
        <v>0.4705202977961726</v>
      </c>
      <c r="S774" s="395"/>
      <c r="T774" s="395"/>
      <c r="U774" s="395"/>
      <c r="V774" s="395"/>
      <c r="W774" s="395"/>
      <c r="X774" s="395"/>
      <c r="Y774" s="395"/>
      <c r="Z774" s="395"/>
      <c r="AA774" s="395"/>
      <c r="AB774" s="395"/>
      <c r="AC774" s="395"/>
    </row>
    <row r="775" spans="2:29">
      <c r="B775" s="376" t="str">
        <f>IF(OR(LEFT(Commodities!B$323,1)="*",LEFT(Technologies!B$704,1)="*"),"*","R4")</f>
        <v>R4</v>
      </c>
      <c r="C775" s="376" t="str">
        <f>Technologies!C$728</f>
        <v>XITRDSLLP2</v>
      </c>
      <c r="D775" s="376" t="str">
        <f>Technologies!D704</f>
        <v>Delivery of Imported Distillate-Low Sulfur Highway Diesel (500 ppm)</v>
      </c>
      <c r="E775" s="415" t="str">
        <f>Commodities!C$334</f>
        <v>DSLP2</v>
      </c>
      <c r="F775" s="415" t="str">
        <f>Commodities!C91</f>
        <v>TRDSLL</v>
      </c>
      <c r="G775" s="422">
        <v>1</v>
      </c>
      <c r="H775" s="421">
        <f>DelivOIL!$E84*DelivOIL!P$80^5/(Conv!$I$5*Conv!$D$46)/10^6 + OILTrade!$G$6</f>
        <v>3.5453644596682516</v>
      </c>
      <c r="I775" s="421">
        <f>DelivOIL!$E84*DelivOIL!Q$80^5/(Conv!$I$5*Conv!$D$46)/10^6 + OILTrade!$G$6</f>
        <v>3.173504632998859</v>
      </c>
      <c r="J775" s="421">
        <f>DelivOIL!$E84*DelivOIL!R$80^5/(Conv!$I$5*Conv!$D$46)/10^6 + OILTrade!$G$6</f>
        <v>3.5998347963677846</v>
      </c>
      <c r="K775" s="421">
        <f>DelivOIL!$E84*DelivOIL!S$80^5/(Conv!$I$5*Conv!$D$46)/10^6 + OILTrade!$G$6</f>
        <v>4.1225260014956691</v>
      </c>
      <c r="L775" s="421">
        <f>DelivOIL!$E84*DelivOIL!T$80^5/(Conv!$I$5*Conv!$D$46)/10^6 + OILTrade!$G$6</f>
        <v>3.7715399614582656</v>
      </c>
      <c r="M775" s="421">
        <f>DelivOIL!$E84*DelivOIL!U$80^5/(Conv!$I$5*Conv!$D$46)/10^6 + OILTrade!$G$6</f>
        <v>3.5980963949119049</v>
      </c>
      <c r="N775" s="421">
        <f>DelivOIL!$E84*DelivOIL!V$80^5/(Conv!$I$5*Conv!$D$46)/10^6 + OILTrade!$G$6</f>
        <v>3.5980963949119049</v>
      </c>
      <c r="O775" s="421">
        <f>DelivOIL!$E84*DelivOIL!W$80^5/(Conv!$I$5*Conv!$D$46)/10^6 + OILTrade!$G$6</f>
        <v>3.5980963949119049</v>
      </c>
      <c r="P775" s="421">
        <f>DelivOIL!$E84*DelivOIL!X$80^5/(Conv!$I$5*Conv!$D$46)/10^6 + OILTrade!$G$6</f>
        <v>3.5980963949119049</v>
      </c>
      <c r="Q775" s="421">
        <f>DelivOIL!$E84*DelivOIL!Y$80^5/(Conv!$I$5*Conv!$D$46)/10^6 + OILTrade!$G$6</f>
        <v>3.5980963949119049</v>
      </c>
      <c r="S775" s="395"/>
      <c r="T775" s="395"/>
      <c r="U775" s="395"/>
      <c r="V775" s="395"/>
      <c r="W775" s="395"/>
      <c r="X775" s="395"/>
      <c r="Y775" s="395"/>
      <c r="Z775" s="395"/>
      <c r="AA775" s="395"/>
      <c r="AB775" s="395"/>
      <c r="AC775" s="395"/>
    </row>
    <row r="776" spans="2:29">
      <c r="B776" s="376" t="str">
        <f>IF(OR(LEFT(Commodities!B$324,1)="*",LEFT(Technologies!B$705,1)="*"),"*","R4")</f>
        <v>R4</v>
      </c>
      <c r="C776" s="376" t="str">
        <f>Technologies!C$729</f>
        <v>XITRDSLUP2</v>
      </c>
      <c r="D776" s="376" t="str">
        <f>Technologies!D705</f>
        <v>Delivery of Imported Distillate-Ultralow Sulfur Highway Diesel (15 ppm)</v>
      </c>
      <c r="E776" s="415" t="str">
        <f>Commodities!C$335</f>
        <v>DSUP2</v>
      </c>
      <c r="F776" s="415" t="str">
        <f>Commodities!C92</f>
        <v>TRDSLU</v>
      </c>
      <c r="G776" s="422">
        <v>1</v>
      </c>
      <c r="H776" s="421">
        <f>DelivOIL!$E85*DelivOIL!P$80^5/(Conv!$I$5*Conv!$D$46)/10^6 + OILTrade!$G$6</f>
        <v>2.8158375420057458</v>
      </c>
      <c r="I776" s="421">
        <f>DelivOIL!$E85*DelivOIL!Q$80^5/(Conv!$I$5*Conv!$D$46)/10^6 + OILTrade!$G$6</f>
        <v>2.5204950258240943</v>
      </c>
      <c r="J776" s="421">
        <f>DelivOIL!$E85*DelivOIL!R$80^5/(Conv!$I$5*Conv!$D$46)/10^6 + OILTrade!$G$6</f>
        <v>2.8590995594228752</v>
      </c>
      <c r="K776" s="421">
        <f>DelivOIL!$E85*DelivOIL!S$80^5/(Conv!$I$5*Conv!$D$46)/10^6 + OILTrade!$G$6</f>
        <v>3.2742369973417524</v>
      </c>
      <c r="L776" s="421">
        <f>DelivOIL!$E85*DelivOIL!T$80^5/(Conv!$I$5*Conv!$D$46)/10^6 + OILTrade!$G$6</f>
        <v>2.9954730847735838</v>
      </c>
      <c r="M776" s="421">
        <f>DelivOIL!$E85*DelivOIL!U$80^5/(Conv!$I$5*Conv!$D$46)/10^6 + OILTrade!$G$6</f>
        <v>2.8577188674973395</v>
      </c>
      <c r="N776" s="421">
        <f>DelivOIL!$E85*DelivOIL!V$80^5/(Conv!$I$5*Conv!$D$46)/10^6 + OILTrade!$G$6</f>
        <v>2.8577188674973395</v>
      </c>
      <c r="O776" s="421">
        <f>DelivOIL!$E85*DelivOIL!W$80^5/(Conv!$I$5*Conv!$D$46)/10^6 + OILTrade!$G$6</f>
        <v>2.8577188674973395</v>
      </c>
      <c r="P776" s="421">
        <f>DelivOIL!$E85*DelivOIL!X$80^5/(Conv!$I$5*Conv!$D$46)/10^6 + OILTrade!$G$6</f>
        <v>2.8577188674973395</v>
      </c>
      <c r="Q776" s="421">
        <f>DelivOIL!$E85*DelivOIL!Y$80^5/(Conv!$I$5*Conv!$D$46)/10^6 + OILTrade!$G$6</f>
        <v>2.8577188674973395</v>
      </c>
      <c r="S776" s="395"/>
      <c r="T776" s="395"/>
      <c r="U776" s="395"/>
      <c r="V776" s="395"/>
      <c r="W776" s="395"/>
      <c r="X776" s="395"/>
      <c r="Y776" s="395"/>
      <c r="Z776" s="395"/>
      <c r="AA776" s="395"/>
      <c r="AB776" s="395"/>
      <c r="AC776" s="395"/>
    </row>
    <row r="777" spans="2:29">
      <c r="B777" s="376" t="str">
        <f>IF(OR(LEFT(Commodities!B$64,1)="*",LEFT(Technologies!B$232,1)="*"),"*","R4")</f>
        <v>R4</v>
      </c>
      <c r="C777" s="376" t="str">
        <f>Technologies!C$730</f>
        <v>XITRNJTFP2</v>
      </c>
      <c r="D777" s="376" t="str">
        <f>Technologies!D232</f>
        <v>Delivery of Imported Jet Fuel</v>
      </c>
      <c r="E777" s="415" t="str">
        <f>Commodities!C$66</f>
        <v>JTFP2</v>
      </c>
      <c r="F777" s="415" t="str">
        <f>Commodities!C93</f>
        <v>TRNJTF</v>
      </c>
      <c r="G777" s="422">
        <v>1</v>
      </c>
      <c r="H777" s="421">
        <f>DelivOIL!$E86*DelivOIL!P$80^5/(Conv!$I$5*Conv!$D$46)/10^6 + OILTrade!$G$6</f>
        <v>0.72952691766250566</v>
      </c>
      <c r="I777" s="421">
        <f>DelivOIL!$E86*DelivOIL!Q$80^5/(Conv!$I$5*Conv!$D$46)/10^6 + OILTrade!$G$6</f>
        <v>0.65300960717476531</v>
      </c>
      <c r="J777" s="421">
        <f>DelivOIL!$E86*DelivOIL!R$80^5/(Conv!$I$5*Conv!$D$46)/10^6 + OILTrade!$G$6</f>
        <v>0.7407352369449095</v>
      </c>
      <c r="K777" s="421">
        <f>DelivOIL!$E86*DelivOIL!S$80^5/(Conv!$I$5*Conv!$D$46)/10^6 + OILTrade!$G$6</f>
        <v>0.8482890041539165</v>
      </c>
      <c r="L777" s="421">
        <f>DelivOIL!$E86*DelivOIL!T$80^5/(Conv!$I$5*Conv!$D$46)/10^6 + OILTrade!$G$6</f>
        <v>0.77606687668468166</v>
      </c>
      <c r="M777" s="421">
        <f>DelivOIL!$E86*DelivOIL!U$80^5/(Conv!$I$5*Conv!$D$46)/10^6 + OILTrade!$G$6</f>
        <v>0.74037752741456497</v>
      </c>
      <c r="N777" s="421">
        <f>DelivOIL!$E86*DelivOIL!V$80^5/(Conv!$I$5*Conv!$D$46)/10^6 + OILTrade!$G$6</f>
        <v>0.74037752741456497</v>
      </c>
      <c r="O777" s="421">
        <f>DelivOIL!$E86*DelivOIL!W$80^5/(Conv!$I$5*Conv!$D$46)/10^6 + OILTrade!$G$6</f>
        <v>0.74037752741456497</v>
      </c>
      <c r="P777" s="421">
        <f>DelivOIL!$E86*DelivOIL!X$80^5/(Conv!$I$5*Conv!$D$46)/10^6 + OILTrade!$G$6</f>
        <v>0.74037752741456497</v>
      </c>
      <c r="Q777" s="421">
        <f>DelivOIL!$E86*DelivOIL!Y$80^5/(Conv!$I$5*Conv!$D$46)/10^6 + OILTrade!$G$6</f>
        <v>0.74037752741456497</v>
      </c>
      <c r="S777" s="395"/>
      <c r="T777" s="395"/>
      <c r="U777" s="395"/>
      <c r="V777" s="395"/>
      <c r="W777" s="395"/>
      <c r="X777" s="395"/>
      <c r="Y777" s="395"/>
      <c r="Z777" s="395"/>
      <c r="AA777" s="395"/>
      <c r="AB777" s="395"/>
      <c r="AC777" s="395"/>
    </row>
    <row r="778" spans="2:29">
      <c r="B778" s="376" t="str">
        <f>IF(OR(LEFT(Commodities!B$327,1)="*",LEFT(Technologies!B$706,1)="*"),"*","R4")</f>
        <v>*</v>
      </c>
      <c r="C778" s="376" t="str">
        <f>Technologies!C$731</f>
        <v>XIRESKERP2</v>
      </c>
      <c r="D778" s="376" t="str">
        <f>Technologies!D706</f>
        <v>Delivery of Imported Kerosene and Other Refined Products to the Residential Sector</v>
      </c>
      <c r="E778" s="415" t="str">
        <f>Commodities!C$338</f>
        <v>KERP2</v>
      </c>
      <c r="F778" s="415" t="str">
        <f>Commodities!C94</f>
        <v>RESKER</v>
      </c>
      <c r="G778" s="422">
        <v>1</v>
      </c>
      <c r="H778" s="421">
        <f>DelivOIL!$E87*DelivOIL!P$80^5/(Conv!$I$5*Conv!$D$46)/10^6 + OILTrade!$G$6</f>
        <v>1.8476803241732616</v>
      </c>
      <c r="I778" s="421">
        <f>DelivOIL!$E87*DelivOIL!Q$80^5/(Conv!$I$5*Conv!$D$46)/10^6 + OILTrade!$G$6</f>
        <v>1.6538841452744051</v>
      </c>
      <c r="J778" s="421">
        <f>DelivOIL!$E87*DelivOIL!R$80^5/(Conv!$I$5*Conv!$D$46)/10^6 + OILTrade!$G$6</f>
        <v>1.8760677496455185</v>
      </c>
      <c r="K778" s="421">
        <f>DelivOIL!$E87*DelivOIL!S$80^5/(Conv!$I$5*Conv!$D$46)/10^6 + OILTrade!$G$6</f>
        <v>2.148470281548704</v>
      </c>
      <c r="L778" s="421">
        <f>DelivOIL!$E87*DelivOIL!T$80^5/(Conv!$I$5*Conv!$D$46)/10^6 + OILTrade!$G$6</f>
        <v>1.9655525568369037</v>
      </c>
      <c r="M778" s="421">
        <f>DelivOIL!$E87*DelivOIL!U$80^5/(Conv!$I$5*Conv!$D$46)/10^6 + OILTrade!$G$6</f>
        <v>1.8751617750406269</v>
      </c>
      <c r="N778" s="421">
        <f>DelivOIL!$E87*DelivOIL!V$80^5/(Conv!$I$5*Conv!$D$46)/10^6 + OILTrade!$G$6</f>
        <v>1.8751617750406269</v>
      </c>
      <c r="O778" s="421">
        <f>DelivOIL!$E87*DelivOIL!W$80^5/(Conv!$I$5*Conv!$D$46)/10^6 + OILTrade!$G$6</f>
        <v>1.8751617750406269</v>
      </c>
      <c r="P778" s="421">
        <f>DelivOIL!$E87*DelivOIL!X$80^5/(Conv!$I$5*Conv!$D$46)/10^6 + OILTrade!$G$6</f>
        <v>1.8751617750406269</v>
      </c>
      <c r="Q778" s="421">
        <f>DelivOIL!$E87*DelivOIL!Y$80^5/(Conv!$I$5*Conv!$D$46)/10^6 + OILTrade!$G$6</f>
        <v>1.8751617750406269</v>
      </c>
      <c r="S778" s="395"/>
      <c r="T778" s="395"/>
      <c r="U778" s="395"/>
      <c r="V778" s="395"/>
      <c r="W778" s="395"/>
      <c r="X778" s="395"/>
      <c r="Y778" s="395"/>
      <c r="Z778" s="395"/>
      <c r="AA778" s="395"/>
      <c r="AB778" s="395"/>
      <c r="AC778" s="395"/>
    </row>
    <row r="779" spans="2:29">
      <c r="B779" s="376" t="str">
        <f>IF(OR(LEFT(Commodities!B$327,1)="*",LEFT(Technologies!B$707,1)="*"),"*","R4")</f>
        <v>*</v>
      </c>
      <c r="C779" s="376" t="str">
        <f>Technologies!C$732</f>
        <v>XICOMKERP2</v>
      </c>
      <c r="D779" s="376" t="str">
        <f>Technologies!D707</f>
        <v>Delivery of Imported Kerosene and Other Refined Products to the Commercial Sector</v>
      </c>
      <c r="E779" s="415" t="str">
        <f>E778</f>
        <v>KERP2</v>
      </c>
      <c r="F779" s="415" t="str">
        <f>Commodities!C95</f>
        <v>COMKER</v>
      </c>
      <c r="G779" s="422">
        <v>1</v>
      </c>
      <c r="H779" s="421">
        <f>DelivOIL!$E88*DelivOIL!P$80^5/(Conv!$I$5*Conv!$D$46)/10^6 + OILTrade!$G$6</f>
        <v>1.874952358478402</v>
      </c>
      <c r="I779" s="421">
        <f>DelivOIL!$E88*DelivOIL!Q$80^5/(Conv!$I$5*Conv!$D$46)/10^6 + OILTrade!$G$6</f>
        <v>1.6782957193743966</v>
      </c>
      <c r="J779" s="421">
        <f>DelivOIL!$E88*DelivOIL!R$80^5/(Conv!$I$5*Conv!$D$46)/10^6 + OILTrade!$G$6</f>
        <v>1.9037587865406551</v>
      </c>
      <c r="K779" s="421">
        <f>DelivOIL!$E88*DelivOIL!S$80^5/(Conv!$I$5*Conv!$D$46)/10^6 + OILTrade!$G$6</f>
        <v>2.1801820200217477</v>
      </c>
      <c r="L779" s="421">
        <f>DelivOIL!$E88*DelivOIL!T$80^5/(Conv!$I$5*Conv!$D$46)/10^6 + OILTrade!$G$6</f>
        <v>1.9945644026942748</v>
      </c>
      <c r="M779" s="421">
        <f>DelivOIL!$E88*DelivOIL!U$80^5/(Conv!$I$5*Conv!$D$46)/10^6 + OILTrade!$G$6</f>
        <v>1.9028394396168722</v>
      </c>
      <c r="N779" s="421">
        <f>DelivOIL!$E88*DelivOIL!V$80^5/(Conv!$I$5*Conv!$D$46)/10^6 + OILTrade!$G$6</f>
        <v>1.9028394396168722</v>
      </c>
      <c r="O779" s="421">
        <f>DelivOIL!$E88*DelivOIL!W$80^5/(Conv!$I$5*Conv!$D$46)/10^6 + OILTrade!$G$6</f>
        <v>1.9028394396168722</v>
      </c>
      <c r="P779" s="421">
        <f>DelivOIL!$E88*DelivOIL!X$80^5/(Conv!$I$5*Conv!$D$46)/10^6 + OILTrade!$G$6</f>
        <v>1.9028394396168722</v>
      </c>
      <c r="Q779" s="421">
        <f>DelivOIL!$E88*DelivOIL!Y$80^5/(Conv!$I$5*Conv!$D$46)/10^6 + OILTrade!$G$6</f>
        <v>1.9028394396168722</v>
      </c>
      <c r="S779" s="395"/>
      <c r="T779" s="395"/>
      <c r="U779" s="395"/>
      <c r="V779" s="395"/>
      <c r="W779" s="395"/>
      <c r="X779" s="395"/>
      <c r="Y779" s="395"/>
      <c r="Z779" s="395"/>
      <c r="AA779" s="395"/>
      <c r="AB779" s="395"/>
      <c r="AC779" s="395"/>
    </row>
    <row r="780" spans="2:29">
      <c r="B780" s="376" t="str">
        <f>IF(OR(LEFT(Commodities!B$327,1)="*",LEFT(Technologies!B$708,1)="*"),"*","R4")</f>
        <v>*</v>
      </c>
      <c r="C780" s="376" t="str">
        <f>Technologies!C$733</f>
        <v>XIINDKERP2</v>
      </c>
      <c r="D780" s="376" t="str">
        <f>Technologies!D708</f>
        <v>Delivery of Imported Kerosene and Other Refined Products to the Industrial Sector</v>
      </c>
      <c r="E780" s="415" t="str">
        <f>E779</f>
        <v>KERP2</v>
      </c>
      <c r="F780" s="415" t="str">
        <f>Commodities!C96</f>
        <v>INDKER</v>
      </c>
      <c r="G780" s="422">
        <v>1</v>
      </c>
      <c r="H780" s="421">
        <f>DelivOIL!$E89*DelivOIL!P$80^5/(Conv!$I$5*Conv!$D$46)/10^6 + OILTrade!$G$6</f>
        <v>1.4726898524775816</v>
      </c>
      <c r="I780" s="421">
        <f>DelivOIL!$E89*DelivOIL!Q$80^5/(Conv!$I$5*Conv!$D$46)/10^6 + OILTrade!$G$6</f>
        <v>1.318225001399526</v>
      </c>
      <c r="J780" s="421">
        <f>DelivOIL!$E89*DelivOIL!R$80^5/(Conv!$I$5*Conv!$D$46)/10^6 + OILTrade!$G$6</f>
        <v>1.4953159923373875</v>
      </c>
      <c r="K780" s="421">
        <f>DelivOIL!$E89*DelivOIL!S$80^5/(Conv!$I$5*Conv!$D$46)/10^6 + OILTrade!$G$6</f>
        <v>1.7124338775443548</v>
      </c>
      <c r="L780" s="421">
        <f>DelivOIL!$E89*DelivOIL!T$80^5/(Conv!$I$5*Conv!$D$46)/10^6 + OILTrade!$G$6</f>
        <v>1.566639676298049</v>
      </c>
      <c r="M780" s="421">
        <f>DelivOIL!$E89*DelivOIL!U$80^5/(Conv!$I$5*Conv!$D$46)/10^6 + OILTrade!$G$6</f>
        <v>1.4945938871172526</v>
      </c>
      <c r="N780" s="421">
        <f>DelivOIL!$E89*DelivOIL!V$80^5/(Conv!$I$5*Conv!$D$46)/10^6 + OILTrade!$G$6</f>
        <v>1.4945938871172526</v>
      </c>
      <c r="O780" s="421">
        <f>DelivOIL!$E89*DelivOIL!W$80^5/(Conv!$I$5*Conv!$D$46)/10^6 + OILTrade!$G$6</f>
        <v>1.4945938871172526</v>
      </c>
      <c r="P780" s="421">
        <f>DelivOIL!$E89*DelivOIL!X$80^5/(Conv!$I$5*Conv!$D$46)/10^6 + OILTrade!$G$6</f>
        <v>1.4945938871172526</v>
      </c>
      <c r="Q780" s="421">
        <f>DelivOIL!$E89*DelivOIL!Y$80^5/(Conv!$I$5*Conv!$D$46)/10^6 + OILTrade!$G$6</f>
        <v>1.4945938871172526</v>
      </c>
      <c r="S780" s="395"/>
      <c r="T780" s="395"/>
      <c r="U780" s="395"/>
      <c r="V780" s="395"/>
      <c r="W780" s="395"/>
      <c r="X780" s="395"/>
      <c r="Y780" s="395"/>
      <c r="Z780" s="395"/>
      <c r="AA780" s="395"/>
      <c r="AB780" s="395"/>
      <c r="AC780" s="395"/>
    </row>
    <row r="781" spans="2:29">
      <c r="B781" s="376" t="str">
        <f>IF(OR(LEFT(Commodities!B$328,1)="*",LEFT(Technologies!B$709,1)="*"),"*","R4")</f>
        <v>*</v>
      </c>
      <c r="C781" s="376" t="str">
        <f>Technologies!C$734</f>
        <v>XIRESLPGP2</v>
      </c>
      <c r="D781" s="376" t="str">
        <f>Technologies!D709</f>
        <v>Delivery of Imported LPG to the Residential Sector</v>
      </c>
      <c r="E781" s="415" t="str">
        <f>Commodities!C$339</f>
        <v>LPGP2</v>
      </c>
      <c r="F781" s="415" t="str">
        <f>Commodities!C97</f>
        <v>RESLPG</v>
      </c>
      <c r="G781" s="422">
        <v>1</v>
      </c>
      <c r="H781" s="421">
        <f>DelivOIL!$E90*DelivOIL!P$80^5/(Conv!$I$5*Conv!$D$46)/10^6 + OILTrade!$G$6</f>
        <v>2.4408470703100664</v>
      </c>
      <c r="I781" s="421">
        <f>DelivOIL!$E90*DelivOIL!Q$80^5/(Conv!$I$5*Conv!$D$46)/10^6 + OILTrade!$G$6</f>
        <v>2.1848358819492155</v>
      </c>
      <c r="J781" s="421">
        <f>DelivOIL!$E90*DelivOIL!R$80^5/(Conv!$I$5*Conv!$D$46)/10^6 + OILTrade!$G$6</f>
        <v>2.4783478021147451</v>
      </c>
      <c r="K781" s="421">
        <f>DelivOIL!$E90*DelivOIL!S$80^5/(Conv!$I$5*Conv!$D$46)/10^6 + OILTrade!$G$6</f>
        <v>2.8382005933374042</v>
      </c>
      <c r="L781" s="421">
        <f>DelivOIL!$E90*DelivOIL!T$80^5/(Conv!$I$5*Conv!$D$46)/10^6 + OILTrade!$G$6</f>
        <v>2.5965602042347307</v>
      </c>
      <c r="M781" s="421">
        <f>DelivOIL!$E90*DelivOIL!U$80^5/(Conv!$I$5*Conv!$D$46)/10^6 + OILTrade!$G$6</f>
        <v>2.4771509795739659</v>
      </c>
      <c r="N781" s="421">
        <f>DelivOIL!$E90*DelivOIL!V$80^5/(Conv!$I$5*Conv!$D$46)/10^6 + OILTrade!$G$6</f>
        <v>2.4771509795739659</v>
      </c>
      <c r="O781" s="421">
        <f>DelivOIL!$E90*DelivOIL!W$80^5/(Conv!$I$5*Conv!$D$46)/10^6 + OILTrade!$G$6</f>
        <v>2.4771509795739659</v>
      </c>
      <c r="P781" s="421">
        <f>DelivOIL!$E90*DelivOIL!X$80^5/(Conv!$I$5*Conv!$D$46)/10^6 + OILTrade!$G$6</f>
        <v>2.4771509795739659</v>
      </c>
      <c r="Q781" s="421">
        <f>DelivOIL!$E90*DelivOIL!Y$80^5/(Conv!$I$5*Conv!$D$46)/10^6 + OILTrade!$G$6</f>
        <v>2.4771509795739659</v>
      </c>
      <c r="S781" s="395"/>
      <c r="T781" s="395"/>
      <c r="U781" s="395"/>
      <c r="V781" s="395"/>
      <c r="W781" s="395"/>
      <c r="X781" s="395"/>
      <c r="Y781" s="395"/>
      <c r="Z781" s="395"/>
      <c r="AA781" s="395"/>
      <c r="AB781" s="395"/>
      <c r="AC781" s="395"/>
    </row>
    <row r="782" spans="2:29">
      <c r="B782" s="376" t="str">
        <f>IF(OR(LEFT(Commodities!B$328,1)="*",LEFT(Technologies!B$710,1)="*"),"*","R4")</f>
        <v>*</v>
      </c>
      <c r="C782" s="376" t="str">
        <f>Technologies!C$735</f>
        <v>XICOMLPGP2</v>
      </c>
      <c r="D782" s="376" t="str">
        <f>Technologies!D710</f>
        <v>Delivery of Imported LPG to the Commercial Sector</v>
      </c>
      <c r="E782" s="415" t="str">
        <f>Commodities!C$339</f>
        <v>LPGP2</v>
      </c>
      <c r="F782" s="415" t="str">
        <f>Commodities!C98</f>
        <v>COMLPG</v>
      </c>
      <c r="G782" s="422">
        <v>1</v>
      </c>
      <c r="H782" s="421">
        <f>DelivOIL!$E91*DelivOIL!P$80^5/(Conv!$I$5*Conv!$D$46)/10^6 + OILTrade!$G$6</f>
        <v>2.5635712246831979</v>
      </c>
      <c r="I782" s="421">
        <f>DelivOIL!$E91*DelivOIL!Q$80^5/(Conv!$I$5*Conv!$D$46)/10^6 + OILTrade!$G$6</f>
        <v>2.2946879653991754</v>
      </c>
      <c r="J782" s="421">
        <f>DelivOIL!$E91*DelivOIL!R$80^5/(Conv!$I$5*Conv!$D$46)/10^6 + OILTrade!$G$6</f>
        <v>2.60295746814286</v>
      </c>
      <c r="K782" s="421">
        <f>DelivOIL!$E91*DelivOIL!S$80^5/(Conv!$I$5*Conv!$D$46)/10^6 + OILTrade!$G$6</f>
        <v>2.9809034164660995</v>
      </c>
      <c r="L782" s="421">
        <f>DelivOIL!$E91*DelivOIL!T$80^5/(Conv!$I$5*Conv!$D$46)/10^6 + OILTrade!$G$6</f>
        <v>2.7271135105929001</v>
      </c>
      <c r="M782" s="421">
        <f>DelivOIL!$E91*DelivOIL!U$80^5/(Conv!$I$5*Conv!$D$46)/10^6 + OILTrade!$G$6</f>
        <v>2.6017004701670698</v>
      </c>
      <c r="N782" s="421">
        <f>DelivOIL!$E91*DelivOIL!V$80^5/(Conv!$I$5*Conv!$D$46)/10^6 + OILTrade!$G$6</f>
        <v>2.6017004701670698</v>
      </c>
      <c r="O782" s="421">
        <f>DelivOIL!$E91*DelivOIL!W$80^5/(Conv!$I$5*Conv!$D$46)/10^6 + OILTrade!$G$6</f>
        <v>2.6017004701670698</v>
      </c>
      <c r="P782" s="421">
        <f>DelivOIL!$E91*DelivOIL!X$80^5/(Conv!$I$5*Conv!$D$46)/10^6 + OILTrade!$G$6</f>
        <v>2.6017004701670698</v>
      </c>
      <c r="Q782" s="421">
        <f>DelivOIL!$E91*DelivOIL!Y$80^5/(Conv!$I$5*Conv!$D$46)/10^6 + OILTrade!$G$6</f>
        <v>2.6017004701670698</v>
      </c>
      <c r="S782" s="395"/>
      <c r="T782" s="395"/>
      <c r="U782" s="395"/>
      <c r="V782" s="395"/>
      <c r="W782" s="395"/>
      <c r="X782" s="395"/>
      <c r="Y782" s="395"/>
      <c r="Z782" s="395"/>
      <c r="AA782" s="395"/>
      <c r="AB782" s="395"/>
      <c r="AC782" s="395"/>
    </row>
    <row r="783" spans="2:29">
      <c r="B783" s="376" t="str">
        <f>IF(OR(LEFT(Commodities!B$328,1)="*",LEFT(Technologies!B$711,1)="*"),"*","R4")</f>
        <v>*</v>
      </c>
      <c r="C783" s="376" t="str">
        <f>Technologies!C$736</f>
        <v>XIINDLPGP2</v>
      </c>
      <c r="D783" s="376" t="str">
        <f>Technologies!D711</f>
        <v>Delivery of Imported LPG to the Industrial Sector</v>
      </c>
      <c r="E783" s="415" t="str">
        <f>Commodities!C$339</f>
        <v>LPGP2</v>
      </c>
      <c r="F783" s="415" t="str">
        <f>Commodities!C99</f>
        <v>INDLPG</v>
      </c>
      <c r="G783" s="422">
        <v>1</v>
      </c>
      <c r="H783" s="421">
        <f>DelivOIL!$E92*DelivOIL!P$80^5/(Conv!$I$5*Conv!$D$46)/10^6 + OILTrade!$G$6</f>
        <v>1.5204159125115781</v>
      </c>
      <c r="I783" s="421">
        <f>DelivOIL!$E92*DelivOIL!Q$80^5/(Conv!$I$5*Conv!$D$46)/10^6 + OILTrade!$G$6</f>
        <v>1.3609452560745117</v>
      </c>
      <c r="J783" s="421">
        <f>DelivOIL!$E92*DelivOIL!R$80^5/(Conv!$I$5*Conv!$D$46)/10^6 + OILTrade!$G$6</f>
        <v>1.5437753069038778</v>
      </c>
      <c r="K783" s="421">
        <f>DelivOIL!$E92*DelivOIL!S$80^5/(Conv!$I$5*Conv!$D$46)/10^6 + OILTrade!$G$6</f>
        <v>1.7679294198721822</v>
      </c>
      <c r="L783" s="421">
        <f>DelivOIL!$E92*DelivOIL!T$80^5/(Conv!$I$5*Conv!$D$46)/10^6 + OILTrade!$G$6</f>
        <v>1.6174104065484496</v>
      </c>
      <c r="M783" s="421">
        <f>DelivOIL!$E92*DelivOIL!U$80^5/(Conv!$I$5*Conv!$D$46)/10^6 + OILTrade!$G$6</f>
        <v>1.543029800125683</v>
      </c>
      <c r="N783" s="421">
        <f>DelivOIL!$E92*DelivOIL!V$80^5/(Conv!$I$5*Conv!$D$46)/10^6 + OILTrade!$G$6</f>
        <v>1.543029800125683</v>
      </c>
      <c r="O783" s="421">
        <f>DelivOIL!$E92*DelivOIL!W$80^5/(Conv!$I$5*Conv!$D$46)/10^6 + OILTrade!$G$6</f>
        <v>1.543029800125683</v>
      </c>
      <c r="P783" s="421">
        <f>DelivOIL!$E92*DelivOIL!X$80^5/(Conv!$I$5*Conv!$D$46)/10^6 + OILTrade!$G$6</f>
        <v>1.543029800125683</v>
      </c>
      <c r="Q783" s="421">
        <f>DelivOIL!$E92*DelivOIL!Y$80^5/(Conv!$I$5*Conv!$D$46)/10^6 + OILTrade!$G$6</f>
        <v>1.543029800125683</v>
      </c>
      <c r="S783" s="395"/>
      <c r="T783" s="395"/>
      <c r="U783" s="395"/>
      <c r="V783" s="395"/>
      <c r="W783" s="395"/>
      <c r="X783" s="395"/>
      <c r="Y783" s="395"/>
      <c r="Z783" s="395"/>
      <c r="AA783" s="395"/>
      <c r="AB783" s="395"/>
      <c r="AC783" s="395"/>
    </row>
    <row r="784" spans="2:29">
      <c r="B784" s="376" t="str">
        <f>IF(OR(LEFT(Commodities!B$328,1)="*",LEFT(Technologies!B$712,1)="*"),"*","R4")</f>
        <v>*</v>
      </c>
      <c r="C784" s="376" t="str">
        <f>Technologies!C$737</f>
        <v>XITRNLPGP2</v>
      </c>
      <c r="D784" s="376" t="str">
        <f>Technologies!D712</f>
        <v>Delivery of Imported LPG to the Transportation Sector</v>
      </c>
      <c r="E784" s="415" t="str">
        <f>Commodities!C$339</f>
        <v>LPGP2</v>
      </c>
      <c r="F784" s="415" t="str">
        <f>Commodities!C100</f>
        <v>TRNLPG</v>
      </c>
      <c r="G784" s="422">
        <v>1</v>
      </c>
      <c r="H784" s="421">
        <f>DelivOIL!$E93*DelivOIL!P$80^5/(Conv!$I$5*Conv!$D$46)/10^6 + OILTrade!$G$6</f>
        <v>2.8771996191923126</v>
      </c>
      <c r="I784" s="421">
        <f>DelivOIL!$E93*DelivOIL!Q$80^5/(Conv!$I$5*Conv!$D$46)/10^6 + OILTrade!$G$6</f>
        <v>2.5754210675490752</v>
      </c>
      <c r="J784" s="421">
        <f>DelivOIL!$E93*DelivOIL!R$80^5/(Conv!$I$5*Conv!$D$46)/10^6 + OILTrade!$G$6</f>
        <v>2.9214043924369335</v>
      </c>
      <c r="K784" s="421">
        <f>DelivOIL!$E93*DelivOIL!S$80^5/(Conv!$I$5*Conv!$D$46)/10^6 + OILTrade!$G$6</f>
        <v>3.3455884089061017</v>
      </c>
      <c r="L784" s="421">
        <f>DelivOIL!$E93*DelivOIL!T$80^5/(Conv!$I$5*Conv!$D$46)/10^6 + OILTrade!$G$6</f>
        <v>3.0607497379526705</v>
      </c>
      <c r="M784" s="421">
        <f>DelivOIL!$E93*DelivOIL!U$80^5/(Conv!$I$5*Conv!$D$46)/10^6 + OILTrade!$G$6</f>
        <v>2.9199936127938928</v>
      </c>
      <c r="N784" s="421">
        <f>DelivOIL!$E93*DelivOIL!V$80^5/(Conv!$I$5*Conv!$D$46)/10^6 + OILTrade!$G$6</f>
        <v>2.9199936127938928</v>
      </c>
      <c r="O784" s="421">
        <f>DelivOIL!$E93*DelivOIL!W$80^5/(Conv!$I$5*Conv!$D$46)/10^6 + OILTrade!$G$6</f>
        <v>2.9199936127938928</v>
      </c>
      <c r="P784" s="421">
        <f>DelivOIL!$E93*DelivOIL!X$80^5/(Conv!$I$5*Conv!$D$46)/10^6 + OILTrade!$G$6</f>
        <v>2.9199936127938928</v>
      </c>
      <c r="Q784" s="421">
        <f>DelivOIL!$E93*DelivOIL!Y$80^5/(Conv!$I$5*Conv!$D$46)/10^6 + OILTrade!$G$6</f>
        <v>2.9199936127938928</v>
      </c>
      <c r="S784" s="395"/>
      <c r="T784" s="395"/>
      <c r="U784" s="395"/>
      <c r="V784" s="395"/>
      <c r="W784" s="395"/>
      <c r="X784" s="395"/>
      <c r="Y784" s="395"/>
      <c r="Z784" s="395"/>
      <c r="AA784" s="395"/>
      <c r="AB784" s="395"/>
      <c r="AC784" s="395"/>
    </row>
    <row r="785" spans="2:29">
      <c r="B785" s="376" t="str">
        <f>IF(LEFT(Technologies!B$713,1)="*","*","R4")</f>
        <v>*</v>
      </c>
      <c r="C785" s="376" t="str">
        <f>Technologies!C$738</f>
        <v>XITRNMTHP2</v>
      </c>
      <c r="D785" s="376" t="str">
        <f>Technologies!D713</f>
        <v>Delivery of Imported Methanol</v>
      </c>
      <c r="E785" s="415" t="str">
        <f>Commodities!C$340</f>
        <v>MTHP2</v>
      </c>
      <c r="F785" s="415" t="str">
        <f>Commodities!C101</f>
        <v>TRNMTH</v>
      </c>
      <c r="G785" s="422">
        <v>1</v>
      </c>
      <c r="H785" s="421">
        <f>DelivOIL!$E94*DelivOIL!P$80^5/(Conv!$I$5*Conv!$D$46)/10^6 + OILTrade!$G$6</f>
        <v>0.36135445454310988</v>
      </c>
      <c r="I785" s="421">
        <f>DelivOIL!$E94*DelivOIL!Q$80^5/(Conv!$I$5*Conv!$D$46)/10^6 + OILTrade!$G$6</f>
        <v>0.32345335682488341</v>
      </c>
      <c r="J785" s="421">
        <f>DelivOIL!$E94*DelivOIL!R$80^5/(Conv!$I$5*Conv!$D$46)/10^6 + OILTrade!$G$6</f>
        <v>0.36690623886056228</v>
      </c>
      <c r="K785" s="421">
        <f>DelivOIL!$E94*DelivOIL!S$80^5/(Conv!$I$5*Conv!$D$46)/10^6 + OILTrade!$G$6</f>
        <v>0.42018053476782735</v>
      </c>
      <c r="L785" s="421">
        <f>DelivOIL!$E94*DelivOIL!T$80^5/(Conv!$I$5*Conv!$D$46)/10^6 + OILTrade!$G$6</f>
        <v>0.38440695761016902</v>
      </c>
      <c r="M785" s="421">
        <f>DelivOIL!$E94*DelivOIL!U$80^5/(Conv!$I$5*Conv!$D$46)/10^6 + OILTrade!$G$6</f>
        <v>0.36672905563525143</v>
      </c>
      <c r="N785" s="421">
        <f>DelivOIL!$E94*DelivOIL!V$80^5/(Conv!$I$5*Conv!$D$46)/10^6 + OILTrade!$G$6</f>
        <v>0.36672905563525143</v>
      </c>
      <c r="O785" s="421">
        <f>DelivOIL!$E94*DelivOIL!W$80^5/(Conv!$I$5*Conv!$D$46)/10^6 + OILTrade!$G$6</f>
        <v>0.36672905563525143</v>
      </c>
      <c r="P785" s="421">
        <f>DelivOIL!$E94*DelivOIL!X$80^5/(Conv!$I$5*Conv!$D$46)/10^6 + OILTrade!$G$6</f>
        <v>0.36672905563525143</v>
      </c>
      <c r="Q785" s="421">
        <f>DelivOIL!$E94*DelivOIL!Y$80^5/(Conv!$I$5*Conv!$D$46)/10^6 + OILTrade!$G$6</f>
        <v>0.36672905563525143</v>
      </c>
      <c r="S785" s="395"/>
      <c r="T785" s="395"/>
      <c r="U785" s="395"/>
      <c r="V785" s="395"/>
      <c r="W785" s="395"/>
      <c r="X785" s="395"/>
      <c r="Y785" s="395"/>
      <c r="Z785" s="395"/>
      <c r="AA785" s="395"/>
      <c r="AB785" s="395"/>
      <c r="AC785" s="395"/>
    </row>
    <row r="786" spans="2:29">
      <c r="B786" s="376" t="str">
        <f>IF(OR(LEFT(Commodities!B$102,1)="*",LEFT(Technologies!B$714,1)="*"),"*","R4")</f>
        <v>*</v>
      </c>
      <c r="C786" s="376" t="str">
        <f>Technologies!C$739</f>
        <v>XIINDPFSP2</v>
      </c>
      <c r="D786" s="376" t="str">
        <f>Technologies!D714</f>
        <v>Delivery of Imported Petrochemical Feedstocks</v>
      </c>
      <c r="E786" s="415" t="str">
        <f>Commodities!C$341</f>
        <v>PFSP2</v>
      </c>
      <c r="F786" s="415" t="str">
        <f>Commodities!C102</f>
        <v>INDPFS</v>
      </c>
      <c r="G786" s="422">
        <v>1</v>
      </c>
      <c r="H786" s="421">
        <f>DelivOIL!$E95*DelivOIL!P$80^5/(Conv!$I$5*Conv!$D$46)/10^6 + OILTrade!$G$6</f>
        <v>0.95452120067991375</v>
      </c>
      <c r="I786" s="421">
        <f>DelivOIL!$E95*DelivOIL!Q$80^5/(Conv!$I$5*Conv!$D$46)/10^6 + OILTrade!$G$6</f>
        <v>0.85440509349969285</v>
      </c>
      <c r="J786" s="421">
        <f>DelivOIL!$E95*DelivOIL!R$80^5/(Conv!$I$5*Conv!$D$46)/10^6 + OILTrade!$G$6</f>
        <v>0.96918629132978806</v>
      </c>
      <c r="K786" s="421">
        <f>DelivOIL!$E95*DelivOIL!S$80^5/(Conv!$I$5*Conv!$D$46)/10^6 + OILTrade!$G$6</f>
        <v>1.1099108465565262</v>
      </c>
      <c r="L786" s="421">
        <f>DelivOIL!$E95*DelivOIL!T$80^5/(Conv!$I$5*Conv!$D$46)/10^6 + OILTrade!$G$6</f>
        <v>1.0154146050079944</v>
      </c>
      <c r="M786" s="421">
        <f>DelivOIL!$E95*DelivOIL!U$80^5/(Conv!$I$5*Conv!$D$46)/10^6 + OILTrade!$G$6</f>
        <v>0.96871826016858953</v>
      </c>
      <c r="N786" s="421">
        <f>DelivOIL!$E95*DelivOIL!V$80^5/(Conv!$I$5*Conv!$D$46)/10^6 + OILTrade!$G$6</f>
        <v>0.96871826016858953</v>
      </c>
      <c r="O786" s="421">
        <f>DelivOIL!$E95*DelivOIL!W$80^5/(Conv!$I$5*Conv!$D$46)/10^6 + OILTrade!$G$6</f>
        <v>0.96871826016858953</v>
      </c>
      <c r="P786" s="421">
        <f>DelivOIL!$E95*DelivOIL!X$80^5/(Conv!$I$5*Conv!$D$46)/10^6 + OILTrade!$G$6</f>
        <v>0.96871826016858953</v>
      </c>
      <c r="Q786" s="421">
        <f>DelivOIL!$E95*DelivOIL!Y$80^5/(Conv!$I$5*Conv!$D$46)/10^6 + OILTrade!$G$6</f>
        <v>0.96871826016858953</v>
      </c>
      <c r="S786" s="395"/>
      <c r="T786" s="395"/>
      <c r="U786" s="395"/>
      <c r="V786" s="395"/>
      <c r="W786" s="395"/>
      <c r="X786" s="395"/>
      <c r="Y786" s="395"/>
      <c r="Z786" s="395"/>
      <c r="AA786" s="395"/>
      <c r="AB786" s="395"/>
      <c r="AC786" s="395"/>
    </row>
    <row r="787" spans="2:29">
      <c r="B787" s="376" t="str">
        <f>IF(OR(LEFT(Commodities!B$332,1)="*",LEFT(Technologies!B$715,1)="*"),"*","R4")</f>
        <v>*</v>
      </c>
      <c r="C787" s="376" t="str">
        <f>Technologies!C$740</f>
        <v>XIRESRFLP2</v>
      </c>
      <c r="D787" s="376" t="str">
        <f>Technologies!D715</f>
        <v>Delivery of Imported Low Sulfur Residual Fuel Oil to Residential Sector</v>
      </c>
      <c r="E787" s="415" t="str">
        <f>Commodities!C$343</f>
        <v>RFLP2</v>
      </c>
      <c r="F787" s="415" t="str">
        <f>Commodities!C103</f>
        <v>RESRFL</v>
      </c>
      <c r="G787" s="422">
        <v>1</v>
      </c>
      <c r="H787" s="421">
        <f>DelivOIL!$E96*DelivOIL!P$80^5/(Conv!$I$5*Conv!$D$46)/10^6 + OILTrade!$G$6</f>
        <v>0.13636017152570212</v>
      </c>
      <c r="I787" s="421">
        <f>DelivOIL!$E96*DelivOIL!Q$80^5/(Conv!$I$5*Conv!$D$46)/10^6 + OILTrade!$G$6</f>
        <v>0.12205787049995626</v>
      </c>
      <c r="J787" s="421">
        <f>DelivOIL!$E96*DelivOIL!R$80^5/(Conv!$I$5*Conv!$D$46)/10^6 + OILTrade!$G$6</f>
        <v>0.13845518447568417</v>
      </c>
      <c r="K787" s="421">
        <f>DelivOIL!$E96*DelivOIL!S$80^5/(Conv!$I$5*Conv!$D$46)/10^6 + OILTrade!$G$6</f>
        <v>0.15855869236521822</v>
      </c>
      <c r="L787" s="421">
        <f>DelivOIL!$E96*DelivOIL!T$80^5/(Conv!$I$5*Conv!$D$46)/10^6 + OILTrade!$G$6</f>
        <v>0.14505922928685655</v>
      </c>
      <c r="M787" s="421">
        <f>DelivOIL!$E96*DelivOIL!U$80^5/(Conv!$I$5*Conv!$D$46)/10^6 + OILTrade!$G$6</f>
        <v>0.13838832288122724</v>
      </c>
      <c r="N787" s="421">
        <f>DelivOIL!$E96*DelivOIL!V$80^5/(Conv!$I$5*Conv!$D$46)/10^6 + OILTrade!$G$6</f>
        <v>0.13838832288122724</v>
      </c>
      <c r="O787" s="421">
        <f>DelivOIL!$E96*DelivOIL!W$80^5/(Conv!$I$5*Conv!$D$46)/10^6 + OILTrade!$G$6</f>
        <v>0.13838832288122724</v>
      </c>
      <c r="P787" s="421">
        <f>DelivOIL!$E96*DelivOIL!X$80^5/(Conv!$I$5*Conv!$D$46)/10^6 + OILTrade!$G$6</f>
        <v>0.13838832288122724</v>
      </c>
      <c r="Q787" s="421">
        <f>DelivOIL!$E96*DelivOIL!Y$80^5/(Conv!$I$5*Conv!$D$46)/10^6 + OILTrade!$G$6</f>
        <v>0.13838832288122724</v>
      </c>
      <c r="S787" s="395"/>
      <c r="T787" s="395"/>
      <c r="U787" s="395"/>
      <c r="V787" s="395"/>
      <c r="W787" s="395"/>
      <c r="X787" s="395"/>
      <c r="Y787" s="395"/>
      <c r="Z787" s="395"/>
      <c r="AA787" s="395"/>
      <c r="AB787" s="395"/>
      <c r="AC787" s="395"/>
    </row>
    <row r="788" spans="2:29">
      <c r="B788" s="376" t="str">
        <f>IF(OR(LEFT(Commodities!B$332,1)="*",LEFT(Technologies!B$716,1)="*"),"*","R4")</f>
        <v>*</v>
      </c>
      <c r="C788" s="376" t="str">
        <f>Technologies!C$741</f>
        <v>XICOMRFLP2</v>
      </c>
      <c r="D788" s="376" t="str">
        <f>Technologies!D716</f>
        <v>Delivery of Imported Low Sulfur Residual Fuel Oil to Commercial Sector</v>
      </c>
      <c r="E788" s="415" t="str">
        <f>Commodities!C$343</f>
        <v>RFLP2</v>
      </c>
      <c r="F788" s="415" t="str">
        <f>Commodities!C104</f>
        <v>COMRFL</v>
      </c>
      <c r="G788" s="422">
        <v>1</v>
      </c>
      <c r="H788" s="421">
        <f>DelivOIL!$E96*DelivOIL!P$80^5/(Conv!$I$5*Conv!$D$46)/10^6 + OILTrade!$G$6</f>
        <v>0.13636017152570212</v>
      </c>
      <c r="I788" s="421">
        <f>DelivOIL!$E96*DelivOIL!Q$80^5/(Conv!$I$5*Conv!$D$46)/10^6 + OILTrade!$G$6</f>
        <v>0.12205787049995626</v>
      </c>
      <c r="J788" s="421">
        <f>DelivOIL!$E96*DelivOIL!R$80^5/(Conv!$I$5*Conv!$D$46)/10^6 + OILTrade!$G$6</f>
        <v>0.13845518447568417</v>
      </c>
      <c r="K788" s="421">
        <f>DelivOIL!$E96*DelivOIL!S$80^5/(Conv!$I$5*Conv!$D$46)/10^6 + OILTrade!$G$6</f>
        <v>0.15855869236521822</v>
      </c>
      <c r="L788" s="421">
        <f>DelivOIL!$E96*DelivOIL!T$80^5/(Conv!$I$5*Conv!$D$46)/10^6 + OILTrade!$G$6</f>
        <v>0.14505922928685655</v>
      </c>
      <c r="M788" s="421">
        <f>DelivOIL!$E96*DelivOIL!U$80^5/(Conv!$I$5*Conv!$D$46)/10^6 + OILTrade!$G$6</f>
        <v>0.13838832288122724</v>
      </c>
      <c r="N788" s="421">
        <f>DelivOIL!$E96*DelivOIL!V$80^5/(Conv!$I$5*Conv!$D$46)/10^6 + OILTrade!$G$6</f>
        <v>0.13838832288122724</v>
      </c>
      <c r="O788" s="421">
        <f>DelivOIL!$E96*DelivOIL!W$80^5/(Conv!$I$5*Conv!$D$46)/10^6 + OILTrade!$G$6</f>
        <v>0.13838832288122724</v>
      </c>
      <c r="P788" s="421">
        <f>DelivOIL!$E96*DelivOIL!X$80^5/(Conv!$I$5*Conv!$D$46)/10^6 + OILTrade!$G$6</f>
        <v>0.13838832288122724</v>
      </c>
      <c r="Q788" s="421">
        <f>DelivOIL!$E96*DelivOIL!Y$80^5/(Conv!$I$5*Conv!$D$46)/10^6 + OILTrade!$G$6</f>
        <v>0.13838832288122724</v>
      </c>
      <c r="S788" s="395"/>
      <c r="T788" s="395"/>
      <c r="U788" s="395"/>
      <c r="V788" s="395"/>
      <c r="W788" s="395"/>
      <c r="X788" s="395"/>
      <c r="Y788" s="395"/>
      <c r="Z788" s="395"/>
      <c r="AA788" s="395"/>
      <c r="AB788" s="395"/>
      <c r="AC788" s="395"/>
    </row>
    <row r="789" spans="2:29">
      <c r="B789" s="376" t="str">
        <f>IF(OR(LEFT(Commodities!B$332,1)="*",LEFT(Technologies!B$717,1)="*"),"*","R4")</f>
        <v>R4</v>
      </c>
      <c r="C789" s="376" t="str">
        <f>Technologies!C$742</f>
        <v>XIINDRFLP2</v>
      </c>
      <c r="D789" s="376" t="str">
        <f>Technologies!D717</f>
        <v>Delivery of Imported Low Sulfur Residual Fuel Oil to Industrial Sector</v>
      </c>
      <c r="E789" s="415" t="str">
        <f>Commodities!C$343</f>
        <v>RFLP2</v>
      </c>
      <c r="F789" s="415" t="str">
        <f>Commodities!C105</f>
        <v>INDRFL</v>
      </c>
      <c r="G789" s="422">
        <v>1</v>
      </c>
      <c r="H789" s="421">
        <f>DelivOIL!$E97*DelivOIL!P$80^5/(Conv!$I$5*Conv!$D$46)/10^6 + OILTrade!$G$6</f>
        <v>0.15681419725455745</v>
      </c>
      <c r="I789" s="421">
        <f>DelivOIL!$E97*DelivOIL!Q$80^5/(Conv!$I$5*Conv!$D$46)/10^6 + OILTrade!$G$6</f>
        <v>0.14036655107494969</v>
      </c>
      <c r="J789" s="421">
        <f>DelivOIL!$E97*DelivOIL!R$80^5/(Conv!$I$5*Conv!$D$46)/10^6 + OILTrade!$G$6</f>
        <v>0.15922346214703678</v>
      </c>
      <c r="K789" s="421">
        <f>DelivOIL!$E97*DelivOIL!S$80^5/(Conv!$I$5*Conv!$D$46)/10^6 + OILTrade!$G$6</f>
        <v>0.18234249622000093</v>
      </c>
      <c r="L789" s="421">
        <f>DelivOIL!$E97*DelivOIL!T$80^5/(Conv!$I$5*Conv!$D$46)/10^6 + OILTrade!$G$6</f>
        <v>0.16681811367988503</v>
      </c>
      <c r="M789" s="421">
        <f>DelivOIL!$E97*DelivOIL!U$80^5/(Conv!$I$5*Conv!$D$46)/10^6 + OILTrade!$G$6</f>
        <v>0.15914657131341131</v>
      </c>
      <c r="N789" s="421">
        <f>DelivOIL!$E97*DelivOIL!V$80^5/(Conv!$I$5*Conv!$D$46)/10^6 + OILTrade!$G$6</f>
        <v>0.15914657131341131</v>
      </c>
      <c r="O789" s="421">
        <f>DelivOIL!$E97*DelivOIL!W$80^5/(Conv!$I$5*Conv!$D$46)/10^6 + OILTrade!$G$6</f>
        <v>0.15914657131341131</v>
      </c>
      <c r="P789" s="421">
        <f>DelivOIL!$E97*DelivOIL!X$80^5/(Conv!$I$5*Conv!$D$46)/10^6 + OILTrade!$G$6</f>
        <v>0.15914657131341131</v>
      </c>
      <c r="Q789" s="421">
        <f>DelivOIL!$E97*DelivOIL!Y$80^5/(Conv!$I$5*Conv!$D$46)/10^6 + OILTrade!$G$6</f>
        <v>0.15914657131341131</v>
      </c>
      <c r="S789" s="395"/>
      <c r="T789" s="395"/>
      <c r="U789" s="395"/>
      <c r="V789" s="395"/>
      <c r="W789" s="395"/>
      <c r="X789" s="395"/>
      <c r="Y789" s="395"/>
      <c r="Z789" s="395"/>
      <c r="AA789" s="395"/>
      <c r="AB789" s="395"/>
      <c r="AC789" s="395"/>
    </row>
    <row r="790" spans="2:29">
      <c r="B790" s="376" t="str">
        <f>IF(OR(LEFT(Commodities!B$332,1)="*",LEFT(Technologies!B$718,1)="*"),"*","R4")</f>
        <v>*</v>
      </c>
      <c r="C790" s="376" t="str">
        <f>Technologies!C$743</f>
        <v>XIELCRFLP2</v>
      </c>
      <c r="D790" s="376" t="str">
        <f>Technologies!D718</f>
        <v>Delivery of Imported Low Sulfur Residual Fuel Oil to Electricity Sector</v>
      </c>
      <c r="E790" s="415" t="str">
        <f>Commodities!C$343</f>
        <v>RFLP2</v>
      </c>
      <c r="F790" s="415" t="str">
        <f>Commodities!C106</f>
        <v>ELCRFL</v>
      </c>
      <c r="G790" s="422">
        <v>1</v>
      </c>
      <c r="H790" s="421">
        <f>DelivOIL!$E98*DelivOIL!P$80^5/(Conv!$I$5*Conv!$D$46)/10^6 + OILTrade!$G$6</f>
        <v>0</v>
      </c>
      <c r="I790" s="421">
        <f>DelivOIL!$E98*DelivOIL!Q$80^5/(Conv!$I$5*Conv!$D$46)/10^6 + OILTrade!$G$6</f>
        <v>0</v>
      </c>
      <c r="J790" s="421">
        <f>DelivOIL!$E98*DelivOIL!R$80^5/(Conv!$I$5*Conv!$D$46)/10^6 + OILTrade!$G$6</f>
        <v>0</v>
      </c>
      <c r="K790" s="421">
        <f>DelivOIL!$E98*DelivOIL!S$80^5/(Conv!$I$5*Conv!$D$46)/10^6 + OILTrade!$G$6</f>
        <v>0</v>
      </c>
      <c r="L790" s="421">
        <f>DelivOIL!$E98*DelivOIL!T$80^5/(Conv!$I$5*Conv!$D$46)/10^6 + OILTrade!$G$6</f>
        <v>0</v>
      </c>
      <c r="M790" s="421">
        <f>DelivOIL!$E98*DelivOIL!U$80^5/(Conv!$I$5*Conv!$D$46)/10^6 + OILTrade!$G$6</f>
        <v>0</v>
      </c>
      <c r="N790" s="421">
        <f>DelivOIL!$E98*DelivOIL!V$80^5/(Conv!$I$5*Conv!$D$46)/10^6 + OILTrade!$G$6</f>
        <v>0</v>
      </c>
      <c r="O790" s="421">
        <f>DelivOIL!$E98*DelivOIL!W$80^5/(Conv!$I$5*Conv!$D$46)/10^6 + OILTrade!$G$6</f>
        <v>0</v>
      </c>
      <c r="P790" s="421">
        <f>DelivOIL!$E98*DelivOIL!X$80^5/(Conv!$I$5*Conv!$D$46)/10^6 + OILTrade!$G$6</f>
        <v>0</v>
      </c>
      <c r="Q790" s="421">
        <f>DelivOIL!$E98*DelivOIL!Y$80^5/(Conv!$I$5*Conv!$D$46)/10^6 + OILTrade!$G$6</f>
        <v>0</v>
      </c>
      <c r="S790" s="395"/>
      <c r="T790" s="395"/>
      <c r="U790" s="395"/>
      <c r="V790" s="395"/>
      <c r="W790" s="395"/>
      <c r="X790" s="395"/>
      <c r="Y790" s="395"/>
      <c r="Z790" s="395"/>
      <c r="AA790" s="395"/>
      <c r="AB790" s="395"/>
      <c r="AC790" s="395"/>
    </row>
    <row r="791" spans="2:29">
      <c r="B791" s="376" t="str">
        <f>IF(OR(LEFT(Commodities!B$331,1)="*",LEFT(Technologies!B$719,1)="*"),"*","R4")</f>
        <v>*</v>
      </c>
      <c r="C791" s="376" t="str">
        <f>Technologies!C$744</f>
        <v>XITRNRFHP2</v>
      </c>
      <c r="D791" s="376" t="str">
        <f>Technologies!D719</f>
        <v>Delivery of Imported High Sulfur Residual Fuel Oil to Transportation Sector</v>
      </c>
      <c r="E791" s="415" t="str">
        <f>Commodities!C$342</f>
        <v>RFHP2</v>
      </c>
      <c r="F791" s="415" t="str">
        <f>Commodities!C107</f>
        <v>TRNRFH</v>
      </c>
      <c r="G791" s="422">
        <v>1</v>
      </c>
      <c r="H791" s="421">
        <f>DelivOIL!$E99*DelivOIL!P$80^5/(Conv!$I$5*Conv!$D$46)/10^6 + OILTrade!$G$6</f>
        <v>6.8180085762851068E-3</v>
      </c>
      <c r="I791" s="421">
        <f>DelivOIL!$E99*DelivOIL!Q$80^5/(Conv!$I$5*Conv!$D$46)/10^6 + OILTrade!$G$6</f>
        <v>6.1028935249978133E-3</v>
      </c>
      <c r="J791" s="421">
        <f>DelivOIL!$E99*DelivOIL!R$80^5/(Conv!$I$5*Conv!$D$46)/10^6 + OILTrade!$G$6</f>
        <v>6.9227592237842079E-3</v>
      </c>
      <c r="K791" s="421">
        <f>DelivOIL!$E99*DelivOIL!S$80^5/(Conv!$I$5*Conv!$D$46)/10^6 + OILTrade!$G$6</f>
        <v>7.9279346182609105E-3</v>
      </c>
      <c r="L791" s="421">
        <f>DelivOIL!$E99*DelivOIL!T$80^5/(Conv!$I$5*Conv!$D$46)/10^6 + OILTrade!$G$6</f>
        <v>7.2529614643428277E-3</v>
      </c>
      <c r="M791" s="421">
        <f>DelivOIL!$E99*DelivOIL!U$80^5/(Conv!$I$5*Conv!$D$46)/10^6 + OILTrade!$G$6</f>
        <v>6.9194161440613621E-3</v>
      </c>
      <c r="N791" s="421">
        <f>DelivOIL!$E99*DelivOIL!V$80^5/(Conv!$I$5*Conv!$D$46)/10^6 + OILTrade!$G$6</f>
        <v>6.9194161440613621E-3</v>
      </c>
      <c r="O791" s="421">
        <f>DelivOIL!$E99*DelivOIL!W$80^5/(Conv!$I$5*Conv!$D$46)/10^6 + OILTrade!$G$6</f>
        <v>6.9194161440613621E-3</v>
      </c>
      <c r="P791" s="421">
        <f>DelivOIL!$E99*DelivOIL!X$80^5/(Conv!$I$5*Conv!$D$46)/10^6 + OILTrade!$G$6</f>
        <v>6.9194161440613621E-3</v>
      </c>
      <c r="Q791" s="421">
        <f>DelivOIL!$E99*DelivOIL!Y$80^5/(Conv!$I$5*Conv!$D$46)/10^6 + OILTrade!$G$6</f>
        <v>6.9194161440613621E-3</v>
      </c>
      <c r="S791" s="395"/>
      <c r="T791" s="395"/>
      <c r="U791" s="395"/>
      <c r="V791" s="395"/>
      <c r="W791" s="395"/>
      <c r="X791" s="395"/>
      <c r="Y791" s="395"/>
      <c r="Z791" s="395"/>
      <c r="AA791" s="395"/>
      <c r="AB791" s="395"/>
      <c r="AC791" s="395"/>
    </row>
    <row r="792" spans="2:29">
      <c r="B792" s="376" t="str">
        <f>IF(OR(LEFT(Commodities!B$331,1)="*",LEFT(Technologies!B$720,1)="*"),"*","R4")</f>
        <v>*</v>
      </c>
      <c r="C792" s="376" t="str">
        <f>Technologies!C$745</f>
        <v>XIELCRFHP2</v>
      </c>
      <c r="D792" s="376" t="str">
        <f>Technologies!D720</f>
        <v>Delivery of Imported High Sulfur Residual Fuel Oil to Electricity Sector</v>
      </c>
      <c r="E792" s="415" t="str">
        <f>Commodities!C$342</f>
        <v>RFHP2</v>
      </c>
      <c r="F792" s="415" t="str">
        <f>Commodities!C108</f>
        <v>ELCRFH</v>
      </c>
      <c r="G792" s="422">
        <v>1</v>
      </c>
      <c r="H792" s="421">
        <f>DelivOIL!$E100*DelivOIL!P$80^5/(Conv!$I$5*Conv!$D$46)/10^6 + OILTrade!$G$6</f>
        <v>0</v>
      </c>
      <c r="I792" s="421">
        <f>DelivOIL!$E100*DelivOIL!Q$80^5/(Conv!$I$5*Conv!$D$46)/10^6 + OILTrade!$G$6</f>
        <v>0</v>
      </c>
      <c r="J792" s="421">
        <f>DelivOIL!$E100*DelivOIL!R$80^5/(Conv!$I$5*Conv!$D$46)/10^6 + OILTrade!$G$6</f>
        <v>0</v>
      </c>
      <c r="K792" s="421">
        <f>DelivOIL!$E100*DelivOIL!S$80^5/(Conv!$I$5*Conv!$D$46)/10^6 + OILTrade!$G$6</f>
        <v>0</v>
      </c>
      <c r="L792" s="421">
        <f>DelivOIL!$E100*DelivOIL!T$80^5/(Conv!$I$5*Conv!$D$46)/10^6 + OILTrade!$G$6</f>
        <v>0</v>
      </c>
      <c r="M792" s="421">
        <f>DelivOIL!$E100*DelivOIL!U$80^5/(Conv!$I$5*Conv!$D$46)/10^6 + OILTrade!$G$6</f>
        <v>0</v>
      </c>
      <c r="N792" s="421">
        <f>DelivOIL!$E100*DelivOIL!V$80^5/(Conv!$I$5*Conv!$D$46)/10^6 + OILTrade!$G$6</f>
        <v>0</v>
      </c>
      <c r="O792" s="421">
        <f>DelivOIL!$E100*DelivOIL!W$80^5/(Conv!$I$5*Conv!$D$46)/10^6 + OILTrade!$G$6</f>
        <v>0</v>
      </c>
      <c r="P792" s="421">
        <f>DelivOIL!$E100*DelivOIL!X$80^5/(Conv!$I$5*Conv!$D$46)/10^6 + OILTrade!$G$6</f>
        <v>0</v>
      </c>
      <c r="Q792" s="421">
        <f>DelivOIL!$E100*DelivOIL!Y$80^5/(Conv!$I$5*Conv!$D$46)/10^6 + OILTrade!$G$6</f>
        <v>0</v>
      </c>
      <c r="S792" s="395"/>
      <c r="T792" s="395"/>
      <c r="U792" s="395"/>
      <c r="V792" s="395"/>
      <c r="W792" s="395"/>
      <c r="X792" s="395"/>
      <c r="Y792" s="395"/>
      <c r="Z792" s="395"/>
      <c r="AA792" s="395"/>
      <c r="AB792" s="395"/>
      <c r="AC792" s="395"/>
    </row>
    <row r="793" spans="2:29">
      <c r="B793" s="378" t="s">
        <v>1088</v>
      </c>
      <c r="C793" s="378"/>
      <c r="D793" s="378"/>
      <c r="E793" s="414"/>
      <c r="F793" s="414"/>
      <c r="G793" s="418"/>
      <c r="H793" s="392"/>
      <c r="I793" s="392"/>
      <c r="J793" s="392"/>
      <c r="K793" s="392"/>
      <c r="L793" s="392"/>
      <c r="M793" s="392"/>
      <c r="N793" s="392"/>
      <c r="O793" s="392"/>
      <c r="P793" s="392"/>
      <c r="Q793" s="392"/>
    </row>
    <row r="794" spans="2:29">
      <c r="B794" s="376" t="str">
        <f>IF(LEFT(Technologies!B$702,1)="*","*","R5")</f>
        <v>R5</v>
      </c>
      <c r="C794" s="376" t="str">
        <f>Technologies!C$722</f>
        <v>XITRGSLCP2</v>
      </c>
      <c r="D794" s="376" t="str">
        <f>Technologies!D702</f>
        <v>Delivery of Imported Conventional Gasoline</v>
      </c>
      <c r="E794" s="415" t="str">
        <f>Commodities!C$336</f>
        <v>GSCP2</v>
      </c>
      <c r="F794" s="415" t="str">
        <f>Commodities!C85</f>
        <v>TRGSLC</v>
      </c>
      <c r="G794" s="422">
        <v>1</v>
      </c>
      <c r="H794" s="421">
        <f>DelivOIL!$F77*DelivOIL!P$81^5/(Conv!$I$5*Conv!$D$46)/10^6 + OILTrade!$H$5</f>
        <v>2.9044716534974531</v>
      </c>
      <c r="I794" s="421">
        <f>DelivOIL!$F77*DelivOIL!Q$81^5/(Conv!$I$5*Conv!$D$46)/10^6 + OILTrade!$H$5</f>
        <v>2.8891232893873218</v>
      </c>
      <c r="J794" s="421">
        <f>DelivOIL!$F77*DelivOIL!R$81^5/(Conv!$I$5*Conv!$D$46)/10^6 + OILTrade!$H$5</f>
        <v>3.0393833889655721</v>
      </c>
      <c r="K794" s="421">
        <f>DelivOIL!$F77*DelivOIL!S$81^5/(Conv!$I$5*Conv!$D$46)/10^6 + OILTrade!$H$5</f>
        <v>3.6613025090101332</v>
      </c>
      <c r="L794" s="421">
        <f>DelivOIL!$F77*DelivOIL!T$81^5/(Conv!$I$5*Conv!$D$46)/10^6 + OILTrade!$H$5</f>
        <v>3.3576863147298095</v>
      </c>
      <c r="M794" s="421">
        <f>DelivOIL!$F77*DelivOIL!U$81^5/(Conv!$I$5*Conv!$D$46)/10^6 + OILTrade!$H$5</f>
        <v>2.9755698887715369</v>
      </c>
      <c r="N794" s="421">
        <f>DelivOIL!$F77*DelivOIL!V$81^5/(Conv!$I$5*Conv!$D$46)/10^6 + OILTrade!$H$5</f>
        <v>2.9755698887715369</v>
      </c>
      <c r="O794" s="421">
        <f>DelivOIL!$F77*DelivOIL!W$81^5/(Conv!$I$5*Conv!$D$46)/10^6 + OILTrade!$H$5</f>
        <v>2.9755698887715369</v>
      </c>
      <c r="P794" s="421">
        <f>DelivOIL!$F77*DelivOIL!X$81^5/(Conv!$I$5*Conv!$D$46)/10^6 + OILTrade!$H$5</f>
        <v>2.9755698887715369</v>
      </c>
      <c r="Q794" s="421">
        <f>DelivOIL!$F77*DelivOIL!Y$81^5/(Conv!$I$5*Conv!$D$46)/10^6 + OILTrade!$H$5</f>
        <v>2.9755698887715369</v>
      </c>
      <c r="S794" s="395"/>
      <c r="T794" s="395"/>
      <c r="U794" s="395"/>
      <c r="V794" s="395"/>
      <c r="W794" s="395"/>
      <c r="X794" s="395"/>
      <c r="Y794" s="395"/>
      <c r="Z794" s="395"/>
      <c r="AA794" s="395"/>
      <c r="AB794" s="395"/>
      <c r="AC794" s="395"/>
    </row>
    <row r="795" spans="2:29">
      <c r="B795" s="376" t="str">
        <f>IF(LEFT(Technologies!B$703,1)="*","*","R5")</f>
        <v>R5</v>
      </c>
      <c r="C795" s="376" t="str">
        <f>Technologies!C$723</f>
        <v>XITRGSLRP2</v>
      </c>
      <c r="D795" s="376" t="str">
        <f>Technologies!D703</f>
        <v>Delivery of Imported Reformulated Gasoline</v>
      </c>
      <c r="E795" s="415" t="str">
        <f>Commodities!C$337</f>
        <v>GSRP2</v>
      </c>
      <c r="F795" s="415" t="str">
        <f>Commodities!C86</f>
        <v>TRGSLR</v>
      </c>
      <c r="G795" s="422">
        <v>1</v>
      </c>
      <c r="H795" s="421">
        <f>DelivOIL!$F78*DelivOIL!P$81^5/(Conv!$I$5*Conv!$D$46)/10^6 + OILTrade!$H$5</f>
        <v>2.8567455934634571</v>
      </c>
      <c r="I795" s="421">
        <f>DelivOIL!$F78*DelivOIL!Q$81^5/(Conv!$I$5*Conv!$D$46)/10^6 + OILTrade!$H$5</f>
        <v>2.8416494325194543</v>
      </c>
      <c r="J795" s="421">
        <f>DelivOIL!$F78*DelivOIL!R$81^5/(Conv!$I$5*Conv!$D$46)/10^6 + OILTrade!$H$5</f>
        <v>2.9894404694285792</v>
      </c>
      <c r="K795" s="421">
        <f>DelivOIL!$F78*DelivOIL!S$81^5/(Conv!$I$5*Conv!$D$46)/10^6 + OILTrade!$H$5</f>
        <v>3.6011402612094967</v>
      </c>
      <c r="L795" s="421">
        <f>DelivOIL!$F78*DelivOIL!T$81^5/(Conv!$I$5*Conv!$D$46)/10^6 + OILTrade!$H$5</f>
        <v>3.3025130654267372</v>
      </c>
      <c r="M795" s="421">
        <f>DelivOIL!$F78*DelivOIL!U$81^5/(Conv!$I$5*Conv!$D$46)/10^6 + OILTrade!$H$5</f>
        <v>2.9266755478762296</v>
      </c>
      <c r="N795" s="421">
        <f>DelivOIL!$F78*DelivOIL!V$81^5/(Conv!$I$5*Conv!$D$46)/10^6 + OILTrade!$H$5</f>
        <v>2.9266755478762296</v>
      </c>
      <c r="O795" s="421">
        <f>DelivOIL!$F78*DelivOIL!W$81^5/(Conv!$I$5*Conv!$D$46)/10^6 + OILTrade!$H$5</f>
        <v>2.9266755478762296</v>
      </c>
      <c r="P795" s="421">
        <f>DelivOIL!$F78*DelivOIL!X$81^5/(Conv!$I$5*Conv!$D$46)/10^6 + OILTrade!$H$5</f>
        <v>2.9266755478762296</v>
      </c>
      <c r="Q795" s="421">
        <f>DelivOIL!$F78*DelivOIL!Y$81^5/(Conv!$I$5*Conv!$D$46)/10^6 + OILTrade!$H$5</f>
        <v>2.9266755478762296</v>
      </c>
      <c r="S795" s="395"/>
      <c r="T795" s="395"/>
      <c r="U795" s="395"/>
      <c r="V795" s="395"/>
      <c r="W795" s="395"/>
      <c r="X795" s="395"/>
      <c r="Y795" s="395"/>
      <c r="Z795" s="395"/>
      <c r="AA795" s="395"/>
      <c r="AB795" s="395"/>
      <c r="AC795" s="395"/>
    </row>
    <row r="796" spans="2:29">
      <c r="B796" s="376" t="str">
        <f>IF(OR(LEFT(Commodities!B$65,1)="*",LEFT(Technologies!B$233,1)="*"),"*","R5")</f>
        <v>R5</v>
      </c>
      <c r="C796" s="376" t="str">
        <f>Technologies!C$724</f>
        <v>XIRESDSLP2</v>
      </c>
      <c r="D796" s="376" t="str">
        <f>Technologies!D233</f>
        <v>Delivery of Imported Distillate-Heating Oil No. 2 to the Residential Sector</v>
      </c>
      <c r="E796" s="415" t="str">
        <f>Commodities!C$67</f>
        <v>DSHP2</v>
      </c>
      <c r="F796" s="415" t="str">
        <f>Commodities!C87</f>
        <v>RESDSL</v>
      </c>
      <c r="G796" s="422">
        <v>1</v>
      </c>
      <c r="H796" s="421">
        <f>DelivOIL!$F80*DelivOIL!P$81^5/(Conv!$I$5*Conv!$D$46)/10^6 + OILTrade!$H$5</f>
        <v>3.3340061938034138</v>
      </c>
      <c r="I796" s="421">
        <f>DelivOIL!$F80*DelivOIL!Q$81^5/(Conv!$I$5*Conv!$D$46)/10^6 + OILTrade!$H$5</f>
        <v>3.3163880011981219</v>
      </c>
      <c r="J796" s="421">
        <f>DelivOIL!$F80*DelivOIL!R$81^5/(Conv!$I$5*Conv!$D$46)/10^6 + OILTrade!$H$5</f>
        <v>3.4888696647985089</v>
      </c>
      <c r="K796" s="421">
        <f>DelivOIL!$F80*DelivOIL!S$81^5/(Conv!$I$5*Conv!$D$46)/10^6 + OILTrade!$H$5</f>
        <v>4.2027627392158564</v>
      </c>
      <c r="L796" s="421">
        <f>DelivOIL!$F80*DelivOIL!T$81^5/(Conv!$I$5*Conv!$D$46)/10^6 + OILTrade!$H$5</f>
        <v>3.8542455584574564</v>
      </c>
      <c r="M796" s="421">
        <f>DelivOIL!$F80*DelivOIL!U$81^5/(Conv!$I$5*Conv!$D$46)/10^6 + OILTrade!$H$5</f>
        <v>3.4156189568292987</v>
      </c>
      <c r="N796" s="421">
        <f>DelivOIL!$F80*DelivOIL!V$81^5/(Conv!$I$5*Conv!$D$46)/10^6 + OILTrade!$H$5</f>
        <v>3.4156189568292987</v>
      </c>
      <c r="O796" s="421">
        <f>DelivOIL!$F80*DelivOIL!W$81^5/(Conv!$I$5*Conv!$D$46)/10^6 + OILTrade!$H$5</f>
        <v>3.4156189568292987</v>
      </c>
      <c r="P796" s="421">
        <f>DelivOIL!$F80*DelivOIL!X$81^5/(Conv!$I$5*Conv!$D$46)/10^6 + OILTrade!$H$5</f>
        <v>3.4156189568292987</v>
      </c>
      <c r="Q796" s="421">
        <f>DelivOIL!$F80*DelivOIL!Y$81^5/(Conv!$I$5*Conv!$D$46)/10^6 + OILTrade!$H$5</f>
        <v>3.4156189568292987</v>
      </c>
      <c r="S796" s="395"/>
      <c r="T796" s="395"/>
      <c r="U796" s="395"/>
      <c r="V796" s="395"/>
      <c r="W796" s="395"/>
      <c r="X796" s="395"/>
      <c r="Y796" s="395"/>
      <c r="Z796" s="395"/>
      <c r="AA796" s="395"/>
      <c r="AB796" s="395"/>
      <c r="AC796" s="395"/>
    </row>
    <row r="797" spans="2:29">
      <c r="B797" s="376" t="str">
        <f>IF(OR(LEFT(Commodities!B$65,1)="*",LEFT(Technologies!B$234,1)="*"),"*","R5")</f>
        <v>R5</v>
      </c>
      <c r="C797" s="376" t="str">
        <f>Technologies!C$725</f>
        <v>XICOMDSLP2</v>
      </c>
      <c r="D797" s="376" t="str">
        <f>Technologies!D234</f>
        <v>Delivery of Imported Distillate-Heating Oil No. 2 to the Commercial Sector</v>
      </c>
      <c r="E797" s="415" t="str">
        <f>Commodities!C$67</f>
        <v>DSHP2</v>
      </c>
      <c r="F797" s="415" t="str">
        <f>Commodities!C88</f>
        <v>COMDSL</v>
      </c>
      <c r="G797" s="422">
        <v>1</v>
      </c>
      <c r="H797" s="421">
        <f>DelivOIL!$F81*DelivOIL!P$81^5/(Conv!$I$5*Conv!$D$46)/10^6 + OILTrade!$H$5</f>
        <v>1.0158832778664801</v>
      </c>
      <c r="I797" s="421">
        <f>DelivOIL!$F81*DelivOIL!Q$81^5/(Conv!$I$5*Conv!$D$46)/10^6 + OILTrade!$H$5</f>
        <v>1.0105149533303073</v>
      </c>
      <c r="J797" s="421">
        <f>DelivOIL!$F81*DelivOIL!R$81^5/(Conv!$I$5*Conv!$D$46)/10^6 + OILTrade!$H$5</f>
        <v>1.0630707158588504</v>
      </c>
      <c r="K797" s="421">
        <f>DelivOIL!$F81*DelivOIL!S$81^5/(Conv!$I$5*Conv!$D$46)/10^6 + OILTrade!$H$5</f>
        <v>1.2805964174706803</v>
      </c>
      <c r="L797" s="421">
        <f>DelivOIL!$F81*DelivOIL!T$81^5/(Conv!$I$5*Conv!$D$46)/10^6 + OILTrade!$H$5</f>
        <v>1.1744020208796753</v>
      </c>
      <c r="M797" s="421">
        <f>DelivOIL!$F81*DelivOIL!U$81^5/(Conv!$I$5*Conv!$D$46)/10^6 + OILTrade!$H$5</f>
        <v>1.0407509704858191</v>
      </c>
      <c r="N797" s="421">
        <f>DelivOIL!$F81*DelivOIL!V$81^5/(Conv!$I$5*Conv!$D$46)/10^6 + OILTrade!$H$5</f>
        <v>1.0407509704858191</v>
      </c>
      <c r="O797" s="421">
        <f>DelivOIL!$F81*DelivOIL!W$81^5/(Conv!$I$5*Conv!$D$46)/10^6 + OILTrade!$H$5</f>
        <v>1.0407509704858191</v>
      </c>
      <c r="P797" s="421">
        <f>DelivOIL!$F81*DelivOIL!X$81^5/(Conv!$I$5*Conv!$D$46)/10^6 + OILTrade!$H$5</f>
        <v>1.0407509704858191</v>
      </c>
      <c r="Q797" s="421">
        <f>DelivOIL!$F81*DelivOIL!Y$81^5/(Conv!$I$5*Conv!$D$46)/10^6 + OILTrade!$H$5</f>
        <v>1.0407509704858191</v>
      </c>
      <c r="S797" s="395"/>
      <c r="T797" s="395"/>
      <c r="U797" s="395"/>
      <c r="V797" s="395"/>
      <c r="W797" s="395"/>
      <c r="X797" s="395"/>
      <c r="Y797" s="395"/>
      <c r="Z797" s="395"/>
      <c r="AA797" s="395"/>
      <c r="AB797" s="395"/>
      <c r="AC797" s="395"/>
    </row>
    <row r="798" spans="2:29">
      <c r="B798" s="376" t="str">
        <f>IF(OR(LEFT(Commodities!B$65,1)="*",LEFT(Technologies!B$235,1)="*"),"*","R5")</f>
        <v>*</v>
      </c>
      <c r="C798" s="376" t="str">
        <f>Technologies!C$726</f>
        <v>XIINDDSLP2</v>
      </c>
      <c r="D798" s="376" t="str">
        <f>Technologies!D235</f>
        <v>Delivery of Imported Distillate-Heating Oil No. 2 to the Indistrial Sector</v>
      </c>
      <c r="E798" s="415" t="str">
        <f>Commodities!C$67</f>
        <v>DSHP2</v>
      </c>
      <c r="F798" s="415" t="str">
        <f>Commodities!C89</f>
        <v>INDDSL</v>
      </c>
      <c r="G798" s="422">
        <v>1</v>
      </c>
      <c r="H798" s="421">
        <f>DelivOIL!$F82*DelivOIL!P$81^5/(Conv!$I$5*Conv!$D$46)/10^6 + OILTrade!$H$5</f>
        <v>1.2272415437313182</v>
      </c>
      <c r="I798" s="421">
        <f>DelivOIL!$F82*DelivOIL!Q$81^5/(Conv!$I$5*Conv!$D$46)/10^6 + OILTrade!$H$5</f>
        <v>1.2207563194594317</v>
      </c>
      <c r="J798" s="421">
        <f>DelivOIL!$F82*DelivOIL!R$81^5/(Conv!$I$5*Conv!$D$46)/10^6 + OILTrade!$H$5</f>
        <v>1.2842465023798193</v>
      </c>
      <c r="K798" s="421">
        <f>DelivOIL!$F82*DelivOIL!S$81^5/(Conv!$I$5*Conv!$D$46)/10^6 + OILTrade!$H$5</f>
        <v>1.5470292291592116</v>
      </c>
      <c r="L798" s="421">
        <f>DelivOIL!$F82*DelivOIL!T$81^5/(Conv!$I$5*Conv!$D$46)/10^6 + OILTrade!$H$5</f>
        <v>1.4187406963647082</v>
      </c>
      <c r="M798" s="421">
        <f>DelivOIL!$F82*DelivOIL!U$81^5/(Conv!$I$5*Conv!$D$46)/10^6 + OILTrade!$H$5</f>
        <v>1.2572830515936073</v>
      </c>
      <c r="N798" s="421">
        <f>DelivOIL!$F82*DelivOIL!V$81^5/(Conv!$I$5*Conv!$D$46)/10^6 + OILTrade!$H$5</f>
        <v>1.2572830515936073</v>
      </c>
      <c r="O798" s="421">
        <f>DelivOIL!$F82*DelivOIL!W$81^5/(Conv!$I$5*Conv!$D$46)/10^6 + OILTrade!$H$5</f>
        <v>1.2572830515936073</v>
      </c>
      <c r="P798" s="421">
        <f>DelivOIL!$F82*DelivOIL!X$81^5/(Conv!$I$5*Conv!$D$46)/10^6 + OILTrade!$H$5</f>
        <v>1.2572830515936073</v>
      </c>
      <c r="Q798" s="421">
        <f>DelivOIL!$F82*DelivOIL!Y$81^5/(Conv!$I$5*Conv!$D$46)/10^6 + OILTrade!$H$5</f>
        <v>1.2572830515936073</v>
      </c>
      <c r="S798" s="395"/>
      <c r="T798" s="395"/>
      <c r="U798" s="395"/>
      <c r="V798" s="395"/>
      <c r="W798" s="395"/>
      <c r="X798" s="395"/>
      <c r="Y798" s="395"/>
      <c r="Z798" s="395"/>
      <c r="AA798" s="395"/>
      <c r="AB798" s="395"/>
      <c r="AC798" s="395"/>
    </row>
    <row r="799" spans="2:29">
      <c r="B799" s="376" t="str">
        <f>IF(OR(LEFT(Commodities!B$65,1)="*",LEFT(Technologies!B$236,1)="*"),"*","R5")</f>
        <v>R5</v>
      </c>
      <c r="C799" s="376" t="str">
        <f>Technologies!C$727</f>
        <v>XIELCDSLP2</v>
      </c>
      <c r="D799" s="376" t="str">
        <f>Technologies!D236</f>
        <v>Delivery of Imported Distillate-Heating Oil No. 2 to the Electricity Sector</v>
      </c>
      <c r="E799" s="415" t="str">
        <f>Commodities!C$67</f>
        <v>DSHP2</v>
      </c>
      <c r="F799" s="415" t="str">
        <f>Commodities!C90</f>
        <v>ELCDSL</v>
      </c>
      <c r="G799" s="422">
        <v>1</v>
      </c>
      <c r="H799" s="421">
        <f>DelivOIL!$F83*DelivOIL!P$81^5/(Conv!$I$5*Conv!$D$46)/10^6 + OILTrade!$H$5</f>
        <v>0.42953454030596167</v>
      </c>
      <c r="I799" s="421">
        <f>DelivOIL!$F83*DelivOIL!Q$81^5/(Conv!$I$5*Conv!$D$46)/10^6 + OILTrade!$H$5</f>
        <v>0.42726471181080139</v>
      </c>
      <c r="J799" s="421">
        <f>DelivOIL!$F83*DelivOIL!R$81^5/(Conv!$I$5*Conv!$D$46)/10^6 + OILTrade!$H$5</f>
        <v>0.4494862758329371</v>
      </c>
      <c r="K799" s="421">
        <f>DelivOIL!$F83*DelivOIL!S$81^5/(Conv!$I$5*Conv!$D$46)/10^6 + OILTrade!$H$5</f>
        <v>0.54146023020572431</v>
      </c>
      <c r="L799" s="421">
        <f>DelivOIL!$F83*DelivOIL!T$81^5/(Conv!$I$5*Conv!$D$46)/10^6 + OILTrade!$H$5</f>
        <v>0.4965592437276482</v>
      </c>
      <c r="M799" s="421">
        <f>DelivOIL!$F83*DelivOIL!U$81^5/(Conv!$I$5*Conv!$D$46)/10^6 + OILTrade!$H$5</f>
        <v>0.44004906805776278</v>
      </c>
      <c r="N799" s="421">
        <f>DelivOIL!$F83*DelivOIL!V$81^5/(Conv!$I$5*Conv!$D$46)/10^6 + OILTrade!$H$5</f>
        <v>0.44004906805776278</v>
      </c>
      <c r="O799" s="421">
        <f>DelivOIL!$F83*DelivOIL!W$81^5/(Conv!$I$5*Conv!$D$46)/10^6 + OILTrade!$H$5</f>
        <v>0.44004906805776278</v>
      </c>
      <c r="P799" s="421">
        <f>DelivOIL!$F83*DelivOIL!X$81^5/(Conv!$I$5*Conv!$D$46)/10^6 + OILTrade!$H$5</f>
        <v>0.44004906805776278</v>
      </c>
      <c r="Q799" s="421">
        <f>DelivOIL!$F83*DelivOIL!Y$81^5/(Conv!$I$5*Conv!$D$46)/10^6 + OILTrade!$H$5</f>
        <v>0.44004906805776278</v>
      </c>
      <c r="S799" s="395"/>
      <c r="T799" s="395"/>
      <c r="U799" s="395"/>
      <c r="V799" s="395"/>
      <c r="W799" s="395"/>
      <c r="X799" s="395"/>
      <c r="Y799" s="395"/>
      <c r="Z799" s="395"/>
      <c r="AA799" s="395"/>
      <c r="AB799" s="395"/>
      <c r="AC799" s="395"/>
    </row>
    <row r="800" spans="2:29">
      <c r="B800" s="376" t="str">
        <f>IF(OR(LEFT(Commodities!B$323,1)="*",LEFT(Technologies!B$704,1)="*"),"*","R5")</f>
        <v>R5</v>
      </c>
      <c r="C800" s="376" t="str">
        <f>Technologies!C$728</f>
        <v>XITRDSLLP2</v>
      </c>
      <c r="D800" s="376" t="str">
        <f>Technologies!D704</f>
        <v>Delivery of Imported Distillate-Low Sulfur Highway Diesel (500 ppm)</v>
      </c>
      <c r="E800" s="415" t="str">
        <f>Commodities!C$334</f>
        <v>DSLP2</v>
      </c>
      <c r="F800" s="415" t="str">
        <f>Commodities!C91</f>
        <v>TRDSLL</v>
      </c>
      <c r="G800" s="422">
        <v>1</v>
      </c>
      <c r="H800" s="421">
        <f>DelivOIL!$F84*DelivOIL!P$81^5/(Conv!$I$5*Conv!$D$46)/10^6 + OILTrade!$H$5</f>
        <v>3.3953682709899806</v>
      </c>
      <c r="I800" s="421">
        <f>DelivOIL!$F84*DelivOIL!Q$81^5/(Conv!$I$5*Conv!$D$46)/10^6 + OILTrade!$H$5</f>
        <v>3.3774258171710945</v>
      </c>
      <c r="J800" s="421">
        <f>DelivOIL!$F84*DelivOIL!R$81^5/(Conv!$I$5*Conv!$D$46)/10^6 + OILTrade!$H$5</f>
        <v>3.553081989917501</v>
      </c>
      <c r="K800" s="421">
        <f>DelivOIL!$F84*DelivOIL!S$81^5/(Conv!$I$5*Conv!$D$46)/10^6 + OILTrade!$H$5</f>
        <v>4.2801142006738182</v>
      </c>
      <c r="L800" s="421">
        <f>DelivOIL!$F84*DelivOIL!T$81^5/(Conv!$I$5*Conv!$D$46)/10^6 + OILTrade!$H$5</f>
        <v>3.925182593275693</v>
      </c>
      <c r="M800" s="421">
        <f>DelivOIL!$F84*DelivOIL!U$81^5/(Conv!$I$5*Conv!$D$46)/10^6 + OILTrade!$H$5</f>
        <v>3.4784831094089799</v>
      </c>
      <c r="N800" s="421">
        <f>DelivOIL!$F84*DelivOIL!V$81^5/(Conv!$I$5*Conv!$D$46)/10^6 + OILTrade!$H$5</f>
        <v>3.4784831094089799</v>
      </c>
      <c r="O800" s="421">
        <f>DelivOIL!$F84*DelivOIL!W$81^5/(Conv!$I$5*Conv!$D$46)/10^6 + OILTrade!$H$5</f>
        <v>3.4784831094089799</v>
      </c>
      <c r="P800" s="421">
        <f>DelivOIL!$F84*DelivOIL!X$81^5/(Conv!$I$5*Conv!$D$46)/10^6 + OILTrade!$H$5</f>
        <v>3.4784831094089799</v>
      </c>
      <c r="Q800" s="421">
        <f>DelivOIL!$F84*DelivOIL!Y$81^5/(Conv!$I$5*Conv!$D$46)/10^6 + OILTrade!$H$5</f>
        <v>3.4784831094089799</v>
      </c>
      <c r="S800" s="395"/>
      <c r="T800" s="395"/>
      <c r="U800" s="395"/>
      <c r="V800" s="395"/>
      <c r="W800" s="395"/>
      <c r="X800" s="395"/>
      <c r="Y800" s="395"/>
      <c r="Z800" s="395"/>
      <c r="AA800" s="395"/>
      <c r="AB800" s="395"/>
      <c r="AC800" s="395"/>
    </row>
    <row r="801" spans="2:29">
      <c r="B801" s="376" t="str">
        <f>IF(OR(LEFT(Commodities!B$324,1)="*",LEFT(Technologies!B$705,1)="*"),"*","R5")</f>
        <v>R5</v>
      </c>
      <c r="C801" s="376" t="str">
        <f>Technologies!C$729</f>
        <v>XITRDSLUP2</v>
      </c>
      <c r="D801" s="376" t="str">
        <f>Technologies!D705</f>
        <v>Delivery of Imported Distillate-Ultralow Sulfur Highway Diesel (15 ppm)</v>
      </c>
      <c r="E801" s="415" t="str">
        <f>Commodities!C$335</f>
        <v>DSUP2</v>
      </c>
      <c r="F801" s="415" t="str">
        <f>Commodities!C92</f>
        <v>TRDSLU</v>
      </c>
      <c r="G801" s="422">
        <v>1</v>
      </c>
      <c r="H801" s="421">
        <f>DelivOIL!$F85*DelivOIL!P$81^5/(Conv!$I$5*Conv!$D$46)/10^6 + OILTrade!$H$5</f>
        <v>2.7544754648191812</v>
      </c>
      <c r="I801" s="421">
        <f>DelivOIL!$F85*DelivOIL!Q$81^5/(Conv!$I$5*Conv!$D$46)/10^6 + OILTrade!$H$5</f>
        <v>2.7399197392311696</v>
      </c>
      <c r="J801" s="421">
        <f>DelivOIL!$F85*DelivOIL!R$81^5/(Conv!$I$5*Conv!$D$46)/10^6 + OILTrade!$H$5</f>
        <v>2.8824199275635953</v>
      </c>
      <c r="K801" s="421">
        <f>DelivOIL!$F85*DelivOIL!S$81^5/(Conv!$I$5*Conv!$D$46)/10^6 + OILTrade!$H$5</f>
        <v>3.4722211587795635</v>
      </c>
      <c r="L801" s="421">
        <f>DelivOIL!$F85*DelivOIL!T$81^5/(Conv!$I$5*Conv!$D$46)/10^6 + OILTrade!$H$5</f>
        <v>3.1842846740630124</v>
      </c>
      <c r="M801" s="421">
        <f>DelivOIL!$F85*DelivOIL!U$81^5/(Conv!$I$5*Conv!$D$46)/10^6 + OILTrade!$H$5</f>
        <v>2.8219019602434301</v>
      </c>
      <c r="N801" s="421">
        <f>DelivOIL!$F85*DelivOIL!V$81^5/(Conv!$I$5*Conv!$D$46)/10^6 + OILTrade!$H$5</f>
        <v>2.8219019602434301</v>
      </c>
      <c r="O801" s="421">
        <f>DelivOIL!$F85*DelivOIL!W$81^5/(Conv!$I$5*Conv!$D$46)/10^6 + OILTrade!$H$5</f>
        <v>2.8219019602434301</v>
      </c>
      <c r="P801" s="421">
        <f>DelivOIL!$F85*DelivOIL!X$81^5/(Conv!$I$5*Conv!$D$46)/10^6 + OILTrade!$H$5</f>
        <v>2.8219019602434301</v>
      </c>
      <c r="Q801" s="421">
        <f>DelivOIL!$F85*DelivOIL!Y$81^5/(Conv!$I$5*Conv!$D$46)/10^6 + OILTrade!$H$5</f>
        <v>2.8219019602434301</v>
      </c>
      <c r="S801" s="395"/>
      <c r="T801" s="395"/>
      <c r="U801" s="395"/>
      <c r="V801" s="395"/>
      <c r="W801" s="395"/>
      <c r="X801" s="395"/>
      <c r="Y801" s="395"/>
      <c r="Z801" s="395"/>
      <c r="AA801" s="395"/>
      <c r="AB801" s="395"/>
      <c r="AC801" s="395"/>
    </row>
    <row r="802" spans="2:29">
      <c r="B802" s="376" t="str">
        <f>IF(OR(LEFT(Commodities!B$64,1)="*",LEFT(Technologies!B$232,1)="*"),"*","R5")</f>
        <v>R5</v>
      </c>
      <c r="C802" s="376" t="str">
        <f>Technologies!C$730</f>
        <v>XITRNJTFP2</v>
      </c>
      <c r="D802" s="376" t="str">
        <f>Technologies!D232</f>
        <v>Delivery of Imported Jet Fuel</v>
      </c>
      <c r="E802" s="415" t="str">
        <f>Commodities!C$66</f>
        <v>JTFP2</v>
      </c>
      <c r="F802" s="415" t="str">
        <f>Commodities!C93</f>
        <v>TRNJTF</v>
      </c>
      <c r="G802" s="422">
        <v>1</v>
      </c>
      <c r="H802" s="421">
        <f>DelivOIL!$F86*DelivOIL!P$81^5/(Conv!$I$5*Conv!$D$46)/10^6 + OILTrade!$H$5</f>
        <v>0.60680276328937377</v>
      </c>
      <c r="I802" s="421">
        <f>DelivOIL!$F86*DelivOIL!Q$81^5/(Conv!$I$5*Conv!$D$46)/10^6 + OILTrade!$H$5</f>
        <v>0.6035961801771631</v>
      </c>
      <c r="J802" s="421">
        <f>DelivOIL!$F86*DelivOIL!R$81^5/(Conv!$I$5*Conv!$D$46)/10^6 + OILTrade!$H$5</f>
        <v>0.63498854839891028</v>
      </c>
      <c r="K802" s="421">
        <f>DelivOIL!$F86*DelivOIL!S$81^5/(Conv!$I$5*Conv!$D$46)/10^6 + OILTrade!$H$5</f>
        <v>0.76492000775094293</v>
      </c>
      <c r="L802" s="421">
        <f>DelivOIL!$F86*DelivOIL!T$81^5/(Conv!$I$5*Conv!$D$46)/10^6 + OILTrade!$H$5</f>
        <v>0.70148845542477201</v>
      </c>
      <c r="M802" s="421">
        <f>DelivOIL!$F86*DelivOIL!U$81^5/(Conv!$I$5*Conv!$D$46)/10^6 + OILTrade!$H$5</f>
        <v>0.62165661995461652</v>
      </c>
      <c r="N802" s="421">
        <f>DelivOIL!$F86*DelivOIL!V$81^5/(Conv!$I$5*Conv!$D$46)/10^6 + OILTrade!$H$5</f>
        <v>0.62165661995461652</v>
      </c>
      <c r="O802" s="421">
        <f>DelivOIL!$F86*DelivOIL!W$81^5/(Conv!$I$5*Conv!$D$46)/10^6 + OILTrade!$H$5</f>
        <v>0.62165661995461652</v>
      </c>
      <c r="P802" s="421">
        <f>DelivOIL!$F86*DelivOIL!X$81^5/(Conv!$I$5*Conv!$D$46)/10^6 + OILTrade!$H$5</f>
        <v>0.62165661995461652</v>
      </c>
      <c r="Q802" s="421">
        <f>DelivOIL!$F86*DelivOIL!Y$81^5/(Conv!$I$5*Conv!$D$46)/10^6 + OILTrade!$H$5</f>
        <v>0.62165661995461652</v>
      </c>
      <c r="S802" s="395"/>
      <c r="T802" s="395"/>
      <c r="U802" s="395"/>
      <c r="V802" s="395"/>
      <c r="W802" s="395"/>
      <c r="X802" s="395"/>
      <c r="Y802" s="395"/>
      <c r="Z802" s="395"/>
      <c r="AA802" s="395"/>
      <c r="AB802" s="395"/>
      <c r="AC802" s="395"/>
    </row>
    <row r="803" spans="2:29">
      <c r="B803" s="376" t="str">
        <f>IF(OR(LEFT(Commodities!B$327,1)="*",LEFT(Technologies!B$706,1)="*"),"*","R5")</f>
        <v>*</v>
      </c>
      <c r="C803" s="376" t="str">
        <f>Technologies!C$731</f>
        <v>XIRESKERP2</v>
      </c>
      <c r="D803" s="376" t="str">
        <f>Technologies!D706</f>
        <v>Delivery of Imported Kerosene and Other Refined Products to the Residential Sector</v>
      </c>
      <c r="E803" s="415" t="str">
        <f>Commodities!C$338</f>
        <v>KERP2</v>
      </c>
      <c r="F803" s="415" t="str">
        <f>Commodities!C94</f>
        <v>RESKER</v>
      </c>
      <c r="G803" s="422">
        <v>1</v>
      </c>
      <c r="H803" s="421">
        <f>DelivOIL!$F87*DelivOIL!P$81^5/(Conv!$I$5*Conv!$D$46)/10^6 + OILTrade!$H$5</f>
        <v>2.2363068130215127</v>
      </c>
      <c r="I803" s="421">
        <f>DelivOIL!$F87*DelivOIL!Q$81^5/(Conv!$I$5*Conv!$D$46)/10^6 + OILTrade!$H$5</f>
        <v>2.2244892932371862</v>
      </c>
      <c r="J803" s="421">
        <f>DelivOIL!$F87*DelivOIL!R$81^5/(Conv!$I$5*Conv!$D$46)/10^6 + OILTrade!$H$5</f>
        <v>2.3401825154476703</v>
      </c>
      <c r="K803" s="421">
        <f>DelivOIL!$F87*DelivOIL!S$81^5/(Conv!$I$5*Conv!$D$46)/10^6 + OILTrade!$H$5</f>
        <v>2.8190310398012288</v>
      </c>
      <c r="L803" s="421">
        <f>DelivOIL!$F87*DelivOIL!T$81^5/(Conv!$I$5*Conv!$D$46)/10^6 + OILTrade!$H$5</f>
        <v>2.5852608244868009</v>
      </c>
      <c r="M803" s="421">
        <f>DelivOIL!$F87*DelivOIL!U$81^5/(Conv!$I$5*Conv!$D$46)/10^6 + OILTrade!$H$5</f>
        <v>2.2910491162372391</v>
      </c>
      <c r="N803" s="421">
        <f>DelivOIL!$F87*DelivOIL!V$81^5/(Conv!$I$5*Conv!$D$46)/10^6 + OILTrade!$H$5</f>
        <v>2.2910491162372391</v>
      </c>
      <c r="O803" s="421">
        <f>DelivOIL!$F87*DelivOIL!W$81^5/(Conv!$I$5*Conv!$D$46)/10^6 + OILTrade!$H$5</f>
        <v>2.2910491162372391</v>
      </c>
      <c r="P803" s="421">
        <f>DelivOIL!$F87*DelivOIL!X$81^5/(Conv!$I$5*Conv!$D$46)/10^6 + OILTrade!$H$5</f>
        <v>2.2910491162372391</v>
      </c>
      <c r="Q803" s="421">
        <f>DelivOIL!$F87*DelivOIL!Y$81^5/(Conv!$I$5*Conv!$D$46)/10^6 + OILTrade!$H$5</f>
        <v>2.2910491162372391</v>
      </c>
      <c r="S803" s="395"/>
      <c r="T803" s="395"/>
      <c r="U803" s="395"/>
      <c r="V803" s="395"/>
      <c r="W803" s="395"/>
      <c r="X803" s="395"/>
      <c r="Y803" s="395"/>
      <c r="Z803" s="395"/>
      <c r="AA803" s="395"/>
      <c r="AB803" s="395"/>
      <c r="AC803" s="395"/>
    </row>
    <row r="804" spans="2:29">
      <c r="B804" s="376" t="str">
        <f>IF(OR(LEFT(Commodities!B$327,1)="*",LEFT(Technologies!B$707,1)="*"),"*","R5")</f>
        <v>*</v>
      </c>
      <c r="C804" s="376" t="str">
        <f>Technologies!C$732</f>
        <v>XICOMKERP2</v>
      </c>
      <c r="D804" s="376" t="str">
        <f>Technologies!D707</f>
        <v>Delivery of Imported Kerosene and Other Refined Products to the Commercial Sector</v>
      </c>
      <c r="E804" s="415" t="str">
        <f>E803</f>
        <v>KERP2</v>
      </c>
      <c r="F804" s="415" t="str">
        <f>Commodities!C95</f>
        <v>COMKER</v>
      </c>
      <c r="G804" s="422">
        <v>1</v>
      </c>
      <c r="H804" s="421">
        <f>DelivOIL!$F88*DelivOIL!P$81^5/(Conv!$I$5*Conv!$D$46)/10^6 + OILTrade!$H$5</f>
        <v>2.1340366843772367</v>
      </c>
      <c r="I804" s="421">
        <f>DelivOIL!$F88*DelivOIL!Q$81^5/(Conv!$I$5*Conv!$D$46)/10^6 + OILTrade!$H$5</f>
        <v>2.1227595999489006</v>
      </c>
      <c r="J804" s="421">
        <f>DelivOIL!$F88*DelivOIL!R$81^5/(Conv!$I$5*Conv!$D$46)/10^6 + OILTrade!$H$5</f>
        <v>2.233161973582686</v>
      </c>
      <c r="K804" s="421">
        <f>DelivOIL!$F88*DelivOIL!S$81^5/(Conv!$I$5*Conv!$D$46)/10^6 + OILTrade!$H$5</f>
        <v>2.6901119373712956</v>
      </c>
      <c r="L804" s="421">
        <f>DelivOIL!$F88*DelivOIL!T$81^5/(Conv!$I$5*Conv!$D$46)/10^6 + OILTrade!$H$5</f>
        <v>2.4670324331230757</v>
      </c>
      <c r="M804" s="421">
        <f>DelivOIL!$F88*DelivOIL!U$81^5/(Conv!$I$5*Conv!$D$46)/10^6 + OILTrade!$H$5</f>
        <v>2.1862755286044391</v>
      </c>
      <c r="N804" s="421">
        <f>DelivOIL!$F88*DelivOIL!V$81^5/(Conv!$I$5*Conv!$D$46)/10^6 + OILTrade!$H$5</f>
        <v>2.1862755286044391</v>
      </c>
      <c r="O804" s="421">
        <f>DelivOIL!$F88*DelivOIL!W$81^5/(Conv!$I$5*Conv!$D$46)/10^6 + OILTrade!$H$5</f>
        <v>2.1862755286044391</v>
      </c>
      <c r="P804" s="421">
        <f>DelivOIL!$F88*DelivOIL!X$81^5/(Conv!$I$5*Conv!$D$46)/10^6 + OILTrade!$H$5</f>
        <v>2.1862755286044391</v>
      </c>
      <c r="Q804" s="421">
        <f>DelivOIL!$F88*DelivOIL!Y$81^5/(Conv!$I$5*Conv!$D$46)/10^6 + OILTrade!$H$5</f>
        <v>2.1862755286044391</v>
      </c>
      <c r="S804" s="395"/>
      <c r="T804" s="395"/>
      <c r="U804" s="395"/>
      <c r="V804" s="395"/>
      <c r="W804" s="395"/>
      <c r="X804" s="395"/>
      <c r="Y804" s="395"/>
      <c r="Z804" s="395"/>
      <c r="AA804" s="395"/>
      <c r="AB804" s="395"/>
      <c r="AC804" s="395"/>
    </row>
    <row r="805" spans="2:29">
      <c r="B805" s="376" t="str">
        <f>IF(OR(LEFT(Commodities!B$327,1)="*",LEFT(Technologies!B$708,1)="*"),"*","R5")</f>
        <v>*</v>
      </c>
      <c r="C805" s="376" t="str">
        <f>Technologies!C$733</f>
        <v>XIINDKERP2</v>
      </c>
      <c r="D805" s="376" t="str">
        <f>Technologies!D708</f>
        <v>Delivery of Imported Kerosene and Other Refined Products to the Industrial Sector</v>
      </c>
      <c r="E805" s="415" t="str">
        <f>E804</f>
        <v>KERP2</v>
      </c>
      <c r="F805" s="415" t="str">
        <f>Commodities!C96</f>
        <v>INDKER</v>
      </c>
      <c r="G805" s="422">
        <v>1</v>
      </c>
      <c r="H805" s="421">
        <f>DelivOIL!$F89*DelivOIL!P$81^5/(Conv!$I$5*Conv!$D$46)/10^6 + OILTrade!$H$5</f>
        <v>1.4385998095961561</v>
      </c>
      <c r="I805" s="421">
        <f>DelivOIL!$F89*DelivOIL!Q$81^5/(Conv!$I$5*Conv!$D$46)/10^6 + OILTrade!$H$5</f>
        <v>1.4309976855885556</v>
      </c>
      <c r="J805" s="421">
        <f>DelivOIL!$F89*DelivOIL!R$81^5/(Conv!$I$5*Conv!$D$46)/10^6 + OILTrade!$H$5</f>
        <v>1.5054222889007878</v>
      </c>
      <c r="K805" s="421">
        <f>DelivOIL!$F89*DelivOIL!S$81^5/(Conv!$I$5*Conv!$D$46)/10^6 + OILTrade!$H$5</f>
        <v>1.8134620408477415</v>
      </c>
      <c r="L805" s="421">
        <f>DelivOIL!$F89*DelivOIL!T$81^5/(Conv!$I$5*Conv!$D$46)/10^6 + OILTrade!$H$5</f>
        <v>1.6630793718497405</v>
      </c>
      <c r="M805" s="421">
        <f>DelivOIL!$F89*DelivOIL!U$81^5/(Conv!$I$5*Conv!$D$46)/10^6 + OILTrade!$H$5</f>
        <v>1.4738151327013946</v>
      </c>
      <c r="N805" s="421">
        <f>DelivOIL!$F89*DelivOIL!V$81^5/(Conv!$I$5*Conv!$D$46)/10^6 + OILTrade!$H$5</f>
        <v>1.4738151327013946</v>
      </c>
      <c r="O805" s="421">
        <f>DelivOIL!$F89*DelivOIL!W$81^5/(Conv!$I$5*Conv!$D$46)/10^6 + OILTrade!$H$5</f>
        <v>1.4738151327013946</v>
      </c>
      <c r="P805" s="421">
        <f>DelivOIL!$F89*DelivOIL!X$81^5/(Conv!$I$5*Conv!$D$46)/10^6 + OILTrade!$H$5</f>
        <v>1.4738151327013946</v>
      </c>
      <c r="Q805" s="421">
        <f>DelivOIL!$F89*DelivOIL!Y$81^5/(Conv!$I$5*Conv!$D$46)/10^6 + OILTrade!$H$5</f>
        <v>1.4738151327013946</v>
      </c>
      <c r="S805" s="395"/>
      <c r="T805" s="395"/>
      <c r="U805" s="395"/>
      <c r="V805" s="395"/>
      <c r="W805" s="395"/>
      <c r="X805" s="395"/>
      <c r="Y805" s="395"/>
      <c r="Z805" s="395"/>
      <c r="AA805" s="395"/>
      <c r="AB805" s="395"/>
      <c r="AC805" s="395"/>
    </row>
    <row r="806" spans="2:29">
      <c r="B806" s="376" t="str">
        <f>IF(OR(LEFT(Commodities!B$328,1)="*",LEFT(Technologies!B$709,1)="*"),"*","R5")</f>
        <v>*</v>
      </c>
      <c r="C806" s="376" t="str">
        <f>Technologies!C$734</f>
        <v>XIRESLPGP2</v>
      </c>
      <c r="D806" s="376" t="str">
        <f>Technologies!D709</f>
        <v>Delivery of Imported LPG to the Residential Sector</v>
      </c>
      <c r="E806" s="415" t="str">
        <f>Commodities!C$339</f>
        <v>LPGP2</v>
      </c>
      <c r="F806" s="415" t="str">
        <f>Commodities!C97</f>
        <v>RESLPG</v>
      </c>
      <c r="G806" s="422">
        <v>1</v>
      </c>
      <c r="H806" s="421">
        <f>DelivOIL!$F90*DelivOIL!P$81^5/(Conv!$I$5*Conv!$D$46)/10^6 + OILTrade!$H$5</f>
        <v>5.4544068610280814</v>
      </c>
      <c r="I806" s="421">
        <f>DelivOIL!$F90*DelivOIL!Q$81^5/(Conv!$I$5*Conv!$D$46)/10^6 + OILTrade!$H$5</f>
        <v>5.4255836420419188</v>
      </c>
      <c r="J806" s="421">
        <f>DelivOIL!$F90*DelivOIL!R$81^5/(Conv!$I$5*Conv!$D$46)/10^6 + OILTrade!$H$5</f>
        <v>5.7077622327991975</v>
      </c>
      <c r="K806" s="421">
        <f>DelivOIL!$F90*DelivOIL!S$81^5/(Conv!$I$5*Conv!$D$46)/10^6 + OILTrade!$H$5</f>
        <v>6.8756854629298285</v>
      </c>
      <c r="L806" s="421">
        <f>DelivOIL!$F90*DelivOIL!T$81^5/(Conv!$I$5*Conv!$D$46)/10^6 + OILTrade!$H$5</f>
        <v>6.3055142060653697</v>
      </c>
      <c r="M806" s="421">
        <f>DelivOIL!$F90*DelivOIL!U$81^5/(Conv!$I$5*Conv!$D$46)/10^6 + OILTrade!$H$5</f>
        <v>5.5879246737493649</v>
      </c>
      <c r="N806" s="421">
        <f>DelivOIL!$F90*DelivOIL!V$81^5/(Conv!$I$5*Conv!$D$46)/10^6 + OILTrade!$H$5</f>
        <v>5.5879246737493649</v>
      </c>
      <c r="O806" s="421">
        <f>DelivOIL!$F90*DelivOIL!W$81^5/(Conv!$I$5*Conv!$D$46)/10^6 + OILTrade!$H$5</f>
        <v>5.5879246737493649</v>
      </c>
      <c r="P806" s="421">
        <f>DelivOIL!$F90*DelivOIL!X$81^5/(Conv!$I$5*Conv!$D$46)/10^6 + OILTrade!$H$5</f>
        <v>5.5879246737493649</v>
      </c>
      <c r="Q806" s="421">
        <f>DelivOIL!$F90*DelivOIL!Y$81^5/(Conv!$I$5*Conv!$D$46)/10^6 + OILTrade!$H$5</f>
        <v>5.5879246737493649</v>
      </c>
      <c r="S806" s="395"/>
      <c r="T806" s="395"/>
      <c r="U806" s="395"/>
      <c r="V806" s="395"/>
      <c r="W806" s="395"/>
      <c r="X806" s="395"/>
      <c r="Y806" s="395"/>
      <c r="Z806" s="395"/>
      <c r="AA806" s="395"/>
      <c r="AB806" s="395"/>
      <c r="AC806" s="395"/>
    </row>
    <row r="807" spans="2:29">
      <c r="B807" s="376" t="str">
        <f>IF(OR(LEFT(Commodities!B$328,1)="*",LEFT(Technologies!B$710,1)="*"),"*","R5")</f>
        <v>*</v>
      </c>
      <c r="C807" s="376" t="str">
        <f>Technologies!C$735</f>
        <v>XICOMLPGP2</v>
      </c>
      <c r="D807" s="376" t="str">
        <f>Technologies!D710</f>
        <v>Delivery of Imported LPG to the Commercial Sector</v>
      </c>
      <c r="E807" s="415" t="str">
        <f>Commodities!C$339</f>
        <v>LPGP2</v>
      </c>
      <c r="F807" s="415" t="str">
        <f>Commodities!C98</f>
        <v>COMLPG</v>
      </c>
      <c r="G807" s="422">
        <v>1</v>
      </c>
      <c r="H807" s="421">
        <f>DelivOIL!$F91*DelivOIL!P$81^5/(Conv!$I$5*Conv!$D$46)/10^6 + OILTrade!$H$5</f>
        <v>3.0817398764808659</v>
      </c>
      <c r="I807" s="421">
        <f>DelivOIL!$F91*DelivOIL!Q$81^5/(Conv!$I$5*Conv!$D$46)/10^6 + OILTrade!$H$5</f>
        <v>3.0654547577536837</v>
      </c>
      <c r="J807" s="421">
        <f>DelivOIL!$F91*DelivOIL!R$81^5/(Conv!$I$5*Conv!$D$46)/10^6 + OILTrade!$H$5</f>
        <v>3.224885661531546</v>
      </c>
      <c r="K807" s="421">
        <f>DelivOIL!$F91*DelivOIL!S$81^5/(Conv!$I$5*Conv!$D$46)/10^6 + OILTrade!$H$5</f>
        <v>3.8847622865553531</v>
      </c>
      <c r="L807" s="421">
        <f>DelivOIL!$F91*DelivOIL!T$81^5/(Conv!$I$5*Conv!$D$46)/10^6 + OILTrade!$H$5</f>
        <v>3.5626155264269337</v>
      </c>
      <c r="M807" s="421">
        <f>DelivOIL!$F91*DelivOIL!U$81^5/(Conv!$I$5*Conv!$D$46)/10^6 + OILTrade!$H$5</f>
        <v>3.157177440668391</v>
      </c>
      <c r="N807" s="421">
        <f>DelivOIL!$F91*DelivOIL!V$81^5/(Conv!$I$5*Conv!$D$46)/10^6 + OILTrade!$H$5</f>
        <v>3.157177440668391</v>
      </c>
      <c r="O807" s="421">
        <f>DelivOIL!$F91*DelivOIL!W$81^5/(Conv!$I$5*Conv!$D$46)/10^6 + OILTrade!$H$5</f>
        <v>3.157177440668391</v>
      </c>
      <c r="P807" s="421">
        <f>DelivOIL!$F91*DelivOIL!X$81^5/(Conv!$I$5*Conv!$D$46)/10^6 + OILTrade!$H$5</f>
        <v>3.157177440668391</v>
      </c>
      <c r="Q807" s="421">
        <f>DelivOIL!$F91*DelivOIL!Y$81^5/(Conv!$I$5*Conv!$D$46)/10^6 + OILTrade!$H$5</f>
        <v>3.157177440668391</v>
      </c>
      <c r="S807" s="395"/>
      <c r="T807" s="395"/>
      <c r="U807" s="395"/>
      <c r="V807" s="395"/>
      <c r="W807" s="395"/>
      <c r="X807" s="395"/>
      <c r="Y807" s="395"/>
      <c r="Z807" s="395"/>
      <c r="AA807" s="395"/>
      <c r="AB807" s="395"/>
      <c r="AC807" s="395"/>
    </row>
    <row r="808" spans="2:29">
      <c r="B808" s="376" t="str">
        <f>IF(OR(LEFT(Commodities!B$328,1)="*",LEFT(Technologies!B$711,1)="*"),"*","R5")</f>
        <v>*</v>
      </c>
      <c r="C808" s="376" t="str">
        <f>Technologies!C$736</f>
        <v>XIINDLPGP2</v>
      </c>
      <c r="D808" s="376" t="str">
        <f>Technologies!D711</f>
        <v>Delivery of Imported LPG to the Industrial Sector</v>
      </c>
      <c r="E808" s="415" t="str">
        <f>Commodities!C$339</f>
        <v>LPGP2</v>
      </c>
      <c r="F808" s="415" t="str">
        <f>Commodities!C99</f>
        <v>INDLPG</v>
      </c>
      <c r="G808" s="422">
        <v>1</v>
      </c>
      <c r="H808" s="421">
        <f>DelivOIL!$F92*DelivOIL!P$81^5/(Conv!$I$5*Conv!$D$46)/10^6 + OILTrade!$H$5</f>
        <v>2.5567532161069124</v>
      </c>
      <c r="I808" s="421">
        <f>DelivOIL!$F92*DelivOIL!Q$81^5/(Conv!$I$5*Conv!$D$46)/10^6 + OILTrade!$H$5</f>
        <v>2.5432423322071487</v>
      </c>
      <c r="J808" s="421">
        <f>DelivOIL!$F92*DelivOIL!R$81^5/(Conv!$I$5*Conv!$D$46)/10^6 + OILTrade!$H$5</f>
        <v>2.6755135466246234</v>
      </c>
      <c r="K808" s="421">
        <f>DelivOIL!$F92*DelivOIL!S$81^5/(Conv!$I$5*Conv!$D$46)/10^6 + OILTrade!$H$5</f>
        <v>3.222977560748356</v>
      </c>
      <c r="L808" s="421">
        <f>DelivOIL!$F92*DelivOIL!T$81^5/(Conv!$I$5*Conv!$D$46)/10^6 + OILTrade!$H$5</f>
        <v>2.9557097840931417</v>
      </c>
      <c r="M808" s="421">
        <f>DelivOIL!$F92*DelivOIL!U$81^5/(Conv!$I$5*Conv!$D$46)/10^6 + OILTrade!$H$5</f>
        <v>2.6193396908200146</v>
      </c>
      <c r="N808" s="421">
        <f>DelivOIL!$F92*DelivOIL!V$81^5/(Conv!$I$5*Conv!$D$46)/10^6 + OILTrade!$H$5</f>
        <v>2.6193396908200146</v>
      </c>
      <c r="O808" s="421">
        <f>DelivOIL!$F92*DelivOIL!W$81^5/(Conv!$I$5*Conv!$D$46)/10^6 + OILTrade!$H$5</f>
        <v>2.6193396908200146</v>
      </c>
      <c r="P808" s="421">
        <f>DelivOIL!$F92*DelivOIL!X$81^5/(Conv!$I$5*Conv!$D$46)/10^6 + OILTrade!$H$5</f>
        <v>2.6193396908200146</v>
      </c>
      <c r="Q808" s="421">
        <f>DelivOIL!$F92*DelivOIL!Y$81^5/(Conv!$I$5*Conv!$D$46)/10^6 + OILTrade!$H$5</f>
        <v>2.6193396908200146</v>
      </c>
      <c r="S808" s="395"/>
      <c r="T808" s="395"/>
      <c r="U808" s="395"/>
      <c r="V808" s="395"/>
      <c r="W808" s="395"/>
      <c r="X808" s="395"/>
      <c r="Y808" s="395"/>
      <c r="Z808" s="395"/>
      <c r="AA808" s="395"/>
      <c r="AB808" s="395"/>
      <c r="AC808" s="395"/>
    </row>
    <row r="809" spans="2:29">
      <c r="B809" s="376" t="str">
        <f>IF(OR(LEFT(Commodities!B$328,1)="*",LEFT(Technologies!B$712,1)="*"),"*","R5")</f>
        <v>*</v>
      </c>
      <c r="C809" s="376" t="str">
        <f>Technologies!C$737</f>
        <v>XITRNLPGP2</v>
      </c>
      <c r="D809" s="376" t="str">
        <f>Technologies!D712</f>
        <v>Delivery of Imported LPG to the Transportation Sector</v>
      </c>
      <c r="E809" s="415" t="str">
        <f>Commodities!C$339</f>
        <v>LPGP2</v>
      </c>
      <c r="F809" s="415" t="str">
        <f>Commodities!C100</f>
        <v>TRNLPG</v>
      </c>
      <c r="G809" s="422">
        <v>1</v>
      </c>
      <c r="H809" s="421">
        <f>DelivOIL!$F93*DelivOIL!P$81^5/(Conv!$I$5*Conv!$D$46)/10^6 + OILTrade!$H$5</f>
        <v>4.3226174373647535</v>
      </c>
      <c r="I809" s="421">
        <f>DelivOIL!$F93*DelivOIL!Q$81^5/(Conv!$I$5*Conv!$D$46)/10^6 + OILTrade!$H$5</f>
        <v>4.2997750363182199</v>
      </c>
      <c r="J809" s="421">
        <f>DelivOIL!$F93*DelivOIL!R$81^5/(Conv!$I$5*Conv!$D$46)/10^6 + OILTrade!$H$5</f>
        <v>4.5234015694933625</v>
      </c>
      <c r="K809" s="421">
        <f>DelivOIL!$F93*DelivOIL!S$81^5/(Conv!$I$5*Conv!$D$46)/10^6 + OILTrade!$H$5</f>
        <v>5.4489807293718879</v>
      </c>
      <c r="L809" s="421">
        <f>DelivOIL!$F93*DelivOIL!T$81^5/(Conv!$I$5*Conv!$D$46)/10^6 + OILTrade!$H$5</f>
        <v>4.9971200083068039</v>
      </c>
      <c r="M809" s="421">
        <f>DelivOIL!$F93*DelivOIL!U$81^5/(Conv!$I$5*Conv!$D$46)/10^6 + OILTrade!$H$5</f>
        <v>4.4284303039463708</v>
      </c>
      <c r="N809" s="421">
        <f>DelivOIL!$F93*DelivOIL!V$81^5/(Conv!$I$5*Conv!$D$46)/10^6 + OILTrade!$H$5</f>
        <v>4.4284303039463708</v>
      </c>
      <c r="O809" s="421">
        <f>DelivOIL!$F93*DelivOIL!W$81^5/(Conv!$I$5*Conv!$D$46)/10^6 + OILTrade!$H$5</f>
        <v>4.4284303039463708</v>
      </c>
      <c r="P809" s="421">
        <f>DelivOIL!$F93*DelivOIL!X$81^5/(Conv!$I$5*Conv!$D$46)/10^6 + OILTrade!$H$5</f>
        <v>4.4284303039463708</v>
      </c>
      <c r="Q809" s="421">
        <f>DelivOIL!$F93*DelivOIL!Y$81^5/(Conv!$I$5*Conv!$D$46)/10^6 + OILTrade!$H$5</f>
        <v>4.4284303039463708</v>
      </c>
      <c r="S809" s="395"/>
      <c r="T809" s="395"/>
      <c r="U809" s="395"/>
      <c r="V809" s="395"/>
      <c r="W809" s="395"/>
      <c r="X809" s="395"/>
      <c r="Y809" s="395"/>
      <c r="Z809" s="395"/>
      <c r="AA809" s="395"/>
      <c r="AB809" s="395"/>
      <c r="AC809" s="395"/>
    </row>
    <row r="810" spans="2:29">
      <c r="B810" s="376" t="str">
        <f>IF(LEFT(Technologies!B$713,1)="*","*","R5")</f>
        <v>*</v>
      </c>
      <c r="C810" s="376" t="str">
        <f>Technologies!C$738</f>
        <v>XITRNMTHP2</v>
      </c>
      <c r="D810" s="376" t="str">
        <f>Technologies!D713</f>
        <v>Delivery of Imported Methanol</v>
      </c>
      <c r="E810" s="415" t="str">
        <f>Commodities!C$340</f>
        <v>MTHP2</v>
      </c>
      <c r="F810" s="415" t="str">
        <f>Commodities!C101</f>
        <v>TRNMTH</v>
      </c>
      <c r="G810" s="422">
        <v>1</v>
      </c>
      <c r="H810" s="421">
        <f>DelivOIL!$F94*DelivOIL!P$81^5/(Conv!$I$5*Conv!$D$46)/10^6 + OILTrade!$H$5</f>
        <v>3.593090519702248</v>
      </c>
      <c r="I810" s="421">
        <f>DelivOIL!$F94*DelivOIL!Q$81^5/(Conv!$I$5*Conv!$D$46)/10^6 + OILTrade!$H$5</f>
        <v>3.5741032241951141</v>
      </c>
      <c r="J810" s="421">
        <f>DelivOIL!$F94*DelivOIL!R$81^5/(Conv!$I$5*Conv!$D$46)/10^6 + OILTrade!$H$5</f>
        <v>3.7599883708564708</v>
      </c>
      <c r="K810" s="421">
        <f>DelivOIL!$F94*DelivOIL!S$81^5/(Conv!$I$5*Conv!$D$46)/10^6 + OILTrade!$H$5</f>
        <v>4.529357798705024</v>
      </c>
      <c r="L810" s="421">
        <f>DelivOIL!$F94*DelivOIL!T$81^5/(Conv!$I$5*Conv!$D$46)/10^6 + OILTrade!$H$5</f>
        <v>4.1537574832455615</v>
      </c>
      <c r="M810" s="421">
        <f>DelivOIL!$F94*DelivOIL!U$81^5/(Conv!$I$5*Conv!$D$46)/10^6 + OILTrade!$H$5</f>
        <v>3.6810453788323936</v>
      </c>
      <c r="N810" s="421">
        <f>DelivOIL!$F94*DelivOIL!V$81^5/(Conv!$I$5*Conv!$D$46)/10^6 + OILTrade!$H$5</f>
        <v>3.6810453788323936</v>
      </c>
      <c r="O810" s="421">
        <f>DelivOIL!$F94*DelivOIL!W$81^5/(Conv!$I$5*Conv!$D$46)/10^6 + OILTrade!$H$5</f>
        <v>3.6810453788323936</v>
      </c>
      <c r="P810" s="421">
        <f>DelivOIL!$F94*DelivOIL!X$81^5/(Conv!$I$5*Conv!$D$46)/10^6 + OILTrade!$H$5</f>
        <v>3.6810453788323936</v>
      </c>
      <c r="Q810" s="421">
        <f>DelivOIL!$F94*DelivOIL!Y$81^5/(Conv!$I$5*Conv!$D$46)/10^6 + OILTrade!$H$5</f>
        <v>3.6810453788323936</v>
      </c>
      <c r="S810" s="395"/>
      <c r="T810" s="395"/>
      <c r="U810" s="395"/>
      <c r="V810" s="395"/>
      <c r="W810" s="395"/>
      <c r="X810" s="395"/>
      <c r="Y810" s="395"/>
      <c r="Z810" s="395"/>
      <c r="AA810" s="395"/>
      <c r="AB810" s="395"/>
      <c r="AC810" s="395"/>
    </row>
    <row r="811" spans="2:29">
      <c r="B811" s="376" t="str">
        <f>IF(OR(LEFT(Commodities!B$102,1)="*",LEFT(Technologies!B$714,1)="*"),"*","R5")</f>
        <v>*</v>
      </c>
      <c r="C811" s="376" t="str">
        <f>Technologies!C$739</f>
        <v>XIINDPFSP2</v>
      </c>
      <c r="D811" s="376" t="str">
        <f>Technologies!D714</f>
        <v>Delivery of Imported Petrochemical Feedstocks</v>
      </c>
      <c r="E811" s="415" t="str">
        <f>Commodities!C$341</f>
        <v>PFSP2</v>
      </c>
      <c r="F811" s="415" t="str">
        <f>Commodities!C102</f>
        <v>INDPFS</v>
      </c>
      <c r="G811" s="422">
        <v>1</v>
      </c>
      <c r="H811" s="421">
        <f>DelivOIL!$F95*DelivOIL!P$81^5/(Conv!$I$5*Conv!$D$46)/10^6 + OILTrade!$H$5</f>
        <v>0.25226631732254895</v>
      </c>
      <c r="I811" s="421">
        <f>DelivOIL!$F95*DelivOIL!Q$81^5/(Conv!$I$5*Conv!$D$46)/10^6 + OILTrade!$H$5</f>
        <v>0.2509332434444389</v>
      </c>
      <c r="J811" s="421">
        <f>DelivOIL!$F95*DelivOIL!R$81^5/(Conv!$I$5*Conv!$D$46)/10^6 + OILTrade!$H$5</f>
        <v>0.26398400326696309</v>
      </c>
      <c r="K811" s="421">
        <f>DelivOIL!$F95*DelivOIL!S$81^5/(Conv!$I$5*Conv!$D$46)/10^6 + OILTrade!$H$5</f>
        <v>0.31800045266050481</v>
      </c>
      <c r="L811" s="421">
        <f>DelivOIL!$F95*DelivOIL!T$81^5/(Conv!$I$5*Conv!$D$46)/10^6 + OILTrade!$H$5</f>
        <v>0.29163003203052357</v>
      </c>
      <c r="M811" s="421">
        <f>DelivOIL!$F95*DelivOIL!U$81^5/(Conv!$I$5*Conv!$D$46)/10^6 + OILTrade!$H$5</f>
        <v>0.25844151616090832</v>
      </c>
      <c r="N811" s="421">
        <f>DelivOIL!$F95*DelivOIL!V$81^5/(Conv!$I$5*Conv!$D$46)/10^6 + OILTrade!$H$5</f>
        <v>0.25844151616090832</v>
      </c>
      <c r="O811" s="421">
        <f>DelivOIL!$F95*DelivOIL!W$81^5/(Conv!$I$5*Conv!$D$46)/10^6 + OILTrade!$H$5</f>
        <v>0.25844151616090832</v>
      </c>
      <c r="P811" s="421">
        <f>DelivOIL!$F95*DelivOIL!X$81^5/(Conv!$I$5*Conv!$D$46)/10^6 + OILTrade!$H$5</f>
        <v>0.25844151616090832</v>
      </c>
      <c r="Q811" s="421">
        <f>DelivOIL!$F95*DelivOIL!Y$81^5/(Conv!$I$5*Conv!$D$46)/10^6 + OILTrade!$H$5</f>
        <v>0.25844151616090832</v>
      </c>
      <c r="S811" s="395"/>
      <c r="T811" s="395"/>
      <c r="U811" s="395"/>
      <c r="V811" s="395"/>
      <c r="W811" s="395"/>
      <c r="X811" s="395"/>
      <c r="Y811" s="395"/>
      <c r="Z811" s="395"/>
      <c r="AA811" s="395"/>
      <c r="AB811" s="395"/>
      <c r="AC811" s="395"/>
    </row>
    <row r="812" spans="2:29">
      <c r="B812" s="376" t="str">
        <f>IF(OR(LEFT(Commodities!B$332,1)="*",LEFT(Technologies!B$715,1)="*"),"*","R5")</f>
        <v>*</v>
      </c>
      <c r="C812" s="376" t="str">
        <f>Technologies!C$740</f>
        <v>XIRESRFLP2</v>
      </c>
      <c r="D812" s="376" t="str">
        <f>Technologies!D715</f>
        <v>Delivery of Imported Low Sulfur Residual Fuel Oil to Residential Sector</v>
      </c>
      <c r="E812" s="415" t="str">
        <f>Commodities!C$343</f>
        <v>RFLP2</v>
      </c>
      <c r="F812" s="415" t="str">
        <f>Commodities!C103</f>
        <v>RESRFL</v>
      </c>
      <c r="G812" s="422">
        <v>1</v>
      </c>
      <c r="H812" s="421">
        <f>DelivOIL!$F96*DelivOIL!P$81^5/(Conv!$I$5*Conv!$D$46)/10^6 + OILTrade!$H$5</f>
        <v>1.2340595523076034</v>
      </c>
      <c r="I812" s="421">
        <f>DelivOIL!$F96*DelivOIL!Q$81^5/(Conv!$I$5*Conv!$D$46)/10^6 + OILTrade!$H$5</f>
        <v>1.2275382990119841</v>
      </c>
      <c r="J812" s="421">
        <f>DelivOIL!$F96*DelivOIL!R$81^5/(Conv!$I$5*Conv!$D$46)/10^6 + OILTrade!$H$5</f>
        <v>1.2913812051708187</v>
      </c>
      <c r="K812" s="421">
        <f>DelivOIL!$F96*DelivOIL!S$81^5/(Conv!$I$5*Conv!$D$46)/10^6 + OILTrade!$H$5</f>
        <v>1.5556238359878738</v>
      </c>
      <c r="L812" s="421">
        <f>DelivOIL!$F96*DelivOIL!T$81^5/(Conv!$I$5*Conv!$D$46)/10^6 + OILTrade!$H$5</f>
        <v>1.4266225891222903</v>
      </c>
      <c r="M812" s="421">
        <f>DelivOIL!$F96*DelivOIL!U$81^5/(Conv!$I$5*Conv!$D$46)/10^6 + OILTrade!$H$5</f>
        <v>1.264267957435794</v>
      </c>
      <c r="N812" s="421">
        <f>DelivOIL!$F96*DelivOIL!V$81^5/(Conv!$I$5*Conv!$D$46)/10^6 + OILTrade!$H$5</f>
        <v>1.264267957435794</v>
      </c>
      <c r="O812" s="421">
        <f>DelivOIL!$F96*DelivOIL!W$81^5/(Conv!$I$5*Conv!$D$46)/10^6 + OILTrade!$H$5</f>
        <v>1.264267957435794</v>
      </c>
      <c r="P812" s="421">
        <f>DelivOIL!$F96*DelivOIL!X$81^5/(Conv!$I$5*Conv!$D$46)/10^6 + OILTrade!$H$5</f>
        <v>1.264267957435794</v>
      </c>
      <c r="Q812" s="421">
        <f>DelivOIL!$F96*DelivOIL!Y$81^5/(Conv!$I$5*Conv!$D$46)/10^6 + OILTrade!$H$5</f>
        <v>1.264267957435794</v>
      </c>
      <c r="S812" s="395"/>
      <c r="T812" s="395"/>
      <c r="U812" s="395"/>
      <c r="V812" s="395"/>
      <c r="W812" s="395"/>
      <c r="X812" s="395"/>
      <c r="Y812" s="395"/>
      <c r="Z812" s="395"/>
      <c r="AA812" s="395"/>
      <c r="AB812" s="395"/>
      <c r="AC812" s="395"/>
    </row>
    <row r="813" spans="2:29">
      <c r="B813" s="376" t="str">
        <f>IF(OR(LEFT(Commodities!B$332,1)="*",LEFT(Technologies!B$716,1)="*"),"*","R5")</f>
        <v>*</v>
      </c>
      <c r="C813" s="376" t="str">
        <f>Technologies!C$741</f>
        <v>XICOMRFLP2</v>
      </c>
      <c r="D813" s="376" t="str">
        <f>Technologies!D716</f>
        <v>Delivery of Imported Low Sulfur Residual Fuel Oil to Commercial Sector</v>
      </c>
      <c r="E813" s="415" t="str">
        <f>Commodities!C$343</f>
        <v>RFLP2</v>
      </c>
      <c r="F813" s="415" t="str">
        <f>Commodities!C104</f>
        <v>COMRFL</v>
      </c>
      <c r="G813" s="422">
        <v>1</v>
      </c>
      <c r="H813" s="421">
        <f>DelivOIL!$F96*DelivOIL!P$81^5/(Conv!$I$5*Conv!$D$46)/10^6 + OILTrade!$H$5</f>
        <v>1.2340595523076034</v>
      </c>
      <c r="I813" s="421">
        <f>DelivOIL!$F96*DelivOIL!Q$81^5/(Conv!$I$5*Conv!$D$46)/10^6 + OILTrade!$H$5</f>
        <v>1.2275382990119841</v>
      </c>
      <c r="J813" s="421">
        <f>DelivOIL!$F96*DelivOIL!R$81^5/(Conv!$I$5*Conv!$D$46)/10^6 + OILTrade!$H$5</f>
        <v>1.2913812051708187</v>
      </c>
      <c r="K813" s="421">
        <f>DelivOIL!$F96*DelivOIL!S$81^5/(Conv!$I$5*Conv!$D$46)/10^6 + OILTrade!$H$5</f>
        <v>1.5556238359878738</v>
      </c>
      <c r="L813" s="421">
        <f>DelivOIL!$F96*DelivOIL!T$81^5/(Conv!$I$5*Conv!$D$46)/10^6 + OILTrade!$H$5</f>
        <v>1.4266225891222903</v>
      </c>
      <c r="M813" s="421">
        <f>DelivOIL!$F96*DelivOIL!U$81^5/(Conv!$I$5*Conv!$D$46)/10^6 + OILTrade!$H$5</f>
        <v>1.264267957435794</v>
      </c>
      <c r="N813" s="421">
        <f>DelivOIL!$F96*DelivOIL!V$81^5/(Conv!$I$5*Conv!$D$46)/10^6 + OILTrade!$H$5</f>
        <v>1.264267957435794</v>
      </c>
      <c r="O813" s="421">
        <f>DelivOIL!$F96*DelivOIL!W$81^5/(Conv!$I$5*Conv!$D$46)/10^6 + OILTrade!$H$5</f>
        <v>1.264267957435794</v>
      </c>
      <c r="P813" s="421">
        <f>DelivOIL!$F96*DelivOIL!X$81^5/(Conv!$I$5*Conv!$D$46)/10^6 + OILTrade!$H$5</f>
        <v>1.264267957435794</v>
      </c>
      <c r="Q813" s="421">
        <f>DelivOIL!$F96*DelivOIL!Y$81^5/(Conv!$I$5*Conv!$D$46)/10^6 + OILTrade!$H$5</f>
        <v>1.264267957435794</v>
      </c>
      <c r="S813" s="395"/>
      <c r="T813" s="395"/>
      <c r="U813" s="395"/>
      <c r="V813" s="395"/>
      <c r="W813" s="395"/>
      <c r="X813" s="395"/>
      <c r="Y813" s="395"/>
      <c r="Z813" s="395"/>
      <c r="AA813" s="395"/>
      <c r="AB813" s="395"/>
      <c r="AC813" s="395"/>
    </row>
    <row r="814" spans="2:29">
      <c r="B814" s="376" t="str">
        <f>IF(OR(LEFT(Commodities!B$332,1)="*",LEFT(Technologies!B$717,1)="*"),"*","R5")</f>
        <v>R5</v>
      </c>
      <c r="C814" s="376" t="str">
        <f>Technologies!C$742</f>
        <v>XIINDRFLP2</v>
      </c>
      <c r="D814" s="376" t="str">
        <f>Technologies!D717</f>
        <v>Delivery of Imported Low Sulfur Residual Fuel Oil to Industrial Sector</v>
      </c>
      <c r="E814" s="415" t="str">
        <f>Commodities!C$343</f>
        <v>RFLP2</v>
      </c>
      <c r="F814" s="415" t="str">
        <f>Commodities!C105</f>
        <v>INDRFL</v>
      </c>
      <c r="G814" s="422">
        <v>1</v>
      </c>
      <c r="H814" s="421">
        <f>DelivOIL!$F97*DelivOIL!P$81^5/(Conv!$I$5*Conv!$D$46)/10^6 + OILTrade!$H$5</f>
        <v>1.2954216294941694</v>
      </c>
      <c r="I814" s="421">
        <f>DelivOIL!$F97*DelivOIL!Q$81^5/(Conv!$I$5*Conv!$D$46)/10^6 + OILTrade!$H$5</f>
        <v>1.2885761149849559</v>
      </c>
      <c r="J814" s="421">
        <f>DelivOIL!$F97*DelivOIL!R$81^5/(Conv!$I$5*Conv!$D$46)/10^6 + OILTrade!$H$5</f>
        <v>1.3555935302898094</v>
      </c>
      <c r="K814" s="421">
        <f>DelivOIL!$F97*DelivOIL!S$81^5/(Conv!$I$5*Conv!$D$46)/10^6 + OILTrade!$H$5</f>
        <v>1.6329752974458345</v>
      </c>
      <c r="L814" s="421">
        <f>DelivOIL!$F97*DelivOIL!T$81^5/(Conv!$I$5*Conv!$D$46)/10^6 + OILTrade!$H$5</f>
        <v>1.4975596239405256</v>
      </c>
      <c r="M814" s="421">
        <f>DelivOIL!$F97*DelivOIL!U$81^5/(Conv!$I$5*Conv!$D$46)/10^6 + OILTrade!$H$5</f>
        <v>1.3271321100154743</v>
      </c>
      <c r="N814" s="421">
        <f>DelivOIL!$F97*DelivOIL!V$81^5/(Conv!$I$5*Conv!$D$46)/10^6 + OILTrade!$H$5</f>
        <v>1.3271321100154743</v>
      </c>
      <c r="O814" s="421">
        <f>DelivOIL!$F97*DelivOIL!W$81^5/(Conv!$I$5*Conv!$D$46)/10^6 + OILTrade!$H$5</f>
        <v>1.3271321100154743</v>
      </c>
      <c r="P814" s="421">
        <f>DelivOIL!$F97*DelivOIL!X$81^5/(Conv!$I$5*Conv!$D$46)/10^6 + OILTrade!$H$5</f>
        <v>1.3271321100154743</v>
      </c>
      <c r="Q814" s="421">
        <f>DelivOIL!$F97*DelivOIL!Y$81^5/(Conv!$I$5*Conv!$D$46)/10^6 + OILTrade!$H$5</f>
        <v>1.3271321100154743</v>
      </c>
      <c r="S814" s="395"/>
      <c r="T814" s="395"/>
      <c r="U814" s="395"/>
      <c r="V814" s="395"/>
      <c r="W814" s="395"/>
      <c r="X814" s="395"/>
      <c r="Y814" s="395"/>
      <c r="Z814" s="395"/>
      <c r="AA814" s="395"/>
      <c r="AB814" s="395"/>
      <c r="AC814" s="395"/>
    </row>
    <row r="815" spans="2:29">
      <c r="B815" s="376" t="str">
        <f>IF(OR(LEFT(Commodities!B$332,1)="*",LEFT(Technologies!B$718,1)="*"),"*","R5")</f>
        <v>*</v>
      </c>
      <c r="C815" s="376" t="str">
        <f>Technologies!C$743</f>
        <v>XIELCRFLP2</v>
      </c>
      <c r="D815" s="376" t="str">
        <f>Technologies!D718</f>
        <v>Delivery of Imported Low Sulfur Residual Fuel Oil to Electricity Sector</v>
      </c>
      <c r="E815" s="415" t="str">
        <f>Commodities!C$343</f>
        <v>RFLP2</v>
      </c>
      <c r="F815" s="415" t="str">
        <f>Commodities!C106</f>
        <v>ELCRFL</v>
      </c>
      <c r="G815" s="422">
        <v>1</v>
      </c>
      <c r="H815" s="421">
        <f>DelivOIL!$F98*DelivOIL!P$81^5/(Conv!$I$5*Conv!$D$46)/10^6 + OILTrade!$H$5</f>
        <v>1.2136055265787482</v>
      </c>
      <c r="I815" s="421">
        <f>DelivOIL!$F98*DelivOIL!Q$81^5/(Conv!$I$5*Conv!$D$46)/10^6 + OILTrade!$H$5</f>
        <v>1.2071923603543269</v>
      </c>
      <c r="J815" s="421">
        <f>DelivOIL!$F98*DelivOIL!R$81^5/(Conv!$I$5*Conv!$D$46)/10^6 + OILTrade!$H$5</f>
        <v>1.2699770967978214</v>
      </c>
      <c r="K815" s="421">
        <f>DelivOIL!$F98*DelivOIL!S$81^5/(Conv!$I$5*Conv!$D$46)/10^6 + OILTrade!$H$5</f>
        <v>1.5298400155018868</v>
      </c>
      <c r="L815" s="421">
        <f>DelivOIL!$F98*DelivOIL!T$81^5/(Conv!$I$5*Conv!$D$46)/10^6 + OILTrade!$H$5</f>
        <v>1.4029769108495449</v>
      </c>
      <c r="M815" s="421">
        <f>DelivOIL!$F98*DelivOIL!U$81^5/(Conv!$I$5*Conv!$D$46)/10^6 + OILTrade!$H$5</f>
        <v>1.2433132399092337</v>
      </c>
      <c r="N815" s="421">
        <f>DelivOIL!$F98*DelivOIL!V$81^5/(Conv!$I$5*Conv!$D$46)/10^6 + OILTrade!$H$5</f>
        <v>1.2433132399092337</v>
      </c>
      <c r="O815" s="421">
        <f>DelivOIL!$F98*DelivOIL!W$81^5/(Conv!$I$5*Conv!$D$46)/10^6 + OILTrade!$H$5</f>
        <v>1.2433132399092337</v>
      </c>
      <c r="P815" s="421">
        <f>DelivOIL!$F98*DelivOIL!X$81^5/(Conv!$I$5*Conv!$D$46)/10^6 + OILTrade!$H$5</f>
        <v>1.2433132399092337</v>
      </c>
      <c r="Q815" s="421">
        <f>DelivOIL!$F98*DelivOIL!Y$81^5/(Conv!$I$5*Conv!$D$46)/10^6 + OILTrade!$H$5</f>
        <v>1.2433132399092337</v>
      </c>
      <c r="S815" s="395"/>
      <c r="T815" s="395"/>
      <c r="U815" s="395"/>
      <c r="V815" s="395"/>
      <c r="W815" s="395"/>
      <c r="X815" s="395"/>
      <c r="Y815" s="395"/>
      <c r="Z815" s="395"/>
      <c r="AA815" s="395"/>
      <c r="AB815" s="395"/>
      <c r="AC815" s="395"/>
    </row>
    <row r="816" spans="2:29">
      <c r="B816" s="376" t="str">
        <f>IF(OR(LEFT(Commodities!B$331,1)="*",LEFT(Technologies!B$719,1)="*"),"*","R5")</f>
        <v>*</v>
      </c>
      <c r="C816" s="376" t="str">
        <f>Technologies!C$744</f>
        <v>XITRNRFHP2</v>
      </c>
      <c r="D816" s="376" t="str">
        <f>Technologies!D719</f>
        <v>Delivery of Imported High Sulfur Residual Fuel Oil to Transportation Sector</v>
      </c>
      <c r="E816" s="415" t="str">
        <f>Commodities!C$342</f>
        <v>RFHP2</v>
      </c>
      <c r="F816" s="415" t="str">
        <f>Commodities!C107</f>
        <v>TRNRFH</v>
      </c>
      <c r="G816" s="422">
        <v>1</v>
      </c>
      <c r="H816" s="421">
        <f>DelivOIL!$F99*DelivOIL!P$81^5/(Conv!$I$5*Conv!$D$46)/10^6 + OILTrade!$H$5</f>
        <v>5.2703206294683822</v>
      </c>
      <c r="I816" s="421">
        <f>DelivOIL!$F99*DelivOIL!Q$81^5/(Conv!$I$5*Conv!$D$46)/10^6 + OILTrade!$H$5</f>
        <v>5.242470194123003</v>
      </c>
      <c r="J816" s="421">
        <f>DelivOIL!$F99*DelivOIL!R$81^5/(Conv!$I$5*Conv!$D$46)/10^6 + OILTrade!$H$5</f>
        <v>5.5151252574422225</v>
      </c>
      <c r="K816" s="421">
        <f>DelivOIL!$F99*DelivOIL!S$81^5/(Conv!$I$5*Conv!$D$46)/10^6 + OILTrade!$H$5</f>
        <v>6.6436310785559449</v>
      </c>
      <c r="L816" s="421">
        <f>DelivOIL!$F99*DelivOIL!T$81^5/(Conv!$I$5*Conv!$D$46)/10^6 + OILTrade!$H$5</f>
        <v>6.0927031016106623</v>
      </c>
      <c r="M816" s="421">
        <f>DelivOIL!$F99*DelivOIL!U$81^5/(Conv!$I$5*Conv!$D$46)/10^6 + OILTrade!$H$5</f>
        <v>5.3993322160103236</v>
      </c>
      <c r="N816" s="421">
        <f>DelivOIL!$F99*DelivOIL!V$81^5/(Conv!$I$5*Conv!$D$46)/10^6 + OILTrade!$H$5</f>
        <v>5.3993322160103236</v>
      </c>
      <c r="O816" s="421">
        <f>DelivOIL!$F99*DelivOIL!W$81^5/(Conv!$I$5*Conv!$D$46)/10^6 + OILTrade!$H$5</f>
        <v>5.3993322160103236</v>
      </c>
      <c r="P816" s="421">
        <f>DelivOIL!$F99*DelivOIL!X$81^5/(Conv!$I$5*Conv!$D$46)/10^6 + OILTrade!$H$5</f>
        <v>5.3993322160103236</v>
      </c>
      <c r="Q816" s="421">
        <f>DelivOIL!$F99*DelivOIL!Y$81^5/(Conv!$I$5*Conv!$D$46)/10^6 + OILTrade!$H$5</f>
        <v>5.3993322160103236</v>
      </c>
      <c r="S816" s="395"/>
      <c r="T816" s="395"/>
      <c r="U816" s="395"/>
      <c r="V816" s="395"/>
      <c r="W816" s="395"/>
      <c r="X816" s="395"/>
      <c r="Y816" s="395"/>
      <c r="Z816" s="395"/>
      <c r="AA816" s="395"/>
      <c r="AB816" s="395"/>
      <c r="AC816" s="395"/>
    </row>
    <row r="817" spans="2:29">
      <c r="B817" s="376" t="str">
        <f>IF(OR(LEFT(Commodities!B$331,1)="*",LEFT(Technologies!B$720,1)="*"),"*","R5")</f>
        <v>*</v>
      </c>
      <c r="C817" s="376" t="str">
        <f>Technologies!C$745</f>
        <v>XIELCRFHP2</v>
      </c>
      <c r="D817" s="376" t="str">
        <f>Technologies!D720</f>
        <v>Delivery of Imported High Sulfur Residual Fuel Oil to Electricity Sector</v>
      </c>
      <c r="E817" s="415" t="str">
        <f>Commodities!C$342</f>
        <v>RFHP2</v>
      </c>
      <c r="F817" s="415" t="str">
        <f>Commodities!C108</f>
        <v>ELCRFH</v>
      </c>
      <c r="G817" s="422">
        <v>1</v>
      </c>
      <c r="H817" s="421">
        <f>DelivOIL!$F100*DelivOIL!P$81^5/(Conv!$I$5*Conv!$D$46)/10^6 + OILTrade!$H$5</f>
        <v>0.54544068610280794</v>
      </c>
      <c r="I817" s="421">
        <f>DelivOIL!$F100*DelivOIL!Q$81^5/(Conv!$I$5*Conv!$D$46)/10^6 + OILTrade!$H$5</f>
        <v>0.54255836420419179</v>
      </c>
      <c r="J817" s="421">
        <f>DelivOIL!$F100*DelivOIL!R$81^5/(Conv!$I$5*Conv!$D$46)/10^6 + OILTrade!$H$5</f>
        <v>0.57077622327991961</v>
      </c>
      <c r="K817" s="421">
        <f>DelivOIL!$F100*DelivOIL!S$81^5/(Conv!$I$5*Conv!$D$46)/10^6 + OILTrade!$H$5</f>
        <v>0.6875685462929827</v>
      </c>
      <c r="L817" s="421">
        <f>DelivOIL!$F100*DelivOIL!T$81^5/(Conv!$I$5*Conv!$D$46)/10^6 + OILTrade!$H$5</f>
        <v>0.63055142060653679</v>
      </c>
      <c r="M817" s="421">
        <f>DelivOIL!$F100*DelivOIL!U$81^5/(Conv!$I$5*Conv!$D$46)/10^6 + OILTrade!$H$5</f>
        <v>0.55879246737493637</v>
      </c>
      <c r="N817" s="421">
        <f>DelivOIL!$F100*DelivOIL!V$81^5/(Conv!$I$5*Conv!$D$46)/10^6 + OILTrade!$H$5</f>
        <v>0.55879246737493637</v>
      </c>
      <c r="O817" s="421">
        <f>DelivOIL!$F100*DelivOIL!W$81^5/(Conv!$I$5*Conv!$D$46)/10^6 + OILTrade!$H$5</f>
        <v>0.55879246737493637</v>
      </c>
      <c r="P817" s="421">
        <f>DelivOIL!$F100*DelivOIL!X$81^5/(Conv!$I$5*Conv!$D$46)/10^6 + OILTrade!$H$5</f>
        <v>0.55879246737493637</v>
      </c>
      <c r="Q817" s="421">
        <f>DelivOIL!$F100*DelivOIL!Y$81^5/(Conv!$I$5*Conv!$D$46)/10^6 + OILTrade!$H$5</f>
        <v>0.55879246737493637</v>
      </c>
      <c r="S817" s="395"/>
      <c r="T817" s="395"/>
      <c r="U817" s="395"/>
      <c r="V817" s="395"/>
      <c r="W817" s="395"/>
      <c r="X817" s="395"/>
      <c r="Y817" s="395"/>
      <c r="Z817" s="395"/>
      <c r="AA817" s="395"/>
      <c r="AB817" s="395"/>
      <c r="AC817" s="395"/>
    </row>
    <row r="818" spans="2:29">
      <c r="B818" s="378" t="s">
        <v>1089</v>
      </c>
      <c r="C818" s="378"/>
      <c r="D818" s="378"/>
      <c r="E818" s="414"/>
      <c r="F818" s="414"/>
      <c r="G818" s="418"/>
      <c r="H818" s="392"/>
      <c r="I818" s="392"/>
      <c r="J818" s="392"/>
      <c r="K818" s="392"/>
      <c r="L818" s="392"/>
      <c r="M818" s="392"/>
      <c r="N818" s="392"/>
      <c r="O818" s="392"/>
      <c r="P818" s="392"/>
      <c r="Q818" s="392"/>
    </row>
    <row r="819" spans="2:29">
      <c r="B819" s="376" t="str">
        <f>IF(LEFT(Technologies!B$702,1)="*","*","R6")</f>
        <v>R6</v>
      </c>
      <c r="C819" s="376" t="str">
        <f>Technologies!C$722</f>
        <v>XITRGSLCP2</v>
      </c>
      <c r="D819" s="376" t="str">
        <f>Technologies!D702</f>
        <v>Delivery of Imported Conventional Gasoline</v>
      </c>
      <c r="E819" s="415" t="str">
        <f>Commodities!C$336</f>
        <v>GSCP2</v>
      </c>
      <c r="F819" s="415" t="str">
        <f>Commodities!C85</f>
        <v>TRGSLC</v>
      </c>
      <c r="G819" s="422">
        <v>1</v>
      </c>
      <c r="H819" s="421">
        <f>DelivOIL!$G77*DelivOIL!P$82^5/(Conv!$I$5*Conv!$D$46)/10^6 + OILTrade!$I$7</f>
        <v>3.3340061938034138</v>
      </c>
      <c r="I819" s="421">
        <f>DelivOIL!$G77*DelivOIL!Q$82^5/(Conv!$I$5*Conv!$D$46)/10^6 + OILTrade!$I$7</f>
        <v>2.9843149337239279</v>
      </c>
      <c r="J819" s="421">
        <f>DelivOIL!$G77*DelivOIL!R$82^5/(Conv!$I$5*Conv!$D$46)/10^6 + OILTrade!$I$7</f>
        <v>3.3852292604304748</v>
      </c>
      <c r="K819" s="421">
        <f>DelivOIL!$G77*DelivOIL!S$82^5/(Conv!$I$5*Conv!$D$46)/10^6 + OILTrade!$I$7</f>
        <v>3.8767600283295818</v>
      </c>
      <c r="L819" s="421">
        <f>DelivOIL!$G77*DelivOIL!T$82^5/(Conv!$I$5*Conv!$D$46)/10^6 + OILTrade!$I$7</f>
        <v>3.5466981560636386</v>
      </c>
      <c r="M819" s="421">
        <f>DelivOIL!$G77*DelivOIL!U$82^5/(Conv!$I$5*Conv!$D$46)/10^6 + OILTrade!$I$7</f>
        <v>3.3835944944460028</v>
      </c>
      <c r="N819" s="421">
        <f>DelivOIL!$G77*DelivOIL!V$82^5/(Conv!$I$5*Conv!$D$46)/10^6 + OILTrade!$I$7</f>
        <v>3.3835944944460028</v>
      </c>
      <c r="O819" s="421">
        <f>DelivOIL!$G77*DelivOIL!W$82^5/(Conv!$I$5*Conv!$D$46)/10^6 + OILTrade!$I$7</f>
        <v>3.3835944944460028</v>
      </c>
      <c r="P819" s="421">
        <f>DelivOIL!$G77*DelivOIL!X$82^5/(Conv!$I$5*Conv!$D$46)/10^6 + OILTrade!$I$7</f>
        <v>3.3835944944460028</v>
      </c>
      <c r="Q819" s="421">
        <f>DelivOIL!$G77*DelivOIL!Y$82^5/(Conv!$I$5*Conv!$D$46)/10^6 + OILTrade!$I$7</f>
        <v>3.3835944944460028</v>
      </c>
      <c r="S819" s="395"/>
      <c r="T819" s="395"/>
      <c r="U819" s="395"/>
      <c r="V819" s="395"/>
      <c r="W819" s="395"/>
      <c r="X819" s="395"/>
      <c r="Y819" s="395"/>
      <c r="Z819" s="395"/>
      <c r="AA819" s="395"/>
      <c r="AB819" s="395"/>
      <c r="AC819" s="395"/>
    </row>
    <row r="820" spans="2:29">
      <c r="B820" s="376" t="str">
        <f>IF(LEFT(Technologies!B$703,1)="*","*","R6")</f>
        <v>R6</v>
      </c>
      <c r="C820" s="376" t="str">
        <f>Technologies!C$723</f>
        <v>XITRGSLRP2</v>
      </c>
      <c r="D820" s="376" t="str">
        <f>Technologies!D703</f>
        <v>Delivery of Imported Reformulated Gasoline</v>
      </c>
      <c r="E820" s="415" t="str">
        <f>Commodities!C$337</f>
        <v>GSRP2</v>
      </c>
      <c r="F820" s="415" t="str">
        <f>Commodities!C86</f>
        <v>TRGSLR</v>
      </c>
      <c r="G820" s="422">
        <v>1</v>
      </c>
      <c r="H820" s="421">
        <f>DelivOIL!$G78*DelivOIL!P$82^5/(Conv!$I$5*Conv!$D$46)/10^6 + OILTrade!$I$7</f>
        <v>3.3203701766508433</v>
      </c>
      <c r="I820" s="421">
        <f>DelivOIL!$G78*DelivOIL!Q$82^5/(Conv!$I$5*Conv!$D$46)/10^6 + OILTrade!$I$7</f>
        <v>2.9721091466739313</v>
      </c>
      <c r="J820" s="421">
        <f>DelivOIL!$G78*DelivOIL!R$82^5/(Conv!$I$5*Conv!$D$46)/10^6 + OILTrade!$I$7</f>
        <v>3.3713837419829056</v>
      </c>
      <c r="K820" s="421">
        <f>DelivOIL!$G78*DelivOIL!S$82^5/(Conv!$I$5*Conv!$D$46)/10^6 + OILTrade!$I$7</f>
        <v>3.8609041590930593</v>
      </c>
      <c r="L820" s="421">
        <f>DelivOIL!$G78*DelivOIL!T$82^5/(Conv!$I$5*Conv!$D$46)/10^6 + OILTrade!$I$7</f>
        <v>3.5321922331349525</v>
      </c>
      <c r="M820" s="421">
        <f>DelivOIL!$G78*DelivOIL!U$82^5/(Conv!$I$5*Conv!$D$46)/10^6 + OILTrade!$I$7</f>
        <v>3.3697556621578793</v>
      </c>
      <c r="N820" s="421">
        <f>DelivOIL!$G78*DelivOIL!V$82^5/(Conv!$I$5*Conv!$D$46)/10^6 + OILTrade!$I$7</f>
        <v>3.3697556621578793</v>
      </c>
      <c r="O820" s="421">
        <f>DelivOIL!$G78*DelivOIL!W$82^5/(Conv!$I$5*Conv!$D$46)/10^6 + OILTrade!$I$7</f>
        <v>3.3697556621578793</v>
      </c>
      <c r="P820" s="421">
        <f>DelivOIL!$G78*DelivOIL!X$82^5/(Conv!$I$5*Conv!$D$46)/10^6 + OILTrade!$I$7</f>
        <v>3.3697556621578793</v>
      </c>
      <c r="Q820" s="421">
        <f>DelivOIL!$G78*DelivOIL!Y$82^5/(Conv!$I$5*Conv!$D$46)/10^6 + OILTrade!$I$7</f>
        <v>3.3697556621578793</v>
      </c>
      <c r="S820" s="395"/>
      <c r="T820" s="395"/>
      <c r="U820" s="395"/>
      <c r="V820" s="395"/>
      <c r="W820" s="395"/>
      <c r="X820" s="395"/>
      <c r="Y820" s="395"/>
      <c r="Z820" s="395"/>
      <c r="AA820" s="395"/>
      <c r="AB820" s="395"/>
      <c r="AC820" s="395"/>
    </row>
    <row r="821" spans="2:29">
      <c r="B821" s="376" t="str">
        <f>IF(OR(LEFT(Commodities!B$65,1)="*",LEFT(Technologies!B$233,1)="*"),"*","R6")</f>
        <v>R6</v>
      </c>
      <c r="C821" s="376" t="str">
        <f>Technologies!C$724</f>
        <v>XIRESDSLP2</v>
      </c>
      <c r="D821" s="376" t="str">
        <f>Technologies!D233</f>
        <v>Delivery of Imported Distillate-Heating Oil No. 2 to the Residential Sector</v>
      </c>
      <c r="E821" s="415" t="str">
        <f>Commodities!C$67</f>
        <v>DSHP2</v>
      </c>
      <c r="F821" s="415" t="str">
        <f>Commodities!C87</f>
        <v>RESDSL</v>
      </c>
      <c r="G821" s="422">
        <v>1</v>
      </c>
      <c r="H821" s="421">
        <f>DelivOIL!$G80*DelivOIL!P$82^5/(Conv!$I$5*Conv!$D$46)/10^6 + OILTrade!$I$7</f>
        <v>2.5226631732254869</v>
      </c>
      <c r="I821" s="421">
        <f>DelivOIL!$G80*DelivOIL!Q$82^5/(Conv!$I$5*Conv!$D$46)/10^6 + OILTrade!$I$7</f>
        <v>2.2580706042491885</v>
      </c>
      <c r="J821" s="421">
        <f>DelivOIL!$G80*DelivOIL!R$82^5/(Conv!$I$5*Conv!$D$46)/10^6 + OILTrade!$I$7</f>
        <v>2.561420912800155</v>
      </c>
      <c r="K821" s="421">
        <f>DelivOIL!$G80*DelivOIL!S$82^5/(Conv!$I$5*Conv!$D$46)/10^6 + OILTrade!$I$7</f>
        <v>2.9333358087565347</v>
      </c>
      <c r="L821" s="421">
        <f>DelivOIL!$G80*DelivOIL!T$82^5/(Conv!$I$5*Conv!$D$46)/10^6 + OILTrade!$I$7</f>
        <v>2.6835957418068435</v>
      </c>
      <c r="M821" s="421">
        <f>DelivOIL!$G80*DelivOIL!U$82^5/(Conv!$I$5*Conv!$D$46)/10^6 + OILTrade!$I$7</f>
        <v>2.5601839733027019</v>
      </c>
      <c r="N821" s="421">
        <f>DelivOIL!$G80*DelivOIL!V$82^5/(Conv!$I$5*Conv!$D$46)/10^6 + OILTrade!$I$7</f>
        <v>2.5601839733027019</v>
      </c>
      <c r="O821" s="421">
        <f>DelivOIL!$G80*DelivOIL!W$82^5/(Conv!$I$5*Conv!$D$46)/10^6 + OILTrade!$I$7</f>
        <v>2.5601839733027019</v>
      </c>
      <c r="P821" s="421">
        <f>DelivOIL!$G80*DelivOIL!X$82^5/(Conv!$I$5*Conv!$D$46)/10^6 + OILTrade!$I$7</f>
        <v>2.5601839733027019</v>
      </c>
      <c r="Q821" s="421">
        <f>DelivOIL!$G80*DelivOIL!Y$82^5/(Conv!$I$5*Conv!$D$46)/10^6 + OILTrade!$I$7</f>
        <v>2.5601839733027019</v>
      </c>
      <c r="S821" s="395"/>
      <c r="T821" s="395"/>
      <c r="U821" s="395"/>
      <c r="V821" s="395"/>
      <c r="W821" s="395"/>
      <c r="X821" s="395"/>
      <c r="Y821" s="395"/>
      <c r="Z821" s="395"/>
      <c r="AA821" s="395"/>
      <c r="AB821" s="395"/>
      <c r="AC821" s="395"/>
    </row>
    <row r="822" spans="2:29">
      <c r="B822" s="376" t="str">
        <f>IF(OR(LEFT(Commodities!B$65,1)="*",LEFT(Technologies!B$234,1)="*"),"*","R6")</f>
        <v>R6</v>
      </c>
      <c r="C822" s="376" t="str">
        <f>Technologies!C$725</f>
        <v>XICOMDSLP2</v>
      </c>
      <c r="D822" s="376" t="str">
        <f>Technologies!D234</f>
        <v>Delivery of Imported Distillate-Heating Oil No. 2 to the Commercial Sector</v>
      </c>
      <c r="E822" s="415" t="str">
        <f>Commodities!C$67</f>
        <v>DSHP2</v>
      </c>
      <c r="F822" s="415" t="str">
        <f>Commodities!C88</f>
        <v>COMDSL</v>
      </c>
      <c r="G822" s="422">
        <v>1</v>
      </c>
      <c r="H822" s="421">
        <f>DelivOIL!$G81*DelivOIL!P$82^5/(Conv!$I$5*Conv!$D$46)/10^6 + OILTrade!$I$7</f>
        <v>0.8727050977644929</v>
      </c>
      <c r="I822" s="421">
        <f>DelivOIL!$G81*DelivOIL!Q$82^5/(Conv!$I$5*Conv!$D$46)/10^6 + OILTrade!$I$7</f>
        <v>0.78117037119971933</v>
      </c>
      <c r="J822" s="421">
        <f>DelivOIL!$G81*DelivOIL!R$82^5/(Conv!$I$5*Conv!$D$46)/10^6 + OILTrade!$I$7</f>
        <v>0.88611318064437783</v>
      </c>
      <c r="K822" s="421">
        <f>DelivOIL!$G81*DelivOIL!S$82^5/(Conv!$I$5*Conv!$D$46)/10^6 + OILTrade!$I$7</f>
        <v>1.0147756311373957</v>
      </c>
      <c r="L822" s="421">
        <f>DelivOIL!$G81*DelivOIL!T$82^5/(Conv!$I$5*Conv!$D$46)/10^6 + OILTrade!$I$7</f>
        <v>0.92837906743588094</v>
      </c>
      <c r="M822" s="421">
        <f>DelivOIL!$G81*DelivOIL!U$82^5/(Conv!$I$5*Conv!$D$46)/10^6 + OILTrade!$I$7</f>
        <v>0.88568526643985357</v>
      </c>
      <c r="N822" s="421">
        <f>DelivOIL!$G81*DelivOIL!V$82^5/(Conv!$I$5*Conv!$D$46)/10^6 + OILTrade!$I$7</f>
        <v>0.88568526643985357</v>
      </c>
      <c r="O822" s="421">
        <f>DelivOIL!$G81*DelivOIL!W$82^5/(Conv!$I$5*Conv!$D$46)/10^6 + OILTrade!$I$7</f>
        <v>0.88568526643985357</v>
      </c>
      <c r="P822" s="421">
        <f>DelivOIL!$G81*DelivOIL!X$82^5/(Conv!$I$5*Conv!$D$46)/10^6 + OILTrade!$I$7</f>
        <v>0.88568526643985357</v>
      </c>
      <c r="Q822" s="421">
        <f>DelivOIL!$G81*DelivOIL!Y$82^5/(Conv!$I$5*Conv!$D$46)/10^6 + OILTrade!$I$7</f>
        <v>0.88568526643985357</v>
      </c>
      <c r="S822" s="395"/>
      <c r="T822" s="395"/>
      <c r="U822" s="395"/>
      <c r="V822" s="395"/>
      <c r="W822" s="395"/>
      <c r="X822" s="395"/>
      <c r="Y822" s="395"/>
      <c r="Z822" s="395"/>
      <c r="AA822" s="395"/>
      <c r="AB822" s="395"/>
      <c r="AC822" s="395"/>
    </row>
    <row r="823" spans="2:29">
      <c r="B823" s="376" t="str">
        <f>IF(OR(LEFT(Commodities!B$65,1)="*",LEFT(Technologies!B$235,1)="*"),"*","R6")</f>
        <v>*</v>
      </c>
      <c r="C823" s="376" t="str">
        <f>Technologies!C$726</f>
        <v>XIINDDSLP2</v>
      </c>
      <c r="D823" s="376" t="str">
        <f>Technologies!D235</f>
        <v>Delivery of Imported Distillate-Heating Oil No. 2 to the Indistrial Sector</v>
      </c>
      <c r="E823" s="415" t="str">
        <f>Commodities!C$67</f>
        <v>DSHP2</v>
      </c>
      <c r="F823" s="415" t="str">
        <f>Commodities!C89</f>
        <v>INDDSL</v>
      </c>
      <c r="G823" s="422">
        <v>1</v>
      </c>
      <c r="H823" s="421">
        <f>DelivOIL!$G82*DelivOIL!P$82^5/(Conv!$I$5*Conv!$D$46)/10^6 + OILTrade!$I$7</f>
        <v>1.1726974751210375</v>
      </c>
      <c r="I823" s="421">
        <f>DelivOIL!$G82*DelivOIL!Q$82^5/(Conv!$I$5*Conv!$D$46)/10^6 + OILTrade!$I$7</f>
        <v>1.049697686299623</v>
      </c>
      <c r="J823" s="421">
        <f>DelivOIL!$G82*DelivOIL!R$82^5/(Conv!$I$5*Conv!$D$46)/10^6 + OILTrade!$I$7</f>
        <v>1.190714586490883</v>
      </c>
      <c r="K823" s="421">
        <f>DelivOIL!$G82*DelivOIL!S$82^5/(Conv!$I$5*Conv!$D$46)/10^6 + OILTrade!$I$7</f>
        <v>1.3636047543408758</v>
      </c>
      <c r="L823" s="421">
        <f>DelivOIL!$G82*DelivOIL!T$82^5/(Conv!$I$5*Conv!$D$46)/10^6 + OILTrade!$I$7</f>
        <v>1.2475093718669654</v>
      </c>
      <c r="M823" s="421">
        <f>DelivOIL!$G82*DelivOIL!U$82^5/(Conv!$I$5*Conv!$D$46)/10^6 + OILTrade!$I$7</f>
        <v>1.1901395767785536</v>
      </c>
      <c r="N823" s="421">
        <f>DelivOIL!$G82*DelivOIL!V$82^5/(Conv!$I$5*Conv!$D$46)/10^6 + OILTrade!$I$7</f>
        <v>1.1901395767785536</v>
      </c>
      <c r="O823" s="421">
        <f>DelivOIL!$G82*DelivOIL!W$82^5/(Conv!$I$5*Conv!$D$46)/10^6 + OILTrade!$I$7</f>
        <v>1.1901395767785536</v>
      </c>
      <c r="P823" s="421">
        <f>DelivOIL!$G82*DelivOIL!X$82^5/(Conv!$I$5*Conv!$D$46)/10^6 + OILTrade!$I$7</f>
        <v>1.1901395767785536</v>
      </c>
      <c r="Q823" s="421">
        <f>DelivOIL!$G82*DelivOIL!Y$82^5/(Conv!$I$5*Conv!$D$46)/10^6 + OILTrade!$I$7</f>
        <v>1.1901395767785536</v>
      </c>
      <c r="S823" s="395"/>
      <c r="T823" s="395"/>
      <c r="U823" s="395"/>
      <c r="V823" s="395"/>
      <c r="W823" s="395"/>
      <c r="X823" s="395"/>
      <c r="Y823" s="395"/>
      <c r="Z823" s="395"/>
      <c r="AA823" s="395"/>
      <c r="AB823" s="395"/>
      <c r="AC823" s="395"/>
    </row>
    <row r="824" spans="2:29">
      <c r="B824" s="376" t="str">
        <f>IF(OR(LEFT(Commodities!B$65,1)="*",LEFT(Technologies!B$236,1)="*"),"*","R6")</f>
        <v>R6</v>
      </c>
      <c r="C824" s="376" t="str">
        <f>Technologies!C$727</f>
        <v>XIELCDSLP2</v>
      </c>
      <c r="D824" s="376" t="str">
        <f>Technologies!D236</f>
        <v>Delivery of Imported Distillate-Heating Oil No. 2 to the Electricity Sector</v>
      </c>
      <c r="E824" s="415" t="str">
        <f>Commodities!C$67</f>
        <v>DSHP2</v>
      </c>
      <c r="F824" s="415" t="str">
        <f>Commodities!C90</f>
        <v>ELCDSL</v>
      </c>
      <c r="G824" s="422">
        <v>1</v>
      </c>
      <c r="H824" s="421">
        <f>DelivOIL!$G83*DelivOIL!P$82^5/(Conv!$I$5*Conv!$D$46)/10^6 + OILTrade!$I$7</f>
        <v>0.82497903773049708</v>
      </c>
      <c r="I824" s="421">
        <f>DelivOIL!$G83*DelivOIL!Q$82^5/(Conv!$I$5*Conv!$D$46)/10^6 + OILTrade!$I$7</f>
        <v>0.7384501165247348</v>
      </c>
      <c r="J824" s="421">
        <f>DelivOIL!$G83*DelivOIL!R$82^5/(Conv!$I$5*Conv!$D$46)/10^6 + OILTrade!$I$7</f>
        <v>0.83765386607788839</v>
      </c>
      <c r="K824" s="421">
        <f>DelivOIL!$G83*DelivOIL!S$82^5/(Conv!$I$5*Conv!$D$46)/10^6 + OILTrade!$I$7</f>
        <v>0.95928008880956939</v>
      </c>
      <c r="L824" s="421">
        <f>DelivOIL!$G83*DelivOIL!T$82^5/(Conv!$I$5*Conv!$D$46)/10^6 + OILTrade!$I$7</f>
        <v>0.87760833718548115</v>
      </c>
      <c r="M824" s="421">
        <f>DelivOIL!$G83*DelivOIL!U$82^5/(Conv!$I$5*Conv!$D$46)/10^6 + OILTrade!$I$7</f>
        <v>0.83724935343142415</v>
      </c>
      <c r="N824" s="421">
        <f>DelivOIL!$G83*DelivOIL!V$82^5/(Conv!$I$5*Conv!$D$46)/10^6 + OILTrade!$I$7</f>
        <v>0.83724935343142415</v>
      </c>
      <c r="O824" s="421">
        <f>DelivOIL!$G83*DelivOIL!W$82^5/(Conv!$I$5*Conv!$D$46)/10^6 + OILTrade!$I$7</f>
        <v>0.83724935343142415</v>
      </c>
      <c r="P824" s="421">
        <f>DelivOIL!$G83*DelivOIL!X$82^5/(Conv!$I$5*Conv!$D$46)/10^6 + OILTrade!$I$7</f>
        <v>0.83724935343142415</v>
      </c>
      <c r="Q824" s="421">
        <f>DelivOIL!$G83*DelivOIL!Y$82^5/(Conv!$I$5*Conv!$D$46)/10^6 + OILTrade!$I$7</f>
        <v>0.83724935343142415</v>
      </c>
      <c r="S824" s="395"/>
      <c r="T824" s="395"/>
      <c r="U824" s="395"/>
      <c r="V824" s="395"/>
      <c r="W824" s="395"/>
      <c r="X824" s="395"/>
      <c r="Y824" s="395"/>
      <c r="Z824" s="395"/>
      <c r="AA824" s="395"/>
      <c r="AB824" s="395"/>
      <c r="AC824" s="395"/>
    </row>
    <row r="825" spans="2:29">
      <c r="B825" s="376" t="str">
        <f>IF(OR(LEFT(Commodities!B$323,1)="*",LEFT(Technologies!B$704,1)="*"),"*","R6")</f>
        <v>R6</v>
      </c>
      <c r="C825" s="376" t="str">
        <f>Technologies!C$728</f>
        <v>XITRDSLLP2</v>
      </c>
      <c r="D825" s="376" t="str">
        <f>Technologies!D704</f>
        <v>Delivery of Imported Distillate-Low Sulfur Highway Diesel (500 ppm)</v>
      </c>
      <c r="E825" s="415" t="str">
        <f>Commodities!C$334</f>
        <v>DSLP2</v>
      </c>
      <c r="F825" s="415" t="str">
        <f>Commodities!C91</f>
        <v>TRDSLL</v>
      </c>
      <c r="G825" s="422">
        <v>1</v>
      </c>
      <c r="H825" s="421">
        <f>DelivOIL!$G84*DelivOIL!P$82^5/(Conv!$I$5*Conv!$D$46)/10^6 + OILTrade!$I$7</f>
        <v>3.5658184853971071</v>
      </c>
      <c r="I825" s="421">
        <f>DelivOIL!$G84*DelivOIL!Q$82^5/(Conv!$I$5*Conv!$D$46)/10^6 + OILTrade!$I$7</f>
        <v>3.1918133135738525</v>
      </c>
      <c r="J825" s="421">
        <f>DelivOIL!$G84*DelivOIL!R$82^5/(Conv!$I$5*Conv!$D$46)/10^6 + OILTrade!$I$7</f>
        <v>3.6206030740391371</v>
      </c>
      <c r="K825" s="421">
        <f>DelivOIL!$G84*DelivOIL!S$82^5/(Conv!$I$5*Conv!$D$46)/10^6 + OILTrade!$I$7</f>
        <v>4.1463098053504526</v>
      </c>
      <c r="L825" s="421">
        <f>DelivOIL!$G84*DelivOIL!T$82^5/(Conv!$I$5*Conv!$D$46)/10^6 + OILTrade!$I$7</f>
        <v>3.7932988458512944</v>
      </c>
      <c r="M825" s="421">
        <f>DelivOIL!$G84*DelivOIL!U$82^5/(Conv!$I$5*Conv!$D$46)/10^6 + OILTrade!$I$7</f>
        <v>3.6188546433440885</v>
      </c>
      <c r="N825" s="421">
        <f>DelivOIL!$G84*DelivOIL!V$82^5/(Conv!$I$5*Conv!$D$46)/10^6 + OILTrade!$I$7</f>
        <v>3.6188546433440885</v>
      </c>
      <c r="O825" s="421">
        <f>DelivOIL!$G84*DelivOIL!W$82^5/(Conv!$I$5*Conv!$D$46)/10^6 + OILTrade!$I$7</f>
        <v>3.6188546433440885</v>
      </c>
      <c r="P825" s="421">
        <f>DelivOIL!$G84*DelivOIL!X$82^5/(Conv!$I$5*Conv!$D$46)/10^6 + OILTrade!$I$7</f>
        <v>3.6188546433440885</v>
      </c>
      <c r="Q825" s="421">
        <f>DelivOIL!$G84*DelivOIL!Y$82^5/(Conv!$I$5*Conv!$D$46)/10^6 + OILTrade!$I$7</f>
        <v>3.6188546433440885</v>
      </c>
      <c r="S825" s="395"/>
      <c r="T825" s="395"/>
      <c r="U825" s="395"/>
      <c r="V825" s="395"/>
      <c r="W825" s="395"/>
      <c r="X825" s="395"/>
      <c r="Y825" s="395"/>
      <c r="Z825" s="395"/>
      <c r="AA825" s="395"/>
      <c r="AB825" s="395"/>
      <c r="AC825" s="395"/>
    </row>
    <row r="826" spans="2:29">
      <c r="B826" s="376" t="str">
        <f>IF(OR(LEFT(Commodities!B$324,1)="*",LEFT(Technologies!B$705,1)="*"),"*","R6")</f>
        <v>R6</v>
      </c>
      <c r="C826" s="376" t="str">
        <f>Technologies!C$729</f>
        <v>XITRDSLUP2</v>
      </c>
      <c r="D826" s="376" t="str">
        <f>Technologies!D705</f>
        <v>Delivery of Imported Distillate-Ultralow Sulfur Highway Diesel (15 ppm)</v>
      </c>
      <c r="E826" s="415" t="str">
        <f>Commodities!C$335</f>
        <v>DSUP2</v>
      </c>
      <c r="F826" s="415" t="str">
        <f>Commodities!C92</f>
        <v>TRDSLU</v>
      </c>
      <c r="G826" s="422">
        <v>1</v>
      </c>
      <c r="H826" s="421">
        <f>DelivOIL!$G85*DelivOIL!P$82^5/(Conv!$I$5*Conv!$D$46)/10^6 + OILTrade!$I$7</f>
        <v>2.9249256792263076</v>
      </c>
      <c r="I826" s="421">
        <f>DelivOIL!$G85*DelivOIL!Q$82^5/(Conv!$I$5*Conv!$D$46)/10^6 + OILTrade!$I$7</f>
        <v>2.618141322224059</v>
      </c>
      <c r="J826" s="421">
        <f>DelivOIL!$G85*DelivOIL!R$82^5/(Conv!$I$5*Conv!$D$46)/10^6 + OILTrade!$I$7</f>
        <v>2.9698637070034226</v>
      </c>
      <c r="K826" s="421">
        <f>DelivOIL!$G85*DelivOIL!S$82^5/(Conv!$I$5*Conv!$D$46)/10^6 + OILTrade!$I$7</f>
        <v>3.401083951233927</v>
      </c>
      <c r="L826" s="421">
        <f>DelivOIL!$G85*DelivOIL!T$82^5/(Conv!$I$5*Conv!$D$46)/10^6 + OILTrade!$I$7</f>
        <v>3.1115204682030697</v>
      </c>
      <c r="M826" s="421">
        <f>DelivOIL!$G85*DelivOIL!U$82^5/(Conv!$I$5*Conv!$D$46)/10^6 + OILTrade!$I$7</f>
        <v>2.9684295258023212</v>
      </c>
      <c r="N826" s="421">
        <f>DelivOIL!$G85*DelivOIL!V$82^5/(Conv!$I$5*Conv!$D$46)/10^6 + OILTrade!$I$7</f>
        <v>2.9684295258023212</v>
      </c>
      <c r="O826" s="421">
        <f>DelivOIL!$G85*DelivOIL!W$82^5/(Conv!$I$5*Conv!$D$46)/10^6 + OILTrade!$I$7</f>
        <v>2.9684295258023212</v>
      </c>
      <c r="P826" s="421">
        <f>DelivOIL!$G85*DelivOIL!X$82^5/(Conv!$I$5*Conv!$D$46)/10^6 + OILTrade!$I$7</f>
        <v>2.9684295258023212</v>
      </c>
      <c r="Q826" s="421">
        <f>DelivOIL!$G85*DelivOIL!Y$82^5/(Conv!$I$5*Conv!$D$46)/10^6 + OILTrade!$I$7</f>
        <v>2.9684295258023212</v>
      </c>
      <c r="S826" s="395"/>
      <c r="T826" s="395"/>
      <c r="U826" s="395"/>
      <c r="V826" s="395"/>
      <c r="W826" s="395"/>
      <c r="X826" s="395"/>
      <c r="Y826" s="395"/>
      <c r="Z826" s="395"/>
      <c r="AA826" s="395"/>
      <c r="AB826" s="395"/>
      <c r="AC826" s="395"/>
    </row>
    <row r="827" spans="2:29">
      <c r="B827" s="376" t="str">
        <f>IF(OR(LEFT(Commodities!B$64,1)="*",LEFT(Technologies!B$232,1)="*"),"*","R6")</f>
        <v>R6</v>
      </c>
      <c r="C827" s="376" t="str">
        <f>Technologies!C$730</f>
        <v>XITRNJTFP2</v>
      </c>
      <c r="D827" s="376" t="str">
        <f>Technologies!D232</f>
        <v>Delivery of Imported Jet Fuel</v>
      </c>
      <c r="E827" s="415" t="str">
        <f>Commodities!C$66</f>
        <v>JTFP2</v>
      </c>
      <c r="F827" s="415" t="str">
        <f>Commodities!C93</f>
        <v>TRNJTF</v>
      </c>
      <c r="G827" s="422">
        <v>1</v>
      </c>
      <c r="H827" s="421">
        <f>DelivOIL!$G86*DelivOIL!P$82^5/(Conv!$I$5*Conv!$D$46)/10^6 + OILTrade!$I$7</f>
        <v>0.7090728919336502</v>
      </c>
      <c r="I827" s="421">
        <f>DelivOIL!$G86*DelivOIL!Q$82^5/(Conv!$I$5*Conv!$D$46)/10^6 + OILTrade!$I$7</f>
        <v>0.63470092659977184</v>
      </c>
      <c r="J827" s="421">
        <f>DelivOIL!$G86*DelivOIL!R$82^5/(Conv!$I$5*Conv!$D$46)/10^6 + OILTrade!$I$7</f>
        <v>0.71996695927355681</v>
      </c>
      <c r="K827" s="421">
        <f>DelivOIL!$G86*DelivOIL!S$82^5/(Conv!$I$5*Conv!$D$46)/10^6 + OILTrade!$I$7</f>
        <v>0.82450520029913388</v>
      </c>
      <c r="L827" s="421">
        <f>DelivOIL!$G86*DelivOIL!T$82^5/(Conv!$I$5*Conv!$D$46)/10^6 + OILTrade!$I$7</f>
        <v>0.75430799229165302</v>
      </c>
      <c r="M827" s="421">
        <f>DelivOIL!$G86*DelivOIL!U$82^5/(Conv!$I$5*Conv!$D$46)/10^6 + OILTrade!$I$7</f>
        <v>0.71961927898238087</v>
      </c>
      <c r="N827" s="421">
        <f>DelivOIL!$G86*DelivOIL!V$82^5/(Conv!$I$5*Conv!$D$46)/10^6 + OILTrade!$I$7</f>
        <v>0.71961927898238087</v>
      </c>
      <c r="O827" s="421">
        <f>DelivOIL!$G86*DelivOIL!W$82^5/(Conv!$I$5*Conv!$D$46)/10^6 + OILTrade!$I$7</f>
        <v>0.71961927898238087</v>
      </c>
      <c r="P827" s="421">
        <f>DelivOIL!$G86*DelivOIL!X$82^5/(Conv!$I$5*Conv!$D$46)/10^6 + OILTrade!$I$7</f>
        <v>0.71961927898238087</v>
      </c>
      <c r="Q827" s="421">
        <f>DelivOIL!$G86*DelivOIL!Y$82^5/(Conv!$I$5*Conv!$D$46)/10^6 + OILTrade!$I$7</f>
        <v>0.71961927898238087</v>
      </c>
      <c r="S827" s="395"/>
      <c r="T827" s="395"/>
      <c r="U827" s="395"/>
      <c r="V827" s="395"/>
      <c r="W827" s="395"/>
      <c r="X827" s="395"/>
      <c r="Y827" s="395"/>
      <c r="Z827" s="395"/>
      <c r="AA827" s="395"/>
      <c r="AB827" s="395"/>
      <c r="AC827" s="395"/>
    </row>
    <row r="828" spans="2:29">
      <c r="B828" s="376" t="str">
        <f>IF(OR(LEFT(Commodities!B$327,1)="*",LEFT(Technologies!B$706,1)="*"),"*","R6")</f>
        <v>*</v>
      </c>
      <c r="C828" s="376" t="str">
        <f>Technologies!C$731</f>
        <v>XIRESKERP2</v>
      </c>
      <c r="D828" s="376" t="str">
        <f>Technologies!D706</f>
        <v>Delivery of Imported Kerosene and Other Refined Products to the Residential Sector</v>
      </c>
      <c r="E828" s="415" t="str">
        <f>Commodities!C$338</f>
        <v>KERP2</v>
      </c>
      <c r="F828" s="415" t="str">
        <f>Commodities!C94</f>
        <v>RESKER</v>
      </c>
      <c r="G828" s="422">
        <v>1</v>
      </c>
      <c r="H828" s="421">
        <f>DelivOIL!$G87*DelivOIL!P$82^5/(Conv!$I$5*Conv!$D$46)/10^6 + OILTrade!$I$7</f>
        <v>2.7067494047851857</v>
      </c>
      <c r="I828" s="421">
        <f>DelivOIL!$G87*DelivOIL!Q$82^5/(Conv!$I$5*Conv!$D$46)/10^6 + OILTrade!$I$7</f>
        <v>2.4228487294241305</v>
      </c>
      <c r="J828" s="421">
        <f>DelivOIL!$G87*DelivOIL!R$82^5/(Conv!$I$5*Conv!$D$46)/10^6 + OILTrade!$I$7</f>
        <v>2.7483354118423291</v>
      </c>
      <c r="K828" s="421">
        <f>DelivOIL!$G87*DelivOIL!S$82^5/(Conv!$I$5*Conv!$D$46)/10^6 + OILTrade!$I$7</f>
        <v>3.1473900434495796</v>
      </c>
      <c r="L828" s="421">
        <f>DelivOIL!$G87*DelivOIL!T$82^5/(Conv!$I$5*Conv!$D$46)/10^6 + OILTrade!$I$7</f>
        <v>2.8794257013441005</v>
      </c>
      <c r="M828" s="421">
        <f>DelivOIL!$G87*DelivOIL!U$82^5/(Conv!$I$5*Conv!$D$46)/10^6 + OILTrade!$I$7</f>
        <v>2.7470082091923596</v>
      </c>
      <c r="N828" s="421">
        <f>DelivOIL!$G87*DelivOIL!V$82^5/(Conv!$I$5*Conv!$D$46)/10^6 + OILTrade!$I$7</f>
        <v>2.7470082091923596</v>
      </c>
      <c r="O828" s="421">
        <f>DelivOIL!$G87*DelivOIL!W$82^5/(Conv!$I$5*Conv!$D$46)/10^6 + OILTrade!$I$7</f>
        <v>2.7470082091923596</v>
      </c>
      <c r="P828" s="421">
        <f>DelivOIL!$G87*DelivOIL!X$82^5/(Conv!$I$5*Conv!$D$46)/10^6 + OILTrade!$I$7</f>
        <v>2.7470082091923596</v>
      </c>
      <c r="Q828" s="421">
        <f>DelivOIL!$G87*DelivOIL!Y$82^5/(Conv!$I$5*Conv!$D$46)/10^6 + OILTrade!$I$7</f>
        <v>2.7470082091923596</v>
      </c>
      <c r="S828" s="395"/>
      <c r="T828" s="395"/>
      <c r="U828" s="395"/>
      <c r="V828" s="395"/>
      <c r="W828" s="395"/>
      <c r="X828" s="395"/>
      <c r="Y828" s="395"/>
      <c r="Z828" s="395"/>
      <c r="AA828" s="395"/>
      <c r="AB828" s="395"/>
      <c r="AC828" s="395"/>
    </row>
    <row r="829" spans="2:29">
      <c r="B829" s="376" t="str">
        <f>IF(OR(LEFT(Commodities!B$327,1)="*",LEFT(Technologies!B$707,1)="*"),"*","R6")</f>
        <v>*</v>
      </c>
      <c r="C829" s="376" t="str">
        <f>Technologies!C$732</f>
        <v>XICOMKERP2</v>
      </c>
      <c r="D829" s="376" t="str">
        <f>Technologies!D707</f>
        <v>Delivery of Imported Kerosene and Other Refined Products to the Commercial Sector</v>
      </c>
      <c r="E829" s="415" t="str">
        <f>E828</f>
        <v>KERP2</v>
      </c>
      <c r="F829" s="415" t="str">
        <f>Commodities!C95</f>
        <v>COMKER</v>
      </c>
      <c r="G829" s="422">
        <v>1</v>
      </c>
      <c r="H829" s="421">
        <f>DelivOIL!$G88*DelivOIL!P$82^5/(Conv!$I$5*Conv!$D$46)/10^6 + OILTrade!$I$7</f>
        <v>2.7749294905480353</v>
      </c>
      <c r="I829" s="421">
        <f>DelivOIL!$G88*DelivOIL!Q$82^5/(Conv!$I$5*Conv!$D$46)/10^6 + OILTrade!$I$7</f>
        <v>2.483877664674107</v>
      </c>
      <c r="J829" s="421">
        <f>DelivOIL!$G88*DelivOIL!R$82^5/(Conv!$I$5*Conv!$D$46)/10^6 + OILTrade!$I$7</f>
        <v>2.8175630040801698</v>
      </c>
      <c r="K829" s="421">
        <f>DelivOIL!$G88*DelivOIL!S$82^5/(Conv!$I$5*Conv!$D$46)/10^6 + OILTrade!$I$7</f>
        <v>3.2266693896321872</v>
      </c>
      <c r="L829" s="421">
        <f>DelivOIL!$G88*DelivOIL!T$82^5/(Conv!$I$5*Conv!$D$46)/10^6 + OILTrade!$I$7</f>
        <v>2.9519553159875267</v>
      </c>
      <c r="M829" s="421">
        <f>DelivOIL!$G88*DelivOIL!U$82^5/(Conv!$I$5*Conv!$D$46)/10^6 + OILTrade!$I$7</f>
        <v>2.8162023706329711</v>
      </c>
      <c r="N829" s="421">
        <f>DelivOIL!$G88*DelivOIL!V$82^5/(Conv!$I$5*Conv!$D$46)/10^6 + OILTrade!$I$7</f>
        <v>2.8162023706329711</v>
      </c>
      <c r="O829" s="421">
        <f>DelivOIL!$G88*DelivOIL!W$82^5/(Conv!$I$5*Conv!$D$46)/10^6 + OILTrade!$I$7</f>
        <v>2.8162023706329711</v>
      </c>
      <c r="P829" s="421">
        <f>DelivOIL!$G88*DelivOIL!X$82^5/(Conv!$I$5*Conv!$D$46)/10^6 + OILTrade!$I$7</f>
        <v>2.8162023706329711</v>
      </c>
      <c r="Q829" s="421">
        <f>DelivOIL!$G88*DelivOIL!Y$82^5/(Conv!$I$5*Conv!$D$46)/10^6 + OILTrade!$I$7</f>
        <v>2.8162023706329711</v>
      </c>
      <c r="S829" s="395"/>
      <c r="T829" s="395"/>
      <c r="U829" s="395"/>
      <c r="V829" s="395"/>
      <c r="W829" s="395"/>
      <c r="X829" s="395"/>
      <c r="Y829" s="395"/>
      <c r="Z829" s="395"/>
      <c r="AA829" s="395"/>
      <c r="AB829" s="395"/>
      <c r="AC829" s="395"/>
    </row>
    <row r="830" spans="2:29">
      <c r="B830" s="376" t="str">
        <f>IF(OR(LEFT(Commodities!B$327,1)="*",LEFT(Technologies!B$708,1)="*"),"*","R6")</f>
        <v>*</v>
      </c>
      <c r="C830" s="376" t="str">
        <f>Technologies!C$733</f>
        <v>XIINDKERP2</v>
      </c>
      <c r="D830" s="376" t="str">
        <f>Technologies!D708</f>
        <v>Delivery of Imported Kerosene and Other Refined Products to the Industrial Sector</v>
      </c>
      <c r="E830" s="415" t="str">
        <f>E829</f>
        <v>KERP2</v>
      </c>
      <c r="F830" s="415" t="str">
        <f>Commodities!C96</f>
        <v>INDKER</v>
      </c>
      <c r="G830" s="422">
        <v>1</v>
      </c>
      <c r="H830" s="421">
        <f>DelivOIL!$G89*DelivOIL!P$82^5/(Conv!$I$5*Conv!$D$46)/10^6 + OILTrade!$I$7</f>
        <v>1.6090500240032843</v>
      </c>
      <c r="I830" s="421">
        <f>DelivOIL!$G89*DelivOIL!Q$82^5/(Conv!$I$5*Conv!$D$46)/10^6 + OILTrade!$I$7</f>
        <v>1.4402828718994833</v>
      </c>
      <c r="J830" s="421">
        <f>DelivOIL!$G89*DelivOIL!R$82^5/(Conv!$I$5*Conv!$D$46)/10^6 + OILTrade!$I$7</f>
        <v>1.6337711768130725</v>
      </c>
      <c r="K830" s="421">
        <f>DelivOIL!$G89*DelivOIL!S$82^5/(Conv!$I$5*Conv!$D$46)/10^6 + OILTrade!$I$7</f>
        <v>1.8709925699095742</v>
      </c>
      <c r="L830" s="421">
        <f>DelivOIL!$G89*DelivOIL!T$82^5/(Conv!$I$5*Conv!$D$46)/10^6 + OILTrade!$I$7</f>
        <v>1.7116989055849063</v>
      </c>
      <c r="M830" s="421">
        <f>DelivOIL!$G89*DelivOIL!U$82^5/(Conv!$I$5*Conv!$D$46)/10^6 + OILTrade!$I$7</f>
        <v>1.6329822099984808</v>
      </c>
      <c r="N830" s="421">
        <f>DelivOIL!$G89*DelivOIL!V$82^5/(Conv!$I$5*Conv!$D$46)/10^6 + OILTrade!$I$7</f>
        <v>1.6329822099984808</v>
      </c>
      <c r="O830" s="421">
        <f>DelivOIL!$G89*DelivOIL!W$82^5/(Conv!$I$5*Conv!$D$46)/10^6 + OILTrade!$I$7</f>
        <v>1.6329822099984808</v>
      </c>
      <c r="P830" s="421">
        <f>DelivOIL!$G89*DelivOIL!X$82^5/(Conv!$I$5*Conv!$D$46)/10^6 + OILTrade!$I$7</f>
        <v>1.6329822099984808</v>
      </c>
      <c r="Q830" s="421">
        <f>DelivOIL!$G89*DelivOIL!Y$82^5/(Conv!$I$5*Conv!$D$46)/10^6 + OILTrade!$I$7</f>
        <v>1.6329822099984808</v>
      </c>
      <c r="S830" s="395"/>
      <c r="T830" s="395"/>
      <c r="U830" s="395"/>
      <c r="V830" s="395"/>
      <c r="W830" s="395"/>
      <c r="X830" s="395"/>
      <c r="Y830" s="395"/>
      <c r="Z830" s="395"/>
      <c r="AA830" s="395"/>
      <c r="AB830" s="395"/>
      <c r="AC830" s="395"/>
    </row>
    <row r="831" spans="2:29">
      <c r="B831" s="376" t="str">
        <f>IF(OR(LEFT(Commodities!B$328,1)="*",LEFT(Technologies!B$709,1)="*"),"*","R6")</f>
        <v>*</v>
      </c>
      <c r="C831" s="376" t="str">
        <f>Technologies!C$734</f>
        <v>XIRESLPGP2</v>
      </c>
      <c r="D831" s="376" t="str">
        <f>Technologies!D709</f>
        <v>Delivery of Imported LPG to the Residential Sector</v>
      </c>
      <c r="E831" s="415" t="str">
        <f>Commodities!C$339</f>
        <v>LPGP2</v>
      </c>
      <c r="F831" s="415" t="str">
        <f>Commodities!C97</f>
        <v>RESLPG</v>
      </c>
      <c r="G831" s="422">
        <v>1</v>
      </c>
      <c r="H831" s="421">
        <f>DelivOIL!$G90*DelivOIL!P$82^5/(Conv!$I$5*Conv!$D$46)/10^6 + OILTrade!$I$7</f>
        <v>4.6907899004841482</v>
      </c>
      <c r="I831" s="421">
        <f>DelivOIL!$G90*DelivOIL!Q$82^5/(Conv!$I$5*Conv!$D$46)/10^6 + OILTrade!$I$7</f>
        <v>4.1987907451984912</v>
      </c>
      <c r="J831" s="421">
        <f>DelivOIL!$G90*DelivOIL!R$82^5/(Conv!$I$5*Conv!$D$46)/10^6 + OILTrade!$I$7</f>
        <v>4.7628583459635312</v>
      </c>
      <c r="K831" s="421">
        <f>DelivOIL!$G90*DelivOIL!S$82^5/(Conv!$I$5*Conv!$D$46)/10^6 + OILTrade!$I$7</f>
        <v>5.4544190173635005</v>
      </c>
      <c r="L831" s="421">
        <f>DelivOIL!$G90*DelivOIL!T$82^5/(Conv!$I$5*Conv!$D$46)/10^6 + OILTrade!$I$7</f>
        <v>4.9900374874678599</v>
      </c>
      <c r="M831" s="421">
        <f>DelivOIL!$G90*DelivOIL!U$82^5/(Conv!$I$5*Conv!$D$46)/10^6 + OILTrade!$I$7</f>
        <v>4.7605583071142128</v>
      </c>
      <c r="N831" s="421">
        <f>DelivOIL!$G90*DelivOIL!V$82^5/(Conv!$I$5*Conv!$D$46)/10^6 + OILTrade!$I$7</f>
        <v>4.7605583071142128</v>
      </c>
      <c r="O831" s="421">
        <f>DelivOIL!$G90*DelivOIL!W$82^5/(Conv!$I$5*Conv!$D$46)/10^6 + OILTrade!$I$7</f>
        <v>4.7605583071142128</v>
      </c>
      <c r="P831" s="421">
        <f>DelivOIL!$G90*DelivOIL!X$82^5/(Conv!$I$5*Conv!$D$46)/10^6 + OILTrade!$I$7</f>
        <v>4.7605583071142128</v>
      </c>
      <c r="Q831" s="421">
        <f>DelivOIL!$G90*DelivOIL!Y$82^5/(Conv!$I$5*Conv!$D$46)/10^6 + OILTrade!$I$7</f>
        <v>4.7605583071142128</v>
      </c>
      <c r="S831" s="395"/>
      <c r="T831" s="395"/>
      <c r="U831" s="395"/>
      <c r="V831" s="395"/>
      <c r="W831" s="395"/>
      <c r="X831" s="395"/>
      <c r="Y831" s="395"/>
      <c r="Z831" s="395"/>
      <c r="AA831" s="395"/>
      <c r="AB831" s="395"/>
      <c r="AC831" s="395"/>
    </row>
    <row r="832" spans="2:29">
      <c r="B832" s="376" t="str">
        <f>IF(OR(LEFT(Commodities!B$328,1)="*",LEFT(Technologies!B$710,1)="*"),"*","R6")</f>
        <v>*</v>
      </c>
      <c r="C832" s="376" t="str">
        <f>Technologies!C$735</f>
        <v>XICOMLPGP2</v>
      </c>
      <c r="D832" s="376" t="str">
        <f>Technologies!D710</f>
        <v>Delivery of Imported LPG to the Commercial Sector</v>
      </c>
      <c r="E832" s="415" t="str">
        <f>Commodities!C$339</f>
        <v>LPGP2</v>
      </c>
      <c r="F832" s="415" t="str">
        <f>Commodities!C98</f>
        <v>COMLPG</v>
      </c>
      <c r="G832" s="422">
        <v>1</v>
      </c>
      <c r="H832" s="421">
        <f>DelivOIL!$G91*DelivOIL!P$82^5/(Conv!$I$5*Conv!$D$46)/10^6 + OILTrade!$I$7</f>
        <v>2.5431171989543424</v>
      </c>
      <c r="I832" s="421">
        <f>DelivOIL!$G91*DelivOIL!Q$82^5/(Conv!$I$5*Conv!$D$46)/10^6 + OILTrade!$I$7</f>
        <v>2.2763792848241824</v>
      </c>
      <c r="J832" s="421">
        <f>DelivOIL!$G91*DelivOIL!R$82^5/(Conv!$I$5*Conv!$D$46)/10^6 + OILTrade!$I$7</f>
        <v>2.5821891904715075</v>
      </c>
      <c r="K832" s="421">
        <f>DelivOIL!$G91*DelivOIL!S$82^5/(Conv!$I$5*Conv!$D$46)/10^6 + OILTrade!$I$7</f>
        <v>2.9571196126113173</v>
      </c>
      <c r="L832" s="421">
        <f>DelivOIL!$G91*DelivOIL!T$82^5/(Conv!$I$5*Conv!$D$46)/10^6 + OILTrade!$I$7</f>
        <v>2.7053546261998718</v>
      </c>
      <c r="M832" s="421">
        <f>DelivOIL!$G91*DelivOIL!U$82^5/(Conv!$I$5*Conv!$D$46)/10^6 + OILTrade!$I$7</f>
        <v>2.5809422217348859</v>
      </c>
      <c r="N832" s="421">
        <f>DelivOIL!$G91*DelivOIL!V$82^5/(Conv!$I$5*Conv!$D$46)/10^6 + OILTrade!$I$7</f>
        <v>2.5809422217348859</v>
      </c>
      <c r="O832" s="421">
        <f>DelivOIL!$G91*DelivOIL!W$82^5/(Conv!$I$5*Conv!$D$46)/10^6 + OILTrade!$I$7</f>
        <v>2.5809422217348859</v>
      </c>
      <c r="P832" s="421">
        <f>DelivOIL!$G91*DelivOIL!X$82^5/(Conv!$I$5*Conv!$D$46)/10^6 + OILTrade!$I$7</f>
        <v>2.5809422217348859</v>
      </c>
      <c r="Q832" s="421">
        <f>DelivOIL!$G91*DelivOIL!Y$82^5/(Conv!$I$5*Conv!$D$46)/10^6 + OILTrade!$I$7</f>
        <v>2.5809422217348859</v>
      </c>
      <c r="S832" s="395"/>
      <c r="T832" s="395"/>
      <c r="U832" s="395"/>
      <c r="V832" s="395"/>
      <c r="W832" s="395"/>
      <c r="X832" s="395"/>
      <c r="Y832" s="395"/>
      <c r="Z832" s="395"/>
      <c r="AA832" s="395"/>
      <c r="AB832" s="395"/>
      <c r="AC832" s="395"/>
    </row>
    <row r="833" spans="2:29">
      <c r="B833" s="376" t="str">
        <f>IF(OR(LEFT(Commodities!B$328,1)="*",LEFT(Technologies!B$711,1)="*"),"*","R6")</f>
        <v>*</v>
      </c>
      <c r="C833" s="376" t="str">
        <f>Technologies!C$736</f>
        <v>XIINDLPGP2</v>
      </c>
      <c r="D833" s="376" t="str">
        <f>Technologies!D711</f>
        <v>Delivery of Imported LPG to the Industrial Sector</v>
      </c>
      <c r="E833" s="415" t="str">
        <f>Commodities!C$339</f>
        <v>LPGP2</v>
      </c>
      <c r="F833" s="415" t="str">
        <f>Commodities!C99</f>
        <v>INDLPG</v>
      </c>
      <c r="G833" s="422">
        <v>1</v>
      </c>
      <c r="H833" s="421">
        <f>DelivOIL!$G92*DelivOIL!P$82^5/(Conv!$I$5*Conv!$D$46)/10^6 + OILTrade!$I$7</f>
        <v>2.2226707958689431</v>
      </c>
      <c r="I833" s="421">
        <f>DelivOIL!$G92*DelivOIL!Q$82^5/(Conv!$I$5*Conv!$D$46)/10^6 + OILTrade!$I$7</f>
        <v>1.9895432891492857</v>
      </c>
      <c r="J833" s="421">
        <f>DelivOIL!$G92*DelivOIL!R$82^5/(Conv!$I$5*Conv!$D$46)/10^6 + OILTrade!$I$7</f>
        <v>2.2568195069536507</v>
      </c>
      <c r="K833" s="421">
        <f>DelivOIL!$G92*DelivOIL!S$82^5/(Conv!$I$5*Conv!$D$46)/10^6 + OILTrade!$I$7</f>
        <v>2.584506685553055</v>
      </c>
      <c r="L833" s="421">
        <f>DelivOIL!$G92*DelivOIL!T$82^5/(Conv!$I$5*Conv!$D$46)/10^6 + OILTrade!$I$7</f>
        <v>2.3644654373757596</v>
      </c>
      <c r="M833" s="421">
        <f>DelivOIL!$G92*DelivOIL!U$82^5/(Conv!$I$5*Conv!$D$46)/10^6 + OILTrade!$I$7</f>
        <v>2.255729662964002</v>
      </c>
      <c r="N833" s="421">
        <f>DelivOIL!$G92*DelivOIL!V$82^5/(Conv!$I$5*Conv!$D$46)/10^6 + OILTrade!$I$7</f>
        <v>2.255729662964002</v>
      </c>
      <c r="O833" s="421">
        <f>DelivOIL!$G92*DelivOIL!W$82^5/(Conv!$I$5*Conv!$D$46)/10^6 + OILTrade!$I$7</f>
        <v>2.255729662964002</v>
      </c>
      <c r="P833" s="421">
        <f>DelivOIL!$G92*DelivOIL!X$82^5/(Conv!$I$5*Conv!$D$46)/10^6 + OILTrade!$I$7</f>
        <v>2.255729662964002</v>
      </c>
      <c r="Q833" s="421">
        <f>DelivOIL!$G92*DelivOIL!Y$82^5/(Conv!$I$5*Conv!$D$46)/10^6 + OILTrade!$I$7</f>
        <v>2.255729662964002</v>
      </c>
      <c r="S833" s="395"/>
      <c r="T833" s="395"/>
      <c r="U833" s="395"/>
      <c r="V833" s="395"/>
      <c r="W833" s="395"/>
      <c r="X833" s="395"/>
      <c r="Y833" s="395"/>
      <c r="Z833" s="395"/>
      <c r="AA833" s="395"/>
      <c r="AB833" s="395"/>
      <c r="AC833" s="395"/>
    </row>
    <row r="834" spans="2:29">
      <c r="B834" s="376" t="str">
        <f>IF(OR(LEFT(Commodities!B$328,1)="*",LEFT(Technologies!B$712,1)="*"),"*","R6")</f>
        <v>*</v>
      </c>
      <c r="C834" s="376" t="str">
        <f>Technologies!C$737</f>
        <v>XITRNLPGP2</v>
      </c>
      <c r="D834" s="376" t="str">
        <f>Technologies!D712</f>
        <v>Delivery of Imported LPG to the Transportation Sector</v>
      </c>
      <c r="E834" s="415" t="str">
        <f>Commodities!C$339</f>
        <v>LPGP2</v>
      </c>
      <c r="F834" s="415" t="str">
        <f>Commodities!C100</f>
        <v>TRNLPG</v>
      </c>
      <c r="G834" s="422">
        <v>1</v>
      </c>
      <c r="H834" s="421">
        <f>DelivOIL!$G93*DelivOIL!P$82^5/(Conv!$I$5*Conv!$D$46)/10^6 + OILTrade!$I$7</f>
        <v>3.4294583138714061</v>
      </c>
      <c r="I834" s="421">
        <f>DelivOIL!$G93*DelivOIL!Q$82^5/(Conv!$I$5*Conv!$D$46)/10^6 + OILTrade!$I$7</f>
        <v>3.0697554430738978</v>
      </c>
      <c r="J834" s="421">
        <f>DelivOIL!$G93*DelivOIL!R$82^5/(Conv!$I$5*Conv!$D$46)/10^6 + OILTrade!$I$7</f>
        <v>3.4821478895634548</v>
      </c>
      <c r="K834" s="421">
        <f>DelivOIL!$G93*DelivOIL!S$82^5/(Conv!$I$5*Conv!$D$46)/10^6 + OILTrade!$I$7</f>
        <v>3.9877511129852357</v>
      </c>
      <c r="L834" s="421">
        <f>DelivOIL!$G93*DelivOIL!T$82^5/(Conv!$I$5*Conv!$D$46)/10^6 + OILTrade!$I$7</f>
        <v>3.6482396165644393</v>
      </c>
      <c r="M834" s="421">
        <f>DelivOIL!$G93*DelivOIL!U$82^5/(Conv!$I$5*Conv!$D$46)/10^6 + OILTrade!$I$7</f>
        <v>3.4804663204628623</v>
      </c>
      <c r="N834" s="421">
        <f>DelivOIL!$G93*DelivOIL!V$82^5/(Conv!$I$5*Conv!$D$46)/10^6 + OILTrade!$I$7</f>
        <v>3.4804663204628623</v>
      </c>
      <c r="O834" s="421">
        <f>DelivOIL!$G93*DelivOIL!W$82^5/(Conv!$I$5*Conv!$D$46)/10^6 + OILTrade!$I$7</f>
        <v>3.4804663204628623</v>
      </c>
      <c r="P834" s="421">
        <f>DelivOIL!$G93*DelivOIL!X$82^5/(Conv!$I$5*Conv!$D$46)/10^6 + OILTrade!$I$7</f>
        <v>3.4804663204628623</v>
      </c>
      <c r="Q834" s="421">
        <f>DelivOIL!$G93*DelivOIL!Y$82^5/(Conv!$I$5*Conv!$D$46)/10^6 + OILTrade!$I$7</f>
        <v>3.4804663204628623</v>
      </c>
      <c r="S834" s="395"/>
      <c r="T834" s="395"/>
      <c r="U834" s="395"/>
      <c r="V834" s="395"/>
      <c r="W834" s="395"/>
      <c r="X834" s="395"/>
      <c r="Y834" s="395"/>
      <c r="Z834" s="395"/>
      <c r="AA834" s="395"/>
      <c r="AB834" s="395"/>
      <c r="AC834" s="395"/>
    </row>
    <row r="835" spans="2:29">
      <c r="B835" s="376" t="str">
        <f>IF(LEFT(Technologies!B$713,1)="*","*","R6")</f>
        <v>*</v>
      </c>
      <c r="C835" s="376" t="str">
        <f>Technologies!C$738</f>
        <v>XITRNMTHP2</v>
      </c>
      <c r="D835" s="376" t="str">
        <f>Technologies!D713</f>
        <v>Delivery of Imported Methanol</v>
      </c>
      <c r="E835" s="415" t="str">
        <f>Commodities!C$340</f>
        <v>MTHP2</v>
      </c>
      <c r="F835" s="415" t="str">
        <f>Commodities!C101</f>
        <v>TRNMTH</v>
      </c>
      <c r="G835" s="422">
        <v>1</v>
      </c>
      <c r="H835" s="421">
        <f>DelivOIL!$G94*DelivOIL!P$82^5/(Conv!$I$5*Conv!$D$46)/10^6 + OILTrade!$I$7</f>
        <v>3.545364459668253</v>
      </c>
      <c r="I835" s="421">
        <f>DelivOIL!$G94*DelivOIL!Q$82^5/(Conv!$I$5*Conv!$D$46)/10^6 + OILTrade!$I$7</f>
        <v>3.1735046329988603</v>
      </c>
      <c r="J835" s="421">
        <f>DelivOIL!$G94*DelivOIL!R$82^5/(Conv!$I$5*Conv!$D$46)/10^6 + OILTrade!$I$7</f>
        <v>3.5998347963677859</v>
      </c>
      <c r="K835" s="421">
        <f>DelivOIL!$G94*DelivOIL!S$82^5/(Conv!$I$5*Conv!$D$46)/10^6 + OILTrade!$I$7</f>
        <v>4.1225260014956708</v>
      </c>
      <c r="L835" s="421">
        <f>DelivOIL!$G94*DelivOIL!T$82^5/(Conv!$I$5*Conv!$D$46)/10^6 + OILTrade!$I$7</f>
        <v>3.771539961458267</v>
      </c>
      <c r="M835" s="421">
        <f>DelivOIL!$G94*DelivOIL!U$82^5/(Conv!$I$5*Conv!$D$46)/10^6 + OILTrade!$I$7</f>
        <v>3.5980963949119062</v>
      </c>
      <c r="N835" s="421">
        <f>DelivOIL!$G94*DelivOIL!V$82^5/(Conv!$I$5*Conv!$D$46)/10^6 + OILTrade!$I$7</f>
        <v>3.5980963949119062</v>
      </c>
      <c r="O835" s="421">
        <f>DelivOIL!$G94*DelivOIL!W$82^5/(Conv!$I$5*Conv!$D$46)/10^6 + OILTrade!$I$7</f>
        <v>3.5980963949119062</v>
      </c>
      <c r="P835" s="421">
        <f>DelivOIL!$G94*DelivOIL!X$82^5/(Conv!$I$5*Conv!$D$46)/10^6 + OILTrade!$I$7</f>
        <v>3.5980963949119062</v>
      </c>
      <c r="Q835" s="421">
        <f>DelivOIL!$G94*DelivOIL!Y$82^5/(Conv!$I$5*Conv!$D$46)/10^6 + OILTrade!$I$7</f>
        <v>3.5980963949119062</v>
      </c>
      <c r="S835" s="395"/>
      <c r="T835" s="395"/>
      <c r="U835" s="395"/>
      <c r="V835" s="395"/>
      <c r="W835" s="395"/>
      <c r="X835" s="395"/>
      <c r="Y835" s="395"/>
      <c r="Z835" s="395"/>
      <c r="AA835" s="395"/>
      <c r="AB835" s="395"/>
      <c r="AC835" s="395"/>
    </row>
    <row r="836" spans="2:29">
      <c r="B836" s="376" t="str">
        <f>IF(OR(LEFT(Commodities!B$102,1)="*",LEFT(Technologies!B$714,1)="*"),"*","R6")</f>
        <v>*</v>
      </c>
      <c r="C836" s="376" t="str">
        <f>Technologies!C$739</f>
        <v>XIINDPFSP2</v>
      </c>
      <c r="D836" s="376" t="str">
        <f>Technologies!D714</f>
        <v>Delivery of Imported Petrochemical Feedstocks</v>
      </c>
      <c r="E836" s="415" t="str">
        <f>Commodities!C$341</f>
        <v>PFSP2</v>
      </c>
      <c r="F836" s="415" t="str">
        <f>Commodities!C102</f>
        <v>INDPFS</v>
      </c>
      <c r="G836" s="422">
        <v>1</v>
      </c>
      <c r="H836" s="421">
        <f>DelivOIL!$G95*DelivOIL!P$82^5/(Conv!$I$5*Conv!$D$46)/10^6 + OILTrade!$I$7</f>
        <v>1.2067875180024625</v>
      </c>
      <c r="I836" s="421">
        <f>DelivOIL!$G95*DelivOIL!Q$82^5/(Conv!$I$5*Conv!$D$46)/10^6 + OILTrade!$I$7</f>
        <v>1.0802121539246119</v>
      </c>
      <c r="J836" s="421">
        <f>DelivOIL!$G95*DelivOIL!R$82^5/(Conv!$I$5*Conv!$D$46)/10^6 + OILTrade!$I$7</f>
        <v>1.2253283826098036</v>
      </c>
      <c r="K836" s="421">
        <f>DelivOIL!$G95*DelivOIL!S$82^5/(Conv!$I$5*Conv!$D$46)/10^6 + OILTrade!$I$7</f>
        <v>1.4032444274321796</v>
      </c>
      <c r="L836" s="421">
        <f>DelivOIL!$G95*DelivOIL!T$82^5/(Conv!$I$5*Conv!$D$46)/10^6 + OILTrade!$I$7</f>
        <v>1.2837741791886792</v>
      </c>
      <c r="M836" s="421">
        <f>DelivOIL!$G95*DelivOIL!U$82^5/(Conv!$I$5*Conv!$D$46)/10^6 + OILTrade!$I$7</f>
        <v>1.2247366574988598</v>
      </c>
      <c r="N836" s="421">
        <f>DelivOIL!$G95*DelivOIL!V$82^5/(Conv!$I$5*Conv!$D$46)/10^6 + OILTrade!$I$7</f>
        <v>1.2247366574988598</v>
      </c>
      <c r="O836" s="421">
        <f>DelivOIL!$G95*DelivOIL!W$82^5/(Conv!$I$5*Conv!$D$46)/10^6 + OILTrade!$I$7</f>
        <v>1.2247366574988598</v>
      </c>
      <c r="P836" s="421">
        <f>DelivOIL!$G95*DelivOIL!X$82^5/(Conv!$I$5*Conv!$D$46)/10^6 + OILTrade!$I$7</f>
        <v>1.2247366574988598</v>
      </c>
      <c r="Q836" s="421">
        <f>DelivOIL!$G95*DelivOIL!Y$82^5/(Conv!$I$5*Conv!$D$46)/10^6 + OILTrade!$I$7</f>
        <v>1.2247366574988598</v>
      </c>
      <c r="S836" s="395"/>
      <c r="T836" s="395"/>
      <c r="U836" s="395"/>
      <c r="V836" s="395"/>
      <c r="W836" s="395"/>
      <c r="X836" s="395"/>
      <c r="Y836" s="395"/>
      <c r="Z836" s="395"/>
      <c r="AA836" s="395"/>
      <c r="AB836" s="395"/>
      <c r="AC836" s="395"/>
    </row>
    <row r="837" spans="2:29">
      <c r="B837" s="376" t="str">
        <f>IF(OR(LEFT(Commodities!B$332,1)="*",LEFT(Technologies!B$715,1)="*"),"*","R6")</f>
        <v>*</v>
      </c>
      <c r="C837" s="376" t="str">
        <f>Technologies!C$740</f>
        <v>XIRESRFLP2</v>
      </c>
      <c r="D837" s="376" t="str">
        <f>Technologies!D715</f>
        <v>Delivery of Imported Low Sulfur Residual Fuel Oil to Residential Sector</v>
      </c>
      <c r="E837" s="415" t="str">
        <f>Commodities!C$343</f>
        <v>RFLP2</v>
      </c>
      <c r="F837" s="415" t="str">
        <f>Commodities!C103</f>
        <v>RESRFL</v>
      </c>
      <c r="G837" s="422">
        <v>1</v>
      </c>
      <c r="H837" s="421">
        <f>DelivOIL!$G96*DelivOIL!P$82^5/(Conv!$I$5*Conv!$D$46)/10^6 + OILTrade!$I$7</f>
        <v>0.25226631732254895</v>
      </c>
      <c r="I837" s="421">
        <f>DelivOIL!$G96*DelivOIL!Q$82^5/(Conv!$I$5*Conv!$D$46)/10^6 + OILTrade!$I$7</f>
        <v>0.22580706042491908</v>
      </c>
      <c r="J837" s="421">
        <f>DelivOIL!$G96*DelivOIL!R$82^5/(Conv!$I$5*Conv!$D$46)/10^6 + OILTrade!$I$7</f>
        <v>0.25614209128001575</v>
      </c>
      <c r="K837" s="421">
        <f>DelivOIL!$G96*DelivOIL!S$82^5/(Conv!$I$5*Conv!$D$46)/10^6 + OILTrade!$I$7</f>
        <v>0.2933335808756537</v>
      </c>
      <c r="L837" s="421">
        <f>DelivOIL!$G96*DelivOIL!T$82^5/(Conv!$I$5*Conv!$D$46)/10^6 + OILTrade!$I$7</f>
        <v>0.26835957418068457</v>
      </c>
      <c r="M837" s="421">
        <f>DelivOIL!$G96*DelivOIL!U$82^5/(Conv!$I$5*Conv!$D$46)/10^6 + OILTrade!$I$7</f>
        <v>0.25601839733027038</v>
      </c>
      <c r="N837" s="421">
        <f>DelivOIL!$G96*DelivOIL!V$82^5/(Conv!$I$5*Conv!$D$46)/10^6 + OILTrade!$I$7</f>
        <v>0.25601839733027038</v>
      </c>
      <c r="O837" s="421">
        <f>DelivOIL!$G96*DelivOIL!W$82^5/(Conv!$I$5*Conv!$D$46)/10^6 + OILTrade!$I$7</f>
        <v>0.25601839733027038</v>
      </c>
      <c r="P837" s="421">
        <f>DelivOIL!$G96*DelivOIL!X$82^5/(Conv!$I$5*Conv!$D$46)/10^6 + OILTrade!$I$7</f>
        <v>0.25601839733027038</v>
      </c>
      <c r="Q837" s="421">
        <f>DelivOIL!$G96*DelivOIL!Y$82^5/(Conv!$I$5*Conv!$D$46)/10^6 + OILTrade!$I$7</f>
        <v>0.25601839733027038</v>
      </c>
      <c r="S837" s="395"/>
      <c r="T837" s="395"/>
      <c r="U837" s="395"/>
      <c r="V837" s="395"/>
      <c r="W837" s="395"/>
      <c r="X837" s="395"/>
      <c r="Y837" s="395"/>
      <c r="Z837" s="395"/>
      <c r="AA837" s="395"/>
      <c r="AB837" s="395"/>
      <c r="AC837" s="395"/>
    </row>
    <row r="838" spans="2:29">
      <c r="B838" s="376" t="str">
        <f>IF(OR(LEFT(Commodities!B$332,1)="*",LEFT(Technologies!B$716,1)="*"),"*","R6")</f>
        <v>*</v>
      </c>
      <c r="C838" s="376" t="str">
        <f>Technologies!C$741</f>
        <v>XICOMRFLP2</v>
      </c>
      <c r="D838" s="376" t="str">
        <f>Technologies!D716</f>
        <v>Delivery of Imported Low Sulfur Residual Fuel Oil to Commercial Sector</v>
      </c>
      <c r="E838" s="415" t="str">
        <f>Commodities!C$343</f>
        <v>RFLP2</v>
      </c>
      <c r="F838" s="415" t="str">
        <f>Commodities!C104</f>
        <v>COMRFL</v>
      </c>
      <c r="G838" s="422">
        <v>1</v>
      </c>
      <c r="H838" s="421">
        <f>DelivOIL!$G96*DelivOIL!P$82^5/(Conv!$I$5*Conv!$D$46)/10^6 + OILTrade!$I$7</f>
        <v>0.25226631732254895</v>
      </c>
      <c r="I838" s="421">
        <f>DelivOIL!$G96*DelivOIL!Q$82^5/(Conv!$I$5*Conv!$D$46)/10^6 + OILTrade!$I$7</f>
        <v>0.22580706042491908</v>
      </c>
      <c r="J838" s="421">
        <f>DelivOIL!$G96*DelivOIL!R$82^5/(Conv!$I$5*Conv!$D$46)/10^6 + OILTrade!$I$7</f>
        <v>0.25614209128001575</v>
      </c>
      <c r="K838" s="421">
        <f>DelivOIL!$G96*DelivOIL!S$82^5/(Conv!$I$5*Conv!$D$46)/10^6 + OILTrade!$I$7</f>
        <v>0.2933335808756537</v>
      </c>
      <c r="L838" s="421">
        <f>DelivOIL!$G96*DelivOIL!T$82^5/(Conv!$I$5*Conv!$D$46)/10^6 + OILTrade!$I$7</f>
        <v>0.26835957418068457</v>
      </c>
      <c r="M838" s="421">
        <f>DelivOIL!$G96*DelivOIL!U$82^5/(Conv!$I$5*Conv!$D$46)/10^6 + OILTrade!$I$7</f>
        <v>0.25601839733027038</v>
      </c>
      <c r="N838" s="421">
        <f>DelivOIL!$G96*DelivOIL!V$82^5/(Conv!$I$5*Conv!$D$46)/10^6 + OILTrade!$I$7</f>
        <v>0.25601839733027038</v>
      </c>
      <c r="O838" s="421">
        <f>DelivOIL!$G96*DelivOIL!W$82^5/(Conv!$I$5*Conv!$D$46)/10^6 + OILTrade!$I$7</f>
        <v>0.25601839733027038</v>
      </c>
      <c r="P838" s="421">
        <f>DelivOIL!$G96*DelivOIL!X$82^5/(Conv!$I$5*Conv!$D$46)/10^6 + OILTrade!$I$7</f>
        <v>0.25601839733027038</v>
      </c>
      <c r="Q838" s="421">
        <f>DelivOIL!$G96*DelivOIL!Y$82^5/(Conv!$I$5*Conv!$D$46)/10^6 + OILTrade!$I$7</f>
        <v>0.25601839733027038</v>
      </c>
      <c r="S838" s="395"/>
      <c r="T838" s="395"/>
      <c r="U838" s="395"/>
      <c r="V838" s="395"/>
      <c r="W838" s="395"/>
      <c r="X838" s="395"/>
      <c r="Y838" s="395"/>
      <c r="Z838" s="395"/>
      <c r="AA838" s="395"/>
      <c r="AB838" s="395"/>
      <c r="AC838" s="395"/>
    </row>
    <row r="839" spans="2:29">
      <c r="B839" s="376" t="str">
        <f>IF(OR(LEFT(Commodities!B$332,1)="*",LEFT(Technologies!B$717,1)="*"),"*","R6")</f>
        <v>R6</v>
      </c>
      <c r="C839" s="376" t="str">
        <f>Technologies!C$742</f>
        <v>XIINDRFLP2</v>
      </c>
      <c r="D839" s="376" t="str">
        <f>Technologies!D717</f>
        <v>Delivery of Imported Low Sulfur Residual Fuel Oil to Industrial Sector</v>
      </c>
      <c r="E839" s="415" t="str">
        <f>Commodities!C$343</f>
        <v>RFLP2</v>
      </c>
      <c r="F839" s="415" t="str">
        <f>Commodities!C105</f>
        <v>INDRFL</v>
      </c>
      <c r="G839" s="422">
        <v>1</v>
      </c>
      <c r="H839" s="421">
        <f>DelivOIL!$G97*DelivOIL!P$82^5/(Conv!$I$5*Conv!$D$46)/10^6 + OILTrade!$I$7</f>
        <v>6.1362077186565958E-2</v>
      </c>
      <c r="I839" s="421">
        <f>DelivOIL!$G97*DelivOIL!Q$82^5/(Conv!$I$5*Conv!$D$46)/10^6 + OILTrade!$I$7</f>
        <v>5.4926041724980321E-2</v>
      </c>
      <c r="J839" s="421">
        <f>DelivOIL!$G97*DelivOIL!R$82^5/(Conv!$I$5*Conv!$D$46)/10^6 + OILTrade!$I$7</f>
        <v>6.2304833014057877E-2</v>
      </c>
      <c r="K839" s="421">
        <f>DelivOIL!$G97*DelivOIL!S$82^5/(Conv!$I$5*Conv!$D$46)/10^6 + OILTrade!$I$7</f>
        <v>7.1351411564348197E-2</v>
      </c>
      <c r="L839" s="421">
        <f>DelivOIL!$G97*DelivOIL!T$82^5/(Conv!$I$5*Conv!$D$46)/10^6 + OILTrade!$I$7</f>
        <v>6.5276653179085431E-2</v>
      </c>
      <c r="M839" s="421">
        <f>DelivOIL!$G97*DelivOIL!U$82^5/(Conv!$I$5*Conv!$D$46)/10^6 + OILTrade!$I$7</f>
        <v>6.2274745296552261E-2</v>
      </c>
      <c r="N839" s="421">
        <f>DelivOIL!$G97*DelivOIL!V$82^5/(Conv!$I$5*Conv!$D$46)/10^6 + OILTrade!$I$7</f>
        <v>6.2274745296552261E-2</v>
      </c>
      <c r="O839" s="421">
        <f>DelivOIL!$G97*DelivOIL!W$82^5/(Conv!$I$5*Conv!$D$46)/10^6 + OILTrade!$I$7</f>
        <v>6.2274745296552261E-2</v>
      </c>
      <c r="P839" s="421">
        <f>DelivOIL!$G97*DelivOIL!X$82^5/(Conv!$I$5*Conv!$D$46)/10^6 + OILTrade!$I$7</f>
        <v>6.2274745296552261E-2</v>
      </c>
      <c r="Q839" s="421">
        <f>DelivOIL!$G97*DelivOIL!Y$82^5/(Conv!$I$5*Conv!$D$46)/10^6 + OILTrade!$I$7</f>
        <v>6.2274745296552261E-2</v>
      </c>
      <c r="S839" s="395"/>
      <c r="T839" s="395"/>
      <c r="U839" s="395"/>
      <c r="V839" s="395"/>
      <c r="W839" s="395"/>
      <c r="X839" s="395"/>
      <c r="Y839" s="395"/>
      <c r="Z839" s="395"/>
      <c r="AA839" s="395"/>
      <c r="AB839" s="395"/>
      <c r="AC839" s="395"/>
    </row>
    <row r="840" spans="2:29">
      <c r="B840" s="376" t="str">
        <f>IF(OR(LEFT(Commodities!B$332,1)="*",LEFT(Technologies!B$718,1)="*"),"*","R6")</f>
        <v>*</v>
      </c>
      <c r="C840" s="376" t="str">
        <f>Technologies!C$743</f>
        <v>XIELCRFLP2</v>
      </c>
      <c r="D840" s="376" t="str">
        <f>Technologies!D718</f>
        <v>Delivery of Imported Low Sulfur Residual Fuel Oil to Electricity Sector</v>
      </c>
      <c r="E840" s="415" t="str">
        <f>Commodities!C$343</f>
        <v>RFLP2</v>
      </c>
      <c r="F840" s="415" t="str">
        <f>Commodities!C106</f>
        <v>ELCRFL</v>
      </c>
      <c r="G840" s="422">
        <v>1</v>
      </c>
      <c r="H840" s="421">
        <f>DelivOIL!$G98*DelivOIL!P$82^5/(Conv!$I$5*Conv!$D$46)/10^6 + OILTrade!$I$7</f>
        <v>0</v>
      </c>
      <c r="I840" s="421">
        <f>DelivOIL!$G98*DelivOIL!Q$82^5/(Conv!$I$5*Conv!$D$46)/10^6 + OILTrade!$I$7</f>
        <v>0</v>
      </c>
      <c r="J840" s="421">
        <f>DelivOIL!$G98*DelivOIL!R$82^5/(Conv!$I$5*Conv!$D$46)/10^6 + OILTrade!$I$7</f>
        <v>0</v>
      </c>
      <c r="K840" s="421">
        <f>DelivOIL!$G98*DelivOIL!S$82^5/(Conv!$I$5*Conv!$D$46)/10^6 + OILTrade!$I$7</f>
        <v>0</v>
      </c>
      <c r="L840" s="421">
        <f>DelivOIL!$G98*DelivOIL!T$82^5/(Conv!$I$5*Conv!$D$46)/10^6 + OILTrade!$I$7</f>
        <v>0</v>
      </c>
      <c r="M840" s="421">
        <f>DelivOIL!$G98*DelivOIL!U$82^5/(Conv!$I$5*Conv!$D$46)/10^6 + OILTrade!$I$7</f>
        <v>0</v>
      </c>
      <c r="N840" s="421">
        <f>DelivOIL!$G98*DelivOIL!V$82^5/(Conv!$I$5*Conv!$D$46)/10^6 + OILTrade!$I$7</f>
        <v>0</v>
      </c>
      <c r="O840" s="421">
        <f>DelivOIL!$G98*DelivOIL!W$82^5/(Conv!$I$5*Conv!$D$46)/10^6 + OILTrade!$I$7</f>
        <v>0</v>
      </c>
      <c r="P840" s="421">
        <f>DelivOIL!$G98*DelivOIL!X$82^5/(Conv!$I$5*Conv!$D$46)/10^6 + OILTrade!$I$7</f>
        <v>0</v>
      </c>
      <c r="Q840" s="421">
        <f>DelivOIL!$G98*DelivOIL!Y$82^5/(Conv!$I$5*Conv!$D$46)/10^6 + OILTrade!$I$7</f>
        <v>0</v>
      </c>
      <c r="S840" s="395"/>
      <c r="T840" s="395"/>
      <c r="U840" s="395"/>
      <c r="V840" s="395"/>
      <c r="W840" s="395"/>
      <c r="X840" s="395"/>
      <c r="Y840" s="395"/>
      <c r="Z840" s="395"/>
      <c r="AA840" s="395"/>
      <c r="AB840" s="395"/>
      <c r="AC840" s="395"/>
    </row>
    <row r="841" spans="2:29">
      <c r="B841" s="376" t="str">
        <f>IF(OR(LEFT(Commodities!B$331,1)="*",LEFT(Technologies!B$719,1)="*"),"*","R6")</f>
        <v>*</v>
      </c>
      <c r="C841" s="376" t="str">
        <f>Technologies!C$744</f>
        <v>XITRNRFHP2</v>
      </c>
      <c r="D841" s="376" t="str">
        <f>Technologies!D719</f>
        <v>Delivery of Imported High Sulfur Residual Fuel Oil to Transportation Sector</v>
      </c>
      <c r="E841" s="415" t="str">
        <f>Commodities!C$342</f>
        <v>RFHP2</v>
      </c>
      <c r="F841" s="415" t="str">
        <f>Commodities!C107</f>
        <v>TRNRFH</v>
      </c>
      <c r="G841" s="422">
        <v>1</v>
      </c>
      <c r="H841" s="421">
        <f>DelivOIL!$G99*DelivOIL!P$82^5/(Conv!$I$5*Conv!$D$46)/10^6 + OILTrade!$I$7</f>
        <v>0</v>
      </c>
      <c r="I841" s="421">
        <f>DelivOIL!$G99*DelivOIL!Q$82^5/(Conv!$I$5*Conv!$D$46)/10^6 + OILTrade!$I$7</f>
        <v>0</v>
      </c>
      <c r="J841" s="421">
        <f>DelivOIL!$G99*DelivOIL!R$82^5/(Conv!$I$5*Conv!$D$46)/10^6 + OILTrade!$I$7</f>
        <v>0</v>
      </c>
      <c r="K841" s="421">
        <f>DelivOIL!$G99*DelivOIL!S$82^5/(Conv!$I$5*Conv!$D$46)/10^6 + OILTrade!$I$7</f>
        <v>0</v>
      </c>
      <c r="L841" s="421">
        <f>DelivOIL!$G99*DelivOIL!T$82^5/(Conv!$I$5*Conv!$D$46)/10^6 + OILTrade!$I$7</f>
        <v>0</v>
      </c>
      <c r="M841" s="421">
        <f>DelivOIL!$G99*DelivOIL!U$82^5/(Conv!$I$5*Conv!$D$46)/10^6 + OILTrade!$I$7</f>
        <v>0</v>
      </c>
      <c r="N841" s="421">
        <f>DelivOIL!$G99*DelivOIL!V$82^5/(Conv!$I$5*Conv!$D$46)/10^6 + OILTrade!$I$7</f>
        <v>0</v>
      </c>
      <c r="O841" s="421">
        <f>DelivOIL!$G99*DelivOIL!W$82^5/(Conv!$I$5*Conv!$D$46)/10^6 + OILTrade!$I$7</f>
        <v>0</v>
      </c>
      <c r="P841" s="421">
        <f>DelivOIL!$G99*DelivOIL!X$82^5/(Conv!$I$5*Conv!$D$46)/10^6 + OILTrade!$I$7</f>
        <v>0</v>
      </c>
      <c r="Q841" s="421">
        <f>DelivOIL!$G99*DelivOIL!Y$82^5/(Conv!$I$5*Conv!$D$46)/10^6 + OILTrade!$I$7</f>
        <v>0</v>
      </c>
      <c r="S841" s="395"/>
      <c r="T841" s="395"/>
      <c r="U841" s="395"/>
      <c r="V841" s="395"/>
      <c r="W841" s="395"/>
      <c r="X841" s="395"/>
      <c r="Y841" s="395"/>
      <c r="Z841" s="395"/>
      <c r="AA841" s="395"/>
      <c r="AB841" s="395"/>
      <c r="AC841" s="395"/>
    </row>
    <row r="842" spans="2:29">
      <c r="B842" s="376" t="str">
        <f>IF(OR(LEFT(Commodities!B$331,1)="*",LEFT(Technologies!B$720,1)="*"),"*","R6")</f>
        <v>*</v>
      </c>
      <c r="C842" s="376" t="str">
        <f>Technologies!C$745</f>
        <v>XIELCRFHP2</v>
      </c>
      <c r="D842" s="376" t="str">
        <f>Technologies!D720</f>
        <v>Delivery of Imported High Sulfur Residual Fuel Oil to Electricity Sector</v>
      </c>
      <c r="E842" s="415" t="str">
        <f>Commodities!C$342</f>
        <v>RFHP2</v>
      </c>
      <c r="F842" s="415" t="str">
        <f>Commodities!C108</f>
        <v>ELCRFH</v>
      </c>
      <c r="G842" s="422">
        <v>1</v>
      </c>
      <c r="H842" s="421">
        <f>DelivOIL!$G100*DelivOIL!P$82^5/(Conv!$I$5*Conv!$D$46)/10^6 + OILTrade!$I$7</f>
        <v>0</v>
      </c>
      <c r="I842" s="421">
        <f>DelivOIL!$G100*DelivOIL!Q$82^5/(Conv!$I$5*Conv!$D$46)/10^6 + OILTrade!$I$7</f>
        <v>0</v>
      </c>
      <c r="J842" s="421">
        <f>DelivOIL!$G100*DelivOIL!R$82^5/(Conv!$I$5*Conv!$D$46)/10^6 + OILTrade!$I$7</f>
        <v>0</v>
      </c>
      <c r="K842" s="421">
        <f>DelivOIL!$G100*DelivOIL!S$82^5/(Conv!$I$5*Conv!$D$46)/10^6 + OILTrade!$I$7</f>
        <v>0</v>
      </c>
      <c r="L842" s="421">
        <f>DelivOIL!$G100*DelivOIL!T$82^5/(Conv!$I$5*Conv!$D$46)/10^6 + OILTrade!$I$7</f>
        <v>0</v>
      </c>
      <c r="M842" s="421">
        <f>DelivOIL!$G100*DelivOIL!U$82^5/(Conv!$I$5*Conv!$D$46)/10^6 + OILTrade!$I$7</f>
        <v>0</v>
      </c>
      <c r="N842" s="421">
        <f>DelivOIL!$G100*DelivOIL!V$82^5/(Conv!$I$5*Conv!$D$46)/10^6 + OILTrade!$I$7</f>
        <v>0</v>
      </c>
      <c r="O842" s="421">
        <f>DelivOIL!$G100*DelivOIL!W$82^5/(Conv!$I$5*Conv!$D$46)/10^6 + OILTrade!$I$7</f>
        <v>0</v>
      </c>
      <c r="P842" s="421">
        <f>DelivOIL!$G100*DelivOIL!X$82^5/(Conv!$I$5*Conv!$D$46)/10^6 + OILTrade!$I$7</f>
        <v>0</v>
      </c>
      <c r="Q842" s="421">
        <f>DelivOIL!$G100*DelivOIL!Y$82^5/(Conv!$I$5*Conv!$D$46)/10^6 + OILTrade!$I$7</f>
        <v>0</v>
      </c>
      <c r="S842" s="395"/>
      <c r="T842" s="395"/>
      <c r="U842" s="395"/>
      <c r="V842" s="395"/>
      <c r="W842" s="395"/>
      <c r="X842" s="395"/>
      <c r="Y842" s="395"/>
      <c r="Z842" s="395"/>
      <c r="AA842" s="395"/>
      <c r="AB842" s="395"/>
      <c r="AC842" s="395"/>
    </row>
    <row r="843" spans="2:29">
      <c r="B843" s="378" t="str">
        <f>IF(LEFT(Technologies!B$720,1)="*","*","R6")</f>
        <v>*</v>
      </c>
      <c r="C843" s="378"/>
      <c r="D843" s="378"/>
      <c r="E843" s="414"/>
      <c r="F843" s="414"/>
      <c r="G843" s="418"/>
      <c r="H843" s="392"/>
      <c r="I843" s="392"/>
      <c r="J843" s="392"/>
      <c r="K843" s="392"/>
      <c r="L843" s="392"/>
      <c r="M843" s="392"/>
      <c r="N843" s="392"/>
      <c r="O843" s="392"/>
      <c r="P843" s="392"/>
      <c r="Q843" s="392"/>
    </row>
    <row r="844" spans="2:29">
      <c r="H844" s="409"/>
      <c r="I844" s="409"/>
    </row>
    <row r="845" spans="2:29">
      <c r="H845" s="409"/>
      <c r="I845" s="409"/>
    </row>
    <row r="846" spans="2:29" ht="17.25" customHeight="1">
      <c r="F846" s="410"/>
      <c r="H846" s="409"/>
      <c r="I846" s="409"/>
    </row>
    <row r="847" spans="2:29" ht="15.75" customHeight="1">
      <c r="B847" s="371" t="s">
        <v>739</v>
      </c>
      <c r="C847" s="371" t="s">
        <v>375</v>
      </c>
      <c r="D847" s="371" t="s">
        <v>376</v>
      </c>
      <c r="E847" s="371" t="s">
        <v>378</v>
      </c>
      <c r="F847" s="371" t="s">
        <v>379</v>
      </c>
      <c r="G847" s="371" t="s">
        <v>2538</v>
      </c>
      <c r="H847" s="371" t="s">
        <v>2540</v>
      </c>
      <c r="I847" s="371" t="s">
        <v>2541</v>
      </c>
      <c r="J847" s="371" t="s">
        <v>2542</v>
      </c>
      <c r="K847" s="371" t="s">
        <v>2543</v>
      </c>
      <c r="L847" s="371" t="s">
        <v>2544</v>
      </c>
      <c r="M847" s="371" t="s">
        <v>2545</v>
      </c>
      <c r="N847" s="371" t="s">
        <v>2546</v>
      </c>
      <c r="O847" s="371" t="s">
        <v>2547</v>
      </c>
      <c r="P847" s="371" t="s">
        <v>2548</v>
      </c>
      <c r="Q847" s="371" t="s">
        <v>2549</v>
      </c>
      <c r="S847" s="407"/>
      <c r="T847" s="407"/>
      <c r="U847" s="407"/>
      <c r="V847" s="407"/>
      <c r="W847" s="407"/>
      <c r="X847" s="407"/>
      <c r="Y847" s="407"/>
      <c r="Z847" s="407"/>
      <c r="AA847" s="407"/>
      <c r="AB847" s="407"/>
      <c r="AC847" s="407"/>
    </row>
    <row r="848" spans="2:29">
      <c r="B848" s="372" t="s">
        <v>2472</v>
      </c>
      <c r="C848" s="372"/>
      <c r="D848" s="372"/>
      <c r="E848" s="412"/>
      <c r="F848" s="412"/>
      <c r="G848" s="408"/>
      <c r="H848" s="424"/>
      <c r="I848" s="424"/>
      <c r="J848" s="424"/>
      <c r="K848" s="424"/>
      <c r="L848" s="424"/>
      <c r="M848" s="424"/>
      <c r="N848" s="424"/>
      <c r="O848" s="424"/>
      <c r="P848" s="424"/>
      <c r="Q848" s="424"/>
    </row>
    <row r="849" spans="2:29">
      <c r="B849" s="378" t="s">
        <v>1091</v>
      </c>
      <c r="C849" s="378"/>
      <c r="D849" s="378"/>
      <c r="E849" s="414"/>
      <c r="F849" s="414"/>
      <c r="G849" s="418"/>
      <c r="H849" s="392"/>
      <c r="I849" s="392"/>
      <c r="J849" s="392"/>
      <c r="K849" s="392"/>
      <c r="L849" s="392"/>
      <c r="M849" s="392"/>
      <c r="N849" s="392"/>
      <c r="O849" s="392"/>
      <c r="P849" s="392"/>
      <c r="Q849" s="392"/>
    </row>
    <row r="850" spans="2:29">
      <c r="B850" s="376" t="str">
        <f>IF(LEFT(Technologies!B$702,1)="*","*","R1")</f>
        <v>R1</v>
      </c>
      <c r="C850" s="376" t="str">
        <f>Technologies!C$747</f>
        <v>XITRGSLCP3</v>
      </c>
      <c r="D850" s="376" t="str">
        <f>Technologies!D702</f>
        <v>Delivery of Imported Conventional Gasoline</v>
      </c>
      <c r="E850" s="415" t="str">
        <f>Commodities!C$347</f>
        <v>GSCP3</v>
      </c>
      <c r="F850" s="415" t="str">
        <f>Commodities!C85</f>
        <v>TRGSLC</v>
      </c>
      <c r="G850" s="422">
        <v>1</v>
      </c>
      <c r="H850" s="421">
        <f>DelivOIL!$B77*DelivOIL!P$77^5/(Conv!$I$5*Conv!$D$46)/10^6 + OILTrade!$D$5</f>
        <v>3.5590004768208217</v>
      </c>
      <c r="I850" s="421">
        <f>DelivOIL!$B77*DelivOIL!Q$77^5/(Conv!$I$5*Conv!$D$46)/10^6 + OILTrade!$D$5</f>
        <v>3.5401933264323509</v>
      </c>
      <c r="J850" s="421">
        <f>DelivOIL!$B77*DelivOIL!R$77^5/(Conv!$I$5*Conv!$D$46)/10^6 + OILTrade!$D$5</f>
        <v>3.7243148569014748</v>
      </c>
      <c r="K850" s="421">
        <f>DelivOIL!$B77*DelivOIL!S$77^5/(Conv!$I$5*Conv!$D$46)/10^6 + OILTrade!$D$5</f>
        <v>4.486384764561711</v>
      </c>
      <c r="L850" s="421">
        <f>DelivOIL!$B77*DelivOIL!T$77^5/(Conv!$I$5*Conv!$D$46)/10^6 + OILTrade!$D$5</f>
        <v>4.1143480194576521</v>
      </c>
      <c r="M850" s="421">
        <f>DelivOIL!$B77*DelivOIL!U$77^5/(Conv!$I$5*Conv!$D$46)/10^6 + OILTrade!$D$5</f>
        <v>3.6461208496214592</v>
      </c>
      <c r="N850" s="421">
        <f>DelivOIL!$B77*DelivOIL!V$77^5/(Conv!$I$5*Conv!$D$46)/10^6 + OILTrade!$D$5</f>
        <v>3.6461208496214592</v>
      </c>
      <c r="O850" s="421">
        <f>DelivOIL!$B77*DelivOIL!W$77^5/(Conv!$I$5*Conv!$D$46)/10^6 + OILTrade!$D$5</f>
        <v>3.6461208496214592</v>
      </c>
      <c r="P850" s="421">
        <f>DelivOIL!$B77*DelivOIL!X$77^5/(Conv!$I$5*Conv!$D$46)/10^6 + OILTrade!$D$5</f>
        <v>3.6461208496214592</v>
      </c>
      <c r="Q850" s="421">
        <f>DelivOIL!$B77*DelivOIL!Y$77^5/(Conv!$I$5*Conv!$D$46)/10^6 + OILTrade!$D$5</f>
        <v>3.6461208496214592</v>
      </c>
      <c r="S850" s="395"/>
      <c r="T850" s="395"/>
      <c r="U850" s="395"/>
      <c r="V850" s="395"/>
      <c r="W850" s="395"/>
      <c r="X850" s="395"/>
      <c r="Y850" s="395"/>
      <c r="Z850" s="395"/>
      <c r="AA850" s="395"/>
      <c r="AB850" s="395"/>
      <c r="AC850" s="395"/>
    </row>
    <row r="851" spans="2:29">
      <c r="B851" s="376" t="str">
        <f>IF(LEFT(Technologies!B$703,1)="*","*","R1")</f>
        <v>R1</v>
      </c>
      <c r="C851" s="376" t="str">
        <f>Technologies!C$748</f>
        <v>XITRGSLRP3</v>
      </c>
      <c r="D851" s="376" t="str">
        <f>Technologies!D703</f>
        <v>Delivery of Imported Reformulated Gasoline</v>
      </c>
      <c r="E851" s="415" t="str">
        <f>Commodities!C$348</f>
        <v>GSRP3</v>
      </c>
      <c r="F851" s="415" t="str">
        <f>Commodities!C86</f>
        <v>TRGSLR</v>
      </c>
      <c r="G851" s="422">
        <v>1</v>
      </c>
      <c r="H851" s="421">
        <f>DelivOIL!$B78*DelivOIL!P$77^5/(Conv!$I$5*Conv!$D$46)/10^6 + OILTrade!$D$5</f>
        <v>3.2521900908879937</v>
      </c>
      <c r="I851" s="421">
        <f>DelivOIL!$B78*DelivOIL!Q$77^5/(Conv!$I$5*Conv!$D$46)/10^6 + OILTrade!$D$5</f>
        <v>3.2350042465674944</v>
      </c>
      <c r="J851" s="421">
        <f>DelivOIL!$B78*DelivOIL!R$77^5/(Conv!$I$5*Conv!$D$46)/10^6 + OILTrade!$D$5</f>
        <v>3.4032532313065218</v>
      </c>
      <c r="K851" s="421">
        <f>DelivOIL!$B78*DelivOIL!S$77^5/(Conv!$I$5*Conv!$D$46)/10^6 + OILTrade!$D$5</f>
        <v>4.09962745727191</v>
      </c>
      <c r="L851" s="421">
        <f>DelivOIL!$B78*DelivOIL!T$77^5/(Conv!$I$5*Conv!$D$46)/10^6 + OILTrade!$D$5</f>
        <v>3.7596628453664769</v>
      </c>
      <c r="M851" s="421">
        <f>DelivOIL!$B78*DelivOIL!U$77^5/(Conv!$I$5*Conv!$D$46)/10^6 + OILTrade!$D$5</f>
        <v>3.3318000867230588</v>
      </c>
      <c r="N851" s="421">
        <f>DelivOIL!$B78*DelivOIL!V$77^5/(Conv!$I$5*Conv!$D$46)/10^6 + OILTrade!$D$5</f>
        <v>3.3318000867230588</v>
      </c>
      <c r="O851" s="421">
        <f>DelivOIL!$B78*DelivOIL!W$77^5/(Conv!$I$5*Conv!$D$46)/10^6 + OILTrade!$D$5</f>
        <v>3.3318000867230588</v>
      </c>
      <c r="P851" s="421">
        <f>DelivOIL!$B78*DelivOIL!X$77^5/(Conv!$I$5*Conv!$D$46)/10^6 + OILTrade!$D$5</f>
        <v>3.3318000867230588</v>
      </c>
      <c r="Q851" s="421">
        <f>DelivOIL!$B78*DelivOIL!Y$77^5/(Conv!$I$5*Conv!$D$46)/10^6 + OILTrade!$D$5</f>
        <v>3.3318000867230588</v>
      </c>
      <c r="S851" s="395"/>
      <c r="T851" s="395"/>
      <c r="U851" s="395"/>
      <c r="V851" s="395"/>
      <c r="W851" s="395"/>
      <c r="X851" s="395"/>
      <c r="Y851" s="395"/>
      <c r="Z851" s="395"/>
      <c r="AA851" s="395"/>
      <c r="AB851" s="395"/>
      <c r="AC851" s="395"/>
    </row>
    <row r="852" spans="2:29">
      <c r="B852" s="376" t="str">
        <f>IF(OR(LEFT(Commodities!B$65,1)="*",LEFT(Technologies!B$233,1)="*"),"*","R1")</f>
        <v>R1</v>
      </c>
      <c r="C852" s="376" t="str">
        <f>Technologies!C$749</f>
        <v>XIRESDSLP3</v>
      </c>
      <c r="D852" s="376" t="str">
        <f>Technologies!D233</f>
        <v>Delivery of Imported Distillate-Heating Oil No. 2 to the Residential Sector</v>
      </c>
      <c r="E852" s="415" t="str">
        <f>Commodities!C$69</f>
        <v>DSHP3</v>
      </c>
      <c r="F852" s="415" t="str">
        <f>Commodities!C87</f>
        <v>RESDSL</v>
      </c>
      <c r="G852" s="422">
        <v>1</v>
      </c>
      <c r="H852" s="421">
        <f>DelivOIL!$B80*DelivOIL!P$77^5/(Conv!$I$5*Conv!$D$46)/10^6 + OILTrade!$D$5</f>
        <v>3.0749218679045796</v>
      </c>
      <c r="I852" s="421">
        <f>DelivOIL!$B80*DelivOIL!Q$77^5/(Conv!$I$5*Conv!$D$46)/10^6 + OILTrade!$D$5</f>
        <v>3.0586727782011311</v>
      </c>
      <c r="J852" s="421">
        <f>DelivOIL!$B80*DelivOIL!R$77^5/(Conv!$I$5*Conv!$D$46)/10^6 + OILTrade!$D$5</f>
        <v>3.2177509587405466</v>
      </c>
      <c r="K852" s="421">
        <f>DelivOIL!$B80*DelivOIL!S$77^5/(Conv!$I$5*Conv!$D$46)/10^6 + OILTrade!$D$5</f>
        <v>3.8761676797266897</v>
      </c>
      <c r="L852" s="421">
        <f>DelivOIL!$B80*DelivOIL!T$77^5/(Conv!$I$5*Conv!$D$46)/10^6 + OILTrade!$D$5</f>
        <v>3.5547336336693514</v>
      </c>
      <c r="M852" s="421">
        <f>DelivOIL!$B80*DelivOIL!U$77^5/(Conv!$I$5*Conv!$D$46)/10^6 + OILTrade!$D$5</f>
        <v>3.1501925348262039</v>
      </c>
      <c r="N852" s="421">
        <f>DelivOIL!$B80*DelivOIL!V$77^5/(Conv!$I$5*Conv!$D$46)/10^6 + OILTrade!$D$5</f>
        <v>3.1501925348262039</v>
      </c>
      <c r="O852" s="421">
        <f>DelivOIL!$B80*DelivOIL!W$77^5/(Conv!$I$5*Conv!$D$46)/10^6 + OILTrade!$D$5</f>
        <v>3.1501925348262039</v>
      </c>
      <c r="P852" s="421">
        <f>DelivOIL!$B80*DelivOIL!X$77^5/(Conv!$I$5*Conv!$D$46)/10^6 + OILTrade!$D$5</f>
        <v>3.1501925348262039</v>
      </c>
      <c r="Q852" s="421">
        <f>DelivOIL!$B80*DelivOIL!Y$77^5/(Conv!$I$5*Conv!$D$46)/10^6 + OILTrade!$D$5</f>
        <v>3.1501925348262039</v>
      </c>
      <c r="S852" s="395"/>
      <c r="T852" s="395"/>
      <c r="U852" s="395"/>
      <c r="V852" s="395"/>
      <c r="W852" s="395"/>
      <c r="X852" s="395"/>
      <c r="Y852" s="395"/>
      <c r="Z852" s="395"/>
      <c r="AA852" s="395"/>
      <c r="AB852" s="395"/>
      <c r="AC852" s="395"/>
    </row>
    <row r="853" spans="2:29">
      <c r="B853" s="376" t="str">
        <f>IF(OR(LEFT(Commodities!B$65,1)="*",LEFT(Technologies!B$234,1)="*"),"*","R1")</f>
        <v>R1</v>
      </c>
      <c r="C853" s="376" t="str">
        <f>Technologies!C$750</f>
        <v>XICOMDSLP3</v>
      </c>
      <c r="D853" s="376" t="str">
        <f>Technologies!D234</f>
        <v>Delivery of Imported Distillate-Heating Oil No. 2 to the Commercial Sector</v>
      </c>
      <c r="E853" s="415" t="str">
        <f>Commodities!C$69</f>
        <v>DSHP3</v>
      </c>
      <c r="F853" s="415" t="str">
        <f>Commodities!C88</f>
        <v>COMDSL</v>
      </c>
      <c r="G853" s="422">
        <v>1</v>
      </c>
      <c r="H853" s="421">
        <f>DelivOIL!$B81*DelivOIL!P$77^5/(Conv!$I$5*Conv!$D$46)/10^6 + OILTrade!$D$5</f>
        <v>1.6635940926135653</v>
      </c>
      <c r="I853" s="421">
        <f>DelivOIL!$B81*DelivOIL!Q$77^5/(Conv!$I$5*Conv!$D$46)/10^6 + OILTrade!$D$5</f>
        <v>1.6548030108227858</v>
      </c>
      <c r="J853" s="421">
        <f>DelivOIL!$B81*DelivOIL!R$77^5/(Conv!$I$5*Conv!$D$46)/10^6 + OILTrade!$D$5</f>
        <v>1.7408674810037557</v>
      </c>
      <c r="K853" s="421">
        <f>DelivOIL!$B81*DelivOIL!S$77^5/(Conv!$I$5*Conv!$D$46)/10^6 + OILTrade!$D$5</f>
        <v>2.0970840661935979</v>
      </c>
      <c r="L853" s="421">
        <f>DelivOIL!$B81*DelivOIL!T$77^5/(Conv!$I$5*Conv!$D$46)/10^6 + OILTrade!$D$5</f>
        <v>1.9231818328499382</v>
      </c>
      <c r="M853" s="421">
        <f>DelivOIL!$B81*DelivOIL!U$77^5/(Conv!$I$5*Conv!$D$46)/10^6 + OILTrade!$D$5</f>
        <v>1.7043170254935567</v>
      </c>
      <c r="N853" s="421">
        <f>DelivOIL!$B81*DelivOIL!V$77^5/(Conv!$I$5*Conv!$D$46)/10^6 + OILTrade!$D$5</f>
        <v>1.7043170254935567</v>
      </c>
      <c r="O853" s="421">
        <f>DelivOIL!$B81*DelivOIL!W$77^5/(Conv!$I$5*Conv!$D$46)/10^6 + OILTrade!$D$5</f>
        <v>1.7043170254935567</v>
      </c>
      <c r="P853" s="421">
        <f>DelivOIL!$B81*DelivOIL!X$77^5/(Conv!$I$5*Conv!$D$46)/10^6 + OILTrade!$D$5</f>
        <v>1.7043170254935567</v>
      </c>
      <c r="Q853" s="421">
        <f>DelivOIL!$B81*DelivOIL!Y$77^5/(Conv!$I$5*Conv!$D$46)/10^6 + OILTrade!$D$5</f>
        <v>1.7043170254935567</v>
      </c>
      <c r="S853" s="395"/>
      <c r="T853" s="395"/>
      <c r="U853" s="395"/>
      <c r="V853" s="395"/>
      <c r="W853" s="395"/>
      <c r="X853" s="395"/>
      <c r="Y853" s="395"/>
      <c r="Z853" s="395"/>
      <c r="AA853" s="395"/>
      <c r="AB853" s="395"/>
      <c r="AC853" s="395"/>
    </row>
    <row r="854" spans="2:29">
      <c r="B854" s="376" t="str">
        <f>IF(OR(LEFT(Commodities!B$65,1)="*",LEFT(Technologies!B$235,1)="*"),"*","R1")</f>
        <v>*</v>
      </c>
      <c r="C854" s="376" t="str">
        <f>Technologies!C$751</f>
        <v>XIINDDSLP3</v>
      </c>
      <c r="D854" s="376" t="str">
        <f>Technologies!D235</f>
        <v>Delivery of Imported Distillate-Heating Oil No. 2 to the Indistrial Sector</v>
      </c>
      <c r="E854" s="415" t="str">
        <f>Commodities!C$69</f>
        <v>DSHP3</v>
      </c>
      <c r="F854" s="415" t="str">
        <f>Commodities!C89</f>
        <v>INDDSL</v>
      </c>
      <c r="G854" s="422">
        <v>1</v>
      </c>
      <c r="H854" s="421">
        <f>DelivOIL!$B82*DelivOIL!P$77^5/(Conv!$I$5*Conv!$D$46)/10^6 + OILTrade!$D$5</f>
        <v>1.6976841354949901</v>
      </c>
      <c r="I854" s="421">
        <f>DelivOIL!$B82*DelivOIL!Q$77^5/(Conv!$I$5*Conv!$D$46)/10^6 + OILTrade!$D$5</f>
        <v>1.6887129085855468</v>
      </c>
      <c r="J854" s="421">
        <f>DelivOIL!$B82*DelivOIL!R$77^5/(Conv!$I$5*Conv!$D$46)/10^6 + OILTrade!$D$5</f>
        <v>1.7765409949587494</v>
      </c>
      <c r="K854" s="421">
        <f>DelivOIL!$B82*DelivOIL!S$77^5/(Conv!$I$5*Conv!$D$46)/10^6 + OILTrade!$D$5</f>
        <v>2.1400571003369087</v>
      </c>
      <c r="L854" s="421">
        <f>DelivOIL!$B82*DelivOIL!T$77^5/(Conv!$I$5*Conv!$D$46)/10^6 + OILTrade!$D$5</f>
        <v>1.9625912966378458</v>
      </c>
      <c r="M854" s="421">
        <f>DelivOIL!$B82*DelivOIL!U$77^5/(Conv!$I$5*Conv!$D$46)/10^6 + OILTrade!$D$5</f>
        <v>1.7392415547044897</v>
      </c>
      <c r="N854" s="421">
        <f>DelivOIL!$B82*DelivOIL!V$77^5/(Conv!$I$5*Conv!$D$46)/10^6 + OILTrade!$D$5</f>
        <v>1.7392415547044897</v>
      </c>
      <c r="O854" s="421">
        <f>DelivOIL!$B82*DelivOIL!W$77^5/(Conv!$I$5*Conv!$D$46)/10^6 + OILTrade!$D$5</f>
        <v>1.7392415547044897</v>
      </c>
      <c r="P854" s="421">
        <f>DelivOIL!$B82*DelivOIL!X$77^5/(Conv!$I$5*Conv!$D$46)/10^6 + OILTrade!$D$5</f>
        <v>1.7392415547044897</v>
      </c>
      <c r="Q854" s="421">
        <f>DelivOIL!$B82*DelivOIL!Y$77^5/(Conv!$I$5*Conv!$D$46)/10^6 + OILTrade!$D$5</f>
        <v>1.7392415547044897</v>
      </c>
      <c r="S854" s="395"/>
      <c r="T854" s="395"/>
      <c r="U854" s="395"/>
      <c r="V854" s="395"/>
      <c r="W854" s="395"/>
      <c r="X854" s="395"/>
      <c r="Y854" s="395"/>
      <c r="Z854" s="395"/>
      <c r="AA854" s="395"/>
      <c r="AB854" s="395"/>
      <c r="AC854" s="395"/>
    </row>
    <row r="855" spans="2:29">
      <c r="B855" s="376" t="str">
        <f>IF(OR(LEFT(Commodities!B$65,1)="*",LEFT(Technologies!B$236,1)="*"),"*","R1")</f>
        <v>R1</v>
      </c>
      <c r="C855" s="376" t="str">
        <f>Technologies!C$752</f>
        <v>XIELCDSLP3</v>
      </c>
      <c r="D855" s="376" t="str">
        <f>Technologies!D236</f>
        <v>Delivery of Imported Distillate-Heating Oil No. 2 to the Electricity Sector</v>
      </c>
      <c r="E855" s="415" t="str">
        <f>Commodities!C$69</f>
        <v>DSHP3</v>
      </c>
      <c r="F855" s="415" t="str">
        <f>Commodities!C90</f>
        <v>ELCDSL</v>
      </c>
      <c r="G855" s="422">
        <v>1</v>
      </c>
      <c r="H855" s="421">
        <f>DelivOIL!$B83*DelivOIL!P$77^5/(Conv!$I$5*Conv!$D$46)/10^6 + OILTrade!$D$5</f>
        <v>0.54544068610280849</v>
      </c>
      <c r="I855" s="421">
        <f>DelivOIL!$B83*DelivOIL!Q$77^5/(Conv!$I$5*Conv!$D$46)/10^6 + OILTrade!$D$5</f>
        <v>0.54255836420419234</v>
      </c>
      <c r="J855" s="421">
        <f>DelivOIL!$B83*DelivOIL!R$77^5/(Conv!$I$5*Conv!$D$46)/10^6 + OILTrade!$D$5</f>
        <v>0.57077622327992017</v>
      </c>
      <c r="K855" s="421">
        <f>DelivOIL!$B83*DelivOIL!S$77^5/(Conv!$I$5*Conv!$D$46)/10^6 + OILTrade!$D$5</f>
        <v>0.68756854629298325</v>
      </c>
      <c r="L855" s="421">
        <f>DelivOIL!$B83*DelivOIL!T$77^5/(Conv!$I$5*Conv!$D$46)/10^6 + OILTrade!$D$5</f>
        <v>0.63055142060653735</v>
      </c>
      <c r="M855" s="421">
        <f>DelivOIL!$B83*DelivOIL!U$77^5/(Conv!$I$5*Conv!$D$46)/10^6 + OILTrade!$D$5</f>
        <v>0.55879246737493693</v>
      </c>
      <c r="N855" s="421">
        <f>DelivOIL!$B83*DelivOIL!V$77^5/(Conv!$I$5*Conv!$D$46)/10^6 + OILTrade!$D$5</f>
        <v>0.55879246737493693</v>
      </c>
      <c r="O855" s="421">
        <f>DelivOIL!$B83*DelivOIL!W$77^5/(Conv!$I$5*Conv!$D$46)/10^6 + OILTrade!$D$5</f>
        <v>0.55879246737493693</v>
      </c>
      <c r="P855" s="421">
        <f>DelivOIL!$B83*DelivOIL!X$77^5/(Conv!$I$5*Conv!$D$46)/10^6 + OILTrade!$D$5</f>
        <v>0.55879246737493693</v>
      </c>
      <c r="Q855" s="421">
        <f>DelivOIL!$B83*DelivOIL!Y$77^5/(Conv!$I$5*Conv!$D$46)/10^6 + OILTrade!$D$5</f>
        <v>0.55879246737493693</v>
      </c>
      <c r="S855" s="395"/>
      <c r="T855" s="395"/>
      <c r="U855" s="395"/>
      <c r="V855" s="395"/>
      <c r="W855" s="395"/>
      <c r="X855" s="395"/>
      <c r="Y855" s="395"/>
      <c r="Z855" s="395"/>
      <c r="AA855" s="395"/>
      <c r="AB855" s="395"/>
      <c r="AC855" s="395"/>
    </row>
    <row r="856" spans="2:29">
      <c r="B856" s="376" t="str">
        <f>IF(OR(LEFT(Commodities!B$323,1)="*",LEFT(Technologies!B$704,1)="*"),"*","R1")</f>
        <v>R1</v>
      </c>
      <c r="C856" s="376" t="str">
        <f>Technologies!C$753</f>
        <v>XITRDSLLP3</v>
      </c>
      <c r="D856" s="376" t="str">
        <f>Technologies!D704</f>
        <v>Delivery of Imported Distillate-Low Sulfur Highway Diesel (500 ppm)</v>
      </c>
      <c r="E856" s="415" t="str">
        <f>Commodities!C$345</f>
        <v>DSLP3</v>
      </c>
      <c r="F856" s="415" t="str">
        <f>Commodities!C91</f>
        <v>TRDSLL</v>
      </c>
      <c r="G856" s="422">
        <v>1</v>
      </c>
      <c r="H856" s="421">
        <f>DelivOIL!$B84*DelivOIL!P$77^5/(Conv!$I$5*Conv!$D$46)/10^6 + OILTrade!$D$5</f>
        <v>4.383979514551319</v>
      </c>
      <c r="I856" s="421">
        <f>DelivOIL!$B84*DelivOIL!Q$77^5/(Conv!$I$5*Conv!$D$46)/10^6 + OILTrade!$D$5</f>
        <v>4.3608128522911906</v>
      </c>
      <c r="J856" s="421">
        <f>DelivOIL!$B84*DelivOIL!R$77^5/(Conv!$I$5*Conv!$D$46)/10^6 + OILTrade!$D$5</f>
        <v>4.5876138946123532</v>
      </c>
      <c r="K856" s="421">
        <f>DelivOIL!$B84*DelivOIL!S$77^5/(Conv!$I$5*Conv!$D$46)/10^6 + OILTrade!$D$5</f>
        <v>5.5263321908298479</v>
      </c>
      <c r="L856" s="421">
        <f>DelivOIL!$B84*DelivOIL!T$77^5/(Conv!$I$5*Conv!$D$46)/10^6 + OILTrade!$D$5</f>
        <v>5.06805704312504</v>
      </c>
      <c r="M856" s="421">
        <f>DelivOIL!$B84*DelivOIL!U$77^5/(Conv!$I$5*Conv!$D$46)/10^6 + OILTrade!$D$5</f>
        <v>4.4912944565260515</v>
      </c>
      <c r="N856" s="421">
        <f>DelivOIL!$B84*DelivOIL!V$77^5/(Conv!$I$5*Conv!$D$46)/10^6 + OILTrade!$D$5</f>
        <v>4.4912944565260515</v>
      </c>
      <c r="O856" s="421">
        <f>DelivOIL!$B84*DelivOIL!W$77^5/(Conv!$I$5*Conv!$D$46)/10^6 + OILTrade!$D$5</f>
        <v>4.4912944565260515</v>
      </c>
      <c r="P856" s="421">
        <f>DelivOIL!$B84*DelivOIL!X$77^5/(Conv!$I$5*Conv!$D$46)/10^6 + OILTrade!$D$5</f>
        <v>4.4912944565260515</v>
      </c>
      <c r="Q856" s="421">
        <f>DelivOIL!$B84*DelivOIL!Y$77^5/(Conv!$I$5*Conv!$D$46)/10^6 + OILTrade!$D$5</f>
        <v>4.4912944565260515</v>
      </c>
      <c r="S856" s="395"/>
      <c r="T856" s="395"/>
      <c r="U856" s="395"/>
      <c r="V856" s="395"/>
      <c r="W856" s="395"/>
      <c r="X856" s="395"/>
      <c r="Y856" s="395"/>
      <c r="Z856" s="395"/>
      <c r="AA856" s="395"/>
      <c r="AB856" s="395"/>
      <c r="AC856" s="395"/>
    </row>
    <row r="857" spans="2:29">
      <c r="B857" s="376" t="str">
        <f>IF(OR(LEFT(Commodities!B$324,1)="*",LEFT(Technologies!B$705,1)="*"),"*","R1")</f>
        <v>R1</v>
      </c>
      <c r="C857" s="376" t="str">
        <f>Technologies!C$754</f>
        <v>XITRDSLUP3</v>
      </c>
      <c r="D857" s="376" t="str">
        <f>Technologies!D705</f>
        <v>Delivery of Imported Distillate-Ultralow Sulfur Highway Diesel (15 ppm)</v>
      </c>
      <c r="E857" s="415" t="str">
        <f>Commodities!C$346</f>
        <v>DSUP3</v>
      </c>
      <c r="F857" s="415" t="str">
        <f>Commodities!C92</f>
        <v>TRDSLU</v>
      </c>
      <c r="G857" s="422">
        <v>1</v>
      </c>
      <c r="H857" s="421">
        <f>DelivOIL!$B85*DelivOIL!P$77^5/(Conv!$I$5*Conv!$D$46)/10^6 + OILTrade!$D$5</f>
        <v>3.7430867083805195</v>
      </c>
      <c r="I857" s="421">
        <f>DelivOIL!$B85*DelivOIL!Q$77^5/(Conv!$I$5*Conv!$D$46)/10^6 + OILTrade!$D$5</f>
        <v>3.7233067743512653</v>
      </c>
      <c r="J857" s="421">
        <f>DelivOIL!$B85*DelivOIL!R$77^5/(Conv!$I$5*Conv!$D$46)/10^6 + OILTrade!$D$5</f>
        <v>3.916951832258448</v>
      </c>
      <c r="K857" s="421">
        <f>DelivOIL!$B85*DelivOIL!S$77^5/(Conv!$I$5*Conv!$D$46)/10^6 + OILTrade!$D$5</f>
        <v>4.7184391489355928</v>
      </c>
      <c r="L857" s="421">
        <f>DelivOIL!$B85*DelivOIL!T$77^5/(Conv!$I$5*Conv!$D$46)/10^6 + OILTrade!$D$5</f>
        <v>4.3271591239123586</v>
      </c>
      <c r="M857" s="421">
        <f>DelivOIL!$B85*DelivOIL!U$77^5/(Conv!$I$5*Conv!$D$46)/10^6 + OILTrade!$D$5</f>
        <v>3.8347133073605009</v>
      </c>
      <c r="N857" s="421">
        <f>DelivOIL!$B85*DelivOIL!V$77^5/(Conv!$I$5*Conv!$D$46)/10^6 + OILTrade!$D$5</f>
        <v>3.8347133073605009</v>
      </c>
      <c r="O857" s="421">
        <f>DelivOIL!$B85*DelivOIL!W$77^5/(Conv!$I$5*Conv!$D$46)/10^6 + OILTrade!$D$5</f>
        <v>3.8347133073605009</v>
      </c>
      <c r="P857" s="421">
        <f>DelivOIL!$B85*DelivOIL!X$77^5/(Conv!$I$5*Conv!$D$46)/10^6 + OILTrade!$D$5</f>
        <v>3.8347133073605009</v>
      </c>
      <c r="Q857" s="421">
        <f>DelivOIL!$B85*DelivOIL!Y$77^5/(Conv!$I$5*Conv!$D$46)/10^6 + OILTrade!$D$5</f>
        <v>3.8347133073605009</v>
      </c>
      <c r="S857" s="395"/>
      <c r="T857" s="395"/>
      <c r="U857" s="395"/>
      <c r="V857" s="395"/>
      <c r="W857" s="395"/>
      <c r="X857" s="395"/>
      <c r="Y857" s="395"/>
      <c r="Z857" s="395"/>
      <c r="AA857" s="395"/>
      <c r="AB857" s="395"/>
      <c r="AC857" s="395"/>
    </row>
    <row r="858" spans="2:29">
      <c r="B858" s="376" t="str">
        <f>IF(OR(LEFT(Commodities!B$64,1)="*",LEFT(Technologies!B$232,1)="*"),"*","R1")</f>
        <v>R1</v>
      </c>
      <c r="C858" s="376" t="str">
        <f>Technologies!C$755</f>
        <v>XITRNJTFP3</v>
      </c>
      <c r="D858" s="376" t="str">
        <f>Technologies!D232</f>
        <v>Delivery of Imported Jet Fuel</v>
      </c>
      <c r="E858" s="415" t="str">
        <f>Commodities!C$68</f>
        <v>JTFP3</v>
      </c>
      <c r="F858" s="415" t="str">
        <f>Commodities!C93</f>
        <v>TRNJTF</v>
      </c>
      <c r="G858" s="422">
        <v>1</v>
      </c>
      <c r="H858" s="421">
        <f>DelivOIL!$B86*DelivOIL!P$77^5/(Conv!$I$5*Conv!$D$46)/10^6 + OILTrade!$D$5</f>
        <v>0.94770319210362897</v>
      </c>
      <c r="I858" s="421">
        <f>DelivOIL!$B86*DelivOIL!Q$77^5/(Conv!$I$5*Conv!$D$46)/10^6 + OILTrade!$D$5</f>
        <v>0.9426951578047833</v>
      </c>
      <c r="J858" s="421">
        <f>DelivOIL!$B86*DelivOIL!R$77^5/(Conv!$I$5*Conv!$D$46)/10^6 + OILTrade!$D$5</f>
        <v>0.99172368794886034</v>
      </c>
      <c r="K858" s="421">
        <f>DelivOIL!$B86*DelivOIL!S$77^5/(Conv!$I$5*Conv!$D$46)/10^6 + OILTrade!$D$5</f>
        <v>1.1946503491840577</v>
      </c>
      <c r="L858" s="421">
        <f>DelivOIL!$B86*DelivOIL!T$77^5/(Conv!$I$5*Conv!$D$46)/10^6 + OILTrade!$D$5</f>
        <v>1.0955830933038582</v>
      </c>
      <c r="M858" s="421">
        <f>DelivOIL!$B86*DelivOIL!U$77^5/(Conv!$I$5*Conv!$D$46)/10^6 + OILTrade!$D$5</f>
        <v>0.97090191206395204</v>
      </c>
      <c r="N858" s="421">
        <f>DelivOIL!$B86*DelivOIL!V$77^5/(Conv!$I$5*Conv!$D$46)/10^6 + OILTrade!$D$5</f>
        <v>0.97090191206395204</v>
      </c>
      <c r="O858" s="421">
        <f>DelivOIL!$B86*DelivOIL!W$77^5/(Conv!$I$5*Conv!$D$46)/10^6 + OILTrade!$D$5</f>
        <v>0.97090191206395204</v>
      </c>
      <c r="P858" s="421">
        <f>DelivOIL!$B86*DelivOIL!X$77^5/(Conv!$I$5*Conv!$D$46)/10^6 + OILTrade!$D$5</f>
        <v>0.97090191206395204</v>
      </c>
      <c r="Q858" s="421">
        <f>DelivOIL!$B86*DelivOIL!Y$77^5/(Conv!$I$5*Conv!$D$46)/10^6 + OILTrade!$D$5</f>
        <v>0.97090191206395204</v>
      </c>
      <c r="S858" s="395"/>
      <c r="T858" s="395"/>
      <c r="U858" s="395"/>
      <c r="V858" s="395"/>
      <c r="W858" s="395"/>
      <c r="X858" s="395"/>
      <c r="Y858" s="395"/>
      <c r="Z858" s="395"/>
      <c r="AA858" s="395"/>
      <c r="AB858" s="395"/>
      <c r="AC858" s="395"/>
    </row>
    <row r="859" spans="2:29">
      <c r="B859" s="376" t="str">
        <f>IF(OR(LEFT(Commodities!B$327,1)="*",LEFT(Technologies!B$706,1)="*"),"*","R1")</f>
        <v>*</v>
      </c>
      <c r="C859" s="376" t="str">
        <f>Technologies!C$756</f>
        <v>XIRESKERP3</v>
      </c>
      <c r="D859" s="376" t="str">
        <f>Technologies!D706</f>
        <v>Delivery of Imported Kerosene and Other Refined Products to the Residential Sector</v>
      </c>
      <c r="E859" s="415" t="str">
        <f>Commodities!C$349</f>
        <v>KERP3</v>
      </c>
      <c r="F859" s="415" t="str">
        <f>Commodities!C94</f>
        <v>RESKER</v>
      </c>
      <c r="G859" s="422">
        <v>1</v>
      </c>
      <c r="H859" s="421">
        <f>DelivOIL!$B87*DelivOIL!P$77^5/(Conv!$I$5*Conv!$D$46)/10^6 + OILTrade!$D$5</f>
        <v>1.5408699382404334</v>
      </c>
      <c r="I859" s="421">
        <f>DelivOIL!$B87*DelivOIL!Q$77^5/(Conv!$I$5*Conv!$D$46)/10^6 + OILTrade!$D$5</f>
        <v>1.5327273788768423</v>
      </c>
      <c r="J859" s="421">
        <f>DelivOIL!$B87*DelivOIL!R$77^5/(Conv!$I$5*Conv!$D$46)/10^6 + OILTrade!$D$5</f>
        <v>1.6124428307657734</v>
      </c>
      <c r="K859" s="421">
        <f>DelivOIL!$B87*DelivOIL!S$77^5/(Conv!$I$5*Conv!$D$46)/10^6 + OILTrade!$D$5</f>
        <v>1.9423811432776767</v>
      </c>
      <c r="L859" s="421">
        <f>DelivOIL!$B87*DelivOIL!T$77^5/(Conv!$I$5*Conv!$D$46)/10^6 + OILTrade!$D$5</f>
        <v>1.7813077632134673</v>
      </c>
      <c r="M859" s="421">
        <f>DelivOIL!$B87*DelivOIL!U$77^5/(Conv!$I$5*Conv!$D$46)/10^6 + OILTrade!$D$5</f>
        <v>1.5785887203341959</v>
      </c>
      <c r="N859" s="421">
        <f>DelivOIL!$B87*DelivOIL!V$77^5/(Conv!$I$5*Conv!$D$46)/10^6 + OILTrade!$D$5</f>
        <v>1.5785887203341959</v>
      </c>
      <c r="O859" s="421">
        <f>DelivOIL!$B87*DelivOIL!W$77^5/(Conv!$I$5*Conv!$D$46)/10^6 + OILTrade!$D$5</f>
        <v>1.5785887203341959</v>
      </c>
      <c r="P859" s="421">
        <f>DelivOIL!$B87*DelivOIL!X$77^5/(Conv!$I$5*Conv!$D$46)/10^6 + OILTrade!$D$5</f>
        <v>1.5785887203341959</v>
      </c>
      <c r="Q859" s="421">
        <f>DelivOIL!$B87*DelivOIL!Y$77^5/(Conv!$I$5*Conv!$D$46)/10^6 + OILTrade!$D$5</f>
        <v>1.5785887203341959</v>
      </c>
      <c r="S859" s="395"/>
      <c r="T859" s="395"/>
      <c r="U859" s="395"/>
      <c r="V859" s="395"/>
      <c r="W859" s="395"/>
      <c r="X859" s="395"/>
      <c r="Y859" s="395"/>
      <c r="Z859" s="395"/>
      <c r="AA859" s="395"/>
      <c r="AB859" s="395"/>
      <c r="AC859" s="395"/>
    </row>
    <row r="860" spans="2:29">
      <c r="B860" s="376" t="str">
        <f>IF(OR(LEFT(Commodities!B$327,1)="*",LEFT(Technologies!B$707,1)="*"),"*","R1")</f>
        <v>*</v>
      </c>
      <c r="C860" s="376" t="str">
        <f>Technologies!C$757</f>
        <v>XICOMKERP3</v>
      </c>
      <c r="D860" s="376" t="str">
        <f>Technologies!D707</f>
        <v>Delivery of Imported Kerosene and Other Refined Products to the Commercial Sector</v>
      </c>
      <c r="E860" s="415" t="str">
        <f>Commodities!C$349</f>
        <v>KERP3</v>
      </c>
      <c r="F860" s="415" t="str">
        <f>Commodities!C95</f>
        <v>COMKER</v>
      </c>
      <c r="G860" s="422">
        <v>1</v>
      </c>
      <c r="H860" s="421">
        <f>DelivOIL!$B88*DelivOIL!P$77^5/(Conv!$I$5*Conv!$D$46)/10^6 + OILTrade!$D$5</f>
        <v>1.5135979039352927</v>
      </c>
      <c r="I860" s="421">
        <f>DelivOIL!$B88*DelivOIL!Q$77^5/(Conv!$I$5*Conv!$D$46)/10^6 + OILTrade!$D$5</f>
        <v>1.5055994606666327</v>
      </c>
      <c r="J860" s="421">
        <f>DelivOIL!$B88*DelivOIL!R$77^5/(Conv!$I$5*Conv!$D$46)/10^6 + OILTrade!$D$5</f>
        <v>1.5839040196017777</v>
      </c>
      <c r="K860" s="421">
        <f>DelivOIL!$B88*DelivOIL!S$77^5/(Conv!$I$5*Conv!$D$46)/10^6 + OILTrade!$D$5</f>
        <v>1.9080027159630277</v>
      </c>
      <c r="L860" s="421">
        <f>DelivOIL!$B88*DelivOIL!T$77^5/(Conv!$I$5*Conv!$D$46)/10^6 + OILTrade!$D$5</f>
        <v>1.7497801921831406</v>
      </c>
      <c r="M860" s="421">
        <f>DelivOIL!$B88*DelivOIL!U$77^5/(Conv!$I$5*Conv!$D$46)/10^6 + OILTrade!$D$5</f>
        <v>1.5506490969654489</v>
      </c>
      <c r="N860" s="421">
        <f>DelivOIL!$B88*DelivOIL!V$77^5/(Conv!$I$5*Conv!$D$46)/10^6 + OILTrade!$D$5</f>
        <v>1.5506490969654489</v>
      </c>
      <c r="O860" s="421">
        <f>DelivOIL!$B88*DelivOIL!W$77^5/(Conv!$I$5*Conv!$D$46)/10^6 + OILTrade!$D$5</f>
        <v>1.5506490969654489</v>
      </c>
      <c r="P860" s="421">
        <f>DelivOIL!$B88*DelivOIL!X$77^5/(Conv!$I$5*Conv!$D$46)/10^6 + OILTrade!$D$5</f>
        <v>1.5506490969654489</v>
      </c>
      <c r="Q860" s="421">
        <f>DelivOIL!$B88*DelivOIL!Y$77^5/(Conv!$I$5*Conv!$D$46)/10^6 + OILTrade!$D$5</f>
        <v>1.5506490969654489</v>
      </c>
      <c r="S860" s="395"/>
      <c r="T860" s="395"/>
      <c r="U860" s="395"/>
      <c r="V860" s="395"/>
      <c r="W860" s="395"/>
      <c r="X860" s="395"/>
      <c r="Y860" s="395"/>
      <c r="Z860" s="395"/>
      <c r="AA860" s="395"/>
      <c r="AB860" s="395"/>
      <c r="AC860" s="395"/>
    </row>
    <row r="861" spans="2:29">
      <c r="B861" s="376" t="str">
        <f>IF(OR(LEFT(Commodities!B$327,1)="*",LEFT(Technologies!B$708,1)="*"),"*","R1")</f>
        <v>*</v>
      </c>
      <c r="C861" s="376" t="str">
        <f>Technologies!C$758</f>
        <v>XIINDKERP3</v>
      </c>
      <c r="D861" s="376" t="str">
        <f>Technologies!D708</f>
        <v>Delivery of Imported Kerosene and Other Refined Products to the Industrial Sector</v>
      </c>
      <c r="E861" s="415" t="str">
        <f>Commodities!C$349</f>
        <v>KERP3</v>
      </c>
      <c r="F861" s="415" t="str">
        <f>Commodities!C96</f>
        <v>INDKER</v>
      </c>
      <c r="G861" s="422">
        <v>1</v>
      </c>
      <c r="H861" s="421">
        <f>DelivOIL!$B89*DelivOIL!P$77^5/(Conv!$I$5*Conv!$D$46)/10^6 + OILTrade!$D$5</f>
        <v>1.2204235351550325</v>
      </c>
      <c r="I861" s="421">
        <f>DelivOIL!$B89*DelivOIL!Q$77^5/(Conv!$I$5*Conv!$D$46)/10^6 + OILTrade!$D$5</f>
        <v>1.2139743399068788</v>
      </c>
      <c r="J861" s="421">
        <f>DelivOIL!$B89*DelivOIL!R$77^5/(Conv!$I$5*Conv!$D$46)/10^6 + OILTrade!$D$5</f>
        <v>1.2771117995888197</v>
      </c>
      <c r="K861" s="421">
        <f>DelivOIL!$B89*DelivOIL!S$77^5/(Conv!$I$5*Conv!$D$46)/10^6 + OILTrade!$D$5</f>
        <v>1.5384346223305483</v>
      </c>
      <c r="L861" s="421">
        <f>DelivOIL!$B89*DelivOIL!T$77^5/(Conv!$I$5*Conv!$D$46)/10^6 + OILTrade!$D$5</f>
        <v>1.4108588036071257</v>
      </c>
      <c r="M861" s="421">
        <f>DelivOIL!$B89*DelivOIL!U$77^5/(Conv!$I$5*Conv!$D$46)/10^6 + OILTrade!$D$5</f>
        <v>1.2502981457514197</v>
      </c>
      <c r="N861" s="421">
        <f>DelivOIL!$B89*DelivOIL!V$77^5/(Conv!$I$5*Conv!$D$46)/10^6 + OILTrade!$D$5</f>
        <v>1.2502981457514197</v>
      </c>
      <c r="O861" s="421">
        <f>DelivOIL!$B89*DelivOIL!W$77^5/(Conv!$I$5*Conv!$D$46)/10^6 + OILTrade!$D$5</f>
        <v>1.2502981457514197</v>
      </c>
      <c r="P861" s="421">
        <f>DelivOIL!$B89*DelivOIL!X$77^5/(Conv!$I$5*Conv!$D$46)/10^6 + OILTrade!$D$5</f>
        <v>1.2502981457514197</v>
      </c>
      <c r="Q861" s="421">
        <f>DelivOIL!$B89*DelivOIL!Y$77^5/(Conv!$I$5*Conv!$D$46)/10^6 + OILTrade!$D$5</f>
        <v>1.2502981457514197</v>
      </c>
      <c r="S861" s="395"/>
      <c r="T861" s="395"/>
      <c r="U861" s="395"/>
      <c r="V861" s="395"/>
      <c r="W861" s="395"/>
      <c r="X861" s="395"/>
      <c r="Y861" s="395"/>
      <c r="Z861" s="395"/>
      <c r="AA861" s="395"/>
      <c r="AB861" s="395"/>
      <c r="AC861" s="395"/>
    </row>
    <row r="862" spans="2:29">
      <c r="B862" s="376" t="str">
        <f>IF(OR(LEFT(Commodities!B$328,1)="*",LEFT(Technologies!B$709,1)="*"),"*","R1")</f>
        <v>*</v>
      </c>
      <c r="C862" s="376" t="str">
        <f>Technologies!C$759</f>
        <v>XIRESLPGP3</v>
      </c>
      <c r="D862" s="376" t="str">
        <f>Technologies!D709</f>
        <v>Delivery of Imported LPG to the Residential Sector</v>
      </c>
      <c r="E862" s="415" t="str">
        <f>Commodities!C$350</f>
        <v>LPGP3</v>
      </c>
      <c r="F862" s="415" t="str">
        <f>Commodities!C97</f>
        <v>RESLPG</v>
      </c>
      <c r="G862" s="422">
        <v>1</v>
      </c>
      <c r="H862" s="421">
        <f>DelivOIL!$B90*DelivOIL!P$77^5/(Conv!$I$5*Conv!$D$46)/10^6 + OILTrade!$D$5</f>
        <v>5.9453034785206071</v>
      </c>
      <c r="I862" s="421">
        <f>DelivOIL!$B90*DelivOIL!Q$77^5/(Conv!$I$5*Conv!$D$46)/10^6 + OILTrade!$D$5</f>
        <v>5.913886169825691</v>
      </c>
      <c r="J862" s="421">
        <f>DelivOIL!$B90*DelivOIL!R$77^5/(Conv!$I$5*Conv!$D$46)/10^6 + OILTrade!$D$5</f>
        <v>6.2214608337511237</v>
      </c>
      <c r="K862" s="421">
        <f>DelivOIL!$B90*DelivOIL!S$77^5/(Conv!$I$5*Conv!$D$46)/10^6 + OILTrade!$D$5</f>
        <v>7.4944971545935104</v>
      </c>
      <c r="L862" s="421">
        <f>DelivOIL!$B90*DelivOIL!T$77^5/(Conv!$I$5*Conv!$D$46)/10^6 + OILTrade!$D$5</f>
        <v>6.8730104846112514</v>
      </c>
      <c r="M862" s="421">
        <f>DelivOIL!$B90*DelivOIL!U$77^5/(Conv!$I$5*Conv!$D$46)/10^6 + OILTrade!$D$5</f>
        <v>6.0908378943868069</v>
      </c>
      <c r="N862" s="421">
        <f>DelivOIL!$B90*DelivOIL!V$77^5/(Conv!$I$5*Conv!$D$46)/10^6 + OILTrade!$D$5</f>
        <v>6.0908378943868069</v>
      </c>
      <c r="O862" s="421">
        <f>DelivOIL!$B90*DelivOIL!W$77^5/(Conv!$I$5*Conv!$D$46)/10^6 + OILTrade!$D$5</f>
        <v>6.0908378943868069</v>
      </c>
      <c r="P862" s="421">
        <f>DelivOIL!$B90*DelivOIL!X$77^5/(Conv!$I$5*Conv!$D$46)/10^6 + OILTrade!$D$5</f>
        <v>6.0908378943868069</v>
      </c>
      <c r="Q862" s="421">
        <f>DelivOIL!$B90*DelivOIL!Y$77^5/(Conv!$I$5*Conv!$D$46)/10^6 + OILTrade!$D$5</f>
        <v>6.0908378943868069</v>
      </c>
      <c r="S862" s="395"/>
      <c r="T862" s="395"/>
      <c r="U862" s="395"/>
      <c r="V862" s="395"/>
      <c r="W862" s="395"/>
      <c r="X862" s="395"/>
      <c r="Y862" s="395"/>
      <c r="Z862" s="395"/>
      <c r="AA862" s="395"/>
      <c r="AB862" s="395"/>
      <c r="AC862" s="395"/>
    </row>
    <row r="863" spans="2:29">
      <c r="B863" s="376" t="str">
        <f>IF(OR(LEFT(Commodities!B$328,1)="*",LEFT(Technologies!B$710,1)="*"),"*","R1")</f>
        <v>*</v>
      </c>
      <c r="C863" s="376" t="str">
        <f>Technologies!C$760</f>
        <v>XICOMLPGP3</v>
      </c>
      <c r="D863" s="376" t="str">
        <f>Technologies!D710</f>
        <v>Delivery of Imported LPG to the Commercial Sector</v>
      </c>
      <c r="E863" s="415" t="str">
        <f>Commodities!C$350</f>
        <v>LPGP3</v>
      </c>
      <c r="F863" s="415" t="str">
        <f>Commodities!C98</f>
        <v>COMLPG</v>
      </c>
      <c r="G863" s="422">
        <v>1</v>
      </c>
      <c r="H863" s="421">
        <f>DelivOIL!$B91*DelivOIL!P$77^5/(Conv!$I$5*Conv!$D$46)/10^6 + OILTrade!$D$5</f>
        <v>2.7681114819717512</v>
      </c>
      <c r="I863" s="421">
        <f>DelivOIL!$B91*DelivOIL!Q$77^5/(Conv!$I$5*Conv!$D$46)/10^6 + OILTrade!$D$5</f>
        <v>2.7534836983362734</v>
      </c>
      <c r="J863" s="421">
        <f>DelivOIL!$B91*DelivOIL!R$77^5/(Conv!$I$5*Conv!$D$46)/10^6 + OILTrade!$D$5</f>
        <v>2.8966893331455923</v>
      </c>
      <c r="K863" s="421">
        <f>DelivOIL!$B91*DelivOIL!S$77^5/(Conv!$I$5*Conv!$D$46)/10^6 + OILTrade!$D$5</f>
        <v>3.489410372436887</v>
      </c>
      <c r="L863" s="421">
        <f>DelivOIL!$B91*DelivOIL!T$77^5/(Conv!$I$5*Conv!$D$46)/10^6 + OILTrade!$D$5</f>
        <v>3.2000484595781753</v>
      </c>
      <c r="M863" s="421">
        <f>DelivOIL!$B91*DelivOIL!U$77^5/(Conv!$I$5*Conv!$D$46)/10^6 + OILTrade!$D$5</f>
        <v>2.8358717719278022</v>
      </c>
      <c r="N863" s="421">
        <f>DelivOIL!$B91*DelivOIL!V$77^5/(Conv!$I$5*Conv!$D$46)/10^6 + OILTrade!$D$5</f>
        <v>2.8358717719278022</v>
      </c>
      <c r="O863" s="421">
        <f>DelivOIL!$B91*DelivOIL!W$77^5/(Conv!$I$5*Conv!$D$46)/10^6 + OILTrade!$D$5</f>
        <v>2.8358717719278022</v>
      </c>
      <c r="P863" s="421">
        <f>DelivOIL!$B91*DelivOIL!X$77^5/(Conv!$I$5*Conv!$D$46)/10^6 + OILTrade!$D$5</f>
        <v>2.8358717719278022</v>
      </c>
      <c r="Q863" s="421">
        <f>DelivOIL!$B91*DelivOIL!Y$77^5/(Conv!$I$5*Conv!$D$46)/10^6 + OILTrade!$D$5</f>
        <v>2.8358717719278022</v>
      </c>
      <c r="S863" s="395"/>
      <c r="T863" s="395"/>
      <c r="U863" s="395"/>
      <c r="V863" s="395"/>
      <c r="W863" s="395"/>
      <c r="X863" s="395"/>
      <c r="Y863" s="395"/>
      <c r="Z863" s="395"/>
      <c r="AA863" s="395"/>
      <c r="AB863" s="395"/>
      <c r="AC863" s="395"/>
    </row>
    <row r="864" spans="2:29">
      <c r="B864" s="376" t="str">
        <f>IF(OR(LEFT(Commodities!B$328,1)="*",LEFT(Technologies!B$711,1)="*"),"*","R1")</f>
        <v>*</v>
      </c>
      <c r="C864" s="376" t="str">
        <f>Technologies!C$761</f>
        <v>XIINDLPGP3</v>
      </c>
      <c r="D864" s="376" t="str">
        <f>Technologies!D711</f>
        <v>Delivery of Imported LPG to the Industrial Sector</v>
      </c>
      <c r="E864" s="415" t="str">
        <f>Commodities!C$350</f>
        <v>LPGP3</v>
      </c>
      <c r="F864" s="415" t="str">
        <f>Commodities!C99</f>
        <v>INDLPG</v>
      </c>
      <c r="G864" s="422">
        <v>1</v>
      </c>
      <c r="H864" s="421">
        <f>DelivOIL!$B92*DelivOIL!P$77^5/(Conv!$I$5*Conv!$D$46)/10^6 + OILTrade!$D$5</f>
        <v>2.1749447358349472</v>
      </c>
      <c r="I864" s="421">
        <f>DelivOIL!$B92*DelivOIL!Q$77^5/(Conv!$I$5*Conv!$D$46)/10^6 + OILTrade!$D$5</f>
        <v>2.1634514772642151</v>
      </c>
      <c r="J864" s="421">
        <f>DelivOIL!$B92*DelivOIL!R$77^5/(Conv!$I$5*Conv!$D$46)/10^6 + OILTrade!$D$5</f>
        <v>2.27597019032868</v>
      </c>
      <c r="K864" s="421">
        <f>DelivOIL!$B92*DelivOIL!S$77^5/(Conv!$I$5*Conv!$D$46)/10^6 + OILTrade!$D$5</f>
        <v>2.7416795783432688</v>
      </c>
      <c r="L864" s="421">
        <f>DelivOIL!$B92*DelivOIL!T$77^5/(Conv!$I$5*Conv!$D$46)/10^6 + OILTrade!$D$5</f>
        <v>2.5143237896685662</v>
      </c>
      <c r="M864" s="421">
        <f>DelivOIL!$B92*DelivOIL!U$77^5/(Conv!$I$5*Conv!$D$46)/10^6 + OILTrade!$D$5</f>
        <v>2.2281849636575592</v>
      </c>
      <c r="N864" s="421">
        <f>DelivOIL!$B92*DelivOIL!V$77^5/(Conv!$I$5*Conv!$D$46)/10^6 + OILTrade!$D$5</f>
        <v>2.2281849636575592</v>
      </c>
      <c r="O864" s="421">
        <f>DelivOIL!$B92*DelivOIL!W$77^5/(Conv!$I$5*Conv!$D$46)/10^6 + OILTrade!$D$5</f>
        <v>2.2281849636575592</v>
      </c>
      <c r="P864" s="421">
        <f>DelivOIL!$B92*DelivOIL!X$77^5/(Conv!$I$5*Conv!$D$46)/10^6 + OILTrade!$D$5</f>
        <v>2.2281849636575592</v>
      </c>
      <c r="Q864" s="421">
        <f>DelivOIL!$B92*DelivOIL!Y$77^5/(Conv!$I$5*Conv!$D$46)/10^6 + OILTrade!$D$5</f>
        <v>2.2281849636575592</v>
      </c>
      <c r="S864" s="395"/>
      <c r="T864" s="395"/>
      <c r="U864" s="395"/>
      <c r="V864" s="395"/>
      <c r="W864" s="395"/>
      <c r="X864" s="395"/>
      <c r="Y864" s="395"/>
      <c r="Z864" s="395"/>
      <c r="AA864" s="395"/>
      <c r="AB864" s="395"/>
      <c r="AC864" s="395"/>
    </row>
    <row r="865" spans="2:29">
      <c r="B865" s="376" t="str">
        <f>IF(OR(LEFT(Commodities!B$328,1)="*",LEFT(Technologies!B$712,1)="*"),"*","R1")</f>
        <v>*</v>
      </c>
      <c r="C865" s="376" t="str">
        <f>Technologies!C$762</f>
        <v>XITRNLPGP3</v>
      </c>
      <c r="D865" s="376" t="str">
        <f>Technologies!D712</f>
        <v>Delivery of Imported LPG to the Transportation Sector</v>
      </c>
      <c r="E865" s="415" t="str">
        <f>Commodities!C$350</f>
        <v>LPGP3</v>
      </c>
      <c r="F865" s="415" t="str">
        <f>Commodities!C100</f>
        <v>TRNLPG</v>
      </c>
      <c r="G865" s="422">
        <v>1</v>
      </c>
      <c r="H865" s="421">
        <f>DelivOIL!$B93*DelivOIL!P$77^5/(Conv!$I$5*Conv!$D$46)/10^6 + OILTrade!$D$5</f>
        <v>4.0362610771607796</v>
      </c>
      <c r="I865" s="421">
        <f>DelivOIL!$B93*DelivOIL!Q$77^5/(Conv!$I$5*Conv!$D$46)/10^6 + OILTrade!$D$5</f>
        <v>4.0149318951110189</v>
      </c>
      <c r="J865" s="421">
        <f>DelivOIL!$B93*DelivOIL!R$77^5/(Conv!$I$5*Conv!$D$46)/10^6 + OILTrade!$D$5</f>
        <v>4.2237440522714049</v>
      </c>
      <c r="K865" s="421">
        <f>DelivOIL!$B93*DelivOIL!S$77^5/(Conv!$I$5*Conv!$D$46)/10^6 + OILTrade!$D$5</f>
        <v>5.0880072425680707</v>
      </c>
      <c r="L865" s="421">
        <f>DelivOIL!$B93*DelivOIL!T$77^5/(Conv!$I$5*Conv!$D$46)/10^6 + OILTrade!$D$5</f>
        <v>4.6660805124883726</v>
      </c>
      <c r="M865" s="421">
        <f>DelivOIL!$B93*DelivOIL!U$77^5/(Conv!$I$5*Conv!$D$46)/10^6 + OILTrade!$D$5</f>
        <v>4.1350642585745288</v>
      </c>
      <c r="N865" s="421">
        <f>DelivOIL!$B93*DelivOIL!V$77^5/(Conv!$I$5*Conv!$D$46)/10^6 + OILTrade!$D$5</f>
        <v>4.1350642585745288</v>
      </c>
      <c r="O865" s="421">
        <f>DelivOIL!$B93*DelivOIL!W$77^5/(Conv!$I$5*Conv!$D$46)/10^6 + OILTrade!$D$5</f>
        <v>4.1350642585745288</v>
      </c>
      <c r="P865" s="421">
        <f>DelivOIL!$B93*DelivOIL!X$77^5/(Conv!$I$5*Conv!$D$46)/10^6 + OILTrade!$D$5</f>
        <v>4.1350642585745288</v>
      </c>
      <c r="Q865" s="421">
        <f>DelivOIL!$B93*DelivOIL!Y$77^5/(Conv!$I$5*Conv!$D$46)/10^6 + OILTrade!$D$5</f>
        <v>4.1350642585745288</v>
      </c>
      <c r="S865" s="395"/>
      <c r="T865" s="395"/>
      <c r="U865" s="395"/>
      <c r="V865" s="395"/>
      <c r="W865" s="395"/>
      <c r="X865" s="395"/>
      <c r="Y865" s="395"/>
      <c r="Z865" s="395"/>
      <c r="AA865" s="395"/>
      <c r="AB865" s="395"/>
      <c r="AC865" s="395"/>
    </row>
    <row r="866" spans="2:29">
      <c r="B866" s="376" t="str">
        <f>IF(LEFT(Technologies!B$713,1)="*","*","R1")</f>
        <v>*</v>
      </c>
      <c r="C866" s="376" t="str">
        <f>Technologies!C$763</f>
        <v>XITRNMTHP3</v>
      </c>
      <c r="D866" s="376" t="str">
        <f>Technologies!D713</f>
        <v>Delivery of Imported Methanol</v>
      </c>
      <c r="E866" s="415" t="str">
        <f>Commodities!C$351</f>
        <v>MTHP3</v>
      </c>
      <c r="F866" s="415" t="s">
        <v>457</v>
      </c>
      <c r="G866" s="422">
        <v>1</v>
      </c>
      <c r="H866" s="421">
        <f>DelivOIL!$B94*DelivOIL!P$77^5/(Conv!$I$5*Conv!$D$46)/10^6 + OILTrade!$D$5</f>
        <v>3.8658108627536518</v>
      </c>
      <c r="I866" s="421">
        <f>DelivOIL!$B94*DelivOIL!Q$77^5/(Conv!$I$5*Conv!$D$46)/10^6 + OILTrade!$D$5</f>
        <v>3.8453824062972091</v>
      </c>
      <c r="J866" s="421">
        <f>DelivOIL!$B94*DelivOIL!R$77^5/(Conv!$I$5*Conv!$D$46)/10^6 + OILTrade!$D$5</f>
        <v>4.0453764824964313</v>
      </c>
      <c r="K866" s="421">
        <f>DelivOIL!$B94*DelivOIL!S$77^5/(Conv!$I$5*Conv!$D$46)/10^6 + OILTrade!$D$5</f>
        <v>4.8731420718515155</v>
      </c>
      <c r="L866" s="421">
        <f>DelivOIL!$B94*DelivOIL!T$77^5/(Conv!$I$5*Conv!$D$46)/10^6 + OILTrade!$D$5</f>
        <v>4.4690331935488308</v>
      </c>
      <c r="M866" s="421">
        <f>DelivOIL!$B94*DelivOIL!U$77^5/(Conv!$I$5*Conv!$D$46)/10^6 + OILTrade!$D$5</f>
        <v>3.9604416125198623</v>
      </c>
      <c r="N866" s="421">
        <f>DelivOIL!$B94*DelivOIL!V$77^5/(Conv!$I$5*Conv!$D$46)/10^6 + OILTrade!$D$5</f>
        <v>3.9604416125198623</v>
      </c>
      <c r="O866" s="421">
        <f>DelivOIL!$B94*DelivOIL!W$77^5/(Conv!$I$5*Conv!$D$46)/10^6 + OILTrade!$D$5</f>
        <v>3.9604416125198623</v>
      </c>
      <c r="P866" s="421">
        <f>DelivOIL!$B94*DelivOIL!X$77^5/(Conv!$I$5*Conv!$D$46)/10^6 + OILTrade!$D$5</f>
        <v>3.9604416125198623</v>
      </c>
      <c r="Q866" s="421">
        <f>DelivOIL!$B94*DelivOIL!Y$77^5/(Conv!$I$5*Conv!$D$46)/10^6 + OILTrade!$D$5</f>
        <v>3.9604416125198623</v>
      </c>
      <c r="S866" s="395"/>
      <c r="T866" s="395"/>
      <c r="U866" s="395"/>
      <c r="V866" s="395"/>
      <c r="W866" s="395"/>
      <c r="X866" s="395"/>
      <c r="Y866" s="395"/>
      <c r="Z866" s="395"/>
      <c r="AA866" s="395"/>
      <c r="AB866" s="395"/>
      <c r="AC866" s="395"/>
    </row>
    <row r="867" spans="2:29">
      <c r="B867" s="376" t="str">
        <f>IF(OR(LEFT(Commodities!B$102,1)="*",LEFT(Technologies!B$714,1)="*"),"*","R1")</f>
        <v>*</v>
      </c>
      <c r="C867" s="376" t="str">
        <f>Technologies!C$764</f>
        <v>XIINDPFSP3</v>
      </c>
      <c r="D867" s="376" t="str">
        <f>Technologies!D714</f>
        <v>Delivery of Imported Petrochemical Feedstocks</v>
      </c>
      <c r="E867" s="415" t="str">
        <f>Commodities!C$352</f>
        <v>PFSP3</v>
      </c>
      <c r="F867" s="415" t="str">
        <f>Commodities!C102</f>
        <v>INDPFS</v>
      </c>
      <c r="G867" s="422">
        <v>1</v>
      </c>
      <c r="H867" s="421">
        <f>DelivOIL!$B95*DelivOIL!P$77^5/(Conv!$I$5*Conv!$D$46)/10^6 + OILTrade!$D$5</f>
        <v>1.206787518002463</v>
      </c>
      <c r="I867" s="421">
        <f>DelivOIL!$B95*DelivOIL!Q$77^5/(Conv!$I$5*Conv!$D$46)/10^6 + OILTrade!$D$5</f>
        <v>1.2004103808017748</v>
      </c>
      <c r="J867" s="421">
        <f>DelivOIL!$B95*DelivOIL!R$77^5/(Conv!$I$5*Conv!$D$46)/10^6 + OILTrade!$D$5</f>
        <v>1.2628423940068225</v>
      </c>
      <c r="K867" s="421">
        <f>DelivOIL!$B95*DelivOIL!S$77^5/(Conv!$I$5*Conv!$D$46)/10^6 + OILTrade!$D$5</f>
        <v>1.5212454086732246</v>
      </c>
      <c r="L867" s="421">
        <f>DelivOIL!$B95*DelivOIL!T$77^5/(Conv!$I$5*Conv!$D$46)/10^6 + OILTrade!$D$5</f>
        <v>1.3950950180919632</v>
      </c>
      <c r="M867" s="421">
        <f>DelivOIL!$B95*DelivOIL!U$77^5/(Conv!$I$5*Conv!$D$46)/10^6 + OILTrade!$D$5</f>
        <v>1.236328334067047</v>
      </c>
      <c r="N867" s="421">
        <f>DelivOIL!$B95*DelivOIL!V$77^5/(Conv!$I$5*Conv!$D$46)/10^6 + OILTrade!$D$5</f>
        <v>1.236328334067047</v>
      </c>
      <c r="O867" s="421">
        <f>DelivOIL!$B95*DelivOIL!W$77^5/(Conv!$I$5*Conv!$D$46)/10^6 + OILTrade!$D$5</f>
        <v>1.236328334067047</v>
      </c>
      <c r="P867" s="421">
        <f>DelivOIL!$B95*DelivOIL!X$77^5/(Conv!$I$5*Conv!$D$46)/10^6 + OILTrade!$D$5</f>
        <v>1.236328334067047</v>
      </c>
      <c r="Q867" s="421">
        <f>DelivOIL!$B95*DelivOIL!Y$77^5/(Conv!$I$5*Conv!$D$46)/10^6 + OILTrade!$D$5</f>
        <v>1.236328334067047</v>
      </c>
      <c r="S867" s="395"/>
      <c r="T867" s="395"/>
      <c r="U867" s="395"/>
      <c r="V867" s="395"/>
      <c r="W867" s="395"/>
      <c r="X867" s="395"/>
      <c r="Y867" s="395"/>
      <c r="Z867" s="395"/>
      <c r="AA867" s="395"/>
      <c r="AB867" s="395"/>
      <c r="AC867" s="395"/>
    </row>
    <row r="868" spans="2:29">
      <c r="B868" s="376" t="str">
        <f>IF(OR(LEFT(Commodities!B$332,1)="*",LEFT(Technologies!B$715,1)="*"),"*","R1")</f>
        <v>*</v>
      </c>
      <c r="C868" s="376" t="str">
        <f>Technologies!C$765</f>
        <v>XIRESRFLP3</v>
      </c>
      <c r="D868" s="376" t="str">
        <f>D893</f>
        <v>Delivery of Imported Low Sulfur Residual Fuel Oil to Residential Sector</v>
      </c>
      <c r="E868" s="415" t="str">
        <f>Commodities!C$354</f>
        <v>RFLP3</v>
      </c>
      <c r="F868" s="415" t="str">
        <f>F893</f>
        <v>RESRFL</v>
      </c>
      <c r="G868" s="422"/>
      <c r="H868" s="421"/>
      <c r="I868" s="421"/>
      <c r="J868" s="421"/>
      <c r="K868" s="421"/>
      <c r="L868" s="421"/>
      <c r="M868" s="421"/>
      <c r="N868" s="421"/>
      <c r="O868" s="421"/>
      <c r="P868" s="421"/>
      <c r="Q868" s="421"/>
      <c r="S868" s="395"/>
      <c r="T868" s="395"/>
      <c r="U868" s="395"/>
      <c r="V868" s="395"/>
      <c r="W868" s="395"/>
      <c r="X868" s="395"/>
      <c r="Y868" s="395"/>
      <c r="Z868" s="395"/>
      <c r="AA868" s="395"/>
      <c r="AB868" s="395"/>
      <c r="AC868" s="395"/>
    </row>
    <row r="869" spans="2:29">
      <c r="B869" s="376" t="str">
        <f>IF(OR(LEFT(Commodities!B$332,1)="*",LEFT(Technologies!B$716,1)="*"),"*","R1")</f>
        <v>*</v>
      </c>
      <c r="C869" s="376" t="str">
        <f>Technologies!C$766</f>
        <v>XICOMRFLP3</v>
      </c>
      <c r="D869" s="376" t="str">
        <f>Technologies!D716</f>
        <v>Delivery of Imported Low Sulfur Residual Fuel Oil to Commercial Sector</v>
      </c>
      <c r="E869" s="415" t="str">
        <f>Commodities!C$354</f>
        <v>RFLP3</v>
      </c>
      <c r="F869" s="415" t="str">
        <f>Commodities!C104</f>
        <v>COMRFL</v>
      </c>
      <c r="G869" s="422">
        <v>1</v>
      </c>
      <c r="H869" s="421">
        <f>DelivOIL!$B96*DelivOIL!P$77^5/(Conv!$I$5*Conv!$D$46)/10^6 + OILTrade!$D$5</f>
        <v>0.21817627444112342</v>
      </c>
      <c r="I869" s="421">
        <f>DelivOIL!$B96*DelivOIL!Q$77^5/(Conv!$I$5*Conv!$D$46)/10^6 + OILTrade!$D$5</f>
        <v>0.21702334568167692</v>
      </c>
      <c r="J869" s="421">
        <f>DelivOIL!$B96*DelivOIL!R$77^5/(Conv!$I$5*Conv!$D$46)/10^6 + OILTrade!$D$5</f>
        <v>0.22831048931196804</v>
      </c>
      <c r="K869" s="421">
        <f>DelivOIL!$B96*DelivOIL!S$77^5/(Conv!$I$5*Conv!$D$46)/10^6 + OILTrade!$D$5</f>
        <v>0.27502741851719331</v>
      </c>
      <c r="L869" s="421">
        <f>DelivOIL!$B96*DelivOIL!T$77^5/(Conv!$I$5*Conv!$D$46)/10^6 + OILTrade!$D$5</f>
        <v>0.25222056824261502</v>
      </c>
      <c r="M869" s="421">
        <f>DelivOIL!$B96*DelivOIL!U$77^5/(Conv!$I$5*Conv!$D$46)/10^6 + OILTrade!$D$5</f>
        <v>0.22351698694997474</v>
      </c>
      <c r="N869" s="421">
        <f>DelivOIL!$B96*DelivOIL!V$77^5/(Conv!$I$5*Conv!$D$46)/10^6 + OILTrade!$D$5</f>
        <v>0.22351698694997474</v>
      </c>
      <c r="O869" s="421">
        <f>DelivOIL!$B96*DelivOIL!W$77^5/(Conv!$I$5*Conv!$D$46)/10^6 + OILTrade!$D$5</f>
        <v>0.22351698694997474</v>
      </c>
      <c r="P869" s="421">
        <f>DelivOIL!$B96*DelivOIL!X$77^5/(Conv!$I$5*Conv!$D$46)/10^6 + OILTrade!$D$5</f>
        <v>0.22351698694997474</v>
      </c>
      <c r="Q869" s="421">
        <f>DelivOIL!$B96*DelivOIL!Y$77^5/(Conv!$I$5*Conv!$D$46)/10^6 + OILTrade!$D$5</f>
        <v>0.22351698694997474</v>
      </c>
      <c r="S869" s="395"/>
      <c r="T869" s="395"/>
      <c r="U869" s="395"/>
      <c r="V869" s="395"/>
      <c r="W869" s="395"/>
      <c r="X869" s="395"/>
      <c r="Y869" s="395"/>
      <c r="Z869" s="395"/>
      <c r="AA869" s="395"/>
      <c r="AB869" s="395"/>
      <c r="AC869" s="395"/>
    </row>
    <row r="870" spans="2:29">
      <c r="B870" s="376" t="str">
        <f>IF(OR(LEFT(Commodities!B$332,1)="*",LEFT(Technologies!B$717,1)="*"),"*","R1")</f>
        <v>R1</v>
      </c>
      <c r="C870" s="376" t="str">
        <f>Technologies!C$767</f>
        <v>XIINDRFLP3</v>
      </c>
      <c r="D870" s="376" t="str">
        <f>Technologies!D717</f>
        <v>Delivery of Imported Low Sulfur Residual Fuel Oil to Industrial Sector</v>
      </c>
      <c r="E870" s="415" t="str">
        <f>Commodities!C$354</f>
        <v>RFLP3</v>
      </c>
      <c r="F870" s="415" t="str">
        <f>Commodities!C105</f>
        <v>INDRFL</v>
      </c>
      <c r="G870" s="422">
        <v>1</v>
      </c>
      <c r="H870" s="421">
        <f>DelivOIL!$B97*DelivOIL!P$77^5/(Conv!$I$5*Conv!$D$46)/10^6 + OILTrade!$D$5</f>
        <v>0.2113582658648383</v>
      </c>
      <c r="I870" s="421">
        <f>DelivOIL!$B97*DelivOIL!Q$77^5/(Conv!$I$5*Conv!$D$46)/10^6 + OILTrade!$D$5</f>
        <v>0.2102413661291245</v>
      </c>
      <c r="J870" s="421">
        <f>DelivOIL!$B97*DelivOIL!R$77^5/(Conv!$I$5*Conv!$D$46)/10^6 + OILTrade!$D$5</f>
        <v>0.22117578652096903</v>
      </c>
      <c r="K870" s="421">
        <f>DelivOIL!$B97*DelivOIL!S$77^5/(Conv!$I$5*Conv!$D$46)/10^6 + OILTrade!$D$5</f>
        <v>0.26643281168853106</v>
      </c>
      <c r="L870" s="421">
        <f>DelivOIL!$B97*DelivOIL!T$77^5/(Conv!$I$5*Conv!$D$46)/10^6 + OILTrade!$D$5</f>
        <v>0.24433867548503324</v>
      </c>
      <c r="M870" s="421">
        <f>DelivOIL!$B97*DelivOIL!U$77^5/(Conv!$I$5*Conv!$D$46)/10^6 + OILTrade!$D$5</f>
        <v>0.21653208110778804</v>
      </c>
      <c r="N870" s="421">
        <f>DelivOIL!$B97*DelivOIL!V$77^5/(Conv!$I$5*Conv!$D$46)/10^6 + OILTrade!$D$5</f>
        <v>0.21653208110778804</v>
      </c>
      <c r="O870" s="421">
        <f>DelivOIL!$B97*DelivOIL!W$77^5/(Conv!$I$5*Conv!$D$46)/10^6 + OILTrade!$D$5</f>
        <v>0.21653208110778804</v>
      </c>
      <c r="P870" s="421">
        <f>DelivOIL!$B97*DelivOIL!X$77^5/(Conv!$I$5*Conv!$D$46)/10^6 + OILTrade!$D$5</f>
        <v>0.21653208110778804</v>
      </c>
      <c r="Q870" s="421">
        <f>DelivOIL!$B97*DelivOIL!Y$77^5/(Conv!$I$5*Conv!$D$46)/10^6 + OILTrade!$D$5</f>
        <v>0.21653208110778804</v>
      </c>
      <c r="S870" s="395"/>
      <c r="T870" s="395"/>
      <c r="U870" s="395"/>
      <c r="V870" s="395"/>
      <c r="W870" s="395"/>
      <c r="X870" s="395"/>
      <c r="Y870" s="395"/>
      <c r="Z870" s="395"/>
      <c r="AA870" s="395"/>
      <c r="AB870" s="395"/>
      <c r="AC870" s="395"/>
    </row>
    <row r="871" spans="2:29">
      <c r="B871" s="376" t="str">
        <f>IF(OR(LEFT(Commodities!B$332,1)="*",LEFT(Technologies!B$718,1)="*"),"*","R1")</f>
        <v>*</v>
      </c>
      <c r="C871" s="376" t="str">
        <f>Technologies!C$768</f>
        <v>XIELCRFLP3</v>
      </c>
      <c r="D871" s="376" t="str">
        <f>Technologies!D718</f>
        <v>Delivery of Imported Low Sulfur Residual Fuel Oil to Electricity Sector</v>
      </c>
      <c r="E871" s="415" t="str">
        <f>Commodities!C$354</f>
        <v>RFLP3</v>
      </c>
      <c r="F871" s="415" t="str">
        <f>Commodities!C106</f>
        <v>ELCRFL</v>
      </c>
      <c r="G871" s="422">
        <v>1</v>
      </c>
      <c r="H871" s="421">
        <f>DelivOIL!$B98*DelivOIL!P$77^5/(Conv!$I$5*Conv!$D$46)/10^6 + OILTrade!$D$5</f>
        <v>0</v>
      </c>
      <c r="I871" s="421">
        <f>DelivOIL!$B98*DelivOIL!Q$77^5/(Conv!$I$5*Conv!$D$46)/10^6 + OILTrade!$D$5</f>
        <v>0</v>
      </c>
      <c r="J871" s="421">
        <f>DelivOIL!$B98*DelivOIL!R$77^5/(Conv!$I$5*Conv!$D$46)/10^6 + OILTrade!$D$5</f>
        <v>0</v>
      </c>
      <c r="K871" s="421">
        <f>DelivOIL!$B98*DelivOIL!S$77^5/(Conv!$I$5*Conv!$D$46)/10^6 + OILTrade!$D$5</f>
        <v>0</v>
      </c>
      <c r="L871" s="421">
        <f>DelivOIL!$B98*DelivOIL!T$77^5/(Conv!$I$5*Conv!$D$46)/10^6 + OILTrade!$D$5</f>
        <v>0</v>
      </c>
      <c r="M871" s="421">
        <f>DelivOIL!$B98*DelivOIL!U$77^5/(Conv!$I$5*Conv!$D$46)/10^6 + OILTrade!$D$5</f>
        <v>0</v>
      </c>
      <c r="N871" s="421">
        <f>DelivOIL!$B98*DelivOIL!V$77^5/(Conv!$I$5*Conv!$D$46)/10^6 + OILTrade!$D$5</f>
        <v>0</v>
      </c>
      <c r="O871" s="421">
        <f>DelivOIL!$B98*DelivOIL!W$77^5/(Conv!$I$5*Conv!$D$46)/10^6 + OILTrade!$D$5</f>
        <v>0</v>
      </c>
      <c r="P871" s="421">
        <f>DelivOIL!$B98*DelivOIL!X$77^5/(Conv!$I$5*Conv!$D$46)/10^6 + OILTrade!$D$5</f>
        <v>0</v>
      </c>
      <c r="Q871" s="421">
        <f>DelivOIL!$B98*DelivOIL!Y$77^5/(Conv!$I$5*Conv!$D$46)/10^6 + OILTrade!$D$5</f>
        <v>0</v>
      </c>
      <c r="S871" s="395"/>
      <c r="T871" s="395"/>
      <c r="U871" s="395"/>
      <c r="V871" s="395"/>
      <c r="W871" s="395"/>
      <c r="X871" s="395"/>
      <c r="Y871" s="395"/>
      <c r="Z871" s="395"/>
      <c r="AA871" s="395"/>
      <c r="AB871" s="395"/>
      <c r="AC871" s="395"/>
    </row>
    <row r="872" spans="2:29">
      <c r="B872" s="376" t="str">
        <f>IF(OR(LEFT(Commodities!B$331,1)="*",LEFT(Technologies!B$719,1)="*"),"*","R1")</f>
        <v>*</v>
      </c>
      <c r="C872" s="376" t="str">
        <f>Technologies!C$769</f>
        <v>XITRNRFHP3</v>
      </c>
      <c r="D872" s="376" t="str">
        <f>Technologies!D719</f>
        <v>Delivery of Imported High Sulfur Residual Fuel Oil to Transportation Sector</v>
      </c>
      <c r="E872" s="415" t="str">
        <f>Commodities!C380</f>
        <v>RFLP5</v>
      </c>
      <c r="F872" s="415" t="str">
        <f>Commodities!C107</f>
        <v>TRNRFH</v>
      </c>
      <c r="G872" s="422">
        <v>1</v>
      </c>
      <c r="H872" s="421">
        <f>DelivOIL!$B99*DelivOIL!P$77^5/(Conv!$I$5*Conv!$D$46)/10^6 + OILTrade!$D$5</f>
        <v>3.3203701766508438</v>
      </c>
      <c r="I872" s="421">
        <f>DelivOIL!$B99*DelivOIL!Q$77^5/(Conv!$I$5*Conv!$D$46)/10^6 + OILTrade!$D$5</f>
        <v>3.3028240420930177</v>
      </c>
      <c r="J872" s="421">
        <f>DelivOIL!$B99*DelivOIL!R$77^5/(Conv!$I$5*Conv!$D$46)/10^6 + OILTrade!$D$5</f>
        <v>3.4746002592165106</v>
      </c>
      <c r="K872" s="421">
        <f>DelivOIL!$B99*DelivOIL!S$77^5/(Conv!$I$5*Conv!$D$46)/10^6 + OILTrade!$D$5</f>
        <v>4.1855735255585325</v>
      </c>
      <c r="L872" s="421">
        <f>DelivOIL!$B99*DelivOIL!T$77^5/(Conv!$I$5*Conv!$D$46)/10^6 + OILTrade!$D$5</f>
        <v>3.8384817729422931</v>
      </c>
      <c r="M872" s="421">
        <f>DelivOIL!$B99*DelivOIL!U$77^5/(Conv!$I$5*Conv!$D$46)/10^6 + OILTrade!$D$5</f>
        <v>3.4016491451449249</v>
      </c>
      <c r="N872" s="421">
        <f>DelivOIL!$B99*DelivOIL!V$77^5/(Conv!$I$5*Conv!$D$46)/10^6 + OILTrade!$D$5</f>
        <v>3.4016491451449249</v>
      </c>
      <c r="O872" s="421">
        <f>DelivOIL!$B99*DelivOIL!W$77^5/(Conv!$I$5*Conv!$D$46)/10^6 + OILTrade!$D$5</f>
        <v>3.4016491451449249</v>
      </c>
      <c r="P872" s="421">
        <f>DelivOIL!$B99*DelivOIL!X$77^5/(Conv!$I$5*Conv!$D$46)/10^6 + OILTrade!$D$5</f>
        <v>3.4016491451449249</v>
      </c>
      <c r="Q872" s="421">
        <f>DelivOIL!$B99*DelivOIL!Y$77^5/(Conv!$I$5*Conv!$D$46)/10^6 + OILTrade!$D$5</f>
        <v>3.4016491451449249</v>
      </c>
      <c r="S872" s="395"/>
      <c r="T872" s="395"/>
      <c r="U872" s="395"/>
      <c r="V872" s="395"/>
      <c r="W872" s="395"/>
      <c r="X872" s="395"/>
      <c r="Y872" s="395"/>
      <c r="Z872" s="395"/>
      <c r="AA872" s="395"/>
      <c r="AB872" s="395"/>
      <c r="AC872" s="395"/>
    </row>
    <row r="873" spans="2:29">
      <c r="B873" s="376" t="str">
        <f>IF(OR(LEFT(Commodities!B$331,1)="*",LEFT(Technologies!B$720,1)="*"),"*","R1")</f>
        <v>*</v>
      </c>
      <c r="C873" s="376" t="str">
        <f>Technologies!C$770</f>
        <v>XIELCRFHP3</v>
      </c>
      <c r="D873" s="376" t="str">
        <f>Technologies!D720</f>
        <v>Delivery of Imported High Sulfur Residual Fuel Oil to Electricity Sector</v>
      </c>
      <c r="E873" s="415" t="str">
        <f>Commodities!C381</f>
        <v>ASPP5</v>
      </c>
      <c r="F873" s="415" t="str">
        <f>Commodities!C108</f>
        <v>ELCRFH</v>
      </c>
      <c r="G873" s="422">
        <v>1</v>
      </c>
      <c r="H873" s="421">
        <f>DelivOIL!$B100*DelivOIL!P$77^5/(Conv!$I$5*Conv!$D$46)/10^6 + OILTrade!$D$5</f>
        <v>0.27953835162768914</v>
      </c>
      <c r="I873" s="421">
        <f>DelivOIL!$B100*DelivOIL!Q$77^5/(Conv!$I$5*Conv!$D$46)/10^6 + OILTrade!$D$5</f>
        <v>0.27806116165464834</v>
      </c>
      <c r="J873" s="421">
        <f>DelivOIL!$B100*DelivOIL!R$77^5/(Conv!$I$5*Conv!$D$46)/10^6 + OILTrade!$D$5</f>
        <v>0.29252281443095884</v>
      </c>
      <c r="K873" s="421">
        <f>DelivOIL!$B100*DelivOIL!S$77^5/(Conv!$I$5*Conv!$D$46)/10^6 + OILTrade!$D$5</f>
        <v>0.35237887997515366</v>
      </c>
      <c r="L873" s="421">
        <f>DelivOIL!$B100*DelivOIL!T$77^5/(Conv!$I$5*Conv!$D$46)/10^6 + OILTrade!$D$5</f>
        <v>0.32315760306085017</v>
      </c>
      <c r="M873" s="421">
        <f>DelivOIL!$B100*DelivOIL!U$77^5/(Conv!$I$5*Conv!$D$46)/10^6 + OILTrade!$D$5</f>
        <v>0.28638113952965494</v>
      </c>
      <c r="N873" s="421">
        <f>DelivOIL!$B100*DelivOIL!V$77^5/(Conv!$I$5*Conv!$D$46)/10^6 + OILTrade!$D$5</f>
        <v>0.28638113952965494</v>
      </c>
      <c r="O873" s="421">
        <f>DelivOIL!$B100*DelivOIL!W$77^5/(Conv!$I$5*Conv!$D$46)/10^6 + OILTrade!$D$5</f>
        <v>0.28638113952965494</v>
      </c>
      <c r="P873" s="421">
        <f>DelivOIL!$B100*DelivOIL!X$77^5/(Conv!$I$5*Conv!$D$46)/10^6 + OILTrade!$D$5</f>
        <v>0.28638113952965494</v>
      </c>
      <c r="Q873" s="421">
        <f>DelivOIL!$B100*DelivOIL!Y$77^5/(Conv!$I$5*Conv!$D$46)/10^6 + OILTrade!$D$5</f>
        <v>0.28638113952965494</v>
      </c>
      <c r="S873" s="395"/>
      <c r="T873" s="395"/>
      <c r="U873" s="395"/>
      <c r="V873" s="395"/>
      <c r="W873" s="395"/>
      <c r="X873" s="395"/>
      <c r="Y873" s="395"/>
      <c r="Z873" s="395"/>
      <c r="AA873" s="395"/>
      <c r="AB873" s="395"/>
      <c r="AC873" s="395"/>
    </row>
    <row r="874" spans="2:29">
      <c r="B874" s="378" t="s">
        <v>1085</v>
      </c>
      <c r="C874" s="378"/>
      <c r="D874" s="378"/>
      <c r="E874" s="414"/>
      <c r="F874" s="414"/>
      <c r="G874" s="418"/>
      <c r="H874" s="392"/>
      <c r="I874" s="392"/>
      <c r="J874" s="392"/>
      <c r="K874" s="392"/>
      <c r="L874" s="392"/>
      <c r="M874" s="392"/>
      <c r="N874" s="392"/>
      <c r="O874" s="392"/>
      <c r="P874" s="392"/>
      <c r="Q874" s="392"/>
      <c r="S874" s="395"/>
      <c r="T874" s="395"/>
      <c r="U874" s="395"/>
      <c r="V874" s="395"/>
      <c r="W874" s="395"/>
      <c r="X874" s="395"/>
      <c r="Y874" s="395"/>
      <c r="Z874" s="395"/>
      <c r="AA874" s="395"/>
      <c r="AB874" s="395"/>
      <c r="AC874" s="395"/>
    </row>
    <row r="875" spans="2:29">
      <c r="B875" s="376" t="str">
        <f>IF(LEFT(Technologies!B$702,1)="*","*","R2")</f>
        <v>R2</v>
      </c>
      <c r="C875" s="376" t="str">
        <f>Technologies!C$747</f>
        <v>XITRGSLCP3</v>
      </c>
      <c r="D875" s="376" t="str">
        <f>Technologies!D702</f>
        <v>Delivery of Imported Conventional Gasoline</v>
      </c>
      <c r="E875" s="415" t="str">
        <f>Commodities!C$347</f>
        <v>GSCP3</v>
      </c>
      <c r="F875" s="415" t="str">
        <f>Commodities!C85</f>
        <v>TRGSLC</v>
      </c>
      <c r="G875" s="422">
        <v>1</v>
      </c>
      <c r="H875" s="421">
        <f>DelivOIL!$C77*DelivOIL!P$78^5/(Conv!$I$5*Conv!$D$46)/10^6 + OILTrade!$E$5</f>
        <v>3.3680962366848402</v>
      </c>
      <c r="I875" s="421">
        <f>DelivOIL!$C77*DelivOIL!Q$78^5/(Conv!$I$5*Conv!$D$46)/10^6 + OILTrade!$E$5</f>
        <v>3.3502978989608847</v>
      </c>
      <c r="J875" s="421">
        <f>DelivOIL!$C77*DelivOIL!R$78^5/(Conv!$I$5*Conv!$D$46)/10^6 + OILTrade!$E$5</f>
        <v>3.524543178753504</v>
      </c>
      <c r="K875" s="421">
        <f>DelivOIL!$C77*DelivOIL!S$78^5/(Conv!$I$5*Conv!$D$46)/10^6 + OILTrade!$E$5</f>
        <v>4.2457357733591694</v>
      </c>
      <c r="L875" s="421">
        <f>DelivOIL!$C77*DelivOIL!T$78^5/(Conv!$I$5*Conv!$D$46)/10^6 + OILTrade!$E$5</f>
        <v>3.8936550222453663</v>
      </c>
      <c r="M875" s="421">
        <f>DelivOIL!$C77*DelivOIL!U$78^5/(Conv!$I$5*Conv!$D$46)/10^6 + OILTrade!$E$5</f>
        <v>3.4505434860402331</v>
      </c>
      <c r="N875" s="421">
        <f>DelivOIL!$C77*DelivOIL!V$78^5/(Conv!$I$5*Conv!$D$46)/10^6 + OILTrade!$E$5</f>
        <v>3.4505434860402331</v>
      </c>
      <c r="O875" s="421">
        <f>DelivOIL!$C77*DelivOIL!W$78^5/(Conv!$I$5*Conv!$D$46)/10^6 + OILTrade!$E$5</f>
        <v>3.4505434860402331</v>
      </c>
      <c r="P875" s="421">
        <f>DelivOIL!$C77*DelivOIL!X$78^5/(Conv!$I$5*Conv!$D$46)/10^6 + OILTrade!$E$5</f>
        <v>3.4505434860402331</v>
      </c>
      <c r="Q875" s="421">
        <f>DelivOIL!$C77*DelivOIL!Y$78^5/(Conv!$I$5*Conv!$D$46)/10^6 + OILTrade!$E$5</f>
        <v>3.4505434860402331</v>
      </c>
      <c r="S875" s="395"/>
      <c r="T875" s="395"/>
      <c r="U875" s="395"/>
      <c r="V875" s="395"/>
      <c r="W875" s="395"/>
      <c r="X875" s="395"/>
      <c r="Y875" s="395"/>
      <c r="Z875" s="395"/>
      <c r="AA875" s="395"/>
      <c r="AB875" s="395"/>
      <c r="AC875" s="395"/>
    </row>
    <row r="876" spans="2:29">
      <c r="B876" s="376" t="str">
        <f>IF(LEFT(Technologies!B$703,1)="*","*","R2")</f>
        <v>R2</v>
      </c>
      <c r="C876" s="376" t="str">
        <f>Technologies!C$748</f>
        <v>XITRGSLRP3</v>
      </c>
      <c r="D876" s="376" t="str">
        <f>Technologies!D703</f>
        <v>Delivery of Imported Reformulated Gasoline</v>
      </c>
      <c r="E876" s="415" t="str">
        <f>Commodities!C$348</f>
        <v>GSRP3</v>
      </c>
      <c r="F876" s="415" t="str">
        <f>Commodities!C86</f>
        <v>TRGSLR</v>
      </c>
      <c r="G876" s="422">
        <v>1</v>
      </c>
      <c r="H876" s="421">
        <f>DelivOIL!$C78*DelivOIL!P$78^5/(Conv!$I$5*Conv!$D$46)/10^6 + OILTrade!$E$5</f>
        <v>3.3749142452611252</v>
      </c>
      <c r="I876" s="421">
        <f>DelivOIL!$C78*DelivOIL!Q$78^5/(Conv!$I$5*Conv!$D$46)/10^6 + OILTrade!$E$5</f>
        <v>3.3570798785134373</v>
      </c>
      <c r="J876" s="421">
        <f>DelivOIL!$C78*DelivOIL!R$78^5/(Conv!$I$5*Conv!$D$46)/10^6 + OILTrade!$E$5</f>
        <v>3.5316778815445034</v>
      </c>
      <c r="K876" s="421">
        <f>DelivOIL!$C78*DelivOIL!S$78^5/(Conv!$I$5*Conv!$D$46)/10^6 + OILTrade!$E$5</f>
        <v>4.2543303801878309</v>
      </c>
      <c r="L876" s="421">
        <f>DelivOIL!$C78*DelivOIL!T$78^5/(Conv!$I$5*Conv!$D$46)/10^6 + OILTrade!$E$5</f>
        <v>3.9015369150029477</v>
      </c>
      <c r="M876" s="421">
        <f>DelivOIL!$C78*DelivOIL!U$78^5/(Conv!$I$5*Conv!$D$46)/10^6 + OILTrade!$E$5</f>
        <v>3.4575283918824198</v>
      </c>
      <c r="N876" s="421">
        <f>DelivOIL!$C78*DelivOIL!V$78^5/(Conv!$I$5*Conv!$D$46)/10^6 + OILTrade!$E$5</f>
        <v>3.4575283918824198</v>
      </c>
      <c r="O876" s="421">
        <f>DelivOIL!$C78*DelivOIL!W$78^5/(Conv!$I$5*Conv!$D$46)/10^6 + OILTrade!$E$5</f>
        <v>3.4575283918824198</v>
      </c>
      <c r="P876" s="421">
        <f>DelivOIL!$C78*DelivOIL!X$78^5/(Conv!$I$5*Conv!$D$46)/10^6 + OILTrade!$E$5</f>
        <v>3.4575283918824198</v>
      </c>
      <c r="Q876" s="421">
        <f>DelivOIL!$C78*DelivOIL!Y$78^5/(Conv!$I$5*Conv!$D$46)/10^6 + OILTrade!$E$5</f>
        <v>3.4575283918824198</v>
      </c>
      <c r="S876" s="395"/>
      <c r="T876" s="395"/>
      <c r="U876" s="395"/>
      <c r="V876" s="395"/>
      <c r="W876" s="395"/>
      <c r="X876" s="395"/>
      <c r="Y876" s="395"/>
      <c r="Z876" s="395"/>
      <c r="AA876" s="395"/>
      <c r="AB876" s="395"/>
      <c r="AC876" s="395"/>
    </row>
    <row r="877" spans="2:29">
      <c r="B877" s="376" t="str">
        <f>IF(OR(LEFT(Commodities!B$65,1)="*",LEFT(Technologies!B$233,1)="*"),"*","R2")</f>
        <v>R2</v>
      </c>
      <c r="C877" s="376" t="str">
        <f>Technologies!C$749</f>
        <v>XIRESDSLP3</v>
      </c>
      <c r="D877" s="376" t="str">
        <f>Technologies!D233</f>
        <v>Delivery of Imported Distillate-Heating Oil No. 2 to the Residential Sector</v>
      </c>
      <c r="E877" s="415" t="str">
        <f>Commodities!C$69</f>
        <v>DSHP3</v>
      </c>
      <c r="F877" s="415" t="str">
        <f>Commodities!C87</f>
        <v>RESDSL</v>
      </c>
      <c r="G877" s="422">
        <v>1</v>
      </c>
      <c r="H877" s="421">
        <f>DelivOIL!$C80*DelivOIL!P$78^5/(Conv!$I$5*Conv!$D$46)/10^6 + OILTrade!$E$5</f>
        <v>3.4362763224476911</v>
      </c>
      <c r="I877" s="421">
        <f>DelivOIL!$C80*DelivOIL!Q$78^5/(Conv!$I$5*Conv!$D$46)/10^6 + OILTrade!$E$5</f>
        <v>3.4181176944864093</v>
      </c>
      <c r="J877" s="421">
        <f>DelivOIL!$C80*DelivOIL!R$78^5/(Conv!$I$5*Conv!$D$46)/10^6 + OILTrade!$E$5</f>
        <v>3.5958902066634946</v>
      </c>
      <c r="K877" s="421">
        <f>DelivOIL!$C80*DelivOIL!S$78^5/(Conv!$I$5*Conv!$D$46)/10^6 + OILTrade!$E$5</f>
        <v>4.3316818416457918</v>
      </c>
      <c r="L877" s="421">
        <f>DelivOIL!$C80*DelivOIL!T$78^5/(Conv!$I$5*Conv!$D$46)/10^6 + OILTrade!$E$5</f>
        <v>3.972473949821183</v>
      </c>
      <c r="M877" s="421">
        <f>DelivOIL!$C80*DelivOIL!U$78^5/(Conv!$I$5*Conv!$D$46)/10^6 + OILTrade!$E$5</f>
        <v>3.5203925444621</v>
      </c>
      <c r="N877" s="421">
        <f>DelivOIL!$C80*DelivOIL!V$78^5/(Conv!$I$5*Conv!$D$46)/10^6 + OILTrade!$E$5</f>
        <v>3.5203925444621</v>
      </c>
      <c r="O877" s="421">
        <f>DelivOIL!$C80*DelivOIL!W$78^5/(Conv!$I$5*Conv!$D$46)/10^6 + OILTrade!$E$5</f>
        <v>3.5203925444621</v>
      </c>
      <c r="P877" s="421">
        <f>DelivOIL!$C80*DelivOIL!X$78^5/(Conv!$I$5*Conv!$D$46)/10^6 + OILTrade!$E$5</f>
        <v>3.5203925444621</v>
      </c>
      <c r="Q877" s="421">
        <f>DelivOIL!$C80*DelivOIL!Y$78^5/(Conv!$I$5*Conv!$D$46)/10^6 + OILTrade!$E$5</f>
        <v>3.5203925444621</v>
      </c>
      <c r="S877" s="395"/>
      <c r="T877" s="395"/>
      <c r="U877" s="395"/>
      <c r="V877" s="395"/>
      <c r="W877" s="395"/>
      <c r="X877" s="395"/>
      <c r="Y877" s="395"/>
      <c r="Z877" s="395"/>
      <c r="AA877" s="395"/>
      <c r="AB877" s="395"/>
      <c r="AC877" s="395"/>
    </row>
    <row r="878" spans="2:29">
      <c r="B878" s="376" t="str">
        <f>IF(OR(LEFT(Commodities!B$65,1)="*",LEFT(Technologies!B$234,1)="*"),"*","R2")</f>
        <v>R2</v>
      </c>
      <c r="C878" s="376" t="str">
        <f>Technologies!C$750</f>
        <v>XICOMDSLP3</v>
      </c>
      <c r="D878" s="376" t="str">
        <f>Technologies!D234</f>
        <v>Delivery of Imported Distillate-Heating Oil No. 2 to the Commercial Sector</v>
      </c>
      <c r="E878" s="415" t="str">
        <f>Commodities!C$69</f>
        <v>DSHP3</v>
      </c>
      <c r="F878" s="415" t="str">
        <f>Commodities!C88</f>
        <v>COMDSL</v>
      </c>
      <c r="G878" s="422">
        <v>1</v>
      </c>
      <c r="H878" s="421">
        <f>DelivOIL!$C81*DelivOIL!P$78^5/(Conv!$I$5*Conv!$D$46)/10^6 + OILTrade!$E$5</f>
        <v>1.3976917581384452</v>
      </c>
      <c r="I878" s="421">
        <f>DelivOIL!$C81*DelivOIL!Q$78^5/(Conv!$I$5*Conv!$D$46)/10^6 + OILTrade!$E$5</f>
        <v>1.3903058082732411</v>
      </c>
      <c r="J878" s="421">
        <f>DelivOIL!$C81*DelivOIL!R$78^5/(Conv!$I$5*Conv!$D$46)/10^6 + OILTrade!$E$5</f>
        <v>1.4626140721547936</v>
      </c>
      <c r="K878" s="421">
        <f>DelivOIL!$C81*DelivOIL!S$78^5/(Conv!$I$5*Conv!$D$46)/10^6 + OILTrade!$E$5</f>
        <v>1.7618943998757679</v>
      </c>
      <c r="L878" s="421">
        <f>DelivOIL!$C81*DelivOIL!T$78^5/(Conv!$I$5*Conv!$D$46)/10^6 + OILTrade!$E$5</f>
        <v>1.6157880153042503</v>
      </c>
      <c r="M878" s="421">
        <f>DelivOIL!$C81*DelivOIL!U$78^5/(Conv!$I$5*Conv!$D$46)/10^6 + OILTrade!$E$5</f>
        <v>1.4319056976482742</v>
      </c>
      <c r="N878" s="421">
        <f>DelivOIL!$C81*DelivOIL!V$78^5/(Conv!$I$5*Conv!$D$46)/10^6 + OILTrade!$E$5</f>
        <v>1.4319056976482742</v>
      </c>
      <c r="O878" s="421">
        <f>DelivOIL!$C81*DelivOIL!W$78^5/(Conv!$I$5*Conv!$D$46)/10^6 + OILTrade!$E$5</f>
        <v>1.4319056976482742</v>
      </c>
      <c r="P878" s="421">
        <f>DelivOIL!$C81*DelivOIL!X$78^5/(Conv!$I$5*Conv!$D$46)/10^6 + OILTrade!$E$5</f>
        <v>1.4319056976482742</v>
      </c>
      <c r="Q878" s="421">
        <f>DelivOIL!$C81*DelivOIL!Y$78^5/(Conv!$I$5*Conv!$D$46)/10^6 + OILTrade!$E$5</f>
        <v>1.4319056976482742</v>
      </c>
      <c r="S878" s="395"/>
      <c r="T878" s="395"/>
      <c r="U878" s="395"/>
      <c r="V878" s="395"/>
      <c r="W878" s="395"/>
      <c r="X878" s="395"/>
      <c r="Y878" s="395"/>
      <c r="Z878" s="395"/>
      <c r="AA878" s="395"/>
      <c r="AB878" s="395"/>
      <c r="AC878" s="395"/>
    </row>
    <row r="879" spans="2:29">
      <c r="B879" s="376" t="str">
        <f>IF(OR(LEFT(Commodities!B$65,1)="*",LEFT(Technologies!B$235,1)="*"),"*","R2")</f>
        <v>*</v>
      </c>
      <c r="C879" s="376" t="str">
        <f>Technologies!C$751</f>
        <v>XIINDDSLP3</v>
      </c>
      <c r="D879" s="376" t="str">
        <f>Technologies!D235</f>
        <v>Delivery of Imported Distillate-Heating Oil No. 2 to the Indistrial Sector</v>
      </c>
      <c r="E879" s="415" t="str">
        <f>Commodities!C$69</f>
        <v>DSHP3</v>
      </c>
      <c r="F879" s="415" t="str">
        <f>Commodities!C89</f>
        <v>INDDSL</v>
      </c>
      <c r="G879" s="422">
        <v>1</v>
      </c>
      <c r="H879" s="421">
        <f>DelivOIL!$C82*DelivOIL!P$78^5/(Conv!$I$5*Conv!$D$46)/10^6 + OILTrade!$E$5</f>
        <v>1.4999618867827225</v>
      </c>
      <c r="I879" s="421">
        <f>DelivOIL!$C82*DelivOIL!Q$78^5/(Conv!$I$5*Conv!$D$46)/10^6 + OILTrade!$E$5</f>
        <v>1.4920355015615279</v>
      </c>
      <c r="J879" s="421">
        <f>DelivOIL!$C82*DelivOIL!R$78^5/(Conv!$I$5*Conv!$D$46)/10^6 + OILTrade!$E$5</f>
        <v>1.5696346140197794</v>
      </c>
      <c r="K879" s="421">
        <f>DelivOIL!$C82*DelivOIL!S$78^5/(Conv!$I$5*Conv!$D$46)/10^6 + OILTrade!$E$5</f>
        <v>1.8908135023057033</v>
      </c>
      <c r="L879" s="421">
        <f>DelivOIL!$C82*DelivOIL!T$78^5/(Conv!$I$5*Conv!$D$46)/10^6 + OILTrade!$E$5</f>
        <v>1.7340164066679769</v>
      </c>
      <c r="M879" s="421">
        <f>DelivOIL!$C82*DelivOIL!U$78^5/(Conv!$I$5*Conv!$D$46)/10^6 + OILTrade!$E$5</f>
        <v>1.5366792852810756</v>
      </c>
      <c r="N879" s="421">
        <f>DelivOIL!$C82*DelivOIL!V$78^5/(Conv!$I$5*Conv!$D$46)/10^6 + OILTrade!$E$5</f>
        <v>1.5366792852810756</v>
      </c>
      <c r="O879" s="421">
        <f>DelivOIL!$C82*DelivOIL!W$78^5/(Conv!$I$5*Conv!$D$46)/10^6 + OILTrade!$E$5</f>
        <v>1.5366792852810756</v>
      </c>
      <c r="P879" s="421">
        <f>DelivOIL!$C82*DelivOIL!X$78^5/(Conv!$I$5*Conv!$D$46)/10^6 + OILTrade!$E$5</f>
        <v>1.5366792852810756</v>
      </c>
      <c r="Q879" s="421">
        <f>DelivOIL!$C82*DelivOIL!Y$78^5/(Conv!$I$5*Conv!$D$46)/10^6 + OILTrade!$E$5</f>
        <v>1.5366792852810756</v>
      </c>
      <c r="S879" s="395"/>
      <c r="T879" s="395"/>
      <c r="U879" s="395"/>
      <c r="V879" s="395"/>
      <c r="W879" s="395"/>
      <c r="X879" s="395"/>
      <c r="Y879" s="395"/>
      <c r="Z879" s="395"/>
      <c r="AA879" s="395"/>
      <c r="AB879" s="395"/>
      <c r="AC879" s="395"/>
    </row>
    <row r="880" spans="2:29">
      <c r="B880" s="376" t="str">
        <f>IF(OR(LEFT(Commodities!B$65,1)="*",LEFT(Technologies!B$236,1)="*"),"*","R2")</f>
        <v>R2</v>
      </c>
      <c r="C880" s="376" t="str">
        <f>Technologies!C$752</f>
        <v>XIELCDSLP3</v>
      </c>
      <c r="D880" s="376" t="str">
        <f>Technologies!D236</f>
        <v>Delivery of Imported Distillate-Heating Oil No. 2 to the Electricity Sector</v>
      </c>
      <c r="E880" s="415" t="str">
        <f>Commodities!C$69</f>
        <v>DSHP3</v>
      </c>
      <c r="F880" s="415" t="str">
        <f>Commodities!C90</f>
        <v>ELCDSL</v>
      </c>
      <c r="G880" s="422">
        <v>1</v>
      </c>
      <c r="H880" s="421">
        <f>DelivOIL!$C83*DelivOIL!P$78^5/(Conv!$I$5*Conv!$D$46)/10^6 + OILTrade!$E$5</f>
        <v>0.51816865179766802</v>
      </c>
      <c r="I880" s="421">
        <f>DelivOIL!$C83*DelivOIL!Q$78^5/(Conv!$I$5*Conv!$D$46)/10^6 + OILTrade!$E$5</f>
        <v>0.51543044599398258</v>
      </c>
      <c r="J880" s="421">
        <f>DelivOIL!$C83*DelivOIL!R$78^5/(Conv!$I$5*Conv!$D$46)/10^6 + OILTrade!$E$5</f>
        <v>0.54223741211592402</v>
      </c>
      <c r="K880" s="421">
        <f>DelivOIL!$C83*DelivOIL!S$78^5/(Conv!$I$5*Conv!$D$46)/10^6 + OILTrade!$E$5</f>
        <v>0.65319011897833412</v>
      </c>
      <c r="L880" s="421">
        <f>DelivOIL!$C83*DelivOIL!T$78^5/(Conv!$I$5*Conv!$D$46)/10^6 + OILTrade!$E$5</f>
        <v>0.59902384957621058</v>
      </c>
      <c r="M880" s="421">
        <f>DelivOIL!$C83*DelivOIL!U$78^5/(Conv!$I$5*Conv!$D$46)/10^6 + OILTrade!$E$5</f>
        <v>0.53085284400619004</v>
      </c>
      <c r="N880" s="421">
        <f>DelivOIL!$C83*DelivOIL!V$78^5/(Conv!$I$5*Conv!$D$46)/10^6 + OILTrade!$E$5</f>
        <v>0.53085284400619004</v>
      </c>
      <c r="O880" s="421">
        <f>DelivOIL!$C83*DelivOIL!W$78^5/(Conv!$I$5*Conv!$D$46)/10^6 + OILTrade!$E$5</f>
        <v>0.53085284400619004</v>
      </c>
      <c r="P880" s="421">
        <f>DelivOIL!$C83*DelivOIL!X$78^5/(Conv!$I$5*Conv!$D$46)/10^6 + OILTrade!$E$5</f>
        <v>0.53085284400619004</v>
      </c>
      <c r="Q880" s="421">
        <f>DelivOIL!$C83*DelivOIL!Y$78^5/(Conv!$I$5*Conv!$D$46)/10^6 + OILTrade!$E$5</f>
        <v>0.53085284400619004</v>
      </c>
      <c r="S880" s="395"/>
      <c r="T880" s="395"/>
      <c r="U880" s="395"/>
      <c r="V880" s="395"/>
      <c r="W880" s="395"/>
      <c r="X880" s="395"/>
      <c r="Y880" s="395"/>
      <c r="Z880" s="395"/>
      <c r="AA880" s="395"/>
      <c r="AB880" s="395"/>
      <c r="AC880" s="395"/>
    </row>
    <row r="881" spans="2:29">
      <c r="B881" s="376" t="str">
        <f>IF(OR(LEFT(Commodities!B$323,1)="*",LEFT(Technologies!B$704,1)="*"),"*","R2")</f>
        <v>R2</v>
      </c>
      <c r="C881" s="376" t="str">
        <f>Technologies!C$753</f>
        <v>XITRDSLLP3</v>
      </c>
      <c r="D881" s="376" t="str">
        <f>Technologies!D704</f>
        <v>Delivery of Imported Distillate-Low Sulfur Highway Diesel (500 ppm)</v>
      </c>
      <c r="E881" s="415" t="str">
        <f>Commodities!C$345</f>
        <v>DSLP3</v>
      </c>
      <c r="F881" s="415" t="str">
        <f>Commodities!C91</f>
        <v>TRDSLL</v>
      </c>
      <c r="G881" s="422">
        <v>1</v>
      </c>
      <c r="H881" s="421">
        <f>DelivOIL!$C84*DelivOIL!P$78^5/(Conv!$I$5*Conv!$D$46)/10^6 + OILTrade!$E$5</f>
        <v>4.2203473087204779</v>
      </c>
      <c r="I881" s="421">
        <f>DelivOIL!$C84*DelivOIL!Q$78^5/(Conv!$I$5*Conv!$D$46)/10^6 + OILTrade!$E$5</f>
        <v>4.1980453430299347</v>
      </c>
      <c r="J881" s="421">
        <f>DelivOIL!$C84*DelivOIL!R$78^5/(Conv!$I$5*Conv!$D$46)/10^6 + OILTrade!$E$5</f>
        <v>4.416381027628379</v>
      </c>
      <c r="K881" s="421">
        <f>DelivOIL!$C84*DelivOIL!S$78^5/(Conv!$I$5*Conv!$D$46)/10^6 + OILTrade!$E$5</f>
        <v>5.3200616269419534</v>
      </c>
      <c r="L881" s="421">
        <f>DelivOIL!$C84*DelivOIL!T$78^5/(Conv!$I$5*Conv!$D$46)/10^6 + OILTrade!$E$5</f>
        <v>4.87889161694308</v>
      </c>
      <c r="M881" s="421">
        <f>DelivOIL!$C84*DelivOIL!U$78^5/(Conv!$I$5*Conv!$D$46)/10^6 + OILTrade!$E$5</f>
        <v>4.3236567163135717</v>
      </c>
      <c r="N881" s="421">
        <f>DelivOIL!$C84*DelivOIL!V$78^5/(Conv!$I$5*Conv!$D$46)/10^6 + OILTrade!$E$5</f>
        <v>4.3236567163135717</v>
      </c>
      <c r="O881" s="421">
        <f>DelivOIL!$C84*DelivOIL!W$78^5/(Conv!$I$5*Conv!$D$46)/10^6 + OILTrade!$E$5</f>
        <v>4.3236567163135717</v>
      </c>
      <c r="P881" s="421">
        <f>DelivOIL!$C84*DelivOIL!X$78^5/(Conv!$I$5*Conv!$D$46)/10^6 + OILTrade!$E$5</f>
        <v>4.3236567163135717</v>
      </c>
      <c r="Q881" s="421">
        <f>DelivOIL!$C84*DelivOIL!Y$78^5/(Conv!$I$5*Conv!$D$46)/10^6 + OILTrade!$E$5</f>
        <v>4.3236567163135717</v>
      </c>
      <c r="S881" s="395"/>
      <c r="T881" s="395"/>
      <c r="U881" s="395"/>
      <c r="V881" s="395"/>
      <c r="W881" s="395"/>
      <c r="X881" s="395"/>
      <c r="Y881" s="395"/>
      <c r="Z881" s="395"/>
      <c r="AA881" s="395"/>
      <c r="AB881" s="395"/>
      <c r="AC881" s="395"/>
    </row>
    <row r="882" spans="2:29">
      <c r="B882" s="376" t="str">
        <f>IF(OR(LEFT(Commodities!B$324,1)="*",LEFT(Technologies!B$705,1)="*"),"*","R2")</f>
        <v>R2</v>
      </c>
      <c r="C882" s="376" t="str">
        <f>Technologies!C$754</f>
        <v>XITRDSLUP3</v>
      </c>
      <c r="D882" s="376" t="str">
        <f>Technologies!D705</f>
        <v>Delivery of Imported Distillate-Ultralow Sulfur Highway Diesel (15 ppm)</v>
      </c>
      <c r="E882" s="415" t="str">
        <f>Commodities!C$346</f>
        <v>DSUP3</v>
      </c>
      <c r="F882" s="415" t="str">
        <f>Commodities!C92</f>
        <v>TRDSLU</v>
      </c>
      <c r="G882" s="422">
        <v>1</v>
      </c>
      <c r="H882" s="421">
        <f>DelivOIL!$C85*DelivOIL!P$78^5/(Conv!$I$5*Conv!$D$46)/10^6 + OILTrade!$E$5</f>
        <v>3.5794545025496785</v>
      </c>
      <c r="I882" s="421">
        <f>DelivOIL!$C85*DelivOIL!Q$78^5/(Conv!$I$5*Conv!$D$46)/10^6 + OILTrade!$E$5</f>
        <v>3.5605392650900098</v>
      </c>
      <c r="J882" s="421">
        <f>DelivOIL!$C85*DelivOIL!R$78^5/(Conv!$I$5*Conv!$D$46)/10^6 + OILTrade!$E$5</f>
        <v>3.7457189652744733</v>
      </c>
      <c r="K882" s="421">
        <f>DelivOIL!$C85*DelivOIL!S$78^5/(Conv!$I$5*Conv!$D$46)/10^6 + OILTrade!$E$5</f>
        <v>4.5121685850477</v>
      </c>
      <c r="L882" s="421">
        <f>DelivOIL!$C85*DelivOIL!T$78^5/(Conv!$I$5*Conv!$D$46)/10^6 + OILTrade!$E$5</f>
        <v>4.1379936977303995</v>
      </c>
      <c r="M882" s="421">
        <f>DelivOIL!$C85*DelivOIL!U$78^5/(Conv!$I$5*Conv!$D$46)/10^6 + OILTrade!$E$5</f>
        <v>3.6670755671480211</v>
      </c>
      <c r="N882" s="421">
        <f>DelivOIL!$C85*DelivOIL!V$78^5/(Conv!$I$5*Conv!$D$46)/10^6 + OILTrade!$E$5</f>
        <v>3.6670755671480211</v>
      </c>
      <c r="O882" s="421">
        <f>DelivOIL!$C85*DelivOIL!W$78^5/(Conv!$I$5*Conv!$D$46)/10^6 + OILTrade!$E$5</f>
        <v>3.6670755671480211</v>
      </c>
      <c r="P882" s="421">
        <f>DelivOIL!$C85*DelivOIL!X$78^5/(Conv!$I$5*Conv!$D$46)/10^6 + OILTrade!$E$5</f>
        <v>3.6670755671480211</v>
      </c>
      <c r="Q882" s="421">
        <f>DelivOIL!$C85*DelivOIL!Y$78^5/(Conv!$I$5*Conv!$D$46)/10^6 + OILTrade!$E$5</f>
        <v>3.6670755671480211</v>
      </c>
      <c r="S882" s="395"/>
      <c r="T882" s="395"/>
      <c r="U882" s="395"/>
      <c r="V882" s="395"/>
      <c r="W882" s="395"/>
      <c r="X882" s="395"/>
      <c r="Y882" s="395"/>
      <c r="Z882" s="395"/>
      <c r="AA882" s="395"/>
      <c r="AB882" s="395"/>
      <c r="AC882" s="395"/>
    </row>
    <row r="883" spans="2:29">
      <c r="B883" s="376" t="str">
        <f>IF(OR(LEFT(Commodities!B$64,1)="*",LEFT(Technologies!B$232,1)="*"),"*","R2")</f>
        <v>R2</v>
      </c>
      <c r="C883" s="376" t="str">
        <f>Technologies!C$755</f>
        <v>XITRNJTFP3</v>
      </c>
      <c r="D883" s="376" t="str">
        <f>Technologies!D232</f>
        <v>Delivery of Imported Jet Fuel</v>
      </c>
      <c r="E883" s="415" t="str">
        <f>Commodities!C$68</f>
        <v>JTFP3</v>
      </c>
      <c r="F883" s="415" t="str">
        <f>Commodities!C93</f>
        <v>TRNJTF</v>
      </c>
      <c r="G883" s="422">
        <v>1</v>
      </c>
      <c r="H883" s="421">
        <f>DelivOIL!$C86*DelivOIL!P$78^5/(Conv!$I$5*Conv!$D$46)/10^6 + OILTrade!$E$5</f>
        <v>0.68861886620479495</v>
      </c>
      <c r="I883" s="421">
        <f>DelivOIL!$C86*DelivOIL!Q$78^5/(Conv!$I$5*Conv!$D$46)/10^6 + OILTrade!$E$5</f>
        <v>0.68497993480779196</v>
      </c>
      <c r="J883" s="421">
        <f>DelivOIL!$C86*DelivOIL!R$78^5/(Conv!$I$5*Conv!$D$46)/10^6 + OILTrade!$E$5</f>
        <v>0.72060498189089828</v>
      </c>
      <c r="K883" s="421">
        <f>DelivOIL!$C86*DelivOIL!S$78^5/(Conv!$I$5*Conv!$D$46)/10^6 + OILTrade!$E$5</f>
        <v>0.86805528969489054</v>
      </c>
      <c r="L883" s="421">
        <f>DelivOIL!$C86*DelivOIL!T$78^5/(Conv!$I$5*Conv!$D$46)/10^6 + OILTrade!$E$5</f>
        <v>0.79607116851575266</v>
      </c>
      <c r="M883" s="421">
        <f>DelivOIL!$C86*DelivOIL!U$78^5/(Conv!$I$5*Conv!$D$46)/10^6 + OILTrade!$E$5</f>
        <v>0.70547549006085708</v>
      </c>
      <c r="N883" s="421">
        <f>DelivOIL!$C86*DelivOIL!V$78^5/(Conv!$I$5*Conv!$D$46)/10^6 + OILTrade!$E$5</f>
        <v>0.70547549006085708</v>
      </c>
      <c r="O883" s="421">
        <f>DelivOIL!$C86*DelivOIL!W$78^5/(Conv!$I$5*Conv!$D$46)/10^6 + OILTrade!$E$5</f>
        <v>0.70547549006085708</v>
      </c>
      <c r="P883" s="421">
        <f>DelivOIL!$C86*DelivOIL!X$78^5/(Conv!$I$5*Conv!$D$46)/10^6 + OILTrade!$E$5</f>
        <v>0.70547549006085708</v>
      </c>
      <c r="Q883" s="421">
        <f>DelivOIL!$C86*DelivOIL!Y$78^5/(Conv!$I$5*Conv!$D$46)/10^6 + OILTrade!$E$5</f>
        <v>0.70547549006085708</v>
      </c>
      <c r="S883" s="395"/>
      <c r="T883" s="395"/>
      <c r="U883" s="395"/>
      <c r="V883" s="395"/>
      <c r="W883" s="395"/>
      <c r="X883" s="395"/>
      <c r="Y883" s="395"/>
      <c r="Z883" s="395"/>
      <c r="AA883" s="395"/>
      <c r="AB883" s="395"/>
      <c r="AC883" s="395"/>
    </row>
    <row r="884" spans="2:29">
      <c r="B884" s="376" t="str">
        <f>IF(OR(LEFT(Commodities!B$327,1)="*",LEFT(Technologies!B$706,1)="*"),"*","R2")</f>
        <v>*</v>
      </c>
      <c r="C884" s="376" t="str">
        <f>Technologies!C$756</f>
        <v>XIRESKERP3</v>
      </c>
      <c r="D884" s="376" t="str">
        <f>Technologies!D706</f>
        <v>Delivery of Imported Kerosene and Other Refined Products to the Residential Sector</v>
      </c>
      <c r="E884" s="415" t="str">
        <f>Commodities!C$349</f>
        <v>KERP3</v>
      </c>
      <c r="F884" s="415" t="str">
        <f>Commodities!C94</f>
        <v>RESKER</v>
      </c>
      <c r="G884" s="422">
        <v>1</v>
      </c>
      <c r="H884" s="421">
        <f>DelivOIL!$C87*DelivOIL!P$78^5/(Conv!$I$5*Conv!$D$46)/10^6 + OILTrade!$E$5</f>
        <v>2.1135826586483804</v>
      </c>
      <c r="I884" s="421">
        <f>DelivOIL!$C87*DelivOIL!Q$78^5/(Conv!$I$5*Conv!$D$46)/10^6 + OILTrade!$E$5</f>
        <v>2.1024136612912425</v>
      </c>
      <c r="J884" s="421">
        <f>DelivOIL!$C87*DelivOIL!R$78^5/(Conv!$I$5*Conv!$D$46)/10^6 + OILTrade!$E$5</f>
        <v>2.2117578652096879</v>
      </c>
      <c r="K884" s="421">
        <f>DelivOIL!$C87*DelivOIL!S$78^5/(Conv!$I$5*Conv!$D$46)/10^6 + OILTrade!$E$5</f>
        <v>2.6643281168853075</v>
      </c>
      <c r="L884" s="421">
        <f>DelivOIL!$C87*DelivOIL!T$78^5/(Conv!$I$5*Conv!$D$46)/10^6 + OILTrade!$E$5</f>
        <v>2.4433867548503301</v>
      </c>
      <c r="M884" s="421">
        <f>DelivOIL!$C87*DelivOIL!U$78^5/(Conv!$I$5*Conv!$D$46)/10^6 + OILTrade!$E$5</f>
        <v>2.1653208110778785</v>
      </c>
      <c r="N884" s="421">
        <f>DelivOIL!$C87*DelivOIL!V$78^5/(Conv!$I$5*Conv!$D$46)/10^6 + OILTrade!$E$5</f>
        <v>2.1653208110778785</v>
      </c>
      <c r="O884" s="421">
        <f>DelivOIL!$C87*DelivOIL!W$78^5/(Conv!$I$5*Conv!$D$46)/10^6 + OILTrade!$E$5</f>
        <v>2.1653208110778785</v>
      </c>
      <c r="P884" s="421">
        <f>DelivOIL!$C87*DelivOIL!X$78^5/(Conv!$I$5*Conv!$D$46)/10^6 + OILTrade!$E$5</f>
        <v>2.1653208110778785</v>
      </c>
      <c r="Q884" s="421">
        <f>DelivOIL!$C87*DelivOIL!Y$78^5/(Conv!$I$5*Conv!$D$46)/10^6 + OILTrade!$E$5</f>
        <v>2.1653208110778785</v>
      </c>
      <c r="S884" s="395"/>
      <c r="T884" s="395"/>
      <c r="U884" s="395"/>
      <c r="V884" s="395"/>
      <c r="W884" s="395"/>
      <c r="X884" s="395"/>
      <c r="Y884" s="395"/>
      <c r="Z884" s="395"/>
      <c r="AA884" s="395"/>
      <c r="AB884" s="395"/>
      <c r="AC884" s="395"/>
    </row>
    <row r="885" spans="2:29">
      <c r="B885" s="376" t="str">
        <f>IF(OR(LEFT(Commodities!B$327,1)="*",LEFT(Technologies!B$707,1)="*"),"*","R2")</f>
        <v>*</v>
      </c>
      <c r="C885" s="376" t="str">
        <f>Technologies!C$757</f>
        <v>XICOMKERP3</v>
      </c>
      <c r="D885" s="376" t="str">
        <f>Technologies!D707</f>
        <v>Delivery of Imported Kerosene and Other Refined Products to the Commercial Sector</v>
      </c>
      <c r="E885" s="415" t="str">
        <f>Commodities!C$349</f>
        <v>KERP3</v>
      </c>
      <c r="F885" s="415" t="str">
        <f>Commodities!C95</f>
        <v>COMKER</v>
      </c>
      <c r="G885" s="422">
        <v>1</v>
      </c>
      <c r="H885" s="421">
        <f>DelivOIL!$C88*DelivOIL!P$78^5/(Conv!$I$5*Conv!$D$46)/10^6 + OILTrade!$E$5</f>
        <v>1.8681343499021184</v>
      </c>
      <c r="I885" s="421">
        <f>DelivOIL!$C88*DelivOIL!Q$78^5/(Conv!$I$5*Conv!$D$46)/10^6 + OILTrade!$E$5</f>
        <v>1.8582623973993577</v>
      </c>
      <c r="J885" s="421">
        <f>DelivOIL!$C88*DelivOIL!R$78^5/(Conv!$I$5*Conv!$D$46)/10^6 + OILTrade!$E$5</f>
        <v>1.9549085647337254</v>
      </c>
      <c r="K885" s="421">
        <f>DelivOIL!$C88*DelivOIL!S$78^5/(Conv!$I$5*Conv!$D$46)/10^6 + OILTrade!$E$5</f>
        <v>2.354922271053467</v>
      </c>
      <c r="L885" s="421">
        <f>DelivOIL!$C88*DelivOIL!T$78^5/(Conv!$I$5*Conv!$D$46)/10^6 + OILTrade!$E$5</f>
        <v>2.1596386155773901</v>
      </c>
      <c r="M885" s="421">
        <f>DelivOIL!$C88*DelivOIL!U$78^5/(Conv!$I$5*Conv!$D$46)/10^6 + OILTrade!$E$5</f>
        <v>1.9138642007591582</v>
      </c>
      <c r="N885" s="421">
        <f>DelivOIL!$C88*DelivOIL!V$78^5/(Conv!$I$5*Conv!$D$46)/10^6 + OILTrade!$E$5</f>
        <v>1.9138642007591582</v>
      </c>
      <c r="O885" s="421">
        <f>DelivOIL!$C88*DelivOIL!W$78^5/(Conv!$I$5*Conv!$D$46)/10^6 + OILTrade!$E$5</f>
        <v>1.9138642007591582</v>
      </c>
      <c r="P885" s="421">
        <f>DelivOIL!$C88*DelivOIL!X$78^5/(Conv!$I$5*Conv!$D$46)/10^6 + OILTrade!$E$5</f>
        <v>1.9138642007591582</v>
      </c>
      <c r="Q885" s="421">
        <f>DelivOIL!$C88*DelivOIL!Y$78^5/(Conv!$I$5*Conv!$D$46)/10^6 + OILTrade!$E$5</f>
        <v>1.9138642007591582</v>
      </c>
      <c r="S885" s="395"/>
      <c r="T885" s="395"/>
      <c r="U885" s="395"/>
      <c r="V885" s="395"/>
      <c r="W885" s="395"/>
      <c r="X885" s="395"/>
      <c r="Y885" s="395"/>
      <c r="Z885" s="395"/>
      <c r="AA885" s="395"/>
      <c r="AB885" s="395"/>
      <c r="AC885" s="395"/>
    </row>
    <row r="886" spans="2:29">
      <c r="B886" s="376" t="str">
        <f>IF(OR(LEFT(Commodities!B$327,1)="*",LEFT(Technologies!B$708,1)="*"),"*","R2")</f>
        <v>*</v>
      </c>
      <c r="C886" s="376" t="str">
        <f>Technologies!C$758</f>
        <v>XIINDKERP3</v>
      </c>
      <c r="D886" s="376" t="str">
        <f>Technologies!D708</f>
        <v>Delivery of Imported Kerosene and Other Refined Products to the Industrial Sector</v>
      </c>
      <c r="E886" s="415" t="str">
        <f>Commodities!C$349</f>
        <v>KERP3</v>
      </c>
      <c r="F886" s="415" t="str">
        <f>Commodities!C96</f>
        <v>INDKER</v>
      </c>
      <c r="G886" s="422">
        <v>1</v>
      </c>
      <c r="H886" s="421">
        <f>DelivOIL!$C89*DelivOIL!P$78^5/(Conv!$I$5*Conv!$D$46)/10^6 + OILTrade!$E$5</f>
        <v>1.1590614579684675</v>
      </c>
      <c r="I886" s="421">
        <f>DelivOIL!$C89*DelivOIL!Q$78^5/(Conv!$I$5*Conv!$D$46)/10^6 + OILTrade!$E$5</f>
        <v>1.152936523933908</v>
      </c>
      <c r="J886" s="421">
        <f>DelivOIL!$C89*DelivOIL!R$78^5/(Conv!$I$5*Conv!$D$46)/10^6 + OILTrade!$E$5</f>
        <v>1.2128994744698296</v>
      </c>
      <c r="K886" s="421">
        <f>DelivOIL!$C89*DelivOIL!S$78^5/(Conv!$I$5*Conv!$D$46)/10^6 + OILTrade!$E$5</f>
        <v>1.4610831608725887</v>
      </c>
      <c r="L886" s="421">
        <f>DelivOIL!$C89*DelivOIL!T$78^5/(Conv!$I$5*Conv!$D$46)/10^6 + OILTrade!$E$5</f>
        <v>1.3399217687888911</v>
      </c>
      <c r="M886" s="421">
        <f>DelivOIL!$C89*DelivOIL!U$78^5/(Conv!$I$5*Conv!$D$46)/10^6 + OILTrade!$E$5</f>
        <v>1.1874339931717401</v>
      </c>
      <c r="N886" s="421">
        <f>DelivOIL!$C89*DelivOIL!V$78^5/(Conv!$I$5*Conv!$D$46)/10^6 + OILTrade!$E$5</f>
        <v>1.1874339931717401</v>
      </c>
      <c r="O886" s="421">
        <f>DelivOIL!$C89*DelivOIL!W$78^5/(Conv!$I$5*Conv!$D$46)/10^6 + OILTrade!$E$5</f>
        <v>1.1874339931717401</v>
      </c>
      <c r="P886" s="421">
        <f>DelivOIL!$C89*DelivOIL!X$78^5/(Conv!$I$5*Conv!$D$46)/10^6 + OILTrade!$E$5</f>
        <v>1.1874339931717401</v>
      </c>
      <c r="Q886" s="421">
        <f>DelivOIL!$C89*DelivOIL!Y$78^5/(Conv!$I$5*Conv!$D$46)/10^6 + OILTrade!$E$5</f>
        <v>1.1874339931717401</v>
      </c>
      <c r="S886" s="395"/>
      <c r="T886" s="395"/>
      <c r="U886" s="395"/>
      <c r="V886" s="395"/>
      <c r="W886" s="395"/>
      <c r="X886" s="395"/>
      <c r="Y886" s="395"/>
      <c r="Z886" s="395"/>
      <c r="AA886" s="395"/>
      <c r="AB886" s="395"/>
      <c r="AC886" s="395"/>
    </row>
    <row r="887" spans="2:29">
      <c r="B887" s="376" t="str">
        <f>IF(OR(LEFT(Commodities!B$328,1)="*",LEFT(Technologies!B$709,1)="*"),"*","R2")</f>
        <v>*</v>
      </c>
      <c r="C887" s="376" t="str">
        <f>Technologies!C$759</f>
        <v>XIRESLPGP3</v>
      </c>
      <c r="D887" s="376" t="str">
        <f>Technologies!D709</f>
        <v>Delivery of Imported LPG to the Residential Sector</v>
      </c>
      <c r="E887" s="415" t="str">
        <f>Commodities!C$350</f>
        <v>LPGP3</v>
      </c>
      <c r="F887" s="415" t="str">
        <f>Commodities!C97</f>
        <v>RESLPG</v>
      </c>
      <c r="G887" s="422">
        <v>1</v>
      </c>
      <c r="H887" s="421">
        <f>DelivOIL!$C90*DelivOIL!P$78^5/(Conv!$I$5*Conv!$D$46)/10^6 + OILTrade!$E$5</f>
        <v>6.4907441646234156</v>
      </c>
      <c r="I887" s="421">
        <f>DelivOIL!$C90*DelivOIL!Q$78^5/(Conv!$I$5*Conv!$D$46)/10^6 + OILTrade!$E$5</f>
        <v>6.4564445340298828</v>
      </c>
      <c r="J887" s="421">
        <f>DelivOIL!$C90*DelivOIL!R$78^5/(Conv!$I$5*Conv!$D$46)/10^6 + OILTrade!$E$5</f>
        <v>6.792237057031044</v>
      </c>
      <c r="K887" s="421">
        <f>DelivOIL!$C90*DelivOIL!S$78^5/(Conv!$I$5*Conv!$D$46)/10^6 + OILTrade!$E$5</f>
        <v>8.1820657008864952</v>
      </c>
      <c r="L887" s="421">
        <f>DelivOIL!$C90*DelivOIL!T$78^5/(Conv!$I$5*Conv!$D$46)/10^6 + OILTrade!$E$5</f>
        <v>7.50356190521779</v>
      </c>
      <c r="M887" s="421">
        <f>DelivOIL!$C90*DelivOIL!U$78^5/(Conv!$I$5*Conv!$D$46)/10^6 + OILTrade!$E$5</f>
        <v>6.6496303617617434</v>
      </c>
      <c r="N887" s="421">
        <f>DelivOIL!$C90*DelivOIL!V$78^5/(Conv!$I$5*Conv!$D$46)/10^6 + OILTrade!$E$5</f>
        <v>6.6496303617617434</v>
      </c>
      <c r="O887" s="421">
        <f>DelivOIL!$C90*DelivOIL!W$78^5/(Conv!$I$5*Conv!$D$46)/10^6 + OILTrade!$E$5</f>
        <v>6.6496303617617434</v>
      </c>
      <c r="P887" s="421">
        <f>DelivOIL!$C90*DelivOIL!X$78^5/(Conv!$I$5*Conv!$D$46)/10^6 + OILTrade!$E$5</f>
        <v>6.6496303617617434</v>
      </c>
      <c r="Q887" s="421">
        <f>DelivOIL!$C90*DelivOIL!Y$78^5/(Conv!$I$5*Conv!$D$46)/10^6 + OILTrade!$E$5</f>
        <v>6.6496303617617434</v>
      </c>
      <c r="S887" s="395"/>
      <c r="T887" s="395"/>
      <c r="U887" s="395"/>
      <c r="V887" s="395"/>
      <c r="W887" s="395"/>
      <c r="X887" s="395"/>
      <c r="Y887" s="395"/>
      <c r="Z887" s="395"/>
      <c r="AA887" s="395"/>
      <c r="AB887" s="395"/>
      <c r="AC887" s="395"/>
    </row>
    <row r="888" spans="2:29">
      <c r="B888" s="376" t="str">
        <f>IF(OR(LEFT(Commodities!B$328,1)="*",LEFT(Technologies!B$710,1)="*"),"*","R2")</f>
        <v>*</v>
      </c>
      <c r="C888" s="376" t="str">
        <f>Technologies!C$760</f>
        <v>XICOMLPGP3</v>
      </c>
      <c r="D888" s="376" t="str">
        <f>Technologies!D710</f>
        <v>Delivery of Imported LPG to the Commercial Sector</v>
      </c>
      <c r="E888" s="415" t="str">
        <f>Commodities!C$350</f>
        <v>LPGP3</v>
      </c>
      <c r="F888" s="415" t="str">
        <f>Commodities!C98</f>
        <v>COMLPG</v>
      </c>
      <c r="G888" s="422">
        <v>1</v>
      </c>
      <c r="H888" s="421">
        <f>DelivOIL!$C91*DelivOIL!P$78^5/(Conv!$I$5*Conv!$D$46)/10^6 + OILTrade!$E$5</f>
        <v>2.5908432589883379</v>
      </c>
      <c r="I888" s="421">
        <f>DelivOIL!$C91*DelivOIL!Q$78^5/(Conv!$I$5*Conv!$D$46)/10^6 + OILTrade!$E$5</f>
        <v>2.577152229969911</v>
      </c>
      <c r="J888" s="421">
        <f>DelivOIL!$C91*DelivOIL!R$78^5/(Conv!$I$5*Conv!$D$46)/10^6 + OILTrade!$E$5</f>
        <v>2.711187060579618</v>
      </c>
      <c r="K888" s="421">
        <f>DelivOIL!$C91*DelivOIL!S$78^5/(Conv!$I$5*Conv!$D$46)/10^6 + OILTrade!$E$5</f>
        <v>3.2659505948916676</v>
      </c>
      <c r="L888" s="421">
        <f>DelivOIL!$C91*DelivOIL!T$78^5/(Conv!$I$5*Conv!$D$46)/10^6 + OILTrade!$E$5</f>
        <v>2.9951192478810502</v>
      </c>
      <c r="M888" s="421">
        <f>DelivOIL!$C91*DelivOIL!U$78^5/(Conv!$I$5*Conv!$D$46)/10^6 + OILTrade!$E$5</f>
        <v>2.6542642200309476</v>
      </c>
      <c r="N888" s="421">
        <f>DelivOIL!$C91*DelivOIL!V$78^5/(Conv!$I$5*Conv!$D$46)/10^6 + OILTrade!$E$5</f>
        <v>2.6542642200309476</v>
      </c>
      <c r="O888" s="421">
        <f>DelivOIL!$C91*DelivOIL!W$78^5/(Conv!$I$5*Conv!$D$46)/10^6 + OILTrade!$E$5</f>
        <v>2.6542642200309476</v>
      </c>
      <c r="P888" s="421">
        <f>DelivOIL!$C91*DelivOIL!X$78^5/(Conv!$I$5*Conv!$D$46)/10^6 + OILTrade!$E$5</f>
        <v>2.6542642200309476</v>
      </c>
      <c r="Q888" s="421">
        <f>DelivOIL!$C91*DelivOIL!Y$78^5/(Conv!$I$5*Conv!$D$46)/10^6 + OILTrade!$E$5</f>
        <v>2.6542642200309476</v>
      </c>
      <c r="S888" s="395"/>
      <c r="T888" s="395"/>
      <c r="U888" s="395"/>
      <c r="V888" s="395"/>
      <c r="W888" s="395"/>
      <c r="X888" s="395"/>
      <c r="Y888" s="395"/>
      <c r="Z888" s="395"/>
      <c r="AA888" s="395"/>
      <c r="AB888" s="395"/>
      <c r="AC888" s="395"/>
    </row>
    <row r="889" spans="2:29">
      <c r="B889" s="376" t="str">
        <f>IF(OR(LEFT(Commodities!B$328,1)="*",LEFT(Technologies!B$711,1)="*"),"*","R2")</f>
        <v>*</v>
      </c>
      <c r="C889" s="376" t="str">
        <f>Technologies!C$761</f>
        <v>XIINDLPGP3</v>
      </c>
      <c r="D889" s="376" t="str">
        <f>Technologies!D711</f>
        <v>Delivery of Imported LPG to the Industrial Sector</v>
      </c>
      <c r="E889" s="415" t="str">
        <f>Commodities!C$350</f>
        <v>LPGP3</v>
      </c>
      <c r="F889" s="415" t="str">
        <f>Commodities!C99</f>
        <v>INDLPG</v>
      </c>
      <c r="G889" s="422">
        <v>1</v>
      </c>
      <c r="H889" s="421">
        <f>DelivOIL!$C92*DelivOIL!P$78^5/(Conv!$I$5*Conv!$D$46)/10^6 + OILTrade!$E$5</f>
        <v>2.2499428301740831</v>
      </c>
      <c r="I889" s="421">
        <f>DelivOIL!$C92*DelivOIL!Q$78^5/(Conv!$I$5*Conv!$D$46)/10^6 + OILTrade!$E$5</f>
        <v>2.2380532523422918</v>
      </c>
      <c r="J889" s="421">
        <f>DelivOIL!$C92*DelivOIL!R$78^5/(Conv!$I$5*Conv!$D$46)/10^6 + OILTrade!$E$5</f>
        <v>2.3544519210296686</v>
      </c>
      <c r="K889" s="421">
        <f>DelivOIL!$C92*DelivOIL!S$78^5/(Conv!$I$5*Conv!$D$46)/10^6 + OILTrade!$E$5</f>
        <v>2.8362202534585546</v>
      </c>
      <c r="L889" s="421">
        <f>DelivOIL!$C92*DelivOIL!T$78^5/(Conv!$I$5*Conv!$D$46)/10^6 + OILTrade!$E$5</f>
        <v>2.6010246100019652</v>
      </c>
      <c r="M889" s="421">
        <f>DelivOIL!$C92*DelivOIL!U$78^5/(Conv!$I$5*Conv!$D$46)/10^6 + OILTrade!$E$5</f>
        <v>2.3050189279216133</v>
      </c>
      <c r="N889" s="421">
        <f>DelivOIL!$C92*DelivOIL!V$78^5/(Conv!$I$5*Conv!$D$46)/10^6 + OILTrade!$E$5</f>
        <v>2.3050189279216133</v>
      </c>
      <c r="O889" s="421">
        <f>DelivOIL!$C92*DelivOIL!W$78^5/(Conv!$I$5*Conv!$D$46)/10^6 + OILTrade!$E$5</f>
        <v>2.3050189279216133</v>
      </c>
      <c r="P889" s="421">
        <f>DelivOIL!$C92*DelivOIL!X$78^5/(Conv!$I$5*Conv!$D$46)/10^6 + OILTrade!$E$5</f>
        <v>2.3050189279216133</v>
      </c>
      <c r="Q889" s="421">
        <f>DelivOIL!$C92*DelivOIL!Y$78^5/(Conv!$I$5*Conv!$D$46)/10^6 + OILTrade!$E$5</f>
        <v>2.3050189279216133</v>
      </c>
      <c r="S889" s="395"/>
      <c r="T889" s="395"/>
      <c r="U889" s="395"/>
      <c r="V889" s="395"/>
      <c r="W889" s="395"/>
      <c r="X889" s="395"/>
      <c r="Y889" s="395"/>
      <c r="Z889" s="395"/>
      <c r="AA889" s="395"/>
      <c r="AB889" s="395"/>
      <c r="AC889" s="395"/>
    </row>
    <row r="890" spans="2:29">
      <c r="B890" s="376" t="str">
        <f>IF(OR(LEFT(Commodities!B$328,1)="*",LEFT(Technologies!B$712,1)="*"),"*","R2")</f>
        <v>*</v>
      </c>
      <c r="C890" s="376" t="str">
        <f>Technologies!C$762</f>
        <v>XITRNLPGP3</v>
      </c>
      <c r="D890" s="376" t="str">
        <f>Technologies!D712</f>
        <v>Delivery of Imported LPG to the Transportation Sector</v>
      </c>
      <c r="E890" s="415" t="str">
        <f>Commodities!C$350</f>
        <v>LPGP3</v>
      </c>
      <c r="F890" s="415" t="str">
        <f>Commodities!C100</f>
        <v>TRNLPG</v>
      </c>
      <c r="G890" s="422">
        <v>1</v>
      </c>
      <c r="H890" s="421">
        <f>DelivOIL!$C93*DelivOIL!P$78^5/(Conv!$I$5*Conv!$D$46)/10^6 + OILTrade!$E$5</f>
        <v>3.8317208198722259</v>
      </c>
      <c r="I890" s="421">
        <f>DelivOIL!$C93*DelivOIL!Q$78^5/(Conv!$I$5*Conv!$D$46)/10^6 + OILTrade!$E$5</f>
        <v>3.8114725085344463</v>
      </c>
      <c r="J890" s="421">
        <f>DelivOIL!$C93*DelivOIL!R$78^5/(Conv!$I$5*Conv!$D$46)/10^6 + OILTrade!$E$5</f>
        <v>4.0097029685414354</v>
      </c>
      <c r="K890" s="421">
        <f>DelivOIL!$C93*DelivOIL!S$78^5/(Conv!$I$5*Conv!$D$46)/10^6 + OILTrade!$E$5</f>
        <v>4.8301690377082034</v>
      </c>
      <c r="L890" s="421">
        <f>DelivOIL!$C93*DelivOIL!T$78^5/(Conv!$I$5*Conv!$D$46)/10^6 + OILTrade!$E$5</f>
        <v>4.4296237297609213</v>
      </c>
      <c r="M890" s="421">
        <f>DelivOIL!$C93*DelivOIL!U$78^5/(Conv!$I$5*Conv!$D$46)/10^6 + OILTrade!$E$5</f>
        <v>3.9255170833089279</v>
      </c>
      <c r="N890" s="421">
        <f>DelivOIL!$C93*DelivOIL!V$78^5/(Conv!$I$5*Conv!$D$46)/10^6 + OILTrade!$E$5</f>
        <v>3.9255170833089279</v>
      </c>
      <c r="O890" s="421">
        <f>DelivOIL!$C93*DelivOIL!W$78^5/(Conv!$I$5*Conv!$D$46)/10^6 + OILTrade!$E$5</f>
        <v>3.9255170833089279</v>
      </c>
      <c r="P890" s="421">
        <f>DelivOIL!$C93*DelivOIL!X$78^5/(Conv!$I$5*Conv!$D$46)/10^6 + OILTrade!$E$5</f>
        <v>3.9255170833089279</v>
      </c>
      <c r="Q890" s="421">
        <f>DelivOIL!$C93*DelivOIL!Y$78^5/(Conv!$I$5*Conv!$D$46)/10^6 + OILTrade!$E$5</f>
        <v>3.9255170833089279</v>
      </c>
      <c r="S890" s="395"/>
      <c r="T890" s="395"/>
      <c r="U890" s="395"/>
      <c r="V890" s="395"/>
      <c r="W890" s="395"/>
      <c r="X890" s="395"/>
      <c r="Y890" s="395"/>
      <c r="Z890" s="395"/>
      <c r="AA890" s="395"/>
      <c r="AB890" s="395"/>
      <c r="AC890" s="395"/>
    </row>
    <row r="891" spans="2:29">
      <c r="B891" s="376" t="str">
        <f>IF(LEFT(Technologies!B$713,1)="*","*","R2")</f>
        <v>*</v>
      </c>
      <c r="C891" s="376" t="str">
        <f>Technologies!C$763</f>
        <v>XITRNMTHP3</v>
      </c>
      <c r="D891" s="376" t="str">
        <f>Technologies!D713</f>
        <v>Delivery of Imported Methanol</v>
      </c>
      <c r="E891" s="415" t="str">
        <f>Commodities!C$351</f>
        <v>MTHP3</v>
      </c>
      <c r="F891" s="415" t="str">
        <f>Commodities!C101</f>
        <v>TRNMTH</v>
      </c>
      <c r="G891" s="422">
        <v>1</v>
      </c>
      <c r="H891" s="421">
        <f>DelivOIL!$C94*DelivOIL!P$78^5/(Conv!$I$5*Conv!$D$46)/10^6 + OILTrade!$E$5</f>
        <v>3.6612706054650994</v>
      </c>
      <c r="I891" s="421">
        <f>DelivOIL!$C94*DelivOIL!Q$78^5/(Conv!$I$5*Conv!$D$46)/10^6 + OILTrade!$E$5</f>
        <v>3.6419230197206378</v>
      </c>
      <c r="J891" s="421">
        <f>DelivOIL!$C94*DelivOIL!R$78^5/(Conv!$I$5*Conv!$D$46)/10^6 + OILTrade!$E$5</f>
        <v>3.8313353987664609</v>
      </c>
      <c r="K891" s="421">
        <f>DelivOIL!$C94*DelivOIL!S$78^5/(Conv!$I$5*Conv!$D$46)/10^6 + OILTrade!$E$5</f>
        <v>4.6153038669916464</v>
      </c>
      <c r="L891" s="421">
        <f>DelivOIL!$C94*DelivOIL!T$78^5/(Conv!$I$5*Conv!$D$46)/10^6 + OILTrade!$E$5</f>
        <v>4.2325764108213795</v>
      </c>
      <c r="M891" s="421">
        <f>DelivOIL!$C94*DelivOIL!U$78^5/(Conv!$I$5*Conv!$D$46)/10^6 + OILTrade!$E$5</f>
        <v>3.750894437254261</v>
      </c>
      <c r="N891" s="421">
        <f>DelivOIL!$C94*DelivOIL!V$78^5/(Conv!$I$5*Conv!$D$46)/10^6 + OILTrade!$E$5</f>
        <v>3.750894437254261</v>
      </c>
      <c r="O891" s="421">
        <f>DelivOIL!$C94*DelivOIL!W$78^5/(Conv!$I$5*Conv!$D$46)/10^6 + OILTrade!$E$5</f>
        <v>3.750894437254261</v>
      </c>
      <c r="P891" s="421">
        <f>DelivOIL!$C94*DelivOIL!X$78^5/(Conv!$I$5*Conv!$D$46)/10^6 + OILTrade!$E$5</f>
        <v>3.750894437254261</v>
      </c>
      <c r="Q891" s="421">
        <f>DelivOIL!$C94*DelivOIL!Y$78^5/(Conv!$I$5*Conv!$D$46)/10^6 + OILTrade!$E$5</f>
        <v>3.750894437254261</v>
      </c>
      <c r="S891" s="395"/>
      <c r="T891" s="395"/>
      <c r="U891" s="395"/>
      <c r="V891" s="395"/>
      <c r="W891" s="395"/>
      <c r="X891" s="395"/>
      <c r="Y891" s="395"/>
      <c r="Z891" s="395"/>
      <c r="AA891" s="395"/>
      <c r="AB891" s="395"/>
      <c r="AC891" s="395"/>
    </row>
    <row r="892" spans="2:29">
      <c r="B892" s="376" t="str">
        <f>IF(OR(LEFT(Commodities!B$102,1)="*",LEFT(Technologies!B$714,1)="*"),"*","R2")</f>
        <v>*</v>
      </c>
      <c r="C892" s="376" t="str">
        <f>Technologies!C$764</f>
        <v>XIINDPFSP3</v>
      </c>
      <c r="D892" s="376" t="str">
        <f>Technologies!D714</f>
        <v>Delivery of Imported Petrochemical Feedstocks</v>
      </c>
      <c r="E892" s="415" t="str">
        <f>Commodities!C$352</f>
        <v>PFSP3</v>
      </c>
      <c r="F892" s="415" t="str">
        <f>Commodities!C102</f>
        <v>INDPFS</v>
      </c>
      <c r="G892" s="422">
        <v>1</v>
      </c>
      <c r="H892" s="421">
        <f>DelivOIL!$C95*DelivOIL!P$78^5/(Conv!$I$5*Conv!$D$46)/10^6 + OILTrade!$E$5</f>
        <v>0.27953835162768936</v>
      </c>
      <c r="I892" s="421">
        <f>DelivOIL!$C95*DelivOIL!Q$78^5/(Conv!$I$5*Conv!$D$46)/10^6 + OILTrade!$E$5</f>
        <v>0.27806116165464856</v>
      </c>
      <c r="J892" s="421">
        <f>DelivOIL!$C95*DelivOIL!R$78^5/(Conv!$I$5*Conv!$D$46)/10^6 + OILTrade!$E$5</f>
        <v>0.29252281443095907</v>
      </c>
      <c r="K892" s="421">
        <f>DelivOIL!$C95*DelivOIL!S$78^5/(Conv!$I$5*Conv!$D$46)/10^6 + OILTrade!$E$5</f>
        <v>0.35237887997515394</v>
      </c>
      <c r="L892" s="421">
        <f>DelivOIL!$C95*DelivOIL!T$78^5/(Conv!$I$5*Conv!$D$46)/10^6 + OILTrade!$E$5</f>
        <v>0.32315760306085045</v>
      </c>
      <c r="M892" s="421">
        <f>DelivOIL!$C95*DelivOIL!U$78^5/(Conv!$I$5*Conv!$D$46)/10^6 + OILTrade!$E$5</f>
        <v>0.28638113952965516</v>
      </c>
      <c r="N892" s="421">
        <f>DelivOIL!$C95*DelivOIL!V$78^5/(Conv!$I$5*Conv!$D$46)/10^6 + OILTrade!$E$5</f>
        <v>0.28638113952965516</v>
      </c>
      <c r="O892" s="421">
        <f>DelivOIL!$C95*DelivOIL!W$78^5/(Conv!$I$5*Conv!$D$46)/10^6 + OILTrade!$E$5</f>
        <v>0.28638113952965516</v>
      </c>
      <c r="P892" s="421">
        <f>DelivOIL!$C95*DelivOIL!X$78^5/(Conv!$I$5*Conv!$D$46)/10^6 + OILTrade!$E$5</f>
        <v>0.28638113952965516</v>
      </c>
      <c r="Q892" s="421">
        <f>DelivOIL!$C95*DelivOIL!Y$78^5/(Conv!$I$5*Conv!$D$46)/10^6 + OILTrade!$E$5</f>
        <v>0.28638113952965516</v>
      </c>
      <c r="S892" s="395"/>
      <c r="T892" s="395"/>
      <c r="U892" s="395"/>
      <c r="V892" s="395"/>
      <c r="W892" s="395"/>
      <c r="X892" s="395"/>
      <c r="Y892" s="395"/>
      <c r="Z892" s="395"/>
      <c r="AA892" s="395"/>
      <c r="AB892" s="395"/>
      <c r="AC892" s="395"/>
    </row>
    <row r="893" spans="2:29">
      <c r="B893" s="376" t="str">
        <f>IF(OR(LEFT(Commodities!B$332,1)="*",LEFT(Technologies!B$715,1)="*"),"*","R2")</f>
        <v>*</v>
      </c>
      <c r="C893" s="376" t="str">
        <f>Technologies!C$765</f>
        <v>XIRESRFLP3</v>
      </c>
      <c r="D893" s="376" t="str">
        <f>Technologies!D715</f>
        <v>Delivery of Imported Low Sulfur Residual Fuel Oil to Residential Sector</v>
      </c>
      <c r="E893" s="415" t="str">
        <f>Commodities!C$354</f>
        <v>RFLP3</v>
      </c>
      <c r="F893" s="415" t="str">
        <f>Commodities!C103</f>
        <v>RESRFL</v>
      </c>
      <c r="G893" s="422">
        <v>1</v>
      </c>
      <c r="H893" s="421">
        <f>DelivOIL!$C96*DelivOIL!P$78^5/(Conv!$I$5*Conv!$D$46)/10^6 + OILTrade!$E$5</f>
        <v>0.65452882332336948</v>
      </c>
      <c r="I893" s="421">
        <f>DelivOIL!$C96*DelivOIL!Q$78^5/(Conv!$I$5*Conv!$D$46)/10^6 + OILTrade!$E$5</f>
        <v>0.65107003704502997</v>
      </c>
      <c r="J893" s="421">
        <f>DelivOIL!$C96*DelivOIL!R$78^5/(Conv!$I$5*Conv!$D$46)/10^6 + OILTrade!$E$5</f>
        <v>0.68493146793590332</v>
      </c>
      <c r="K893" s="421">
        <f>DelivOIL!$C96*DelivOIL!S$78^5/(Conv!$I$5*Conv!$D$46)/10^6 + OILTrade!$E$5</f>
        <v>0.82508225555157899</v>
      </c>
      <c r="L893" s="421">
        <f>DelivOIL!$C96*DelivOIL!T$78^5/(Conv!$I$5*Conv!$D$46)/10^6 + OILTrade!$E$5</f>
        <v>0.75666170472784411</v>
      </c>
      <c r="M893" s="421">
        <f>DelivOIL!$C96*DelivOIL!U$78^5/(Conv!$I$5*Conv!$D$46)/10^6 + OILTrade!$E$5</f>
        <v>0.67055096084992349</v>
      </c>
      <c r="N893" s="421">
        <f>DelivOIL!$C96*DelivOIL!V$78^5/(Conv!$I$5*Conv!$D$46)/10^6 + OILTrade!$E$5</f>
        <v>0.67055096084992349</v>
      </c>
      <c r="O893" s="421">
        <f>DelivOIL!$C96*DelivOIL!W$78^5/(Conv!$I$5*Conv!$D$46)/10^6 + OILTrade!$E$5</f>
        <v>0.67055096084992349</v>
      </c>
      <c r="P893" s="421">
        <f>DelivOIL!$C96*DelivOIL!X$78^5/(Conv!$I$5*Conv!$D$46)/10^6 + OILTrade!$E$5</f>
        <v>0.67055096084992349</v>
      </c>
      <c r="Q893" s="421">
        <f>DelivOIL!$C96*DelivOIL!Y$78^5/(Conv!$I$5*Conv!$D$46)/10^6 + OILTrade!$E$5</f>
        <v>0.67055096084992349</v>
      </c>
      <c r="S893" s="395"/>
      <c r="T893" s="395"/>
      <c r="U893" s="395"/>
      <c r="V893" s="395"/>
      <c r="W893" s="395"/>
      <c r="X893" s="395"/>
      <c r="Y893" s="395"/>
      <c r="Z893" s="395"/>
      <c r="AA893" s="395"/>
      <c r="AB893" s="395"/>
      <c r="AC893" s="395"/>
    </row>
    <row r="894" spans="2:29">
      <c r="B894" s="376" t="str">
        <f>IF(OR(LEFT(Commodities!B$332,1)="*",LEFT(Technologies!B$716,1)="*"),"*","R2")</f>
        <v>*</v>
      </c>
      <c r="C894" s="376" t="str">
        <f>Technologies!C$766</f>
        <v>XICOMRFLP3</v>
      </c>
      <c r="D894" s="376" t="str">
        <f>Technologies!D716</f>
        <v>Delivery of Imported Low Sulfur Residual Fuel Oil to Commercial Sector</v>
      </c>
      <c r="E894" s="415" t="str">
        <f>Commodities!C$354</f>
        <v>RFLP3</v>
      </c>
      <c r="F894" s="415" t="str">
        <f>Commodities!C104</f>
        <v>COMRFL</v>
      </c>
      <c r="G894" s="422">
        <v>1</v>
      </c>
      <c r="H894" s="421">
        <f>DelivOIL!$C96*DelivOIL!P$78^5/(Conv!$I$5*Conv!$D$46)/10^6 + OILTrade!$E$5</f>
        <v>0.65452882332336948</v>
      </c>
      <c r="I894" s="421">
        <f>DelivOIL!$C96*DelivOIL!Q$78^5/(Conv!$I$5*Conv!$D$46)/10^6 + OILTrade!$E$5</f>
        <v>0.65107003704502997</v>
      </c>
      <c r="J894" s="421">
        <f>DelivOIL!$C96*DelivOIL!R$78^5/(Conv!$I$5*Conv!$D$46)/10^6 + OILTrade!$E$5</f>
        <v>0.68493146793590332</v>
      </c>
      <c r="K894" s="421">
        <f>DelivOIL!$C96*DelivOIL!S$78^5/(Conv!$I$5*Conv!$D$46)/10^6 + OILTrade!$E$5</f>
        <v>0.82508225555157899</v>
      </c>
      <c r="L894" s="421">
        <f>DelivOIL!$C96*DelivOIL!T$78^5/(Conv!$I$5*Conv!$D$46)/10^6 + OILTrade!$E$5</f>
        <v>0.75666170472784411</v>
      </c>
      <c r="M894" s="421">
        <f>DelivOIL!$C96*DelivOIL!U$78^5/(Conv!$I$5*Conv!$D$46)/10^6 + OILTrade!$E$5</f>
        <v>0.67055096084992349</v>
      </c>
      <c r="N894" s="421">
        <f>DelivOIL!$C96*DelivOIL!V$78^5/(Conv!$I$5*Conv!$D$46)/10^6 + OILTrade!$E$5</f>
        <v>0.67055096084992349</v>
      </c>
      <c r="O894" s="421">
        <f>DelivOIL!$C96*DelivOIL!W$78^5/(Conv!$I$5*Conv!$D$46)/10^6 + OILTrade!$E$5</f>
        <v>0.67055096084992349</v>
      </c>
      <c r="P894" s="421">
        <f>DelivOIL!$C96*DelivOIL!X$78^5/(Conv!$I$5*Conv!$D$46)/10^6 + OILTrade!$E$5</f>
        <v>0.67055096084992349</v>
      </c>
      <c r="Q894" s="421">
        <f>DelivOIL!$C96*DelivOIL!Y$78^5/(Conv!$I$5*Conv!$D$46)/10^6 + OILTrade!$E$5</f>
        <v>0.67055096084992349</v>
      </c>
      <c r="S894" s="395"/>
      <c r="T894" s="395"/>
      <c r="U894" s="395"/>
      <c r="V894" s="395"/>
      <c r="W894" s="395"/>
      <c r="X894" s="395"/>
      <c r="Y894" s="395"/>
      <c r="Z894" s="395"/>
      <c r="AA894" s="395"/>
      <c r="AB894" s="395"/>
      <c r="AC894" s="395"/>
    </row>
    <row r="895" spans="2:29">
      <c r="B895" s="376" t="str">
        <f>IF(OR(LEFT(Commodities!B$332,1)="*",LEFT(Technologies!B$717,1)="*"),"*","R2")</f>
        <v>R2</v>
      </c>
      <c r="C895" s="376" t="str">
        <f>Technologies!C$767</f>
        <v>XIINDRFLP3</v>
      </c>
      <c r="D895" s="376" t="str">
        <f>Technologies!D717</f>
        <v>Delivery of Imported Low Sulfur Residual Fuel Oil to Industrial Sector</v>
      </c>
      <c r="E895" s="415" t="str">
        <f>Commodities!C$354</f>
        <v>RFLP3</v>
      </c>
      <c r="F895" s="415" t="str">
        <f>Commodities!C105</f>
        <v>INDRFL</v>
      </c>
      <c r="G895" s="422">
        <v>1</v>
      </c>
      <c r="H895" s="421">
        <f>DelivOIL!$C97*DelivOIL!P$78^5/(Conv!$I$5*Conv!$D$46)/10^6 + OILTrade!$E$5</f>
        <v>0.51135064322138224</v>
      </c>
      <c r="I895" s="421">
        <f>DelivOIL!$C97*DelivOIL!Q$78^5/(Conv!$I$5*Conv!$D$46)/10^6 + OILTrade!$E$5</f>
        <v>0.50864846644142947</v>
      </c>
      <c r="J895" s="421">
        <f>DelivOIL!$C97*DelivOIL!R$78^5/(Conv!$I$5*Conv!$D$46)/10^6 + OILTrade!$E$5</f>
        <v>0.53510270932492443</v>
      </c>
      <c r="K895" s="421">
        <f>DelivOIL!$C97*DelivOIL!S$78^5/(Conv!$I$5*Conv!$D$46)/10^6 + OILTrade!$E$5</f>
        <v>0.64459551214967092</v>
      </c>
      <c r="L895" s="421">
        <f>DelivOIL!$C97*DelivOIL!T$78^5/(Conv!$I$5*Conv!$D$46)/10^6 + OILTrade!$E$5</f>
        <v>0.59114195681862802</v>
      </c>
      <c r="M895" s="421">
        <f>DelivOIL!$C97*DelivOIL!U$78^5/(Conv!$I$5*Conv!$D$46)/10^6 + OILTrade!$E$5</f>
        <v>0.52386793816400257</v>
      </c>
      <c r="N895" s="421">
        <f>DelivOIL!$C97*DelivOIL!V$78^5/(Conv!$I$5*Conv!$D$46)/10^6 + OILTrade!$E$5</f>
        <v>0.52386793816400257</v>
      </c>
      <c r="O895" s="421">
        <f>DelivOIL!$C97*DelivOIL!W$78^5/(Conv!$I$5*Conv!$D$46)/10^6 + OILTrade!$E$5</f>
        <v>0.52386793816400257</v>
      </c>
      <c r="P895" s="421">
        <f>DelivOIL!$C97*DelivOIL!X$78^5/(Conv!$I$5*Conv!$D$46)/10^6 + OILTrade!$E$5</f>
        <v>0.52386793816400257</v>
      </c>
      <c r="Q895" s="421">
        <f>DelivOIL!$C97*DelivOIL!Y$78^5/(Conv!$I$5*Conv!$D$46)/10^6 + OILTrade!$E$5</f>
        <v>0.52386793816400257</v>
      </c>
      <c r="S895" s="395"/>
      <c r="T895" s="395"/>
      <c r="U895" s="395"/>
      <c r="V895" s="395"/>
      <c r="W895" s="395"/>
      <c r="X895" s="395"/>
      <c r="Y895" s="395"/>
      <c r="Z895" s="395"/>
      <c r="AA895" s="395"/>
      <c r="AB895" s="395"/>
      <c r="AC895" s="395"/>
    </row>
    <row r="896" spans="2:29">
      <c r="B896" s="376" t="str">
        <f>IF(OR(LEFT(Commodities!B$332,1)="*",LEFT(Technologies!B$718,1)="*"),"*","R2")</f>
        <v>*</v>
      </c>
      <c r="C896" s="376" t="str">
        <f>Technologies!C$768</f>
        <v>XIELCRFLP3</v>
      </c>
      <c r="D896" s="376" t="str">
        <f>Technologies!D718</f>
        <v>Delivery of Imported Low Sulfur Residual Fuel Oil to Electricity Sector</v>
      </c>
      <c r="E896" s="415" t="str">
        <f>Commodities!C$354</f>
        <v>RFLP3</v>
      </c>
      <c r="F896" s="415" t="str">
        <f>Commodities!C106</f>
        <v>ELCRFL</v>
      </c>
      <c r="G896" s="422">
        <v>1</v>
      </c>
      <c r="H896" s="421">
        <f>DelivOIL!$C98*DelivOIL!P$78^5/(Conv!$I$5*Conv!$D$46)/10^6 + OILTrade!$E$5</f>
        <v>0</v>
      </c>
      <c r="I896" s="421">
        <f>DelivOIL!$C98*DelivOIL!Q$78^5/(Conv!$I$5*Conv!$D$46)/10^6 + OILTrade!$E$5</f>
        <v>0</v>
      </c>
      <c r="J896" s="421">
        <f>DelivOIL!$C98*DelivOIL!R$78^5/(Conv!$I$5*Conv!$D$46)/10^6 + OILTrade!$E$5</f>
        <v>0</v>
      </c>
      <c r="K896" s="421">
        <f>DelivOIL!$C98*DelivOIL!S$78^5/(Conv!$I$5*Conv!$D$46)/10^6 + OILTrade!$E$5</f>
        <v>0</v>
      </c>
      <c r="L896" s="421">
        <f>DelivOIL!$C98*DelivOIL!T$78^5/(Conv!$I$5*Conv!$D$46)/10^6 + OILTrade!$E$5</f>
        <v>0</v>
      </c>
      <c r="M896" s="421">
        <f>DelivOIL!$C98*DelivOIL!U$78^5/(Conv!$I$5*Conv!$D$46)/10^6 + OILTrade!$E$5</f>
        <v>0</v>
      </c>
      <c r="N896" s="421">
        <f>DelivOIL!$C98*DelivOIL!V$78^5/(Conv!$I$5*Conv!$D$46)/10^6 + OILTrade!$E$5</f>
        <v>0</v>
      </c>
      <c r="O896" s="421">
        <f>DelivOIL!$C98*DelivOIL!W$78^5/(Conv!$I$5*Conv!$D$46)/10^6 + OILTrade!$E$5</f>
        <v>0</v>
      </c>
      <c r="P896" s="421">
        <f>DelivOIL!$C98*DelivOIL!X$78^5/(Conv!$I$5*Conv!$D$46)/10^6 + OILTrade!$E$5</f>
        <v>0</v>
      </c>
      <c r="Q896" s="421">
        <f>DelivOIL!$C98*DelivOIL!Y$78^5/(Conv!$I$5*Conv!$D$46)/10^6 + OILTrade!$E$5</f>
        <v>0</v>
      </c>
      <c r="S896" s="395"/>
      <c r="T896" s="395"/>
      <c r="U896" s="395"/>
      <c r="V896" s="395"/>
      <c r="W896" s="395"/>
      <c r="X896" s="395"/>
      <c r="Y896" s="395"/>
      <c r="Z896" s="395"/>
      <c r="AA896" s="395"/>
      <c r="AB896" s="395"/>
      <c r="AC896" s="395"/>
    </row>
    <row r="897" spans="2:29">
      <c r="B897" s="376" t="str">
        <f>IF(OR(LEFT(Commodities!B$331,1)="*",LEFT(Technologies!B$719,1)="*"),"*","R2")</f>
        <v>*</v>
      </c>
      <c r="C897" s="376" t="str">
        <f>Technologies!C$769</f>
        <v>XITRNRFHP3</v>
      </c>
      <c r="D897" s="376" t="str">
        <f>Technologies!D719</f>
        <v>Delivery of Imported High Sulfur Residual Fuel Oil to Transportation Sector</v>
      </c>
      <c r="E897" s="415" t="str">
        <f>Commodities!C126</f>
        <v>PFSR3</v>
      </c>
      <c r="F897" s="415" t="str">
        <f>Commodities!C107</f>
        <v>TRNRFH</v>
      </c>
      <c r="G897" s="422">
        <v>1</v>
      </c>
      <c r="H897" s="421">
        <f>DelivOIL!$C99*DelivOIL!P$78^5/(Conv!$I$5*Conv!$D$46)/10^6 + OILTrade!$E$5</f>
        <v>3.8999009056350769</v>
      </c>
      <c r="I897" s="421">
        <f>DelivOIL!$C99*DelivOIL!Q$78^5/(Conv!$I$5*Conv!$D$46)/10^6 + OILTrade!$E$5</f>
        <v>3.8792923040599705</v>
      </c>
      <c r="J897" s="421">
        <f>DelivOIL!$C99*DelivOIL!R$78^5/(Conv!$I$5*Conv!$D$46)/10^6 + OILTrade!$E$5</f>
        <v>4.0810499964514246</v>
      </c>
      <c r="K897" s="421">
        <f>DelivOIL!$C99*DelivOIL!S$78^5/(Conv!$I$5*Conv!$D$46)/10^6 + OILTrade!$E$5</f>
        <v>4.9161151059948258</v>
      </c>
      <c r="L897" s="421">
        <f>DelivOIL!$C99*DelivOIL!T$78^5/(Conv!$I$5*Conv!$D$46)/10^6 + OILTrade!$E$5</f>
        <v>4.5084426573367375</v>
      </c>
      <c r="M897" s="421">
        <f>DelivOIL!$C99*DelivOIL!U$78^5/(Conv!$I$5*Conv!$D$46)/10^6 + OILTrade!$E$5</f>
        <v>3.9953661417307949</v>
      </c>
      <c r="N897" s="421">
        <f>DelivOIL!$C99*DelivOIL!V$78^5/(Conv!$I$5*Conv!$D$46)/10^6 + OILTrade!$E$5</f>
        <v>3.9953661417307949</v>
      </c>
      <c r="O897" s="421">
        <f>DelivOIL!$C99*DelivOIL!W$78^5/(Conv!$I$5*Conv!$D$46)/10^6 + OILTrade!$E$5</f>
        <v>3.9953661417307949</v>
      </c>
      <c r="P897" s="421">
        <f>DelivOIL!$C99*DelivOIL!X$78^5/(Conv!$I$5*Conv!$D$46)/10^6 + OILTrade!$E$5</f>
        <v>3.9953661417307949</v>
      </c>
      <c r="Q897" s="421">
        <f>DelivOIL!$C99*DelivOIL!Y$78^5/(Conv!$I$5*Conv!$D$46)/10^6 + OILTrade!$E$5</f>
        <v>3.9953661417307949</v>
      </c>
      <c r="S897" s="395"/>
      <c r="T897" s="395"/>
      <c r="U897" s="395"/>
      <c r="V897" s="395"/>
      <c r="W897" s="395"/>
      <c r="X897" s="395"/>
      <c r="Y897" s="395"/>
      <c r="Z897" s="395"/>
      <c r="AA897" s="395"/>
      <c r="AB897" s="395"/>
      <c r="AC897" s="395"/>
    </row>
    <row r="898" spans="2:29">
      <c r="B898" s="376" t="str">
        <f>IF(OR(LEFT(Commodities!B$331,1)="*",LEFT(Technologies!B$720,1)="*"),"*","R2")</f>
        <v>*</v>
      </c>
      <c r="C898" s="376" t="str">
        <f>Technologies!C$770</f>
        <v>XIELCRFHP3</v>
      </c>
      <c r="D898" s="376" t="str">
        <f>Technologies!D720</f>
        <v>Delivery of Imported High Sulfur Residual Fuel Oil to Electricity Sector</v>
      </c>
      <c r="E898" s="415" t="str">
        <f>Commodities!C127</f>
        <v>RFHR3</v>
      </c>
      <c r="F898" s="415" t="str">
        <f>Commodities!C108</f>
        <v>ELCRFH</v>
      </c>
      <c r="G898" s="422">
        <v>1</v>
      </c>
      <c r="H898" s="421">
        <f>DelivOIL!$C100*DelivOIL!P$78^5/(Conv!$I$5*Conv!$D$46)/10^6 + OILTrade!$E$5</f>
        <v>1.159061457968467</v>
      </c>
      <c r="I898" s="421">
        <f>DelivOIL!$C100*DelivOIL!Q$78^5/(Conv!$I$5*Conv!$D$46)/10^6 + OILTrade!$E$5</f>
        <v>1.1529365239339078</v>
      </c>
      <c r="J898" s="421">
        <f>DelivOIL!$C100*DelivOIL!R$78^5/(Conv!$I$5*Conv!$D$46)/10^6 + OILTrade!$E$5</f>
        <v>1.2128994744698294</v>
      </c>
      <c r="K898" s="421">
        <f>DelivOIL!$C100*DelivOIL!S$78^5/(Conv!$I$5*Conv!$D$46)/10^6 + OILTrade!$E$5</f>
        <v>1.4610831608725885</v>
      </c>
      <c r="L898" s="421">
        <f>DelivOIL!$C100*DelivOIL!T$78^5/(Conv!$I$5*Conv!$D$46)/10^6 + OILTrade!$E$5</f>
        <v>1.3399217687888909</v>
      </c>
      <c r="M898" s="421">
        <f>DelivOIL!$C100*DelivOIL!U$78^5/(Conv!$I$5*Conv!$D$46)/10^6 + OILTrade!$E$5</f>
        <v>1.1874339931717401</v>
      </c>
      <c r="N898" s="421">
        <f>DelivOIL!$C100*DelivOIL!V$78^5/(Conv!$I$5*Conv!$D$46)/10^6 + OILTrade!$E$5</f>
        <v>1.1874339931717401</v>
      </c>
      <c r="O898" s="421">
        <f>DelivOIL!$C100*DelivOIL!W$78^5/(Conv!$I$5*Conv!$D$46)/10^6 + OILTrade!$E$5</f>
        <v>1.1874339931717401</v>
      </c>
      <c r="P898" s="421">
        <f>DelivOIL!$C100*DelivOIL!X$78^5/(Conv!$I$5*Conv!$D$46)/10^6 + OILTrade!$E$5</f>
        <v>1.1874339931717401</v>
      </c>
      <c r="Q898" s="421">
        <f>DelivOIL!$C100*DelivOIL!Y$78^5/(Conv!$I$5*Conv!$D$46)/10^6 + OILTrade!$E$5</f>
        <v>1.1874339931717401</v>
      </c>
      <c r="S898" s="395"/>
      <c r="T898" s="395"/>
      <c r="U898" s="395"/>
      <c r="V898" s="395"/>
      <c r="W898" s="395"/>
      <c r="X898" s="395"/>
      <c r="Y898" s="395"/>
      <c r="Z898" s="395"/>
      <c r="AA898" s="395"/>
      <c r="AB898" s="395"/>
      <c r="AC898" s="395"/>
    </row>
    <row r="899" spans="2:29">
      <c r="B899" s="378" t="s">
        <v>1086</v>
      </c>
      <c r="C899" s="378"/>
      <c r="D899" s="378"/>
      <c r="E899" s="414"/>
      <c r="F899" s="414"/>
      <c r="G899" s="418"/>
      <c r="H899" s="392"/>
      <c r="I899" s="392"/>
      <c r="J899" s="392"/>
      <c r="K899" s="392"/>
      <c r="L899" s="392"/>
      <c r="M899" s="392"/>
      <c r="N899" s="392"/>
      <c r="O899" s="392"/>
      <c r="P899" s="392"/>
      <c r="Q899" s="392"/>
    </row>
    <row r="900" spans="2:29">
      <c r="B900" s="376" t="str">
        <f>IF(LEFT(Technologies!B$702,1)="*","*","R3")</f>
        <v>R3</v>
      </c>
      <c r="C900" s="376" t="str">
        <f>Technologies!C$747</f>
        <v>XITRGSLCP3</v>
      </c>
      <c r="D900" s="376" t="str">
        <f>Technologies!D702</f>
        <v>Delivery of Imported Conventional Gasoline</v>
      </c>
      <c r="E900" s="415" t="str">
        <f>Commodities!C$347</f>
        <v>GSCP3</v>
      </c>
      <c r="F900" s="415" t="str">
        <f>Commodities!C85</f>
        <v>TRGSLC</v>
      </c>
      <c r="G900" s="422">
        <v>1</v>
      </c>
      <c r="H900" s="421">
        <f>DelivOIL!$D77*DelivOIL!P$79^5/(Conv!$I$5*Conv!$D$46)/10^6 + OILTrade!$F$6</f>
        <v>3.2385540737354233</v>
      </c>
      <c r="I900" s="421">
        <f>DelivOIL!$D77*DelivOIL!Q$79^5/(Conv!$I$5*Conv!$D$46)/10^6 + OILTrade!$F$6</f>
        <v>2.8988744243739593</v>
      </c>
      <c r="J900" s="421">
        <f>DelivOIL!$D77*DelivOIL!R$79^5/(Conv!$I$5*Conv!$D$46)/10^6 + OILTrade!$F$6</f>
        <v>3.2883106312974966</v>
      </c>
      <c r="K900" s="421">
        <f>DelivOIL!$D77*DelivOIL!S$79^5/(Conv!$I$5*Conv!$D$46)/10^6 + OILTrade!$F$6</f>
        <v>3.7657689436739297</v>
      </c>
      <c r="L900" s="421">
        <f>DelivOIL!$D77*DelivOIL!T$79^5/(Conv!$I$5*Conv!$D$46)/10^6 + OILTrade!$F$6</f>
        <v>3.4451566955628401</v>
      </c>
      <c r="M900" s="421">
        <f>DelivOIL!$D77*DelivOIL!U$79^5/(Conv!$I$5*Conv!$D$46)/10^6 + OILTrade!$F$6</f>
        <v>3.2867226684291446</v>
      </c>
      <c r="N900" s="421">
        <f>DelivOIL!$D77*DelivOIL!V$79^5/(Conv!$I$5*Conv!$D$46)/10^6 + OILTrade!$F$6</f>
        <v>3.2867226684291446</v>
      </c>
      <c r="O900" s="421">
        <f>DelivOIL!$D77*DelivOIL!W$79^5/(Conv!$I$5*Conv!$D$46)/10^6 + OILTrade!$F$6</f>
        <v>3.2867226684291446</v>
      </c>
      <c r="P900" s="421">
        <f>DelivOIL!$D77*DelivOIL!X$79^5/(Conv!$I$5*Conv!$D$46)/10^6 + OILTrade!$F$6</f>
        <v>3.2867226684291446</v>
      </c>
      <c r="Q900" s="421">
        <f>DelivOIL!$D77*DelivOIL!Y$79^5/(Conv!$I$5*Conv!$D$46)/10^6 + OILTrade!$F$6</f>
        <v>3.2867226684291446</v>
      </c>
      <c r="S900" s="395"/>
      <c r="T900" s="395"/>
      <c r="U900" s="395"/>
      <c r="V900" s="395"/>
      <c r="W900" s="395"/>
      <c r="X900" s="395"/>
      <c r="Y900" s="395"/>
      <c r="Z900" s="395"/>
      <c r="AA900" s="395"/>
      <c r="AB900" s="395"/>
      <c r="AC900" s="395"/>
    </row>
    <row r="901" spans="2:29">
      <c r="B901" s="376" t="str">
        <f>IF(LEFT(Technologies!B$703,1)="*","*","R3")</f>
        <v>R3</v>
      </c>
      <c r="C901" s="376" t="str">
        <f>Technologies!C$748</f>
        <v>XITRGSLRP3</v>
      </c>
      <c r="D901" s="376" t="str">
        <f>Technologies!D703</f>
        <v>Delivery of Imported Reformulated Gasoline</v>
      </c>
      <c r="E901" s="415" t="str">
        <f>Commodities!C$348</f>
        <v>GSRP3</v>
      </c>
      <c r="F901" s="415" t="str">
        <f>Commodities!C86</f>
        <v>TRGSLR</v>
      </c>
      <c r="G901" s="422">
        <v>1</v>
      </c>
      <c r="H901" s="421">
        <f>DelivOIL!$D78*DelivOIL!P$79^5/(Conv!$I$5*Conv!$D$46)/10^6 + OILTrade!$F$6</f>
        <v>3.1771919965488564</v>
      </c>
      <c r="I901" s="421">
        <f>DelivOIL!$D78*DelivOIL!Q$79^5/(Conv!$I$5*Conv!$D$46)/10^6 + OILTrade!$F$6</f>
        <v>2.843948382648978</v>
      </c>
      <c r="J901" s="421">
        <f>DelivOIL!$D78*DelivOIL!R$79^5/(Conv!$I$5*Conv!$D$46)/10^6 + OILTrade!$F$6</f>
        <v>3.2260057982834383</v>
      </c>
      <c r="K901" s="421">
        <f>DelivOIL!$D78*DelivOIL!S$79^5/(Conv!$I$5*Conv!$D$46)/10^6 + OILTrade!$F$6</f>
        <v>3.6944175321095809</v>
      </c>
      <c r="L901" s="421">
        <f>DelivOIL!$D78*DelivOIL!T$79^5/(Conv!$I$5*Conv!$D$46)/10^6 + OILTrade!$F$6</f>
        <v>3.3798800423837543</v>
      </c>
      <c r="M901" s="421">
        <f>DelivOIL!$D78*DelivOIL!U$79^5/(Conv!$I$5*Conv!$D$46)/10^6 + OILTrade!$F$6</f>
        <v>3.2244479231325913</v>
      </c>
      <c r="N901" s="421">
        <f>DelivOIL!$D78*DelivOIL!V$79^5/(Conv!$I$5*Conv!$D$46)/10^6 + OILTrade!$F$6</f>
        <v>3.2244479231325913</v>
      </c>
      <c r="O901" s="421">
        <f>DelivOIL!$D78*DelivOIL!W$79^5/(Conv!$I$5*Conv!$D$46)/10^6 + OILTrade!$F$6</f>
        <v>3.2244479231325913</v>
      </c>
      <c r="P901" s="421">
        <f>DelivOIL!$D78*DelivOIL!X$79^5/(Conv!$I$5*Conv!$D$46)/10^6 + OILTrade!$F$6</f>
        <v>3.2244479231325913</v>
      </c>
      <c r="Q901" s="421">
        <f>DelivOIL!$D78*DelivOIL!Y$79^5/(Conv!$I$5*Conv!$D$46)/10^6 + OILTrade!$F$6</f>
        <v>3.2244479231325913</v>
      </c>
      <c r="S901" s="395"/>
      <c r="T901" s="395"/>
      <c r="U901" s="395"/>
      <c r="V901" s="395"/>
      <c r="W901" s="395"/>
      <c r="X901" s="395"/>
      <c r="Y901" s="395"/>
      <c r="Z901" s="395"/>
      <c r="AA901" s="395"/>
      <c r="AB901" s="395"/>
      <c r="AC901" s="395"/>
    </row>
    <row r="902" spans="2:29">
      <c r="B902" s="376" t="str">
        <f>IF(OR(LEFT(Commodities!B$65,1)="*",LEFT(Technologies!B$233,1)="*"),"*","R3")</f>
        <v>R3</v>
      </c>
      <c r="C902" s="376" t="str">
        <f>Technologies!C$749</f>
        <v>XIRESDSLP3</v>
      </c>
      <c r="D902" s="376" t="str">
        <f>Technologies!D233</f>
        <v>Delivery of Imported Distillate-Heating Oil No. 2 to the Residential Sector</v>
      </c>
      <c r="E902" s="415" t="str">
        <f>Commodities!C$69</f>
        <v>DSHP3</v>
      </c>
      <c r="F902" s="415" t="str">
        <f>Commodities!C87</f>
        <v>RESDSL</v>
      </c>
      <c r="G902" s="422">
        <v>1</v>
      </c>
      <c r="H902" s="421">
        <f>DelivOIL!$D80*DelivOIL!P$79^5/(Conv!$I$5*Conv!$D$46)/10^6 + OILTrade!$F$6</f>
        <v>2.7612934733954657</v>
      </c>
      <c r="I902" s="421">
        <f>DelivOIL!$D80*DelivOIL!Q$79^5/(Conv!$I$5*Conv!$D$46)/10^6 + OILTrade!$F$6</f>
        <v>2.4716718776241122</v>
      </c>
      <c r="J902" s="421">
        <f>DelivOIL!$D80*DelivOIL!R$79^5/(Conv!$I$5*Conv!$D$46)/10^6 + OILTrade!$F$6</f>
        <v>2.8037174856326019</v>
      </c>
      <c r="K902" s="421">
        <f>DelivOIL!$D80*DelivOIL!S$79^5/(Conv!$I$5*Conv!$D$46)/10^6 + OILTrade!$F$6</f>
        <v>3.210813520395666</v>
      </c>
      <c r="L902" s="421">
        <f>DelivOIL!$D80*DelivOIL!T$79^5/(Conv!$I$5*Conv!$D$46)/10^6 + OILTrade!$F$6</f>
        <v>2.9374493930588423</v>
      </c>
      <c r="M902" s="421">
        <f>DelivOIL!$D80*DelivOIL!U$79^5/(Conv!$I$5*Conv!$D$46)/10^6 + OILTrade!$F$6</f>
        <v>2.8023635383448493</v>
      </c>
      <c r="N902" s="421">
        <f>DelivOIL!$D80*DelivOIL!V$79^5/(Conv!$I$5*Conv!$D$46)/10^6 + OILTrade!$F$6</f>
        <v>2.8023635383448493</v>
      </c>
      <c r="O902" s="421">
        <f>DelivOIL!$D80*DelivOIL!W$79^5/(Conv!$I$5*Conv!$D$46)/10^6 + OILTrade!$F$6</f>
        <v>2.8023635383448493</v>
      </c>
      <c r="P902" s="421">
        <f>DelivOIL!$D80*DelivOIL!X$79^5/(Conv!$I$5*Conv!$D$46)/10^6 + OILTrade!$F$6</f>
        <v>2.8023635383448493</v>
      </c>
      <c r="Q902" s="421">
        <f>DelivOIL!$D80*DelivOIL!Y$79^5/(Conv!$I$5*Conv!$D$46)/10^6 + OILTrade!$F$6</f>
        <v>2.8023635383448493</v>
      </c>
      <c r="S902" s="395"/>
      <c r="T902" s="395"/>
      <c r="U902" s="395"/>
      <c r="V902" s="395"/>
      <c r="W902" s="395"/>
      <c r="X902" s="395"/>
      <c r="Y902" s="395"/>
      <c r="Z902" s="395"/>
      <c r="AA902" s="395"/>
      <c r="AB902" s="395"/>
      <c r="AC902" s="395"/>
    </row>
    <row r="903" spans="2:29">
      <c r="B903" s="376" t="str">
        <f>IF(OR(LEFT(Commodities!B$65,1)="*",LEFT(Technologies!B$234,1)="*"),"*","R3")</f>
        <v>R3</v>
      </c>
      <c r="C903" s="376" t="str">
        <f>Technologies!C$750</f>
        <v>XICOMDSLP3</v>
      </c>
      <c r="D903" s="376" t="str">
        <f>Technologies!D234</f>
        <v>Delivery of Imported Distillate-Heating Oil No. 2 to the Commercial Sector</v>
      </c>
      <c r="E903" s="415" t="str">
        <f>Commodities!C$69</f>
        <v>DSHP3</v>
      </c>
      <c r="F903" s="415" t="str">
        <f>Commodities!C88</f>
        <v>COMDSL</v>
      </c>
      <c r="G903" s="422">
        <v>1</v>
      </c>
      <c r="H903" s="421">
        <f>DelivOIL!$D81*DelivOIL!P$79^5/(Conv!$I$5*Conv!$D$46)/10^6 + OILTrade!$F$6</f>
        <v>0.97497522640876955</v>
      </c>
      <c r="I903" s="421">
        <f>DelivOIL!$D81*DelivOIL!Q$79^5/(Conv!$I$5*Conv!$D$46)/10^6 + OILTrade!$F$6</f>
        <v>0.87271377407468642</v>
      </c>
      <c r="J903" s="421">
        <f>DelivOIL!$D81*DelivOIL!R$79^5/(Conv!$I$5*Conv!$D$46)/10^6 + OILTrade!$F$6</f>
        <v>0.98995456900114098</v>
      </c>
      <c r="K903" s="421">
        <f>DelivOIL!$D81*DelivOIL!S$79^5/(Conv!$I$5*Conv!$D$46)/10^6 + OILTrade!$F$6</f>
        <v>1.1336946504113095</v>
      </c>
      <c r="L903" s="421">
        <f>DelivOIL!$D81*DelivOIL!T$79^5/(Conv!$I$5*Conv!$D$46)/10^6 + OILTrade!$F$6</f>
        <v>1.0371734894010234</v>
      </c>
      <c r="M903" s="421">
        <f>DelivOIL!$D81*DelivOIL!U$79^5/(Conv!$I$5*Conv!$D$46)/10^6 + OILTrade!$F$6</f>
        <v>0.98947650860077407</v>
      </c>
      <c r="N903" s="421">
        <f>DelivOIL!$D81*DelivOIL!V$79^5/(Conv!$I$5*Conv!$D$46)/10^6 + OILTrade!$F$6</f>
        <v>0.98947650860077407</v>
      </c>
      <c r="O903" s="421">
        <f>DelivOIL!$D81*DelivOIL!W$79^5/(Conv!$I$5*Conv!$D$46)/10^6 + OILTrade!$F$6</f>
        <v>0.98947650860077407</v>
      </c>
      <c r="P903" s="421">
        <f>DelivOIL!$D81*DelivOIL!X$79^5/(Conv!$I$5*Conv!$D$46)/10^6 + OILTrade!$F$6</f>
        <v>0.98947650860077407</v>
      </c>
      <c r="Q903" s="421">
        <f>DelivOIL!$D81*DelivOIL!Y$79^5/(Conv!$I$5*Conv!$D$46)/10^6 + OILTrade!$F$6</f>
        <v>0.98947650860077407</v>
      </c>
      <c r="S903" s="395"/>
      <c r="T903" s="395"/>
      <c r="U903" s="395"/>
      <c r="V903" s="395"/>
      <c r="W903" s="395"/>
      <c r="X903" s="395"/>
      <c r="Y903" s="395"/>
      <c r="Z903" s="395"/>
      <c r="AA903" s="395"/>
      <c r="AB903" s="395"/>
      <c r="AC903" s="395"/>
    </row>
    <row r="904" spans="2:29">
      <c r="B904" s="376" t="str">
        <f>IF(OR(LEFT(Commodities!B$65,1)="*",LEFT(Technologies!B$235,1)="*"),"*","R3")</f>
        <v>*</v>
      </c>
      <c r="C904" s="376" t="str">
        <f>Technologies!C$751</f>
        <v>XIINDDSLP3</v>
      </c>
      <c r="D904" s="376" t="str">
        <f>Technologies!D235</f>
        <v>Delivery of Imported Distillate-Heating Oil No. 2 to the Indistrial Sector</v>
      </c>
      <c r="E904" s="415" t="str">
        <f>Commodities!C$69</f>
        <v>DSHP3</v>
      </c>
      <c r="F904" s="415" t="str">
        <f>Commodities!C89</f>
        <v>INDDSL</v>
      </c>
      <c r="G904" s="422">
        <v>1</v>
      </c>
      <c r="H904" s="421">
        <f>DelivOIL!$D82*DelivOIL!P$79^5/(Conv!$I$5*Conv!$D$46)/10^6 + OILTrade!$F$6</f>
        <v>1.4726898524775816</v>
      </c>
      <c r="I904" s="421">
        <f>DelivOIL!$D82*DelivOIL!Q$79^5/(Conv!$I$5*Conv!$D$46)/10^6 + OILTrade!$F$6</f>
        <v>1.318225001399526</v>
      </c>
      <c r="J904" s="421">
        <f>DelivOIL!$D82*DelivOIL!R$79^5/(Conv!$I$5*Conv!$D$46)/10^6 + OILTrade!$F$6</f>
        <v>1.4953159923373875</v>
      </c>
      <c r="K904" s="421">
        <f>DelivOIL!$D82*DelivOIL!S$79^5/(Conv!$I$5*Conv!$D$46)/10^6 + OILTrade!$F$6</f>
        <v>1.7124338775443548</v>
      </c>
      <c r="L904" s="421">
        <f>DelivOIL!$D82*DelivOIL!T$79^5/(Conv!$I$5*Conv!$D$46)/10^6 + OILTrade!$F$6</f>
        <v>1.566639676298049</v>
      </c>
      <c r="M904" s="421">
        <f>DelivOIL!$D82*DelivOIL!U$79^5/(Conv!$I$5*Conv!$D$46)/10^6 + OILTrade!$F$6</f>
        <v>1.4945938871172526</v>
      </c>
      <c r="N904" s="421">
        <f>DelivOIL!$D82*DelivOIL!V$79^5/(Conv!$I$5*Conv!$D$46)/10^6 + OILTrade!$F$6</f>
        <v>1.4945938871172526</v>
      </c>
      <c r="O904" s="421">
        <f>DelivOIL!$D82*DelivOIL!W$79^5/(Conv!$I$5*Conv!$D$46)/10^6 + OILTrade!$F$6</f>
        <v>1.4945938871172526</v>
      </c>
      <c r="P904" s="421">
        <f>DelivOIL!$D82*DelivOIL!X$79^5/(Conv!$I$5*Conv!$D$46)/10^6 + OILTrade!$F$6</f>
        <v>1.4945938871172526</v>
      </c>
      <c r="Q904" s="421">
        <f>DelivOIL!$D82*DelivOIL!Y$79^5/(Conv!$I$5*Conv!$D$46)/10^6 + OILTrade!$F$6</f>
        <v>1.4945938871172526</v>
      </c>
      <c r="S904" s="395"/>
      <c r="T904" s="395"/>
      <c r="U904" s="395"/>
      <c r="V904" s="395"/>
      <c r="W904" s="395"/>
      <c r="X904" s="395"/>
      <c r="Y904" s="395"/>
      <c r="Z904" s="395"/>
      <c r="AA904" s="395"/>
      <c r="AB904" s="395"/>
      <c r="AC904" s="395"/>
    </row>
    <row r="905" spans="2:29">
      <c r="B905" s="376" t="str">
        <f>IF(OR(LEFT(Commodities!B$65,1)="*",LEFT(Technologies!B$236,1)="*"),"*","R3")</f>
        <v>R3</v>
      </c>
      <c r="C905" s="376" t="str">
        <f>Technologies!C$752</f>
        <v>XIELCDSLP3</v>
      </c>
      <c r="D905" s="376" t="str">
        <f>Technologies!D236</f>
        <v>Delivery of Imported Distillate-Heating Oil No. 2 to the Electricity Sector</v>
      </c>
      <c r="E905" s="415" t="str">
        <f>Commodities!C$69</f>
        <v>DSHP3</v>
      </c>
      <c r="F905" s="415" t="str">
        <f>Commodities!C90</f>
        <v>ELCDSL</v>
      </c>
      <c r="G905" s="422">
        <v>1</v>
      </c>
      <c r="H905" s="421">
        <f>DelivOIL!$D83*DelivOIL!P$79^5/(Conv!$I$5*Conv!$D$46)/10^6 + OILTrade!$F$6</f>
        <v>0.56589471183166307</v>
      </c>
      <c r="I905" s="421">
        <f>DelivOIL!$D83*DelivOIL!Q$79^5/(Conv!$I$5*Conv!$D$46)/10^6 + OILTrade!$F$6</f>
        <v>0.50654016257481782</v>
      </c>
      <c r="J905" s="421">
        <f>DelivOIL!$D83*DelivOIL!R$79^5/(Conv!$I$5*Conv!$D$46)/10^6 + OILTrade!$F$6</f>
        <v>0.57458901557408859</v>
      </c>
      <c r="K905" s="421">
        <f>DelivOIL!$D83*DelivOIL!S$79^5/(Conv!$I$5*Conv!$D$46)/10^6 + OILTrade!$F$6</f>
        <v>0.65801857331565461</v>
      </c>
      <c r="L905" s="421">
        <f>DelivOIL!$D83*DelivOIL!T$79^5/(Conv!$I$5*Conv!$D$46)/10^6 + OILTrade!$F$6</f>
        <v>0.60199580154045385</v>
      </c>
      <c r="M905" s="421">
        <f>DelivOIL!$D83*DelivOIL!U$79^5/(Conv!$I$5*Conv!$D$46)/10^6 + OILTrade!$F$6</f>
        <v>0.57431153995709228</v>
      </c>
      <c r="N905" s="421">
        <f>DelivOIL!$D83*DelivOIL!V$79^5/(Conv!$I$5*Conv!$D$46)/10^6 + OILTrade!$F$6</f>
        <v>0.57431153995709228</v>
      </c>
      <c r="O905" s="421">
        <f>DelivOIL!$D83*DelivOIL!W$79^5/(Conv!$I$5*Conv!$D$46)/10^6 + OILTrade!$F$6</f>
        <v>0.57431153995709228</v>
      </c>
      <c r="P905" s="421">
        <f>DelivOIL!$D83*DelivOIL!X$79^5/(Conv!$I$5*Conv!$D$46)/10^6 + OILTrade!$F$6</f>
        <v>0.57431153995709228</v>
      </c>
      <c r="Q905" s="421">
        <f>DelivOIL!$D83*DelivOIL!Y$79^5/(Conv!$I$5*Conv!$D$46)/10^6 + OILTrade!$F$6</f>
        <v>0.57431153995709228</v>
      </c>
      <c r="S905" s="395"/>
      <c r="T905" s="395"/>
      <c r="U905" s="395"/>
      <c r="V905" s="395"/>
      <c r="W905" s="395"/>
      <c r="X905" s="395"/>
      <c r="Y905" s="395"/>
      <c r="Z905" s="395"/>
      <c r="AA905" s="395"/>
      <c r="AB905" s="395"/>
      <c r="AC905" s="395"/>
    </row>
    <row r="906" spans="2:29">
      <c r="B906" s="376" t="str">
        <f>IF(OR(LEFT(Commodities!B$323,1)="*",LEFT(Technologies!B$704,1)="*"),"*","R3")</f>
        <v>R3</v>
      </c>
      <c r="C906" s="376" t="str">
        <f>Technologies!C$753</f>
        <v>XITRDSLLP3</v>
      </c>
      <c r="D906" s="376" t="str">
        <f>Technologies!D704</f>
        <v>Delivery of Imported Distillate-Low Sulfur Highway Diesel (500 ppm)</v>
      </c>
      <c r="E906" s="415" t="str">
        <f>Commodities!C$345</f>
        <v>DSLP3</v>
      </c>
      <c r="F906" s="415" t="str">
        <f>Commodities!C91</f>
        <v>TRDSLL</v>
      </c>
      <c r="G906" s="422">
        <v>1</v>
      </c>
      <c r="H906" s="421">
        <f>DelivOIL!$D84*DelivOIL!P$79^5/(Conv!$I$5*Conv!$D$46)/10^6 + OILTrade!$F$6</f>
        <v>3.7021786569228099</v>
      </c>
      <c r="I906" s="421">
        <f>DelivOIL!$D84*DelivOIL!Q$79^5/(Conv!$I$5*Conv!$D$46)/10^6 + OILTrade!$F$6</f>
        <v>3.3138711840738093</v>
      </c>
      <c r="J906" s="421">
        <f>DelivOIL!$D84*DelivOIL!R$79^5/(Conv!$I$5*Conv!$D$46)/10^6 + OILTrade!$F$6</f>
        <v>3.759058258514822</v>
      </c>
      <c r="K906" s="421">
        <f>DelivOIL!$D84*DelivOIL!S$79^5/(Conv!$I$5*Conv!$D$46)/10^6 + OILTrade!$F$6</f>
        <v>4.3048684977156704</v>
      </c>
      <c r="L906" s="421">
        <f>DelivOIL!$D84*DelivOIL!T$79^5/(Conv!$I$5*Conv!$D$46)/10^6 + OILTrade!$F$6</f>
        <v>3.9383580751381513</v>
      </c>
      <c r="M906" s="421">
        <f>DelivOIL!$D84*DelivOIL!U$79^5/(Conv!$I$5*Conv!$D$46)/10^6 + OILTrade!$F$6</f>
        <v>3.7572429662253168</v>
      </c>
      <c r="N906" s="421">
        <f>DelivOIL!$D84*DelivOIL!V$79^5/(Conv!$I$5*Conv!$D$46)/10^6 + OILTrade!$F$6</f>
        <v>3.7572429662253168</v>
      </c>
      <c r="O906" s="421">
        <f>DelivOIL!$D84*DelivOIL!W$79^5/(Conv!$I$5*Conv!$D$46)/10^6 + OILTrade!$F$6</f>
        <v>3.7572429662253168</v>
      </c>
      <c r="P906" s="421">
        <f>DelivOIL!$D84*DelivOIL!X$79^5/(Conv!$I$5*Conv!$D$46)/10^6 + OILTrade!$F$6</f>
        <v>3.7572429662253168</v>
      </c>
      <c r="Q906" s="421">
        <f>DelivOIL!$D84*DelivOIL!Y$79^5/(Conv!$I$5*Conv!$D$46)/10^6 + OILTrade!$F$6</f>
        <v>3.7572429662253168</v>
      </c>
      <c r="S906" s="395"/>
      <c r="T906" s="395"/>
      <c r="U906" s="395"/>
      <c r="V906" s="395"/>
      <c r="W906" s="395"/>
      <c r="X906" s="395"/>
      <c r="Y906" s="395"/>
      <c r="Z906" s="395"/>
      <c r="AA906" s="395"/>
      <c r="AB906" s="395"/>
      <c r="AC906" s="395"/>
    </row>
    <row r="907" spans="2:29">
      <c r="B907" s="376" t="str">
        <f>IF(OR(LEFT(Commodities!B$324,1)="*",LEFT(Technologies!B$705,1)="*"),"*","R3")</f>
        <v>R3</v>
      </c>
      <c r="C907" s="376" t="str">
        <f>Technologies!C$754</f>
        <v>XITRDSLUP3</v>
      </c>
      <c r="D907" s="376" t="str">
        <f>Technologies!D705</f>
        <v>Delivery of Imported Distillate-Ultralow Sulfur Highway Diesel (15 ppm)</v>
      </c>
      <c r="E907" s="415" t="str">
        <f>Commodities!C$346</f>
        <v>DSUP3</v>
      </c>
      <c r="F907" s="415" t="str">
        <f>Commodities!C92</f>
        <v>TRDSLU</v>
      </c>
      <c r="G907" s="422">
        <v>1</v>
      </c>
      <c r="H907" s="421">
        <f>DelivOIL!$D85*DelivOIL!P$79^5/(Conv!$I$5*Conv!$D$46)/10^6 + OILTrade!$F$6</f>
        <v>2.9726517392603045</v>
      </c>
      <c r="I907" s="421">
        <f>DelivOIL!$D85*DelivOIL!Q$79^5/(Conv!$I$5*Conv!$D$46)/10^6 + OILTrade!$F$6</f>
        <v>2.6608615768990442</v>
      </c>
      <c r="J907" s="421">
        <f>DelivOIL!$D85*DelivOIL!R$79^5/(Conv!$I$5*Conv!$D$46)/10^6 + OILTrade!$F$6</f>
        <v>3.0183230215699122</v>
      </c>
      <c r="K907" s="421">
        <f>DelivOIL!$D85*DelivOIL!S$79^5/(Conv!$I$5*Conv!$D$46)/10^6 + OILTrade!$F$6</f>
        <v>3.4565794935617546</v>
      </c>
      <c r="L907" s="421">
        <f>DelivOIL!$D85*DelivOIL!T$79^5/(Conv!$I$5*Conv!$D$46)/10^6 + OILTrade!$F$6</f>
        <v>3.1622911984534703</v>
      </c>
      <c r="M907" s="421">
        <f>DelivOIL!$D85*DelivOIL!U$79^5/(Conv!$I$5*Conv!$D$46)/10^6 + OILTrade!$F$6</f>
        <v>3.0168654388107514</v>
      </c>
      <c r="N907" s="421">
        <f>DelivOIL!$D85*DelivOIL!V$79^5/(Conv!$I$5*Conv!$D$46)/10^6 + OILTrade!$F$6</f>
        <v>3.0168654388107514</v>
      </c>
      <c r="O907" s="421">
        <f>DelivOIL!$D85*DelivOIL!W$79^5/(Conv!$I$5*Conv!$D$46)/10^6 + OILTrade!$F$6</f>
        <v>3.0168654388107514</v>
      </c>
      <c r="P907" s="421">
        <f>DelivOIL!$D85*DelivOIL!X$79^5/(Conv!$I$5*Conv!$D$46)/10^6 + OILTrade!$F$6</f>
        <v>3.0168654388107514</v>
      </c>
      <c r="Q907" s="421">
        <f>DelivOIL!$D85*DelivOIL!Y$79^5/(Conv!$I$5*Conv!$D$46)/10^6 + OILTrade!$F$6</f>
        <v>3.0168654388107514</v>
      </c>
      <c r="S907" s="395"/>
      <c r="T907" s="395"/>
      <c r="U907" s="395"/>
      <c r="V907" s="395"/>
      <c r="W907" s="395"/>
      <c r="X907" s="395"/>
      <c r="Y907" s="395"/>
      <c r="Z907" s="395"/>
      <c r="AA907" s="395"/>
      <c r="AB907" s="395"/>
      <c r="AC907" s="395"/>
    </row>
    <row r="908" spans="2:29">
      <c r="B908" s="376" t="str">
        <f>IF(OR(LEFT(Commodities!B$64,1)="*",LEFT(Technologies!B$232,1)="*"),"*","R3")</f>
        <v>R3</v>
      </c>
      <c r="C908" s="376" t="str">
        <f>Technologies!C$755</f>
        <v>XITRNJTFP3</v>
      </c>
      <c r="D908" s="376" t="str">
        <f>Technologies!D232</f>
        <v>Delivery of Imported Jet Fuel</v>
      </c>
      <c r="E908" s="415" t="str">
        <f>Commodities!C$68</f>
        <v>JTFP3</v>
      </c>
      <c r="F908" s="415" t="str">
        <f>Commodities!C93</f>
        <v>TRNJTF</v>
      </c>
      <c r="G908" s="422">
        <v>1</v>
      </c>
      <c r="H908" s="421">
        <f>DelivOIL!$D86*DelivOIL!P$79^5/(Conv!$I$5*Conv!$D$46)/10^6 + OILTrade!$F$6</f>
        <v>0.53180466895023826</v>
      </c>
      <c r="I908" s="421">
        <f>DelivOIL!$D86*DelivOIL!Q$79^5/(Conv!$I$5*Conv!$D$46)/10^6 + OILTrade!$F$6</f>
        <v>0.47602569494982944</v>
      </c>
      <c r="J908" s="421">
        <f>DelivOIL!$D86*DelivOIL!R$79^5/(Conv!$I$5*Conv!$D$46)/10^6 + OILTrade!$F$6</f>
        <v>0.53997521945516824</v>
      </c>
      <c r="K908" s="421">
        <f>DelivOIL!$D86*DelivOIL!S$79^5/(Conv!$I$5*Conv!$D$46)/10^6 + OILTrade!$F$6</f>
        <v>0.61837890022435094</v>
      </c>
      <c r="L908" s="421">
        <f>DelivOIL!$D86*DelivOIL!T$79^5/(Conv!$I$5*Conv!$D$46)/10^6 + OILTrade!$F$6</f>
        <v>0.56573099421874051</v>
      </c>
      <c r="M908" s="421">
        <f>DelivOIL!$D86*DelivOIL!U$79^5/(Conv!$I$5*Conv!$D$46)/10^6 + OILTrade!$F$6</f>
        <v>0.53971445923678618</v>
      </c>
      <c r="N908" s="421">
        <f>DelivOIL!$D86*DelivOIL!V$79^5/(Conv!$I$5*Conv!$D$46)/10^6 + OILTrade!$F$6</f>
        <v>0.53971445923678618</v>
      </c>
      <c r="O908" s="421">
        <f>DelivOIL!$D86*DelivOIL!W$79^5/(Conv!$I$5*Conv!$D$46)/10^6 + OILTrade!$F$6</f>
        <v>0.53971445923678618</v>
      </c>
      <c r="P908" s="421">
        <f>DelivOIL!$D86*DelivOIL!X$79^5/(Conv!$I$5*Conv!$D$46)/10^6 + OILTrade!$F$6</f>
        <v>0.53971445923678618</v>
      </c>
      <c r="Q908" s="421">
        <f>DelivOIL!$D86*DelivOIL!Y$79^5/(Conv!$I$5*Conv!$D$46)/10^6 + OILTrade!$F$6</f>
        <v>0.53971445923678618</v>
      </c>
      <c r="S908" s="395"/>
      <c r="T908" s="395"/>
      <c r="U908" s="395"/>
      <c r="V908" s="395"/>
      <c r="W908" s="395"/>
      <c r="X908" s="395"/>
      <c r="Y908" s="395"/>
      <c r="Z908" s="395"/>
      <c r="AA908" s="395"/>
      <c r="AB908" s="395"/>
      <c r="AC908" s="395"/>
    </row>
    <row r="909" spans="2:29">
      <c r="B909" s="376" t="str">
        <f>IF(OR(LEFT(Commodities!B$327,1)="*",LEFT(Technologies!B$706,1)="*"),"*","R3")</f>
        <v>*</v>
      </c>
      <c r="C909" s="376" t="str">
        <f>Technologies!C$756</f>
        <v>XIRESKERP3</v>
      </c>
      <c r="D909" s="376" t="str">
        <f>Technologies!D706</f>
        <v>Delivery of Imported Kerosene and Other Refined Products to the Residential Sector</v>
      </c>
      <c r="E909" s="415" t="str">
        <f>Commodities!C$349</f>
        <v>KERP3</v>
      </c>
      <c r="F909" s="415" t="str">
        <f>Commodities!C94</f>
        <v>RESKER</v>
      </c>
      <c r="G909" s="422">
        <v>1</v>
      </c>
      <c r="H909" s="421">
        <f>DelivOIL!$D87*DelivOIL!P$79^5/(Conv!$I$5*Conv!$D$46)/10^6 + OILTrade!$F$6</f>
        <v>2.6794773704800448</v>
      </c>
      <c r="I909" s="421">
        <f>DelivOIL!$D87*DelivOIL!Q$79^5/(Conv!$I$5*Conv!$D$46)/10^6 + OILTrade!$F$6</f>
        <v>2.3984371553241384</v>
      </c>
      <c r="J909" s="421">
        <f>DelivOIL!$D87*DelivOIL!R$79^5/(Conv!$I$5*Conv!$D$46)/10^6 + OILTrade!$F$6</f>
        <v>2.7206443749471916</v>
      </c>
      <c r="K909" s="421">
        <f>DelivOIL!$D87*DelivOIL!S$79^5/(Conv!$I$5*Conv!$D$46)/10^6 + OILTrade!$F$6</f>
        <v>3.1156783049765351</v>
      </c>
      <c r="L909" s="421">
        <f>DelivOIL!$D87*DelivOIL!T$79^5/(Conv!$I$5*Conv!$D$46)/10^6 + OILTrade!$F$6</f>
        <v>2.8504138554867282</v>
      </c>
      <c r="M909" s="421">
        <f>DelivOIL!$D87*DelivOIL!U$79^5/(Conv!$I$5*Conv!$D$46)/10^6 + OILTrade!$F$6</f>
        <v>2.7193305446161129</v>
      </c>
      <c r="N909" s="421">
        <f>DelivOIL!$D87*DelivOIL!V$79^5/(Conv!$I$5*Conv!$D$46)/10^6 + OILTrade!$F$6</f>
        <v>2.7193305446161129</v>
      </c>
      <c r="O909" s="421">
        <f>DelivOIL!$D87*DelivOIL!W$79^5/(Conv!$I$5*Conv!$D$46)/10^6 + OILTrade!$F$6</f>
        <v>2.7193305446161129</v>
      </c>
      <c r="P909" s="421">
        <f>DelivOIL!$D87*DelivOIL!X$79^5/(Conv!$I$5*Conv!$D$46)/10^6 + OILTrade!$F$6</f>
        <v>2.7193305446161129</v>
      </c>
      <c r="Q909" s="421">
        <f>DelivOIL!$D87*DelivOIL!Y$79^5/(Conv!$I$5*Conv!$D$46)/10^6 + OILTrade!$F$6</f>
        <v>2.7193305446161129</v>
      </c>
      <c r="S909" s="395"/>
      <c r="T909" s="395"/>
      <c r="U909" s="395"/>
      <c r="V909" s="395"/>
      <c r="W909" s="395"/>
      <c r="X909" s="395"/>
      <c r="Y909" s="395"/>
      <c r="Z909" s="395"/>
      <c r="AA909" s="395"/>
      <c r="AB909" s="395"/>
      <c r="AC909" s="395"/>
    </row>
    <row r="910" spans="2:29">
      <c r="B910" s="376" t="str">
        <f>IF(OR(LEFT(Commodities!B$327,1)="*",LEFT(Technologies!B$707,1)="*"),"*","R3")</f>
        <v>*</v>
      </c>
      <c r="C910" s="376" t="str">
        <f>Technologies!C$757</f>
        <v>XICOMKERP3</v>
      </c>
      <c r="D910" s="376" t="str">
        <f>Technologies!D707</f>
        <v>Delivery of Imported Kerosene and Other Refined Products to the Commercial Sector</v>
      </c>
      <c r="E910" s="415" t="str">
        <f>Commodities!C$349</f>
        <v>KERP3</v>
      </c>
      <c r="F910" s="415" t="str">
        <f>Commodities!C95</f>
        <v>COMKER</v>
      </c>
      <c r="G910" s="422">
        <v>1</v>
      </c>
      <c r="H910" s="421">
        <f>DelivOIL!$D88*DelivOIL!P$79^5/(Conv!$I$5*Conv!$D$46)/10^6 + OILTrade!$F$6</f>
        <v>2.8022015248531766</v>
      </c>
      <c r="I910" s="421">
        <f>DelivOIL!$D88*DelivOIL!Q$79^5/(Conv!$I$5*Conv!$D$46)/10^6 + OILTrade!$F$6</f>
        <v>2.5082892387740987</v>
      </c>
      <c r="J910" s="421">
        <f>DelivOIL!$D88*DelivOIL!R$79^5/(Conv!$I$5*Conv!$D$46)/10^6 + OILTrade!$F$6</f>
        <v>2.8452540409753073</v>
      </c>
      <c r="K910" s="421">
        <f>DelivOIL!$D88*DelivOIL!S$79^5/(Conv!$I$5*Conv!$D$46)/10^6 + OILTrade!$F$6</f>
        <v>3.2583811281052317</v>
      </c>
      <c r="L910" s="421">
        <f>DelivOIL!$D88*DelivOIL!T$79^5/(Conv!$I$5*Conv!$D$46)/10^6 + OILTrade!$F$6</f>
        <v>2.9809671618448994</v>
      </c>
      <c r="M910" s="421">
        <f>DelivOIL!$D88*DelivOIL!U$79^5/(Conv!$I$5*Conv!$D$46)/10^6 + OILTrade!$F$6</f>
        <v>2.8438800352092177</v>
      </c>
      <c r="N910" s="421">
        <f>DelivOIL!$D88*DelivOIL!V$79^5/(Conv!$I$5*Conv!$D$46)/10^6 + OILTrade!$F$6</f>
        <v>2.8438800352092177</v>
      </c>
      <c r="O910" s="421">
        <f>DelivOIL!$D88*DelivOIL!W$79^5/(Conv!$I$5*Conv!$D$46)/10^6 + OILTrade!$F$6</f>
        <v>2.8438800352092177</v>
      </c>
      <c r="P910" s="421">
        <f>DelivOIL!$D88*DelivOIL!X$79^5/(Conv!$I$5*Conv!$D$46)/10^6 + OILTrade!$F$6</f>
        <v>2.8438800352092177</v>
      </c>
      <c r="Q910" s="421">
        <f>DelivOIL!$D88*DelivOIL!Y$79^5/(Conv!$I$5*Conv!$D$46)/10^6 + OILTrade!$F$6</f>
        <v>2.8438800352092177</v>
      </c>
      <c r="S910" s="395"/>
      <c r="T910" s="395"/>
      <c r="U910" s="395"/>
      <c r="V910" s="395"/>
      <c r="W910" s="395"/>
      <c r="X910" s="395"/>
      <c r="Y910" s="395"/>
      <c r="Z910" s="395"/>
      <c r="AA910" s="395"/>
      <c r="AB910" s="395"/>
      <c r="AC910" s="395"/>
    </row>
    <row r="911" spans="2:29">
      <c r="B911" s="376" t="str">
        <f>IF(OR(LEFT(Commodities!B$327,1)="*",LEFT(Technologies!B$708,1)="*"),"*","R3")</f>
        <v>*</v>
      </c>
      <c r="C911" s="376" t="str">
        <f>Technologies!C$758</f>
        <v>XIINDKERP3</v>
      </c>
      <c r="D911" s="376" t="str">
        <f>Technologies!D708</f>
        <v>Delivery of Imported Kerosene and Other Refined Products to the Industrial Sector</v>
      </c>
      <c r="E911" s="415" t="str">
        <f>Commodities!C$349</f>
        <v>KERP3</v>
      </c>
      <c r="F911" s="415" t="str">
        <f>Commodities!C96</f>
        <v>INDKER</v>
      </c>
      <c r="G911" s="422">
        <v>1</v>
      </c>
      <c r="H911" s="421">
        <f>DelivOIL!$D89*DelivOIL!P$79^5/(Conv!$I$5*Conv!$D$46)/10^6 + OILTrade!$F$6</f>
        <v>1.3431476895281651</v>
      </c>
      <c r="I911" s="421">
        <f>DelivOIL!$D89*DelivOIL!Q$79^5/(Conv!$I$5*Conv!$D$46)/10^6 + OILTrade!$F$6</f>
        <v>1.2022700244245683</v>
      </c>
      <c r="J911" s="421">
        <f>DelivOIL!$D89*DelivOIL!R$79^5/(Conv!$I$5*Conv!$D$46)/10^6 + OILTrade!$F$6</f>
        <v>1.3637835670854883</v>
      </c>
      <c r="K911" s="421">
        <f>DelivOIL!$D89*DelivOIL!S$79^5/(Conv!$I$5*Conv!$D$46)/10^6 + OILTrade!$F$6</f>
        <v>1.5618031197973985</v>
      </c>
      <c r="L911" s="421">
        <f>DelivOIL!$D89*DelivOIL!T$79^5/(Conv!$I$5*Conv!$D$46)/10^6 + OILTrade!$F$6</f>
        <v>1.4288334084755359</v>
      </c>
      <c r="M911" s="421">
        <f>DelivOIL!$D89*DelivOIL!U$79^5/(Conv!$I$5*Conv!$D$46)/10^6 + OILTrade!$F$6</f>
        <v>1.3631249803800876</v>
      </c>
      <c r="N911" s="421">
        <f>DelivOIL!$D89*DelivOIL!V$79^5/(Conv!$I$5*Conv!$D$46)/10^6 + OILTrade!$F$6</f>
        <v>1.3631249803800876</v>
      </c>
      <c r="O911" s="421">
        <f>DelivOIL!$D89*DelivOIL!W$79^5/(Conv!$I$5*Conv!$D$46)/10^6 + OILTrade!$F$6</f>
        <v>1.3631249803800876</v>
      </c>
      <c r="P911" s="421">
        <f>DelivOIL!$D89*DelivOIL!X$79^5/(Conv!$I$5*Conv!$D$46)/10^6 + OILTrade!$F$6</f>
        <v>1.3631249803800876</v>
      </c>
      <c r="Q911" s="421">
        <f>DelivOIL!$D89*DelivOIL!Y$79^5/(Conv!$I$5*Conv!$D$46)/10^6 + OILTrade!$F$6</f>
        <v>1.3631249803800876</v>
      </c>
      <c r="S911" s="395"/>
      <c r="T911" s="395"/>
      <c r="U911" s="395"/>
      <c r="V911" s="395"/>
      <c r="W911" s="395"/>
      <c r="X911" s="395"/>
      <c r="Y911" s="395"/>
      <c r="Z911" s="395"/>
      <c r="AA911" s="395"/>
      <c r="AB911" s="395"/>
      <c r="AC911" s="395"/>
    </row>
    <row r="912" spans="2:29">
      <c r="B912" s="376" t="str">
        <f>IF(OR(LEFT(Commodities!B$328,1)="*",LEFT(Technologies!B$709,1)="*"),"*","R3")</f>
        <v>*</v>
      </c>
      <c r="C912" s="376" t="str">
        <f>Technologies!C$759</f>
        <v>XIRESLPGP3</v>
      </c>
      <c r="D912" s="376" t="str">
        <f>Technologies!D709</f>
        <v>Delivery of Imported LPG to the Residential Sector</v>
      </c>
      <c r="E912" s="415" t="str">
        <f>Commodities!C$350</f>
        <v>LPGP3</v>
      </c>
      <c r="F912" s="415" t="str">
        <f>Commodities!C97</f>
        <v>RESLPG</v>
      </c>
      <c r="G912" s="422">
        <v>1</v>
      </c>
      <c r="H912" s="421">
        <f>DelivOIL!$D90*DelivOIL!P$79^5/(Conv!$I$5*Conv!$D$46)/10^6 + OILTrade!$F$6</f>
        <v>3.4430943310239761</v>
      </c>
      <c r="I912" s="421">
        <f>DelivOIL!$D90*DelivOIL!Q$79^5/(Conv!$I$5*Conv!$D$46)/10^6 + OILTrade!$F$6</f>
        <v>3.0819612301238934</v>
      </c>
      <c r="J912" s="421">
        <f>DelivOIL!$D90*DelivOIL!R$79^5/(Conv!$I$5*Conv!$D$46)/10^6 + OILTrade!$F$6</f>
        <v>3.4959934080110231</v>
      </c>
      <c r="K912" s="421">
        <f>DelivOIL!$D90*DelivOIL!S$79^5/(Conv!$I$5*Conv!$D$46)/10^6 + OILTrade!$F$6</f>
        <v>4.0036069822217568</v>
      </c>
      <c r="L912" s="421">
        <f>DelivOIL!$D90*DelivOIL!T$79^5/(Conv!$I$5*Conv!$D$46)/10^6 + OILTrade!$F$6</f>
        <v>3.662745539493125</v>
      </c>
      <c r="M912" s="421">
        <f>DelivOIL!$D90*DelivOIL!U$79^5/(Conv!$I$5*Conv!$D$46)/10^6 + OILTrade!$F$6</f>
        <v>3.4943051527509854</v>
      </c>
      <c r="N912" s="421">
        <f>DelivOIL!$D90*DelivOIL!V$79^5/(Conv!$I$5*Conv!$D$46)/10^6 + OILTrade!$F$6</f>
        <v>3.4943051527509854</v>
      </c>
      <c r="O912" s="421">
        <f>DelivOIL!$D90*DelivOIL!W$79^5/(Conv!$I$5*Conv!$D$46)/10^6 + OILTrade!$F$6</f>
        <v>3.4943051527509854</v>
      </c>
      <c r="P912" s="421">
        <f>DelivOIL!$D90*DelivOIL!X$79^5/(Conv!$I$5*Conv!$D$46)/10^6 + OILTrade!$F$6</f>
        <v>3.4943051527509854</v>
      </c>
      <c r="Q912" s="421">
        <f>DelivOIL!$D90*DelivOIL!Y$79^5/(Conv!$I$5*Conv!$D$46)/10^6 + OILTrade!$F$6</f>
        <v>3.4943051527509854</v>
      </c>
      <c r="S912" s="395"/>
      <c r="T912" s="395"/>
      <c r="U912" s="395"/>
      <c r="V912" s="395"/>
      <c r="W912" s="395"/>
      <c r="X912" s="395"/>
      <c r="Y912" s="395"/>
      <c r="Z912" s="395"/>
      <c r="AA912" s="395"/>
      <c r="AB912" s="395"/>
      <c r="AC912" s="395"/>
    </row>
    <row r="913" spans="2:29">
      <c r="B913" s="376" t="str">
        <f>IF(OR(LEFT(Commodities!B$328,1)="*",LEFT(Technologies!B$710,1)="*"),"*","R3")</f>
        <v>*</v>
      </c>
      <c r="C913" s="376" t="str">
        <f>Technologies!C$760</f>
        <v>XICOMLPGP3</v>
      </c>
      <c r="D913" s="376" t="str">
        <f>Technologies!D710</f>
        <v>Delivery of Imported LPG to the Commercial Sector</v>
      </c>
      <c r="E913" s="415" t="str">
        <f>Commodities!C$350</f>
        <v>LPGP3</v>
      </c>
      <c r="F913" s="415" t="str">
        <f>Commodities!C98</f>
        <v>COMLPG</v>
      </c>
      <c r="G913" s="422">
        <v>1</v>
      </c>
      <c r="H913" s="421">
        <f>DelivOIL!$D91*DelivOIL!P$79^5/(Conv!$I$5*Conv!$D$46)/10^6 + OILTrade!$F$6</f>
        <v>3.1908280137014269</v>
      </c>
      <c r="I913" s="421">
        <f>DelivOIL!$D91*DelivOIL!Q$79^5/(Conv!$I$5*Conv!$D$46)/10^6 + OILTrade!$F$6</f>
        <v>2.8561541696989736</v>
      </c>
      <c r="J913" s="421">
        <f>DelivOIL!$D91*DelivOIL!R$79^5/(Conv!$I$5*Conv!$D$46)/10^6 + OILTrade!$F$6</f>
        <v>3.239851316731007</v>
      </c>
      <c r="K913" s="421">
        <f>DelivOIL!$D91*DelivOIL!S$79^5/(Conv!$I$5*Conv!$D$46)/10^6 + OILTrade!$F$6</f>
        <v>3.7102734013461025</v>
      </c>
      <c r="L913" s="421">
        <f>DelivOIL!$D91*DelivOIL!T$79^5/(Conv!$I$5*Conv!$D$46)/10^6 + OILTrade!$F$6</f>
        <v>3.3943859653124395</v>
      </c>
      <c r="M913" s="421">
        <f>DelivOIL!$D91*DelivOIL!U$79^5/(Conv!$I$5*Conv!$D$46)/10^6 + OILTrade!$F$6</f>
        <v>3.238286755420714</v>
      </c>
      <c r="N913" s="421">
        <f>DelivOIL!$D91*DelivOIL!V$79^5/(Conv!$I$5*Conv!$D$46)/10^6 + OILTrade!$F$6</f>
        <v>3.238286755420714</v>
      </c>
      <c r="O913" s="421">
        <f>DelivOIL!$D91*DelivOIL!W$79^5/(Conv!$I$5*Conv!$D$46)/10^6 + OILTrade!$F$6</f>
        <v>3.238286755420714</v>
      </c>
      <c r="P913" s="421">
        <f>DelivOIL!$D91*DelivOIL!X$79^5/(Conv!$I$5*Conv!$D$46)/10^6 + OILTrade!$F$6</f>
        <v>3.238286755420714</v>
      </c>
      <c r="Q913" s="421">
        <f>DelivOIL!$D91*DelivOIL!Y$79^5/(Conv!$I$5*Conv!$D$46)/10^6 + OILTrade!$F$6</f>
        <v>3.238286755420714</v>
      </c>
      <c r="S913" s="395"/>
      <c r="T913" s="395"/>
      <c r="U913" s="395"/>
      <c r="V913" s="395"/>
      <c r="W913" s="395"/>
      <c r="X913" s="395"/>
      <c r="Y913" s="395"/>
      <c r="Z913" s="395"/>
      <c r="AA913" s="395"/>
      <c r="AB913" s="395"/>
      <c r="AC913" s="395"/>
    </row>
    <row r="914" spans="2:29">
      <c r="B914" s="376" t="str">
        <f>IF(OR(LEFT(Commodities!B$328,1)="*",LEFT(Technologies!B$711,1)="*"),"*","R3")</f>
        <v>*</v>
      </c>
      <c r="C914" s="376" t="str">
        <f>Technologies!C$761</f>
        <v>XIINDLPGP3</v>
      </c>
      <c r="D914" s="376" t="str">
        <f>Technologies!D711</f>
        <v>Delivery of Imported LPG to the Industrial Sector</v>
      </c>
      <c r="E914" s="415" t="str">
        <f>Commodities!C$350</f>
        <v>LPGP3</v>
      </c>
      <c r="F914" s="415" t="str">
        <f>Commodities!C99</f>
        <v>INDLPG</v>
      </c>
      <c r="G914" s="422">
        <v>1</v>
      </c>
      <c r="H914" s="421">
        <f>DelivOIL!$D92*DelivOIL!P$79^5/(Conv!$I$5*Conv!$D$46)/10^6 + OILTrade!$F$6</f>
        <v>2.7067494047851852</v>
      </c>
      <c r="I914" s="421">
        <f>DelivOIL!$D92*DelivOIL!Q$79^5/(Conv!$I$5*Conv!$D$46)/10^6 + OILTrade!$F$6</f>
        <v>2.4228487294241297</v>
      </c>
      <c r="J914" s="421">
        <f>DelivOIL!$D92*DelivOIL!R$79^5/(Conv!$I$5*Conv!$D$46)/10^6 + OILTrade!$F$6</f>
        <v>2.7483354118423287</v>
      </c>
      <c r="K914" s="421">
        <f>DelivOIL!$D92*DelivOIL!S$79^5/(Conv!$I$5*Conv!$D$46)/10^6 + OILTrade!$F$6</f>
        <v>3.1473900434495787</v>
      </c>
      <c r="L914" s="421">
        <f>DelivOIL!$D92*DelivOIL!T$79^5/(Conv!$I$5*Conv!$D$46)/10^6 + OILTrade!$F$6</f>
        <v>2.8794257013441</v>
      </c>
      <c r="M914" s="421">
        <f>DelivOIL!$D92*DelivOIL!U$79^5/(Conv!$I$5*Conv!$D$46)/10^6 + OILTrade!$F$6</f>
        <v>2.7470082091923582</v>
      </c>
      <c r="N914" s="421">
        <f>DelivOIL!$D92*DelivOIL!V$79^5/(Conv!$I$5*Conv!$D$46)/10^6 + OILTrade!$F$6</f>
        <v>2.7470082091923582</v>
      </c>
      <c r="O914" s="421">
        <f>DelivOIL!$D92*DelivOIL!W$79^5/(Conv!$I$5*Conv!$D$46)/10^6 + OILTrade!$F$6</f>
        <v>2.7470082091923582</v>
      </c>
      <c r="P914" s="421">
        <f>DelivOIL!$D92*DelivOIL!X$79^5/(Conv!$I$5*Conv!$D$46)/10^6 + OILTrade!$F$6</f>
        <v>2.7470082091923582</v>
      </c>
      <c r="Q914" s="421">
        <f>DelivOIL!$D92*DelivOIL!Y$79^5/(Conv!$I$5*Conv!$D$46)/10^6 + OILTrade!$F$6</f>
        <v>2.7470082091923582</v>
      </c>
      <c r="S914" s="395"/>
      <c r="T914" s="395"/>
      <c r="U914" s="395"/>
      <c r="V914" s="395"/>
      <c r="W914" s="395"/>
      <c r="X914" s="395"/>
      <c r="Y914" s="395"/>
      <c r="Z914" s="395"/>
      <c r="AA914" s="395"/>
      <c r="AB914" s="395"/>
      <c r="AC914" s="395"/>
    </row>
    <row r="915" spans="2:29">
      <c r="B915" s="376" t="str">
        <f>IF(OR(LEFT(Commodities!B$328,1)="*",LEFT(Technologies!B$712,1)="*"),"*","R3")</f>
        <v>*</v>
      </c>
      <c r="C915" s="376" t="str">
        <f>Technologies!C$762</f>
        <v>XITRNLPGP3</v>
      </c>
      <c r="D915" s="376" t="str">
        <f>Technologies!D712</f>
        <v>Delivery of Imported LPG to the Transportation Sector</v>
      </c>
      <c r="E915" s="415" t="str">
        <f>Commodities!C$350</f>
        <v>LPGP3</v>
      </c>
      <c r="F915" s="415" t="str">
        <f>Commodities!C100</f>
        <v>TRNLPG</v>
      </c>
      <c r="G915" s="422">
        <v>1</v>
      </c>
      <c r="H915" s="421">
        <f>DelivOIL!$D93*DelivOIL!P$79^5/(Conv!$I$5*Conv!$D$46)/10^6 + OILTrade!$F$6</f>
        <v>4.0908051457710606</v>
      </c>
      <c r="I915" s="421">
        <f>DelivOIL!$D93*DelivOIL!Q$79^5/(Conv!$I$5*Conv!$D$46)/10^6 + OILTrade!$F$6</f>
        <v>3.6617361149986851</v>
      </c>
      <c r="J915" s="421">
        <f>DelivOIL!$D93*DelivOIL!R$79^5/(Conv!$I$5*Conv!$D$46)/10^6 + OILTrade!$F$6</f>
        <v>4.1536555342705226</v>
      </c>
      <c r="K915" s="421">
        <f>DelivOIL!$D93*DelivOIL!S$79^5/(Conv!$I$5*Conv!$D$46)/10^6 + OILTrade!$F$6</f>
        <v>4.7567607709565429</v>
      </c>
      <c r="L915" s="421">
        <f>DelivOIL!$D93*DelivOIL!T$79^5/(Conv!$I$5*Conv!$D$46)/10^6 + OILTrade!$F$6</f>
        <v>4.3517768786056923</v>
      </c>
      <c r="M915" s="421">
        <f>DelivOIL!$D93*DelivOIL!U$79^5/(Conv!$I$5*Conv!$D$46)/10^6 + OILTrade!$F$6</f>
        <v>4.151649686436814</v>
      </c>
      <c r="N915" s="421">
        <f>DelivOIL!$D93*DelivOIL!V$79^5/(Conv!$I$5*Conv!$D$46)/10^6 + OILTrade!$F$6</f>
        <v>4.151649686436814</v>
      </c>
      <c r="O915" s="421">
        <f>DelivOIL!$D93*DelivOIL!W$79^5/(Conv!$I$5*Conv!$D$46)/10^6 + OILTrade!$F$6</f>
        <v>4.151649686436814</v>
      </c>
      <c r="P915" s="421">
        <f>DelivOIL!$D93*DelivOIL!X$79^5/(Conv!$I$5*Conv!$D$46)/10^6 + OILTrade!$F$6</f>
        <v>4.151649686436814</v>
      </c>
      <c r="Q915" s="421">
        <f>DelivOIL!$D93*DelivOIL!Y$79^5/(Conv!$I$5*Conv!$D$46)/10^6 + OILTrade!$F$6</f>
        <v>4.151649686436814</v>
      </c>
      <c r="S915" s="395"/>
      <c r="T915" s="395"/>
      <c r="U915" s="395"/>
      <c r="V915" s="395"/>
      <c r="W915" s="395"/>
      <c r="X915" s="395"/>
      <c r="Y915" s="395"/>
      <c r="Z915" s="395"/>
      <c r="AA915" s="395"/>
      <c r="AB915" s="395"/>
      <c r="AC915" s="395"/>
    </row>
    <row r="916" spans="2:29">
      <c r="B916" s="376" t="str">
        <f>IF(LEFT(Technologies!B$713,1)="*","*","R3")</f>
        <v>*</v>
      </c>
      <c r="C916" s="376" t="str">
        <f>Technologies!C$763</f>
        <v>XITRNMTHP3</v>
      </c>
      <c r="D916" s="376" t="str">
        <f>Technologies!D713</f>
        <v>Delivery of Imported Methanol</v>
      </c>
      <c r="E916" s="415" t="str">
        <f>Commodities!C$351</f>
        <v>MTHP3</v>
      </c>
      <c r="F916" s="415" t="str">
        <f>Commodities!C101</f>
        <v>TRNMTH</v>
      </c>
      <c r="G916" s="422">
        <v>1</v>
      </c>
      <c r="H916" s="421">
        <f>DelivOIL!$D94*DelivOIL!P$79^5/(Conv!$I$5*Conv!$D$46)/10^6 + OILTrade!$F$6</f>
        <v>0.6613468318996546</v>
      </c>
      <c r="I916" s="421">
        <f>DelivOIL!$D94*DelivOIL!Q$79^5/(Conv!$I$5*Conv!$D$46)/10^6 + OILTrade!$F$6</f>
        <v>0.59198067192478709</v>
      </c>
      <c r="J916" s="421">
        <f>DelivOIL!$D94*DelivOIL!R$79^5/(Conv!$I$5*Conv!$D$46)/10^6 + OILTrade!$F$6</f>
        <v>0.67150764470706736</v>
      </c>
      <c r="K916" s="421">
        <f>DelivOIL!$D94*DelivOIL!S$79^5/(Conv!$I$5*Conv!$D$46)/10^6 + OILTrade!$F$6</f>
        <v>0.76900965797130738</v>
      </c>
      <c r="L916" s="421">
        <f>DelivOIL!$D94*DelivOIL!T$79^5/(Conv!$I$5*Conv!$D$46)/10^6 + OILTrade!$F$6</f>
        <v>0.70353726204125344</v>
      </c>
      <c r="M916" s="421">
        <f>DelivOIL!$D94*DelivOIL!U$79^5/(Conv!$I$5*Conv!$D$46)/10^6 + OILTrade!$F$6</f>
        <v>0.67118336597395145</v>
      </c>
      <c r="N916" s="421">
        <f>DelivOIL!$D94*DelivOIL!V$79^5/(Conv!$I$5*Conv!$D$46)/10^6 + OILTrade!$F$6</f>
        <v>0.67118336597395145</v>
      </c>
      <c r="O916" s="421">
        <f>DelivOIL!$D94*DelivOIL!W$79^5/(Conv!$I$5*Conv!$D$46)/10^6 + OILTrade!$F$6</f>
        <v>0.67118336597395145</v>
      </c>
      <c r="P916" s="421">
        <f>DelivOIL!$D94*DelivOIL!X$79^5/(Conv!$I$5*Conv!$D$46)/10^6 + OILTrade!$F$6</f>
        <v>0.67118336597395145</v>
      </c>
      <c r="Q916" s="421">
        <f>DelivOIL!$D94*DelivOIL!Y$79^5/(Conv!$I$5*Conv!$D$46)/10^6 + OILTrade!$F$6</f>
        <v>0.67118336597395145</v>
      </c>
      <c r="S916" s="395"/>
      <c r="T916" s="395"/>
      <c r="U916" s="395"/>
      <c r="V916" s="395"/>
      <c r="W916" s="395"/>
      <c r="X916" s="395"/>
      <c r="Y916" s="395"/>
      <c r="Z916" s="395"/>
      <c r="AA916" s="395"/>
      <c r="AB916" s="395"/>
      <c r="AC916" s="395"/>
    </row>
    <row r="917" spans="2:29">
      <c r="B917" s="376" t="str">
        <f>IF(OR(LEFT(Commodities!B$102,1)="*",LEFT(Technologies!B$714,1)="*"),"*","R3")</f>
        <v>*</v>
      </c>
      <c r="C917" s="376" t="str">
        <f>Technologies!C$764</f>
        <v>XIINDPFSP3</v>
      </c>
      <c r="D917" s="376" t="str">
        <f>Technologies!D714</f>
        <v>Delivery of Imported Petrochemical Feedstocks</v>
      </c>
      <c r="E917" s="415" t="str">
        <f>Commodities!C$352</f>
        <v>PFSP3</v>
      </c>
      <c r="F917" s="415" t="str">
        <f>Commodities!C102</f>
        <v>INDPFS</v>
      </c>
      <c r="G917" s="422">
        <v>1</v>
      </c>
      <c r="H917" s="421">
        <f>DelivOIL!$D95*DelivOIL!P$79^5/(Conv!$I$5*Conv!$D$46)/10^6 + OILTrade!$F$6</f>
        <v>1.0976993807819011</v>
      </c>
      <c r="I917" s="421">
        <f>DelivOIL!$D95*DelivOIL!Q$79^5/(Conv!$I$5*Conv!$D$46)/10^6 + OILTrade!$F$6</f>
        <v>0.98256585752464676</v>
      </c>
      <c r="J917" s="421">
        <f>DelivOIL!$D95*DelivOIL!R$79^5/(Conv!$I$5*Conv!$D$46)/10^6 + OILTrade!$F$6</f>
        <v>1.1145642350292564</v>
      </c>
      <c r="K917" s="421">
        <f>DelivOIL!$D95*DelivOIL!S$79^5/(Conv!$I$5*Conv!$D$46)/10^6 + OILTrade!$F$6</f>
        <v>1.2763974735400052</v>
      </c>
      <c r="L917" s="421">
        <f>DelivOIL!$D95*DelivOIL!T$79^5/(Conv!$I$5*Conv!$D$46)/10^6 + OILTrade!$F$6</f>
        <v>1.1677267957591939</v>
      </c>
      <c r="M917" s="421">
        <f>DelivOIL!$D95*DelivOIL!U$79^5/(Conv!$I$5*Conv!$D$46)/10^6 + OILTrade!$F$6</f>
        <v>1.1140259991938781</v>
      </c>
      <c r="N917" s="421">
        <f>DelivOIL!$D95*DelivOIL!V$79^5/(Conv!$I$5*Conv!$D$46)/10^6 + OILTrade!$F$6</f>
        <v>1.1140259991938781</v>
      </c>
      <c r="O917" s="421">
        <f>DelivOIL!$D95*DelivOIL!W$79^5/(Conv!$I$5*Conv!$D$46)/10^6 + OILTrade!$F$6</f>
        <v>1.1140259991938781</v>
      </c>
      <c r="P917" s="421">
        <f>DelivOIL!$D95*DelivOIL!X$79^5/(Conv!$I$5*Conv!$D$46)/10^6 + OILTrade!$F$6</f>
        <v>1.1140259991938781</v>
      </c>
      <c r="Q917" s="421">
        <f>DelivOIL!$D95*DelivOIL!Y$79^5/(Conv!$I$5*Conv!$D$46)/10^6 + OILTrade!$F$6</f>
        <v>1.1140259991938781</v>
      </c>
      <c r="S917" s="395"/>
      <c r="T917" s="395"/>
      <c r="U917" s="395"/>
      <c r="V917" s="395"/>
      <c r="W917" s="395"/>
      <c r="X917" s="395"/>
      <c r="Y917" s="395"/>
      <c r="Z917" s="395"/>
      <c r="AA917" s="395"/>
      <c r="AB917" s="395"/>
      <c r="AC917" s="395"/>
    </row>
    <row r="918" spans="2:29">
      <c r="B918" s="376" t="str">
        <f>IF(OR(LEFT(Commodities!B$332,1)="*",LEFT(Technologies!B$715,1)="*"),"*","R3")</f>
        <v>*</v>
      </c>
      <c r="C918" s="376" t="str">
        <f>Technologies!C$765</f>
        <v>XIRESRFLP3</v>
      </c>
      <c r="D918" s="376" t="str">
        <f>Technologies!D715</f>
        <v>Delivery of Imported Low Sulfur Residual Fuel Oil to Residential Sector</v>
      </c>
      <c r="E918" s="415" t="str">
        <f>Commodities!C$354</f>
        <v>RFLP3</v>
      </c>
      <c r="F918" s="415" t="str">
        <f>Commodities!C103</f>
        <v>RESRFL</v>
      </c>
      <c r="G918" s="422">
        <v>1</v>
      </c>
      <c r="H918" s="421">
        <f>DelivOIL!$D96*DelivOIL!P$79^5/(Conv!$I$5*Conv!$D$46)/10^6 + OILTrade!$F$6</f>
        <v>0.14317818010198724</v>
      </c>
      <c r="I918" s="421">
        <f>DelivOIL!$D96*DelivOIL!Q$79^5/(Conv!$I$5*Conv!$D$46)/10^6 + OILTrade!$F$6</f>
        <v>0.12816076402495408</v>
      </c>
      <c r="J918" s="421">
        <f>DelivOIL!$D96*DelivOIL!R$79^5/(Conv!$I$5*Conv!$D$46)/10^6 + OILTrade!$F$6</f>
        <v>0.14537794369946835</v>
      </c>
      <c r="K918" s="421">
        <f>DelivOIL!$D96*DelivOIL!S$79^5/(Conv!$I$5*Conv!$D$46)/10^6 + OILTrade!$F$6</f>
        <v>0.16648662698347913</v>
      </c>
      <c r="L918" s="421">
        <f>DelivOIL!$D96*DelivOIL!T$79^5/(Conv!$I$5*Conv!$D$46)/10^6 + OILTrade!$F$6</f>
        <v>0.15231219075119934</v>
      </c>
      <c r="M918" s="421">
        <f>DelivOIL!$D96*DelivOIL!U$79^5/(Conv!$I$5*Conv!$D$46)/10^6 + OILTrade!$F$6</f>
        <v>0.14530773902528862</v>
      </c>
      <c r="N918" s="421">
        <f>DelivOIL!$D96*DelivOIL!V$79^5/(Conv!$I$5*Conv!$D$46)/10^6 + OILTrade!$F$6</f>
        <v>0.14530773902528862</v>
      </c>
      <c r="O918" s="421">
        <f>DelivOIL!$D96*DelivOIL!W$79^5/(Conv!$I$5*Conv!$D$46)/10^6 + OILTrade!$F$6</f>
        <v>0.14530773902528862</v>
      </c>
      <c r="P918" s="421">
        <f>DelivOIL!$D96*DelivOIL!X$79^5/(Conv!$I$5*Conv!$D$46)/10^6 + OILTrade!$F$6</f>
        <v>0.14530773902528862</v>
      </c>
      <c r="Q918" s="421">
        <f>DelivOIL!$D96*DelivOIL!Y$79^5/(Conv!$I$5*Conv!$D$46)/10^6 + OILTrade!$F$6</f>
        <v>0.14530773902528862</v>
      </c>
      <c r="S918" s="395"/>
      <c r="T918" s="395"/>
      <c r="U918" s="395"/>
      <c r="V918" s="395"/>
      <c r="W918" s="395"/>
      <c r="X918" s="395"/>
      <c r="Y918" s="395"/>
      <c r="Z918" s="395"/>
      <c r="AA918" s="395"/>
      <c r="AB918" s="395"/>
      <c r="AC918" s="395"/>
    </row>
    <row r="919" spans="2:29">
      <c r="B919" s="376" t="str">
        <f>IF(OR(LEFT(Commodities!B$332,1)="*",LEFT(Technologies!B$716,1)="*"),"*","R3")</f>
        <v>*</v>
      </c>
      <c r="C919" s="376" t="str">
        <f>Technologies!C$766</f>
        <v>XICOMRFLP3</v>
      </c>
      <c r="D919" s="376" t="str">
        <f>Technologies!D716</f>
        <v>Delivery of Imported Low Sulfur Residual Fuel Oil to Commercial Sector</v>
      </c>
      <c r="E919" s="415" t="str">
        <f>Commodities!C$354</f>
        <v>RFLP3</v>
      </c>
      <c r="F919" s="415" t="str">
        <f>Commodities!C104</f>
        <v>COMRFL</v>
      </c>
      <c r="G919" s="422">
        <v>1</v>
      </c>
      <c r="H919" s="421">
        <f>DelivOIL!$D96*DelivOIL!P$79^5/(Conv!$I$5*Conv!$D$46)/10^6 + OILTrade!$F$6</f>
        <v>0.14317818010198724</v>
      </c>
      <c r="I919" s="421">
        <f>DelivOIL!$D96*DelivOIL!Q$79^5/(Conv!$I$5*Conv!$D$46)/10^6 + OILTrade!$F$6</f>
        <v>0.12816076402495408</v>
      </c>
      <c r="J919" s="421">
        <f>DelivOIL!$D96*DelivOIL!R$79^5/(Conv!$I$5*Conv!$D$46)/10^6 + OILTrade!$F$6</f>
        <v>0.14537794369946835</v>
      </c>
      <c r="K919" s="421">
        <f>DelivOIL!$D96*DelivOIL!S$79^5/(Conv!$I$5*Conv!$D$46)/10^6 + OILTrade!$F$6</f>
        <v>0.16648662698347913</v>
      </c>
      <c r="L919" s="421">
        <f>DelivOIL!$D96*DelivOIL!T$79^5/(Conv!$I$5*Conv!$D$46)/10^6 + OILTrade!$F$6</f>
        <v>0.15231219075119934</v>
      </c>
      <c r="M919" s="421">
        <f>DelivOIL!$D96*DelivOIL!U$79^5/(Conv!$I$5*Conv!$D$46)/10^6 + OILTrade!$F$6</f>
        <v>0.14530773902528862</v>
      </c>
      <c r="N919" s="421">
        <f>DelivOIL!$D96*DelivOIL!V$79^5/(Conv!$I$5*Conv!$D$46)/10^6 + OILTrade!$F$6</f>
        <v>0.14530773902528862</v>
      </c>
      <c r="O919" s="421">
        <f>DelivOIL!$D96*DelivOIL!W$79^5/(Conv!$I$5*Conv!$D$46)/10^6 + OILTrade!$F$6</f>
        <v>0.14530773902528862</v>
      </c>
      <c r="P919" s="421">
        <f>DelivOIL!$D96*DelivOIL!X$79^5/(Conv!$I$5*Conv!$D$46)/10^6 + OILTrade!$F$6</f>
        <v>0.14530773902528862</v>
      </c>
      <c r="Q919" s="421">
        <f>DelivOIL!$D96*DelivOIL!Y$79^5/(Conv!$I$5*Conv!$D$46)/10^6 + OILTrade!$F$6</f>
        <v>0.14530773902528862</v>
      </c>
      <c r="S919" s="395"/>
      <c r="T919" s="395"/>
      <c r="U919" s="395"/>
      <c r="V919" s="395"/>
      <c r="W919" s="395"/>
      <c r="X919" s="395"/>
      <c r="Y919" s="395"/>
      <c r="Z919" s="395"/>
      <c r="AA919" s="395"/>
      <c r="AB919" s="395"/>
      <c r="AC919" s="395"/>
    </row>
    <row r="920" spans="2:29">
      <c r="B920" s="376" t="str">
        <f>IF(OR(LEFT(Commodities!B$332,1)="*",LEFT(Technologies!B$717,1)="*"),"*","R3")</f>
        <v>R3</v>
      </c>
      <c r="C920" s="376" t="str">
        <f>Technologies!C$767</f>
        <v>XIINDRFLP3</v>
      </c>
      <c r="D920" s="376" t="str">
        <f>Technologies!D717</f>
        <v>Delivery of Imported Low Sulfur Residual Fuel Oil to Industrial Sector</v>
      </c>
      <c r="E920" s="415" t="str">
        <f>Commodities!C$354</f>
        <v>RFLP3</v>
      </c>
      <c r="F920" s="415" t="str">
        <f>Commodities!C105</f>
        <v>INDRFL</v>
      </c>
      <c r="G920" s="422">
        <v>1</v>
      </c>
      <c r="H920" s="421">
        <f>DelivOIL!$D97*DelivOIL!P$79^5/(Conv!$I$5*Conv!$D$46)/10^6 + OILTrade!$F$6</f>
        <v>0.21817627444112342</v>
      </c>
      <c r="I920" s="421">
        <f>DelivOIL!$D97*DelivOIL!Q$79^5/(Conv!$I$5*Conv!$D$46)/10^6 + OILTrade!$F$6</f>
        <v>0.19529259279993003</v>
      </c>
      <c r="J920" s="421">
        <f>DelivOIL!$D97*DelivOIL!R$79^5/(Conv!$I$5*Conv!$D$46)/10^6 + OILTrade!$F$6</f>
        <v>0.22152829516109465</v>
      </c>
      <c r="K920" s="421">
        <f>DelivOIL!$D97*DelivOIL!S$79^5/(Conv!$I$5*Conv!$D$46)/10^6 + OILTrade!$F$6</f>
        <v>0.25369390778434914</v>
      </c>
      <c r="L920" s="421">
        <f>DelivOIL!$D97*DelivOIL!T$79^5/(Conv!$I$5*Conv!$D$46)/10^6 + OILTrade!$F$6</f>
        <v>0.23209476685897049</v>
      </c>
      <c r="M920" s="421">
        <f>DelivOIL!$D97*DelivOIL!U$79^5/(Conv!$I$5*Conv!$D$46)/10^6 + OILTrade!$F$6</f>
        <v>0.22142131660996359</v>
      </c>
      <c r="N920" s="421">
        <f>DelivOIL!$D97*DelivOIL!V$79^5/(Conv!$I$5*Conv!$D$46)/10^6 + OILTrade!$F$6</f>
        <v>0.22142131660996359</v>
      </c>
      <c r="O920" s="421">
        <f>DelivOIL!$D97*DelivOIL!W$79^5/(Conv!$I$5*Conv!$D$46)/10^6 + OILTrade!$F$6</f>
        <v>0.22142131660996359</v>
      </c>
      <c r="P920" s="421">
        <f>DelivOIL!$D97*DelivOIL!X$79^5/(Conv!$I$5*Conv!$D$46)/10^6 + OILTrade!$F$6</f>
        <v>0.22142131660996359</v>
      </c>
      <c r="Q920" s="421">
        <f>DelivOIL!$D97*DelivOIL!Y$79^5/(Conv!$I$5*Conv!$D$46)/10^6 + OILTrade!$F$6</f>
        <v>0.22142131660996359</v>
      </c>
      <c r="S920" s="395"/>
      <c r="T920" s="395"/>
      <c r="U920" s="395"/>
      <c r="V920" s="395"/>
      <c r="W920" s="395"/>
      <c r="X920" s="395"/>
      <c r="Y920" s="395"/>
      <c r="Z920" s="395"/>
      <c r="AA920" s="395"/>
      <c r="AB920" s="395"/>
      <c r="AC920" s="395"/>
    </row>
    <row r="921" spans="2:29">
      <c r="B921" s="376" t="str">
        <f>IF(OR(LEFT(Commodities!B$332,1)="*",LEFT(Technologies!B$718,1)="*"),"*","R3")</f>
        <v>*</v>
      </c>
      <c r="C921" s="376" t="str">
        <f>Technologies!C$768</f>
        <v>XIELCRFLP3</v>
      </c>
      <c r="D921" s="376" t="str">
        <f>Technologies!D718</f>
        <v>Delivery of Imported Low Sulfur Residual Fuel Oil to Electricity Sector</v>
      </c>
      <c r="E921" s="415" t="str">
        <f>Commodities!C$354</f>
        <v>RFLP3</v>
      </c>
      <c r="F921" s="415" t="str">
        <f>Commodities!C106</f>
        <v>ELCRFL</v>
      </c>
      <c r="G921" s="422">
        <v>1</v>
      </c>
      <c r="H921" s="421">
        <f>DelivOIL!$D98*DelivOIL!P$79^5/(Conv!$I$5*Conv!$D$46)/10^6 + OILTrade!$F$6</f>
        <v>0.49089661749252766</v>
      </c>
      <c r="I921" s="421">
        <f>DelivOIL!$D98*DelivOIL!Q$79^5/(Conv!$I$5*Conv!$D$46)/10^6 + OILTrade!$F$6</f>
        <v>0.43940833379984257</v>
      </c>
      <c r="J921" s="421">
        <f>DelivOIL!$D98*DelivOIL!R$79^5/(Conv!$I$5*Conv!$D$46)/10^6 + OILTrade!$F$6</f>
        <v>0.49843866411246301</v>
      </c>
      <c r="K921" s="421">
        <f>DelivOIL!$D98*DelivOIL!S$79^5/(Conv!$I$5*Conv!$D$46)/10^6 + OILTrade!$F$6</f>
        <v>0.57081129251478557</v>
      </c>
      <c r="L921" s="421">
        <f>DelivOIL!$D98*DelivOIL!T$79^5/(Conv!$I$5*Conv!$D$46)/10^6 + OILTrade!$F$6</f>
        <v>0.52221322543268345</v>
      </c>
      <c r="M921" s="421">
        <f>DelivOIL!$D98*DelivOIL!U$79^5/(Conv!$I$5*Conv!$D$46)/10^6 + OILTrade!$F$6</f>
        <v>0.49819796237241809</v>
      </c>
      <c r="N921" s="421">
        <f>DelivOIL!$D98*DelivOIL!V$79^5/(Conv!$I$5*Conv!$D$46)/10^6 + OILTrade!$F$6</f>
        <v>0.49819796237241809</v>
      </c>
      <c r="O921" s="421">
        <f>DelivOIL!$D98*DelivOIL!W$79^5/(Conv!$I$5*Conv!$D$46)/10^6 + OILTrade!$F$6</f>
        <v>0.49819796237241809</v>
      </c>
      <c r="P921" s="421">
        <f>DelivOIL!$D98*DelivOIL!X$79^5/(Conv!$I$5*Conv!$D$46)/10^6 + OILTrade!$F$6</f>
        <v>0.49819796237241809</v>
      </c>
      <c r="Q921" s="421">
        <f>DelivOIL!$D98*DelivOIL!Y$79^5/(Conv!$I$5*Conv!$D$46)/10^6 + OILTrade!$F$6</f>
        <v>0.49819796237241809</v>
      </c>
      <c r="S921" s="395"/>
      <c r="T921" s="395"/>
      <c r="U921" s="395"/>
      <c r="V921" s="395"/>
      <c r="W921" s="395"/>
      <c r="X921" s="395"/>
      <c r="Y921" s="395"/>
      <c r="Z921" s="395"/>
      <c r="AA921" s="395"/>
      <c r="AB921" s="395"/>
      <c r="AC921" s="395"/>
    </row>
    <row r="922" spans="2:29">
      <c r="B922" s="376" t="str">
        <f>IF(OR(LEFT(Commodities!B$331,1)="*",LEFT(Technologies!B$719,1)="*"),"*","R3")</f>
        <v>*</v>
      </c>
      <c r="C922" s="376" t="str">
        <f>Technologies!C$769</f>
        <v>XITRNRFHP3</v>
      </c>
      <c r="D922" s="376" t="str">
        <f>Technologies!D719</f>
        <v>Delivery of Imported High Sulfur Residual Fuel Oil to Transportation Sector</v>
      </c>
      <c r="E922" s="415" t="str">
        <f>Commodities!C151</f>
        <v>MTHR5</v>
      </c>
      <c r="F922" s="415" t="str">
        <f>Commodities!C107</f>
        <v>TRNRFH</v>
      </c>
      <c r="G922" s="422">
        <v>1</v>
      </c>
      <c r="H922" s="421">
        <f>DelivOIL!$D99*DelivOIL!P$79^5/(Conv!$I$5*Conv!$D$46)/10^6 + OILTrade!$F$6</f>
        <v>0.79770700342535739</v>
      </c>
      <c r="I922" s="421">
        <f>DelivOIL!$D99*DelivOIL!Q$79^5/(Conv!$I$5*Conv!$D$46)/10^6 + OILTrade!$F$6</f>
        <v>0.71403854242474407</v>
      </c>
      <c r="J922" s="421">
        <f>DelivOIL!$D99*DelivOIL!R$79^5/(Conv!$I$5*Conv!$D$46)/10^6 + OILTrade!$F$6</f>
        <v>0.80996282918275242</v>
      </c>
      <c r="K922" s="421">
        <f>DelivOIL!$D99*DelivOIL!S$79^5/(Conv!$I$5*Conv!$D$46)/10^6 + OILTrade!$F$6</f>
        <v>0.92756835033652651</v>
      </c>
      <c r="L922" s="421">
        <f>DelivOIL!$D99*DelivOIL!T$79^5/(Conv!$I$5*Conv!$D$46)/10^6 + OILTrade!$F$6</f>
        <v>0.84859649132811066</v>
      </c>
      <c r="M922" s="421">
        <f>DelivOIL!$D99*DelivOIL!U$79^5/(Conv!$I$5*Conv!$D$46)/10^6 + OILTrade!$F$6</f>
        <v>0.80957168885517938</v>
      </c>
      <c r="N922" s="421">
        <f>DelivOIL!$D99*DelivOIL!V$79^5/(Conv!$I$5*Conv!$D$46)/10^6 + OILTrade!$F$6</f>
        <v>0.80957168885517938</v>
      </c>
      <c r="O922" s="421">
        <f>DelivOIL!$D99*DelivOIL!W$79^5/(Conv!$I$5*Conv!$D$46)/10^6 + OILTrade!$F$6</f>
        <v>0.80957168885517938</v>
      </c>
      <c r="P922" s="421">
        <f>DelivOIL!$D99*DelivOIL!X$79^5/(Conv!$I$5*Conv!$D$46)/10^6 + OILTrade!$F$6</f>
        <v>0.80957168885517938</v>
      </c>
      <c r="Q922" s="421">
        <f>DelivOIL!$D99*DelivOIL!Y$79^5/(Conv!$I$5*Conv!$D$46)/10^6 + OILTrade!$F$6</f>
        <v>0.80957168885517938</v>
      </c>
      <c r="S922" s="395"/>
      <c r="T922" s="395"/>
      <c r="U922" s="395"/>
      <c r="V922" s="395"/>
      <c r="W922" s="395"/>
      <c r="X922" s="395"/>
      <c r="Y922" s="395"/>
      <c r="Z922" s="395"/>
      <c r="AA922" s="395"/>
      <c r="AB922" s="395"/>
      <c r="AC922" s="395"/>
    </row>
    <row r="923" spans="2:29">
      <c r="B923" s="376" t="str">
        <f>IF(OR(LEFT(Commodities!B$331,1)="*",LEFT(Technologies!B$720,1)="*"),"*","R3")</f>
        <v>*</v>
      </c>
      <c r="C923" s="376" t="str">
        <f>Technologies!C$770</f>
        <v>XIELCRFHP3</v>
      </c>
      <c r="D923" s="376" t="str">
        <f>Technologies!D720</f>
        <v>Delivery of Imported High Sulfur Residual Fuel Oil to Electricity Sector</v>
      </c>
      <c r="E923" s="415" t="str">
        <f>Commodities!C152</f>
        <v>PFSR5</v>
      </c>
      <c r="F923" s="415" t="str">
        <f>Commodities!C108</f>
        <v>ELCRFH</v>
      </c>
      <c r="G923" s="422">
        <v>1</v>
      </c>
      <c r="H923" s="421">
        <f>DelivOIL!$D100*DelivOIL!P$79^5/(Conv!$I$5*Conv!$D$46)/10^6 + OILTrade!$F$6</f>
        <v>0</v>
      </c>
      <c r="I923" s="421">
        <f>DelivOIL!$D100*DelivOIL!Q$79^5/(Conv!$I$5*Conv!$D$46)/10^6 + OILTrade!$F$6</f>
        <v>0</v>
      </c>
      <c r="J923" s="421">
        <f>DelivOIL!$D100*DelivOIL!R$79^5/(Conv!$I$5*Conv!$D$46)/10^6 + OILTrade!$F$6</f>
        <v>0</v>
      </c>
      <c r="K923" s="421">
        <f>DelivOIL!$D100*DelivOIL!S$79^5/(Conv!$I$5*Conv!$D$46)/10^6 + OILTrade!$F$6</f>
        <v>0</v>
      </c>
      <c r="L923" s="421">
        <f>DelivOIL!$D100*DelivOIL!T$79^5/(Conv!$I$5*Conv!$D$46)/10^6 + OILTrade!$F$6</f>
        <v>0</v>
      </c>
      <c r="M923" s="421">
        <f>DelivOIL!$D100*DelivOIL!U$79^5/(Conv!$I$5*Conv!$D$46)/10^6 + OILTrade!$F$6</f>
        <v>0</v>
      </c>
      <c r="N923" s="421">
        <f>DelivOIL!$D100*DelivOIL!V$79^5/(Conv!$I$5*Conv!$D$46)/10^6 + OILTrade!$F$6</f>
        <v>0</v>
      </c>
      <c r="O923" s="421">
        <f>DelivOIL!$D100*DelivOIL!W$79^5/(Conv!$I$5*Conv!$D$46)/10^6 + OILTrade!$F$6</f>
        <v>0</v>
      </c>
      <c r="P923" s="421">
        <f>DelivOIL!$D100*DelivOIL!X$79^5/(Conv!$I$5*Conv!$D$46)/10^6 + OILTrade!$F$6</f>
        <v>0</v>
      </c>
      <c r="Q923" s="421">
        <f>DelivOIL!$D100*DelivOIL!Y$79^5/(Conv!$I$5*Conv!$D$46)/10^6 + OILTrade!$F$6</f>
        <v>0</v>
      </c>
      <c r="S923" s="395"/>
      <c r="T923" s="395"/>
      <c r="U923" s="395"/>
      <c r="V923" s="395"/>
      <c r="W923" s="395"/>
      <c r="X923" s="395"/>
      <c r="Y923" s="395"/>
      <c r="Z923" s="395"/>
      <c r="AA923" s="395"/>
      <c r="AB923" s="395"/>
      <c r="AC923" s="395"/>
    </row>
    <row r="924" spans="2:29">
      <c r="B924" s="378" t="s">
        <v>1087</v>
      </c>
      <c r="C924" s="378"/>
      <c r="D924" s="378"/>
      <c r="E924" s="414"/>
      <c r="F924" s="414"/>
      <c r="G924" s="418"/>
      <c r="H924" s="392"/>
      <c r="I924" s="392"/>
      <c r="J924" s="392"/>
      <c r="K924" s="392"/>
      <c r="L924" s="392"/>
      <c r="M924" s="392"/>
      <c r="N924" s="392"/>
      <c r="O924" s="392"/>
      <c r="P924" s="392"/>
      <c r="Q924" s="392"/>
    </row>
    <row r="925" spans="2:29">
      <c r="B925" s="376" t="str">
        <f>IF(LEFT(Technologies!B$702,1)="*","*","R4")</f>
        <v>R4</v>
      </c>
      <c r="C925" s="376" t="str">
        <f>Technologies!C$747</f>
        <v>XITRGSLCP3</v>
      </c>
      <c r="D925" s="376" t="str">
        <f>Technologies!D702</f>
        <v>Delivery of Imported Conventional Gasoline</v>
      </c>
      <c r="E925" s="415" t="str">
        <f>Commodities!C$347</f>
        <v>GSCP3</v>
      </c>
      <c r="F925" s="415" t="str">
        <f>Commodities!C85</f>
        <v>TRGSLC</v>
      </c>
      <c r="G925" s="422">
        <v>1</v>
      </c>
      <c r="H925" s="421">
        <f>DelivOIL!$E77*DelivOIL!P$80^5/(Conv!$I$5*Conv!$D$46)/10^6 + OILTrade!$G$6</f>
        <v>3.0885578850571509</v>
      </c>
      <c r="I925" s="421">
        <f>DelivOIL!$E77*DelivOIL!Q$80^5/(Conv!$I$5*Conv!$D$46)/10^6 + OILTrade!$G$6</f>
        <v>2.7646107668240072</v>
      </c>
      <c r="J925" s="421">
        <f>DelivOIL!$E77*DelivOIL!R$80^5/(Conv!$I$5*Conv!$D$46)/10^6 + OILTrade!$G$6</f>
        <v>3.1360099283742437</v>
      </c>
      <c r="K925" s="421">
        <f>DelivOIL!$E77*DelivOIL!S$80^5/(Conv!$I$5*Conv!$D$46)/10^6 + OILTrade!$G$6</f>
        <v>3.5913543820721903</v>
      </c>
      <c r="L925" s="421">
        <f>DelivOIL!$E77*DelivOIL!T$80^5/(Conv!$I$5*Conv!$D$46)/10^6 + OILTrade!$G$6</f>
        <v>3.285591543347298</v>
      </c>
      <c r="M925" s="421">
        <f>DelivOIL!$E77*DelivOIL!U$80^5/(Conv!$I$5*Conv!$D$46)/10^6 + OILTrade!$G$6</f>
        <v>3.1344955132597949</v>
      </c>
      <c r="N925" s="421">
        <f>DelivOIL!$E77*DelivOIL!V$80^5/(Conv!$I$5*Conv!$D$46)/10^6 + OILTrade!$G$6</f>
        <v>3.1344955132597949</v>
      </c>
      <c r="O925" s="421">
        <f>DelivOIL!$E77*DelivOIL!W$80^5/(Conv!$I$5*Conv!$D$46)/10^6 + OILTrade!$G$6</f>
        <v>3.1344955132597949</v>
      </c>
      <c r="P925" s="421">
        <f>DelivOIL!$E77*DelivOIL!X$80^5/(Conv!$I$5*Conv!$D$46)/10^6 + OILTrade!$G$6</f>
        <v>3.1344955132597949</v>
      </c>
      <c r="Q925" s="421">
        <f>DelivOIL!$E77*DelivOIL!Y$80^5/(Conv!$I$5*Conv!$D$46)/10^6 + OILTrade!$G$6</f>
        <v>3.1344955132597949</v>
      </c>
      <c r="S925" s="395"/>
      <c r="T925" s="395"/>
      <c r="U925" s="395"/>
      <c r="V925" s="395"/>
      <c r="W925" s="395"/>
      <c r="X925" s="395"/>
      <c r="Y925" s="395"/>
      <c r="Z925" s="395"/>
      <c r="AA925" s="395"/>
      <c r="AB925" s="395"/>
      <c r="AC925" s="395"/>
    </row>
    <row r="926" spans="2:29">
      <c r="B926" s="376" t="str">
        <f>IF(LEFT(Technologies!B$703,1)="*","*","R4")</f>
        <v>R4</v>
      </c>
      <c r="C926" s="376" t="str">
        <f>Technologies!C$748</f>
        <v>XITRGSLRP3</v>
      </c>
      <c r="D926" s="376" t="str">
        <f>Technologies!D703</f>
        <v>Delivery of Imported Reformulated Gasoline</v>
      </c>
      <c r="E926" s="415" t="str">
        <f>Commodities!C$348</f>
        <v>GSRP3</v>
      </c>
      <c r="F926" s="415" t="str">
        <f>Commodities!C86</f>
        <v>TRGSLR</v>
      </c>
      <c r="G926" s="422">
        <v>1</v>
      </c>
      <c r="H926" s="421">
        <f>DelivOIL!$E78*DelivOIL!P$80^5/(Conv!$I$5*Conv!$D$46)/10^6 + OILTrade!$G$6</f>
        <v>2.952197713531449</v>
      </c>
      <c r="I926" s="421">
        <f>DelivOIL!$E78*DelivOIL!Q$80^5/(Conv!$I$5*Conv!$D$46)/10^6 + OILTrade!$G$6</f>
        <v>2.6425528963240512</v>
      </c>
      <c r="J926" s="421">
        <f>DelivOIL!$E78*DelivOIL!R$80^5/(Conv!$I$5*Conv!$D$46)/10^6 + OILTrade!$G$6</f>
        <v>2.9975547438985597</v>
      </c>
      <c r="K926" s="421">
        <f>DelivOIL!$E78*DelivOIL!S$80^5/(Conv!$I$5*Conv!$D$46)/10^6 + OILTrade!$G$6</f>
        <v>3.4327956897069716</v>
      </c>
      <c r="L926" s="421">
        <f>DelivOIL!$E78*DelivOIL!T$80^5/(Conv!$I$5*Conv!$D$46)/10^6 + OILTrade!$G$6</f>
        <v>3.1405323140604415</v>
      </c>
      <c r="M926" s="421">
        <f>DelivOIL!$E78*DelivOIL!U$80^5/(Conv!$I$5*Conv!$D$46)/10^6 + OILTrade!$G$6</f>
        <v>2.996107190378567</v>
      </c>
      <c r="N926" s="421">
        <f>DelivOIL!$E78*DelivOIL!V$80^5/(Conv!$I$5*Conv!$D$46)/10^6 + OILTrade!$G$6</f>
        <v>2.996107190378567</v>
      </c>
      <c r="O926" s="421">
        <f>DelivOIL!$E78*DelivOIL!W$80^5/(Conv!$I$5*Conv!$D$46)/10^6 + OILTrade!$G$6</f>
        <v>2.996107190378567</v>
      </c>
      <c r="P926" s="421">
        <f>DelivOIL!$E78*DelivOIL!X$80^5/(Conv!$I$5*Conv!$D$46)/10^6 + OILTrade!$G$6</f>
        <v>2.996107190378567</v>
      </c>
      <c r="Q926" s="421">
        <f>DelivOIL!$E78*DelivOIL!Y$80^5/(Conv!$I$5*Conv!$D$46)/10^6 + OILTrade!$G$6</f>
        <v>2.996107190378567</v>
      </c>
      <c r="S926" s="395"/>
      <c r="T926" s="395"/>
      <c r="U926" s="395"/>
      <c r="V926" s="395"/>
      <c r="W926" s="395"/>
      <c r="X926" s="395"/>
      <c r="Y926" s="395"/>
      <c r="Z926" s="395"/>
      <c r="AA926" s="395"/>
      <c r="AB926" s="395"/>
      <c r="AC926" s="395"/>
    </row>
    <row r="927" spans="2:29">
      <c r="B927" s="376" t="str">
        <f>IF(OR(LEFT(Commodities!B$65,1)="*",LEFT(Technologies!B$233,1)="*"),"*","R4")</f>
        <v>R4</v>
      </c>
      <c r="C927" s="376" t="str">
        <f>Technologies!C$749</f>
        <v>XIRESDSLP3</v>
      </c>
      <c r="D927" s="376" t="str">
        <f>Technologies!D233</f>
        <v>Delivery of Imported Distillate-Heating Oil No. 2 to the Residential Sector</v>
      </c>
      <c r="E927" s="415" t="str">
        <f>Commodities!C$69</f>
        <v>DSHP3</v>
      </c>
      <c r="F927" s="415" t="str">
        <f>Commodities!C87</f>
        <v>RESDSL</v>
      </c>
      <c r="G927" s="422">
        <v>1</v>
      </c>
      <c r="H927" s="421">
        <f>DelivOIL!$E80*DelivOIL!P$80^5/(Conv!$I$5*Conv!$D$46)/10^6 + OILTrade!$G$6</f>
        <v>2.2567608387503681</v>
      </c>
      <c r="I927" s="421">
        <f>DelivOIL!$E80*DelivOIL!Q$80^5/(Conv!$I$5*Conv!$D$46)/10^6 + OILTrade!$G$6</f>
        <v>2.0200577567742739</v>
      </c>
      <c r="J927" s="421">
        <f>DelivOIL!$E80*DelivOIL!R$80^5/(Conv!$I$5*Conv!$D$46)/10^6 + OILTrade!$G$6</f>
        <v>2.2914333030725706</v>
      </c>
      <c r="K927" s="421">
        <f>DelivOIL!$E80*DelivOIL!S$80^5/(Conv!$I$5*Conv!$D$46)/10^6 + OILTrade!$G$6</f>
        <v>2.6241463586443587</v>
      </c>
      <c r="L927" s="421">
        <f>DelivOIL!$E80*DelivOIL!T$80^5/(Conv!$I$5*Conv!$D$46)/10^6 + OILTrade!$G$6</f>
        <v>2.4007302446974732</v>
      </c>
      <c r="M927" s="421">
        <f>DelivOIL!$E80*DelivOIL!U$80^5/(Conv!$I$5*Conv!$D$46)/10^6 + OILTrade!$G$6</f>
        <v>2.2903267436843087</v>
      </c>
      <c r="N927" s="421">
        <f>DelivOIL!$E80*DelivOIL!V$80^5/(Conv!$I$5*Conv!$D$46)/10^6 + OILTrade!$G$6</f>
        <v>2.2903267436843087</v>
      </c>
      <c r="O927" s="421">
        <f>DelivOIL!$E80*DelivOIL!W$80^5/(Conv!$I$5*Conv!$D$46)/10^6 + OILTrade!$G$6</f>
        <v>2.2903267436843087</v>
      </c>
      <c r="P927" s="421">
        <f>DelivOIL!$E80*DelivOIL!X$80^5/(Conv!$I$5*Conv!$D$46)/10^6 + OILTrade!$G$6</f>
        <v>2.2903267436843087</v>
      </c>
      <c r="Q927" s="421">
        <f>DelivOIL!$E80*DelivOIL!Y$80^5/(Conv!$I$5*Conv!$D$46)/10^6 + OILTrade!$G$6</f>
        <v>2.2903267436843087</v>
      </c>
      <c r="S927" s="395"/>
      <c r="T927" s="395"/>
      <c r="U927" s="395"/>
      <c r="V927" s="395"/>
      <c r="W927" s="395"/>
      <c r="X927" s="395"/>
      <c r="Y927" s="395"/>
      <c r="Z927" s="395"/>
      <c r="AA927" s="395"/>
      <c r="AB927" s="395"/>
      <c r="AC927" s="395"/>
    </row>
    <row r="928" spans="2:29">
      <c r="B928" s="376" t="str">
        <f>IF(OR(LEFT(Commodities!B$65,1)="*",LEFT(Technologies!B$234,1)="*"),"*","R4")</f>
        <v>R4</v>
      </c>
      <c r="C928" s="376" t="str">
        <f>Technologies!C$750</f>
        <v>XICOMDSLP3</v>
      </c>
      <c r="D928" s="376" t="str">
        <f>Technologies!D234</f>
        <v>Delivery of Imported Distillate-Heating Oil No. 2 to the Commercial Sector</v>
      </c>
      <c r="E928" s="415" t="str">
        <f>Commodities!C$69</f>
        <v>DSHP3</v>
      </c>
      <c r="F928" s="415" t="str">
        <f>Commodities!C88</f>
        <v>COMDSL</v>
      </c>
      <c r="G928" s="422">
        <v>1</v>
      </c>
      <c r="H928" s="421">
        <f>DelivOIL!$E81*DelivOIL!P$80^5/(Conv!$I$5*Conv!$D$46)/10^6 + OILTrade!$G$6</f>
        <v>0.8317970463067822</v>
      </c>
      <c r="I928" s="421">
        <f>DelivOIL!$E81*DelivOIL!Q$80^5/(Conv!$I$5*Conv!$D$46)/10^6 + OILTrade!$G$6</f>
        <v>0.7445530100497324</v>
      </c>
      <c r="J928" s="421">
        <f>DelivOIL!$E81*DelivOIL!R$80^5/(Conv!$I$5*Conv!$D$46)/10^6 + OILTrade!$G$6</f>
        <v>0.84457662530167266</v>
      </c>
      <c r="K928" s="421">
        <f>DelivOIL!$E81*DelivOIL!S$80^5/(Conv!$I$5*Conv!$D$46)/10^6 + OILTrade!$G$6</f>
        <v>0.9672080234278303</v>
      </c>
      <c r="L928" s="421">
        <f>DelivOIL!$E81*DelivOIL!T$80^5/(Conv!$I$5*Conv!$D$46)/10^6 + OILTrade!$G$6</f>
        <v>0.8848612986498241</v>
      </c>
      <c r="M928" s="421">
        <f>DelivOIL!$E81*DelivOIL!U$80^5/(Conv!$I$5*Conv!$D$46)/10^6 + OILTrade!$G$6</f>
        <v>0.84416876957548537</v>
      </c>
      <c r="N928" s="421">
        <f>DelivOIL!$E81*DelivOIL!V$80^5/(Conv!$I$5*Conv!$D$46)/10^6 + OILTrade!$G$6</f>
        <v>0.84416876957548537</v>
      </c>
      <c r="O928" s="421">
        <f>DelivOIL!$E81*DelivOIL!W$80^5/(Conv!$I$5*Conv!$D$46)/10^6 + OILTrade!$G$6</f>
        <v>0.84416876957548537</v>
      </c>
      <c r="P928" s="421">
        <f>DelivOIL!$E81*DelivOIL!X$80^5/(Conv!$I$5*Conv!$D$46)/10^6 + OILTrade!$G$6</f>
        <v>0.84416876957548537</v>
      </c>
      <c r="Q928" s="421">
        <f>DelivOIL!$E81*DelivOIL!Y$80^5/(Conv!$I$5*Conv!$D$46)/10^6 + OILTrade!$G$6</f>
        <v>0.84416876957548537</v>
      </c>
      <c r="S928" s="395"/>
      <c r="T928" s="395"/>
      <c r="U928" s="395"/>
      <c r="V928" s="395"/>
      <c r="W928" s="395"/>
      <c r="X928" s="395"/>
      <c r="Y928" s="395"/>
      <c r="Z928" s="395"/>
      <c r="AA928" s="395"/>
      <c r="AB928" s="395"/>
      <c r="AC928" s="395"/>
    </row>
    <row r="929" spans="2:29">
      <c r="B929" s="376" t="str">
        <f>IF(OR(LEFT(Commodities!B$65,1)="*",LEFT(Technologies!B$235,1)="*"),"*","R4")</f>
        <v>*</v>
      </c>
      <c r="C929" s="376" t="str">
        <f>Technologies!C$751</f>
        <v>XIINDDSLP3</v>
      </c>
      <c r="D929" s="376" t="str">
        <f>Technologies!D235</f>
        <v>Delivery of Imported Distillate-Heating Oil No. 2 to the Indistrial Sector</v>
      </c>
      <c r="E929" s="415" t="str">
        <f>Commodities!C$69</f>
        <v>DSHP3</v>
      </c>
      <c r="F929" s="415" t="str">
        <f>Commodities!C89</f>
        <v>INDDSL</v>
      </c>
      <c r="G929" s="422">
        <v>1</v>
      </c>
      <c r="H929" s="421">
        <f>DelivOIL!$E82*DelivOIL!P$80^5/(Conv!$I$5*Conv!$D$46)/10^6 + OILTrade!$G$6</f>
        <v>1.309057646646739</v>
      </c>
      <c r="I929" s="421">
        <f>DelivOIL!$E82*DelivOIL!Q$80^5/(Conv!$I$5*Conv!$D$46)/10^6 + OILTrade!$G$6</f>
        <v>1.1717555567995788</v>
      </c>
      <c r="J929" s="421">
        <f>DelivOIL!$E82*DelivOIL!R$80^5/(Conv!$I$5*Conv!$D$46)/10^6 + OILTrade!$G$6</f>
        <v>1.3291697709665664</v>
      </c>
      <c r="K929" s="421">
        <f>DelivOIL!$E82*DelivOIL!S$80^5/(Conv!$I$5*Conv!$D$46)/10^6 + OILTrade!$G$6</f>
        <v>1.5221634467060929</v>
      </c>
      <c r="L929" s="421">
        <f>DelivOIL!$E82*DelivOIL!T$80^5/(Conv!$I$5*Conv!$D$46)/10^6 + OILTrade!$G$6</f>
        <v>1.3925686011538212</v>
      </c>
      <c r="M929" s="421">
        <f>DelivOIL!$E82*DelivOIL!U$80^5/(Conv!$I$5*Conv!$D$46)/10^6 + OILTrade!$G$6</f>
        <v>1.3285278996597798</v>
      </c>
      <c r="N929" s="421">
        <f>DelivOIL!$E82*DelivOIL!V$80^5/(Conv!$I$5*Conv!$D$46)/10^6 + OILTrade!$G$6</f>
        <v>1.3285278996597798</v>
      </c>
      <c r="O929" s="421">
        <f>DelivOIL!$E82*DelivOIL!W$80^5/(Conv!$I$5*Conv!$D$46)/10^6 + OILTrade!$G$6</f>
        <v>1.3285278996597798</v>
      </c>
      <c r="P929" s="421">
        <f>DelivOIL!$E82*DelivOIL!X$80^5/(Conv!$I$5*Conv!$D$46)/10^6 + OILTrade!$G$6</f>
        <v>1.3285278996597798</v>
      </c>
      <c r="Q929" s="421">
        <f>DelivOIL!$E82*DelivOIL!Y$80^5/(Conv!$I$5*Conv!$D$46)/10^6 + OILTrade!$G$6</f>
        <v>1.3285278996597798</v>
      </c>
      <c r="S929" s="395"/>
      <c r="T929" s="395"/>
      <c r="U929" s="395"/>
      <c r="V929" s="395"/>
      <c r="W929" s="395"/>
      <c r="X929" s="395"/>
      <c r="Y929" s="395"/>
      <c r="Z929" s="395"/>
      <c r="AA929" s="395"/>
      <c r="AB929" s="395"/>
      <c r="AC929" s="395"/>
    </row>
    <row r="930" spans="2:29">
      <c r="B930" s="376" t="str">
        <f>IF(OR(LEFT(Commodities!B$65,1)="*",LEFT(Technologies!B$236,1)="*"),"*","R4")</f>
        <v>R4</v>
      </c>
      <c r="C930" s="376" t="str">
        <f>Technologies!C$752</f>
        <v>XIELCDSLP3</v>
      </c>
      <c r="D930" s="376" t="str">
        <f>Technologies!D236</f>
        <v>Delivery of Imported Distillate-Heating Oil No. 2 to the Electricity Sector</v>
      </c>
      <c r="E930" s="415" t="str">
        <f>Commodities!C$69</f>
        <v>DSHP3</v>
      </c>
      <c r="F930" s="415" t="str">
        <f>Commodities!C90</f>
        <v>ELCDSL</v>
      </c>
      <c r="G930" s="422">
        <v>1</v>
      </c>
      <c r="H930" s="421">
        <f>DelivOIL!$E83*DelivOIL!P$80^5/(Conv!$I$5*Conv!$D$46)/10^6 + OILTrade!$G$6</f>
        <v>0.4636245831873872</v>
      </c>
      <c r="I930" s="421">
        <f>DelivOIL!$E83*DelivOIL!Q$80^5/(Conv!$I$5*Conv!$D$46)/10^6 + OILTrade!$G$6</f>
        <v>0.41499675969985128</v>
      </c>
      <c r="J930" s="421">
        <f>DelivOIL!$E83*DelivOIL!R$80^5/(Conv!$I$5*Conv!$D$46)/10^6 + OILTrade!$G$6</f>
        <v>0.47074762721732616</v>
      </c>
      <c r="K930" s="421">
        <f>DelivOIL!$E83*DelivOIL!S$80^5/(Conv!$I$5*Conv!$D$46)/10^6 + OILTrade!$G$6</f>
        <v>0.53909955404174204</v>
      </c>
      <c r="L930" s="421">
        <f>DelivOIL!$E83*DelivOIL!T$80^5/(Conv!$I$5*Conv!$D$46)/10^6 + OILTrade!$G$6</f>
        <v>0.49320137957531218</v>
      </c>
      <c r="M930" s="421">
        <f>DelivOIL!$E83*DelivOIL!U$80^5/(Conv!$I$5*Conv!$D$46)/10^6 + OILTrade!$G$6</f>
        <v>0.4705202977961726</v>
      </c>
      <c r="N930" s="421">
        <f>DelivOIL!$E83*DelivOIL!V$80^5/(Conv!$I$5*Conv!$D$46)/10^6 + OILTrade!$G$6</f>
        <v>0.4705202977961726</v>
      </c>
      <c r="O930" s="421">
        <f>DelivOIL!$E83*DelivOIL!W$80^5/(Conv!$I$5*Conv!$D$46)/10^6 + OILTrade!$G$6</f>
        <v>0.4705202977961726</v>
      </c>
      <c r="P930" s="421">
        <f>DelivOIL!$E83*DelivOIL!X$80^5/(Conv!$I$5*Conv!$D$46)/10^6 + OILTrade!$G$6</f>
        <v>0.4705202977961726</v>
      </c>
      <c r="Q930" s="421">
        <f>DelivOIL!$E83*DelivOIL!Y$80^5/(Conv!$I$5*Conv!$D$46)/10^6 + OILTrade!$G$6</f>
        <v>0.4705202977961726</v>
      </c>
      <c r="S930" s="395"/>
      <c r="T930" s="395"/>
      <c r="U930" s="395"/>
      <c r="V930" s="395"/>
      <c r="W930" s="395"/>
      <c r="X930" s="395"/>
      <c r="Y930" s="395"/>
      <c r="Z930" s="395"/>
      <c r="AA930" s="395"/>
      <c r="AB930" s="395"/>
      <c r="AC930" s="395"/>
    </row>
    <row r="931" spans="2:29">
      <c r="B931" s="376" t="str">
        <f>IF(OR(LEFT(Commodities!B$323,1)="*",LEFT(Technologies!B$704,1)="*"),"*","R4")</f>
        <v>R4</v>
      </c>
      <c r="C931" s="376" t="str">
        <f>Technologies!C$753</f>
        <v>XITRDSLLP3</v>
      </c>
      <c r="D931" s="376" t="str">
        <f>Technologies!D704</f>
        <v>Delivery of Imported Distillate-Low Sulfur Highway Diesel (500 ppm)</v>
      </c>
      <c r="E931" s="415" t="str">
        <f>Commodities!C$345</f>
        <v>DSLP3</v>
      </c>
      <c r="F931" s="415" t="str">
        <f>Commodities!C91</f>
        <v>TRDSLL</v>
      </c>
      <c r="G931" s="422">
        <v>1</v>
      </c>
      <c r="H931" s="421">
        <f>DelivOIL!$E84*DelivOIL!P$80^5/(Conv!$I$5*Conv!$D$46)/10^6 + OILTrade!$G$6</f>
        <v>3.5453644596682516</v>
      </c>
      <c r="I931" s="421">
        <f>DelivOIL!$E84*DelivOIL!Q$80^5/(Conv!$I$5*Conv!$D$46)/10^6 + OILTrade!$G$6</f>
        <v>3.173504632998859</v>
      </c>
      <c r="J931" s="421">
        <f>DelivOIL!$E84*DelivOIL!R$80^5/(Conv!$I$5*Conv!$D$46)/10^6 + OILTrade!$G$6</f>
        <v>3.5998347963677846</v>
      </c>
      <c r="K931" s="421">
        <f>DelivOIL!$E84*DelivOIL!S$80^5/(Conv!$I$5*Conv!$D$46)/10^6 + OILTrade!$G$6</f>
        <v>4.1225260014956691</v>
      </c>
      <c r="L931" s="421">
        <f>DelivOIL!$E84*DelivOIL!T$80^5/(Conv!$I$5*Conv!$D$46)/10^6 + OILTrade!$G$6</f>
        <v>3.7715399614582656</v>
      </c>
      <c r="M931" s="421">
        <f>DelivOIL!$E84*DelivOIL!U$80^5/(Conv!$I$5*Conv!$D$46)/10^6 + OILTrade!$G$6</f>
        <v>3.5980963949119049</v>
      </c>
      <c r="N931" s="421">
        <f>DelivOIL!$E84*DelivOIL!V$80^5/(Conv!$I$5*Conv!$D$46)/10^6 + OILTrade!$G$6</f>
        <v>3.5980963949119049</v>
      </c>
      <c r="O931" s="421">
        <f>DelivOIL!$E84*DelivOIL!W$80^5/(Conv!$I$5*Conv!$D$46)/10^6 + OILTrade!$G$6</f>
        <v>3.5980963949119049</v>
      </c>
      <c r="P931" s="421">
        <f>DelivOIL!$E84*DelivOIL!X$80^5/(Conv!$I$5*Conv!$D$46)/10^6 + OILTrade!$G$6</f>
        <v>3.5980963949119049</v>
      </c>
      <c r="Q931" s="421">
        <f>DelivOIL!$E84*DelivOIL!Y$80^5/(Conv!$I$5*Conv!$D$46)/10^6 + OILTrade!$G$6</f>
        <v>3.5980963949119049</v>
      </c>
      <c r="S931" s="395"/>
      <c r="T931" s="395"/>
      <c r="U931" s="395"/>
      <c r="V931" s="395"/>
      <c r="W931" s="395"/>
      <c r="X931" s="395"/>
      <c r="Y931" s="395"/>
      <c r="Z931" s="395"/>
      <c r="AA931" s="395"/>
      <c r="AB931" s="395"/>
      <c r="AC931" s="395"/>
    </row>
    <row r="932" spans="2:29">
      <c r="B932" s="376" t="str">
        <f>IF(OR(LEFT(Commodities!B$324,1)="*",LEFT(Technologies!B$705,1)="*"),"*","R4")</f>
        <v>R4</v>
      </c>
      <c r="C932" s="376" t="str">
        <f>Technologies!C$754</f>
        <v>XITRDSLUP3</v>
      </c>
      <c r="D932" s="376" t="str">
        <f>Technologies!D705</f>
        <v>Delivery of Imported Distillate-Ultralow Sulfur Highway Diesel (15 ppm)</v>
      </c>
      <c r="E932" s="415" t="str">
        <f>Commodities!C$346</f>
        <v>DSUP3</v>
      </c>
      <c r="F932" s="415" t="str">
        <f>Commodities!C92</f>
        <v>TRDSLU</v>
      </c>
      <c r="G932" s="422">
        <v>1</v>
      </c>
      <c r="H932" s="421">
        <f>DelivOIL!$E85*DelivOIL!P$80^5/(Conv!$I$5*Conv!$D$46)/10^6 + OILTrade!$G$6</f>
        <v>2.8158375420057458</v>
      </c>
      <c r="I932" s="421">
        <f>DelivOIL!$E85*DelivOIL!Q$80^5/(Conv!$I$5*Conv!$D$46)/10^6 + OILTrade!$G$6</f>
        <v>2.5204950258240943</v>
      </c>
      <c r="J932" s="421">
        <f>DelivOIL!$E85*DelivOIL!R$80^5/(Conv!$I$5*Conv!$D$46)/10^6 + OILTrade!$G$6</f>
        <v>2.8590995594228752</v>
      </c>
      <c r="K932" s="421">
        <f>DelivOIL!$E85*DelivOIL!S$80^5/(Conv!$I$5*Conv!$D$46)/10^6 + OILTrade!$G$6</f>
        <v>3.2742369973417524</v>
      </c>
      <c r="L932" s="421">
        <f>DelivOIL!$E85*DelivOIL!T$80^5/(Conv!$I$5*Conv!$D$46)/10^6 + OILTrade!$G$6</f>
        <v>2.9954730847735838</v>
      </c>
      <c r="M932" s="421">
        <f>DelivOIL!$E85*DelivOIL!U$80^5/(Conv!$I$5*Conv!$D$46)/10^6 + OILTrade!$G$6</f>
        <v>2.8577188674973395</v>
      </c>
      <c r="N932" s="421">
        <f>DelivOIL!$E85*DelivOIL!V$80^5/(Conv!$I$5*Conv!$D$46)/10^6 + OILTrade!$G$6</f>
        <v>2.8577188674973395</v>
      </c>
      <c r="O932" s="421">
        <f>DelivOIL!$E85*DelivOIL!W$80^5/(Conv!$I$5*Conv!$D$46)/10^6 + OILTrade!$G$6</f>
        <v>2.8577188674973395</v>
      </c>
      <c r="P932" s="421">
        <f>DelivOIL!$E85*DelivOIL!X$80^5/(Conv!$I$5*Conv!$D$46)/10^6 + OILTrade!$G$6</f>
        <v>2.8577188674973395</v>
      </c>
      <c r="Q932" s="421">
        <f>DelivOIL!$E85*DelivOIL!Y$80^5/(Conv!$I$5*Conv!$D$46)/10^6 + OILTrade!$G$6</f>
        <v>2.8577188674973395</v>
      </c>
      <c r="S932" s="395"/>
      <c r="T932" s="395"/>
      <c r="U932" s="395"/>
      <c r="V932" s="395"/>
      <c r="W932" s="395"/>
      <c r="X932" s="395"/>
      <c r="Y932" s="395"/>
      <c r="Z932" s="395"/>
      <c r="AA932" s="395"/>
      <c r="AB932" s="395"/>
      <c r="AC932" s="395"/>
    </row>
    <row r="933" spans="2:29">
      <c r="B933" s="376" t="str">
        <f>IF(OR(LEFT(Commodities!B$64,1)="*",LEFT(Technologies!B$232,1)="*"),"*","R4")</f>
        <v>R4</v>
      </c>
      <c r="C933" s="376" t="str">
        <f>Technologies!C$755</f>
        <v>XITRNJTFP3</v>
      </c>
      <c r="D933" s="376" t="str">
        <f>Technologies!D232</f>
        <v>Delivery of Imported Jet Fuel</v>
      </c>
      <c r="E933" s="415" t="str">
        <f>Commodities!C$68</f>
        <v>JTFP3</v>
      </c>
      <c r="F933" s="415" t="str">
        <f>Commodities!C93</f>
        <v>TRNJTF</v>
      </c>
      <c r="G933" s="422">
        <v>1</v>
      </c>
      <c r="H933" s="421">
        <f>DelivOIL!$E86*DelivOIL!P$80^5/(Conv!$I$5*Conv!$D$46)/10^6 + OILTrade!$G$6</f>
        <v>0.72952691766250566</v>
      </c>
      <c r="I933" s="421">
        <f>DelivOIL!$E86*DelivOIL!Q$80^5/(Conv!$I$5*Conv!$D$46)/10^6 + OILTrade!$G$6</f>
        <v>0.65300960717476531</v>
      </c>
      <c r="J933" s="421">
        <f>DelivOIL!$E86*DelivOIL!R$80^5/(Conv!$I$5*Conv!$D$46)/10^6 + OILTrade!$G$6</f>
        <v>0.7407352369449095</v>
      </c>
      <c r="K933" s="421">
        <f>DelivOIL!$E86*DelivOIL!S$80^5/(Conv!$I$5*Conv!$D$46)/10^6 + OILTrade!$G$6</f>
        <v>0.8482890041539165</v>
      </c>
      <c r="L933" s="421">
        <f>DelivOIL!$E86*DelivOIL!T$80^5/(Conv!$I$5*Conv!$D$46)/10^6 + OILTrade!$G$6</f>
        <v>0.77606687668468166</v>
      </c>
      <c r="M933" s="421">
        <f>DelivOIL!$E86*DelivOIL!U$80^5/(Conv!$I$5*Conv!$D$46)/10^6 + OILTrade!$G$6</f>
        <v>0.74037752741456497</v>
      </c>
      <c r="N933" s="421">
        <f>DelivOIL!$E86*DelivOIL!V$80^5/(Conv!$I$5*Conv!$D$46)/10^6 + OILTrade!$G$6</f>
        <v>0.74037752741456497</v>
      </c>
      <c r="O933" s="421">
        <f>DelivOIL!$E86*DelivOIL!W$80^5/(Conv!$I$5*Conv!$D$46)/10^6 + OILTrade!$G$6</f>
        <v>0.74037752741456497</v>
      </c>
      <c r="P933" s="421">
        <f>DelivOIL!$E86*DelivOIL!X$80^5/(Conv!$I$5*Conv!$D$46)/10^6 + OILTrade!$G$6</f>
        <v>0.74037752741456497</v>
      </c>
      <c r="Q933" s="421">
        <f>DelivOIL!$E86*DelivOIL!Y$80^5/(Conv!$I$5*Conv!$D$46)/10^6 + OILTrade!$G$6</f>
        <v>0.74037752741456497</v>
      </c>
      <c r="S933" s="395"/>
      <c r="T933" s="395"/>
      <c r="U933" s="395"/>
      <c r="V933" s="395"/>
      <c r="W933" s="395"/>
      <c r="X933" s="395"/>
      <c r="Y933" s="395"/>
      <c r="Z933" s="395"/>
      <c r="AA933" s="395"/>
      <c r="AB933" s="395"/>
      <c r="AC933" s="395"/>
    </row>
    <row r="934" spans="2:29">
      <c r="B934" s="376" t="str">
        <f>IF(OR(LEFT(Commodities!B$327,1)="*",LEFT(Technologies!B$706,1)="*"),"*","R4")</f>
        <v>*</v>
      </c>
      <c r="C934" s="376" t="str">
        <f>Technologies!C$756</f>
        <v>XIRESKERP3</v>
      </c>
      <c r="D934" s="376" t="str">
        <f>Technologies!D706</f>
        <v>Delivery of Imported Kerosene and Other Refined Products to the Residential Sector</v>
      </c>
      <c r="E934" s="415" t="str">
        <f>Commodities!C$349</f>
        <v>KERP3</v>
      </c>
      <c r="F934" s="415" t="str">
        <f>Commodities!C94</f>
        <v>RESKER</v>
      </c>
      <c r="G934" s="422">
        <v>1</v>
      </c>
      <c r="H934" s="421">
        <f>DelivOIL!$E87*DelivOIL!P$80^5/(Conv!$I$5*Conv!$D$46)/10^6 + OILTrade!$G$6</f>
        <v>1.8476803241732616</v>
      </c>
      <c r="I934" s="421">
        <f>DelivOIL!$E87*DelivOIL!Q$80^5/(Conv!$I$5*Conv!$D$46)/10^6 + OILTrade!$G$6</f>
        <v>1.6538841452744051</v>
      </c>
      <c r="J934" s="421">
        <f>DelivOIL!$E87*DelivOIL!R$80^5/(Conv!$I$5*Conv!$D$46)/10^6 + OILTrade!$G$6</f>
        <v>1.8760677496455185</v>
      </c>
      <c r="K934" s="421">
        <f>DelivOIL!$E87*DelivOIL!S$80^5/(Conv!$I$5*Conv!$D$46)/10^6 + OILTrade!$G$6</f>
        <v>2.148470281548704</v>
      </c>
      <c r="L934" s="421">
        <f>DelivOIL!$E87*DelivOIL!T$80^5/(Conv!$I$5*Conv!$D$46)/10^6 + OILTrade!$G$6</f>
        <v>1.9655525568369037</v>
      </c>
      <c r="M934" s="421">
        <f>DelivOIL!$E87*DelivOIL!U$80^5/(Conv!$I$5*Conv!$D$46)/10^6 + OILTrade!$G$6</f>
        <v>1.8751617750406269</v>
      </c>
      <c r="N934" s="421">
        <f>DelivOIL!$E87*DelivOIL!V$80^5/(Conv!$I$5*Conv!$D$46)/10^6 + OILTrade!$G$6</f>
        <v>1.8751617750406269</v>
      </c>
      <c r="O934" s="421">
        <f>DelivOIL!$E87*DelivOIL!W$80^5/(Conv!$I$5*Conv!$D$46)/10^6 + OILTrade!$G$6</f>
        <v>1.8751617750406269</v>
      </c>
      <c r="P934" s="421">
        <f>DelivOIL!$E87*DelivOIL!X$80^5/(Conv!$I$5*Conv!$D$46)/10^6 + OILTrade!$G$6</f>
        <v>1.8751617750406269</v>
      </c>
      <c r="Q934" s="421">
        <f>DelivOIL!$E87*DelivOIL!Y$80^5/(Conv!$I$5*Conv!$D$46)/10^6 + OILTrade!$G$6</f>
        <v>1.8751617750406269</v>
      </c>
      <c r="S934" s="395"/>
      <c r="T934" s="395"/>
      <c r="U934" s="395"/>
      <c r="V934" s="395"/>
      <c r="W934" s="395"/>
      <c r="X934" s="395"/>
      <c r="Y934" s="395"/>
      <c r="Z934" s="395"/>
      <c r="AA934" s="395"/>
      <c r="AB934" s="395"/>
      <c r="AC934" s="395"/>
    </row>
    <row r="935" spans="2:29">
      <c r="B935" s="376" t="str">
        <f>IF(OR(LEFT(Commodities!B$327,1)="*",LEFT(Technologies!B$707,1)="*"),"*","R4")</f>
        <v>*</v>
      </c>
      <c r="C935" s="376" t="str">
        <f>Technologies!C$757</f>
        <v>XICOMKERP3</v>
      </c>
      <c r="D935" s="376" t="str">
        <f>Technologies!D707</f>
        <v>Delivery of Imported Kerosene and Other Refined Products to the Commercial Sector</v>
      </c>
      <c r="E935" s="415" t="str">
        <f>Commodities!C$349</f>
        <v>KERP3</v>
      </c>
      <c r="F935" s="415" t="str">
        <f>Commodities!C95</f>
        <v>COMKER</v>
      </c>
      <c r="G935" s="422">
        <v>1</v>
      </c>
      <c r="H935" s="421">
        <f>DelivOIL!$E88*DelivOIL!P$80^5/(Conv!$I$5*Conv!$D$46)/10^6 + OILTrade!$G$6</f>
        <v>1.874952358478402</v>
      </c>
      <c r="I935" s="421">
        <f>DelivOIL!$E88*DelivOIL!Q$80^5/(Conv!$I$5*Conv!$D$46)/10^6 + OILTrade!$G$6</f>
        <v>1.6782957193743966</v>
      </c>
      <c r="J935" s="421">
        <f>DelivOIL!$E88*DelivOIL!R$80^5/(Conv!$I$5*Conv!$D$46)/10^6 + OILTrade!$G$6</f>
        <v>1.9037587865406551</v>
      </c>
      <c r="K935" s="421">
        <f>DelivOIL!$E88*DelivOIL!S$80^5/(Conv!$I$5*Conv!$D$46)/10^6 + OILTrade!$G$6</f>
        <v>2.1801820200217477</v>
      </c>
      <c r="L935" s="421">
        <f>DelivOIL!$E88*DelivOIL!T$80^5/(Conv!$I$5*Conv!$D$46)/10^6 + OILTrade!$G$6</f>
        <v>1.9945644026942748</v>
      </c>
      <c r="M935" s="421">
        <f>DelivOIL!$E88*DelivOIL!U$80^5/(Conv!$I$5*Conv!$D$46)/10^6 + OILTrade!$G$6</f>
        <v>1.9028394396168722</v>
      </c>
      <c r="N935" s="421">
        <f>DelivOIL!$E88*DelivOIL!V$80^5/(Conv!$I$5*Conv!$D$46)/10^6 + OILTrade!$G$6</f>
        <v>1.9028394396168722</v>
      </c>
      <c r="O935" s="421">
        <f>DelivOIL!$E88*DelivOIL!W$80^5/(Conv!$I$5*Conv!$D$46)/10^6 + OILTrade!$G$6</f>
        <v>1.9028394396168722</v>
      </c>
      <c r="P935" s="421">
        <f>DelivOIL!$E88*DelivOIL!X$80^5/(Conv!$I$5*Conv!$D$46)/10^6 + OILTrade!$G$6</f>
        <v>1.9028394396168722</v>
      </c>
      <c r="Q935" s="421">
        <f>DelivOIL!$E88*DelivOIL!Y$80^5/(Conv!$I$5*Conv!$D$46)/10^6 + OILTrade!$G$6</f>
        <v>1.9028394396168722</v>
      </c>
      <c r="S935" s="395"/>
      <c r="T935" s="395"/>
      <c r="U935" s="395"/>
      <c r="V935" s="395"/>
      <c r="W935" s="395"/>
      <c r="X935" s="395"/>
      <c r="Y935" s="395"/>
      <c r="Z935" s="395"/>
      <c r="AA935" s="395"/>
      <c r="AB935" s="395"/>
      <c r="AC935" s="395"/>
    </row>
    <row r="936" spans="2:29">
      <c r="B936" s="376" t="str">
        <f>IF(OR(LEFT(Commodities!B$327,1)="*",LEFT(Technologies!B$708,1)="*"),"*","R4")</f>
        <v>*</v>
      </c>
      <c r="C936" s="376" t="str">
        <f>Technologies!C$758</f>
        <v>XIINDKERP3</v>
      </c>
      <c r="D936" s="376" t="str">
        <f>Technologies!D708</f>
        <v>Delivery of Imported Kerosene and Other Refined Products to the Industrial Sector</v>
      </c>
      <c r="E936" s="415" t="str">
        <f>Commodities!C$349</f>
        <v>KERP3</v>
      </c>
      <c r="F936" s="415" t="str">
        <f>Commodities!C96</f>
        <v>INDKER</v>
      </c>
      <c r="G936" s="422">
        <v>1</v>
      </c>
      <c r="H936" s="421">
        <f>DelivOIL!$E89*DelivOIL!P$80^5/(Conv!$I$5*Conv!$D$46)/10^6 + OILTrade!$G$6</f>
        <v>1.4726898524775816</v>
      </c>
      <c r="I936" s="421">
        <f>DelivOIL!$E89*DelivOIL!Q$80^5/(Conv!$I$5*Conv!$D$46)/10^6 + OILTrade!$G$6</f>
        <v>1.318225001399526</v>
      </c>
      <c r="J936" s="421">
        <f>DelivOIL!$E89*DelivOIL!R$80^5/(Conv!$I$5*Conv!$D$46)/10^6 + OILTrade!$G$6</f>
        <v>1.4953159923373875</v>
      </c>
      <c r="K936" s="421">
        <f>DelivOIL!$E89*DelivOIL!S$80^5/(Conv!$I$5*Conv!$D$46)/10^6 + OILTrade!$G$6</f>
        <v>1.7124338775443548</v>
      </c>
      <c r="L936" s="421">
        <f>DelivOIL!$E89*DelivOIL!T$80^5/(Conv!$I$5*Conv!$D$46)/10^6 + OILTrade!$G$6</f>
        <v>1.566639676298049</v>
      </c>
      <c r="M936" s="421">
        <f>DelivOIL!$E89*DelivOIL!U$80^5/(Conv!$I$5*Conv!$D$46)/10^6 + OILTrade!$G$6</f>
        <v>1.4945938871172526</v>
      </c>
      <c r="N936" s="421">
        <f>DelivOIL!$E89*DelivOIL!V$80^5/(Conv!$I$5*Conv!$D$46)/10^6 + OILTrade!$G$6</f>
        <v>1.4945938871172526</v>
      </c>
      <c r="O936" s="421">
        <f>DelivOIL!$E89*DelivOIL!W$80^5/(Conv!$I$5*Conv!$D$46)/10^6 + OILTrade!$G$6</f>
        <v>1.4945938871172526</v>
      </c>
      <c r="P936" s="421">
        <f>DelivOIL!$E89*DelivOIL!X$80^5/(Conv!$I$5*Conv!$D$46)/10^6 + OILTrade!$G$6</f>
        <v>1.4945938871172526</v>
      </c>
      <c r="Q936" s="421">
        <f>DelivOIL!$E89*DelivOIL!Y$80^5/(Conv!$I$5*Conv!$D$46)/10^6 + OILTrade!$G$6</f>
        <v>1.4945938871172526</v>
      </c>
      <c r="S936" s="395"/>
      <c r="T936" s="395"/>
      <c r="U936" s="395"/>
      <c r="V936" s="395"/>
      <c r="W936" s="395"/>
      <c r="X936" s="395"/>
      <c r="Y936" s="395"/>
      <c r="Z936" s="395"/>
      <c r="AA936" s="395"/>
      <c r="AB936" s="395"/>
      <c r="AC936" s="395"/>
    </row>
    <row r="937" spans="2:29">
      <c r="B937" s="376" t="str">
        <f>IF(OR(LEFT(Commodities!B$328,1)="*",LEFT(Technologies!B$709,1)="*"),"*","R4")</f>
        <v>*</v>
      </c>
      <c r="C937" s="376" t="str">
        <f>Technologies!C$759</f>
        <v>XIRESLPGP3</v>
      </c>
      <c r="D937" s="376" t="str">
        <f>Technologies!D709</f>
        <v>Delivery of Imported LPG to the Residential Sector</v>
      </c>
      <c r="E937" s="415" t="str">
        <f>Commodities!C$350</f>
        <v>LPGP3</v>
      </c>
      <c r="F937" s="415" t="str">
        <f>Commodities!C97</f>
        <v>RESLPG</v>
      </c>
      <c r="G937" s="422">
        <v>1</v>
      </c>
      <c r="H937" s="421">
        <f>DelivOIL!$E90*DelivOIL!P$80^5/(Conv!$I$5*Conv!$D$46)/10^6 + OILTrade!$G$6</f>
        <v>2.4408470703100664</v>
      </c>
      <c r="I937" s="421">
        <f>DelivOIL!$E90*DelivOIL!Q$80^5/(Conv!$I$5*Conv!$D$46)/10^6 + OILTrade!$G$6</f>
        <v>2.1848358819492155</v>
      </c>
      <c r="J937" s="421">
        <f>DelivOIL!$E90*DelivOIL!R$80^5/(Conv!$I$5*Conv!$D$46)/10^6 + OILTrade!$G$6</f>
        <v>2.4783478021147451</v>
      </c>
      <c r="K937" s="421">
        <f>DelivOIL!$E90*DelivOIL!S$80^5/(Conv!$I$5*Conv!$D$46)/10^6 + OILTrade!$G$6</f>
        <v>2.8382005933374042</v>
      </c>
      <c r="L937" s="421">
        <f>DelivOIL!$E90*DelivOIL!T$80^5/(Conv!$I$5*Conv!$D$46)/10^6 + OILTrade!$G$6</f>
        <v>2.5965602042347307</v>
      </c>
      <c r="M937" s="421">
        <f>DelivOIL!$E90*DelivOIL!U$80^5/(Conv!$I$5*Conv!$D$46)/10^6 + OILTrade!$G$6</f>
        <v>2.4771509795739659</v>
      </c>
      <c r="N937" s="421">
        <f>DelivOIL!$E90*DelivOIL!V$80^5/(Conv!$I$5*Conv!$D$46)/10^6 + OILTrade!$G$6</f>
        <v>2.4771509795739659</v>
      </c>
      <c r="O937" s="421">
        <f>DelivOIL!$E90*DelivOIL!W$80^5/(Conv!$I$5*Conv!$D$46)/10^6 + OILTrade!$G$6</f>
        <v>2.4771509795739659</v>
      </c>
      <c r="P937" s="421">
        <f>DelivOIL!$E90*DelivOIL!X$80^5/(Conv!$I$5*Conv!$D$46)/10^6 + OILTrade!$G$6</f>
        <v>2.4771509795739659</v>
      </c>
      <c r="Q937" s="421">
        <f>DelivOIL!$E90*DelivOIL!Y$80^5/(Conv!$I$5*Conv!$D$46)/10^6 + OILTrade!$G$6</f>
        <v>2.4771509795739659</v>
      </c>
      <c r="S937" s="395"/>
      <c r="T937" s="395"/>
      <c r="U937" s="395"/>
      <c r="V937" s="395"/>
      <c r="W937" s="395"/>
      <c r="X937" s="395"/>
      <c r="Y937" s="395"/>
      <c r="Z937" s="395"/>
      <c r="AA937" s="395"/>
      <c r="AB937" s="395"/>
      <c r="AC937" s="395"/>
    </row>
    <row r="938" spans="2:29">
      <c r="B938" s="376" t="str">
        <f>IF(OR(LEFT(Commodities!B$328,1)="*",LEFT(Technologies!B$710,1)="*"),"*","R4")</f>
        <v>*</v>
      </c>
      <c r="C938" s="376" t="str">
        <f>Technologies!C$760</f>
        <v>XICOMLPGP3</v>
      </c>
      <c r="D938" s="376" t="str">
        <f>Technologies!D710</f>
        <v>Delivery of Imported LPG to the Commercial Sector</v>
      </c>
      <c r="E938" s="415" t="str">
        <f>Commodities!C$350</f>
        <v>LPGP3</v>
      </c>
      <c r="F938" s="415" t="str">
        <f>Commodities!C98</f>
        <v>COMLPG</v>
      </c>
      <c r="G938" s="422">
        <v>1</v>
      </c>
      <c r="H938" s="421">
        <f>DelivOIL!$E91*DelivOIL!P$80^5/(Conv!$I$5*Conv!$D$46)/10^6 + OILTrade!$G$6</f>
        <v>2.5635712246831979</v>
      </c>
      <c r="I938" s="421">
        <f>DelivOIL!$E91*DelivOIL!Q$80^5/(Conv!$I$5*Conv!$D$46)/10^6 + OILTrade!$G$6</f>
        <v>2.2946879653991754</v>
      </c>
      <c r="J938" s="421">
        <f>DelivOIL!$E91*DelivOIL!R$80^5/(Conv!$I$5*Conv!$D$46)/10^6 + OILTrade!$G$6</f>
        <v>2.60295746814286</v>
      </c>
      <c r="K938" s="421">
        <f>DelivOIL!$E91*DelivOIL!S$80^5/(Conv!$I$5*Conv!$D$46)/10^6 + OILTrade!$G$6</f>
        <v>2.9809034164660995</v>
      </c>
      <c r="L938" s="421">
        <f>DelivOIL!$E91*DelivOIL!T$80^5/(Conv!$I$5*Conv!$D$46)/10^6 + OILTrade!$G$6</f>
        <v>2.7271135105929001</v>
      </c>
      <c r="M938" s="421">
        <f>DelivOIL!$E91*DelivOIL!U$80^5/(Conv!$I$5*Conv!$D$46)/10^6 + OILTrade!$G$6</f>
        <v>2.6017004701670698</v>
      </c>
      <c r="N938" s="421">
        <f>DelivOIL!$E91*DelivOIL!V$80^5/(Conv!$I$5*Conv!$D$46)/10^6 + OILTrade!$G$6</f>
        <v>2.6017004701670698</v>
      </c>
      <c r="O938" s="421">
        <f>DelivOIL!$E91*DelivOIL!W$80^5/(Conv!$I$5*Conv!$D$46)/10^6 + OILTrade!$G$6</f>
        <v>2.6017004701670698</v>
      </c>
      <c r="P938" s="421">
        <f>DelivOIL!$E91*DelivOIL!X$80^5/(Conv!$I$5*Conv!$D$46)/10^6 + OILTrade!$G$6</f>
        <v>2.6017004701670698</v>
      </c>
      <c r="Q938" s="421">
        <f>DelivOIL!$E91*DelivOIL!Y$80^5/(Conv!$I$5*Conv!$D$46)/10^6 + OILTrade!$G$6</f>
        <v>2.6017004701670698</v>
      </c>
      <c r="S938" s="395"/>
      <c r="T938" s="395"/>
      <c r="U938" s="395"/>
      <c r="V938" s="395"/>
      <c r="W938" s="395"/>
      <c r="X938" s="395"/>
      <c r="Y938" s="395"/>
      <c r="Z938" s="395"/>
      <c r="AA938" s="395"/>
      <c r="AB938" s="395"/>
      <c r="AC938" s="395"/>
    </row>
    <row r="939" spans="2:29">
      <c r="B939" s="376" t="str">
        <f>IF(OR(LEFT(Commodities!B$328,1)="*",LEFT(Technologies!B$711,1)="*"),"*","R4")</f>
        <v>*</v>
      </c>
      <c r="C939" s="376" t="str">
        <f>Technologies!C$761</f>
        <v>XIINDLPGP3</v>
      </c>
      <c r="D939" s="376" t="str">
        <f>Technologies!D711</f>
        <v>Delivery of Imported LPG to the Industrial Sector</v>
      </c>
      <c r="E939" s="415" t="str">
        <f>Commodities!C$350</f>
        <v>LPGP3</v>
      </c>
      <c r="F939" s="415" t="str">
        <f>Commodities!C99</f>
        <v>INDLPG</v>
      </c>
      <c r="G939" s="422">
        <v>1</v>
      </c>
      <c r="H939" s="421">
        <f>DelivOIL!$E92*DelivOIL!P$80^5/(Conv!$I$5*Conv!$D$46)/10^6 + OILTrade!$G$6</f>
        <v>1.5204159125115781</v>
      </c>
      <c r="I939" s="421">
        <f>DelivOIL!$E92*DelivOIL!Q$80^5/(Conv!$I$5*Conv!$D$46)/10^6 + OILTrade!$G$6</f>
        <v>1.3609452560745117</v>
      </c>
      <c r="J939" s="421">
        <f>DelivOIL!$E92*DelivOIL!R$80^5/(Conv!$I$5*Conv!$D$46)/10^6 + OILTrade!$G$6</f>
        <v>1.5437753069038778</v>
      </c>
      <c r="K939" s="421">
        <f>DelivOIL!$E92*DelivOIL!S$80^5/(Conv!$I$5*Conv!$D$46)/10^6 + OILTrade!$G$6</f>
        <v>1.7679294198721822</v>
      </c>
      <c r="L939" s="421">
        <f>DelivOIL!$E92*DelivOIL!T$80^5/(Conv!$I$5*Conv!$D$46)/10^6 + OILTrade!$G$6</f>
        <v>1.6174104065484496</v>
      </c>
      <c r="M939" s="421">
        <f>DelivOIL!$E92*DelivOIL!U$80^5/(Conv!$I$5*Conv!$D$46)/10^6 + OILTrade!$G$6</f>
        <v>1.543029800125683</v>
      </c>
      <c r="N939" s="421">
        <f>DelivOIL!$E92*DelivOIL!V$80^5/(Conv!$I$5*Conv!$D$46)/10^6 + OILTrade!$G$6</f>
        <v>1.543029800125683</v>
      </c>
      <c r="O939" s="421">
        <f>DelivOIL!$E92*DelivOIL!W$80^5/(Conv!$I$5*Conv!$D$46)/10^6 + OILTrade!$G$6</f>
        <v>1.543029800125683</v>
      </c>
      <c r="P939" s="421">
        <f>DelivOIL!$E92*DelivOIL!X$80^5/(Conv!$I$5*Conv!$D$46)/10^6 + OILTrade!$G$6</f>
        <v>1.543029800125683</v>
      </c>
      <c r="Q939" s="421">
        <f>DelivOIL!$E92*DelivOIL!Y$80^5/(Conv!$I$5*Conv!$D$46)/10^6 + OILTrade!$G$6</f>
        <v>1.543029800125683</v>
      </c>
      <c r="S939" s="395"/>
      <c r="T939" s="395"/>
      <c r="U939" s="395"/>
      <c r="V939" s="395"/>
      <c r="W939" s="395"/>
      <c r="X939" s="395"/>
      <c r="Y939" s="395"/>
      <c r="Z939" s="395"/>
      <c r="AA939" s="395"/>
      <c r="AB939" s="395"/>
      <c r="AC939" s="395"/>
    </row>
    <row r="940" spans="2:29">
      <c r="B940" s="376" t="str">
        <f>IF(OR(LEFT(Commodities!B$328,1)="*",LEFT(Technologies!B$712,1)="*"),"*","R4")</f>
        <v>*</v>
      </c>
      <c r="C940" s="376" t="str">
        <f>Technologies!C$762</f>
        <v>XITRNLPGP3</v>
      </c>
      <c r="D940" s="376" t="str">
        <f>Technologies!D712</f>
        <v>Delivery of Imported LPG to the Transportation Sector</v>
      </c>
      <c r="E940" s="415" t="str">
        <f>Commodities!C$350</f>
        <v>LPGP3</v>
      </c>
      <c r="F940" s="415" t="str">
        <f>Commodities!C100</f>
        <v>TRNLPG</v>
      </c>
      <c r="G940" s="422">
        <v>1</v>
      </c>
      <c r="H940" s="421">
        <f>DelivOIL!$E93*DelivOIL!P$80^5/(Conv!$I$5*Conv!$D$46)/10^6 + OILTrade!$G$6</f>
        <v>2.8771996191923126</v>
      </c>
      <c r="I940" s="421">
        <f>DelivOIL!$E93*DelivOIL!Q$80^5/(Conv!$I$5*Conv!$D$46)/10^6 + OILTrade!$G$6</f>
        <v>2.5754210675490752</v>
      </c>
      <c r="J940" s="421">
        <f>DelivOIL!$E93*DelivOIL!R$80^5/(Conv!$I$5*Conv!$D$46)/10^6 + OILTrade!$G$6</f>
        <v>2.9214043924369335</v>
      </c>
      <c r="K940" s="421">
        <f>DelivOIL!$E93*DelivOIL!S$80^5/(Conv!$I$5*Conv!$D$46)/10^6 + OILTrade!$G$6</f>
        <v>3.3455884089061017</v>
      </c>
      <c r="L940" s="421">
        <f>DelivOIL!$E93*DelivOIL!T$80^5/(Conv!$I$5*Conv!$D$46)/10^6 + OILTrade!$G$6</f>
        <v>3.0607497379526705</v>
      </c>
      <c r="M940" s="421">
        <f>DelivOIL!$E93*DelivOIL!U$80^5/(Conv!$I$5*Conv!$D$46)/10^6 + OILTrade!$G$6</f>
        <v>2.9199936127938928</v>
      </c>
      <c r="N940" s="421">
        <f>DelivOIL!$E93*DelivOIL!V$80^5/(Conv!$I$5*Conv!$D$46)/10^6 + OILTrade!$G$6</f>
        <v>2.9199936127938928</v>
      </c>
      <c r="O940" s="421">
        <f>DelivOIL!$E93*DelivOIL!W$80^5/(Conv!$I$5*Conv!$D$46)/10^6 + OILTrade!$G$6</f>
        <v>2.9199936127938928</v>
      </c>
      <c r="P940" s="421">
        <f>DelivOIL!$E93*DelivOIL!X$80^5/(Conv!$I$5*Conv!$D$46)/10^6 + OILTrade!$G$6</f>
        <v>2.9199936127938928</v>
      </c>
      <c r="Q940" s="421">
        <f>DelivOIL!$E93*DelivOIL!Y$80^5/(Conv!$I$5*Conv!$D$46)/10^6 + OILTrade!$G$6</f>
        <v>2.9199936127938928</v>
      </c>
      <c r="S940" s="395"/>
      <c r="T940" s="395"/>
      <c r="U940" s="395"/>
      <c r="V940" s="395"/>
      <c r="W940" s="395"/>
      <c r="X940" s="395"/>
      <c r="Y940" s="395"/>
      <c r="Z940" s="395"/>
      <c r="AA940" s="395"/>
      <c r="AB940" s="395"/>
      <c r="AC940" s="395"/>
    </row>
    <row r="941" spans="2:29">
      <c r="B941" s="376" t="str">
        <f>IF(LEFT(Technologies!B$713,1)="*","*","R4")</f>
        <v>*</v>
      </c>
      <c r="C941" s="376" t="str">
        <f>Technologies!C$763</f>
        <v>XITRNMTHP3</v>
      </c>
      <c r="D941" s="376" t="str">
        <f>Technologies!D713</f>
        <v>Delivery of Imported Methanol</v>
      </c>
      <c r="E941" s="415" t="str">
        <f>Commodities!C$351</f>
        <v>MTHP3</v>
      </c>
      <c r="F941" s="415" t="str">
        <f>Commodities!C101</f>
        <v>TRNMTH</v>
      </c>
      <c r="G941" s="422">
        <v>1</v>
      </c>
      <c r="H941" s="421">
        <f>DelivOIL!$E94*DelivOIL!P$80^5/(Conv!$I$5*Conv!$D$46)/10^6 + OILTrade!$G$6</f>
        <v>0.36135445454310988</v>
      </c>
      <c r="I941" s="421">
        <f>DelivOIL!$E94*DelivOIL!Q$80^5/(Conv!$I$5*Conv!$D$46)/10^6 + OILTrade!$G$6</f>
        <v>0.32345335682488341</v>
      </c>
      <c r="J941" s="421">
        <f>DelivOIL!$E94*DelivOIL!R$80^5/(Conv!$I$5*Conv!$D$46)/10^6 + OILTrade!$G$6</f>
        <v>0.36690623886056228</v>
      </c>
      <c r="K941" s="421">
        <f>DelivOIL!$E94*DelivOIL!S$80^5/(Conv!$I$5*Conv!$D$46)/10^6 + OILTrade!$G$6</f>
        <v>0.42018053476782735</v>
      </c>
      <c r="L941" s="421">
        <f>DelivOIL!$E94*DelivOIL!T$80^5/(Conv!$I$5*Conv!$D$46)/10^6 + OILTrade!$G$6</f>
        <v>0.38440695761016902</v>
      </c>
      <c r="M941" s="421">
        <f>DelivOIL!$E94*DelivOIL!U$80^5/(Conv!$I$5*Conv!$D$46)/10^6 + OILTrade!$G$6</f>
        <v>0.36672905563525143</v>
      </c>
      <c r="N941" s="421">
        <f>DelivOIL!$E94*DelivOIL!V$80^5/(Conv!$I$5*Conv!$D$46)/10^6 + OILTrade!$G$6</f>
        <v>0.36672905563525143</v>
      </c>
      <c r="O941" s="421">
        <f>DelivOIL!$E94*DelivOIL!W$80^5/(Conv!$I$5*Conv!$D$46)/10^6 + OILTrade!$G$6</f>
        <v>0.36672905563525143</v>
      </c>
      <c r="P941" s="421">
        <f>DelivOIL!$E94*DelivOIL!X$80^5/(Conv!$I$5*Conv!$D$46)/10^6 + OILTrade!$G$6</f>
        <v>0.36672905563525143</v>
      </c>
      <c r="Q941" s="421">
        <f>DelivOIL!$E94*DelivOIL!Y$80^5/(Conv!$I$5*Conv!$D$46)/10^6 + OILTrade!$G$6</f>
        <v>0.36672905563525143</v>
      </c>
      <c r="S941" s="395"/>
      <c r="T941" s="395"/>
      <c r="U941" s="395"/>
      <c r="V941" s="395"/>
      <c r="W941" s="395"/>
      <c r="X941" s="395"/>
      <c r="Y941" s="395"/>
      <c r="Z941" s="395"/>
      <c r="AA941" s="395"/>
      <c r="AB941" s="395"/>
      <c r="AC941" s="395"/>
    </row>
    <row r="942" spans="2:29">
      <c r="B942" s="376" t="str">
        <f>IF(OR(LEFT(Commodities!B$102,1)="*",LEFT(Technologies!B$714,1)="*"),"*","R4")</f>
        <v>*</v>
      </c>
      <c r="C942" s="376" t="str">
        <f>Technologies!C$764</f>
        <v>XIINDPFSP3</v>
      </c>
      <c r="D942" s="376" t="str">
        <f>Technologies!D714</f>
        <v>Delivery of Imported Petrochemical Feedstocks</v>
      </c>
      <c r="E942" s="415" t="str">
        <f>Commodities!C$352</f>
        <v>PFSP3</v>
      </c>
      <c r="F942" s="415" t="str">
        <f>Commodities!C102</f>
        <v>INDPFS</v>
      </c>
      <c r="G942" s="422">
        <v>1</v>
      </c>
      <c r="H942" s="421">
        <f>DelivOIL!$E95*DelivOIL!P$80^5/(Conv!$I$5*Conv!$D$46)/10^6 + OILTrade!$G$6</f>
        <v>0.95452120067991375</v>
      </c>
      <c r="I942" s="421">
        <f>DelivOIL!$E95*DelivOIL!Q$80^5/(Conv!$I$5*Conv!$D$46)/10^6 + OILTrade!$G$6</f>
        <v>0.85440509349969285</v>
      </c>
      <c r="J942" s="421">
        <f>DelivOIL!$E95*DelivOIL!R$80^5/(Conv!$I$5*Conv!$D$46)/10^6 + OILTrade!$G$6</f>
        <v>0.96918629132978806</v>
      </c>
      <c r="K942" s="421">
        <f>DelivOIL!$E95*DelivOIL!S$80^5/(Conv!$I$5*Conv!$D$46)/10^6 + OILTrade!$G$6</f>
        <v>1.1099108465565262</v>
      </c>
      <c r="L942" s="421">
        <f>DelivOIL!$E95*DelivOIL!T$80^5/(Conv!$I$5*Conv!$D$46)/10^6 + OILTrade!$G$6</f>
        <v>1.0154146050079944</v>
      </c>
      <c r="M942" s="421">
        <f>DelivOIL!$E95*DelivOIL!U$80^5/(Conv!$I$5*Conv!$D$46)/10^6 + OILTrade!$G$6</f>
        <v>0.96871826016858953</v>
      </c>
      <c r="N942" s="421">
        <f>DelivOIL!$E95*DelivOIL!V$80^5/(Conv!$I$5*Conv!$D$46)/10^6 + OILTrade!$G$6</f>
        <v>0.96871826016858953</v>
      </c>
      <c r="O942" s="421">
        <f>DelivOIL!$E95*DelivOIL!W$80^5/(Conv!$I$5*Conv!$D$46)/10^6 + OILTrade!$G$6</f>
        <v>0.96871826016858953</v>
      </c>
      <c r="P942" s="421">
        <f>DelivOIL!$E95*DelivOIL!X$80^5/(Conv!$I$5*Conv!$D$46)/10^6 + OILTrade!$G$6</f>
        <v>0.96871826016858953</v>
      </c>
      <c r="Q942" s="421">
        <f>DelivOIL!$E95*DelivOIL!Y$80^5/(Conv!$I$5*Conv!$D$46)/10^6 + OILTrade!$G$6</f>
        <v>0.96871826016858953</v>
      </c>
      <c r="S942" s="395"/>
      <c r="T942" s="395"/>
      <c r="U942" s="395"/>
      <c r="V942" s="395"/>
      <c r="W942" s="395"/>
      <c r="X942" s="395"/>
      <c r="Y942" s="395"/>
      <c r="Z942" s="395"/>
      <c r="AA942" s="395"/>
      <c r="AB942" s="395"/>
      <c r="AC942" s="395"/>
    </row>
    <row r="943" spans="2:29">
      <c r="B943" s="376" t="str">
        <f>IF(OR(LEFT(Commodities!B$332,1)="*",LEFT(Technologies!B$715,1)="*"),"*","R4")</f>
        <v>*</v>
      </c>
      <c r="C943" s="376" t="str">
        <f>Technologies!C$765</f>
        <v>XIRESRFLP3</v>
      </c>
      <c r="D943" s="376" t="str">
        <f>Technologies!D715</f>
        <v>Delivery of Imported Low Sulfur Residual Fuel Oil to Residential Sector</v>
      </c>
      <c r="E943" s="415" t="str">
        <f>Commodities!C$354</f>
        <v>RFLP3</v>
      </c>
      <c r="F943" s="415" t="str">
        <f>Commodities!C103</f>
        <v>RESRFL</v>
      </c>
      <c r="G943" s="422">
        <v>1</v>
      </c>
      <c r="H943" s="421">
        <f>DelivOIL!$E96*DelivOIL!P$80^5/(Conv!$I$5*Conv!$D$46)/10^6 + OILTrade!$G$6</f>
        <v>0.13636017152570212</v>
      </c>
      <c r="I943" s="421">
        <f>DelivOIL!$E96*DelivOIL!Q$80^5/(Conv!$I$5*Conv!$D$46)/10^6 + OILTrade!$G$6</f>
        <v>0.12205787049995626</v>
      </c>
      <c r="J943" s="421">
        <f>DelivOIL!$E96*DelivOIL!R$80^5/(Conv!$I$5*Conv!$D$46)/10^6 + OILTrade!$G$6</f>
        <v>0.13845518447568417</v>
      </c>
      <c r="K943" s="421">
        <f>DelivOIL!$E96*DelivOIL!S$80^5/(Conv!$I$5*Conv!$D$46)/10^6 + OILTrade!$G$6</f>
        <v>0.15855869236521822</v>
      </c>
      <c r="L943" s="421">
        <f>DelivOIL!$E96*DelivOIL!T$80^5/(Conv!$I$5*Conv!$D$46)/10^6 + OILTrade!$G$6</f>
        <v>0.14505922928685655</v>
      </c>
      <c r="M943" s="421">
        <f>DelivOIL!$E96*DelivOIL!U$80^5/(Conv!$I$5*Conv!$D$46)/10^6 + OILTrade!$G$6</f>
        <v>0.13838832288122724</v>
      </c>
      <c r="N943" s="421">
        <f>DelivOIL!$E96*DelivOIL!V$80^5/(Conv!$I$5*Conv!$D$46)/10^6 + OILTrade!$G$6</f>
        <v>0.13838832288122724</v>
      </c>
      <c r="O943" s="421">
        <f>DelivOIL!$E96*DelivOIL!W$80^5/(Conv!$I$5*Conv!$D$46)/10^6 + OILTrade!$G$6</f>
        <v>0.13838832288122724</v>
      </c>
      <c r="P943" s="421">
        <f>DelivOIL!$E96*DelivOIL!X$80^5/(Conv!$I$5*Conv!$D$46)/10^6 + OILTrade!$G$6</f>
        <v>0.13838832288122724</v>
      </c>
      <c r="Q943" s="421">
        <f>DelivOIL!$E96*DelivOIL!Y$80^5/(Conv!$I$5*Conv!$D$46)/10^6 + OILTrade!$G$6</f>
        <v>0.13838832288122724</v>
      </c>
      <c r="S943" s="395"/>
      <c r="T943" s="395"/>
      <c r="U943" s="395"/>
      <c r="V943" s="395"/>
      <c r="W943" s="395"/>
      <c r="X943" s="395"/>
      <c r="Y943" s="395"/>
      <c r="Z943" s="395"/>
      <c r="AA943" s="395"/>
      <c r="AB943" s="395"/>
      <c r="AC943" s="395"/>
    </row>
    <row r="944" spans="2:29">
      <c r="B944" s="376" t="str">
        <f>IF(OR(LEFT(Commodities!B$332,1)="*",LEFT(Technologies!B$716,1)="*"),"*","R4")</f>
        <v>*</v>
      </c>
      <c r="C944" s="376" t="str">
        <f>Technologies!C$766</f>
        <v>XICOMRFLP3</v>
      </c>
      <c r="D944" s="376" t="str">
        <f>Technologies!D716</f>
        <v>Delivery of Imported Low Sulfur Residual Fuel Oil to Commercial Sector</v>
      </c>
      <c r="E944" s="415" t="str">
        <f>Commodities!C$354</f>
        <v>RFLP3</v>
      </c>
      <c r="F944" s="415" t="str">
        <f>Commodities!C104</f>
        <v>COMRFL</v>
      </c>
      <c r="G944" s="422">
        <v>1</v>
      </c>
      <c r="H944" s="421">
        <f>DelivOIL!$E96*DelivOIL!P$80^5/(Conv!$I$5*Conv!$D$46)/10^6 + OILTrade!$G$6</f>
        <v>0.13636017152570212</v>
      </c>
      <c r="I944" s="421">
        <f>DelivOIL!$E96*DelivOIL!Q$80^5/(Conv!$I$5*Conv!$D$46)/10^6 + OILTrade!$G$6</f>
        <v>0.12205787049995626</v>
      </c>
      <c r="J944" s="421">
        <f>DelivOIL!$E96*DelivOIL!R$80^5/(Conv!$I$5*Conv!$D$46)/10^6 + OILTrade!$G$6</f>
        <v>0.13845518447568417</v>
      </c>
      <c r="K944" s="421">
        <f>DelivOIL!$E96*DelivOIL!S$80^5/(Conv!$I$5*Conv!$D$46)/10^6 + OILTrade!$G$6</f>
        <v>0.15855869236521822</v>
      </c>
      <c r="L944" s="421">
        <f>DelivOIL!$E96*DelivOIL!T$80^5/(Conv!$I$5*Conv!$D$46)/10^6 + OILTrade!$G$6</f>
        <v>0.14505922928685655</v>
      </c>
      <c r="M944" s="421">
        <f>DelivOIL!$E96*DelivOIL!U$80^5/(Conv!$I$5*Conv!$D$46)/10^6 + OILTrade!$G$6</f>
        <v>0.13838832288122724</v>
      </c>
      <c r="N944" s="421">
        <f>DelivOIL!$E96*DelivOIL!V$80^5/(Conv!$I$5*Conv!$D$46)/10^6 + OILTrade!$G$6</f>
        <v>0.13838832288122724</v>
      </c>
      <c r="O944" s="421">
        <f>DelivOIL!$E96*DelivOIL!W$80^5/(Conv!$I$5*Conv!$D$46)/10^6 + OILTrade!$G$6</f>
        <v>0.13838832288122724</v>
      </c>
      <c r="P944" s="421">
        <f>DelivOIL!$E96*DelivOIL!X$80^5/(Conv!$I$5*Conv!$D$46)/10^6 + OILTrade!$G$6</f>
        <v>0.13838832288122724</v>
      </c>
      <c r="Q944" s="421">
        <f>DelivOIL!$E96*DelivOIL!Y$80^5/(Conv!$I$5*Conv!$D$46)/10^6 + OILTrade!$G$6</f>
        <v>0.13838832288122724</v>
      </c>
      <c r="S944" s="395"/>
      <c r="T944" s="395"/>
      <c r="U944" s="395"/>
      <c r="V944" s="395"/>
      <c r="W944" s="395"/>
      <c r="X944" s="395"/>
      <c r="Y944" s="395"/>
      <c r="Z944" s="395"/>
      <c r="AA944" s="395"/>
      <c r="AB944" s="395"/>
      <c r="AC944" s="395"/>
    </row>
    <row r="945" spans="2:29">
      <c r="B945" s="376" t="str">
        <f>IF(OR(LEFT(Commodities!B$332,1)="*",LEFT(Technologies!B$717,1)="*"),"*","R4")</f>
        <v>R4</v>
      </c>
      <c r="C945" s="376" t="str">
        <f>Technologies!C$767</f>
        <v>XIINDRFLP3</v>
      </c>
      <c r="D945" s="376" t="str">
        <f>Technologies!D717</f>
        <v>Delivery of Imported Low Sulfur Residual Fuel Oil to Industrial Sector</v>
      </c>
      <c r="E945" s="415" t="str">
        <f>Commodities!C$354</f>
        <v>RFLP3</v>
      </c>
      <c r="F945" s="415" t="str">
        <f>Commodities!C105</f>
        <v>INDRFL</v>
      </c>
      <c r="G945" s="422">
        <v>1</v>
      </c>
      <c r="H945" s="421">
        <f>DelivOIL!$E97*DelivOIL!P$80^5/(Conv!$I$5*Conv!$D$46)/10^6 + OILTrade!$G$6</f>
        <v>0.15681419725455745</v>
      </c>
      <c r="I945" s="421">
        <f>DelivOIL!$E97*DelivOIL!Q$80^5/(Conv!$I$5*Conv!$D$46)/10^6 + OILTrade!$G$6</f>
        <v>0.14036655107494969</v>
      </c>
      <c r="J945" s="421">
        <f>DelivOIL!$E97*DelivOIL!R$80^5/(Conv!$I$5*Conv!$D$46)/10^6 + OILTrade!$G$6</f>
        <v>0.15922346214703678</v>
      </c>
      <c r="K945" s="421">
        <f>DelivOIL!$E97*DelivOIL!S$80^5/(Conv!$I$5*Conv!$D$46)/10^6 + OILTrade!$G$6</f>
        <v>0.18234249622000093</v>
      </c>
      <c r="L945" s="421">
        <f>DelivOIL!$E97*DelivOIL!T$80^5/(Conv!$I$5*Conv!$D$46)/10^6 + OILTrade!$G$6</f>
        <v>0.16681811367988503</v>
      </c>
      <c r="M945" s="421">
        <f>DelivOIL!$E97*DelivOIL!U$80^5/(Conv!$I$5*Conv!$D$46)/10^6 + OILTrade!$G$6</f>
        <v>0.15914657131341131</v>
      </c>
      <c r="N945" s="421">
        <f>DelivOIL!$E97*DelivOIL!V$80^5/(Conv!$I$5*Conv!$D$46)/10^6 + OILTrade!$G$6</f>
        <v>0.15914657131341131</v>
      </c>
      <c r="O945" s="421">
        <f>DelivOIL!$E97*DelivOIL!W$80^5/(Conv!$I$5*Conv!$D$46)/10^6 + OILTrade!$G$6</f>
        <v>0.15914657131341131</v>
      </c>
      <c r="P945" s="421">
        <f>DelivOIL!$E97*DelivOIL!X$80^5/(Conv!$I$5*Conv!$D$46)/10^6 + OILTrade!$G$6</f>
        <v>0.15914657131341131</v>
      </c>
      <c r="Q945" s="421">
        <f>DelivOIL!$E97*DelivOIL!Y$80^5/(Conv!$I$5*Conv!$D$46)/10^6 + OILTrade!$G$6</f>
        <v>0.15914657131341131</v>
      </c>
      <c r="S945" s="395"/>
      <c r="T945" s="395"/>
      <c r="U945" s="395"/>
      <c r="V945" s="395"/>
      <c r="W945" s="395"/>
      <c r="X945" s="395"/>
      <c r="Y945" s="395"/>
      <c r="Z945" s="395"/>
      <c r="AA945" s="395"/>
      <c r="AB945" s="395"/>
      <c r="AC945" s="395"/>
    </row>
    <row r="946" spans="2:29">
      <c r="B946" s="376" t="str">
        <f>IF(OR(LEFT(Commodities!B$332,1)="*",LEFT(Technologies!B$718,1)="*"),"*","R4")</f>
        <v>*</v>
      </c>
      <c r="C946" s="376" t="str">
        <f>Technologies!C$768</f>
        <v>XIELCRFLP3</v>
      </c>
      <c r="D946" s="376" t="str">
        <f>Technologies!D718</f>
        <v>Delivery of Imported Low Sulfur Residual Fuel Oil to Electricity Sector</v>
      </c>
      <c r="E946" s="415" t="str">
        <f>Commodities!C$354</f>
        <v>RFLP3</v>
      </c>
      <c r="F946" s="415" t="str">
        <f>Commodities!C106</f>
        <v>ELCRFL</v>
      </c>
      <c r="G946" s="422">
        <v>1</v>
      </c>
      <c r="H946" s="421">
        <f>DelivOIL!$E98*DelivOIL!P$80^5/(Conv!$I$5*Conv!$D$46)/10^6 + OILTrade!$G$6</f>
        <v>0</v>
      </c>
      <c r="I946" s="421">
        <f>DelivOIL!$E98*DelivOIL!Q$80^5/(Conv!$I$5*Conv!$D$46)/10^6 + OILTrade!$G$6</f>
        <v>0</v>
      </c>
      <c r="J946" s="421">
        <f>DelivOIL!$E98*DelivOIL!R$80^5/(Conv!$I$5*Conv!$D$46)/10^6 + OILTrade!$G$6</f>
        <v>0</v>
      </c>
      <c r="K946" s="421">
        <f>DelivOIL!$E98*DelivOIL!S$80^5/(Conv!$I$5*Conv!$D$46)/10^6 + OILTrade!$G$6</f>
        <v>0</v>
      </c>
      <c r="L946" s="421">
        <f>DelivOIL!$E98*DelivOIL!T$80^5/(Conv!$I$5*Conv!$D$46)/10^6 + OILTrade!$G$6</f>
        <v>0</v>
      </c>
      <c r="M946" s="421">
        <f>DelivOIL!$E98*DelivOIL!U$80^5/(Conv!$I$5*Conv!$D$46)/10^6 + OILTrade!$G$6</f>
        <v>0</v>
      </c>
      <c r="N946" s="421">
        <f>DelivOIL!$E98*DelivOIL!V$80^5/(Conv!$I$5*Conv!$D$46)/10^6 + OILTrade!$G$6</f>
        <v>0</v>
      </c>
      <c r="O946" s="421">
        <f>DelivOIL!$E98*DelivOIL!W$80^5/(Conv!$I$5*Conv!$D$46)/10^6 + OILTrade!$G$6</f>
        <v>0</v>
      </c>
      <c r="P946" s="421">
        <f>DelivOIL!$E98*DelivOIL!X$80^5/(Conv!$I$5*Conv!$D$46)/10^6 + OILTrade!$G$6</f>
        <v>0</v>
      </c>
      <c r="Q946" s="421">
        <f>DelivOIL!$E98*DelivOIL!Y$80^5/(Conv!$I$5*Conv!$D$46)/10^6 + OILTrade!$G$6</f>
        <v>0</v>
      </c>
      <c r="S946" s="395"/>
      <c r="T946" s="395"/>
      <c r="U946" s="395"/>
      <c r="V946" s="395"/>
      <c r="W946" s="395"/>
      <c r="X946" s="395"/>
      <c r="Y946" s="395"/>
      <c r="Z946" s="395"/>
      <c r="AA946" s="395"/>
      <c r="AB946" s="395"/>
      <c r="AC946" s="395"/>
    </row>
    <row r="947" spans="2:29">
      <c r="B947" s="376" t="str">
        <f>IF(OR(LEFT(Commodities!B$331,1)="*",LEFT(Technologies!B$719,1)="*"),"*","R4")</f>
        <v>*</v>
      </c>
      <c r="C947" s="376" t="str">
        <f>Technologies!C$769</f>
        <v>XITRNRFHP3</v>
      </c>
      <c r="D947" s="376" t="str">
        <f>Technologies!D719</f>
        <v>Delivery of Imported High Sulfur Residual Fuel Oil to Transportation Sector</v>
      </c>
      <c r="E947" s="415" t="str">
        <f>Commodities!C176</f>
        <v>LPGR7</v>
      </c>
      <c r="F947" s="415" t="str">
        <f>Commodities!C107</f>
        <v>TRNRFH</v>
      </c>
      <c r="G947" s="422">
        <v>1</v>
      </c>
      <c r="H947" s="421">
        <f>DelivOIL!$E99*DelivOIL!P$80^5/(Conv!$I$5*Conv!$D$46)/10^6 + OILTrade!$G$6</f>
        <v>6.8180085762851068E-3</v>
      </c>
      <c r="I947" s="421">
        <f>DelivOIL!$E99*DelivOIL!Q$80^5/(Conv!$I$5*Conv!$D$46)/10^6 + OILTrade!$G$6</f>
        <v>6.1028935249978133E-3</v>
      </c>
      <c r="J947" s="421">
        <f>DelivOIL!$E99*DelivOIL!R$80^5/(Conv!$I$5*Conv!$D$46)/10^6 + OILTrade!$G$6</f>
        <v>6.9227592237842079E-3</v>
      </c>
      <c r="K947" s="421">
        <f>DelivOIL!$E99*DelivOIL!S$80^5/(Conv!$I$5*Conv!$D$46)/10^6 + OILTrade!$G$6</f>
        <v>7.9279346182609105E-3</v>
      </c>
      <c r="L947" s="421">
        <f>DelivOIL!$E99*DelivOIL!T$80^5/(Conv!$I$5*Conv!$D$46)/10^6 + OILTrade!$G$6</f>
        <v>7.2529614643428277E-3</v>
      </c>
      <c r="M947" s="421">
        <f>DelivOIL!$E99*DelivOIL!U$80^5/(Conv!$I$5*Conv!$D$46)/10^6 + OILTrade!$G$6</f>
        <v>6.9194161440613621E-3</v>
      </c>
      <c r="N947" s="421">
        <f>DelivOIL!$E99*DelivOIL!V$80^5/(Conv!$I$5*Conv!$D$46)/10^6 + OILTrade!$G$6</f>
        <v>6.9194161440613621E-3</v>
      </c>
      <c r="O947" s="421">
        <f>DelivOIL!$E99*DelivOIL!W$80^5/(Conv!$I$5*Conv!$D$46)/10^6 + OILTrade!$G$6</f>
        <v>6.9194161440613621E-3</v>
      </c>
      <c r="P947" s="421">
        <f>DelivOIL!$E99*DelivOIL!X$80^5/(Conv!$I$5*Conv!$D$46)/10^6 + OILTrade!$G$6</f>
        <v>6.9194161440613621E-3</v>
      </c>
      <c r="Q947" s="421">
        <f>DelivOIL!$E99*DelivOIL!Y$80^5/(Conv!$I$5*Conv!$D$46)/10^6 + OILTrade!$G$6</f>
        <v>6.9194161440613621E-3</v>
      </c>
      <c r="S947" s="395"/>
      <c r="T947" s="395"/>
      <c r="U947" s="395"/>
      <c r="V947" s="395"/>
      <c r="W947" s="395"/>
      <c r="X947" s="395"/>
      <c r="Y947" s="395"/>
      <c r="Z947" s="395"/>
      <c r="AA947" s="395"/>
      <c r="AB947" s="395"/>
      <c r="AC947" s="395"/>
    </row>
    <row r="948" spans="2:29">
      <c r="B948" s="376" t="str">
        <f>IF(OR(LEFT(Commodities!B$331,1)="*",LEFT(Technologies!B$720,1)="*"),"*","R4")</f>
        <v>*</v>
      </c>
      <c r="C948" s="376" t="str">
        <f>Technologies!C$770</f>
        <v>XIELCRFHP3</v>
      </c>
      <c r="D948" s="376" t="str">
        <f>Technologies!D720</f>
        <v>Delivery of Imported High Sulfur Residual Fuel Oil to Electricity Sector</v>
      </c>
      <c r="E948" s="415" t="str">
        <f>Commodities!C177</f>
        <v>MTHR7</v>
      </c>
      <c r="F948" s="415" t="str">
        <f>Commodities!C108</f>
        <v>ELCRFH</v>
      </c>
      <c r="G948" s="422">
        <v>1</v>
      </c>
      <c r="H948" s="421">
        <f>DelivOIL!$E100*DelivOIL!P$80^5/(Conv!$I$5*Conv!$D$46)/10^6 + OILTrade!$G$6</f>
        <v>0</v>
      </c>
      <c r="I948" s="421">
        <f>DelivOIL!$E100*DelivOIL!Q$80^5/(Conv!$I$5*Conv!$D$46)/10^6 + OILTrade!$G$6</f>
        <v>0</v>
      </c>
      <c r="J948" s="421">
        <f>DelivOIL!$E100*DelivOIL!R$80^5/(Conv!$I$5*Conv!$D$46)/10^6 + OILTrade!$G$6</f>
        <v>0</v>
      </c>
      <c r="K948" s="421">
        <f>DelivOIL!$E100*DelivOIL!S$80^5/(Conv!$I$5*Conv!$D$46)/10^6 + OILTrade!$G$6</f>
        <v>0</v>
      </c>
      <c r="L948" s="421">
        <f>DelivOIL!$E100*DelivOIL!T$80^5/(Conv!$I$5*Conv!$D$46)/10^6 + OILTrade!$G$6</f>
        <v>0</v>
      </c>
      <c r="M948" s="421">
        <f>DelivOIL!$E100*DelivOIL!U$80^5/(Conv!$I$5*Conv!$D$46)/10^6 + OILTrade!$G$6</f>
        <v>0</v>
      </c>
      <c r="N948" s="421">
        <f>DelivOIL!$E100*DelivOIL!V$80^5/(Conv!$I$5*Conv!$D$46)/10^6 + OILTrade!$G$6</f>
        <v>0</v>
      </c>
      <c r="O948" s="421">
        <f>DelivOIL!$E100*DelivOIL!W$80^5/(Conv!$I$5*Conv!$D$46)/10^6 + OILTrade!$G$6</f>
        <v>0</v>
      </c>
      <c r="P948" s="421">
        <f>DelivOIL!$E100*DelivOIL!X$80^5/(Conv!$I$5*Conv!$D$46)/10^6 + OILTrade!$G$6</f>
        <v>0</v>
      </c>
      <c r="Q948" s="421">
        <f>DelivOIL!$E100*DelivOIL!Y$80^5/(Conv!$I$5*Conv!$D$46)/10^6 + OILTrade!$G$6</f>
        <v>0</v>
      </c>
      <c r="S948" s="395"/>
      <c r="T948" s="395"/>
      <c r="U948" s="395"/>
      <c r="V948" s="395"/>
      <c r="W948" s="395"/>
      <c r="X948" s="395"/>
      <c r="Y948" s="395"/>
      <c r="Z948" s="395"/>
      <c r="AA948" s="395"/>
      <c r="AB948" s="395"/>
      <c r="AC948" s="395"/>
    </row>
    <row r="949" spans="2:29">
      <c r="B949" s="378" t="s">
        <v>1088</v>
      </c>
      <c r="C949" s="378"/>
      <c r="D949" s="378"/>
      <c r="E949" s="414"/>
      <c r="F949" s="414"/>
      <c r="G949" s="418"/>
      <c r="H949" s="392"/>
      <c r="I949" s="392"/>
      <c r="J949" s="392"/>
      <c r="K949" s="392"/>
      <c r="L949" s="392"/>
      <c r="M949" s="392"/>
      <c r="N949" s="392"/>
      <c r="O949" s="392"/>
      <c r="P949" s="392"/>
      <c r="Q949" s="392"/>
    </row>
    <row r="950" spans="2:29">
      <c r="B950" s="376" t="str">
        <f>IF(LEFT(Technologies!B$702,1)="*","*","R5")</f>
        <v>R5</v>
      </c>
      <c r="C950" s="376" t="str">
        <f>Technologies!C$747</f>
        <v>XITRGSLCP3</v>
      </c>
      <c r="D950" s="376" t="str">
        <f>Technologies!D702</f>
        <v>Delivery of Imported Conventional Gasoline</v>
      </c>
      <c r="E950" s="415" t="str">
        <f>Commodities!C$347</f>
        <v>GSCP3</v>
      </c>
      <c r="F950" s="415" t="str">
        <f>Commodities!C85</f>
        <v>TRGSLC</v>
      </c>
      <c r="G950" s="422">
        <v>1</v>
      </c>
      <c r="H950" s="421">
        <f>DelivOIL!$F77*DelivOIL!P$81^5/(Conv!$I$5*Conv!$D$46)/10^6 + OILTrade!$H$5</f>
        <v>2.9044716534974531</v>
      </c>
      <c r="I950" s="421">
        <f>DelivOIL!$F77*DelivOIL!Q$81^5/(Conv!$I$5*Conv!$D$46)/10^6 + OILTrade!$H$5</f>
        <v>2.8891232893873218</v>
      </c>
      <c r="J950" s="421">
        <f>DelivOIL!$F77*DelivOIL!R$81^5/(Conv!$I$5*Conv!$D$46)/10^6 + OILTrade!$H$5</f>
        <v>3.0393833889655721</v>
      </c>
      <c r="K950" s="421">
        <f>DelivOIL!$F77*DelivOIL!S$81^5/(Conv!$I$5*Conv!$D$46)/10^6 + OILTrade!$H$5</f>
        <v>3.6613025090101332</v>
      </c>
      <c r="L950" s="421">
        <f>DelivOIL!$F77*DelivOIL!T$81^5/(Conv!$I$5*Conv!$D$46)/10^6 + OILTrade!$H$5</f>
        <v>3.3576863147298095</v>
      </c>
      <c r="M950" s="421">
        <f>DelivOIL!$F77*DelivOIL!U$81^5/(Conv!$I$5*Conv!$D$46)/10^6 + OILTrade!$H$5</f>
        <v>2.9755698887715369</v>
      </c>
      <c r="N950" s="421">
        <f>DelivOIL!$F77*DelivOIL!V$81^5/(Conv!$I$5*Conv!$D$46)/10^6 + OILTrade!$H$5</f>
        <v>2.9755698887715369</v>
      </c>
      <c r="O950" s="421">
        <f>DelivOIL!$F77*DelivOIL!W$81^5/(Conv!$I$5*Conv!$D$46)/10^6 + OILTrade!$H$5</f>
        <v>2.9755698887715369</v>
      </c>
      <c r="P950" s="421">
        <f>DelivOIL!$F77*DelivOIL!X$81^5/(Conv!$I$5*Conv!$D$46)/10^6 + OILTrade!$H$5</f>
        <v>2.9755698887715369</v>
      </c>
      <c r="Q950" s="421">
        <f>DelivOIL!$F77*DelivOIL!Y$81^5/(Conv!$I$5*Conv!$D$46)/10^6 + OILTrade!$H$5</f>
        <v>2.9755698887715369</v>
      </c>
      <c r="S950" s="395"/>
      <c r="T950" s="395"/>
      <c r="U950" s="395"/>
      <c r="V950" s="395"/>
      <c r="W950" s="395"/>
      <c r="X950" s="395"/>
      <c r="Y950" s="395"/>
      <c r="Z950" s="395"/>
      <c r="AA950" s="395"/>
      <c r="AB950" s="395"/>
      <c r="AC950" s="395"/>
    </row>
    <row r="951" spans="2:29">
      <c r="B951" s="376" t="str">
        <f>IF(LEFT(Technologies!B$703,1)="*","*","R5")</f>
        <v>R5</v>
      </c>
      <c r="C951" s="376" t="str">
        <f>Technologies!C$748</f>
        <v>XITRGSLRP3</v>
      </c>
      <c r="D951" s="376" t="str">
        <f>Technologies!D703</f>
        <v>Delivery of Imported Reformulated Gasoline</v>
      </c>
      <c r="E951" s="415" t="str">
        <f>Commodities!C$348</f>
        <v>GSRP3</v>
      </c>
      <c r="F951" s="415" t="str">
        <f>Commodities!C86</f>
        <v>TRGSLR</v>
      </c>
      <c r="G951" s="422">
        <v>1</v>
      </c>
      <c r="H951" s="421">
        <f>DelivOIL!$F78*DelivOIL!P$81^5/(Conv!$I$5*Conv!$D$46)/10^6 + OILTrade!$H$5</f>
        <v>2.8567455934634571</v>
      </c>
      <c r="I951" s="421">
        <f>DelivOIL!$F78*DelivOIL!Q$81^5/(Conv!$I$5*Conv!$D$46)/10^6 + OILTrade!$H$5</f>
        <v>2.8416494325194543</v>
      </c>
      <c r="J951" s="421">
        <f>DelivOIL!$F78*DelivOIL!R$81^5/(Conv!$I$5*Conv!$D$46)/10^6 + OILTrade!$H$5</f>
        <v>2.9894404694285792</v>
      </c>
      <c r="K951" s="421">
        <f>DelivOIL!$F78*DelivOIL!S$81^5/(Conv!$I$5*Conv!$D$46)/10^6 + OILTrade!$H$5</f>
        <v>3.6011402612094967</v>
      </c>
      <c r="L951" s="421">
        <f>DelivOIL!$F78*DelivOIL!T$81^5/(Conv!$I$5*Conv!$D$46)/10^6 + OILTrade!$H$5</f>
        <v>3.3025130654267372</v>
      </c>
      <c r="M951" s="421">
        <f>DelivOIL!$F78*DelivOIL!U$81^5/(Conv!$I$5*Conv!$D$46)/10^6 + OILTrade!$H$5</f>
        <v>2.9266755478762296</v>
      </c>
      <c r="N951" s="421">
        <f>DelivOIL!$F78*DelivOIL!V$81^5/(Conv!$I$5*Conv!$D$46)/10^6 + OILTrade!$H$5</f>
        <v>2.9266755478762296</v>
      </c>
      <c r="O951" s="421">
        <f>DelivOIL!$F78*DelivOIL!W$81^5/(Conv!$I$5*Conv!$D$46)/10^6 + OILTrade!$H$5</f>
        <v>2.9266755478762296</v>
      </c>
      <c r="P951" s="421">
        <f>DelivOIL!$F78*DelivOIL!X$81^5/(Conv!$I$5*Conv!$D$46)/10^6 + OILTrade!$H$5</f>
        <v>2.9266755478762296</v>
      </c>
      <c r="Q951" s="421">
        <f>DelivOIL!$F78*DelivOIL!Y$81^5/(Conv!$I$5*Conv!$D$46)/10^6 + OILTrade!$H$5</f>
        <v>2.9266755478762296</v>
      </c>
      <c r="S951" s="395"/>
      <c r="T951" s="395"/>
      <c r="U951" s="395"/>
      <c r="V951" s="395"/>
      <c r="W951" s="395"/>
      <c r="X951" s="395"/>
      <c r="Y951" s="395"/>
      <c r="Z951" s="395"/>
      <c r="AA951" s="395"/>
      <c r="AB951" s="395"/>
      <c r="AC951" s="395"/>
    </row>
    <row r="952" spans="2:29">
      <c r="B952" s="376" t="str">
        <f>IF(OR(LEFT(Commodities!B$65,1)="*",LEFT(Technologies!B$233,1)="*"),"*","R5")</f>
        <v>R5</v>
      </c>
      <c r="C952" s="376" t="str">
        <f>Technologies!C$749</f>
        <v>XIRESDSLP3</v>
      </c>
      <c r="D952" s="376" t="str">
        <f>Technologies!D233</f>
        <v>Delivery of Imported Distillate-Heating Oil No. 2 to the Residential Sector</v>
      </c>
      <c r="E952" s="415" t="str">
        <f>Commodities!C$69</f>
        <v>DSHP3</v>
      </c>
      <c r="F952" s="415" t="str">
        <f>Commodities!C87</f>
        <v>RESDSL</v>
      </c>
      <c r="G952" s="422">
        <v>1</v>
      </c>
      <c r="H952" s="421">
        <f>DelivOIL!$F80*DelivOIL!P$81^5/(Conv!$I$5*Conv!$D$46)/10^6 + OILTrade!$H$5</f>
        <v>3.3340061938034138</v>
      </c>
      <c r="I952" s="421">
        <f>DelivOIL!$F80*DelivOIL!Q$81^5/(Conv!$I$5*Conv!$D$46)/10^6 + OILTrade!$H$5</f>
        <v>3.3163880011981219</v>
      </c>
      <c r="J952" s="421">
        <f>DelivOIL!$F80*DelivOIL!R$81^5/(Conv!$I$5*Conv!$D$46)/10^6 + OILTrade!$H$5</f>
        <v>3.4888696647985089</v>
      </c>
      <c r="K952" s="421">
        <f>DelivOIL!$F80*DelivOIL!S$81^5/(Conv!$I$5*Conv!$D$46)/10^6 + OILTrade!$H$5</f>
        <v>4.2027627392158564</v>
      </c>
      <c r="L952" s="421">
        <f>DelivOIL!$F80*DelivOIL!T$81^5/(Conv!$I$5*Conv!$D$46)/10^6 + OILTrade!$H$5</f>
        <v>3.8542455584574564</v>
      </c>
      <c r="M952" s="421">
        <f>DelivOIL!$F80*DelivOIL!U$81^5/(Conv!$I$5*Conv!$D$46)/10^6 + OILTrade!$H$5</f>
        <v>3.4156189568292987</v>
      </c>
      <c r="N952" s="421">
        <f>DelivOIL!$F80*DelivOIL!V$81^5/(Conv!$I$5*Conv!$D$46)/10^6 + OILTrade!$H$5</f>
        <v>3.4156189568292987</v>
      </c>
      <c r="O952" s="421">
        <f>DelivOIL!$F80*DelivOIL!W$81^5/(Conv!$I$5*Conv!$D$46)/10^6 + OILTrade!$H$5</f>
        <v>3.4156189568292987</v>
      </c>
      <c r="P952" s="421">
        <f>DelivOIL!$F80*DelivOIL!X$81^5/(Conv!$I$5*Conv!$D$46)/10^6 + OILTrade!$H$5</f>
        <v>3.4156189568292987</v>
      </c>
      <c r="Q952" s="421">
        <f>DelivOIL!$F80*DelivOIL!Y$81^5/(Conv!$I$5*Conv!$D$46)/10^6 + OILTrade!$H$5</f>
        <v>3.4156189568292987</v>
      </c>
      <c r="S952" s="395"/>
      <c r="T952" s="395"/>
      <c r="U952" s="395"/>
      <c r="V952" s="395"/>
      <c r="W952" s="395"/>
      <c r="X952" s="395"/>
      <c r="Y952" s="395"/>
      <c r="Z952" s="395"/>
      <c r="AA952" s="395"/>
      <c r="AB952" s="395"/>
      <c r="AC952" s="395"/>
    </row>
    <row r="953" spans="2:29">
      <c r="B953" s="376" t="str">
        <f>IF(OR(LEFT(Commodities!B$65,1)="*",LEFT(Technologies!B$234,1)="*"),"*","R5")</f>
        <v>R5</v>
      </c>
      <c r="C953" s="376" t="str">
        <f>Technologies!C$750</f>
        <v>XICOMDSLP3</v>
      </c>
      <c r="D953" s="376" t="str">
        <f>Technologies!D234</f>
        <v>Delivery of Imported Distillate-Heating Oil No. 2 to the Commercial Sector</v>
      </c>
      <c r="E953" s="415" t="str">
        <f>Commodities!C$69</f>
        <v>DSHP3</v>
      </c>
      <c r="F953" s="415" t="str">
        <f>Commodities!C88</f>
        <v>COMDSL</v>
      </c>
      <c r="G953" s="422">
        <v>1</v>
      </c>
      <c r="H953" s="421">
        <f>DelivOIL!$F81*DelivOIL!P$81^5/(Conv!$I$5*Conv!$D$46)/10^6 + OILTrade!$H$5</f>
        <v>1.0158832778664801</v>
      </c>
      <c r="I953" s="421">
        <f>DelivOIL!$F81*DelivOIL!Q$81^5/(Conv!$I$5*Conv!$D$46)/10^6 + OILTrade!$H$5</f>
        <v>1.0105149533303073</v>
      </c>
      <c r="J953" s="421">
        <f>DelivOIL!$F81*DelivOIL!R$81^5/(Conv!$I$5*Conv!$D$46)/10^6 + OILTrade!$H$5</f>
        <v>1.0630707158588504</v>
      </c>
      <c r="K953" s="421">
        <f>DelivOIL!$F81*DelivOIL!S$81^5/(Conv!$I$5*Conv!$D$46)/10^6 + OILTrade!$H$5</f>
        <v>1.2805964174706803</v>
      </c>
      <c r="L953" s="421">
        <f>DelivOIL!$F81*DelivOIL!T$81^5/(Conv!$I$5*Conv!$D$46)/10^6 + OILTrade!$H$5</f>
        <v>1.1744020208796753</v>
      </c>
      <c r="M953" s="421">
        <f>DelivOIL!$F81*DelivOIL!U$81^5/(Conv!$I$5*Conv!$D$46)/10^6 + OILTrade!$H$5</f>
        <v>1.0407509704858191</v>
      </c>
      <c r="N953" s="421">
        <f>DelivOIL!$F81*DelivOIL!V$81^5/(Conv!$I$5*Conv!$D$46)/10^6 + OILTrade!$H$5</f>
        <v>1.0407509704858191</v>
      </c>
      <c r="O953" s="421">
        <f>DelivOIL!$F81*DelivOIL!W$81^5/(Conv!$I$5*Conv!$D$46)/10^6 + OILTrade!$H$5</f>
        <v>1.0407509704858191</v>
      </c>
      <c r="P953" s="421">
        <f>DelivOIL!$F81*DelivOIL!X$81^5/(Conv!$I$5*Conv!$D$46)/10^6 + OILTrade!$H$5</f>
        <v>1.0407509704858191</v>
      </c>
      <c r="Q953" s="421">
        <f>DelivOIL!$F81*DelivOIL!Y$81^5/(Conv!$I$5*Conv!$D$46)/10^6 + OILTrade!$H$5</f>
        <v>1.0407509704858191</v>
      </c>
      <c r="S953" s="395"/>
      <c r="T953" s="395"/>
      <c r="U953" s="395"/>
      <c r="V953" s="395"/>
      <c r="W953" s="395"/>
      <c r="X953" s="395"/>
      <c r="Y953" s="395"/>
      <c r="Z953" s="395"/>
      <c r="AA953" s="395"/>
      <c r="AB953" s="395"/>
      <c r="AC953" s="395"/>
    </row>
    <row r="954" spans="2:29">
      <c r="B954" s="376" t="str">
        <f>IF(OR(LEFT(Commodities!B$65,1)="*",LEFT(Technologies!B$235,1)="*"),"*","R5")</f>
        <v>*</v>
      </c>
      <c r="C954" s="376" t="str">
        <f>Technologies!C$751</f>
        <v>XIINDDSLP3</v>
      </c>
      <c r="D954" s="376" t="str">
        <f>Technologies!D235</f>
        <v>Delivery of Imported Distillate-Heating Oil No. 2 to the Indistrial Sector</v>
      </c>
      <c r="E954" s="415" t="str">
        <f>Commodities!C$69</f>
        <v>DSHP3</v>
      </c>
      <c r="F954" s="415" t="str">
        <f>Commodities!C89</f>
        <v>INDDSL</v>
      </c>
      <c r="G954" s="422">
        <v>1</v>
      </c>
      <c r="H954" s="421">
        <f>DelivOIL!$F82*DelivOIL!P$81^5/(Conv!$I$5*Conv!$D$46)/10^6 + OILTrade!$H$5</f>
        <v>1.2272415437313182</v>
      </c>
      <c r="I954" s="421">
        <f>DelivOIL!$F82*DelivOIL!Q$81^5/(Conv!$I$5*Conv!$D$46)/10^6 + OILTrade!$H$5</f>
        <v>1.2207563194594317</v>
      </c>
      <c r="J954" s="421">
        <f>DelivOIL!$F82*DelivOIL!R$81^5/(Conv!$I$5*Conv!$D$46)/10^6 + OILTrade!$H$5</f>
        <v>1.2842465023798193</v>
      </c>
      <c r="K954" s="421">
        <f>DelivOIL!$F82*DelivOIL!S$81^5/(Conv!$I$5*Conv!$D$46)/10^6 + OILTrade!$H$5</f>
        <v>1.5470292291592116</v>
      </c>
      <c r="L954" s="421">
        <f>DelivOIL!$F82*DelivOIL!T$81^5/(Conv!$I$5*Conv!$D$46)/10^6 + OILTrade!$H$5</f>
        <v>1.4187406963647082</v>
      </c>
      <c r="M954" s="421">
        <f>DelivOIL!$F82*DelivOIL!U$81^5/(Conv!$I$5*Conv!$D$46)/10^6 + OILTrade!$H$5</f>
        <v>1.2572830515936073</v>
      </c>
      <c r="N954" s="421">
        <f>DelivOIL!$F82*DelivOIL!V$81^5/(Conv!$I$5*Conv!$D$46)/10^6 + OILTrade!$H$5</f>
        <v>1.2572830515936073</v>
      </c>
      <c r="O954" s="421">
        <f>DelivOIL!$F82*DelivOIL!W$81^5/(Conv!$I$5*Conv!$D$46)/10^6 + OILTrade!$H$5</f>
        <v>1.2572830515936073</v>
      </c>
      <c r="P954" s="421">
        <f>DelivOIL!$F82*DelivOIL!X$81^5/(Conv!$I$5*Conv!$D$46)/10^6 + OILTrade!$H$5</f>
        <v>1.2572830515936073</v>
      </c>
      <c r="Q954" s="421">
        <f>DelivOIL!$F82*DelivOIL!Y$81^5/(Conv!$I$5*Conv!$D$46)/10^6 + OILTrade!$H$5</f>
        <v>1.2572830515936073</v>
      </c>
      <c r="S954" s="395"/>
      <c r="T954" s="395"/>
      <c r="U954" s="395"/>
      <c r="V954" s="395"/>
      <c r="W954" s="395"/>
      <c r="X954" s="395"/>
      <c r="Y954" s="395"/>
      <c r="Z954" s="395"/>
      <c r="AA954" s="395"/>
      <c r="AB954" s="395"/>
      <c r="AC954" s="395"/>
    </row>
    <row r="955" spans="2:29">
      <c r="B955" s="376" t="str">
        <f>IF(OR(LEFT(Commodities!B$65,1)="*",LEFT(Technologies!B$236,1)="*"),"*","R5")</f>
        <v>R5</v>
      </c>
      <c r="C955" s="376" t="str">
        <f>Technologies!C$752</f>
        <v>XIELCDSLP3</v>
      </c>
      <c r="D955" s="376" t="str">
        <f>Technologies!D236</f>
        <v>Delivery of Imported Distillate-Heating Oil No. 2 to the Electricity Sector</v>
      </c>
      <c r="E955" s="415" t="str">
        <f>Commodities!C$69</f>
        <v>DSHP3</v>
      </c>
      <c r="F955" s="415" t="str">
        <f>Commodities!C90</f>
        <v>ELCDSL</v>
      </c>
      <c r="G955" s="422">
        <v>1</v>
      </c>
      <c r="H955" s="421">
        <f>DelivOIL!$F83*DelivOIL!P$81^5/(Conv!$I$5*Conv!$D$46)/10^6 + OILTrade!$H$5</f>
        <v>0.42953454030596167</v>
      </c>
      <c r="I955" s="421">
        <f>DelivOIL!$F83*DelivOIL!Q$81^5/(Conv!$I$5*Conv!$D$46)/10^6 + OILTrade!$H$5</f>
        <v>0.42726471181080139</v>
      </c>
      <c r="J955" s="421">
        <f>DelivOIL!$F83*DelivOIL!R$81^5/(Conv!$I$5*Conv!$D$46)/10^6 + OILTrade!$H$5</f>
        <v>0.4494862758329371</v>
      </c>
      <c r="K955" s="421">
        <f>DelivOIL!$F83*DelivOIL!S$81^5/(Conv!$I$5*Conv!$D$46)/10^6 + OILTrade!$H$5</f>
        <v>0.54146023020572431</v>
      </c>
      <c r="L955" s="421">
        <f>DelivOIL!$F83*DelivOIL!T$81^5/(Conv!$I$5*Conv!$D$46)/10^6 + OILTrade!$H$5</f>
        <v>0.4965592437276482</v>
      </c>
      <c r="M955" s="421">
        <f>DelivOIL!$F83*DelivOIL!U$81^5/(Conv!$I$5*Conv!$D$46)/10^6 + OILTrade!$H$5</f>
        <v>0.44004906805776278</v>
      </c>
      <c r="N955" s="421">
        <f>DelivOIL!$F83*DelivOIL!V$81^5/(Conv!$I$5*Conv!$D$46)/10^6 + OILTrade!$H$5</f>
        <v>0.44004906805776278</v>
      </c>
      <c r="O955" s="421">
        <f>DelivOIL!$F83*DelivOIL!W$81^5/(Conv!$I$5*Conv!$D$46)/10^6 + OILTrade!$H$5</f>
        <v>0.44004906805776278</v>
      </c>
      <c r="P955" s="421">
        <f>DelivOIL!$F83*DelivOIL!X$81^5/(Conv!$I$5*Conv!$D$46)/10^6 + OILTrade!$H$5</f>
        <v>0.44004906805776278</v>
      </c>
      <c r="Q955" s="421">
        <f>DelivOIL!$F83*DelivOIL!Y$81^5/(Conv!$I$5*Conv!$D$46)/10^6 + OILTrade!$H$5</f>
        <v>0.44004906805776278</v>
      </c>
      <c r="S955" s="395"/>
      <c r="T955" s="395"/>
      <c r="U955" s="395"/>
      <c r="V955" s="395"/>
      <c r="W955" s="395"/>
      <c r="X955" s="395"/>
      <c r="Y955" s="395"/>
      <c r="Z955" s="395"/>
      <c r="AA955" s="395"/>
      <c r="AB955" s="395"/>
      <c r="AC955" s="395"/>
    </row>
    <row r="956" spans="2:29">
      <c r="B956" s="376" t="str">
        <f>IF(OR(LEFT(Commodities!B$323,1)="*",LEFT(Technologies!B$704,1)="*"),"*","R5")</f>
        <v>R5</v>
      </c>
      <c r="C956" s="376" t="str">
        <f>Technologies!C$753</f>
        <v>XITRDSLLP3</v>
      </c>
      <c r="D956" s="376" t="str">
        <f>Technologies!D704</f>
        <v>Delivery of Imported Distillate-Low Sulfur Highway Diesel (500 ppm)</v>
      </c>
      <c r="E956" s="415" t="str">
        <f>Commodities!C$345</f>
        <v>DSLP3</v>
      </c>
      <c r="F956" s="415" t="str">
        <f>Commodities!C91</f>
        <v>TRDSLL</v>
      </c>
      <c r="G956" s="422">
        <v>1</v>
      </c>
      <c r="H956" s="421">
        <f>DelivOIL!$F84*DelivOIL!P$81^5/(Conv!$I$5*Conv!$D$46)/10^6 + OILTrade!$H$5</f>
        <v>3.3953682709899806</v>
      </c>
      <c r="I956" s="421">
        <f>DelivOIL!$F84*DelivOIL!Q$81^5/(Conv!$I$5*Conv!$D$46)/10^6 + OILTrade!$H$5</f>
        <v>3.3774258171710945</v>
      </c>
      <c r="J956" s="421">
        <f>DelivOIL!$F84*DelivOIL!R$81^5/(Conv!$I$5*Conv!$D$46)/10^6 + OILTrade!$H$5</f>
        <v>3.553081989917501</v>
      </c>
      <c r="K956" s="421">
        <f>DelivOIL!$F84*DelivOIL!S$81^5/(Conv!$I$5*Conv!$D$46)/10^6 + OILTrade!$H$5</f>
        <v>4.2801142006738182</v>
      </c>
      <c r="L956" s="421">
        <f>DelivOIL!$F84*DelivOIL!T$81^5/(Conv!$I$5*Conv!$D$46)/10^6 + OILTrade!$H$5</f>
        <v>3.925182593275693</v>
      </c>
      <c r="M956" s="421">
        <f>DelivOIL!$F84*DelivOIL!U$81^5/(Conv!$I$5*Conv!$D$46)/10^6 + OILTrade!$H$5</f>
        <v>3.4784831094089799</v>
      </c>
      <c r="N956" s="421">
        <f>DelivOIL!$F84*DelivOIL!V$81^5/(Conv!$I$5*Conv!$D$46)/10^6 + OILTrade!$H$5</f>
        <v>3.4784831094089799</v>
      </c>
      <c r="O956" s="421">
        <f>DelivOIL!$F84*DelivOIL!W$81^5/(Conv!$I$5*Conv!$D$46)/10^6 + OILTrade!$H$5</f>
        <v>3.4784831094089799</v>
      </c>
      <c r="P956" s="421">
        <f>DelivOIL!$F84*DelivOIL!X$81^5/(Conv!$I$5*Conv!$D$46)/10^6 + OILTrade!$H$5</f>
        <v>3.4784831094089799</v>
      </c>
      <c r="Q956" s="421">
        <f>DelivOIL!$F84*DelivOIL!Y$81^5/(Conv!$I$5*Conv!$D$46)/10^6 + OILTrade!$H$5</f>
        <v>3.4784831094089799</v>
      </c>
      <c r="S956" s="395"/>
      <c r="T956" s="395"/>
      <c r="U956" s="395"/>
      <c r="V956" s="395"/>
      <c r="W956" s="395"/>
      <c r="X956" s="395"/>
      <c r="Y956" s="395"/>
      <c r="Z956" s="395"/>
      <c r="AA956" s="395"/>
      <c r="AB956" s="395"/>
      <c r="AC956" s="395"/>
    </row>
    <row r="957" spans="2:29">
      <c r="B957" s="376" t="str">
        <f>IF(OR(LEFT(Commodities!B$324,1)="*",LEFT(Technologies!B$705,1)="*"),"*","R5")</f>
        <v>R5</v>
      </c>
      <c r="C957" s="376" t="str">
        <f>Technologies!C$754</f>
        <v>XITRDSLUP3</v>
      </c>
      <c r="D957" s="376" t="str">
        <f>Technologies!D705</f>
        <v>Delivery of Imported Distillate-Ultralow Sulfur Highway Diesel (15 ppm)</v>
      </c>
      <c r="E957" s="415" t="str">
        <f>Commodities!C$346</f>
        <v>DSUP3</v>
      </c>
      <c r="F957" s="415" t="str">
        <f>Commodities!C92</f>
        <v>TRDSLU</v>
      </c>
      <c r="G957" s="422">
        <v>1</v>
      </c>
      <c r="H957" s="421">
        <f>DelivOIL!$F85*DelivOIL!P$81^5/(Conv!$I$5*Conv!$D$46)/10^6 + OILTrade!$H$5</f>
        <v>2.7544754648191812</v>
      </c>
      <c r="I957" s="421">
        <f>DelivOIL!$F85*DelivOIL!Q$81^5/(Conv!$I$5*Conv!$D$46)/10^6 + OILTrade!$H$5</f>
        <v>2.7399197392311696</v>
      </c>
      <c r="J957" s="421">
        <f>DelivOIL!$F85*DelivOIL!R$81^5/(Conv!$I$5*Conv!$D$46)/10^6 + OILTrade!$H$5</f>
        <v>2.8824199275635953</v>
      </c>
      <c r="K957" s="421">
        <f>DelivOIL!$F85*DelivOIL!S$81^5/(Conv!$I$5*Conv!$D$46)/10^6 + OILTrade!$H$5</f>
        <v>3.4722211587795635</v>
      </c>
      <c r="L957" s="421">
        <f>DelivOIL!$F85*DelivOIL!T$81^5/(Conv!$I$5*Conv!$D$46)/10^6 + OILTrade!$H$5</f>
        <v>3.1842846740630124</v>
      </c>
      <c r="M957" s="421">
        <f>DelivOIL!$F85*DelivOIL!U$81^5/(Conv!$I$5*Conv!$D$46)/10^6 + OILTrade!$H$5</f>
        <v>2.8219019602434301</v>
      </c>
      <c r="N957" s="421">
        <f>DelivOIL!$F85*DelivOIL!V$81^5/(Conv!$I$5*Conv!$D$46)/10^6 + OILTrade!$H$5</f>
        <v>2.8219019602434301</v>
      </c>
      <c r="O957" s="421">
        <f>DelivOIL!$F85*DelivOIL!W$81^5/(Conv!$I$5*Conv!$D$46)/10^6 + OILTrade!$H$5</f>
        <v>2.8219019602434301</v>
      </c>
      <c r="P957" s="421">
        <f>DelivOIL!$F85*DelivOIL!X$81^5/(Conv!$I$5*Conv!$D$46)/10^6 + OILTrade!$H$5</f>
        <v>2.8219019602434301</v>
      </c>
      <c r="Q957" s="421">
        <f>DelivOIL!$F85*DelivOIL!Y$81^5/(Conv!$I$5*Conv!$D$46)/10^6 + OILTrade!$H$5</f>
        <v>2.8219019602434301</v>
      </c>
      <c r="S957" s="395"/>
      <c r="T957" s="395"/>
      <c r="U957" s="395"/>
      <c r="V957" s="395"/>
      <c r="W957" s="395"/>
      <c r="X957" s="395"/>
      <c r="Y957" s="395"/>
      <c r="Z957" s="395"/>
      <c r="AA957" s="395"/>
      <c r="AB957" s="395"/>
      <c r="AC957" s="395"/>
    </row>
    <row r="958" spans="2:29">
      <c r="B958" s="376" t="str">
        <f>IF(OR(LEFT(Commodities!B$64,1)="*",LEFT(Technologies!B$232,1)="*"),"*","R5")</f>
        <v>R5</v>
      </c>
      <c r="C958" s="376" t="str">
        <f>Technologies!C$755</f>
        <v>XITRNJTFP3</v>
      </c>
      <c r="D958" s="376" t="str">
        <f>Technologies!D232</f>
        <v>Delivery of Imported Jet Fuel</v>
      </c>
      <c r="E958" s="415" t="str">
        <f>Commodities!C$68</f>
        <v>JTFP3</v>
      </c>
      <c r="F958" s="415" t="str">
        <f>Commodities!C93</f>
        <v>TRNJTF</v>
      </c>
      <c r="G958" s="422">
        <v>1</v>
      </c>
      <c r="H958" s="421">
        <f>DelivOIL!$F86*DelivOIL!P$81^5/(Conv!$I$5*Conv!$D$46)/10^6 + OILTrade!$H$5</f>
        <v>0.60680276328937377</v>
      </c>
      <c r="I958" s="421">
        <f>DelivOIL!$F86*DelivOIL!Q$81^5/(Conv!$I$5*Conv!$D$46)/10^6 + OILTrade!$H$5</f>
        <v>0.6035961801771631</v>
      </c>
      <c r="J958" s="421">
        <f>DelivOIL!$F86*DelivOIL!R$81^5/(Conv!$I$5*Conv!$D$46)/10^6 + OILTrade!$H$5</f>
        <v>0.63498854839891028</v>
      </c>
      <c r="K958" s="421">
        <f>DelivOIL!$F86*DelivOIL!S$81^5/(Conv!$I$5*Conv!$D$46)/10^6 + OILTrade!$H$5</f>
        <v>0.76492000775094293</v>
      </c>
      <c r="L958" s="421">
        <f>DelivOIL!$F86*DelivOIL!T$81^5/(Conv!$I$5*Conv!$D$46)/10^6 + OILTrade!$H$5</f>
        <v>0.70148845542477201</v>
      </c>
      <c r="M958" s="421">
        <f>DelivOIL!$F86*DelivOIL!U$81^5/(Conv!$I$5*Conv!$D$46)/10^6 + OILTrade!$H$5</f>
        <v>0.62165661995461652</v>
      </c>
      <c r="N958" s="421">
        <f>DelivOIL!$F86*DelivOIL!V$81^5/(Conv!$I$5*Conv!$D$46)/10^6 + OILTrade!$H$5</f>
        <v>0.62165661995461652</v>
      </c>
      <c r="O958" s="421">
        <f>DelivOIL!$F86*DelivOIL!W$81^5/(Conv!$I$5*Conv!$D$46)/10^6 + OILTrade!$H$5</f>
        <v>0.62165661995461652</v>
      </c>
      <c r="P958" s="421">
        <f>DelivOIL!$F86*DelivOIL!X$81^5/(Conv!$I$5*Conv!$D$46)/10^6 + OILTrade!$H$5</f>
        <v>0.62165661995461652</v>
      </c>
      <c r="Q958" s="421">
        <f>DelivOIL!$F86*DelivOIL!Y$81^5/(Conv!$I$5*Conv!$D$46)/10^6 + OILTrade!$H$5</f>
        <v>0.62165661995461652</v>
      </c>
      <c r="S958" s="395"/>
      <c r="T958" s="395"/>
      <c r="U958" s="395"/>
      <c r="V958" s="395"/>
      <c r="W958" s="395"/>
      <c r="X958" s="395"/>
      <c r="Y958" s="395"/>
      <c r="Z958" s="395"/>
      <c r="AA958" s="395"/>
      <c r="AB958" s="395"/>
      <c r="AC958" s="395"/>
    </row>
    <row r="959" spans="2:29">
      <c r="B959" s="376" t="str">
        <f>IF(OR(LEFT(Commodities!B$327,1)="*",LEFT(Technologies!B$706,1)="*"),"*","R5")</f>
        <v>*</v>
      </c>
      <c r="C959" s="376" t="str">
        <f>Technologies!C$756</f>
        <v>XIRESKERP3</v>
      </c>
      <c r="D959" s="376" t="str">
        <f>Technologies!D706</f>
        <v>Delivery of Imported Kerosene and Other Refined Products to the Residential Sector</v>
      </c>
      <c r="E959" s="415" t="str">
        <f>Commodities!C$349</f>
        <v>KERP3</v>
      </c>
      <c r="F959" s="415" t="str">
        <f>Commodities!C94</f>
        <v>RESKER</v>
      </c>
      <c r="G959" s="422">
        <v>1</v>
      </c>
      <c r="H959" s="421">
        <f>DelivOIL!$F87*DelivOIL!P$81^5/(Conv!$I$5*Conv!$D$46)/10^6 + OILTrade!$H$5</f>
        <v>2.2363068130215127</v>
      </c>
      <c r="I959" s="421">
        <f>DelivOIL!$F87*DelivOIL!Q$81^5/(Conv!$I$5*Conv!$D$46)/10^6 + OILTrade!$H$5</f>
        <v>2.2244892932371862</v>
      </c>
      <c r="J959" s="421">
        <f>DelivOIL!$F87*DelivOIL!R$81^5/(Conv!$I$5*Conv!$D$46)/10^6 + OILTrade!$H$5</f>
        <v>2.3401825154476703</v>
      </c>
      <c r="K959" s="421">
        <f>DelivOIL!$F87*DelivOIL!S$81^5/(Conv!$I$5*Conv!$D$46)/10^6 + OILTrade!$H$5</f>
        <v>2.8190310398012288</v>
      </c>
      <c r="L959" s="421">
        <f>DelivOIL!$F87*DelivOIL!T$81^5/(Conv!$I$5*Conv!$D$46)/10^6 + OILTrade!$H$5</f>
        <v>2.5852608244868009</v>
      </c>
      <c r="M959" s="421">
        <f>DelivOIL!$F87*DelivOIL!U$81^5/(Conv!$I$5*Conv!$D$46)/10^6 + OILTrade!$H$5</f>
        <v>2.2910491162372391</v>
      </c>
      <c r="N959" s="421">
        <f>DelivOIL!$F87*DelivOIL!V$81^5/(Conv!$I$5*Conv!$D$46)/10^6 + OILTrade!$H$5</f>
        <v>2.2910491162372391</v>
      </c>
      <c r="O959" s="421">
        <f>DelivOIL!$F87*DelivOIL!W$81^5/(Conv!$I$5*Conv!$D$46)/10^6 + OILTrade!$H$5</f>
        <v>2.2910491162372391</v>
      </c>
      <c r="P959" s="421">
        <f>DelivOIL!$F87*DelivOIL!X$81^5/(Conv!$I$5*Conv!$D$46)/10^6 + OILTrade!$H$5</f>
        <v>2.2910491162372391</v>
      </c>
      <c r="Q959" s="421">
        <f>DelivOIL!$F87*DelivOIL!Y$81^5/(Conv!$I$5*Conv!$D$46)/10^6 + OILTrade!$H$5</f>
        <v>2.2910491162372391</v>
      </c>
      <c r="S959" s="395"/>
      <c r="T959" s="395"/>
      <c r="U959" s="395"/>
      <c r="V959" s="395"/>
      <c r="W959" s="395"/>
      <c r="X959" s="395"/>
      <c r="Y959" s="395"/>
      <c r="Z959" s="395"/>
      <c r="AA959" s="395"/>
      <c r="AB959" s="395"/>
      <c r="AC959" s="395"/>
    </row>
    <row r="960" spans="2:29">
      <c r="B960" s="376" t="str">
        <f>IF(OR(LEFT(Commodities!B$327,1)="*",LEFT(Technologies!B$707,1)="*"),"*","R5")</f>
        <v>*</v>
      </c>
      <c r="C960" s="376" t="str">
        <f>Technologies!C$757</f>
        <v>XICOMKERP3</v>
      </c>
      <c r="D960" s="376" t="str">
        <f>Technologies!D707</f>
        <v>Delivery of Imported Kerosene and Other Refined Products to the Commercial Sector</v>
      </c>
      <c r="E960" s="415" t="str">
        <f>Commodities!C$349</f>
        <v>KERP3</v>
      </c>
      <c r="F960" s="415" t="str">
        <f>Commodities!C95</f>
        <v>COMKER</v>
      </c>
      <c r="G960" s="422">
        <v>1</v>
      </c>
      <c r="H960" s="421">
        <f>DelivOIL!$F88*DelivOIL!P$81^5/(Conv!$I$5*Conv!$D$46)/10^6 + OILTrade!$H$5</f>
        <v>2.1340366843772367</v>
      </c>
      <c r="I960" s="421">
        <f>DelivOIL!$F88*DelivOIL!Q$81^5/(Conv!$I$5*Conv!$D$46)/10^6 + OILTrade!$H$5</f>
        <v>2.1227595999489006</v>
      </c>
      <c r="J960" s="421">
        <f>DelivOIL!$F88*DelivOIL!R$81^5/(Conv!$I$5*Conv!$D$46)/10^6 + OILTrade!$H$5</f>
        <v>2.233161973582686</v>
      </c>
      <c r="K960" s="421">
        <f>DelivOIL!$F88*DelivOIL!S$81^5/(Conv!$I$5*Conv!$D$46)/10^6 + OILTrade!$H$5</f>
        <v>2.6901119373712956</v>
      </c>
      <c r="L960" s="421">
        <f>DelivOIL!$F88*DelivOIL!T$81^5/(Conv!$I$5*Conv!$D$46)/10^6 + OILTrade!$H$5</f>
        <v>2.4670324331230757</v>
      </c>
      <c r="M960" s="421">
        <f>DelivOIL!$F88*DelivOIL!U$81^5/(Conv!$I$5*Conv!$D$46)/10^6 + OILTrade!$H$5</f>
        <v>2.1862755286044391</v>
      </c>
      <c r="N960" s="421">
        <f>DelivOIL!$F88*DelivOIL!V$81^5/(Conv!$I$5*Conv!$D$46)/10^6 + OILTrade!$H$5</f>
        <v>2.1862755286044391</v>
      </c>
      <c r="O960" s="421">
        <f>DelivOIL!$F88*DelivOIL!W$81^5/(Conv!$I$5*Conv!$D$46)/10^6 + OILTrade!$H$5</f>
        <v>2.1862755286044391</v>
      </c>
      <c r="P960" s="421">
        <f>DelivOIL!$F88*DelivOIL!X$81^5/(Conv!$I$5*Conv!$D$46)/10^6 + OILTrade!$H$5</f>
        <v>2.1862755286044391</v>
      </c>
      <c r="Q960" s="421">
        <f>DelivOIL!$F88*DelivOIL!Y$81^5/(Conv!$I$5*Conv!$D$46)/10^6 + OILTrade!$H$5</f>
        <v>2.1862755286044391</v>
      </c>
      <c r="S960" s="395"/>
      <c r="T960" s="395"/>
      <c r="U960" s="395"/>
      <c r="V960" s="395"/>
      <c r="W960" s="395"/>
      <c r="X960" s="395"/>
      <c r="Y960" s="395"/>
      <c r="Z960" s="395"/>
      <c r="AA960" s="395"/>
      <c r="AB960" s="395"/>
      <c r="AC960" s="395"/>
    </row>
    <row r="961" spans="2:29">
      <c r="B961" s="376" t="str">
        <f>IF(OR(LEFT(Commodities!B$327,1)="*",LEFT(Technologies!B$708,1)="*"),"*","R5")</f>
        <v>*</v>
      </c>
      <c r="C961" s="376" t="str">
        <f>Technologies!C$758</f>
        <v>XIINDKERP3</v>
      </c>
      <c r="D961" s="376" t="str">
        <f>Technologies!D708</f>
        <v>Delivery of Imported Kerosene and Other Refined Products to the Industrial Sector</v>
      </c>
      <c r="E961" s="415" t="str">
        <f>Commodities!C$349</f>
        <v>KERP3</v>
      </c>
      <c r="F961" s="415" t="str">
        <f>Commodities!C96</f>
        <v>INDKER</v>
      </c>
      <c r="G961" s="422">
        <v>1</v>
      </c>
      <c r="H961" s="421">
        <f>DelivOIL!$F89*DelivOIL!P$81^5/(Conv!$I$5*Conv!$D$46)/10^6 + OILTrade!$H$5</f>
        <v>1.4385998095961561</v>
      </c>
      <c r="I961" s="421">
        <f>DelivOIL!$F89*DelivOIL!Q$81^5/(Conv!$I$5*Conv!$D$46)/10^6 + OILTrade!$H$5</f>
        <v>1.4309976855885556</v>
      </c>
      <c r="J961" s="421">
        <f>DelivOIL!$F89*DelivOIL!R$81^5/(Conv!$I$5*Conv!$D$46)/10^6 + OILTrade!$H$5</f>
        <v>1.5054222889007878</v>
      </c>
      <c r="K961" s="421">
        <f>DelivOIL!$F89*DelivOIL!S$81^5/(Conv!$I$5*Conv!$D$46)/10^6 + OILTrade!$H$5</f>
        <v>1.8134620408477415</v>
      </c>
      <c r="L961" s="421">
        <f>DelivOIL!$F89*DelivOIL!T$81^5/(Conv!$I$5*Conv!$D$46)/10^6 + OILTrade!$H$5</f>
        <v>1.6630793718497405</v>
      </c>
      <c r="M961" s="421">
        <f>DelivOIL!$F89*DelivOIL!U$81^5/(Conv!$I$5*Conv!$D$46)/10^6 + OILTrade!$H$5</f>
        <v>1.4738151327013946</v>
      </c>
      <c r="N961" s="421">
        <f>DelivOIL!$F89*DelivOIL!V$81^5/(Conv!$I$5*Conv!$D$46)/10^6 + OILTrade!$H$5</f>
        <v>1.4738151327013946</v>
      </c>
      <c r="O961" s="421">
        <f>DelivOIL!$F89*DelivOIL!W$81^5/(Conv!$I$5*Conv!$D$46)/10^6 + OILTrade!$H$5</f>
        <v>1.4738151327013946</v>
      </c>
      <c r="P961" s="421">
        <f>DelivOIL!$F89*DelivOIL!X$81^5/(Conv!$I$5*Conv!$D$46)/10^6 + OILTrade!$H$5</f>
        <v>1.4738151327013946</v>
      </c>
      <c r="Q961" s="421">
        <f>DelivOIL!$F89*DelivOIL!Y$81^5/(Conv!$I$5*Conv!$D$46)/10^6 + OILTrade!$H$5</f>
        <v>1.4738151327013946</v>
      </c>
      <c r="S961" s="395"/>
      <c r="T961" s="395"/>
      <c r="U961" s="395"/>
      <c r="V961" s="395"/>
      <c r="W961" s="395"/>
      <c r="X961" s="395"/>
      <c r="Y961" s="395"/>
      <c r="Z961" s="395"/>
      <c r="AA961" s="395"/>
      <c r="AB961" s="395"/>
      <c r="AC961" s="395"/>
    </row>
    <row r="962" spans="2:29">
      <c r="B962" s="376" t="str">
        <f>IF(OR(LEFT(Commodities!B$328,1)="*",LEFT(Technologies!B$709,1)="*"),"*","R5")</f>
        <v>*</v>
      </c>
      <c r="C962" s="376" t="str">
        <f>Technologies!C$759</f>
        <v>XIRESLPGP3</v>
      </c>
      <c r="D962" s="376" t="str">
        <f>Technologies!D709</f>
        <v>Delivery of Imported LPG to the Residential Sector</v>
      </c>
      <c r="E962" s="415" t="str">
        <f>Commodities!C$350</f>
        <v>LPGP3</v>
      </c>
      <c r="F962" s="415" t="str">
        <f>Commodities!C97</f>
        <v>RESLPG</v>
      </c>
      <c r="G962" s="422">
        <v>1</v>
      </c>
      <c r="H962" s="421">
        <f>DelivOIL!$F90*DelivOIL!P$81^5/(Conv!$I$5*Conv!$D$46)/10^6 + OILTrade!$H$5</f>
        <v>5.4544068610280814</v>
      </c>
      <c r="I962" s="421">
        <f>DelivOIL!$F90*DelivOIL!Q$81^5/(Conv!$I$5*Conv!$D$46)/10^6 + OILTrade!$H$5</f>
        <v>5.4255836420419188</v>
      </c>
      <c r="J962" s="421">
        <f>DelivOIL!$F90*DelivOIL!R$81^5/(Conv!$I$5*Conv!$D$46)/10^6 + OILTrade!$H$5</f>
        <v>5.7077622327991975</v>
      </c>
      <c r="K962" s="421">
        <f>DelivOIL!$F90*DelivOIL!S$81^5/(Conv!$I$5*Conv!$D$46)/10^6 + OILTrade!$H$5</f>
        <v>6.8756854629298285</v>
      </c>
      <c r="L962" s="421">
        <f>DelivOIL!$F90*DelivOIL!T$81^5/(Conv!$I$5*Conv!$D$46)/10^6 + OILTrade!$H$5</f>
        <v>6.3055142060653697</v>
      </c>
      <c r="M962" s="421">
        <f>DelivOIL!$F90*DelivOIL!U$81^5/(Conv!$I$5*Conv!$D$46)/10^6 + OILTrade!$H$5</f>
        <v>5.5879246737493649</v>
      </c>
      <c r="N962" s="421">
        <f>DelivOIL!$F90*DelivOIL!V$81^5/(Conv!$I$5*Conv!$D$46)/10^6 + OILTrade!$H$5</f>
        <v>5.5879246737493649</v>
      </c>
      <c r="O962" s="421">
        <f>DelivOIL!$F90*DelivOIL!W$81^5/(Conv!$I$5*Conv!$D$46)/10^6 + OILTrade!$H$5</f>
        <v>5.5879246737493649</v>
      </c>
      <c r="P962" s="421">
        <f>DelivOIL!$F90*DelivOIL!X$81^5/(Conv!$I$5*Conv!$D$46)/10^6 + OILTrade!$H$5</f>
        <v>5.5879246737493649</v>
      </c>
      <c r="Q962" s="421">
        <f>DelivOIL!$F90*DelivOIL!Y$81^5/(Conv!$I$5*Conv!$D$46)/10^6 + OILTrade!$H$5</f>
        <v>5.5879246737493649</v>
      </c>
      <c r="S962" s="395"/>
      <c r="T962" s="395"/>
      <c r="U962" s="395"/>
      <c r="V962" s="395"/>
      <c r="W962" s="395"/>
      <c r="X962" s="395"/>
      <c r="Y962" s="395"/>
      <c r="Z962" s="395"/>
      <c r="AA962" s="395"/>
      <c r="AB962" s="395"/>
      <c r="AC962" s="395"/>
    </row>
    <row r="963" spans="2:29">
      <c r="B963" s="376" t="str">
        <f>IF(OR(LEFT(Commodities!B$328,1)="*",LEFT(Technologies!B$710,1)="*"),"*","R5")</f>
        <v>*</v>
      </c>
      <c r="C963" s="376" t="str">
        <f>Technologies!C$760</f>
        <v>XICOMLPGP3</v>
      </c>
      <c r="D963" s="376" t="str">
        <f>Technologies!D710</f>
        <v>Delivery of Imported LPG to the Commercial Sector</v>
      </c>
      <c r="E963" s="415" t="str">
        <f>Commodities!C$350</f>
        <v>LPGP3</v>
      </c>
      <c r="F963" s="415" t="str">
        <f>Commodities!C98</f>
        <v>COMLPG</v>
      </c>
      <c r="G963" s="422">
        <v>1</v>
      </c>
      <c r="H963" s="421">
        <f>DelivOIL!$F91*DelivOIL!P$81^5/(Conv!$I$5*Conv!$D$46)/10^6 + OILTrade!$H$5</f>
        <v>3.0817398764808659</v>
      </c>
      <c r="I963" s="421">
        <f>DelivOIL!$F91*DelivOIL!Q$81^5/(Conv!$I$5*Conv!$D$46)/10^6 + OILTrade!$H$5</f>
        <v>3.0654547577536837</v>
      </c>
      <c r="J963" s="421">
        <f>DelivOIL!$F91*DelivOIL!R$81^5/(Conv!$I$5*Conv!$D$46)/10^6 + OILTrade!$H$5</f>
        <v>3.224885661531546</v>
      </c>
      <c r="K963" s="421">
        <f>DelivOIL!$F91*DelivOIL!S$81^5/(Conv!$I$5*Conv!$D$46)/10^6 + OILTrade!$H$5</f>
        <v>3.8847622865553531</v>
      </c>
      <c r="L963" s="421">
        <f>DelivOIL!$F91*DelivOIL!T$81^5/(Conv!$I$5*Conv!$D$46)/10^6 + OILTrade!$H$5</f>
        <v>3.5626155264269337</v>
      </c>
      <c r="M963" s="421">
        <f>DelivOIL!$F91*DelivOIL!U$81^5/(Conv!$I$5*Conv!$D$46)/10^6 + OILTrade!$H$5</f>
        <v>3.157177440668391</v>
      </c>
      <c r="N963" s="421">
        <f>DelivOIL!$F91*DelivOIL!V$81^5/(Conv!$I$5*Conv!$D$46)/10^6 + OILTrade!$H$5</f>
        <v>3.157177440668391</v>
      </c>
      <c r="O963" s="421">
        <f>DelivOIL!$F91*DelivOIL!W$81^5/(Conv!$I$5*Conv!$D$46)/10^6 + OILTrade!$H$5</f>
        <v>3.157177440668391</v>
      </c>
      <c r="P963" s="421">
        <f>DelivOIL!$F91*DelivOIL!X$81^5/(Conv!$I$5*Conv!$D$46)/10^6 + OILTrade!$H$5</f>
        <v>3.157177440668391</v>
      </c>
      <c r="Q963" s="421">
        <f>DelivOIL!$F91*DelivOIL!Y$81^5/(Conv!$I$5*Conv!$D$46)/10^6 + OILTrade!$H$5</f>
        <v>3.157177440668391</v>
      </c>
      <c r="S963" s="395"/>
      <c r="T963" s="395"/>
      <c r="U963" s="395"/>
      <c r="V963" s="395"/>
      <c r="W963" s="395"/>
      <c r="X963" s="395"/>
      <c r="Y963" s="395"/>
      <c r="Z963" s="395"/>
      <c r="AA963" s="395"/>
      <c r="AB963" s="395"/>
      <c r="AC963" s="395"/>
    </row>
    <row r="964" spans="2:29">
      <c r="B964" s="376" t="str">
        <f>IF(OR(LEFT(Commodities!B$328,1)="*",LEFT(Technologies!B$711,1)="*"),"*","R5")</f>
        <v>*</v>
      </c>
      <c r="C964" s="376" t="str">
        <f>Technologies!C$761</f>
        <v>XIINDLPGP3</v>
      </c>
      <c r="D964" s="376" t="str">
        <f>Technologies!D711</f>
        <v>Delivery of Imported LPG to the Industrial Sector</v>
      </c>
      <c r="E964" s="415" t="str">
        <f>Commodities!C$350</f>
        <v>LPGP3</v>
      </c>
      <c r="F964" s="415" t="str">
        <f>Commodities!C99</f>
        <v>INDLPG</v>
      </c>
      <c r="G964" s="422">
        <v>1</v>
      </c>
      <c r="H964" s="421">
        <f>DelivOIL!$F92*DelivOIL!P$81^5/(Conv!$I$5*Conv!$D$46)/10^6 + OILTrade!$H$5</f>
        <v>2.5567532161069124</v>
      </c>
      <c r="I964" s="421">
        <f>DelivOIL!$F92*DelivOIL!Q$81^5/(Conv!$I$5*Conv!$D$46)/10^6 + OILTrade!$H$5</f>
        <v>2.5432423322071487</v>
      </c>
      <c r="J964" s="421">
        <f>DelivOIL!$F92*DelivOIL!R$81^5/(Conv!$I$5*Conv!$D$46)/10^6 + OILTrade!$H$5</f>
        <v>2.6755135466246234</v>
      </c>
      <c r="K964" s="421">
        <f>DelivOIL!$F92*DelivOIL!S$81^5/(Conv!$I$5*Conv!$D$46)/10^6 + OILTrade!$H$5</f>
        <v>3.222977560748356</v>
      </c>
      <c r="L964" s="421">
        <f>DelivOIL!$F92*DelivOIL!T$81^5/(Conv!$I$5*Conv!$D$46)/10^6 + OILTrade!$H$5</f>
        <v>2.9557097840931417</v>
      </c>
      <c r="M964" s="421">
        <f>DelivOIL!$F92*DelivOIL!U$81^5/(Conv!$I$5*Conv!$D$46)/10^6 + OILTrade!$H$5</f>
        <v>2.6193396908200146</v>
      </c>
      <c r="N964" s="421">
        <f>DelivOIL!$F92*DelivOIL!V$81^5/(Conv!$I$5*Conv!$D$46)/10^6 + OILTrade!$H$5</f>
        <v>2.6193396908200146</v>
      </c>
      <c r="O964" s="421">
        <f>DelivOIL!$F92*DelivOIL!W$81^5/(Conv!$I$5*Conv!$D$46)/10^6 + OILTrade!$H$5</f>
        <v>2.6193396908200146</v>
      </c>
      <c r="P964" s="421">
        <f>DelivOIL!$F92*DelivOIL!X$81^5/(Conv!$I$5*Conv!$D$46)/10^6 + OILTrade!$H$5</f>
        <v>2.6193396908200146</v>
      </c>
      <c r="Q964" s="421">
        <f>DelivOIL!$F92*DelivOIL!Y$81^5/(Conv!$I$5*Conv!$D$46)/10^6 + OILTrade!$H$5</f>
        <v>2.6193396908200146</v>
      </c>
      <c r="S964" s="395"/>
      <c r="T964" s="395"/>
      <c r="U964" s="395"/>
      <c r="V964" s="395"/>
      <c r="W964" s="395"/>
      <c r="X964" s="395"/>
      <c r="Y964" s="395"/>
      <c r="Z964" s="395"/>
      <c r="AA964" s="395"/>
      <c r="AB964" s="395"/>
      <c r="AC964" s="395"/>
    </row>
    <row r="965" spans="2:29">
      <c r="B965" s="376" t="str">
        <f>IF(OR(LEFT(Commodities!B$328,1)="*",LEFT(Technologies!B$712,1)="*"),"*","R5")</f>
        <v>*</v>
      </c>
      <c r="C965" s="376" t="str">
        <f>Technologies!C$762</f>
        <v>XITRNLPGP3</v>
      </c>
      <c r="D965" s="376" t="str">
        <f>Technologies!D712</f>
        <v>Delivery of Imported LPG to the Transportation Sector</v>
      </c>
      <c r="E965" s="415" t="str">
        <f>Commodities!C$350</f>
        <v>LPGP3</v>
      </c>
      <c r="F965" s="415" t="str">
        <f>Commodities!C100</f>
        <v>TRNLPG</v>
      </c>
      <c r="G965" s="422">
        <v>1</v>
      </c>
      <c r="H965" s="421">
        <f>DelivOIL!$F93*DelivOIL!P$81^5/(Conv!$I$5*Conv!$D$46)/10^6 + OILTrade!$H$5</f>
        <v>4.3226174373647535</v>
      </c>
      <c r="I965" s="421">
        <f>DelivOIL!$F93*DelivOIL!Q$81^5/(Conv!$I$5*Conv!$D$46)/10^6 + OILTrade!$H$5</f>
        <v>4.2997750363182199</v>
      </c>
      <c r="J965" s="421">
        <f>DelivOIL!$F93*DelivOIL!R$81^5/(Conv!$I$5*Conv!$D$46)/10^6 + OILTrade!$H$5</f>
        <v>4.5234015694933625</v>
      </c>
      <c r="K965" s="421">
        <f>DelivOIL!$F93*DelivOIL!S$81^5/(Conv!$I$5*Conv!$D$46)/10^6 + OILTrade!$H$5</f>
        <v>5.4489807293718879</v>
      </c>
      <c r="L965" s="421">
        <f>DelivOIL!$F93*DelivOIL!T$81^5/(Conv!$I$5*Conv!$D$46)/10^6 + OILTrade!$H$5</f>
        <v>4.9971200083068039</v>
      </c>
      <c r="M965" s="421">
        <f>DelivOIL!$F93*DelivOIL!U$81^5/(Conv!$I$5*Conv!$D$46)/10^6 + OILTrade!$H$5</f>
        <v>4.4284303039463708</v>
      </c>
      <c r="N965" s="421">
        <f>DelivOIL!$F93*DelivOIL!V$81^5/(Conv!$I$5*Conv!$D$46)/10^6 + OILTrade!$H$5</f>
        <v>4.4284303039463708</v>
      </c>
      <c r="O965" s="421">
        <f>DelivOIL!$F93*DelivOIL!W$81^5/(Conv!$I$5*Conv!$D$46)/10^6 + OILTrade!$H$5</f>
        <v>4.4284303039463708</v>
      </c>
      <c r="P965" s="421">
        <f>DelivOIL!$F93*DelivOIL!X$81^5/(Conv!$I$5*Conv!$D$46)/10^6 + OILTrade!$H$5</f>
        <v>4.4284303039463708</v>
      </c>
      <c r="Q965" s="421">
        <f>DelivOIL!$F93*DelivOIL!Y$81^5/(Conv!$I$5*Conv!$D$46)/10^6 + OILTrade!$H$5</f>
        <v>4.4284303039463708</v>
      </c>
      <c r="S965" s="395"/>
      <c r="T965" s="395"/>
      <c r="U965" s="395"/>
      <c r="V965" s="395"/>
      <c r="W965" s="395"/>
      <c r="X965" s="395"/>
      <c r="Y965" s="395"/>
      <c r="Z965" s="395"/>
      <c r="AA965" s="395"/>
      <c r="AB965" s="395"/>
      <c r="AC965" s="395"/>
    </row>
    <row r="966" spans="2:29">
      <c r="B966" s="376" t="str">
        <f>IF(LEFT(Technologies!B$713,1)="*","*","R5")</f>
        <v>*</v>
      </c>
      <c r="C966" s="376" t="str">
        <f>Technologies!C$763</f>
        <v>XITRNMTHP3</v>
      </c>
      <c r="D966" s="376" t="str">
        <f>Technologies!D713</f>
        <v>Delivery of Imported Methanol</v>
      </c>
      <c r="E966" s="415" t="str">
        <f>Commodities!C$351</f>
        <v>MTHP3</v>
      </c>
      <c r="F966" s="415" t="str">
        <f>Commodities!C101</f>
        <v>TRNMTH</v>
      </c>
      <c r="G966" s="422">
        <v>1</v>
      </c>
      <c r="H966" s="421">
        <f>DelivOIL!$F94*DelivOIL!P$81^5/(Conv!$I$5*Conv!$D$46)/10^6 + OILTrade!$H$5</f>
        <v>3.593090519702248</v>
      </c>
      <c r="I966" s="421">
        <f>DelivOIL!$F94*DelivOIL!Q$81^5/(Conv!$I$5*Conv!$D$46)/10^6 + OILTrade!$H$5</f>
        <v>3.5741032241951141</v>
      </c>
      <c r="J966" s="421">
        <f>DelivOIL!$F94*DelivOIL!R$81^5/(Conv!$I$5*Conv!$D$46)/10^6 + OILTrade!$H$5</f>
        <v>3.7599883708564708</v>
      </c>
      <c r="K966" s="421">
        <f>DelivOIL!$F94*DelivOIL!S$81^5/(Conv!$I$5*Conv!$D$46)/10^6 + OILTrade!$H$5</f>
        <v>4.529357798705024</v>
      </c>
      <c r="L966" s="421">
        <f>DelivOIL!$F94*DelivOIL!T$81^5/(Conv!$I$5*Conv!$D$46)/10^6 + OILTrade!$H$5</f>
        <v>4.1537574832455615</v>
      </c>
      <c r="M966" s="421">
        <f>DelivOIL!$F94*DelivOIL!U$81^5/(Conv!$I$5*Conv!$D$46)/10^6 + OILTrade!$H$5</f>
        <v>3.6810453788323936</v>
      </c>
      <c r="N966" s="421">
        <f>DelivOIL!$F94*DelivOIL!V$81^5/(Conv!$I$5*Conv!$D$46)/10^6 + OILTrade!$H$5</f>
        <v>3.6810453788323936</v>
      </c>
      <c r="O966" s="421">
        <f>DelivOIL!$F94*DelivOIL!W$81^5/(Conv!$I$5*Conv!$D$46)/10^6 + OILTrade!$H$5</f>
        <v>3.6810453788323936</v>
      </c>
      <c r="P966" s="421">
        <f>DelivOIL!$F94*DelivOIL!X$81^5/(Conv!$I$5*Conv!$D$46)/10^6 + OILTrade!$H$5</f>
        <v>3.6810453788323936</v>
      </c>
      <c r="Q966" s="421">
        <f>DelivOIL!$F94*DelivOIL!Y$81^5/(Conv!$I$5*Conv!$D$46)/10^6 + OILTrade!$H$5</f>
        <v>3.6810453788323936</v>
      </c>
      <c r="S966" s="395"/>
      <c r="T966" s="395"/>
      <c r="U966" s="395"/>
      <c r="V966" s="395"/>
      <c r="W966" s="395"/>
      <c r="X966" s="395"/>
      <c r="Y966" s="395"/>
      <c r="Z966" s="395"/>
      <c r="AA966" s="395"/>
      <c r="AB966" s="395"/>
      <c r="AC966" s="395"/>
    </row>
    <row r="967" spans="2:29">
      <c r="B967" s="376" t="str">
        <f>IF(OR(LEFT(Commodities!B$102,1)="*",LEFT(Technologies!B$714,1)="*"),"*","R5")</f>
        <v>*</v>
      </c>
      <c r="C967" s="376" t="str">
        <f>Technologies!C$764</f>
        <v>XIINDPFSP3</v>
      </c>
      <c r="D967" s="376" t="str">
        <f>Technologies!D714</f>
        <v>Delivery of Imported Petrochemical Feedstocks</v>
      </c>
      <c r="E967" s="415" t="str">
        <f>Commodities!C$352</f>
        <v>PFSP3</v>
      </c>
      <c r="F967" s="415" t="str">
        <f>Commodities!C102</f>
        <v>INDPFS</v>
      </c>
      <c r="G967" s="422">
        <v>1</v>
      </c>
      <c r="H967" s="421">
        <f>DelivOIL!$F95*DelivOIL!P$81^5/(Conv!$I$5*Conv!$D$46)/10^6 + OILTrade!$H$5</f>
        <v>0.25226631732254895</v>
      </c>
      <c r="I967" s="421">
        <f>DelivOIL!$F95*DelivOIL!Q$81^5/(Conv!$I$5*Conv!$D$46)/10^6 + OILTrade!$H$5</f>
        <v>0.2509332434444389</v>
      </c>
      <c r="J967" s="421">
        <f>DelivOIL!$F95*DelivOIL!R$81^5/(Conv!$I$5*Conv!$D$46)/10^6 + OILTrade!$H$5</f>
        <v>0.26398400326696309</v>
      </c>
      <c r="K967" s="421">
        <f>DelivOIL!$F95*DelivOIL!S$81^5/(Conv!$I$5*Conv!$D$46)/10^6 + OILTrade!$H$5</f>
        <v>0.31800045266050481</v>
      </c>
      <c r="L967" s="421">
        <f>DelivOIL!$F95*DelivOIL!T$81^5/(Conv!$I$5*Conv!$D$46)/10^6 + OILTrade!$H$5</f>
        <v>0.29163003203052357</v>
      </c>
      <c r="M967" s="421">
        <f>DelivOIL!$F95*DelivOIL!U$81^5/(Conv!$I$5*Conv!$D$46)/10^6 + OILTrade!$H$5</f>
        <v>0.25844151616090832</v>
      </c>
      <c r="N967" s="421">
        <f>DelivOIL!$F95*DelivOIL!V$81^5/(Conv!$I$5*Conv!$D$46)/10^6 + OILTrade!$H$5</f>
        <v>0.25844151616090832</v>
      </c>
      <c r="O967" s="421">
        <f>DelivOIL!$F95*DelivOIL!W$81^5/(Conv!$I$5*Conv!$D$46)/10^6 + OILTrade!$H$5</f>
        <v>0.25844151616090832</v>
      </c>
      <c r="P967" s="421">
        <f>DelivOIL!$F95*DelivOIL!X$81^5/(Conv!$I$5*Conv!$D$46)/10^6 + OILTrade!$H$5</f>
        <v>0.25844151616090832</v>
      </c>
      <c r="Q967" s="421">
        <f>DelivOIL!$F95*DelivOIL!Y$81^5/(Conv!$I$5*Conv!$D$46)/10^6 + OILTrade!$H$5</f>
        <v>0.25844151616090832</v>
      </c>
      <c r="S967" s="395"/>
      <c r="T967" s="395"/>
      <c r="U967" s="395"/>
      <c r="V967" s="395"/>
      <c r="W967" s="395"/>
      <c r="X967" s="395"/>
      <c r="Y967" s="395"/>
      <c r="Z967" s="395"/>
      <c r="AA967" s="395"/>
      <c r="AB967" s="395"/>
      <c r="AC967" s="395"/>
    </row>
    <row r="968" spans="2:29">
      <c r="B968" s="376" t="str">
        <f>IF(OR(LEFT(Commodities!B$332,1)="*",LEFT(Technologies!B$715,1)="*"),"*","R5")</f>
        <v>*</v>
      </c>
      <c r="C968" s="376" t="str">
        <f>Technologies!C$765</f>
        <v>XIRESRFLP3</v>
      </c>
      <c r="D968" s="376" t="str">
        <f>Technologies!D715</f>
        <v>Delivery of Imported Low Sulfur Residual Fuel Oil to Residential Sector</v>
      </c>
      <c r="E968" s="415" t="str">
        <f>Commodities!C$354</f>
        <v>RFLP3</v>
      </c>
      <c r="F968" s="415" t="str">
        <f>Commodities!C103</f>
        <v>RESRFL</v>
      </c>
      <c r="G968" s="422">
        <v>1</v>
      </c>
      <c r="H968" s="421">
        <f>DelivOIL!$F96*DelivOIL!P$81^5/(Conv!$I$5*Conv!$D$46)/10^6 + OILTrade!$H$5</f>
        <v>1.2340595523076034</v>
      </c>
      <c r="I968" s="421">
        <f>DelivOIL!$F96*DelivOIL!Q$81^5/(Conv!$I$5*Conv!$D$46)/10^6 + OILTrade!$H$5</f>
        <v>1.2275382990119841</v>
      </c>
      <c r="J968" s="421">
        <f>DelivOIL!$F96*DelivOIL!R$81^5/(Conv!$I$5*Conv!$D$46)/10^6 + OILTrade!$H$5</f>
        <v>1.2913812051708187</v>
      </c>
      <c r="K968" s="421">
        <f>DelivOIL!$F96*DelivOIL!S$81^5/(Conv!$I$5*Conv!$D$46)/10^6 + OILTrade!$H$5</f>
        <v>1.5556238359878738</v>
      </c>
      <c r="L968" s="421">
        <f>DelivOIL!$F96*DelivOIL!T$81^5/(Conv!$I$5*Conv!$D$46)/10^6 + OILTrade!$H$5</f>
        <v>1.4266225891222903</v>
      </c>
      <c r="M968" s="421">
        <f>DelivOIL!$F96*DelivOIL!U$81^5/(Conv!$I$5*Conv!$D$46)/10^6 + OILTrade!$H$5</f>
        <v>1.264267957435794</v>
      </c>
      <c r="N968" s="421">
        <f>DelivOIL!$F96*DelivOIL!V$81^5/(Conv!$I$5*Conv!$D$46)/10^6 + OILTrade!$H$5</f>
        <v>1.264267957435794</v>
      </c>
      <c r="O968" s="421">
        <f>DelivOIL!$F96*DelivOIL!W$81^5/(Conv!$I$5*Conv!$D$46)/10^6 + OILTrade!$H$5</f>
        <v>1.264267957435794</v>
      </c>
      <c r="P968" s="421">
        <f>DelivOIL!$F96*DelivOIL!X$81^5/(Conv!$I$5*Conv!$D$46)/10^6 + OILTrade!$H$5</f>
        <v>1.264267957435794</v>
      </c>
      <c r="Q968" s="421">
        <f>DelivOIL!$F96*DelivOIL!Y$81^5/(Conv!$I$5*Conv!$D$46)/10^6 + OILTrade!$H$5</f>
        <v>1.264267957435794</v>
      </c>
      <c r="S968" s="395"/>
      <c r="T968" s="395"/>
      <c r="U968" s="395"/>
      <c r="V968" s="395"/>
      <c r="W968" s="395"/>
      <c r="X968" s="395"/>
      <c r="Y968" s="395"/>
      <c r="Z968" s="395"/>
      <c r="AA968" s="395"/>
      <c r="AB968" s="395"/>
      <c r="AC968" s="395"/>
    </row>
    <row r="969" spans="2:29">
      <c r="B969" s="376" t="str">
        <f>IF(OR(LEFT(Commodities!B$332,1)="*",LEFT(Technologies!B$716,1)="*"),"*","R5")</f>
        <v>*</v>
      </c>
      <c r="C969" s="376" t="str">
        <f>Technologies!C$766</f>
        <v>XICOMRFLP3</v>
      </c>
      <c r="D969" s="376" t="str">
        <f>Technologies!D716</f>
        <v>Delivery of Imported Low Sulfur Residual Fuel Oil to Commercial Sector</v>
      </c>
      <c r="E969" s="415" t="str">
        <f>Commodities!C$354</f>
        <v>RFLP3</v>
      </c>
      <c r="F969" s="415" t="str">
        <f>Commodities!C104</f>
        <v>COMRFL</v>
      </c>
      <c r="G969" s="422">
        <v>1</v>
      </c>
      <c r="H969" s="421">
        <f>DelivOIL!$F96*DelivOIL!P$81^5/(Conv!$I$5*Conv!$D$46)/10^6 + OILTrade!$H$5</f>
        <v>1.2340595523076034</v>
      </c>
      <c r="I969" s="421">
        <f>DelivOIL!$F96*DelivOIL!Q$81^5/(Conv!$I$5*Conv!$D$46)/10^6 + OILTrade!$H$5</f>
        <v>1.2275382990119841</v>
      </c>
      <c r="J969" s="421">
        <f>DelivOIL!$F96*DelivOIL!R$81^5/(Conv!$I$5*Conv!$D$46)/10^6 + OILTrade!$H$5</f>
        <v>1.2913812051708187</v>
      </c>
      <c r="K969" s="421">
        <f>DelivOIL!$F96*DelivOIL!S$81^5/(Conv!$I$5*Conv!$D$46)/10^6 + OILTrade!$H$5</f>
        <v>1.5556238359878738</v>
      </c>
      <c r="L969" s="421">
        <f>DelivOIL!$F96*DelivOIL!T$81^5/(Conv!$I$5*Conv!$D$46)/10^6 + OILTrade!$H$5</f>
        <v>1.4266225891222903</v>
      </c>
      <c r="M969" s="421">
        <f>DelivOIL!$F96*DelivOIL!U$81^5/(Conv!$I$5*Conv!$D$46)/10^6 + OILTrade!$H$5</f>
        <v>1.264267957435794</v>
      </c>
      <c r="N969" s="421">
        <f>DelivOIL!$F96*DelivOIL!V$81^5/(Conv!$I$5*Conv!$D$46)/10^6 + OILTrade!$H$5</f>
        <v>1.264267957435794</v>
      </c>
      <c r="O969" s="421">
        <f>DelivOIL!$F96*DelivOIL!W$81^5/(Conv!$I$5*Conv!$D$46)/10^6 + OILTrade!$H$5</f>
        <v>1.264267957435794</v>
      </c>
      <c r="P969" s="421">
        <f>DelivOIL!$F96*DelivOIL!X$81^5/(Conv!$I$5*Conv!$D$46)/10^6 + OILTrade!$H$5</f>
        <v>1.264267957435794</v>
      </c>
      <c r="Q969" s="421">
        <f>DelivOIL!$F96*DelivOIL!Y$81^5/(Conv!$I$5*Conv!$D$46)/10^6 + OILTrade!$H$5</f>
        <v>1.264267957435794</v>
      </c>
      <c r="S969" s="395"/>
      <c r="T969" s="395"/>
      <c r="U969" s="395"/>
      <c r="V969" s="395"/>
      <c r="W969" s="395"/>
      <c r="X969" s="395"/>
      <c r="Y969" s="395"/>
      <c r="Z969" s="395"/>
      <c r="AA969" s="395"/>
      <c r="AB969" s="395"/>
      <c r="AC969" s="395"/>
    </row>
    <row r="970" spans="2:29">
      <c r="B970" s="376" t="str">
        <f>IF(OR(LEFT(Commodities!B$332,1)="*",LEFT(Technologies!B$717,1)="*"),"*","R5")</f>
        <v>R5</v>
      </c>
      <c r="C970" s="376" t="str">
        <f>Technologies!C$767</f>
        <v>XIINDRFLP3</v>
      </c>
      <c r="D970" s="376" t="str">
        <f>Technologies!D717</f>
        <v>Delivery of Imported Low Sulfur Residual Fuel Oil to Industrial Sector</v>
      </c>
      <c r="E970" s="415" t="str">
        <f>Commodities!C$354</f>
        <v>RFLP3</v>
      </c>
      <c r="F970" s="415" t="str">
        <f>Commodities!C105</f>
        <v>INDRFL</v>
      </c>
      <c r="G970" s="422">
        <v>1</v>
      </c>
      <c r="H970" s="421">
        <f>DelivOIL!$F97*DelivOIL!P$81^5/(Conv!$I$5*Conv!$D$46)/10^6 + OILTrade!$H$5</f>
        <v>1.2954216294941694</v>
      </c>
      <c r="I970" s="421">
        <f>DelivOIL!$F97*DelivOIL!Q$81^5/(Conv!$I$5*Conv!$D$46)/10^6 + OILTrade!$H$5</f>
        <v>1.2885761149849559</v>
      </c>
      <c r="J970" s="421">
        <f>DelivOIL!$F97*DelivOIL!R$81^5/(Conv!$I$5*Conv!$D$46)/10^6 + OILTrade!$H$5</f>
        <v>1.3555935302898094</v>
      </c>
      <c r="K970" s="421">
        <f>DelivOIL!$F97*DelivOIL!S$81^5/(Conv!$I$5*Conv!$D$46)/10^6 + OILTrade!$H$5</f>
        <v>1.6329752974458345</v>
      </c>
      <c r="L970" s="421">
        <f>DelivOIL!$F97*DelivOIL!T$81^5/(Conv!$I$5*Conv!$D$46)/10^6 + OILTrade!$H$5</f>
        <v>1.4975596239405256</v>
      </c>
      <c r="M970" s="421">
        <f>DelivOIL!$F97*DelivOIL!U$81^5/(Conv!$I$5*Conv!$D$46)/10^6 + OILTrade!$H$5</f>
        <v>1.3271321100154743</v>
      </c>
      <c r="N970" s="421">
        <f>DelivOIL!$F97*DelivOIL!V$81^5/(Conv!$I$5*Conv!$D$46)/10^6 + OILTrade!$H$5</f>
        <v>1.3271321100154743</v>
      </c>
      <c r="O970" s="421">
        <f>DelivOIL!$F97*DelivOIL!W$81^5/(Conv!$I$5*Conv!$D$46)/10^6 + OILTrade!$H$5</f>
        <v>1.3271321100154743</v>
      </c>
      <c r="P970" s="421">
        <f>DelivOIL!$F97*DelivOIL!X$81^5/(Conv!$I$5*Conv!$D$46)/10^6 + OILTrade!$H$5</f>
        <v>1.3271321100154743</v>
      </c>
      <c r="Q970" s="421">
        <f>DelivOIL!$F97*DelivOIL!Y$81^5/(Conv!$I$5*Conv!$D$46)/10^6 + OILTrade!$H$5</f>
        <v>1.3271321100154743</v>
      </c>
      <c r="S970" s="395"/>
      <c r="T970" s="395"/>
      <c r="U970" s="395"/>
      <c r="V970" s="395"/>
      <c r="W970" s="395"/>
      <c r="X970" s="395"/>
      <c r="Y970" s="395"/>
      <c r="Z970" s="395"/>
      <c r="AA970" s="395"/>
      <c r="AB970" s="395"/>
      <c r="AC970" s="395"/>
    </row>
    <row r="971" spans="2:29">
      <c r="B971" s="376" t="str">
        <f>IF(OR(LEFT(Commodities!B$332,1)="*",LEFT(Technologies!B$718,1)="*"),"*","R5")</f>
        <v>*</v>
      </c>
      <c r="C971" s="376" t="str">
        <f>Technologies!C$768</f>
        <v>XIELCRFLP3</v>
      </c>
      <c r="D971" s="376" t="str">
        <f>Technologies!D718</f>
        <v>Delivery of Imported Low Sulfur Residual Fuel Oil to Electricity Sector</v>
      </c>
      <c r="E971" s="415" t="str">
        <f>Commodities!C$354</f>
        <v>RFLP3</v>
      </c>
      <c r="F971" s="415" t="str">
        <f>Commodities!C106</f>
        <v>ELCRFL</v>
      </c>
      <c r="G971" s="422">
        <v>1</v>
      </c>
      <c r="H971" s="421">
        <f>DelivOIL!$F98*DelivOIL!P$81^5/(Conv!$I$5*Conv!$D$46)/10^6 + OILTrade!$H$5</f>
        <v>1.2136055265787482</v>
      </c>
      <c r="I971" s="421">
        <f>DelivOIL!$F98*DelivOIL!Q$81^5/(Conv!$I$5*Conv!$D$46)/10^6 + OILTrade!$H$5</f>
        <v>1.2071923603543269</v>
      </c>
      <c r="J971" s="421">
        <f>DelivOIL!$F98*DelivOIL!R$81^5/(Conv!$I$5*Conv!$D$46)/10^6 + OILTrade!$H$5</f>
        <v>1.2699770967978214</v>
      </c>
      <c r="K971" s="421">
        <f>DelivOIL!$F98*DelivOIL!S$81^5/(Conv!$I$5*Conv!$D$46)/10^6 + OILTrade!$H$5</f>
        <v>1.5298400155018868</v>
      </c>
      <c r="L971" s="421">
        <f>DelivOIL!$F98*DelivOIL!T$81^5/(Conv!$I$5*Conv!$D$46)/10^6 + OILTrade!$H$5</f>
        <v>1.4029769108495449</v>
      </c>
      <c r="M971" s="421">
        <f>DelivOIL!$F98*DelivOIL!U$81^5/(Conv!$I$5*Conv!$D$46)/10^6 + OILTrade!$H$5</f>
        <v>1.2433132399092337</v>
      </c>
      <c r="N971" s="421">
        <f>DelivOIL!$F98*DelivOIL!V$81^5/(Conv!$I$5*Conv!$D$46)/10^6 + OILTrade!$H$5</f>
        <v>1.2433132399092337</v>
      </c>
      <c r="O971" s="421">
        <f>DelivOIL!$F98*DelivOIL!W$81^5/(Conv!$I$5*Conv!$D$46)/10^6 + OILTrade!$H$5</f>
        <v>1.2433132399092337</v>
      </c>
      <c r="P971" s="421">
        <f>DelivOIL!$F98*DelivOIL!X$81^5/(Conv!$I$5*Conv!$D$46)/10^6 + OILTrade!$H$5</f>
        <v>1.2433132399092337</v>
      </c>
      <c r="Q971" s="421">
        <f>DelivOIL!$F98*DelivOIL!Y$81^5/(Conv!$I$5*Conv!$D$46)/10^6 + OILTrade!$H$5</f>
        <v>1.2433132399092337</v>
      </c>
      <c r="S971" s="395"/>
      <c r="T971" s="395"/>
      <c r="U971" s="395"/>
      <c r="V971" s="395"/>
      <c r="W971" s="395"/>
      <c r="X971" s="395"/>
      <c r="Y971" s="395"/>
      <c r="Z971" s="395"/>
      <c r="AA971" s="395"/>
      <c r="AB971" s="395"/>
      <c r="AC971" s="395"/>
    </row>
    <row r="972" spans="2:29">
      <c r="B972" s="376" t="str">
        <f>IF(OR(LEFT(Commodities!B$331,1)="*",LEFT(Technologies!B$719,1)="*"),"*","R5")</f>
        <v>*</v>
      </c>
      <c r="C972" s="376" t="str">
        <f>Technologies!C$769</f>
        <v>XITRNRFHP3</v>
      </c>
      <c r="D972" s="376" t="str">
        <f>Technologies!D719</f>
        <v>Delivery of Imported High Sulfur Residual Fuel Oil to Transportation Sector</v>
      </c>
      <c r="E972" s="415" t="str">
        <f>Commodities!C201</f>
        <v>JTFB</v>
      </c>
      <c r="F972" s="415" t="str">
        <f>Commodities!C107</f>
        <v>TRNRFH</v>
      </c>
      <c r="G972" s="422">
        <v>1</v>
      </c>
      <c r="H972" s="421">
        <f>DelivOIL!$F99*DelivOIL!P$81^5/(Conv!$I$5*Conv!$D$46)/10^6 + OILTrade!$H$5</f>
        <v>5.2703206294683822</v>
      </c>
      <c r="I972" s="421">
        <f>DelivOIL!$F99*DelivOIL!Q$81^5/(Conv!$I$5*Conv!$D$46)/10^6 + OILTrade!$H$5</f>
        <v>5.242470194123003</v>
      </c>
      <c r="J972" s="421">
        <f>DelivOIL!$F99*DelivOIL!R$81^5/(Conv!$I$5*Conv!$D$46)/10^6 + OILTrade!$H$5</f>
        <v>5.5151252574422225</v>
      </c>
      <c r="K972" s="421">
        <f>DelivOIL!$F99*DelivOIL!S$81^5/(Conv!$I$5*Conv!$D$46)/10^6 + OILTrade!$H$5</f>
        <v>6.6436310785559449</v>
      </c>
      <c r="L972" s="421">
        <f>DelivOIL!$F99*DelivOIL!T$81^5/(Conv!$I$5*Conv!$D$46)/10^6 + OILTrade!$H$5</f>
        <v>6.0927031016106623</v>
      </c>
      <c r="M972" s="421">
        <f>DelivOIL!$F99*DelivOIL!U$81^5/(Conv!$I$5*Conv!$D$46)/10^6 + OILTrade!$H$5</f>
        <v>5.3993322160103236</v>
      </c>
      <c r="N972" s="421">
        <f>DelivOIL!$F99*DelivOIL!V$81^5/(Conv!$I$5*Conv!$D$46)/10^6 + OILTrade!$H$5</f>
        <v>5.3993322160103236</v>
      </c>
      <c r="O972" s="421">
        <f>DelivOIL!$F99*DelivOIL!W$81^5/(Conv!$I$5*Conv!$D$46)/10^6 + OILTrade!$H$5</f>
        <v>5.3993322160103236</v>
      </c>
      <c r="P972" s="421">
        <f>DelivOIL!$F99*DelivOIL!X$81^5/(Conv!$I$5*Conv!$D$46)/10^6 + OILTrade!$H$5</f>
        <v>5.3993322160103236</v>
      </c>
      <c r="Q972" s="421">
        <f>DelivOIL!$F99*DelivOIL!Y$81^5/(Conv!$I$5*Conv!$D$46)/10^6 + OILTrade!$H$5</f>
        <v>5.3993322160103236</v>
      </c>
      <c r="S972" s="395"/>
      <c r="T972" s="395"/>
      <c r="U972" s="395"/>
      <c r="V972" s="395"/>
      <c r="W972" s="395"/>
      <c r="X972" s="395"/>
      <c r="Y972" s="395"/>
      <c r="Z972" s="395"/>
      <c r="AA972" s="395"/>
      <c r="AB972" s="395"/>
      <c r="AC972" s="395"/>
    </row>
    <row r="973" spans="2:29">
      <c r="B973" s="376" t="str">
        <f>IF(OR(LEFT(Commodities!B$331,1)="*",LEFT(Technologies!B$720,1)="*"),"*","R5")</f>
        <v>*</v>
      </c>
      <c r="C973" s="376" t="str">
        <f>Technologies!C$770</f>
        <v>XIELCRFHP3</v>
      </c>
      <c r="D973" s="376" t="str">
        <f>Technologies!D720</f>
        <v>Delivery of Imported High Sulfur Residual Fuel Oil to Electricity Sector</v>
      </c>
      <c r="E973" s="415" t="str">
        <f>Commodities!C202</f>
        <v>KERB</v>
      </c>
      <c r="F973" s="415" t="str">
        <f>Commodities!C108</f>
        <v>ELCRFH</v>
      </c>
      <c r="G973" s="422">
        <v>1</v>
      </c>
      <c r="H973" s="421">
        <f>DelivOIL!$F100*DelivOIL!P$81^5/(Conv!$I$5*Conv!$D$46)/10^6 + OILTrade!$H$5</f>
        <v>0.54544068610280794</v>
      </c>
      <c r="I973" s="421">
        <f>DelivOIL!$F100*DelivOIL!Q$81^5/(Conv!$I$5*Conv!$D$46)/10^6 + OILTrade!$H$5</f>
        <v>0.54255836420419179</v>
      </c>
      <c r="J973" s="421">
        <f>DelivOIL!$F100*DelivOIL!R$81^5/(Conv!$I$5*Conv!$D$46)/10^6 + OILTrade!$H$5</f>
        <v>0.57077622327991961</v>
      </c>
      <c r="K973" s="421">
        <f>DelivOIL!$F100*DelivOIL!S$81^5/(Conv!$I$5*Conv!$D$46)/10^6 + OILTrade!$H$5</f>
        <v>0.6875685462929827</v>
      </c>
      <c r="L973" s="421">
        <f>DelivOIL!$F100*DelivOIL!T$81^5/(Conv!$I$5*Conv!$D$46)/10^6 + OILTrade!$H$5</f>
        <v>0.63055142060653679</v>
      </c>
      <c r="M973" s="421">
        <f>DelivOIL!$F100*DelivOIL!U$81^5/(Conv!$I$5*Conv!$D$46)/10^6 + OILTrade!$H$5</f>
        <v>0.55879246737493637</v>
      </c>
      <c r="N973" s="421">
        <f>DelivOIL!$F100*DelivOIL!V$81^5/(Conv!$I$5*Conv!$D$46)/10^6 + OILTrade!$H$5</f>
        <v>0.55879246737493637</v>
      </c>
      <c r="O973" s="421">
        <f>DelivOIL!$F100*DelivOIL!W$81^5/(Conv!$I$5*Conv!$D$46)/10^6 + OILTrade!$H$5</f>
        <v>0.55879246737493637</v>
      </c>
      <c r="P973" s="421">
        <f>DelivOIL!$F100*DelivOIL!X$81^5/(Conv!$I$5*Conv!$D$46)/10^6 + OILTrade!$H$5</f>
        <v>0.55879246737493637</v>
      </c>
      <c r="Q973" s="421">
        <f>DelivOIL!$F100*DelivOIL!Y$81^5/(Conv!$I$5*Conv!$D$46)/10^6 + OILTrade!$H$5</f>
        <v>0.55879246737493637</v>
      </c>
      <c r="S973" s="395"/>
      <c r="T973" s="395"/>
      <c r="U973" s="395"/>
      <c r="V973" s="395"/>
      <c r="W973" s="395"/>
      <c r="X973" s="395"/>
      <c r="Y973" s="395"/>
      <c r="Z973" s="395"/>
      <c r="AA973" s="395"/>
      <c r="AB973" s="395"/>
      <c r="AC973" s="395"/>
    </row>
    <row r="974" spans="2:29">
      <c r="B974" s="378" t="s">
        <v>1089</v>
      </c>
      <c r="C974" s="378"/>
      <c r="D974" s="378"/>
      <c r="E974" s="414"/>
      <c r="F974" s="414"/>
      <c r="G974" s="418"/>
      <c r="H974" s="392"/>
      <c r="I974" s="392"/>
      <c r="J974" s="392"/>
      <c r="K974" s="392"/>
      <c r="L974" s="392"/>
      <c r="M974" s="392"/>
      <c r="N974" s="392"/>
      <c r="O974" s="392"/>
      <c r="P974" s="392"/>
      <c r="Q974" s="392"/>
    </row>
    <row r="975" spans="2:29">
      <c r="B975" s="376" t="str">
        <f>IF(LEFT(Technologies!B$702,1)="*","*","R6")</f>
        <v>R6</v>
      </c>
      <c r="C975" s="376" t="str">
        <f>Technologies!C$747</f>
        <v>XITRGSLCP3</v>
      </c>
      <c r="D975" s="376" t="str">
        <f>Technologies!D702</f>
        <v>Delivery of Imported Conventional Gasoline</v>
      </c>
      <c r="E975" s="415" t="str">
        <f>Commodities!C$347</f>
        <v>GSCP3</v>
      </c>
      <c r="F975" s="415" t="str">
        <f>Commodities!C85</f>
        <v>TRGSLC</v>
      </c>
      <c r="G975" s="422">
        <v>1</v>
      </c>
      <c r="H975" s="421">
        <f>DelivOIL!$G77*DelivOIL!P$82^5/(Conv!$I$5*Conv!$D$46)/10^6 + OILTrade!$I$7</f>
        <v>3.3340061938034138</v>
      </c>
      <c r="I975" s="421">
        <f>DelivOIL!$G77*DelivOIL!Q$82^5/(Conv!$I$5*Conv!$D$46)/10^6 + OILTrade!$I$7</f>
        <v>2.9843149337239279</v>
      </c>
      <c r="J975" s="421">
        <f>DelivOIL!$G77*DelivOIL!R$82^5/(Conv!$I$5*Conv!$D$46)/10^6 + OILTrade!$I$7</f>
        <v>3.3852292604304748</v>
      </c>
      <c r="K975" s="421">
        <f>DelivOIL!$G77*DelivOIL!S$82^5/(Conv!$I$5*Conv!$D$46)/10^6 + OILTrade!$I$7</f>
        <v>3.8767600283295818</v>
      </c>
      <c r="L975" s="421">
        <f>DelivOIL!$G77*DelivOIL!T$82^5/(Conv!$I$5*Conv!$D$46)/10^6 + OILTrade!$I$7</f>
        <v>3.5466981560636386</v>
      </c>
      <c r="M975" s="421">
        <f>DelivOIL!$G77*DelivOIL!U$82^5/(Conv!$I$5*Conv!$D$46)/10^6 + OILTrade!$I$7</f>
        <v>3.3835944944460028</v>
      </c>
      <c r="N975" s="421">
        <f>DelivOIL!$G77*DelivOIL!V$82^5/(Conv!$I$5*Conv!$D$46)/10^6 + OILTrade!$I$7</f>
        <v>3.3835944944460028</v>
      </c>
      <c r="O975" s="421">
        <f>DelivOIL!$G77*DelivOIL!W$82^5/(Conv!$I$5*Conv!$D$46)/10^6 + OILTrade!$I$7</f>
        <v>3.3835944944460028</v>
      </c>
      <c r="P975" s="421">
        <f>DelivOIL!$G77*DelivOIL!X$82^5/(Conv!$I$5*Conv!$D$46)/10^6 + OILTrade!$I$7</f>
        <v>3.3835944944460028</v>
      </c>
      <c r="Q975" s="421">
        <f>DelivOIL!$G77*DelivOIL!Y$82^5/(Conv!$I$5*Conv!$D$46)/10^6 + OILTrade!$I$7</f>
        <v>3.3835944944460028</v>
      </c>
      <c r="S975" s="395"/>
      <c r="T975" s="395"/>
      <c r="U975" s="395"/>
      <c r="V975" s="395"/>
      <c r="W975" s="395"/>
      <c r="X975" s="395"/>
      <c r="Y975" s="395"/>
      <c r="Z975" s="395"/>
      <c r="AA975" s="395"/>
      <c r="AB975" s="395"/>
      <c r="AC975" s="395"/>
    </row>
    <row r="976" spans="2:29">
      <c r="B976" s="376" t="str">
        <f>IF(LEFT(Technologies!B$703,1)="*","*","R6")</f>
        <v>R6</v>
      </c>
      <c r="C976" s="376" t="str">
        <f>Technologies!C$748</f>
        <v>XITRGSLRP3</v>
      </c>
      <c r="D976" s="376" t="str">
        <f>Technologies!D703</f>
        <v>Delivery of Imported Reformulated Gasoline</v>
      </c>
      <c r="E976" s="415" t="str">
        <f>Commodities!C$348</f>
        <v>GSRP3</v>
      </c>
      <c r="F976" s="415" t="str">
        <f>Commodities!C86</f>
        <v>TRGSLR</v>
      </c>
      <c r="G976" s="422">
        <v>1</v>
      </c>
      <c r="H976" s="421">
        <f>DelivOIL!$G78*DelivOIL!P$82^5/(Conv!$I$5*Conv!$D$46)/10^6 + OILTrade!$I$7</f>
        <v>3.3203701766508433</v>
      </c>
      <c r="I976" s="421">
        <f>DelivOIL!$G78*DelivOIL!Q$82^5/(Conv!$I$5*Conv!$D$46)/10^6 + OILTrade!$I$7</f>
        <v>2.9721091466739313</v>
      </c>
      <c r="J976" s="421">
        <f>DelivOIL!$G78*DelivOIL!R$82^5/(Conv!$I$5*Conv!$D$46)/10^6 + OILTrade!$I$7</f>
        <v>3.3713837419829056</v>
      </c>
      <c r="K976" s="421">
        <f>DelivOIL!$G78*DelivOIL!S$82^5/(Conv!$I$5*Conv!$D$46)/10^6 + OILTrade!$I$7</f>
        <v>3.8609041590930593</v>
      </c>
      <c r="L976" s="421">
        <f>DelivOIL!$G78*DelivOIL!T$82^5/(Conv!$I$5*Conv!$D$46)/10^6 + OILTrade!$I$7</f>
        <v>3.5321922331349525</v>
      </c>
      <c r="M976" s="421">
        <f>DelivOIL!$G78*DelivOIL!U$82^5/(Conv!$I$5*Conv!$D$46)/10^6 + OILTrade!$I$7</f>
        <v>3.3697556621578793</v>
      </c>
      <c r="N976" s="421">
        <f>DelivOIL!$G78*DelivOIL!V$82^5/(Conv!$I$5*Conv!$D$46)/10^6 + OILTrade!$I$7</f>
        <v>3.3697556621578793</v>
      </c>
      <c r="O976" s="421">
        <f>DelivOIL!$G78*DelivOIL!W$82^5/(Conv!$I$5*Conv!$D$46)/10^6 + OILTrade!$I$7</f>
        <v>3.3697556621578793</v>
      </c>
      <c r="P976" s="421">
        <f>DelivOIL!$G78*DelivOIL!X$82^5/(Conv!$I$5*Conv!$D$46)/10^6 + OILTrade!$I$7</f>
        <v>3.3697556621578793</v>
      </c>
      <c r="Q976" s="421">
        <f>DelivOIL!$G78*DelivOIL!Y$82^5/(Conv!$I$5*Conv!$D$46)/10^6 + OILTrade!$I$7</f>
        <v>3.3697556621578793</v>
      </c>
      <c r="S976" s="395"/>
      <c r="T976" s="395"/>
      <c r="U976" s="395"/>
      <c r="V976" s="395"/>
      <c r="W976" s="395"/>
      <c r="X976" s="395"/>
      <c r="Y976" s="395"/>
      <c r="Z976" s="395"/>
      <c r="AA976" s="395"/>
      <c r="AB976" s="395"/>
      <c r="AC976" s="395"/>
    </row>
    <row r="977" spans="2:29">
      <c r="B977" s="376" t="str">
        <f>IF(OR(LEFT(Commodities!B$65,1)="*",LEFT(Technologies!B$233,1)="*"),"*","R6")</f>
        <v>R6</v>
      </c>
      <c r="C977" s="376" t="str">
        <f>Technologies!C$749</f>
        <v>XIRESDSLP3</v>
      </c>
      <c r="D977" s="376" t="str">
        <f>Technologies!D233</f>
        <v>Delivery of Imported Distillate-Heating Oil No. 2 to the Residential Sector</v>
      </c>
      <c r="E977" s="415" t="str">
        <f>Commodities!C$69</f>
        <v>DSHP3</v>
      </c>
      <c r="F977" s="415" t="str">
        <f>Commodities!C87</f>
        <v>RESDSL</v>
      </c>
      <c r="G977" s="422">
        <v>1</v>
      </c>
      <c r="H977" s="421">
        <f>DelivOIL!$G80*DelivOIL!P$82^5/(Conv!$I$5*Conv!$D$46)/10^6 + OILTrade!$I$7</f>
        <v>2.5226631732254869</v>
      </c>
      <c r="I977" s="421">
        <f>DelivOIL!$G80*DelivOIL!Q$82^5/(Conv!$I$5*Conv!$D$46)/10^6 + OILTrade!$I$7</f>
        <v>2.2580706042491885</v>
      </c>
      <c r="J977" s="421">
        <f>DelivOIL!$G80*DelivOIL!R$82^5/(Conv!$I$5*Conv!$D$46)/10^6 + OILTrade!$I$7</f>
        <v>2.561420912800155</v>
      </c>
      <c r="K977" s="421">
        <f>DelivOIL!$G80*DelivOIL!S$82^5/(Conv!$I$5*Conv!$D$46)/10^6 + OILTrade!$I$7</f>
        <v>2.9333358087565347</v>
      </c>
      <c r="L977" s="421">
        <f>DelivOIL!$G80*DelivOIL!T$82^5/(Conv!$I$5*Conv!$D$46)/10^6 + OILTrade!$I$7</f>
        <v>2.6835957418068435</v>
      </c>
      <c r="M977" s="421">
        <f>DelivOIL!$G80*DelivOIL!U$82^5/(Conv!$I$5*Conv!$D$46)/10^6 + OILTrade!$I$7</f>
        <v>2.5601839733027019</v>
      </c>
      <c r="N977" s="421">
        <f>DelivOIL!$G80*DelivOIL!V$82^5/(Conv!$I$5*Conv!$D$46)/10^6 + OILTrade!$I$7</f>
        <v>2.5601839733027019</v>
      </c>
      <c r="O977" s="421">
        <f>DelivOIL!$G80*DelivOIL!W$82^5/(Conv!$I$5*Conv!$D$46)/10^6 + OILTrade!$I$7</f>
        <v>2.5601839733027019</v>
      </c>
      <c r="P977" s="421">
        <f>DelivOIL!$G80*DelivOIL!X$82^5/(Conv!$I$5*Conv!$D$46)/10^6 + OILTrade!$I$7</f>
        <v>2.5601839733027019</v>
      </c>
      <c r="Q977" s="421">
        <f>DelivOIL!$G80*DelivOIL!Y$82^5/(Conv!$I$5*Conv!$D$46)/10^6 + OILTrade!$I$7</f>
        <v>2.5601839733027019</v>
      </c>
      <c r="S977" s="395"/>
      <c r="T977" s="395"/>
      <c r="U977" s="395"/>
      <c r="V977" s="395"/>
      <c r="W977" s="395"/>
      <c r="X977" s="395"/>
      <c r="Y977" s="395"/>
      <c r="Z977" s="395"/>
      <c r="AA977" s="395"/>
      <c r="AB977" s="395"/>
      <c r="AC977" s="395"/>
    </row>
    <row r="978" spans="2:29">
      <c r="B978" s="376" t="str">
        <f>IF(OR(LEFT(Commodities!B$65,1)="*",LEFT(Technologies!B$234,1)="*"),"*","R6")</f>
        <v>R6</v>
      </c>
      <c r="C978" s="376" t="str">
        <f>Technologies!C$750</f>
        <v>XICOMDSLP3</v>
      </c>
      <c r="D978" s="376" t="str">
        <f>Technologies!D234</f>
        <v>Delivery of Imported Distillate-Heating Oil No. 2 to the Commercial Sector</v>
      </c>
      <c r="E978" s="415" t="str">
        <f>Commodities!C$69</f>
        <v>DSHP3</v>
      </c>
      <c r="F978" s="415" t="str">
        <f>Commodities!C88</f>
        <v>COMDSL</v>
      </c>
      <c r="G978" s="422">
        <v>1</v>
      </c>
      <c r="H978" s="421">
        <f>DelivOIL!$G81*DelivOIL!P$82^5/(Conv!$I$5*Conv!$D$46)/10^6 + OILTrade!$I$7</f>
        <v>0.8727050977644929</v>
      </c>
      <c r="I978" s="421">
        <f>DelivOIL!$G81*DelivOIL!Q$82^5/(Conv!$I$5*Conv!$D$46)/10^6 + OILTrade!$I$7</f>
        <v>0.78117037119971933</v>
      </c>
      <c r="J978" s="421">
        <f>DelivOIL!$G81*DelivOIL!R$82^5/(Conv!$I$5*Conv!$D$46)/10^6 + OILTrade!$I$7</f>
        <v>0.88611318064437783</v>
      </c>
      <c r="K978" s="421">
        <f>DelivOIL!$G81*DelivOIL!S$82^5/(Conv!$I$5*Conv!$D$46)/10^6 + OILTrade!$I$7</f>
        <v>1.0147756311373957</v>
      </c>
      <c r="L978" s="421">
        <f>DelivOIL!$G81*DelivOIL!T$82^5/(Conv!$I$5*Conv!$D$46)/10^6 + OILTrade!$I$7</f>
        <v>0.92837906743588094</v>
      </c>
      <c r="M978" s="421">
        <f>DelivOIL!$G81*DelivOIL!U$82^5/(Conv!$I$5*Conv!$D$46)/10^6 + OILTrade!$I$7</f>
        <v>0.88568526643985357</v>
      </c>
      <c r="N978" s="421">
        <f>DelivOIL!$G81*DelivOIL!V$82^5/(Conv!$I$5*Conv!$D$46)/10^6 + OILTrade!$I$7</f>
        <v>0.88568526643985357</v>
      </c>
      <c r="O978" s="421">
        <f>DelivOIL!$G81*DelivOIL!W$82^5/(Conv!$I$5*Conv!$D$46)/10^6 + OILTrade!$I$7</f>
        <v>0.88568526643985357</v>
      </c>
      <c r="P978" s="421">
        <f>DelivOIL!$G81*DelivOIL!X$82^5/(Conv!$I$5*Conv!$D$46)/10^6 + OILTrade!$I$7</f>
        <v>0.88568526643985357</v>
      </c>
      <c r="Q978" s="421">
        <f>DelivOIL!$G81*DelivOIL!Y$82^5/(Conv!$I$5*Conv!$D$46)/10^6 + OILTrade!$I$7</f>
        <v>0.88568526643985357</v>
      </c>
      <c r="S978" s="395"/>
      <c r="T978" s="395"/>
      <c r="U978" s="395"/>
      <c r="V978" s="395"/>
      <c r="W978" s="395"/>
      <c r="X978" s="395"/>
      <c r="Y978" s="395"/>
      <c r="Z978" s="395"/>
      <c r="AA978" s="395"/>
      <c r="AB978" s="395"/>
      <c r="AC978" s="395"/>
    </row>
    <row r="979" spans="2:29">
      <c r="B979" s="376" t="str">
        <f>IF(OR(LEFT(Commodities!B$65,1)="*",LEFT(Technologies!B$235,1)="*"),"*","R6")</f>
        <v>*</v>
      </c>
      <c r="C979" s="376" t="str">
        <f>Technologies!C$751</f>
        <v>XIINDDSLP3</v>
      </c>
      <c r="D979" s="376" t="str">
        <f>Technologies!D235</f>
        <v>Delivery of Imported Distillate-Heating Oil No. 2 to the Indistrial Sector</v>
      </c>
      <c r="E979" s="415" t="str">
        <f>Commodities!C$69</f>
        <v>DSHP3</v>
      </c>
      <c r="F979" s="415" t="str">
        <f>Commodities!C89</f>
        <v>INDDSL</v>
      </c>
      <c r="G979" s="422">
        <v>1</v>
      </c>
      <c r="H979" s="421">
        <f>DelivOIL!$G82*DelivOIL!P$82^5/(Conv!$I$5*Conv!$D$46)/10^6 + OILTrade!$I$7</f>
        <v>1.1726974751210375</v>
      </c>
      <c r="I979" s="421">
        <f>DelivOIL!$G82*DelivOIL!Q$82^5/(Conv!$I$5*Conv!$D$46)/10^6 + OILTrade!$I$7</f>
        <v>1.049697686299623</v>
      </c>
      <c r="J979" s="421">
        <f>DelivOIL!$G82*DelivOIL!R$82^5/(Conv!$I$5*Conv!$D$46)/10^6 + OILTrade!$I$7</f>
        <v>1.190714586490883</v>
      </c>
      <c r="K979" s="421">
        <f>DelivOIL!$G82*DelivOIL!S$82^5/(Conv!$I$5*Conv!$D$46)/10^6 + OILTrade!$I$7</f>
        <v>1.3636047543408758</v>
      </c>
      <c r="L979" s="421">
        <f>DelivOIL!$G82*DelivOIL!T$82^5/(Conv!$I$5*Conv!$D$46)/10^6 + OILTrade!$I$7</f>
        <v>1.2475093718669654</v>
      </c>
      <c r="M979" s="421">
        <f>DelivOIL!$G82*DelivOIL!U$82^5/(Conv!$I$5*Conv!$D$46)/10^6 + OILTrade!$I$7</f>
        <v>1.1901395767785536</v>
      </c>
      <c r="N979" s="421">
        <f>DelivOIL!$G82*DelivOIL!V$82^5/(Conv!$I$5*Conv!$D$46)/10^6 + OILTrade!$I$7</f>
        <v>1.1901395767785536</v>
      </c>
      <c r="O979" s="421">
        <f>DelivOIL!$G82*DelivOIL!W$82^5/(Conv!$I$5*Conv!$D$46)/10^6 + OILTrade!$I$7</f>
        <v>1.1901395767785536</v>
      </c>
      <c r="P979" s="421">
        <f>DelivOIL!$G82*DelivOIL!X$82^5/(Conv!$I$5*Conv!$D$46)/10^6 + OILTrade!$I$7</f>
        <v>1.1901395767785536</v>
      </c>
      <c r="Q979" s="421">
        <f>DelivOIL!$G82*DelivOIL!Y$82^5/(Conv!$I$5*Conv!$D$46)/10^6 + OILTrade!$I$7</f>
        <v>1.1901395767785536</v>
      </c>
      <c r="S979" s="395"/>
      <c r="T979" s="395"/>
      <c r="U979" s="395"/>
      <c r="V979" s="395"/>
      <c r="W979" s="395"/>
      <c r="X979" s="395"/>
      <c r="Y979" s="395"/>
      <c r="Z979" s="395"/>
      <c r="AA979" s="395"/>
      <c r="AB979" s="395"/>
      <c r="AC979" s="395"/>
    </row>
    <row r="980" spans="2:29">
      <c r="B980" s="376" t="str">
        <f>IF(OR(LEFT(Commodities!B$65,1)="*",LEFT(Technologies!B$236,1)="*"),"*","R6")</f>
        <v>R6</v>
      </c>
      <c r="C980" s="376" t="str">
        <f>Technologies!C$752</f>
        <v>XIELCDSLP3</v>
      </c>
      <c r="D980" s="376" t="str">
        <f>Technologies!D236</f>
        <v>Delivery of Imported Distillate-Heating Oil No. 2 to the Electricity Sector</v>
      </c>
      <c r="E980" s="415" t="str">
        <f>Commodities!C$69</f>
        <v>DSHP3</v>
      </c>
      <c r="F980" s="415" t="str">
        <f>Commodities!C90</f>
        <v>ELCDSL</v>
      </c>
      <c r="G980" s="422">
        <v>1</v>
      </c>
      <c r="H980" s="421">
        <f>DelivOIL!$G83*DelivOIL!P$82^5/(Conv!$I$5*Conv!$D$46)/10^6 + OILTrade!$I$7</f>
        <v>0.82497903773049708</v>
      </c>
      <c r="I980" s="421">
        <f>DelivOIL!$G83*DelivOIL!Q$82^5/(Conv!$I$5*Conv!$D$46)/10^6 + OILTrade!$I$7</f>
        <v>0.7384501165247348</v>
      </c>
      <c r="J980" s="421">
        <f>DelivOIL!$G83*DelivOIL!R$82^5/(Conv!$I$5*Conv!$D$46)/10^6 + OILTrade!$I$7</f>
        <v>0.83765386607788839</v>
      </c>
      <c r="K980" s="421">
        <f>DelivOIL!$G83*DelivOIL!S$82^5/(Conv!$I$5*Conv!$D$46)/10^6 + OILTrade!$I$7</f>
        <v>0.95928008880956939</v>
      </c>
      <c r="L980" s="421">
        <f>DelivOIL!$G83*DelivOIL!T$82^5/(Conv!$I$5*Conv!$D$46)/10^6 + OILTrade!$I$7</f>
        <v>0.87760833718548115</v>
      </c>
      <c r="M980" s="421">
        <f>DelivOIL!$G83*DelivOIL!U$82^5/(Conv!$I$5*Conv!$D$46)/10^6 + OILTrade!$I$7</f>
        <v>0.83724935343142415</v>
      </c>
      <c r="N980" s="421">
        <f>DelivOIL!$G83*DelivOIL!V$82^5/(Conv!$I$5*Conv!$D$46)/10^6 + OILTrade!$I$7</f>
        <v>0.83724935343142415</v>
      </c>
      <c r="O980" s="421">
        <f>DelivOIL!$G83*DelivOIL!W$82^5/(Conv!$I$5*Conv!$D$46)/10^6 + OILTrade!$I$7</f>
        <v>0.83724935343142415</v>
      </c>
      <c r="P980" s="421">
        <f>DelivOIL!$G83*DelivOIL!X$82^5/(Conv!$I$5*Conv!$D$46)/10^6 + OILTrade!$I$7</f>
        <v>0.83724935343142415</v>
      </c>
      <c r="Q980" s="421">
        <f>DelivOIL!$G83*DelivOIL!Y$82^5/(Conv!$I$5*Conv!$D$46)/10^6 + OILTrade!$I$7</f>
        <v>0.83724935343142415</v>
      </c>
      <c r="S980" s="395"/>
      <c r="T980" s="395"/>
      <c r="U980" s="395"/>
      <c r="V980" s="395"/>
      <c r="W980" s="395"/>
      <c r="X980" s="395"/>
      <c r="Y980" s="395"/>
      <c r="Z980" s="395"/>
      <c r="AA980" s="395"/>
      <c r="AB980" s="395"/>
      <c r="AC980" s="395"/>
    </row>
    <row r="981" spans="2:29">
      <c r="B981" s="376" t="str">
        <f>IF(OR(LEFT(Commodities!B$323,1)="*",LEFT(Technologies!B$704,1)="*"),"*","R6")</f>
        <v>R6</v>
      </c>
      <c r="C981" s="376" t="str">
        <f>Technologies!C$753</f>
        <v>XITRDSLLP3</v>
      </c>
      <c r="D981" s="376" t="str">
        <f>Technologies!D704</f>
        <v>Delivery of Imported Distillate-Low Sulfur Highway Diesel (500 ppm)</v>
      </c>
      <c r="E981" s="415" t="str">
        <f>Commodities!C$345</f>
        <v>DSLP3</v>
      </c>
      <c r="F981" s="415" t="str">
        <f>Commodities!C91</f>
        <v>TRDSLL</v>
      </c>
      <c r="G981" s="422">
        <v>1</v>
      </c>
      <c r="H981" s="421">
        <f>DelivOIL!$G84*DelivOIL!P$82^5/(Conv!$I$5*Conv!$D$46)/10^6 + OILTrade!$I$7</f>
        <v>3.5658184853971071</v>
      </c>
      <c r="I981" s="421">
        <f>DelivOIL!$G84*DelivOIL!Q$82^5/(Conv!$I$5*Conv!$D$46)/10^6 + OILTrade!$I$7</f>
        <v>3.1918133135738525</v>
      </c>
      <c r="J981" s="421">
        <f>DelivOIL!$G84*DelivOIL!R$82^5/(Conv!$I$5*Conv!$D$46)/10^6 + OILTrade!$I$7</f>
        <v>3.6206030740391371</v>
      </c>
      <c r="K981" s="421">
        <f>DelivOIL!$G84*DelivOIL!S$82^5/(Conv!$I$5*Conv!$D$46)/10^6 + OILTrade!$I$7</f>
        <v>4.1463098053504526</v>
      </c>
      <c r="L981" s="421">
        <f>DelivOIL!$G84*DelivOIL!T$82^5/(Conv!$I$5*Conv!$D$46)/10^6 + OILTrade!$I$7</f>
        <v>3.7932988458512944</v>
      </c>
      <c r="M981" s="421">
        <f>DelivOIL!$G84*DelivOIL!U$82^5/(Conv!$I$5*Conv!$D$46)/10^6 + OILTrade!$I$7</f>
        <v>3.6188546433440885</v>
      </c>
      <c r="N981" s="421">
        <f>DelivOIL!$G84*DelivOIL!V$82^5/(Conv!$I$5*Conv!$D$46)/10^6 + OILTrade!$I$7</f>
        <v>3.6188546433440885</v>
      </c>
      <c r="O981" s="421">
        <f>DelivOIL!$G84*DelivOIL!W$82^5/(Conv!$I$5*Conv!$D$46)/10^6 + OILTrade!$I$7</f>
        <v>3.6188546433440885</v>
      </c>
      <c r="P981" s="421">
        <f>DelivOIL!$G84*DelivOIL!X$82^5/(Conv!$I$5*Conv!$D$46)/10^6 + OILTrade!$I$7</f>
        <v>3.6188546433440885</v>
      </c>
      <c r="Q981" s="421">
        <f>DelivOIL!$G84*DelivOIL!Y$82^5/(Conv!$I$5*Conv!$D$46)/10^6 + OILTrade!$I$7</f>
        <v>3.6188546433440885</v>
      </c>
      <c r="S981" s="395"/>
      <c r="T981" s="395"/>
      <c r="U981" s="395"/>
      <c r="V981" s="395"/>
      <c r="W981" s="395"/>
      <c r="X981" s="395"/>
      <c r="Y981" s="395"/>
      <c r="Z981" s="395"/>
      <c r="AA981" s="395"/>
      <c r="AB981" s="395"/>
      <c r="AC981" s="395"/>
    </row>
    <row r="982" spans="2:29">
      <c r="B982" s="376" t="str">
        <f>IF(OR(LEFT(Commodities!B$324,1)="*",LEFT(Technologies!B$705,1)="*"),"*","R6")</f>
        <v>R6</v>
      </c>
      <c r="C982" s="376" t="str">
        <f>Technologies!C$754</f>
        <v>XITRDSLUP3</v>
      </c>
      <c r="D982" s="376" t="str">
        <f>Technologies!D705</f>
        <v>Delivery of Imported Distillate-Ultralow Sulfur Highway Diesel (15 ppm)</v>
      </c>
      <c r="E982" s="415" t="str">
        <f>Commodities!C$346</f>
        <v>DSUP3</v>
      </c>
      <c r="F982" s="415" t="str">
        <f>Commodities!C92</f>
        <v>TRDSLU</v>
      </c>
      <c r="G982" s="422">
        <v>1</v>
      </c>
      <c r="H982" s="421">
        <f>DelivOIL!$G85*DelivOIL!P$82^5/(Conv!$I$5*Conv!$D$46)/10^6 + OILTrade!$I$7</f>
        <v>2.9249256792263076</v>
      </c>
      <c r="I982" s="421">
        <f>DelivOIL!$G85*DelivOIL!Q$82^5/(Conv!$I$5*Conv!$D$46)/10^6 + OILTrade!$I$7</f>
        <v>2.618141322224059</v>
      </c>
      <c r="J982" s="421">
        <f>DelivOIL!$G85*DelivOIL!R$82^5/(Conv!$I$5*Conv!$D$46)/10^6 + OILTrade!$I$7</f>
        <v>2.9698637070034226</v>
      </c>
      <c r="K982" s="421">
        <f>DelivOIL!$G85*DelivOIL!S$82^5/(Conv!$I$5*Conv!$D$46)/10^6 + OILTrade!$I$7</f>
        <v>3.401083951233927</v>
      </c>
      <c r="L982" s="421">
        <f>DelivOIL!$G85*DelivOIL!T$82^5/(Conv!$I$5*Conv!$D$46)/10^6 + OILTrade!$I$7</f>
        <v>3.1115204682030697</v>
      </c>
      <c r="M982" s="421">
        <f>DelivOIL!$G85*DelivOIL!U$82^5/(Conv!$I$5*Conv!$D$46)/10^6 + OILTrade!$I$7</f>
        <v>2.9684295258023212</v>
      </c>
      <c r="N982" s="421">
        <f>DelivOIL!$G85*DelivOIL!V$82^5/(Conv!$I$5*Conv!$D$46)/10^6 + OILTrade!$I$7</f>
        <v>2.9684295258023212</v>
      </c>
      <c r="O982" s="421">
        <f>DelivOIL!$G85*DelivOIL!W$82^5/(Conv!$I$5*Conv!$D$46)/10^6 + OILTrade!$I$7</f>
        <v>2.9684295258023212</v>
      </c>
      <c r="P982" s="421">
        <f>DelivOIL!$G85*DelivOIL!X$82^5/(Conv!$I$5*Conv!$D$46)/10^6 + OILTrade!$I$7</f>
        <v>2.9684295258023212</v>
      </c>
      <c r="Q982" s="421">
        <f>DelivOIL!$G85*DelivOIL!Y$82^5/(Conv!$I$5*Conv!$D$46)/10^6 + OILTrade!$I$7</f>
        <v>2.9684295258023212</v>
      </c>
      <c r="S982" s="395"/>
      <c r="T982" s="395"/>
      <c r="U982" s="395"/>
      <c r="V982" s="395"/>
      <c r="W982" s="395"/>
      <c r="X982" s="395"/>
      <c r="Y982" s="395"/>
      <c r="Z982" s="395"/>
      <c r="AA982" s="395"/>
      <c r="AB982" s="395"/>
      <c r="AC982" s="395"/>
    </row>
    <row r="983" spans="2:29">
      <c r="B983" s="376" t="str">
        <f>IF(OR(LEFT(Commodities!B$64,1)="*",LEFT(Technologies!B$232,1)="*"),"*","R6")</f>
        <v>R6</v>
      </c>
      <c r="C983" s="376" t="str">
        <f>Technologies!C$755</f>
        <v>XITRNJTFP3</v>
      </c>
      <c r="D983" s="376" t="str">
        <f>Technologies!D232</f>
        <v>Delivery of Imported Jet Fuel</v>
      </c>
      <c r="E983" s="415" t="str">
        <f>Commodities!C$68</f>
        <v>JTFP3</v>
      </c>
      <c r="F983" s="415" t="str">
        <f>Commodities!C93</f>
        <v>TRNJTF</v>
      </c>
      <c r="G983" s="422">
        <v>1</v>
      </c>
      <c r="H983" s="421">
        <f>DelivOIL!$G86*DelivOIL!P$82^5/(Conv!$I$5*Conv!$D$46)/10^6 + OILTrade!$I$7</f>
        <v>0.7090728919336502</v>
      </c>
      <c r="I983" s="421">
        <f>DelivOIL!$G86*DelivOIL!Q$82^5/(Conv!$I$5*Conv!$D$46)/10^6 + OILTrade!$I$7</f>
        <v>0.63470092659977184</v>
      </c>
      <c r="J983" s="421">
        <f>DelivOIL!$G86*DelivOIL!R$82^5/(Conv!$I$5*Conv!$D$46)/10^6 + OILTrade!$I$7</f>
        <v>0.71996695927355681</v>
      </c>
      <c r="K983" s="421">
        <f>DelivOIL!$G86*DelivOIL!S$82^5/(Conv!$I$5*Conv!$D$46)/10^6 + OILTrade!$I$7</f>
        <v>0.82450520029913388</v>
      </c>
      <c r="L983" s="421">
        <f>DelivOIL!$G86*DelivOIL!T$82^5/(Conv!$I$5*Conv!$D$46)/10^6 + OILTrade!$I$7</f>
        <v>0.75430799229165302</v>
      </c>
      <c r="M983" s="421">
        <f>DelivOIL!$G86*DelivOIL!U$82^5/(Conv!$I$5*Conv!$D$46)/10^6 + OILTrade!$I$7</f>
        <v>0.71961927898238087</v>
      </c>
      <c r="N983" s="421">
        <f>DelivOIL!$G86*DelivOIL!V$82^5/(Conv!$I$5*Conv!$D$46)/10^6 + OILTrade!$I$7</f>
        <v>0.71961927898238087</v>
      </c>
      <c r="O983" s="421">
        <f>DelivOIL!$G86*DelivOIL!W$82^5/(Conv!$I$5*Conv!$D$46)/10^6 + OILTrade!$I$7</f>
        <v>0.71961927898238087</v>
      </c>
      <c r="P983" s="421">
        <f>DelivOIL!$G86*DelivOIL!X$82^5/(Conv!$I$5*Conv!$D$46)/10^6 + OILTrade!$I$7</f>
        <v>0.71961927898238087</v>
      </c>
      <c r="Q983" s="421">
        <f>DelivOIL!$G86*DelivOIL!Y$82^5/(Conv!$I$5*Conv!$D$46)/10^6 + OILTrade!$I$7</f>
        <v>0.71961927898238087</v>
      </c>
      <c r="S983" s="395"/>
      <c r="T983" s="395"/>
      <c r="U983" s="395"/>
      <c r="V983" s="395"/>
      <c r="W983" s="395"/>
      <c r="X983" s="395"/>
      <c r="Y983" s="395"/>
      <c r="Z983" s="395"/>
      <c r="AA983" s="395"/>
      <c r="AB983" s="395"/>
      <c r="AC983" s="395"/>
    </row>
    <row r="984" spans="2:29">
      <c r="B984" s="376" t="str">
        <f>IF(OR(LEFT(Commodities!B$327,1)="*",LEFT(Technologies!B$706,1)="*"),"*","R6")</f>
        <v>*</v>
      </c>
      <c r="C984" s="376" t="str">
        <f>Technologies!C$756</f>
        <v>XIRESKERP3</v>
      </c>
      <c r="D984" s="376" t="str">
        <f>Technologies!D706</f>
        <v>Delivery of Imported Kerosene and Other Refined Products to the Residential Sector</v>
      </c>
      <c r="E984" s="415" t="str">
        <f>Commodities!C$349</f>
        <v>KERP3</v>
      </c>
      <c r="F984" s="415" t="str">
        <f>Commodities!C94</f>
        <v>RESKER</v>
      </c>
      <c r="G984" s="422">
        <v>1</v>
      </c>
      <c r="H984" s="421">
        <f>DelivOIL!$G87*DelivOIL!P$82^5/(Conv!$I$5*Conv!$D$46)/10^6 + OILTrade!$I$7</f>
        <v>2.7067494047851857</v>
      </c>
      <c r="I984" s="421">
        <f>DelivOIL!$G87*DelivOIL!Q$82^5/(Conv!$I$5*Conv!$D$46)/10^6 + OILTrade!$I$7</f>
        <v>2.4228487294241305</v>
      </c>
      <c r="J984" s="421">
        <f>DelivOIL!$G87*DelivOIL!R$82^5/(Conv!$I$5*Conv!$D$46)/10^6 + OILTrade!$I$7</f>
        <v>2.7483354118423291</v>
      </c>
      <c r="K984" s="421">
        <f>DelivOIL!$G87*DelivOIL!S$82^5/(Conv!$I$5*Conv!$D$46)/10^6 + OILTrade!$I$7</f>
        <v>3.1473900434495796</v>
      </c>
      <c r="L984" s="421">
        <f>DelivOIL!$G87*DelivOIL!T$82^5/(Conv!$I$5*Conv!$D$46)/10^6 + OILTrade!$I$7</f>
        <v>2.8794257013441005</v>
      </c>
      <c r="M984" s="421">
        <f>DelivOIL!$G87*DelivOIL!U$82^5/(Conv!$I$5*Conv!$D$46)/10^6 + OILTrade!$I$7</f>
        <v>2.7470082091923596</v>
      </c>
      <c r="N984" s="421">
        <f>DelivOIL!$G87*DelivOIL!V$82^5/(Conv!$I$5*Conv!$D$46)/10^6 + OILTrade!$I$7</f>
        <v>2.7470082091923596</v>
      </c>
      <c r="O984" s="421">
        <f>DelivOIL!$G87*DelivOIL!W$82^5/(Conv!$I$5*Conv!$D$46)/10^6 + OILTrade!$I$7</f>
        <v>2.7470082091923596</v>
      </c>
      <c r="P984" s="421">
        <f>DelivOIL!$G87*DelivOIL!X$82^5/(Conv!$I$5*Conv!$D$46)/10^6 + OILTrade!$I$7</f>
        <v>2.7470082091923596</v>
      </c>
      <c r="Q984" s="421">
        <f>DelivOIL!$G87*DelivOIL!Y$82^5/(Conv!$I$5*Conv!$D$46)/10^6 + OILTrade!$I$7</f>
        <v>2.7470082091923596</v>
      </c>
      <c r="S984" s="395"/>
      <c r="T984" s="395"/>
      <c r="U984" s="395"/>
      <c r="V984" s="395"/>
      <c r="W984" s="395"/>
      <c r="X984" s="395"/>
      <c r="Y984" s="395"/>
      <c r="Z984" s="395"/>
      <c r="AA984" s="395"/>
      <c r="AB984" s="395"/>
      <c r="AC984" s="395"/>
    </row>
    <row r="985" spans="2:29">
      <c r="B985" s="376" t="str">
        <f>IF(OR(LEFT(Commodities!B$327,1)="*",LEFT(Technologies!B$707,1)="*"),"*","R6")</f>
        <v>*</v>
      </c>
      <c r="C985" s="376" t="str">
        <f>Technologies!C$757</f>
        <v>XICOMKERP3</v>
      </c>
      <c r="D985" s="376" t="str">
        <f>Technologies!D707</f>
        <v>Delivery of Imported Kerosene and Other Refined Products to the Commercial Sector</v>
      </c>
      <c r="E985" s="415" t="str">
        <f>Commodities!C$349</f>
        <v>KERP3</v>
      </c>
      <c r="F985" s="415" t="str">
        <f>Commodities!C95</f>
        <v>COMKER</v>
      </c>
      <c r="G985" s="422">
        <v>1</v>
      </c>
      <c r="H985" s="421">
        <f>DelivOIL!$G88*DelivOIL!P$82^5/(Conv!$I$5*Conv!$D$46)/10^6 + OILTrade!$I$7</f>
        <v>2.7749294905480353</v>
      </c>
      <c r="I985" s="421">
        <f>DelivOIL!$G88*DelivOIL!Q$82^5/(Conv!$I$5*Conv!$D$46)/10^6 + OILTrade!$I$7</f>
        <v>2.483877664674107</v>
      </c>
      <c r="J985" s="421">
        <f>DelivOIL!$G88*DelivOIL!R$82^5/(Conv!$I$5*Conv!$D$46)/10^6 + OILTrade!$I$7</f>
        <v>2.8175630040801698</v>
      </c>
      <c r="K985" s="421">
        <f>DelivOIL!$G88*DelivOIL!S$82^5/(Conv!$I$5*Conv!$D$46)/10^6 + OILTrade!$I$7</f>
        <v>3.2266693896321872</v>
      </c>
      <c r="L985" s="421">
        <f>DelivOIL!$G88*DelivOIL!T$82^5/(Conv!$I$5*Conv!$D$46)/10^6 + OILTrade!$I$7</f>
        <v>2.9519553159875267</v>
      </c>
      <c r="M985" s="421">
        <f>DelivOIL!$G88*DelivOIL!U$82^5/(Conv!$I$5*Conv!$D$46)/10^6 + OILTrade!$I$7</f>
        <v>2.8162023706329711</v>
      </c>
      <c r="N985" s="421">
        <f>DelivOIL!$G88*DelivOIL!V$82^5/(Conv!$I$5*Conv!$D$46)/10^6 + OILTrade!$I$7</f>
        <v>2.8162023706329711</v>
      </c>
      <c r="O985" s="421">
        <f>DelivOIL!$G88*DelivOIL!W$82^5/(Conv!$I$5*Conv!$D$46)/10^6 + OILTrade!$I$7</f>
        <v>2.8162023706329711</v>
      </c>
      <c r="P985" s="421">
        <f>DelivOIL!$G88*DelivOIL!X$82^5/(Conv!$I$5*Conv!$D$46)/10^6 + OILTrade!$I$7</f>
        <v>2.8162023706329711</v>
      </c>
      <c r="Q985" s="421">
        <f>DelivOIL!$G88*DelivOIL!Y$82^5/(Conv!$I$5*Conv!$D$46)/10^6 + OILTrade!$I$7</f>
        <v>2.8162023706329711</v>
      </c>
      <c r="S985" s="395"/>
      <c r="T985" s="395"/>
      <c r="U985" s="395"/>
      <c r="V985" s="395"/>
      <c r="W985" s="395"/>
      <c r="X985" s="395"/>
      <c r="Y985" s="395"/>
      <c r="Z985" s="395"/>
      <c r="AA985" s="395"/>
      <c r="AB985" s="395"/>
      <c r="AC985" s="395"/>
    </row>
    <row r="986" spans="2:29">
      <c r="B986" s="376" t="str">
        <f>IF(OR(LEFT(Commodities!B$327,1)="*",LEFT(Technologies!B$708,1)="*"),"*","R6")</f>
        <v>*</v>
      </c>
      <c r="C986" s="376" t="str">
        <f>Technologies!C$758</f>
        <v>XIINDKERP3</v>
      </c>
      <c r="D986" s="376" t="str">
        <f>Technologies!D708</f>
        <v>Delivery of Imported Kerosene and Other Refined Products to the Industrial Sector</v>
      </c>
      <c r="E986" s="415" t="str">
        <f>Commodities!C$349</f>
        <v>KERP3</v>
      </c>
      <c r="F986" s="415" t="str">
        <f>Commodities!C96</f>
        <v>INDKER</v>
      </c>
      <c r="G986" s="422">
        <v>1</v>
      </c>
      <c r="H986" s="421">
        <f>DelivOIL!$G89*DelivOIL!P$82^5/(Conv!$I$5*Conv!$D$46)/10^6 + OILTrade!$I$7</f>
        <v>1.6090500240032843</v>
      </c>
      <c r="I986" s="421">
        <f>DelivOIL!$G89*DelivOIL!Q$82^5/(Conv!$I$5*Conv!$D$46)/10^6 + OILTrade!$I$7</f>
        <v>1.4402828718994833</v>
      </c>
      <c r="J986" s="421">
        <f>DelivOIL!$G89*DelivOIL!R$82^5/(Conv!$I$5*Conv!$D$46)/10^6 + OILTrade!$I$7</f>
        <v>1.6337711768130725</v>
      </c>
      <c r="K986" s="421">
        <f>DelivOIL!$G89*DelivOIL!S$82^5/(Conv!$I$5*Conv!$D$46)/10^6 + OILTrade!$I$7</f>
        <v>1.8709925699095742</v>
      </c>
      <c r="L986" s="421">
        <f>DelivOIL!$G89*DelivOIL!T$82^5/(Conv!$I$5*Conv!$D$46)/10^6 + OILTrade!$I$7</f>
        <v>1.7116989055849063</v>
      </c>
      <c r="M986" s="421">
        <f>DelivOIL!$G89*DelivOIL!U$82^5/(Conv!$I$5*Conv!$D$46)/10^6 + OILTrade!$I$7</f>
        <v>1.6329822099984808</v>
      </c>
      <c r="N986" s="421">
        <f>DelivOIL!$G89*DelivOIL!V$82^5/(Conv!$I$5*Conv!$D$46)/10^6 + OILTrade!$I$7</f>
        <v>1.6329822099984808</v>
      </c>
      <c r="O986" s="421">
        <f>DelivOIL!$G89*DelivOIL!W$82^5/(Conv!$I$5*Conv!$D$46)/10^6 + OILTrade!$I$7</f>
        <v>1.6329822099984808</v>
      </c>
      <c r="P986" s="421">
        <f>DelivOIL!$G89*DelivOIL!X$82^5/(Conv!$I$5*Conv!$D$46)/10^6 + OILTrade!$I$7</f>
        <v>1.6329822099984808</v>
      </c>
      <c r="Q986" s="421">
        <f>DelivOIL!$G89*DelivOIL!Y$82^5/(Conv!$I$5*Conv!$D$46)/10^6 + OILTrade!$I$7</f>
        <v>1.6329822099984808</v>
      </c>
      <c r="S986" s="395"/>
      <c r="T986" s="395"/>
      <c r="U986" s="395"/>
      <c r="V986" s="395"/>
      <c r="W986" s="395"/>
      <c r="X986" s="395"/>
      <c r="Y986" s="395"/>
      <c r="Z986" s="395"/>
      <c r="AA986" s="395"/>
      <c r="AB986" s="395"/>
      <c r="AC986" s="395"/>
    </row>
    <row r="987" spans="2:29">
      <c r="B987" s="376" t="str">
        <f>IF(OR(LEFT(Commodities!B$328,1)="*",LEFT(Technologies!B$709,1)="*"),"*","R6")</f>
        <v>*</v>
      </c>
      <c r="C987" s="376" t="str">
        <f>Technologies!C$759</f>
        <v>XIRESLPGP3</v>
      </c>
      <c r="D987" s="376" t="str">
        <f>Technologies!D709</f>
        <v>Delivery of Imported LPG to the Residential Sector</v>
      </c>
      <c r="E987" s="415" t="str">
        <f>Commodities!C$350</f>
        <v>LPGP3</v>
      </c>
      <c r="F987" s="415" t="str">
        <f>Commodities!C97</f>
        <v>RESLPG</v>
      </c>
      <c r="G987" s="422">
        <v>1</v>
      </c>
      <c r="H987" s="421">
        <f>DelivOIL!$G90*DelivOIL!P$82^5/(Conv!$I$5*Conv!$D$46)/10^6 + OILTrade!$I$7</f>
        <v>4.6907899004841482</v>
      </c>
      <c r="I987" s="421">
        <f>DelivOIL!$G90*DelivOIL!Q$82^5/(Conv!$I$5*Conv!$D$46)/10^6 + OILTrade!$I$7</f>
        <v>4.1987907451984912</v>
      </c>
      <c r="J987" s="421">
        <f>DelivOIL!$G90*DelivOIL!R$82^5/(Conv!$I$5*Conv!$D$46)/10^6 + OILTrade!$I$7</f>
        <v>4.7628583459635312</v>
      </c>
      <c r="K987" s="421">
        <f>DelivOIL!$G90*DelivOIL!S$82^5/(Conv!$I$5*Conv!$D$46)/10^6 + OILTrade!$I$7</f>
        <v>5.4544190173635005</v>
      </c>
      <c r="L987" s="421">
        <f>DelivOIL!$G90*DelivOIL!T$82^5/(Conv!$I$5*Conv!$D$46)/10^6 + OILTrade!$I$7</f>
        <v>4.9900374874678599</v>
      </c>
      <c r="M987" s="421">
        <f>DelivOIL!$G90*DelivOIL!U$82^5/(Conv!$I$5*Conv!$D$46)/10^6 + OILTrade!$I$7</f>
        <v>4.7605583071142128</v>
      </c>
      <c r="N987" s="421">
        <f>DelivOIL!$G90*DelivOIL!V$82^5/(Conv!$I$5*Conv!$D$46)/10^6 + OILTrade!$I$7</f>
        <v>4.7605583071142128</v>
      </c>
      <c r="O987" s="421">
        <f>DelivOIL!$G90*DelivOIL!W$82^5/(Conv!$I$5*Conv!$D$46)/10^6 + OILTrade!$I$7</f>
        <v>4.7605583071142128</v>
      </c>
      <c r="P987" s="421">
        <f>DelivOIL!$G90*DelivOIL!X$82^5/(Conv!$I$5*Conv!$D$46)/10^6 + OILTrade!$I$7</f>
        <v>4.7605583071142128</v>
      </c>
      <c r="Q987" s="421">
        <f>DelivOIL!$G90*DelivOIL!Y$82^5/(Conv!$I$5*Conv!$D$46)/10^6 + OILTrade!$I$7</f>
        <v>4.7605583071142128</v>
      </c>
      <c r="S987" s="395"/>
      <c r="T987" s="395"/>
      <c r="U987" s="395"/>
      <c r="V987" s="395"/>
      <c r="W987" s="395"/>
      <c r="X987" s="395"/>
      <c r="Y987" s="395"/>
      <c r="Z987" s="395"/>
      <c r="AA987" s="395"/>
      <c r="AB987" s="395"/>
      <c r="AC987" s="395"/>
    </row>
    <row r="988" spans="2:29">
      <c r="B988" s="376" t="str">
        <f>IF(OR(LEFT(Commodities!B$328,1)="*",LEFT(Technologies!B$710,1)="*"),"*","R6")</f>
        <v>*</v>
      </c>
      <c r="C988" s="376" t="str">
        <f>Technologies!C$760</f>
        <v>XICOMLPGP3</v>
      </c>
      <c r="D988" s="376" t="str">
        <f>Technologies!D710</f>
        <v>Delivery of Imported LPG to the Commercial Sector</v>
      </c>
      <c r="E988" s="415" t="str">
        <f>Commodities!C$350</f>
        <v>LPGP3</v>
      </c>
      <c r="F988" s="415" t="str">
        <f>Commodities!C98</f>
        <v>COMLPG</v>
      </c>
      <c r="G988" s="422">
        <v>1</v>
      </c>
      <c r="H988" s="421">
        <f>DelivOIL!$G91*DelivOIL!P$82^5/(Conv!$I$5*Conv!$D$46)/10^6 + OILTrade!$I$7</f>
        <v>2.5431171989543424</v>
      </c>
      <c r="I988" s="421">
        <f>DelivOIL!$G91*DelivOIL!Q$82^5/(Conv!$I$5*Conv!$D$46)/10^6 + OILTrade!$I$7</f>
        <v>2.2763792848241824</v>
      </c>
      <c r="J988" s="421">
        <f>DelivOIL!$G91*DelivOIL!R$82^5/(Conv!$I$5*Conv!$D$46)/10^6 + OILTrade!$I$7</f>
        <v>2.5821891904715075</v>
      </c>
      <c r="K988" s="421">
        <f>DelivOIL!$G91*DelivOIL!S$82^5/(Conv!$I$5*Conv!$D$46)/10^6 + OILTrade!$I$7</f>
        <v>2.9571196126113173</v>
      </c>
      <c r="L988" s="421">
        <f>DelivOIL!$G91*DelivOIL!T$82^5/(Conv!$I$5*Conv!$D$46)/10^6 + OILTrade!$I$7</f>
        <v>2.7053546261998718</v>
      </c>
      <c r="M988" s="421">
        <f>DelivOIL!$G91*DelivOIL!U$82^5/(Conv!$I$5*Conv!$D$46)/10^6 + OILTrade!$I$7</f>
        <v>2.5809422217348859</v>
      </c>
      <c r="N988" s="421">
        <f>DelivOIL!$G91*DelivOIL!V$82^5/(Conv!$I$5*Conv!$D$46)/10^6 + OILTrade!$I$7</f>
        <v>2.5809422217348859</v>
      </c>
      <c r="O988" s="421">
        <f>DelivOIL!$G91*DelivOIL!W$82^5/(Conv!$I$5*Conv!$D$46)/10^6 + OILTrade!$I$7</f>
        <v>2.5809422217348859</v>
      </c>
      <c r="P988" s="421">
        <f>DelivOIL!$G91*DelivOIL!X$82^5/(Conv!$I$5*Conv!$D$46)/10^6 + OILTrade!$I$7</f>
        <v>2.5809422217348859</v>
      </c>
      <c r="Q988" s="421">
        <f>DelivOIL!$G91*DelivOIL!Y$82^5/(Conv!$I$5*Conv!$D$46)/10^6 + OILTrade!$I$7</f>
        <v>2.5809422217348859</v>
      </c>
      <c r="S988" s="395"/>
      <c r="T988" s="395"/>
      <c r="U988" s="395"/>
      <c r="V988" s="395"/>
      <c r="W988" s="395"/>
      <c r="X988" s="395"/>
      <c r="Y988" s="395"/>
      <c r="Z988" s="395"/>
      <c r="AA988" s="395"/>
      <c r="AB988" s="395"/>
      <c r="AC988" s="395"/>
    </row>
    <row r="989" spans="2:29">
      <c r="B989" s="376" t="str">
        <f>IF(OR(LEFT(Commodities!B$328,1)="*",LEFT(Technologies!B$711,1)="*"),"*","R6")</f>
        <v>*</v>
      </c>
      <c r="C989" s="376" t="str">
        <f>Technologies!C$761</f>
        <v>XIINDLPGP3</v>
      </c>
      <c r="D989" s="376" t="str">
        <f>Technologies!D711</f>
        <v>Delivery of Imported LPG to the Industrial Sector</v>
      </c>
      <c r="E989" s="415" t="str">
        <f>Commodities!C$350</f>
        <v>LPGP3</v>
      </c>
      <c r="F989" s="415" t="str">
        <f>Commodities!C99</f>
        <v>INDLPG</v>
      </c>
      <c r="G989" s="422">
        <v>1</v>
      </c>
      <c r="H989" s="421">
        <f>DelivOIL!$G92*DelivOIL!P$82^5/(Conv!$I$5*Conv!$D$46)/10^6 + OILTrade!$I$7</f>
        <v>2.2226707958689431</v>
      </c>
      <c r="I989" s="421">
        <f>DelivOIL!$G92*DelivOIL!Q$82^5/(Conv!$I$5*Conv!$D$46)/10^6 + OILTrade!$I$7</f>
        <v>1.9895432891492857</v>
      </c>
      <c r="J989" s="421">
        <f>DelivOIL!$G92*DelivOIL!R$82^5/(Conv!$I$5*Conv!$D$46)/10^6 + OILTrade!$I$7</f>
        <v>2.2568195069536507</v>
      </c>
      <c r="K989" s="421">
        <f>DelivOIL!$G92*DelivOIL!S$82^5/(Conv!$I$5*Conv!$D$46)/10^6 + OILTrade!$I$7</f>
        <v>2.584506685553055</v>
      </c>
      <c r="L989" s="421">
        <f>DelivOIL!$G92*DelivOIL!T$82^5/(Conv!$I$5*Conv!$D$46)/10^6 + OILTrade!$I$7</f>
        <v>2.3644654373757596</v>
      </c>
      <c r="M989" s="421">
        <f>DelivOIL!$G92*DelivOIL!U$82^5/(Conv!$I$5*Conv!$D$46)/10^6 + OILTrade!$I$7</f>
        <v>2.255729662964002</v>
      </c>
      <c r="N989" s="421">
        <f>DelivOIL!$G92*DelivOIL!V$82^5/(Conv!$I$5*Conv!$D$46)/10^6 + OILTrade!$I$7</f>
        <v>2.255729662964002</v>
      </c>
      <c r="O989" s="421">
        <f>DelivOIL!$G92*DelivOIL!W$82^5/(Conv!$I$5*Conv!$D$46)/10^6 + OILTrade!$I$7</f>
        <v>2.255729662964002</v>
      </c>
      <c r="P989" s="421">
        <f>DelivOIL!$G92*DelivOIL!X$82^5/(Conv!$I$5*Conv!$D$46)/10^6 + OILTrade!$I$7</f>
        <v>2.255729662964002</v>
      </c>
      <c r="Q989" s="421">
        <f>DelivOIL!$G92*DelivOIL!Y$82^5/(Conv!$I$5*Conv!$D$46)/10^6 + OILTrade!$I$7</f>
        <v>2.255729662964002</v>
      </c>
      <c r="S989" s="395"/>
      <c r="T989" s="395"/>
      <c r="U989" s="395"/>
      <c r="V989" s="395"/>
      <c r="W989" s="395"/>
      <c r="X989" s="395"/>
      <c r="Y989" s="395"/>
      <c r="Z989" s="395"/>
      <c r="AA989" s="395"/>
      <c r="AB989" s="395"/>
      <c r="AC989" s="395"/>
    </row>
    <row r="990" spans="2:29">
      <c r="B990" s="376" t="str">
        <f>IF(OR(LEFT(Commodities!B$328,1)="*",LEFT(Technologies!B$712,1)="*"),"*","R6")</f>
        <v>*</v>
      </c>
      <c r="C990" s="376" t="str">
        <f>Technologies!C$762</f>
        <v>XITRNLPGP3</v>
      </c>
      <c r="D990" s="376" t="str">
        <f>Technologies!D712</f>
        <v>Delivery of Imported LPG to the Transportation Sector</v>
      </c>
      <c r="E990" s="415" t="str">
        <f>Commodities!C$350</f>
        <v>LPGP3</v>
      </c>
      <c r="F990" s="415" t="str">
        <f>Commodities!C100</f>
        <v>TRNLPG</v>
      </c>
      <c r="G990" s="422">
        <v>1</v>
      </c>
      <c r="H990" s="421">
        <f>DelivOIL!$G93*DelivOIL!P$82^5/(Conv!$I$5*Conv!$D$46)/10^6 + OILTrade!$I$7</f>
        <v>3.4294583138714061</v>
      </c>
      <c r="I990" s="421">
        <f>DelivOIL!$G93*DelivOIL!Q$82^5/(Conv!$I$5*Conv!$D$46)/10^6 + OILTrade!$I$7</f>
        <v>3.0697554430738978</v>
      </c>
      <c r="J990" s="421">
        <f>DelivOIL!$G93*DelivOIL!R$82^5/(Conv!$I$5*Conv!$D$46)/10^6 + OILTrade!$I$7</f>
        <v>3.4821478895634548</v>
      </c>
      <c r="K990" s="421">
        <f>DelivOIL!$G93*DelivOIL!S$82^5/(Conv!$I$5*Conv!$D$46)/10^6 + OILTrade!$I$7</f>
        <v>3.9877511129852357</v>
      </c>
      <c r="L990" s="421">
        <f>DelivOIL!$G93*DelivOIL!T$82^5/(Conv!$I$5*Conv!$D$46)/10^6 + OILTrade!$I$7</f>
        <v>3.6482396165644393</v>
      </c>
      <c r="M990" s="421">
        <f>DelivOIL!$G93*DelivOIL!U$82^5/(Conv!$I$5*Conv!$D$46)/10^6 + OILTrade!$I$7</f>
        <v>3.4804663204628623</v>
      </c>
      <c r="N990" s="421">
        <f>DelivOIL!$G93*DelivOIL!V$82^5/(Conv!$I$5*Conv!$D$46)/10^6 + OILTrade!$I$7</f>
        <v>3.4804663204628623</v>
      </c>
      <c r="O990" s="421">
        <f>DelivOIL!$G93*DelivOIL!W$82^5/(Conv!$I$5*Conv!$D$46)/10^6 + OILTrade!$I$7</f>
        <v>3.4804663204628623</v>
      </c>
      <c r="P990" s="421">
        <f>DelivOIL!$G93*DelivOIL!X$82^5/(Conv!$I$5*Conv!$D$46)/10^6 + OILTrade!$I$7</f>
        <v>3.4804663204628623</v>
      </c>
      <c r="Q990" s="421">
        <f>DelivOIL!$G93*DelivOIL!Y$82^5/(Conv!$I$5*Conv!$D$46)/10^6 + OILTrade!$I$7</f>
        <v>3.4804663204628623</v>
      </c>
      <c r="S990" s="395"/>
      <c r="T990" s="395"/>
      <c r="U990" s="395"/>
      <c r="V990" s="395"/>
      <c r="W990" s="395"/>
      <c r="X990" s="395"/>
      <c r="Y990" s="395"/>
      <c r="Z990" s="395"/>
      <c r="AA990" s="395"/>
      <c r="AB990" s="395"/>
      <c r="AC990" s="395"/>
    </row>
    <row r="991" spans="2:29">
      <c r="B991" s="376" t="str">
        <f>IF(LEFT(Technologies!B$713,1)="*","*","R6")</f>
        <v>*</v>
      </c>
      <c r="C991" s="376" t="str">
        <f>Technologies!C$763</f>
        <v>XITRNMTHP3</v>
      </c>
      <c r="D991" s="376" t="str">
        <f>Technologies!D713</f>
        <v>Delivery of Imported Methanol</v>
      </c>
      <c r="E991" s="415" t="str">
        <f>Commodities!C$351</f>
        <v>MTHP3</v>
      </c>
      <c r="F991" s="415" t="str">
        <f>Commodities!C101</f>
        <v>TRNMTH</v>
      </c>
      <c r="G991" s="422">
        <v>1</v>
      </c>
      <c r="H991" s="421">
        <f>DelivOIL!$G94*DelivOIL!P$82^5/(Conv!$I$5*Conv!$D$46)/10^6 + OILTrade!$I$7</f>
        <v>3.545364459668253</v>
      </c>
      <c r="I991" s="421">
        <f>DelivOIL!$G94*DelivOIL!Q$82^5/(Conv!$I$5*Conv!$D$46)/10^6 + OILTrade!$I$7</f>
        <v>3.1735046329988603</v>
      </c>
      <c r="J991" s="421">
        <f>DelivOIL!$G94*DelivOIL!R$82^5/(Conv!$I$5*Conv!$D$46)/10^6 + OILTrade!$I$7</f>
        <v>3.5998347963677859</v>
      </c>
      <c r="K991" s="421">
        <f>DelivOIL!$G94*DelivOIL!S$82^5/(Conv!$I$5*Conv!$D$46)/10^6 + OILTrade!$I$7</f>
        <v>4.1225260014956708</v>
      </c>
      <c r="L991" s="421">
        <f>DelivOIL!$G94*DelivOIL!T$82^5/(Conv!$I$5*Conv!$D$46)/10^6 + OILTrade!$I$7</f>
        <v>3.771539961458267</v>
      </c>
      <c r="M991" s="421">
        <f>DelivOIL!$G94*DelivOIL!U$82^5/(Conv!$I$5*Conv!$D$46)/10^6 + OILTrade!$I$7</f>
        <v>3.5980963949119062</v>
      </c>
      <c r="N991" s="421">
        <f>DelivOIL!$G94*DelivOIL!V$82^5/(Conv!$I$5*Conv!$D$46)/10^6 + OILTrade!$I$7</f>
        <v>3.5980963949119062</v>
      </c>
      <c r="O991" s="421">
        <f>DelivOIL!$G94*DelivOIL!W$82^5/(Conv!$I$5*Conv!$D$46)/10^6 + OILTrade!$I$7</f>
        <v>3.5980963949119062</v>
      </c>
      <c r="P991" s="421">
        <f>DelivOIL!$G94*DelivOIL!X$82^5/(Conv!$I$5*Conv!$D$46)/10^6 + OILTrade!$I$7</f>
        <v>3.5980963949119062</v>
      </c>
      <c r="Q991" s="421">
        <f>DelivOIL!$G94*DelivOIL!Y$82^5/(Conv!$I$5*Conv!$D$46)/10^6 + OILTrade!$I$7</f>
        <v>3.5980963949119062</v>
      </c>
      <c r="S991" s="395"/>
      <c r="T991" s="395"/>
      <c r="U991" s="395"/>
      <c r="V991" s="395"/>
      <c r="W991" s="395"/>
      <c r="X991" s="395"/>
      <c r="Y991" s="395"/>
      <c r="Z991" s="395"/>
      <c r="AA991" s="395"/>
      <c r="AB991" s="395"/>
      <c r="AC991" s="395"/>
    </row>
    <row r="992" spans="2:29">
      <c r="B992" s="376" t="str">
        <f>IF(OR(LEFT(Commodities!B$102,1)="*",LEFT(Technologies!B$714,1)="*"),"*","R6")</f>
        <v>*</v>
      </c>
      <c r="C992" s="376" t="str">
        <f>Technologies!C$764</f>
        <v>XIINDPFSP3</v>
      </c>
      <c r="D992" s="376" t="str">
        <f>Technologies!D714</f>
        <v>Delivery of Imported Petrochemical Feedstocks</v>
      </c>
      <c r="E992" s="415" t="str">
        <f>Commodities!C$352</f>
        <v>PFSP3</v>
      </c>
      <c r="F992" s="415" t="str">
        <f>Commodities!C102</f>
        <v>INDPFS</v>
      </c>
      <c r="G992" s="422">
        <v>1</v>
      </c>
      <c r="H992" s="421">
        <f>DelivOIL!$G95*DelivOIL!P$82^5/(Conv!$I$5*Conv!$D$46)/10^6 + OILTrade!$I$7</f>
        <v>1.2067875180024625</v>
      </c>
      <c r="I992" s="421">
        <f>DelivOIL!$G95*DelivOIL!Q$82^5/(Conv!$I$5*Conv!$D$46)/10^6 + OILTrade!$I$7</f>
        <v>1.0802121539246119</v>
      </c>
      <c r="J992" s="421">
        <f>DelivOIL!$G95*DelivOIL!R$82^5/(Conv!$I$5*Conv!$D$46)/10^6 + OILTrade!$I$7</f>
        <v>1.2253283826098036</v>
      </c>
      <c r="K992" s="421">
        <f>DelivOIL!$G95*DelivOIL!S$82^5/(Conv!$I$5*Conv!$D$46)/10^6 + OILTrade!$I$7</f>
        <v>1.4032444274321796</v>
      </c>
      <c r="L992" s="421">
        <f>DelivOIL!$G95*DelivOIL!T$82^5/(Conv!$I$5*Conv!$D$46)/10^6 + OILTrade!$I$7</f>
        <v>1.2837741791886792</v>
      </c>
      <c r="M992" s="421">
        <f>DelivOIL!$G95*DelivOIL!U$82^5/(Conv!$I$5*Conv!$D$46)/10^6 + OILTrade!$I$7</f>
        <v>1.2247366574988598</v>
      </c>
      <c r="N992" s="421">
        <f>DelivOIL!$G95*DelivOIL!V$82^5/(Conv!$I$5*Conv!$D$46)/10^6 + OILTrade!$I$7</f>
        <v>1.2247366574988598</v>
      </c>
      <c r="O992" s="421">
        <f>DelivOIL!$G95*DelivOIL!W$82^5/(Conv!$I$5*Conv!$D$46)/10^6 + OILTrade!$I$7</f>
        <v>1.2247366574988598</v>
      </c>
      <c r="P992" s="421">
        <f>DelivOIL!$G95*DelivOIL!X$82^5/(Conv!$I$5*Conv!$D$46)/10^6 + OILTrade!$I$7</f>
        <v>1.2247366574988598</v>
      </c>
      <c r="Q992" s="421">
        <f>DelivOIL!$G95*DelivOIL!Y$82^5/(Conv!$I$5*Conv!$D$46)/10^6 + OILTrade!$I$7</f>
        <v>1.2247366574988598</v>
      </c>
      <c r="S992" s="395"/>
      <c r="T992" s="395"/>
      <c r="U992" s="395"/>
      <c r="V992" s="395"/>
      <c r="W992" s="395"/>
      <c r="X992" s="395"/>
      <c r="Y992" s="395"/>
      <c r="Z992" s="395"/>
      <c r="AA992" s="395"/>
      <c r="AB992" s="395"/>
      <c r="AC992" s="395"/>
    </row>
    <row r="993" spans="2:29">
      <c r="B993" s="376" t="str">
        <f>IF(OR(LEFT(Commodities!B$332,1)="*",LEFT(Technologies!B$715,1)="*"),"*","R6")</f>
        <v>*</v>
      </c>
      <c r="C993" s="376" t="str">
        <f>Technologies!C$765</f>
        <v>XIRESRFLP3</v>
      </c>
      <c r="D993" s="376" t="str">
        <f>Technologies!D715</f>
        <v>Delivery of Imported Low Sulfur Residual Fuel Oil to Residential Sector</v>
      </c>
      <c r="E993" s="415" t="str">
        <f>Commodities!C$354</f>
        <v>RFLP3</v>
      </c>
      <c r="F993" s="415" t="str">
        <f>Commodities!C103</f>
        <v>RESRFL</v>
      </c>
      <c r="G993" s="422">
        <v>1</v>
      </c>
      <c r="H993" s="421">
        <f>DelivOIL!$G96*DelivOIL!P$82^5/(Conv!$I$5*Conv!$D$46)/10^6 + OILTrade!$I$7</f>
        <v>0.25226631732254895</v>
      </c>
      <c r="I993" s="421">
        <f>DelivOIL!$G96*DelivOIL!Q$82^5/(Conv!$I$5*Conv!$D$46)/10^6 + OILTrade!$I$7</f>
        <v>0.22580706042491908</v>
      </c>
      <c r="J993" s="421">
        <f>DelivOIL!$G96*DelivOIL!R$82^5/(Conv!$I$5*Conv!$D$46)/10^6 + OILTrade!$I$7</f>
        <v>0.25614209128001575</v>
      </c>
      <c r="K993" s="421">
        <f>DelivOIL!$G96*DelivOIL!S$82^5/(Conv!$I$5*Conv!$D$46)/10^6 + OILTrade!$I$7</f>
        <v>0.2933335808756537</v>
      </c>
      <c r="L993" s="421">
        <f>DelivOIL!$G96*DelivOIL!T$82^5/(Conv!$I$5*Conv!$D$46)/10^6 + OILTrade!$I$7</f>
        <v>0.26835957418068457</v>
      </c>
      <c r="M993" s="421">
        <f>DelivOIL!$G96*DelivOIL!U$82^5/(Conv!$I$5*Conv!$D$46)/10^6 + OILTrade!$I$7</f>
        <v>0.25601839733027038</v>
      </c>
      <c r="N993" s="421">
        <f>DelivOIL!$G96*DelivOIL!V$82^5/(Conv!$I$5*Conv!$D$46)/10^6 + OILTrade!$I$7</f>
        <v>0.25601839733027038</v>
      </c>
      <c r="O993" s="421">
        <f>DelivOIL!$G96*DelivOIL!W$82^5/(Conv!$I$5*Conv!$D$46)/10^6 + OILTrade!$I$7</f>
        <v>0.25601839733027038</v>
      </c>
      <c r="P993" s="421">
        <f>DelivOIL!$G96*DelivOIL!X$82^5/(Conv!$I$5*Conv!$D$46)/10^6 + OILTrade!$I$7</f>
        <v>0.25601839733027038</v>
      </c>
      <c r="Q993" s="421">
        <f>DelivOIL!$G96*DelivOIL!Y$82^5/(Conv!$I$5*Conv!$D$46)/10^6 + OILTrade!$I$7</f>
        <v>0.25601839733027038</v>
      </c>
      <c r="S993" s="395"/>
      <c r="T993" s="395"/>
      <c r="U993" s="395"/>
      <c r="V993" s="395"/>
      <c r="W993" s="395"/>
      <c r="X993" s="395"/>
      <c r="Y993" s="395"/>
      <c r="Z993" s="395"/>
      <c r="AA993" s="395"/>
      <c r="AB993" s="395"/>
      <c r="AC993" s="395"/>
    </row>
    <row r="994" spans="2:29">
      <c r="B994" s="376" t="str">
        <f>IF(OR(LEFT(Commodities!B$332,1)="*",LEFT(Technologies!B$716,1)="*"),"*","R6")</f>
        <v>*</v>
      </c>
      <c r="C994" s="376" t="str">
        <f>Technologies!C$766</f>
        <v>XICOMRFLP3</v>
      </c>
      <c r="D994" s="376" t="str">
        <f>Technologies!D716</f>
        <v>Delivery of Imported Low Sulfur Residual Fuel Oil to Commercial Sector</v>
      </c>
      <c r="E994" s="415" t="str">
        <f>Commodities!C$354</f>
        <v>RFLP3</v>
      </c>
      <c r="F994" s="415" t="str">
        <f>Commodities!C104</f>
        <v>COMRFL</v>
      </c>
      <c r="G994" s="422">
        <v>1</v>
      </c>
      <c r="H994" s="421">
        <f>DelivOIL!$G96*DelivOIL!P$82^5/(Conv!$I$5*Conv!$D$46)/10^6 + OILTrade!$I$7</f>
        <v>0.25226631732254895</v>
      </c>
      <c r="I994" s="421">
        <f>DelivOIL!$G96*DelivOIL!Q$82^5/(Conv!$I$5*Conv!$D$46)/10^6 + OILTrade!$I$7</f>
        <v>0.22580706042491908</v>
      </c>
      <c r="J994" s="421">
        <f>DelivOIL!$G96*DelivOIL!R$82^5/(Conv!$I$5*Conv!$D$46)/10^6 + OILTrade!$I$7</f>
        <v>0.25614209128001575</v>
      </c>
      <c r="K994" s="421">
        <f>DelivOIL!$G96*DelivOIL!S$82^5/(Conv!$I$5*Conv!$D$46)/10^6 + OILTrade!$I$7</f>
        <v>0.2933335808756537</v>
      </c>
      <c r="L994" s="421">
        <f>DelivOIL!$G96*DelivOIL!T$82^5/(Conv!$I$5*Conv!$D$46)/10^6 + OILTrade!$I$7</f>
        <v>0.26835957418068457</v>
      </c>
      <c r="M994" s="421">
        <f>DelivOIL!$G96*DelivOIL!U$82^5/(Conv!$I$5*Conv!$D$46)/10^6 + OILTrade!$I$7</f>
        <v>0.25601839733027038</v>
      </c>
      <c r="N994" s="421">
        <f>DelivOIL!$G96*DelivOIL!V$82^5/(Conv!$I$5*Conv!$D$46)/10^6 + OILTrade!$I$7</f>
        <v>0.25601839733027038</v>
      </c>
      <c r="O994" s="421">
        <f>DelivOIL!$G96*DelivOIL!W$82^5/(Conv!$I$5*Conv!$D$46)/10^6 + OILTrade!$I$7</f>
        <v>0.25601839733027038</v>
      </c>
      <c r="P994" s="421">
        <f>DelivOIL!$G96*DelivOIL!X$82^5/(Conv!$I$5*Conv!$D$46)/10^6 + OILTrade!$I$7</f>
        <v>0.25601839733027038</v>
      </c>
      <c r="Q994" s="421">
        <f>DelivOIL!$G96*DelivOIL!Y$82^5/(Conv!$I$5*Conv!$D$46)/10^6 + OILTrade!$I$7</f>
        <v>0.25601839733027038</v>
      </c>
      <c r="S994" s="395"/>
      <c r="T994" s="395"/>
      <c r="U994" s="395"/>
      <c r="V994" s="395"/>
      <c r="W994" s="395"/>
      <c r="X994" s="395"/>
      <c r="Y994" s="395"/>
      <c r="Z994" s="395"/>
      <c r="AA994" s="395"/>
      <c r="AB994" s="395"/>
      <c r="AC994" s="395"/>
    </row>
    <row r="995" spans="2:29">
      <c r="B995" s="376" t="str">
        <f>IF(OR(LEFT(Commodities!B$332,1)="*",LEFT(Technologies!B$717,1)="*"),"*","R6")</f>
        <v>R6</v>
      </c>
      <c r="C995" s="376" t="str">
        <f>Technologies!C$767</f>
        <v>XIINDRFLP3</v>
      </c>
      <c r="D995" s="376" t="str">
        <f>Technologies!D717</f>
        <v>Delivery of Imported Low Sulfur Residual Fuel Oil to Industrial Sector</v>
      </c>
      <c r="E995" s="415" t="str">
        <f>Commodities!C$354</f>
        <v>RFLP3</v>
      </c>
      <c r="F995" s="415" t="str">
        <f>Commodities!C105</f>
        <v>INDRFL</v>
      </c>
      <c r="G995" s="422">
        <v>1</v>
      </c>
      <c r="H995" s="421">
        <f>DelivOIL!$G97*DelivOIL!P$82^5/(Conv!$I$5*Conv!$D$46)/10^6 + OILTrade!$I$7</f>
        <v>6.1362077186565958E-2</v>
      </c>
      <c r="I995" s="421">
        <f>DelivOIL!$G97*DelivOIL!Q$82^5/(Conv!$I$5*Conv!$D$46)/10^6 + OILTrade!$I$7</f>
        <v>5.4926041724980321E-2</v>
      </c>
      <c r="J995" s="421">
        <f>DelivOIL!$G97*DelivOIL!R$82^5/(Conv!$I$5*Conv!$D$46)/10^6 + OILTrade!$I$7</f>
        <v>6.2304833014057877E-2</v>
      </c>
      <c r="K995" s="421">
        <f>DelivOIL!$G97*DelivOIL!S$82^5/(Conv!$I$5*Conv!$D$46)/10^6 + OILTrade!$I$7</f>
        <v>7.1351411564348197E-2</v>
      </c>
      <c r="L995" s="421">
        <f>DelivOIL!$G97*DelivOIL!T$82^5/(Conv!$I$5*Conv!$D$46)/10^6 + OILTrade!$I$7</f>
        <v>6.5276653179085431E-2</v>
      </c>
      <c r="M995" s="421">
        <f>DelivOIL!$G97*DelivOIL!U$82^5/(Conv!$I$5*Conv!$D$46)/10^6 + OILTrade!$I$7</f>
        <v>6.2274745296552261E-2</v>
      </c>
      <c r="N995" s="421">
        <f>DelivOIL!$G97*DelivOIL!V$82^5/(Conv!$I$5*Conv!$D$46)/10^6 + OILTrade!$I$7</f>
        <v>6.2274745296552261E-2</v>
      </c>
      <c r="O995" s="421">
        <f>DelivOIL!$G97*DelivOIL!W$82^5/(Conv!$I$5*Conv!$D$46)/10^6 + OILTrade!$I$7</f>
        <v>6.2274745296552261E-2</v>
      </c>
      <c r="P995" s="421">
        <f>DelivOIL!$G97*DelivOIL!X$82^5/(Conv!$I$5*Conv!$D$46)/10^6 + OILTrade!$I$7</f>
        <v>6.2274745296552261E-2</v>
      </c>
      <c r="Q995" s="421">
        <f>DelivOIL!$G97*DelivOIL!Y$82^5/(Conv!$I$5*Conv!$D$46)/10^6 + OILTrade!$I$7</f>
        <v>6.2274745296552261E-2</v>
      </c>
      <c r="S995" s="395"/>
      <c r="T995" s="395"/>
      <c r="U995" s="395"/>
      <c r="V995" s="395"/>
      <c r="W995" s="395"/>
      <c r="X995" s="395"/>
      <c r="Y995" s="395"/>
      <c r="Z995" s="395"/>
      <c r="AA995" s="395"/>
      <c r="AB995" s="395"/>
      <c r="AC995" s="395"/>
    </row>
    <row r="996" spans="2:29">
      <c r="B996" s="376" t="str">
        <f>IF(OR(LEFT(Commodities!B$332,1)="*",LEFT(Technologies!B$718,1)="*"),"*","R6")</f>
        <v>*</v>
      </c>
      <c r="C996" s="376" t="str">
        <f>Technologies!C$768</f>
        <v>XIELCRFLP3</v>
      </c>
      <c r="D996" s="376" t="str">
        <f>Technologies!D718</f>
        <v>Delivery of Imported Low Sulfur Residual Fuel Oil to Electricity Sector</v>
      </c>
      <c r="E996" s="415" t="str">
        <f>Commodities!C$354</f>
        <v>RFLP3</v>
      </c>
      <c r="F996" s="415" t="str">
        <f>Commodities!C106</f>
        <v>ELCRFL</v>
      </c>
      <c r="G996" s="422">
        <v>1</v>
      </c>
      <c r="H996" s="421">
        <f>DelivOIL!$G98*DelivOIL!P$82^5/(Conv!$I$5*Conv!$D$46)/10^6 + OILTrade!$I$7</f>
        <v>0</v>
      </c>
      <c r="I996" s="421">
        <f>DelivOIL!$G98*DelivOIL!Q$82^5/(Conv!$I$5*Conv!$D$46)/10^6 + OILTrade!$I$7</f>
        <v>0</v>
      </c>
      <c r="J996" s="421">
        <f>DelivOIL!$G98*DelivOIL!R$82^5/(Conv!$I$5*Conv!$D$46)/10^6 + OILTrade!$I$7</f>
        <v>0</v>
      </c>
      <c r="K996" s="421">
        <f>DelivOIL!$G98*DelivOIL!S$82^5/(Conv!$I$5*Conv!$D$46)/10^6 + OILTrade!$I$7</f>
        <v>0</v>
      </c>
      <c r="L996" s="421">
        <f>DelivOIL!$G98*DelivOIL!T$82^5/(Conv!$I$5*Conv!$D$46)/10^6 + OILTrade!$I$7</f>
        <v>0</v>
      </c>
      <c r="M996" s="421">
        <f>DelivOIL!$G98*DelivOIL!U$82^5/(Conv!$I$5*Conv!$D$46)/10^6 + OILTrade!$I$7</f>
        <v>0</v>
      </c>
      <c r="N996" s="421">
        <f>DelivOIL!$G98*DelivOIL!V$82^5/(Conv!$I$5*Conv!$D$46)/10^6 + OILTrade!$I$7</f>
        <v>0</v>
      </c>
      <c r="O996" s="421">
        <f>DelivOIL!$G98*DelivOIL!W$82^5/(Conv!$I$5*Conv!$D$46)/10^6 + OILTrade!$I$7</f>
        <v>0</v>
      </c>
      <c r="P996" s="421">
        <f>DelivOIL!$G98*DelivOIL!X$82^5/(Conv!$I$5*Conv!$D$46)/10^6 + OILTrade!$I$7</f>
        <v>0</v>
      </c>
      <c r="Q996" s="421">
        <f>DelivOIL!$G98*DelivOIL!Y$82^5/(Conv!$I$5*Conv!$D$46)/10^6 + OILTrade!$I$7</f>
        <v>0</v>
      </c>
      <c r="S996" s="395"/>
      <c r="T996" s="395"/>
      <c r="U996" s="395"/>
      <c r="V996" s="395"/>
      <c r="W996" s="395"/>
      <c r="X996" s="395"/>
      <c r="Y996" s="395"/>
      <c r="Z996" s="395"/>
      <c r="AA996" s="395"/>
      <c r="AB996" s="395"/>
      <c r="AC996" s="395"/>
    </row>
    <row r="997" spans="2:29">
      <c r="B997" s="376" t="str">
        <f>IF(OR(LEFT(Commodities!B$331,1)="*",LEFT(Technologies!B$719,1)="*"),"*","R6")</f>
        <v>*</v>
      </c>
      <c r="C997" s="376" t="str">
        <f>Technologies!C$769</f>
        <v>XITRNRFHP3</v>
      </c>
      <c r="D997" s="376" t="str">
        <f>Technologies!D719</f>
        <v>Delivery of Imported High Sulfur Residual Fuel Oil to Transportation Sector</v>
      </c>
      <c r="E997" s="415" t="str">
        <f>Commodities!C226</f>
        <v>DSUBR3</v>
      </c>
      <c r="F997" s="415" t="str">
        <f>Commodities!C107</f>
        <v>TRNRFH</v>
      </c>
      <c r="G997" s="422">
        <v>1</v>
      </c>
      <c r="H997" s="421">
        <f>DelivOIL!$G99*DelivOIL!P$82^5/(Conv!$I$5*Conv!$D$46)/10^6 + OILTrade!$I$7</f>
        <v>0</v>
      </c>
      <c r="I997" s="421">
        <f>DelivOIL!$G99*DelivOIL!Q$82^5/(Conv!$I$5*Conv!$D$46)/10^6 + OILTrade!$I$7</f>
        <v>0</v>
      </c>
      <c r="J997" s="421">
        <f>DelivOIL!$G99*DelivOIL!R$82^5/(Conv!$I$5*Conv!$D$46)/10^6 + OILTrade!$I$7</f>
        <v>0</v>
      </c>
      <c r="K997" s="421">
        <f>DelivOIL!$G99*DelivOIL!S$82^5/(Conv!$I$5*Conv!$D$46)/10^6 + OILTrade!$I$7</f>
        <v>0</v>
      </c>
      <c r="L997" s="421">
        <f>DelivOIL!$G99*DelivOIL!T$82^5/(Conv!$I$5*Conv!$D$46)/10^6 + OILTrade!$I$7</f>
        <v>0</v>
      </c>
      <c r="M997" s="421">
        <f>DelivOIL!$G99*DelivOIL!U$82^5/(Conv!$I$5*Conv!$D$46)/10^6 + OILTrade!$I$7</f>
        <v>0</v>
      </c>
      <c r="N997" s="421">
        <f>DelivOIL!$G99*DelivOIL!V$82^5/(Conv!$I$5*Conv!$D$46)/10^6 + OILTrade!$I$7</f>
        <v>0</v>
      </c>
      <c r="O997" s="421">
        <f>DelivOIL!$G99*DelivOIL!W$82^5/(Conv!$I$5*Conv!$D$46)/10^6 + OILTrade!$I$7</f>
        <v>0</v>
      </c>
      <c r="P997" s="421">
        <f>DelivOIL!$G99*DelivOIL!X$82^5/(Conv!$I$5*Conv!$D$46)/10^6 + OILTrade!$I$7</f>
        <v>0</v>
      </c>
      <c r="Q997" s="421">
        <f>DelivOIL!$G99*DelivOIL!Y$82^5/(Conv!$I$5*Conv!$D$46)/10^6 + OILTrade!$I$7</f>
        <v>0</v>
      </c>
      <c r="S997" s="395"/>
      <c r="T997" s="395"/>
      <c r="U997" s="395"/>
      <c r="V997" s="395"/>
      <c r="W997" s="395"/>
      <c r="X997" s="395"/>
      <c r="Y997" s="395"/>
      <c r="Z997" s="395"/>
      <c r="AA997" s="395"/>
      <c r="AB997" s="395"/>
      <c r="AC997" s="395"/>
    </row>
    <row r="998" spans="2:29">
      <c r="B998" s="376" t="str">
        <f>IF(OR(LEFT(Commodities!B$331,1)="*",LEFT(Technologies!B$720,1)="*"),"*","R6")</f>
        <v>*</v>
      </c>
      <c r="C998" s="376" t="str">
        <f>Technologies!C$770</f>
        <v>XIELCRFHP3</v>
      </c>
      <c r="D998" s="376" t="str">
        <f>Technologies!D720</f>
        <v>Delivery of Imported High Sulfur Residual Fuel Oil to Electricity Sector</v>
      </c>
      <c r="E998" s="415" t="str">
        <f>Commodities!C227</f>
        <v>JTFBR3</v>
      </c>
      <c r="F998" s="415" t="str">
        <f>Commodities!C108</f>
        <v>ELCRFH</v>
      </c>
      <c r="G998" s="422">
        <v>1</v>
      </c>
      <c r="H998" s="421">
        <f>DelivOIL!$G100*DelivOIL!P$82^5/(Conv!$I$5*Conv!$D$46)/10^6 + OILTrade!$I$7</f>
        <v>0</v>
      </c>
      <c r="I998" s="421">
        <f>DelivOIL!$G100*DelivOIL!Q$82^5/(Conv!$I$5*Conv!$D$46)/10^6 + OILTrade!$I$7</f>
        <v>0</v>
      </c>
      <c r="J998" s="421">
        <f>DelivOIL!$G100*DelivOIL!R$82^5/(Conv!$I$5*Conv!$D$46)/10^6 + OILTrade!$I$7</f>
        <v>0</v>
      </c>
      <c r="K998" s="421">
        <f>DelivOIL!$G100*DelivOIL!S$82^5/(Conv!$I$5*Conv!$D$46)/10^6 + OILTrade!$I$7</f>
        <v>0</v>
      </c>
      <c r="L998" s="421">
        <f>DelivOIL!$G100*DelivOIL!T$82^5/(Conv!$I$5*Conv!$D$46)/10^6 + OILTrade!$I$7</f>
        <v>0</v>
      </c>
      <c r="M998" s="421">
        <f>DelivOIL!$G100*DelivOIL!U$82^5/(Conv!$I$5*Conv!$D$46)/10^6 + OILTrade!$I$7</f>
        <v>0</v>
      </c>
      <c r="N998" s="421">
        <f>DelivOIL!$G100*DelivOIL!V$82^5/(Conv!$I$5*Conv!$D$46)/10^6 + OILTrade!$I$7</f>
        <v>0</v>
      </c>
      <c r="O998" s="421">
        <f>DelivOIL!$G100*DelivOIL!W$82^5/(Conv!$I$5*Conv!$D$46)/10^6 + OILTrade!$I$7</f>
        <v>0</v>
      </c>
      <c r="P998" s="421">
        <f>DelivOIL!$G100*DelivOIL!X$82^5/(Conv!$I$5*Conv!$D$46)/10^6 + OILTrade!$I$7</f>
        <v>0</v>
      </c>
      <c r="Q998" s="421">
        <f>DelivOIL!$G100*DelivOIL!Y$82^5/(Conv!$I$5*Conv!$D$46)/10^6 + OILTrade!$I$7</f>
        <v>0</v>
      </c>
      <c r="S998" s="395"/>
      <c r="T998" s="395"/>
      <c r="U998" s="395"/>
      <c r="V998" s="395"/>
      <c r="W998" s="395"/>
      <c r="X998" s="395"/>
      <c r="Y998" s="395"/>
      <c r="Z998" s="395"/>
      <c r="AA998" s="395"/>
      <c r="AB998" s="395"/>
      <c r="AC998" s="395"/>
    </row>
    <row r="999" spans="2:29">
      <c r="B999" s="378" t="str">
        <f>IF(LEFT(Technologies!B$720,1)="*","*","R6")</f>
        <v>*</v>
      </c>
      <c r="C999" s="378"/>
      <c r="D999" s="378"/>
      <c r="E999" s="414"/>
      <c r="F999" s="414"/>
      <c r="G999" s="418"/>
      <c r="H999" s="392"/>
      <c r="I999" s="392"/>
      <c r="J999" s="392"/>
      <c r="K999" s="392"/>
      <c r="L999" s="392"/>
      <c r="M999" s="392"/>
      <c r="N999" s="392"/>
      <c r="O999" s="392"/>
      <c r="P999" s="392"/>
      <c r="Q999" s="392"/>
    </row>
    <row r="1000" spans="2:29">
      <c r="H1000" s="409"/>
      <c r="I1000" s="409"/>
    </row>
    <row r="1001" spans="2:29">
      <c r="H1001" s="409"/>
      <c r="I1001" s="409"/>
    </row>
    <row r="1002" spans="2:29">
      <c r="H1002" s="409"/>
      <c r="I1002" s="409"/>
    </row>
    <row r="1003" spans="2:29">
      <c r="H1003" s="409"/>
      <c r="I1003" s="409"/>
    </row>
    <row r="1004" spans="2:29">
      <c r="H1004" s="409"/>
      <c r="I1004" s="409"/>
    </row>
    <row r="1005" spans="2:29">
      <c r="H1005" s="409"/>
      <c r="I1005" s="409"/>
    </row>
    <row r="1006" spans="2:29">
      <c r="H1006" s="409"/>
      <c r="I1006" s="409"/>
    </row>
    <row r="1007" spans="2:29">
      <c r="H1007" s="409"/>
      <c r="I1007" s="409"/>
    </row>
    <row r="1008" spans="2:29">
      <c r="H1008" s="409"/>
      <c r="I1008" s="409"/>
    </row>
    <row r="1009" spans="8:9">
      <c r="H1009" s="409"/>
      <c r="I1009" s="409"/>
    </row>
    <row r="1010" spans="8:9">
      <c r="H1010" s="409"/>
      <c r="I1010" s="409"/>
    </row>
    <row r="1011" spans="8:9">
      <c r="H1011" s="409"/>
      <c r="I1011" s="409"/>
    </row>
    <row r="1012" spans="8:9">
      <c r="H1012" s="409"/>
      <c r="I1012" s="409"/>
    </row>
    <row r="1013" spans="8:9">
      <c r="H1013" s="409"/>
      <c r="I1013" s="409"/>
    </row>
  </sheetData>
  <phoneticPr fontId="9" type="noConversion"/>
  <pageMargins left="0.75" right="0.75" top="1" bottom="1" header="0.5" footer="0.5"/>
  <pageSetup paperSize="9" orientation="landscape" horizontalDpi="1200"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3"/>
  <dimension ref="A1:J39"/>
  <sheetViews>
    <sheetView workbookViewId="0">
      <selection activeCell="J7" sqref="J7"/>
    </sheetView>
  </sheetViews>
  <sheetFormatPr defaultColWidth="9.140625" defaultRowHeight="12.75"/>
  <cols>
    <col min="1" max="1" width="22.5703125" style="195" customWidth="1"/>
    <col min="2" max="2" width="10.7109375" style="195" customWidth="1"/>
    <col min="3" max="3" width="16.28515625" style="195" customWidth="1"/>
    <col min="4" max="6" width="9.140625" style="195"/>
    <col min="7" max="7" width="10.5703125" style="195" customWidth="1"/>
    <col min="8" max="9" width="9.140625" style="195"/>
    <col min="10" max="10" width="12.42578125" style="195" bestFit="1" customWidth="1"/>
    <col min="11" max="16384" width="9.140625" style="195"/>
  </cols>
  <sheetData>
    <row r="1" spans="1:10" ht="15">
      <c r="A1" s="208" t="s">
        <v>979</v>
      </c>
    </row>
    <row r="2" spans="1:10">
      <c r="A2" s="195" t="s">
        <v>980</v>
      </c>
    </row>
    <row r="3" spans="1:10">
      <c r="A3" s="209" t="s">
        <v>981</v>
      </c>
    </row>
    <row r="5" spans="1:10">
      <c r="C5" s="206" t="s">
        <v>934</v>
      </c>
      <c r="F5" s="202" t="s">
        <v>1060</v>
      </c>
    </row>
    <row r="6" spans="1:10" s="211" customFormat="1" ht="25.5">
      <c r="A6" s="210" t="s">
        <v>906</v>
      </c>
      <c r="B6" s="210" t="s">
        <v>907</v>
      </c>
      <c r="C6" s="210" t="s">
        <v>982</v>
      </c>
      <c r="F6" s="212" t="s">
        <v>739</v>
      </c>
      <c r="G6" s="210" t="s">
        <v>932</v>
      </c>
      <c r="J6" s="210" t="s">
        <v>933</v>
      </c>
    </row>
    <row r="7" spans="1:10">
      <c r="A7" s="201" t="s">
        <v>923</v>
      </c>
      <c r="B7" s="195">
        <v>2</v>
      </c>
      <c r="C7" s="195">
        <v>24</v>
      </c>
      <c r="D7" s="207">
        <f t="shared" ref="D7:D34" si="0">C7/$C$35</f>
        <v>9.0415913200723324E-4</v>
      </c>
      <c r="F7" s="201" t="s">
        <v>440</v>
      </c>
      <c r="G7" s="195">
        <f>C7</f>
        <v>24</v>
      </c>
      <c r="H7" s="207">
        <f>G7/$C$35</f>
        <v>9.0415913200723324E-4</v>
      </c>
      <c r="J7" s="213">
        <f>G7*Conv!$I$4*Conv!$D$46/Conv!$I$5/1000000*20</f>
        <v>2656.3295976706459</v>
      </c>
    </row>
    <row r="8" spans="1:10">
      <c r="A8" s="201" t="s">
        <v>935</v>
      </c>
      <c r="B8" s="195">
        <v>3</v>
      </c>
      <c r="C8" s="195">
        <v>54</v>
      </c>
      <c r="D8" s="207">
        <f t="shared" si="0"/>
        <v>2.034358047016275E-3</v>
      </c>
      <c r="F8" s="201" t="s">
        <v>439</v>
      </c>
      <c r="G8" s="195">
        <f>SUM(C8:C11)</f>
        <v>146</v>
      </c>
      <c r="H8" s="207">
        <f t="shared" ref="H8:H14" si="1">G8/$C$35</f>
        <v>5.5003013863773355E-3</v>
      </c>
      <c r="J8" s="213">
        <f>G8*Conv!$I$4*Conv!$D$46/Conv!$I$5/1000000*20</f>
        <v>16159.338385829758</v>
      </c>
    </row>
    <row r="9" spans="1:10">
      <c r="A9" s="201" t="s">
        <v>936</v>
      </c>
      <c r="B9" s="195">
        <v>3</v>
      </c>
      <c r="C9" s="195">
        <v>7</v>
      </c>
      <c r="D9" s="207">
        <f t="shared" si="0"/>
        <v>2.6371308016877635E-4</v>
      </c>
      <c r="F9" s="201" t="s">
        <v>518</v>
      </c>
      <c r="G9" s="195">
        <f>SUM(C12:C14)</f>
        <v>3006</v>
      </c>
      <c r="H9" s="207">
        <f t="shared" si="1"/>
        <v>0.11324593128390596</v>
      </c>
      <c r="J9" s="213">
        <f>G9*Conv!$I$4*Conv!$D$46/Conv!$I$5/1000000*20</f>
        <v>332705.28210824827</v>
      </c>
    </row>
    <row r="10" spans="1:10">
      <c r="A10" s="201" t="s">
        <v>916</v>
      </c>
      <c r="B10" s="195">
        <v>3</v>
      </c>
      <c r="C10" s="195">
        <v>44</v>
      </c>
      <c r="D10" s="207">
        <f t="shared" si="0"/>
        <v>1.6576250753465944E-3</v>
      </c>
      <c r="F10" s="201" t="s">
        <v>517</v>
      </c>
      <c r="G10" s="195">
        <f>SUM(C15:C16)</f>
        <v>43</v>
      </c>
      <c r="H10" s="207">
        <f t="shared" si="1"/>
        <v>1.6199517781796263E-3</v>
      </c>
      <c r="J10" s="213">
        <f>G10*Conv!$I$4*Conv!$D$46/Conv!$I$5/1000000*20</f>
        <v>4759.2571958265726</v>
      </c>
    </row>
    <row r="11" spans="1:10">
      <c r="A11" s="201" t="s">
        <v>921</v>
      </c>
      <c r="B11" s="195">
        <v>3</v>
      </c>
      <c r="C11" s="195">
        <v>41</v>
      </c>
      <c r="D11" s="207">
        <f t="shared" si="0"/>
        <v>1.5446051838456901E-3</v>
      </c>
      <c r="F11" s="201" t="s">
        <v>519</v>
      </c>
      <c r="G11" s="195">
        <f>SUM(C17:C19)</f>
        <v>301</v>
      </c>
      <c r="H11" s="207">
        <f t="shared" si="1"/>
        <v>1.1339662447257384E-2</v>
      </c>
      <c r="J11" s="213">
        <f>G11*Conv!$I$4*Conv!$D$46/Conv!$I$5/1000000*20</f>
        <v>33314.800370786012</v>
      </c>
    </row>
    <row r="12" spans="1:10">
      <c r="A12" s="201" t="s">
        <v>913</v>
      </c>
      <c r="B12" s="195">
        <v>4</v>
      </c>
      <c r="C12" s="195">
        <v>343</v>
      </c>
      <c r="D12" s="207">
        <f t="shared" si="0"/>
        <v>1.2921940928270042E-2</v>
      </c>
      <c r="F12" s="201" t="s">
        <v>520</v>
      </c>
      <c r="G12" s="195">
        <f>SUM(C20:C25)</f>
        <v>12974</v>
      </c>
      <c r="H12" s="207">
        <f t="shared" si="1"/>
        <v>0.48877335744424349</v>
      </c>
      <c r="J12" s="213">
        <f>G12*Conv!$I$4*Conv!$D$46/Conv!$I$5/1000000*20</f>
        <v>1435967.5083407895</v>
      </c>
    </row>
    <row r="13" spans="1:10">
      <c r="A13" s="201" t="s">
        <v>937</v>
      </c>
      <c r="B13" s="195">
        <v>4</v>
      </c>
      <c r="C13" s="195">
        <v>14</v>
      </c>
      <c r="D13" s="207">
        <f t="shared" si="0"/>
        <v>5.274261603375527E-4</v>
      </c>
      <c r="F13" s="201" t="s">
        <v>521</v>
      </c>
      <c r="G13" s="195">
        <f>SUM(C26:C30)</f>
        <v>2837</v>
      </c>
      <c r="H13" s="207">
        <f t="shared" si="1"/>
        <v>0.10687914406268836</v>
      </c>
      <c r="J13" s="213">
        <f>G13*Conv!$I$4*Conv!$D$46/Conv!$I$5/1000000*20</f>
        <v>314000.29452465085</v>
      </c>
    </row>
    <row r="14" spans="1:10">
      <c r="A14" s="201" t="s">
        <v>920</v>
      </c>
      <c r="B14" s="195">
        <v>4</v>
      </c>
      <c r="C14" s="195">
        <v>2649</v>
      </c>
      <c r="D14" s="207">
        <f t="shared" si="0"/>
        <v>9.9796564195298379E-2</v>
      </c>
      <c r="F14" s="201" t="s">
        <v>522</v>
      </c>
      <c r="G14" s="195">
        <f>SUM(C31:C33)</f>
        <v>7171</v>
      </c>
      <c r="H14" s="207">
        <f t="shared" si="1"/>
        <v>0.2701552139843279</v>
      </c>
      <c r="J14" s="213">
        <f>G14*Conv!$I$4*Conv!$D$46/Conv!$I$5/1000000*20</f>
        <v>793689.14770400827</v>
      </c>
    </row>
    <row r="15" spans="1:10">
      <c r="A15" s="201" t="s">
        <v>912</v>
      </c>
      <c r="B15" s="195">
        <v>5</v>
      </c>
      <c r="C15" s="195">
        <v>22</v>
      </c>
      <c r="D15" s="207">
        <f t="shared" si="0"/>
        <v>8.2881253767329722E-4</v>
      </c>
      <c r="H15" s="214">
        <f>SUM(H7:H14)</f>
        <v>0.99841772151898733</v>
      </c>
      <c r="J15" s="213">
        <f>SUM(J7:J14)</f>
        <v>2933251.9582278095</v>
      </c>
    </row>
    <row r="16" spans="1:10">
      <c r="A16" s="201" t="s">
        <v>926</v>
      </c>
      <c r="B16" s="195">
        <v>5</v>
      </c>
      <c r="C16" s="195">
        <v>21</v>
      </c>
      <c r="D16" s="207">
        <f t="shared" si="0"/>
        <v>7.911392405063291E-4</v>
      </c>
    </row>
    <row r="17" spans="1:10">
      <c r="A17" s="201" t="s">
        <v>908</v>
      </c>
      <c r="B17" s="195">
        <v>6</v>
      </c>
      <c r="C17" s="195">
        <v>46</v>
      </c>
      <c r="D17" s="207">
        <f t="shared" si="0"/>
        <v>1.7329716696805305E-3</v>
      </c>
      <c r="F17" s="202" t="s">
        <v>1061</v>
      </c>
    </row>
    <row r="18" spans="1:10" ht="25.5">
      <c r="A18" s="201" t="s">
        <v>914</v>
      </c>
      <c r="B18" s="195">
        <v>6</v>
      </c>
      <c r="C18" s="195">
        <v>17</v>
      </c>
      <c r="D18" s="207">
        <f t="shared" si="0"/>
        <v>6.4044605183845695E-4</v>
      </c>
      <c r="F18" s="212" t="s">
        <v>739</v>
      </c>
      <c r="G18" s="210" t="s">
        <v>932</v>
      </c>
      <c r="H18" s="211"/>
      <c r="I18" s="211"/>
      <c r="J18" s="210" t="s">
        <v>933</v>
      </c>
    </row>
    <row r="19" spans="1:10">
      <c r="A19" s="201" t="s">
        <v>917</v>
      </c>
      <c r="B19" s="195">
        <v>6</v>
      </c>
      <c r="C19" s="195">
        <v>238</v>
      </c>
      <c r="D19" s="207">
        <f t="shared" si="0"/>
        <v>8.9662447257383964E-3</v>
      </c>
      <c r="F19" s="201" t="s">
        <v>438</v>
      </c>
      <c r="G19" s="195">
        <f>C19</f>
        <v>238</v>
      </c>
      <c r="H19" s="207">
        <f>G19/$C$35</f>
        <v>8.9662447257383964E-3</v>
      </c>
      <c r="J19" s="213">
        <f>J7</f>
        <v>2656.3295976706459</v>
      </c>
    </row>
    <row r="20" spans="1:10">
      <c r="A20" s="201" t="s">
        <v>909</v>
      </c>
      <c r="B20" s="195">
        <v>7</v>
      </c>
      <c r="C20" s="195">
        <v>38</v>
      </c>
      <c r="D20" s="207">
        <f t="shared" si="0"/>
        <v>1.4315852923447859E-3</v>
      </c>
      <c r="F20" s="201" t="s">
        <v>440</v>
      </c>
      <c r="G20" s="195">
        <f>SUM(C20:C23)</f>
        <v>8348</v>
      </c>
      <c r="H20" s="207">
        <f t="shared" ref="H20:H26" si="2">G20/$C$35</f>
        <v>0.31449668474984932</v>
      </c>
      <c r="J20" s="213"/>
    </row>
    <row r="21" spans="1:10">
      <c r="A21" s="201" t="s">
        <v>915</v>
      </c>
      <c r="B21" s="195">
        <v>7</v>
      </c>
      <c r="C21" s="195">
        <v>417</v>
      </c>
      <c r="D21" s="207">
        <f t="shared" si="0"/>
        <v>1.5709764918625677E-2</v>
      </c>
      <c r="F21" s="201" t="s">
        <v>439</v>
      </c>
      <c r="G21" s="195">
        <f>SUM(C24:C26)</f>
        <v>5049</v>
      </c>
      <c r="H21" s="207">
        <f t="shared" si="2"/>
        <v>0.19021247739602171</v>
      </c>
      <c r="J21" s="213"/>
    </row>
    <row r="22" spans="1:10">
      <c r="A22" s="201" t="s">
        <v>922</v>
      </c>
      <c r="B22" s="195">
        <v>7</v>
      </c>
      <c r="C22" s="195">
        <v>879</v>
      </c>
      <c r="D22" s="207">
        <f t="shared" si="0"/>
        <v>3.311482820976492E-2</v>
      </c>
      <c r="F22" s="201" t="s">
        <v>518</v>
      </c>
      <c r="G22" s="195">
        <f>SUM(C27:C28)</f>
        <v>1250</v>
      </c>
      <c r="H22" s="207">
        <f t="shared" si="2"/>
        <v>4.7091621458710063E-2</v>
      </c>
      <c r="J22" s="213"/>
    </row>
    <row r="23" spans="1:10">
      <c r="A23" s="201" t="s">
        <v>924</v>
      </c>
      <c r="B23" s="195">
        <v>7</v>
      </c>
      <c r="C23" s="195">
        <v>7014</v>
      </c>
      <c r="D23" s="207">
        <f t="shared" si="0"/>
        <v>0.26424050632911394</v>
      </c>
      <c r="F23" s="201" t="s">
        <v>517</v>
      </c>
      <c r="G23" s="195">
        <f>SUM(C29:C31)</f>
        <v>4980</v>
      </c>
      <c r="H23" s="207">
        <f t="shared" si="2"/>
        <v>0.18761301989150089</v>
      </c>
      <c r="J23" s="213"/>
    </row>
    <row r="24" spans="1:10">
      <c r="A24" s="201" t="s">
        <v>930</v>
      </c>
      <c r="B24" s="195">
        <v>7</v>
      </c>
      <c r="C24" s="195">
        <v>4438</v>
      </c>
      <c r="D24" s="207">
        <f t="shared" si="0"/>
        <v>0.16719409282700423</v>
      </c>
      <c r="F24" s="201" t="s">
        <v>519</v>
      </c>
      <c r="G24" s="195">
        <f>SUM(C32:C37)</f>
        <v>29941</v>
      </c>
      <c r="H24" s="207">
        <f t="shared" si="2"/>
        <v>1.1279761904761905</v>
      </c>
      <c r="J24" s="213"/>
    </row>
    <row r="25" spans="1:10">
      <c r="A25" s="201" t="s">
        <v>931</v>
      </c>
      <c r="B25" s="195">
        <v>7</v>
      </c>
      <c r="C25" s="195">
        <v>188</v>
      </c>
      <c r="D25" s="207">
        <f t="shared" si="0"/>
        <v>7.0825798673899943E-3</v>
      </c>
      <c r="F25" s="201" t="s">
        <v>1062</v>
      </c>
      <c r="G25" s="195">
        <f>SUM(C38:C42)</f>
        <v>0</v>
      </c>
      <c r="H25" s="207">
        <f t="shared" si="2"/>
        <v>0</v>
      </c>
      <c r="J25" s="213"/>
    </row>
    <row r="26" spans="1:10">
      <c r="A26" s="201" t="s">
        <v>911</v>
      </c>
      <c r="B26" s="195">
        <v>8</v>
      </c>
      <c r="C26" s="195">
        <v>423</v>
      </c>
      <c r="D26" s="207">
        <f t="shared" si="0"/>
        <v>1.5935804701627487E-2</v>
      </c>
      <c r="F26" s="201" t="s">
        <v>1062</v>
      </c>
      <c r="G26" s="195">
        <f>SUM(C43:C45)</f>
        <v>0</v>
      </c>
      <c r="H26" s="207">
        <f t="shared" si="2"/>
        <v>0</v>
      </c>
      <c r="J26" s="213"/>
    </row>
    <row r="27" spans="1:10">
      <c r="A27" s="201" t="s">
        <v>918</v>
      </c>
      <c r="B27" s="195">
        <v>8</v>
      </c>
      <c r="C27" s="195">
        <v>384</v>
      </c>
      <c r="D27" s="207">
        <f t="shared" si="0"/>
        <v>1.4466546112115732E-2</v>
      </c>
      <c r="F27" s="201" t="s">
        <v>1027</v>
      </c>
      <c r="H27" s="214">
        <f>SUM(H19:H26)</f>
        <v>1.8763562386980108</v>
      </c>
      <c r="J27" s="213">
        <f>SUM(J19:J26)</f>
        <v>2656.3295976706459</v>
      </c>
    </row>
    <row r="28" spans="1:10">
      <c r="A28" s="201" t="s">
        <v>919</v>
      </c>
      <c r="B28" s="195">
        <v>8</v>
      </c>
      <c r="C28" s="195">
        <v>866</v>
      </c>
      <c r="D28" s="207">
        <f t="shared" si="0"/>
        <v>3.2625075346594333E-2</v>
      </c>
      <c r="F28" s="215" t="s">
        <v>1063</v>
      </c>
    </row>
    <row r="29" spans="1:10">
      <c r="A29" s="201" t="s">
        <v>925</v>
      </c>
      <c r="B29" s="195">
        <v>8</v>
      </c>
      <c r="C29" s="195">
        <v>504</v>
      </c>
      <c r="D29" s="207">
        <f t="shared" si="0"/>
        <v>1.8987341772151899E-2</v>
      </c>
    </row>
    <row r="30" spans="1:10">
      <c r="A30" s="201" t="s">
        <v>927</v>
      </c>
      <c r="B30" s="195">
        <v>8</v>
      </c>
      <c r="C30" s="195">
        <v>660</v>
      </c>
      <c r="D30" s="207">
        <f t="shared" si="0"/>
        <v>2.4864376130198915E-2</v>
      </c>
    </row>
    <row r="31" spans="1:10">
      <c r="A31" s="201" t="s">
        <v>60</v>
      </c>
      <c r="B31" s="195">
        <v>9</v>
      </c>
      <c r="C31" s="195">
        <v>3816</v>
      </c>
      <c r="D31" s="207">
        <f t="shared" si="0"/>
        <v>0.1437613019891501</v>
      </c>
    </row>
    <row r="32" spans="1:10">
      <c r="A32" s="201" t="s">
        <v>910</v>
      </c>
      <c r="B32" s="195">
        <v>9</v>
      </c>
      <c r="C32" s="195">
        <v>3005</v>
      </c>
      <c r="D32" s="207">
        <f t="shared" si="0"/>
        <v>0.113208257986739</v>
      </c>
    </row>
    <row r="33" spans="1:4">
      <c r="A33" s="201" t="s">
        <v>929</v>
      </c>
      <c r="B33" s="195">
        <v>9</v>
      </c>
      <c r="C33" s="195">
        <v>350</v>
      </c>
      <c r="D33" s="207">
        <f t="shared" si="0"/>
        <v>1.3185654008438819E-2</v>
      </c>
    </row>
    <row r="34" spans="1:4">
      <c r="A34" s="201" t="s">
        <v>928</v>
      </c>
      <c r="C34" s="195">
        <v>42</v>
      </c>
      <c r="D34" s="207">
        <f t="shared" si="0"/>
        <v>1.5822784810126582E-3</v>
      </c>
    </row>
    <row r="35" spans="1:4">
      <c r="A35" s="201"/>
      <c r="C35" s="195">
        <f>SUM(C7:C34)</f>
        <v>26544</v>
      </c>
      <c r="D35" s="214">
        <f>SUM(D7:D34)</f>
        <v>1</v>
      </c>
    </row>
    <row r="36" spans="1:4">
      <c r="A36" s="201"/>
    </row>
    <row r="37" spans="1:4">
      <c r="A37" s="201"/>
    </row>
    <row r="39" spans="1:4">
      <c r="A39" s="201" t="s">
        <v>938</v>
      </c>
    </row>
  </sheetData>
  <sortState xmlns:xlrd2="http://schemas.microsoft.com/office/spreadsheetml/2017/richdata2" ref="A6:D32">
    <sortCondition ref="A6:A32"/>
  </sortState>
  <hyperlinks>
    <hyperlink ref="A3" r:id="rId1" xr:uid="{00000000-0004-0000-0D00-000000000000}"/>
  </hyperlinks>
  <pageMargins left="0.7" right="0.7" top="0.75" bottom="0.75" header="0.3" footer="0.3"/>
  <pageSetup orientation="portrait"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4"/>
  <dimension ref="A1:V75"/>
  <sheetViews>
    <sheetView showFormulas="1" zoomScale="80" zoomScaleNormal="80" workbookViewId="0">
      <pane ySplit="4" topLeftCell="A5" activePane="bottomLeft" state="frozen"/>
      <selection pane="bottomLeft" activeCell="I15" sqref="I15"/>
    </sheetView>
  </sheetViews>
  <sheetFormatPr defaultColWidth="9.140625" defaultRowHeight="12.75"/>
  <cols>
    <col min="1" max="1" width="36.5703125" style="201" bestFit="1" customWidth="1"/>
    <col min="2" max="3" width="11.85546875" style="201" customWidth="1"/>
    <col min="4" max="9" width="13.7109375" style="201" customWidth="1"/>
    <col min="10" max="12" width="9.140625" style="201"/>
    <col min="13" max="13" width="12.42578125" style="201" bestFit="1" customWidth="1"/>
    <col min="14" max="18" width="9.140625" style="201"/>
    <col min="19" max="19" width="12.5703125" style="222" customWidth="1"/>
    <col min="20" max="20" width="13.28515625" style="201" customWidth="1"/>
    <col min="21" max="16384" width="9.140625" style="201"/>
  </cols>
  <sheetData>
    <row r="1" spans="1:19" ht="18" customHeight="1">
      <c r="A1" s="438" t="s">
        <v>976</v>
      </c>
      <c r="B1" s="438"/>
      <c r="C1" s="438"/>
      <c r="D1" s="438"/>
      <c r="E1" s="438"/>
      <c r="F1" s="438"/>
      <c r="G1" s="438"/>
      <c r="H1" s="438"/>
      <c r="I1" s="438"/>
      <c r="J1" s="438"/>
    </row>
    <row r="2" spans="1:19">
      <c r="A2" s="228"/>
      <c r="B2" s="228"/>
      <c r="C2" s="228"/>
      <c r="D2" s="228"/>
      <c r="E2" s="228"/>
      <c r="F2" s="228"/>
      <c r="G2" s="228"/>
      <c r="H2" s="228"/>
      <c r="I2" s="229"/>
    </row>
    <row r="3" spans="1:19">
      <c r="A3" s="228"/>
      <c r="B3" s="228"/>
      <c r="C3" s="228"/>
      <c r="D3" s="228"/>
      <c r="E3" s="228"/>
      <c r="F3" s="228"/>
      <c r="G3" s="228"/>
      <c r="H3" s="228"/>
      <c r="I3" s="229"/>
    </row>
    <row r="4" spans="1:19">
      <c r="A4" s="230" t="s">
        <v>739</v>
      </c>
      <c r="B4" s="231">
        <v>2005</v>
      </c>
      <c r="C4" s="231">
        <v>2010</v>
      </c>
      <c r="D4" s="231">
        <v>2015</v>
      </c>
      <c r="E4" s="231">
        <v>2020</v>
      </c>
      <c r="F4" s="231">
        <v>2025</v>
      </c>
      <c r="G4" s="231">
        <v>2030</v>
      </c>
      <c r="H4" s="231">
        <v>2035</v>
      </c>
      <c r="I4" s="231">
        <v>2040</v>
      </c>
    </row>
    <row r="5" spans="1:19">
      <c r="A5" s="223"/>
    </row>
    <row r="6" spans="1:19">
      <c r="A6" s="230" t="s">
        <v>765</v>
      </c>
    </row>
    <row r="7" spans="1:19">
      <c r="A7" s="230" t="s">
        <v>766</v>
      </c>
    </row>
    <row r="8" spans="1:19">
      <c r="A8" s="230" t="s">
        <v>760</v>
      </c>
      <c r="B8" s="232">
        <v>4.3269996643066397</v>
      </c>
      <c r="C8" s="232">
        <v>4.9000000000000004</v>
      </c>
      <c r="D8" s="232">
        <v>8.5749659999999999</v>
      </c>
      <c r="E8" s="232">
        <v>9.1153980000000008</v>
      </c>
      <c r="F8" s="232">
        <v>8.6775140000000004</v>
      </c>
      <c r="G8" s="232">
        <v>8.0643429999999992</v>
      </c>
      <c r="H8" s="232">
        <v>7.4941009999999997</v>
      </c>
      <c r="I8" s="232">
        <v>7.2201810000000002</v>
      </c>
    </row>
    <row r="9" spans="1:19">
      <c r="A9" s="223"/>
      <c r="B9" s="224"/>
      <c r="C9" s="224"/>
      <c r="D9" s="224"/>
      <c r="E9" s="224"/>
      <c r="F9" s="224"/>
      <c r="G9" s="224"/>
      <c r="H9" s="224"/>
      <c r="I9" s="224"/>
      <c r="L9" s="231"/>
      <c r="M9" s="231"/>
      <c r="N9" s="231"/>
      <c r="O9" s="231"/>
      <c r="P9" s="231"/>
      <c r="Q9" s="231"/>
      <c r="R9" s="231"/>
      <c r="S9" s="206"/>
    </row>
    <row r="10" spans="1:19">
      <c r="A10" s="230" t="s">
        <v>741</v>
      </c>
      <c r="B10" s="232"/>
      <c r="C10" s="232"/>
      <c r="D10" s="232">
        <v>6.9437699999999998</v>
      </c>
      <c r="E10" s="232">
        <v>7.2120749999999996</v>
      </c>
      <c r="F10" s="232">
        <v>7.0403339999999996</v>
      </c>
      <c r="G10" s="232">
        <v>6.3834770000000001</v>
      </c>
      <c r="H10" s="232">
        <v>5.7911619999999999</v>
      </c>
      <c r="I10" s="232">
        <v>5.2314550000000004</v>
      </c>
      <c r="L10" s="224"/>
      <c r="M10" s="224"/>
      <c r="N10" s="224"/>
      <c r="O10" s="224"/>
      <c r="P10" s="224"/>
      <c r="Q10" s="224"/>
      <c r="R10" s="224"/>
      <c r="S10" s="225"/>
    </row>
    <row r="11" spans="1:19">
      <c r="A11" s="223" t="s">
        <v>742</v>
      </c>
      <c r="B11" s="226">
        <v>8.5000000894069699E-2</v>
      </c>
      <c r="C11" s="226">
        <v>8.5000000000000006E-2</v>
      </c>
      <c r="D11" s="226">
        <v>5.2457999999999998E-2</v>
      </c>
      <c r="E11" s="226">
        <v>3.7770999999999999E-2</v>
      </c>
      <c r="F11" s="226">
        <v>3.0844E-2</v>
      </c>
      <c r="G11" s="226">
        <v>2.2286E-2</v>
      </c>
      <c r="H11" s="226">
        <v>1.9099999999999999E-2</v>
      </c>
      <c r="I11" s="226">
        <v>2.9055999999999998E-2</v>
      </c>
      <c r="L11" s="224"/>
      <c r="M11" s="224"/>
      <c r="N11" s="224"/>
      <c r="O11" s="224"/>
      <c r="P11" s="224"/>
      <c r="Q11" s="224"/>
      <c r="R11" s="224"/>
      <c r="S11" s="225"/>
    </row>
    <row r="12" spans="1:19">
      <c r="A12" s="223" t="s">
        <v>743</v>
      </c>
      <c r="B12" s="226">
        <v>0.53700000047683705</v>
      </c>
      <c r="C12" s="226">
        <v>0.52700000000000002</v>
      </c>
      <c r="D12" s="226">
        <v>2.4234650000000002</v>
      </c>
      <c r="E12" s="226">
        <v>2.5104129999999998</v>
      </c>
      <c r="F12" s="226">
        <v>2.2241209999999998</v>
      </c>
      <c r="G12" s="226">
        <v>2.0732499999999998</v>
      </c>
      <c r="H12" s="226">
        <v>1.8437490000000001</v>
      </c>
      <c r="I12" s="226">
        <v>1.572722</v>
      </c>
      <c r="L12" s="224"/>
      <c r="M12" s="224"/>
      <c r="N12" s="224"/>
      <c r="O12" s="224"/>
      <c r="P12" s="224"/>
      <c r="Q12" s="224"/>
      <c r="R12" s="224"/>
      <c r="S12" s="225"/>
    </row>
    <row r="13" spans="1:19">
      <c r="A13" s="223" t="s">
        <v>744</v>
      </c>
      <c r="B13" s="226">
        <v>0.307000011205673</v>
      </c>
      <c r="C13" s="226">
        <v>0.34399999999999997</v>
      </c>
      <c r="D13" s="226">
        <v>0.39403700000000003</v>
      </c>
      <c r="E13" s="226">
        <v>0.38030999999999998</v>
      </c>
      <c r="F13" s="226">
        <v>0.46188000000000001</v>
      </c>
      <c r="G13" s="226">
        <v>0.36359000000000002</v>
      </c>
      <c r="H13" s="226">
        <v>0.31827899999999998</v>
      </c>
      <c r="I13" s="226">
        <v>0.29789199999999999</v>
      </c>
      <c r="L13" s="224"/>
      <c r="M13" s="224"/>
      <c r="N13" s="224"/>
      <c r="O13" s="224"/>
      <c r="P13" s="224"/>
      <c r="Q13" s="224"/>
      <c r="R13" s="224"/>
      <c r="S13" s="225"/>
    </row>
    <row r="14" spans="1:19">
      <c r="A14" s="223" t="s">
        <v>745</v>
      </c>
      <c r="B14" s="226">
        <v>0.94599997997283902</v>
      </c>
      <c r="C14" s="226">
        <v>0.94</v>
      </c>
      <c r="D14" s="226">
        <v>1.826651</v>
      </c>
      <c r="E14" s="226">
        <v>1.9822519999999999</v>
      </c>
      <c r="F14" s="226">
        <v>1.9663200000000001</v>
      </c>
      <c r="G14" s="226">
        <v>1.7227730000000001</v>
      </c>
      <c r="H14" s="226">
        <v>1.6050199999999999</v>
      </c>
      <c r="I14" s="226">
        <v>1.539118</v>
      </c>
      <c r="L14" s="224"/>
      <c r="M14" s="224"/>
      <c r="N14" s="224"/>
      <c r="O14" s="224"/>
      <c r="P14" s="224"/>
      <c r="Q14" s="224"/>
      <c r="R14" s="224"/>
      <c r="S14" s="225"/>
    </row>
    <row r="15" spans="1:19">
      <c r="A15" s="223" t="s">
        <v>746</v>
      </c>
      <c r="B15" s="226">
        <v>0.45100000500678999</v>
      </c>
      <c r="C15" s="226">
        <v>0.68500000000000005</v>
      </c>
      <c r="D15" s="226">
        <v>1.705978</v>
      </c>
      <c r="E15" s="226">
        <v>1.7950649999999999</v>
      </c>
      <c r="F15" s="226">
        <v>1.841</v>
      </c>
      <c r="G15" s="226">
        <v>1.6894739999999999</v>
      </c>
      <c r="H15" s="226">
        <v>1.4902820000000001</v>
      </c>
      <c r="I15" s="226">
        <v>1.286249</v>
      </c>
      <c r="L15" s="224"/>
      <c r="M15" s="224"/>
      <c r="N15" s="224"/>
      <c r="O15" s="224"/>
      <c r="P15" s="224"/>
      <c r="Q15" s="224"/>
      <c r="R15" s="224"/>
      <c r="S15" s="225"/>
    </row>
    <row r="16" spans="1:19">
      <c r="A16" s="223" t="s">
        <v>747</v>
      </c>
      <c r="B16" s="226">
        <v>0.58600002527236905</v>
      </c>
      <c r="C16" s="226">
        <v>0.53</v>
      </c>
      <c r="D16" s="226">
        <v>0.54118100000000002</v>
      </c>
      <c r="E16" s="226">
        <v>0.50626400000000005</v>
      </c>
      <c r="F16" s="226">
        <v>0.51617000000000002</v>
      </c>
      <c r="G16" s="226">
        <v>0.51210199999999995</v>
      </c>
      <c r="H16" s="226">
        <v>0.51473199999999997</v>
      </c>
      <c r="I16" s="226">
        <v>0.50641800000000003</v>
      </c>
      <c r="L16" s="224"/>
      <c r="M16" s="224"/>
      <c r="N16" s="224"/>
      <c r="O16" s="224"/>
      <c r="P16" s="224"/>
      <c r="Q16" s="224"/>
      <c r="R16" s="224"/>
      <c r="S16" s="225"/>
    </row>
    <row r="17" spans="1:22">
      <c r="A17" s="223"/>
      <c r="B17" s="224"/>
      <c r="C17" s="224"/>
      <c r="D17" s="224"/>
      <c r="E17" s="224"/>
      <c r="F17" s="224"/>
      <c r="G17" s="224"/>
      <c r="H17" s="224"/>
      <c r="I17" s="224"/>
      <c r="L17" s="224"/>
      <c r="M17" s="224"/>
      <c r="N17" s="224"/>
      <c r="O17" s="224"/>
      <c r="P17" s="224"/>
      <c r="Q17" s="224"/>
      <c r="R17" s="224"/>
      <c r="S17" s="225"/>
    </row>
    <row r="18" spans="1:22">
      <c r="A18" s="230" t="s">
        <v>748</v>
      </c>
      <c r="B18" s="232"/>
      <c r="C18" s="232"/>
      <c r="D18" s="232">
        <v>1.6311960000000001</v>
      </c>
      <c r="E18" s="232">
        <v>1.903324</v>
      </c>
      <c r="F18" s="232">
        <v>1.6371800000000001</v>
      </c>
      <c r="G18" s="232">
        <v>1.680866</v>
      </c>
      <c r="H18" s="232">
        <v>1.702939</v>
      </c>
      <c r="I18" s="232">
        <v>1.9887250000000001</v>
      </c>
      <c r="L18" s="224"/>
      <c r="M18" s="224"/>
      <c r="N18" s="224"/>
      <c r="O18" s="224"/>
      <c r="P18" s="224"/>
      <c r="Q18" s="224"/>
      <c r="R18" s="224"/>
      <c r="S18" s="225"/>
    </row>
    <row r="19" spans="1:22">
      <c r="A19" s="223" t="s">
        <v>749</v>
      </c>
      <c r="B19" s="226">
        <v>1.29999995231628</v>
      </c>
      <c r="C19" s="226">
        <v>1.698</v>
      </c>
      <c r="D19" s="226">
        <v>1.5718570000000001</v>
      </c>
      <c r="E19" s="226">
        <v>1.853971</v>
      </c>
      <c r="F19" s="226">
        <v>1.5938399999999999</v>
      </c>
      <c r="G19" s="226">
        <v>1.5848249999999999</v>
      </c>
      <c r="H19" s="226">
        <v>1.54986</v>
      </c>
      <c r="I19" s="226">
        <v>1.6986790000000001</v>
      </c>
    </row>
    <row r="20" spans="1:22">
      <c r="A20" s="223" t="s">
        <v>761</v>
      </c>
      <c r="B20" s="226">
        <v>0.33033040165901201</v>
      </c>
      <c r="C20" s="226">
        <v>0.323602</v>
      </c>
      <c r="D20" s="226">
        <v>0.14426900000000001</v>
      </c>
      <c r="E20" s="226">
        <v>0.131409</v>
      </c>
      <c r="F20" s="226">
        <v>0.144515</v>
      </c>
      <c r="G20" s="226">
        <v>0.14392099999999999</v>
      </c>
      <c r="H20" s="226">
        <v>0.13370000000000001</v>
      </c>
      <c r="I20" s="226">
        <v>0.119727</v>
      </c>
    </row>
    <row r="21" spans="1:22">
      <c r="A21" s="223" t="s">
        <v>762</v>
      </c>
      <c r="B21" s="226">
        <v>0.96966952085494995</v>
      </c>
      <c r="C21" s="226">
        <v>1.374398</v>
      </c>
      <c r="D21" s="226">
        <v>1.4275880000000001</v>
      </c>
      <c r="E21" s="226">
        <v>1.7225619999999999</v>
      </c>
      <c r="F21" s="226">
        <v>1.4493240000000001</v>
      </c>
      <c r="G21" s="226">
        <v>1.440904</v>
      </c>
      <c r="H21" s="226">
        <v>1.4161589999999999</v>
      </c>
      <c r="I21" s="226">
        <v>1.5789530000000001</v>
      </c>
    </row>
    <row r="22" spans="1:22">
      <c r="A22" s="223" t="s">
        <v>750</v>
      </c>
      <c r="B22" s="226">
        <v>0.115000002086163</v>
      </c>
      <c r="C22" s="226">
        <v>9.0999999999999998E-2</v>
      </c>
      <c r="D22" s="226">
        <v>5.9339000000000003E-2</v>
      </c>
      <c r="E22" s="226">
        <v>4.9353000000000001E-2</v>
      </c>
      <c r="F22" s="226">
        <v>4.3339999999999997E-2</v>
      </c>
      <c r="G22" s="226">
        <v>7.0795999999999998E-2</v>
      </c>
      <c r="H22" s="226">
        <v>0.13628100000000001</v>
      </c>
      <c r="I22" s="226">
        <v>0.17583799999999999</v>
      </c>
    </row>
    <row r="23" spans="1:22">
      <c r="A23" s="223" t="s">
        <v>751</v>
      </c>
      <c r="B23" s="226">
        <v>0</v>
      </c>
      <c r="C23" s="226">
        <v>0</v>
      </c>
      <c r="D23" s="226">
        <v>0</v>
      </c>
      <c r="E23" s="226">
        <v>0</v>
      </c>
      <c r="F23" s="226">
        <v>0</v>
      </c>
      <c r="G23" s="226">
        <v>2.5246000000000001E-2</v>
      </c>
      <c r="H23" s="226">
        <v>1.6798E-2</v>
      </c>
      <c r="I23" s="226">
        <v>0.114207</v>
      </c>
    </row>
    <row r="24" spans="1:22">
      <c r="A24" s="223"/>
      <c r="B24" s="224"/>
      <c r="C24" s="224"/>
      <c r="D24" s="224"/>
      <c r="E24" s="224"/>
      <c r="F24" s="224"/>
      <c r="G24" s="224"/>
      <c r="H24" s="224"/>
      <c r="I24" s="224"/>
    </row>
    <row r="25" spans="1:22" ht="25.5">
      <c r="A25" s="230" t="s">
        <v>975</v>
      </c>
      <c r="B25" s="224"/>
      <c r="C25" s="224"/>
      <c r="D25" s="224"/>
      <c r="E25" s="224"/>
      <c r="F25" s="224"/>
      <c r="G25" s="224"/>
      <c r="H25" s="224"/>
      <c r="I25" s="224"/>
    </row>
    <row r="26" spans="1:22">
      <c r="A26" s="223"/>
      <c r="B26" s="224"/>
      <c r="C26" s="224"/>
      <c r="D26" s="224"/>
      <c r="E26" s="224"/>
      <c r="F26" s="224"/>
      <c r="G26" s="224"/>
      <c r="H26" s="224"/>
      <c r="I26" s="224"/>
    </row>
    <row r="27" spans="1:22">
      <c r="A27" s="230" t="s">
        <v>740</v>
      </c>
      <c r="B27" s="232">
        <v>52.372932434082003</v>
      </c>
      <c r="C27" s="232">
        <v>78.62236</v>
      </c>
      <c r="D27" s="232">
        <v>93.152596000000003</v>
      </c>
      <c r="E27" s="232">
        <v>92.930710000000005</v>
      </c>
      <c r="F27" s="232">
        <v>104.900368</v>
      </c>
      <c r="G27" s="232">
        <v>114.693359</v>
      </c>
      <c r="H27" s="232">
        <v>125.590073</v>
      </c>
      <c r="I27" s="232">
        <v>137.62721300000001</v>
      </c>
      <c r="L27" s="218">
        <f>B27/Conv!$C$46/Conv!$I$5/1000000*Conv!$J$39</f>
        <v>8.2483996202620862</v>
      </c>
      <c r="M27" s="218">
        <f>C27/Conv!$C$46/Conv!$I$5/1000000*Conv!$J$42</f>
        <v>11.740853487455322</v>
      </c>
      <c r="N27" s="218">
        <f>D27/Conv!$C$46/Conv!$I$5/1000000*Conv!$J$45</f>
        <v>13.248020268749181</v>
      </c>
      <c r="O27" s="218">
        <f>E27/Conv!$C$46/Conv!$I$5/1000000*Conv!$J$45</f>
        <v>13.216463979911543</v>
      </c>
      <c r="P27" s="218">
        <f>F27/Conv!$C$46/Conv!$I$5/1000000*Conv!$J$45</f>
        <v>14.918770502791439</v>
      </c>
      <c r="Q27" s="218">
        <f>G27/Conv!$C$46/Conv!$I$5/1000000*Conv!$J$45</f>
        <v>16.311514761466508</v>
      </c>
      <c r="R27" s="218">
        <f>H27/Conv!$C$46/Conv!$I$5/1000000*Conv!$J$45</f>
        <v>17.86122882348538</v>
      </c>
      <c r="S27" s="218">
        <f>I27/Conv!$C$46/Conv!$I$5/1000000*Conv!$J$45</f>
        <v>19.57313253358458</v>
      </c>
    </row>
    <row r="28" spans="1:22">
      <c r="A28" s="223"/>
      <c r="B28" s="224"/>
      <c r="C28" s="224"/>
      <c r="D28" s="224"/>
      <c r="E28" s="224"/>
      <c r="F28" s="224"/>
      <c r="G28" s="224"/>
      <c r="H28" s="224"/>
      <c r="I28" s="224"/>
    </row>
    <row r="29" spans="1:22">
      <c r="A29" s="230" t="s">
        <v>741</v>
      </c>
      <c r="B29" s="224"/>
      <c r="C29" s="224"/>
      <c r="D29" s="224"/>
      <c r="E29" s="224"/>
      <c r="F29" s="224"/>
      <c r="G29" s="224"/>
      <c r="H29" s="224"/>
      <c r="I29" s="224"/>
      <c r="L29" s="231">
        <v>2005</v>
      </c>
      <c r="M29" s="231">
        <v>2010</v>
      </c>
      <c r="N29" s="231">
        <v>2015</v>
      </c>
      <c r="O29" s="231">
        <v>2020</v>
      </c>
      <c r="P29" s="231">
        <v>2025</v>
      </c>
      <c r="Q29" s="231">
        <v>2030</v>
      </c>
      <c r="R29" s="231">
        <v>2035</v>
      </c>
      <c r="S29" s="231">
        <v>2040</v>
      </c>
      <c r="T29" s="206" t="s">
        <v>978</v>
      </c>
    </row>
    <row r="30" spans="1:22">
      <c r="A30" s="223" t="s">
        <v>742</v>
      </c>
      <c r="B30" s="226">
        <v>54.113807678222699</v>
      </c>
      <c r="C30" s="226">
        <v>77.842354</v>
      </c>
      <c r="D30" s="226">
        <v>89.464995999999999</v>
      </c>
      <c r="E30" s="226">
        <v>89.111496000000002</v>
      </c>
      <c r="F30" s="226">
        <v>101.577057</v>
      </c>
      <c r="G30" s="226">
        <v>110.88205000000001</v>
      </c>
      <c r="H30" s="226">
        <v>121.450577</v>
      </c>
      <c r="I30" s="226">
        <v>132.91270399999999</v>
      </c>
      <c r="K30" s="201" t="s">
        <v>438</v>
      </c>
      <c r="L30" s="224">
        <f>B30/Conv!$C$46/Conv!$I$5/1000000*Conv!$J$39</f>
        <v>8.5225762614262397</v>
      </c>
      <c r="M30" s="224">
        <f>C30/Conv!$C$46/Conv!$I$5/1000000*Conv!$J$42</f>
        <v>11.624373440744231</v>
      </c>
      <c r="N30" s="224">
        <f>D30/Conv!$C$46/Conv!$I$5/1000000*Conv!$J$45</f>
        <v>12.723575415456638</v>
      </c>
      <c r="O30" s="224">
        <f>E30/Conv!$C$46/Conv!$I$5/1000000*Conv!$J$45</f>
        <v>12.67330118407609</v>
      </c>
      <c r="P30" s="224">
        <f>F30/Conv!$C$46/Conv!$I$5/1000000*Conv!$J$45</f>
        <v>14.446134276020508</v>
      </c>
      <c r="Q30" s="224">
        <f>G30/Conv!$C$46/Conv!$I$5/1000000*Conv!$J$45</f>
        <v>15.769476202686397</v>
      </c>
      <c r="R30" s="224">
        <f>H30/Conv!$C$46/Conv!$I$5/1000000*Conv!$J$45</f>
        <v>17.272516009615909</v>
      </c>
      <c r="S30" s="224">
        <f>I30/Conv!$C$46/Conv!$I$5/1000000*Conv!$J$45</f>
        <v>18.902642246988588</v>
      </c>
      <c r="T30" s="225">
        <f>1+(S30-R30)/R30</f>
        <v>1.0943768838578676</v>
      </c>
      <c r="U30" s="227"/>
      <c r="V30" s="227"/>
    </row>
    <row r="31" spans="1:22">
      <c r="A31" s="223" t="s">
        <v>743</v>
      </c>
      <c r="B31" s="226">
        <v>54.577995300292997</v>
      </c>
      <c r="C31" s="226">
        <v>77.609558000000007</v>
      </c>
      <c r="D31" s="226">
        <v>96.386139</v>
      </c>
      <c r="E31" s="226">
        <v>96.451652999999993</v>
      </c>
      <c r="F31" s="226">
        <v>108.727554</v>
      </c>
      <c r="G31" s="226">
        <v>118.380623</v>
      </c>
      <c r="H31" s="226">
        <v>129.07098400000001</v>
      </c>
      <c r="I31" s="226">
        <v>140.403458</v>
      </c>
      <c r="K31" s="201" t="s">
        <v>440</v>
      </c>
      <c r="L31" s="224">
        <f>B30/Conv!$C$46/Conv!$I$5/1000000*Conv!$J$39</f>
        <v>8.5225762614262397</v>
      </c>
      <c r="M31" s="224">
        <f>C30/Conv!$C$46/Conv!$I$5/1000000*Conv!$J$42</f>
        <v>11.624373440744231</v>
      </c>
      <c r="N31" s="224">
        <f>D30/Conv!$C$46/Conv!$I$5/1000000*Conv!$J$45</f>
        <v>12.723575415456638</v>
      </c>
      <c r="O31" s="224">
        <f>E30/Conv!$C$46/Conv!$I$5/1000000*Conv!$J$45</f>
        <v>12.67330118407609</v>
      </c>
      <c r="P31" s="224">
        <f>F30/Conv!$C$46/Conv!$I$5/1000000*Conv!$J$45</f>
        <v>14.446134276020508</v>
      </c>
      <c r="Q31" s="224">
        <f>G30/Conv!$C$46/Conv!$I$5/1000000*Conv!$J$45</f>
        <v>15.769476202686397</v>
      </c>
      <c r="R31" s="224">
        <f>H30/Conv!$C$46/Conv!$I$5/1000000*Conv!$J$45</f>
        <v>17.272516009615909</v>
      </c>
      <c r="S31" s="224">
        <f>I30/Conv!$C$46/Conv!$I$5/1000000*Conv!$J$45</f>
        <v>18.902642246988588</v>
      </c>
      <c r="T31" s="225">
        <f t="shared" ref="T31:T38" si="0">1+(S31-R31)/R31</f>
        <v>1.0943768838578676</v>
      </c>
      <c r="V31" s="227"/>
    </row>
    <row r="32" spans="1:22">
      <c r="A32" s="223" t="s">
        <v>744</v>
      </c>
      <c r="B32" s="226">
        <v>55.465110778808601</v>
      </c>
      <c r="C32" s="226">
        <v>74.928939999999997</v>
      </c>
      <c r="D32" s="226">
        <v>90.162102000000004</v>
      </c>
      <c r="E32" s="226">
        <v>89.530051999999998</v>
      </c>
      <c r="F32" s="226">
        <v>101.84438299999999</v>
      </c>
      <c r="G32" s="226">
        <v>111.839012</v>
      </c>
      <c r="H32" s="226">
        <v>124.45079800000001</v>
      </c>
      <c r="I32" s="226">
        <v>137.415436</v>
      </c>
      <c r="K32" s="201" t="s">
        <v>439</v>
      </c>
      <c r="L32" s="224">
        <f>B32/Conv!$C$46/Conv!$I$5/1000000*Conv!$J$39</f>
        <v>8.7353977985009603</v>
      </c>
      <c r="M32" s="224">
        <f>C32/Conv!$C$46/Conv!$I$5/1000000*Conv!$J$42</f>
        <v>11.189306788938039</v>
      </c>
      <c r="N32" s="224">
        <f>D32/Conv!$C$46/Conv!$I$5/1000000*Conv!$J$45</f>
        <v>12.822716768612986</v>
      </c>
      <c r="O32" s="224">
        <f>E32/Conv!$C$46/Conv!$I$5/1000000*Conv!$J$45</f>
        <v>12.732827580652375</v>
      </c>
      <c r="P32" s="224">
        <f>F32/Conv!$C$46/Conv!$I$5/1000000*Conv!$J$45</f>
        <v>14.484152972422306</v>
      </c>
      <c r="Q32" s="224">
        <f>G32/Conv!$C$46/Conv!$I$5/1000000*Conv!$J$45</f>
        <v>15.905573880226406</v>
      </c>
      <c r="R32" s="224">
        <f>H32/Conv!$C$46/Conv!$I$5/1000000*Conv!$J$45</f>
        <v>17.699202868871307</v>
      </c>
      <c r="S32" s="224">
        <f>I32/Conv!$C$46/Conv!$I$5/1000000*Conv!$J$45</f>
        <v>19.543013931324104</v>
      </c>
      <c r="T32" s="225">
        <f t="shared" si="0"/>
        <v>1.1041748081036815</v>
      </c>
      <c r="V32" s="227"/>
    </row>
    <row r="33" spans="1:22">
      <c r="A33" s="223" t="s">
        <v>745</v>
      </c>
      <c r="B33" s="226">
        <v>54.309799194335902</v>
      </c>
      <c r="C33" s="226">
        <v>75.461890999999994</v>
      </c>
      <c r="D33" s="226">
        <v>92.778983999999994</v>
      </c>
      <c r="E33" s="226">
        <v>91.732101</v>
      </c>
      <c r="F33" s="226">
        <v>103.954224</v>
      </c>
      <c r="G33" s="226">
        <v>113.66377300000001</v>
      </c>
      <c r="H33" s="226">
        <v>124.925697</v>
      </c>
      <c r="I33" s="226">
        <v>137.87936400000001</v>
      </c>
      <c r="K33" s="201" t="s">
        <v>518</v>
      </c>
      <c r="L33" s="224">
        <f>B32/Conv!$C$46/Conv!$I$5/1000000*Conv!$J$39</f>
        <v>8.7353977985009603</v>
      </c>
      <c r="M33" s="224">
        <f>C32/Conv!$C$46/Conv!$I$5/1000000*Conv!$J$42</f>
        <v>11.189306788938039</v>
      </c>
      <c r="N33" s="224">
        <f>D32/Conv!$C$46/Conv!$I$5/1000000*Conv!$J$45</f>
        <v>12.822716768612986</v>
      </c>
      <c r="O33" s="224">
        <f>E32/Conv!$C$46/Conv!$I$5/1000000*Conv!$J$45</f>
        <v>12.732827580652375</v>
      </c>
      <c r="P33" s="224">
        <f>F32/Conv!$C$46/Conv!$I$5/1000000*Conv!$J$45</f>
        <v>14.484152972422306</v>
      </c>
      <c r="Q33" s="224">
        <f>G32/Conv!$C$46/Conv!$I$5/1000000*Conv!$J$45</f>
        <v>15.905573880226406</v>
      </c>
      <c r="R33" s="224">
        <f>H32/Conv!$C$46/Conv!$I$5/1000000*Conv!$J$45</f>
        <v>17.699202868871307</v>
      </c>
      <c r="S33" s="224">
        <f>I32/Conv!$C$46/Conv!$I$5/1000000*Conv!$J$45</f>
        <v>19.543013931324104</v>
      </c>
      <c r="T33" s="225">
        <f t="shared" si="0"/>
        <v>1.1041748081036815</v>
      </c>
      <c r="V33" s="227"/>
    </row>
    <row r="34" spans="1:22">
      <c r="A34" s="223" t="s">
        <v>746</v>
      </c>
      <c r="B34" s="226">
        <v>52.484001159667997</v>
      </c>
      <c r="C34" s="226">
        <v>83.080177000000006</v>
      </c>
      <c r="D34" s="226">
        <v>86.387298999999999</v>
      </c>
      <c r="E34" s="226">
        <v>85.805869999999999</v>
      </c>
      <c r="F34" s="226">
        <v>97.814186000000007</v>
      </c>
      <c r="G34" s="226">
        <v>107.201324</v>
      </c>
      <c r="H34" s="226">
        <v>117.59626799999999</v>
      </c>
      <c r="I34" s="226">
        <v>129.98876999999999</v>
      </c>
      <c r="K34" s="201" t="s">
        <v>517</v>
      </c>
      <c r="L34" s="224">
        <f>B30/Conv!$C$46/Conv!$I$5/1000000*Conv!$J$39</f>
        <v>8.5225762614262397</v>
      </c>
      <c r="M34" s="224">
        <f>C30/Conv!$C$46/Conv!$I$5/1000000*Conv!$J$42</f>
        <v>11.624373440744231</v>
      </c>
      <c r="N34" s="224">
        <f>D30/Conv!$C$46/Conv!$I$5/1000000*Conv!$J$45</f>
        <v>12.723575415456638</v>
      </c>
      <c r="O34" s="224">
        <f>E30/Conv!$C$46/Conv!$I$5/1000000*Conv!$J$45</f>
        <v>12.67330118407609</v>
      </c>
      <c r="P34" s="224">
        <f>F30/Conv!$C$46/Conv!$I$5/1000000*Conv!$J$45</f>
        <v>14.446134276020508</v>
      </c>
      <c r="Q34" s="224">
        <f>G30/Conv!$C$46/Conv!$I$5/1000000*Conv!$J$45</f>
        <v>15.769476202686397</v>
      </c>
      <c r="R34" s="224">
        <f>H30/Conv!$C$46/Conv!$I$5/1000000*Conv!$J$45</f>
        <v>17.272516009615909</v>
      </c>
      <c r="S34" s="224">
        <f>I30/Conv!$C$46/Conv!$I$5/1000000*Conv!$J$45</f>
        <v>18.902642246988588</v>
      </c>
      <c r="T34" s="225">
        <f t="shared" si="0"/>
        <v>1.0943768838578676</v>
      </c>
      <c r="V34" s="227"/>
    </row>
    <row r="35" spans="1:22">
      <c r="A35" s="223" t="s">
        <v>747</v>
      </c>
      <c r="B35" s="226">
        <v>48.564205169677699</v>
      </c>
      <c r="C35" s="226">
        <v>76.567749000000006</v>
      </c>
      <c r="D35" s="226">
        <v>94.279510000000002</v>
      </c>
      <c r="E35" s="226">
        <v>95.155799999999999</v>
      </c>
      <c r="F35" s="226">
        <v>108.131889</v>
      </c>
      <c r="G35" s="226">
        <v>118.079697</v>
      </c>
      <c r="H35" s="226">
        <v>127.975883</v>
      </c>
      <c r="I35" s="226">
        <v>137.89520300000001</v>
      </c>
      <c r="K35" s="201" t="s">
        <v>519</v>
      </c>
      <c r="L35" s="224">
        <f>B33/Conv!$C$46/Conv!$I$5/1000000*Conv!$J$39</f>
        <v>8.5534436631917874</v>
      </c>
      <c r="M35" s="224">
        <f>C33/Conv!$C$46/Conv!$I$5/1000000*Conv!$J$42</f>
        <v>11.268893557981766</v>
      </c>
      <c r="N35" s="224">
        <f>D33/Conv!$C$46/Conv!$I$5/1000000*Conv!$J$45</f>
        <v>13.194885739372799</v>
      </c>
      <c r="O35" s="224">
        <f>E33/Conv!$C$46/Conv!$I$5/1000000*Conv!$J$45</f>
        <v>13.045999634223257</v>
      </c>
      <c r="P35" s="224">
        <f>F33/Conv!$C$46/Conv!$I$5/1000000*Conv!$J$45</f>
        <v>14.784211344728302</v>
      </c>
      <c r="Q35" s="224">
        <f>G33/Conv!$C$46/Conv!$I$5/1000000*Conv!$J$45</f>
        <v>16.165088609301947</v>
      </c>
      <c r="R35" s="224">
        <f>H33/Conv!$C$46/Conv!$I$5/1000000*Conv!$J$45</f>
        <v>17.76674228105912</v>
      </c>
      <c r="S35" s="224">
        <f>I33/Conv!$C$46/Conv!$I$5/1000000*Conv!$J$45</f>
        <v>19.60899306460816</v>
      </c>
      <c r="T35" s="225">
        <f t="shared" si="0"/>
        <v>1.1036909724025794</v>
      </c>
      <c r="V35" s="227"/>
    </row>
    <row r="36" spans="1:22">
      <c r="A36" s="223"/>
      <c r="B36" s="224"/>
      <c r="C36" s="224"/>
      <c r="D36" s="224"/>
      <c r="E36" s="224"/>
      <c r="F36" s="224"/>
      <c r="G36" s="224"/>
      <c r="H36" s="224"/>
      <c r="I36" s="224"/>
      <c r="K36" s="201" t="s">
        <v>520</v>
      </c>
      <c r="L36" s="224">
        <f>AVERAGE((B33*B14+B38*B19)/(B14+B19))/Conv!$C$46/Conv!$I$5/1000000*Conv!$J$39</f>
        <v>8.2910939410441777</v>
      </c>
      <c r="M36" s="224">
        <f>AVERAGE((C33*C14+C38*C19)/(C14+C19))/Conv!$C$46/Conv!$I$5/1000000*Conv!$J$42</f>
        <v>11.773723291287878</v>
      </c>
      <c r="N36" s="224">
        <f>AVERAGE((D33*D14+D38*D19)/(D14+D19))/Conv!$C$46/Conv!$I$5/1000000*Conv!$J$45</f>
        <v>13.432157232244336</v>
      </c>
      <c r="O36" s="224">
        <f>AVERAGE((E33*E14+E38*E19)/(E14+E19))/Conv!$C$46/Conv!$I$5/1000000*Conv!$J$45</f>
        <v>13.370380993062023</v>
      </c>
      <c r="P36" s="224">
        <f>AVERAGE((F33*F14+F38*F19)/(F14+F19))/Conv!$C$46/Conv!$I$5/1000000*Conv!$J$45</f>
        <v>15.088126730585756</v>
      </c>
      <c r="Q36" s="224">
        <f>AVERAGE((G33*G14+G38*G19)/(G14+G19))/Conv!$C$46/Conv!$I$5/1000000*Conv!$J$45</f>
        <v>16.486511409084219</v>
      </c>
      <c r="R36" s="224">
        <f>AVERAGE((H33*H14+H38*H19)/(H14+H19))/Conv!$C$46/Conv!$I$5/1000000*Conv!$J$45</f>
        <v>18.056356747078727</v>
      </c>
      <c r="S36" s="224">
        <f>AVERAGE((I33*I14+I38*I19)/(I14+I19))/Conv!$C$46/Conv!$I$5/1000000*Conv!$J$45</f>
        <v>19.797324686896786</v>
      </c>
      <c r="T36" s="225">
        <f t="shared" si="0"/>
        <v>1.0964185612969639</v>
      </c>
      <c r="V36" s="227"/>
    </row>
    <row r="37" spans="1:22">
      <c r="A37" s="230" t="s">
        <v>748</v>
      </c>
      <c r="B37" s="224"/>
      <c r="C37" s="224"/>
      <c r="D37" s="224"/>
      <c r="E37" s="224"/>
      <c r="F37" s="224"/>
      <c r="G37" s="224"/>
      <c r="H37" s="224"/>
      <c r="I37" s="224"/>
      <c r="K37" s="201" t="s">
        <v>521</v>
      </c>
      <c r="L37" s="224">
        <f>B34/Conv!$C$46/Conv!$I$5/1000000*Conv!$J$39</f>
        <v>8.2658922293517065</v>
      </c>
      <c r="M37" s="224">
        <f>C34/Conv!$C$46/Conv!$I$5/1000000*Conv!$J$42</f>
        <v>12.406549305679141</v>
      </c>
      <c r="N37" s="224">
        <f>D34/Conv!$C$46/Conv!$I$5/1000000*Conv!$J$45</f>
        <v>12.285870037529556</v>
      </c>
      <c r="O37" s="224">
        <f>E34/Conv!$C$46/Conv!$I$5/1000000*Conv!$J$45</f>
        <v>12.203180091058945</v>
      </c>
      <c r="P37" s="224">
        <f>F34/Conv!$C$46/Conv!$I$5/1000000*Conv!$J$45</f>
        <v>13.910984495796578</v>
      </c>
      <c r="Q37" s="224">
        <f>G34/Conv!$C$46/Conv!$I$5/1000000*Conv!$J$45</f>
        <v>15.246008959200106</v>
      </c>
      <c r="R37" s="224">
        <f>H34/Conv!$C$46/Conv!$I$5/1000000*Conv!$J$45</f>
        <v>16.724362056353858</v>
      </c>
      <c r="S37" s="224">
        <f>I34/Conv!$C$46/Conv!$I$5/1000000*Conv!$J$45</f>
        <v>18.486804808636521</v>
      </c>
      <c r="T37" s="225">
        <f t="shared" si="0"/>
        <v>1.1053817626253244</v>
      </c>
      <c r="V37" s="227"/>
    </row>
    <row r="38" spans="1:22">
      <c r="A38" s="223" t="s">
        <v>749</v>
      </c>
      <c r="B38" s="226">
        <v>51.431842803955099</v>
      </c>
      <c r="C38" s="226">
        <v>80.713936000000004</v>
      </c>
      <c r="D38" s="226">
        <v>96.386139</v>
      </c>
      <c r="E38" s="226">
        <v>96.451652999999993</v>
      </c>
      <c r="F38" s="226">
        <v>108.727554</v>
      </c>
      <c r="G38" s="226">
        <v>118.380623</v>
      </c>
      <c r="H38" s="226">
        <v>129.07098400000001</v>
      </c>
      <c r="I38" s="226">
        <v>140.403458</v>
      </c>
      <c r="K38" s="201" t="s">
        <v>522</v>
      </c>
      <c r="L38" s="224">
        <f>AVERAGE((B35*B16+B39*B22+B71*B62)/(B16+B22+B71))/Conv!$C$46/Conv!$I$5/1000000*Conv!$J$39</f>
        <v>8.2247108630953996</v>
      </c>
      <c r="M38" s="224">
        <f>AVERAGE((C35*C16+C39*C22+C71*C62)/(C16+C22+C71))/Conv!$C$46/Conv!$I$5/1000000*Conv!$J$42</f>
        <v>11.726426344757739</v>
      </c>
      <c r="N38" s="224">
        <f>AVERAGE((D35*D16+D39*D22+D71*D62)/(D16+D22+D71))/Conv!$C$46/Conv!$I$5/1000000*Conv!$J$45</f>
        <v>13.338530149807523</v>
      </c>
      <c r="O38" s="224">
        <f>AVERAGE((E35*E16+E39*E22+E71*E62)/(E16+E22+E71))/Conv!$C$46/Conv!$I$5/1000000*Conv!$J$45</f>
        <v>13.39357080416667</v>
      </c>
      <c r="P38" s="224">
        <f>AVERAGE((F35*F16+F39*F22+F71*F62)/(F16+F22+F71))/Conv!$C$46/Conv!$I$5/1000000*Conv!$J$45</f>
        <v>15.208938426887851</v>
      </c>
      <c r="Q38" s="224">
        <f>AVERAGE((G35*G16+G39*G22+G71*G62)/(G16+G22+G71))/Conv!$C$46/Conv!$I$5/1000000*Conv!$J$45</f>
        <v>16.652501216808165</v>
      </c>
      <c r="R38" s="224">
        <f>AVERAGE((H35*H16+H39*H22+H71*H62)/(H16+H22+H71))/Conv!$C$46/Conv!$I$5/1000000*Conv!$J$45</f>
        <v>18.075858503000987</v>
      </c>
      <c r="S38" s="224">
        <f>AVERAGE((I35*I16+I39*I22+I71*I62)/(I16+I22+I71))/Conv!$C$46/Conv!$I$5/1000000*Conv!$J$45</f>
        <v>19.600729354425635</v>
      </c>
      <c r="T38" s="225">
        <f t="shared" si="0"/>
        <v>1.0843595257824952</v>
      </c>
      <c r="V38" s="227"/>
    </row>
    <row r="39" spans="1:22">
      <c r="A39" s="223" t="s">
        <v>750</v>
      </c>
      <c r="B39" s="226">
        <v>46.212326049804702</v>
      </c>
      <c r="C39" s="226">
        <v>71.208015000000003</v>
      </c>
      <c r="D39" s="226">
        <v>94.279510000000002</v>
      </c>
      <c r="E39" s="226">
        <v>95.155799999999999</v>
      </c>
      <c r="F39" s="226">
        <v>108.131889</v>
      </c>
      <c r="G39" s="226">
        <v>118.079697</v>
      </c>
      <c r="H39" s="226">
        <v>127.975883</v>
      </c>
      <c r="I39" s="226">
        <v>137.89520300000001</v>
      </c>
    </row>
    <row r="40" spans="1:22">
      <c r="A40" s="223" t="s">
        <v>751</v>
      </c>
      <c r="B40" s="226" t="s">
        <v>974</v>
      </c>
      <c r="C40" s="226">
        <v>77.842354</v>
      </c>
      <c r="D40" s="226">
        <v>96.192085000000006</v>
      </c>
      <c r="E40" s="226">
        <v>95.612594999999999</v>
      </c>
      <c r="F40" s="226">
        <v>107.33659400000001</v>
      </c>
      <c r="G40" s="226">
        <v>118.33994300000001</v>
      </c>
      <c r="H40" s="226">
        <v>128.86077900000001</v>
      </c>
      <c r="I40" s="226">
        <v>140.88420099999999</v>
      </c>
    </row>
    <row r="41" spans="1:22">
      <c r="A41" s="223"/>
    </row>
    <row r="42" spans="1:22" ht="15" customHeight="1">
      <c r="A42" s="223" t="s">
        <v>767</v>
      </c>
      <c r="B42" s="223"/>
      <c r="C42" s="223"/>
      <c r="D42" s="223"/>
      <c r="E42" s="223"/>
      <c r="F42" s="223"/>
      <c r="G42" s="223"/>
      <c r="H42" s="223"/>
      <c r="I42" s="223"/>
    </row>
    <row r="43" spans="1:22" ht="15" customHeight="1">
      <c r="A43" s="223" t="s">
        <v>763</v>
      </c>
      <c r="B43" s="223"/>
      <c r="C43" s="223"/>
      <c r="D43" s="223"/>
      <c r="E43" s="223"/>
      <c r="F43" s="223"/>
      <c r="G43" s="223"/>
      <c r="H43" s="223"/>
      <c r="I43" s="223"/>
    </row>
    <row r="44" spans="1:22" ht="15" customHeight="1">
      <c r="A44" s="223" t="s">
        <v>764</v>
      </c>
      <c r="B44" s="223"/>
      <c r="C44" s="223"/>
      <c r="D44" s="223"/>
      <c r="E44" s="223"/>
      <c r="F44" s="223"/>
      <c r="G44" s="223"/>
      <c r="H44" s="223"/>
      <c r="I44" s="223"/>
    </row>
    <row r="45" spans="1:22" ht="15" customHeight="1">
      <c r="A45" s="223" t="s">
        <v>768</v>
      </c>
      <c r="B45" s="223"/>
      <c r="C45" s="223"/>
      <c r="D45" s="223"/>
      <c r="E45" s="223"/>
      <c r="F45" s="223"/>
      <c r="G45" s="223"/>
      <c r="H45" s="223"/>
      <c r="I45" s="223"/>
    </row>
    <row r="46" spans="1:22" ht="15" customHeight="1">
      <c r="A46" s="223" t="s">
        <v>769</v>
      </c>
      <c r="B46" s="223"/>
      <c r="C46" s="223"/>
      <c r="D46" s="223"/>
      <c r="E46" s="223"/>
      <c r="F46" s="223"/>
      <c r="G46" s="223"/>
      <c r="H46" s="223"/>
      <c r="I46" s="223"/>
    </row>
    <row r="47" spans="1:22" ht="15" customHeight="1">
      <c r="A47" s="223" t="s">
        <v>770</v>
      </c>
      <c r="B47" s="223"/>
      <c r="C47" s="223"/>
      <c r="D47" s="223"/>
      <c r="E47" s="223"/>
      <c r="F47" s="223"/>
      <c r="G47" s="223"/>
      <c r="H47" s="223"/>
      <c r="I47" s="223"/>
    </row>
    <row r="48" spans="1:22" ht="15" customHeight="1">
      <c r="A48" s="223" t="s">
        <v>771</v>
      </c>
      <c r="B48" s="223"/>
      <c r="C48" s="223"/>
      <c r="D48" s="223"/>
      <c r="E48" s="223"/>
      <c r="F48" s="223"/>
      <c r="G48" s="223"/>
      <c r="H48" s="223"/>
      <c r="I48" s="223"/>
    </row>
    <row r="49" spans="1:9" ht="30" customHeight="1">
      <c r="A49" s="223" t="s">
        <v>772</v>
      </c>
      <c r="B49" s="223"/>
      <c r="C49" s="223"/>
      <c r="D49" s="223"/>
      <c r="E49" s="223"/>
      <c r="F49" s="223"/>
      <c r="G49" s="223"/>
      <c r="H49" s="223"/>
      <c r="I49" s="223"/>
    </row>
    <row r="50" spans="1:9" ht="15" customHeight="1">
      <c r="A50" s="223" t="s">
        <v>773</v>
      </c>
      <c r="B50" s="223"/>
      <c r="C50" s="223"/>
      <c r="D50" s="223"/>
      <c r="E50" s="223"/>
      <c r="F50" s="223"/>
      <c r="G50" s="223"/>
      <c r="H50" s="223"/>
      <c r="I50" s="223"/>
    </row>
    <row r="55" spans="1:9" ht="18" customHeight="1">
      <c r="A55" s="438" t="s">
        <v>977</v>
      </c>
      <c r="B55" s="438"/>
      <c r="C55" s="438"/>
      <c r="D55" s="438"/>
      <c r="E55" s="438"/>
      <c r="F55" s="438"/>
      <c r="G55" s="438"/>
      <c r="H55" s="438"/>
      <c r="I55" s="438"/>
    </row>
    <row r="56" spans="1:9">
      <c r="A56" s="228"/>
      <c r="B56" s="228"/>
      <c r="C56" s="228"/>
      <c r="D56" s="228"/>
      <c r="E56" s="228"/>
      <c r="F56" s="228"/>
      <c r="G56" s="228"/>
      <c r="H56" s="228"/>
      <c r="I56" s="229"/>
    </row>
    <row r="57" spans="1:9">
      <c r="A57" s="230" t="s">
        <v>775</v>
      </c>
      <c r="B57" s="231">
        <v>2005</v>
      </c>
      <c r="C57" s="231">
        <v>2010</v>
      </c>
      <c r="D57" s="231">
        <v>2015</v>
      </c>
      <c r="E57" s="231">
        <v>2020</v>
      </c>
      <c r="F57" s="231">
        <v>2025</v>
      </c>
      <c r="G57" s="231">
        <v>2030</v>
      </c>
      <c r="H57" s="231">
        <v>2035</v>
      </c>
      <c r="I57" s="231">
        <v>2040</v>
      </c>
    </row>
    <row r="58" spans="1:9">
      <c r="A58" s="223"/>
    </row>
    <row r="59" spans="1:9">
      <c r="A59" s="230" t="s">
        <v>776</v>
      </c>
    </row>
    <row r="60" spans="1:9">
      <c r="A60" s="223"/>
    </row>
    <row r="61" spans="1:9">
      <c r="A61" s="230" t="s">
        <v>777</v>
      </c>
    </row>
    <row r="62" spans="1:9">
      <c r="A62" s="230" t="s">
        <v>778</v>
      </c>
      <c r="B62" s="232">
        <v>52.372932434082003</v>
      </c>
      <c r="C62" s="232">
        <v>78.62236</v>
      </c>
      <c r="D62" s="232">
        <v>93.152596000000003</v>
      </c>
      <c r="E62" s="232">
        <v>92.930710000000005</v>
      </c>
      <c r="F62" s="232">
        <v>104.900368</v>
      </c>
      <c r="G62" s="232">
        <v>114.693359</v>
      </c>
      <c r="H62" s="232">
        <v>125.590073</v>
      </c>
      <c r="I62" s="232">
        <v>137.62721300000001</v>
      </c>
    </row>
    <row r="63" spans="1:9">
      <c r="A63" s="223"/>
      <c r="B63" s="224"/>
      <c r="C63" s="224"/>
      <c r="D63" s="224"/>
      <c r="E63" s="224"/>
      <c r="F63" s="224"/>
      <c r="G63" s="224"/>
      <c r="H63" s="224"/>
      <c r="I63" s="224"/>
    </row>
    <row r="64" spans="1:9">
      <c r="A64" s="230" t="s">
        <v>779</v>
      </c>
      <c r="B64" s="224"/>
      <c r="C64" s="224"/>
      <c r="D64" s="224"/>
      <c r="E64" s="224"/>
      <c r="F64" s="224"/>
      <c r="G64" s="224"/>
      <c r="H64" s="224"/>
      <c r="I64" s="224"/>
    </row>
    <row r="65" spans="1:9">
      <c r="A65" s="223" t="s">
        <v>752</v>
      </c>
      <c r="B65" s="226">
        <v>5.19099998474121</v>
      </c>
      <c r="C65" s="226">
        <v>5.51</v>
      </c>
      <c r="D65" s="226">
        <v>9.0378019999999992</v>
      </c>
      <c r="E65" s="226">
        <v>9.5525409999999997</v>
      </c>
      <c r="F65" s="226">
        <v>9.0041829999999994</v>
      </c>
      <c r="G65" s="226">
        <v>8.3047149999999998</v>
      </c>
      <c r="H65" s="226">
        <v>7.8722690000000002</v>
      </c>
      <c r="I65" s="226">
        <v>7.4801679999999999</v>
      </c>
    </row>
    <row r="66" spans="1:9">
      <c r="A66" s="223" t="s">
        <v>753</v>
      </c>
      <c r="B66" s="226">
        <v>2.9119999408721902</v>
      </c>
      <c r="C66" s="226">
        <v>3.1110000000000002</v>
      </c>
      <c r="D66" s="226">
        <v>6.9437699999999998</v>
      </c>
      <c r="E66" s="226">
        <v>7.2120749999999996</v>
      </c>
      <c r="F66" s="226">
        <v>7.0403339999999996</v>
      </c>
      <c r="G66" s="226">
        <v>6.3834780000000002</v>
      </c>
      <c r="H66" s="226">
        <v>5.7911619999999999</v>
      </c>
      <c r="I66" s="226">
        <v>5.2314559999999997</v>
      </c>
    </row>
    <row r="67" spans="1:9">
      <c r="A67" s="223" t="s">
        <v>754</v>
      </c>
      <c r="B67" s="226">
        <v>1.41499996185303</v>
      </c>
      <c r="C67" s="226">
        <v>1.7889999999999999</v>
      </c>
      <c r="D67" s="226">
        <v>4.4944300000000004</v>
      </c>
      <c r="E67" s="226">
        <v>4.7887130000000004</v>
      </c>
      <c r="F67" s="226">
        <v>4.5417620000000003</v>
      </c>
      <c r="G67" s="226">
        <v>4.1680419999999998</v>
      </c>
      <c r="H67" s="226">
        <v>3.6882419999999998</v>
      </c>
      <c r="I67" s="226">
        <v>3.1964769999999998</v>
      </c>
    </row>
    <row r="68" spans="1:9" ht="25.5">
      <c r="A68" s="223" t="s">
        <v>755</v>
      </c>
      <c r="B68" s="226">
        <v>0.86400002241134599</v>
      </c>
      <c r="C68" s="226">
        <v>0.61</v>
      </c>
      <c r="D68" s="226">
        <v>0.28528599999999998</v>
      </c>
      <c r="E68" s="226">
        <v>0.363147</v>
      </c>
      <c r="F68" s="226">
        <v>0.47158899999999998</v>
      </c>
      <c r="G68" s="226">
        <v>0.580677</v>
      </c>
      <c r="H68" s="226">
        <v>0.66123399999999999</v>
      </c>
      <c r="I68" s="226">
        <v>0.740367</v>
      </c>
    </row>
    <row r="69" spans="1:9">
      <c r="A69" s="223" t="s">
        <v>756</v>
      </c>
      <c r="B69" s="226"/>
      <c r="C69" s="226"/>
      <c r="D69" s="226">
        <v>2.1640540000000001</v>
      </c>
      <c r="E69" s="226">
        <v>2.060216</v>
      </c>
      <c r="F69" s="226">
        <v>2.0269840000000001</v>
      </c>
      <c r="G69" s="226">
        <v>1.63476</v>
      </c>
      <c r="H69" s="226">
        <v>1.441686</v>
      </c>
      <c r="I69" s="226">
        <v>1.2946120000000001</v>
      </c>
    </row>
    <row r="70" spans="1:9">
      <c r="A70" s="223" t="s">
        <v>757</v>
      </c>
      <c r="B70" s="226"/>
      <c r="C70" s="226"/>
      <c r="D70" s="226">
        <v>1.6311960000000001</v>
      </c>
      <c r="E70" s="226">
        <v>1.903324</v>
      </c>
      <c r="F70" s="226">
        <v>1.6371800000000001</v>
      </c>
      <c r="G70" s="226">
        <v>1.680866</v>
      </c>
      <c r="H70" s="226">
        <v>1.702939</v>
      </c>
      <c r="I70" s="226">
        <v>1.9887250000000001</v>
      </c>
    </row>
    <row r="71" spans="1:9">
      <c r="A71" s="220" t="s">
        <v>758</v>
      </c>
      <c r="B71" s="221">
        <v>18.8480014801025</v>
      </c>
      <c r="C71" s="221">
        <v>17.634153000000001</v>
      </c>
      <c r="D71" s="221">
        <v>0.462835</v>
      </c>
      <c r="E71" s="221">
        <v>0.43714199999999998</v>
      </c>
      <c r="F71" s="221">
        <v>0.32666899999999999</v>
      </c>
      <c r="G71" s="221">
        <v>0.240371</v>
      </c>
      <c r="H71" s="221">
        <v>0.378168</v>
      </c>
      <c r="I71" s="221">
        <v>0.25998700000000002</v>
      </c>
    </row>
    <row r="72" spans="1:9">
      <c r="A72" s="223"/>
    </row>
    <row r="73" spans="1:9">
      <c r="A73" s="230" t="s">
        <v>780</v>
      </c>
    </row>
    <row r="74" spans="1:9">
      <c r="A74" s="230" t="s">
        <v>781</v>
      </c>
      <c r="B74" s="230">
        <v>18.75</v>
      </c>
      <c r="C74" s="230">
        <v>18.329999999999998</v>
      </c>
      <c r="D74" s="232">
        <v>28.010019</v>
      </c>
      <c r="E74" s="232">
        <v>31.779066</v>
      </c>
      <c r="F74" s="232">
        <v>33.012752999999996</v>
      </c>
      <c r="G74" s="232">
        <v>34.422798</v>
      </c>
      <c r="H74" s="232">
        <v>34.579945000000002</v>
      </c>
      <c r="I74" s="232">
        <v>35.445549</v>
      </c>
    </row>
    <row r="75" spans="1:9">
      <c r="A75" s="223"/>
    </row>
  </sheetData>
  <mergeCells count="2">
    <mergeCell ref="A1:J1"/>
    <mergeCell ref="A55:I55"/>
  </mergeCells>
  <pageMargins left="0.7" right="0.7" top="0.75" bottom="0.75" header="0.3" footer="0.3"/>
  <pageSetup orientation="portrait" r:id="rId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18"/>
  <dimension ref="A1:X76"/>
  <sheetViews>
    <sheetView zoomScale="80" zoomScaleNormal="80" workbookViewId="0">
      <pane ySplit="5" topLeftCell="A6" activePane="bottomLeft" state="frozen"/>
      <selection pane="bottomLeft" activeCell="E10" sqref="E10"/>
    </sheetView>
  </sheetViews>
  <sheetFormatPr defaultColWidth="9.140625" defaultRowHeight="12.75"/>
  <cols>
    <col min="1" max="1" width="21.5703125" style="195" bestFit="1" customWidth="1"/>
    <col min="2" max="16" width="10.7109375" style="205" customWidth="1"/>
    <col min="17" max="18" width="9.140625" style="195"/>
    <col min="19" max="19" width="26" style="195" customWidth="1"/>
    <col min="20" max="16384" width="9.140625" style="195"/>
  </cols>
  <sheetData>
    <row r="1" spans="1:24" ht="27" customHeight="1">
      <c r="A1" s="440" t="s">
        <v>2457</v>
      </c>
      <c r="B1" s="440"/>
      <c r="C1" s="440"/>
      <c r="D1" s="440"/>
      <c r="E1" s="440"/>
      <c r="F1" s="440"/>
      <c r="G1" s="440"/>
      <c r="H1" s="440"/>
      <c r="I1" s="440"/>
      <c r="J1" s="440"/>
      <c r="K1" s="440"/>
      <c r="L1" s="440"/>
      <c r="M1" s="440"/>
      <c r="N1" s="440"/>
      <c r="O1" s="440"/>
      <c r="P1" s="440"/>
    </row>
    <row r="2" spans="1:24" ht="13.5" customHeight="1">
      <c r="D2" s="439" t="s">
        <v>710</v>
      </c>
      <c r="E2" s="439"/>
      <c r="F2" s="439"/>
      <c r="G2" s="439"/>
      <c r="H2" s="439"/>
      <c r="L2" s="439" t="s">
        <v>153</v>
      </c>
      <c r="M2" s="439"/>
      <c r="N2" s="439"/>
      <c r="O2" s="439"/>
      <c r="P2" s="439"/>
      <c r="U2" s="246"/>
    </row>
    <row r="3" spans="1:24" s="205" customFormat="1">
      <c r="B3" s="206"/>
      <c r="C3" s="206"/>
      <c r="D3" s="206" t="s">
        <v>138</v>
      </c>
      <c r="E3" s="206" t="s">
        <v>129</v>
      </c>
      <c r="F3" s="206" t="s">
        <v>130</v>
      </c>
      <c r="G3" s="206" t="s">
        <v>131</v>
      </c>
      <c r="H3" s="206" t="s">
        <v>139</v>
      </c>
      <c r="I3" s="206"/>
      <c r="J3" s="206"/>
      <c r="K3" s="206"/>
      <c r="L3" s="206" t="s">
        <v>138</v>
      </c>
      <c r="M3" s="206" t="s">
        <v>129</v>
      </c>
      <c r="N3" s="206" t="s">
        <v>130</v>
      </c>
      <c r="O3" s="206" t="s">
        <v>131</v>
      </c>
      <c r="P3" s="206" t="s">
        <v>139</v>
      </c>
      <c r="S3" s="195"/>
      <c r="T3" s="195"/>
      <c r="U3" s="195"/>
      <c r="V3" s="195"/>
      <c r="W3" s="195"/>
      <c r="X3" s="195"/>
    </row>
    <row r="4" spans="1:24">
      <c r="B4" s="206"/>
      <c r="C4" s="206"/>
      <c r="D4" s="206"/>
      <c r="E4" s="206"/>
      <c r="F4" s="206"/>
      <c r="G4" s="206"/>
      <c r="H4" s="206"/>
      <c r="I4" s="206"/>
      <c r="J4" s="206"/>
      <c r="K4" s="206"/>
      <c r="L4" s="206"/>
      <c r="M4" s="206"/>
      <c r="N4" s="206"/>
      <c r="O4" s="206"/>
      <c r="P4" s="206"/>
    </row>
    <row r="5" spans="1:24" s="247" customFormat="1" ht="25.5">
      <c r="B5" s="199" t="s">
        <v>140</v>
      </c>
      <c r="C5" s="199" t="s">
        <v>141</v>
      </c>
      <c r="D5" s="199" t="s">
        <v>142</v>
      </c>
      <c r="E5" s="199" t="s">
        <v>142</v>
      </c>
      <c r="F5" s="199" t="s">
        <v>142</v>
      </c>
      <c r="G5" s="199" t="s">
        <v>142</v>
      </c>
      <c r="H5" s="199" t="s">
        <v>142</v>
      </c>
      <c r="I5" s="199"/>
      <c r="J5" s="199" t="s">
        <v>140</v>
      </c>
      <c r="K5" s="199" t="s">
        <v>141</v>
      </c>
      <c r="L5" s="199" t="s">
        <v>143</v>
      </c>
      <c r="M5" s="199" t="s">
        <v>143</v>
      </c>
      <c r="N5" s="199" t="s">
        <v>143</v>
      </c>
      <c r="O5" s="199" t="s">
        <v>143</v>
      </c>
      <c r="P5" s="199" t="s">
        <v>143</v>
      </c>
    </row>
    <row r="6" spans="1:24">
      <c r="A6" s="195" t="s">
        <v>25</v>
      </c>
      <c r="B6" s="205">
        <v>2005</v>
      </c>
      <c r="C6" s="205">
        <v>1</v>
      </c>
      <c r="D6" s="205">
        <f t="array" ref="D6">SUM(IF('AEO 2012 prdcrv'!$A$7:$A$2000='Agg prdcrv'!$A6,IF('AEO 2012 prdcrv'!$H$7:$H$2000="2005",IF('AEO 2012 prdcrv'!$I$7:$I$2000="Quantities",'AEO 2012 prdcrv'!B$7:B$2000,0))))</f>
        <v>244.86</v>
      </c>
      <c r="E6" s="205">
        <f t="array" ref="E6">SUM(IF('AEO 2012 prdcrv'!$A$7:$A$2000='Agg prdcrv'!$A6,IF('AEO 2012 prdcrv'!$H$7:$H$2000="2005",IF('AEO 2012 prdcrv'!$I$7:$I$2000="Quantities",'AEO 2012 prdcrv'!C$7:C$2000,0))))</f>
        <v>0</v>
      </c>
      <c r="F6" s="205">
        <f t="array" ref="F6">SUM(IF('AEO 2012 prdcrv'!$A$7:$A$2000='Agg prdcrv'!$A6,IF('AEO 2012 prdcrv'!$H$7:$H$2000="2005",IF('AEO 2012 prdcrv'!$I$7:$I$2000="Quantities",'AEO 2012 prdcrv'!D$7:D$2000,0))))</f>
        <v>4.12</v>
      </c>
      <c r="G6" s="205">
        <f t="array" ref="G6">SUM(IF('AEO 2012 prdcrv'!$A$7:$A$2000='Agg prdcrv'!$A6,IF('AEO 2012 prdcrv'!$H$7:$H$2000="2005",IF('AEO 2012 prdcrv'!$I$7:$I$2000="Quantities",'AEO 2012 prdcrv'!E$7:E$2000,0))))</f>
        <v>0</v>
      </c>
      <c r="H6" s="205">
        <f t="array" ref="H6">SUM(IF('AEO 2012 prdcrv'!$A$7:$A$2000='Agg prdcrv'!$A6,IF('AEO 2012 prdcrv'!$H$7:$H$2000="2005",IF('AEO 2012 prdcrv'!$I$7:$I$2000="Quantities",'AEO 2012 prdcrv'!F$7:F$2000,0))))</f>
        <v>6.45</v>
      </c>
      <c r="J6" s="205">
        <v>2005</v>
      </c>
      <c r="K6" s="205">
        <v>1</v>
      </c>
      <c r="L6" s="205">
        <f t="array" ref="L6">SUM(IF('AEO 2012 prdcrv'!$A$7:$A$2000='Agg prdcrv'!$A6,IF('AEO 2012 prdcrv'!$H$7:$H$2000="2005",IF('AEO 2012 prdcrv'!$I$7:$I$2000="Prices",'AEO 2012 prdcrv'!B$7:B$2000,0))))</f>
        <v>61.74</v>
      </c>
      <c r="M6" s="205">
        <f t="array" ref="M6">SUM(IF('AEO 2012 prdcrv'!$A$7:$A$2000='Agg prdcrv'!$A6,IF('AEO 2012 prdcrv'!$H$7:$H$2000="2005",IF('AEO 2012 prdcrv'!$I$7:$I$2000="Prices",'AEO 2012 prdcrv'!C$7:C$2000,0))))</f>
        <v>63.01</v>
      </c>
      <c r="N6" s="205">
        <f t="array" ref="N6">SUM(IF('AEO 2012 prdcrv'!$A$7:$A$2000='Agg prdcrv'!$A6,IF('AEO 2012 prdcrv'!$H$7:$H$2000="2005",IF('AEO 2012 prdcrv'!$I$7:$I$2000="Prices",'AEO 2012 prdcrv'!D$7:D$2000,0))))</f>
        <v>62.03</v>
      </c>
      <c r="O6" s="205">
        <f t="array" ref="O6">SUM(IF('AEO 2012 prdcrv'!$A$7:$A$2000='Agg prdcrv'!$A6,IF('AEO 2012 prdcrv'!$H$7:$H$2000="2005",IF('AEO 2012 prdcrv'!$I$7:$I$2000="Prices",'AEO 2012 prdcrv'!E$7:E$2000,0))))</f>
        <v>61.84</v>
      </c>
      <c r="P6" s="205">
        <f t="array" ref="P6">SUM(IF('AEO 2012 prdcrv'!$A$7:$A$2000='Agg prdcrv'!$A6,IF('AEO 2012 prdcrv'!$H$7:$H$2000="2005",IF('AEO 2012 prdcrv'!$I$7:$I$2000="Prices",'AEO 2012 prdcrv'!F$7:F$2000,0))))</f>
        <v>35.89</v>
      </c>
    </row>
    <row r="7" spans="1:24">
      <c r="A7" s="195" t="s">
        <v>22</v>
      </c>
      <c r="B7" s="205">
        <v>2005</v>
      </c>
      <c r="C7" s="205">
        <v>1</v>
      </c>
      <c r="D7" s="205">
        <f t="array" ref="D7">SUM(IF('AEO 2012 prdcrv'!$A$7:$A$2000='Agg prdcrv'!$A7,IF('AEO 2012 prdcrv'!$H$7:$H$2000="2005",IF('AEO 2012 prdcrv'!$I$7:$I$2000="Quantities",'AEO 2012 prdcrv'!B$7:B$2000,0))))</f>
        <v>299.08</v>
      </c>
      <c r="E7" s="205">
        <f t="array" ref="E7">SUM(IF('AEO 2012 prdcrv'!$A$7:$A$2000='Agg prdcrv'!$A7,IF('AEO 2012 prdcrv'!$H$7:$H$2000="2005",IF('AEO 2012 prdcrv'!$I$7:$I$2000="Quantities",'AEO 2012 prdcrv'!C$7:C$2000,0))))</f>
        <v>2.58</v>
      </c>
      <c r="F7" s="205">
        <f t="array" ref="F7">SUM(IF('AEO 2012 prdcrv'!$A$7:$A$2000='Agg prdcrv'!$A7,IF('AEO 2012 prdcrv'!$H$7:$H$2000="2005",IF('AEO 2012 prdcrv'!$I$7:$I$2000="Quantities",'AEO 2012 prdcrv'!D$7:D$2000,0))))</f>
        <v>32.270000000000003</v>
      </c>
      <c r="G7" s="205">
        <f t="array" ref="G7">SUM(IF('AEO 2012 prdcrv'!$A$7:$A$2000='Agg prdcrv'!$A7,IF('AEO 2012 prdcrv'!$H$7:$H$2000="2005",IF('AEO 2012 prdcrv'!$I$7:$I$2000="Quantities",'AEO 2012 prdcrv'!E$7:E$2000,0))))</f>
        <v>0.55000000000000004</v>
      </c>
      <c r="H7" s="205">
        <f t="array" ref="H7">SUM(IF('AEO 2012 prdcrv'!$A$7:$A$2000='Agg prdcrv'!$A7,IF('AEO 2012 prdcrv'!$H$7:$H$2000="2005",IF('AEO 2012 prdcrv'!$I$7:$I$2000="Quantities",'AEO 2012 prdcrv'!F$7:F$2000,0))))</f>
        <v>23.07</v>
      </c>
      <c r="J7" s="205">
        <v>2005</v>
      </c>
      <c r="K7" s="205">
        <v>1</v>
      </c>
      <c r="L7" s="205">
        <f t="array" ref="L7">SUM(IF('AEO 2012 prdcrv'!$A$7:$A$2000='Agg prdcrv'!$A7,IF('AEO 2012 prdcrv'!$H$7:$H$2000="2005",IF('AEO 2012 prdcrv'!$I$7:$I$2000="Prices",'AEO 2012 prdcrv'!B$7:B$2000,0))))</f>
        <v>59.78</v>
      </c>
      <c r="M7" s="205">
        <f t="array" ref="M7">SUM(IF('AEO 2012 prdcrv'!$A$7:$A$2000='Agg prdcrv'!$A7,IF('AEO 2012 prdcrv'!$H$7:$H$2000="2005",IF('AEO 2012 prdcrv'!$I$7:$I$2000="Prices",'AEO 2012 prdcrv'!C$7:C$2000,0))))</f>
        <v>61.05</v>
      </c>
      <c r="N7" s="205">
        <f t="array" ref="N7">SUM(IF('AEO 2012 prdcrv'!$A$7:$A$2000='Agg prdcrv'!$A7,IF('AEO 2012 prdcrv'!$H$7:$H$2000="2005",IF('AEO 2012 prdcrv'!$I$7:$I$2000="Prices",'AEO 2012 prdcrv'!D$7:D$2000,0))))</f>
        <v>60.07</v>
      </c>
      <c r="O7" s="205">
        <f t="array" ref="O7">SUM(IF('AEO 2012 prdcrv'!$A$7:$A$2000='Agg prdcrv'!$A7,IF('AEO 2012 prdcrv'!$H$7:$H$2000="2005",IF('AEO 2012 prdcrv'!$I$7:$I$2000="Prices",'AEO 2012 prdcrv'!E$7:E$2000,0))))</f>
        <v>59.88</v>
      </c>
      <c r="P7" s="205">
        <f t="array" ref="P7">SUM(IF('AEO 2012 prdcrv'!$A$7:$A$2000='Agg prdcrv'!$A7,IF('AEO 2012 prdcrv'!$H$7:$H$2000="2005",IF('AEO 2012 prdcrv'!$I$7:$I$2000="Prices",'AEO 2012 prdcrv'!F$7:F$2000,0))))</f>
        <v>33.93</v>
      </c>
    </row>
    <row r="8" spans="1:24">
      <c r="A8" s="195" t="s">
        <v>15</v>
      </c>
      <c r="B8" s="205">
        <v>2005</v>
      </c>
      <c r="C8" s="205">
        <v>1</v>
      </c>
      <c r="D8" s="205">
        <f t="array" ref="D8">SUM(IF('AEO 2012 prdcrv'!$A$7:$A$2000='Agg prdcrv'!$A8,IF('AEO 2012 prdcrv'!$H$7:$H$2000="2005",IF('AEO 2012 prdcrv'!$I$7:$I$2000="Quantities",'AEO 2012 prdcrv'!B$7:B$2000,0))))</f>
        <v>206.68</v>
      </c>
      <c r="E8" s="205">
        <f t="array" ref="E8">SUM(IF('AEO 2012 prdcrv'!$A$7:$A$2000='Agg prdcrv'!$A8,IF('AEO 2012 prdcrv'!$H$7:$H$2000="2005",IF('AEO 2012 prdcrv'!$I$7:$I$2000="Quantities",'AEO 2012 prdcrv'!C$7:C$2000,0))))</f>
        <v>2.04</v>
      </c>
      <c r="F8" s="205">
        <f t="array" ref="F8">SUM(IF('AEO 2012 prdcrv'!$A$7:$A$2000='Agg prdcrv'!$A8,IF('AEO 2012 prdcrv'!$H$7:$H$2000="2005",IF('AEO 2012 prdcrv'!$I$7:$I$2000="Quantities",'AEO 2012 prdcrv'!D$7:D$2000,0))))</f>
        <v>7.88</v>
      </c>
      <c r="G8" s="205">
        <f t="array" ref="G8">SUM(IF('AEO 2012 prdcrv'!$A$7:$A$2000='Agg prdcrv'!$A8,IF('AEO 2012 prdcrv'!$H$7:$H$2000="2005",IF('AEO 2012 prdcrv'!$I$7:$I$2000="Quantities",'AEO 2012 prdcrv'!E$7:E$2000,0))))</f>
        <v>1.34</v>
      </c>
      <c r="H8" s="205">
        <f t="array" ref="H8">SUM(IF('AEO 2012 prdcrv'!$A$7:$A$2000='Agg prdcrv'!$A8,IF('AEO 2012 prdcrv'!$H$7:$H$2000="2005",IF('AEO 2012 prdcrv'!$I$7:$I$2000="Quantities",'AEO 2012 prdcrv'!F$7:F$2000,0))))</f>
        <v>5.07</v>
      </c>
      <c r="J8" s="205">
        <v>2005</v>
      </c>
      <c r="K8" s="205">
        <v>1</v>
      </c>
      <c r="L8" s="205">
        <f t="array" ref="L8">SUM(IF('AEO 2012 prdcrv'!$A$7:$A$2000='Agg prdcrv'!$A8,IF('AEO 2012 prdcrv'!$H$7:$H$2000="2005",IF('AEO 2012 prdcrv'!$I$7:$I$2000="Prices",'AEO 2012 prdcrv'!B$7:B$2000,0))))</f>
        <v>50.83</v>
      </c>
      <c r="M8" s="205">
        <f t="array" ref="M8">SUM(IF('AEO 2012 prdcrv'!$A$7:$A$2000='Agg prdcrv'!$A8,IF('AEO 2012 prdcrv'!$H$7:$H$2000="2005",IF('AEO 2012 prdcrv'!$I$7:$I$2000="Prices",'AEO 2012 prdcrv'!C$7:C$2000,0))))</f>
        <v>52.1</v>
      </c>
      <c r="N8" s="205">
        <f t="array" ref="N8">SUM(IF('AEO 2012 prdcrv'!$A$7:$A$2000='Agg prdcrv'!$A8,IF('AEO 2012 prdcrv'!$H$7:$H$2000="2005",IF('AEO 2012 prdcrv'!$I$7:$I$2000="Prices",'AEO 2012 prdcrv'!D$7:D$2000,0))))</f>
        <v>51.12</v>
      </c>
      <c r="O8" s="205">
        <f t="array" ref="O8">SUM(IF('AEO 2012 prdcrv'!$A$7:$A$2000='Agg prdcrv'!$A8,IF('AEO 2012 prdcrv'!$H$7:$H$2000="2005",IF('AEO 2012 prdcrv'!$I$7:$I$2000="Prices",'AEO 2012 prdcrv'!E$7:E$2000,0))))</f>
        <v>53.51</v>
      </c>
      <c r="P8" s="205">
        <f t="array" ref="P8">SUM(IF('AEO 2012 prdcrv'!$A$7:$A$2000='Agg prdcrv'!$A8,IF('AEO 2012 prdcrv'!$H$7:$H$2000="2005",IF('AEO 2012 prdcrv'!$I$7:$I$2000="Prices",'AEO 2012 prdcrv'!F$7:F$2000,0))))</f>
        <v>50.61</v>
      </c>
    </row>
    <row r="9" spans="1:24">
      <c r="A9" s="195" t="s">
        <v>16</v>
      </c>
      <c r="B9" s="205">
        <v>2005</v>
      </c>
      <c r="C9" s="205">
        <v>1</v>
      </c>
      <c r="D9" s="205">
        <f t="array" ref="D9">SUM(IF('AEO 2012 prdcrv'!$A$7:$A$2000='Agg prdcrv'!$A9,IF('AEO 2012 prdcrv'!$H$7:$H$2000="2005",IF('AEO 2012 prdcrv'!$I$7:$I$2000="Quantities",'AEO 2012 prdcrv'!B$7:B$2000,0))))</f>
        <v>124.23</v>
      </c>
      <c r="E9" s="205">
        <f t="array" ref="E9">SUM(IF('AEO 2012 prdcrv'!$A$7:$A$2000='Agg prdcrv'!$A9,IF('AEO 2012 prdcrv'!$H$7:$H$2000="2005",IF('AEO 2012 prdcrv'!$I$7:$I$2000="Quantities",'AEO 2012 prdcrv'!C$7:C$2000,0))))</f>
        <v>5.74</v>
      </c>
      <c r="F9" s="205">
        <f t="array" ref="F9">SUM(IF('AEO 2012 prdcrv'!$A$7:$A$2000='Agg prdcrv'!$A9,IF('AEO 2012 prdcrv'!$H$7:$H$2000="2005",IF('AEO 2012 prdcrv'!$I$7:$I$2000="Quantities",'AEO 2012 prdcrv'!D$7:D$2000,0))))</f>
        <v>8.2799999999999994</v>
      </c>
      <c r="G9" s="205">
        <f t="array" ref="G9">SUM(IF('AEO 2012 prdcrv'!$A$7:$A$2000='Agg prdcrv'!$A9,IF('AEO 2012 prdcrv'!$H$7:$H$2000="2005",IF('AEO 2012 prdcrv'!$I$7:$I$2000="Quantities",'AEO 2012 prdcrv'!E$7:E$2000,0))))</f>
        <v>9.3699999999999992</v>
      </c>
      <c r="H9" s="205">
        <f t="array" ref="H9">SUM(IF('AEO 2012 prdcrv'!$A$7:$A$2000='Agg prdcrv'!$A9,IF('AEO 2012 prdcrv'!$H$7:$H$2000="2005",IF('AEO 2012 prdcrv'!$I$7:$I$2000="Quantities",'AEO 2012 prdcrv'!F$7:F$2000,0))))</f>
        <v>13.73</v>
      </c>
      <c r="J9" s="205">
        <v>2005</v>
      </c>
      <c r="K9" s="205">
        <v>1</v>
      </c>
      <c r="L9" s="205">
        <f t="array" ref="L9">SUM(IF('AEO 2012 prdcrv'!$A$7:$A$2000='Agg prdcrv'!$A9,IF('AEO 2012 prdcrv'!$H$7:$H$2000="2005",IF('AEO 2012 prdcrv'!$I$7:$I$2000="Prices",'AEO 2012 prdcrv'!B$7:B$2000,0))))</f>
        <v>52.34</v>
      </c>
      <c r="M9" s="205">
        <f t="array" ref="M9">SUM(IF('AEO 2012 prdcrv'!$A$7:$A$2000='Agg prdcrv'!$A9,IF('AEO 2012 prdcrv'!$H$7:$H$2000="2005",IF('AEO 2012 prdcrv'!$I$7:$I$2000="Prices",'AEO 2012 prdcrv'!C$7:C$2000,0))))</f>
        <v>50.45</v>
      </c>
      <c r="N9" s="205">
        <f t="array" ref="N9">SUM(IF('AEO 2012 prdcrv'!$A$7:$A$2000='Agg prdcrv'!$A9,IF('AEO 2012 prdcrv'!$H$7:$H$2000="2005",IF('AEO 2012 prdcrv'!$I$7:$I$2000="Prices",'AEO 2012 prdcrv'!D$7:D$2000,0))))</f>
        <v>50.89</v>
      </c>
      <c r="O9" s="205">
        <f t="array" ref="O9">SUM(IF('AEO 2012 prdcrv'!$A$7:$A$2000='Agg prdcrv'!$A9,IF('AEO 2012 prdcrv'!$H$7:$H$2000="2005",IF('AEO 2012 prdcrv'!$I$7:$I$2000="Prices",'AEO 2012 prdcrv'!E$7:E$2000,0))))</f>
        <v>61.33</v>
      </c>
      <c r="P9" s="205">
        <f t="array" ref="P9">SUM(IF('AEO 2012 prdcrv'!$A$7:$A$2000='Agg prdcrv'!$A9,IF('AEO 2012 prdcrv'!$H$7:$H$2000="2005",IF('AEO 2012 prdcrv'!$I$7:$I$2000="Prices",'AEO 2012 prdcrv'!F$7:F$2000,0))))</f>
        <v>59.05</v>
      </c>
    </row>
    <row r="10" spans="1:24">
      <c r="A10" s="195" t="s">
        <v>37</v>
      </c>
      <c r="B10" s="205">
        <v>2005</v>
      </c>
      <c r="C10" s="205">
        <v>1</v>
      </c>
      <c r="D10" s="205">
        <f t="array" ref="D10">SUM(IF('AEO 2012 prdcrv'!$A$7:$A$2000='Agg prdcrv'!$A10,IF('AEO 2012 prdcrv'!$H$7:$H$2000="2005",IF('AEO 2012 prdcrv'!$I$7:$I$2000="Quantities",'AEO 2012 prdcrv'!B$7:B$2000,0))))</f>
        <v>211.46</v>
      </c>
      <c r="E10" s="205">
        <f t="array" ref="E10">SUM(IF('AEO 2012 prdcrv'!$A$7:$A$2000='Agg prdcrv'!$A10,IF('AEO 2012 prdcrv'!$H$7:$H$2000="2005",IF('AEO 2012 prdcrv'!$I$7:$I$2000="Quantities",'AEO 2012 prdcrv'!C$7:C$2000,0))))</f>
        <v>2.82</v>
      </c>
      <c r="F10" s="205">
        <f t="array" ref="F10">SUM(IF('AEO 2012 prdcrv'!$A$7:$A$2000='Agg prdcrv'!$A10,IF('AEO 2012 prdcrv'!$H$7:$H$2000="2005",IF('AEO 2012 prdcrv'!$I$7:$I$2000="Quantities",'AEO 2012 prdcrv'!D$7:D$2000,0))))</f>
        <v>62.6</v>
      </c>
      <c r="G10" s="205">
        <f t="array" ref="G10">SUM(IF('AEO 2012 prdcrv'!$A$7:$A$2000='Agg prdcrv'!$A10,IF('AEO 2012 prdcrv'!$H$7:$H$2000="2005",IF('AEO 2012 prdcrv'!$I$7:$I$2000="Quantities",'AEO 2012 prdcrv'!E$7:E$2000,0))))</f>
        <v>0</v>
      </c>
      <c r="H10" s="205">
        <f t="array" ref="H10">SUM(IF('AEO 2012 prdcrv'!$A$7:$A$2000='Agg prdcrv'!$A10,IF('AEO 2012 prdcrv'!$H$7:$H$2000="2005",IF('AEO 2012 prdcrv'!$I$7:$I$2000="Quantities",'AEO 2012 prdcrv'!F$7:F$2000,0))))</f>
        <v>10.5</v>
      </c>
      <c r="J10" s="205">
        <v>2005</v>
      </c>
      <c r="K10" s="205">
        <v>1</v>
      </c>
      <c r="L10" s="205">
        <f t="array" ref="L10">SUM(IF('AEO 2012 prdcrv'!$A$7:$A$2000='Agg prdcrv'!$A10,IF('AEO 2012 prdcrv'!$H$7:$H$2000="2005",IF('AEO 2012 prdcrv'!$I$7:$I$2000="Prices",'AEO 2012 prdcrv'!B$7:B$2000,0))))</f>
        <v>36.299999999999997</v>
      </c>
      <c r="M10" s="205">
        <f t="array" ref="M10">SUM(IF('AEO 2012 prdcrv'!$A$7:$A$2000='Agg prdcrv'!$A10,IF('AEO 2012 prdcrv'!$H$7:$H$2000="2005",IF('AEO 2012 prdcrv'!$I$7:$I$2000="Prices",'AEO 2012 prdcrv'!C$7:C$2000,0))))</f>
        <v>39.200000000000003</v>
      </c>
      <c r="N10" s="205">
        <f t="array" ref="N10">SUM(IF('AEO 2012 prdcrv'!$A$7:$A$2000='Agg prdcrv'!$A10,IF('AEO 2012 prdcrv'!$H$7:$H$2000="2005",IF('AEO 2012 prdcrv'!$I$7:$I$2000="Prices",'AEO 2012 prdcrv'!D$7:D$2000,0))))</f>
        <v>39.200000000000003</v>
      </c>
      <c r="O10" s="205">
        <f t="array" ref="O10">SUM(IF('AEO 2012 prdcrv'!$A$7:$A$2000='Agg prdcrv'!$A10,IF('AEO 2012 prdcrv'!$H$7:$H$2000="2005",IF('AEO 2012 prdcrv'!$I$7:$I$2000="Prices",'AEO 2012 prdcrv'!E$7:E$2000,0))))</f>
        <v>38.43</v>
      </c>
      <c r="P10" s="205">
        <f t="array" ref="P10">SUM(IF('AEO 2012 prdcrv'!$A$7:$A$2000='Agg prdcrv'!$A10,IF('AEO 2012 prdcrv'!$H$7:$H$2000="2005",IF('AEO 2012 prdcrv'!$I$7:$I$2000="Prices",'AEO 2012 prdcrv'!F$7:F$2000,0))))</f>
        <v>32.56</v>
      </c>
    </row>
    <row r="11" spans="1:24">
      <c r="A11" s="195" t="s">
        <v>36</v>
      </c>
      <c r="B11" s="205">
        <v>2005</v>
      </c>
      <c r="C11" s="205">
        <v>1</v>
      </c>
      <c r="D11" s="205">
        <f t="array" ref="D11">SUM(IF('AEO 2012 prdcrv'!$A$7:$A$2000='Agg prdcrv'!$A11,IF('AEO 2012 prdcrv'!$H$7:$H$2000="2005",IF('AEO 2012 prdcrv'!$I$7:$I$2000="Quantities",'AEO 2012 prdcrv'!B$7:B$2000,0))))</f>
        <v>188.15</v>
      </c>
      <c r="E11" s="205">
        <f t="array" ref="E11">SUM(IF('AEO 2012 prdcrv'!$A$7:$A$2000='Agg prdcrv'!$A11,IF('AEO 2012 prdcrv'!$H$7:$H$2000="2005",IF('AEO 2012 prdcrv'!$I$7:$I$2000="Quantities",'AEO 2012 prdcrv'!C$7:C$2000,0))))</f>
        <v>2.1</v>
      </c>
      <c r="F11" s="205">
        <f t="array" ref="F11">SUM(IF('AEO 2012 prdcrv'!$A$7:$A$2000='Agg prdcrv'!$A11,IF('AEO 2012 prdcrv'!$H$7:$H$2000="2005",IF('AEO 2012 prdcrv'!$I$7:$I$2000="Quantities",'AEO 2012 prdcrv'!D$7:D$2000,0))))</f>
        <v>33.5</v>
      </c>
      <c r="G11" s="205">
        <f t="array" ref="G11">SUM(IF('AEO 2012 prdcrv'!$A$7:$A$2000='Agg prdcrv'!$A11,IF('AEO 2012 prdcrv'!$H$7:$H$2000="2005",IF('AEO 2012 prdcrv'!$I$7:$I$2000="Quantities",'AEO 2012 prdcrv'!E$7:E$2000,0))))</f>
        <v>0</v>
      </c>
      <c r="H11" s="205">
        <f t="array" ref="H11">SUM(IF('AEO 2012 prdcrv'!$A$7:$A$2000='Agg prdcrv'!$A11,IF('AEO 2012 prdcrv'!$H$7:$H$2000="2005",IF('AEO 2012 prdcrv'!$I$7:$I$2000="Quantities",'AEO 2012 prdcrv'!F$7:F$2000,0))))</f>
        <v>31.98</v>
      </c>
      <c r="J11" s="205">
        <v>2005</v>
      </c>
      <c r="K11" s="205">
        <v>1</v>
      </c>
      <c r="L11" s="205">
        <f t="array" ref="L11">SUM(IF('AEO 2012 prdcrv'!$A$7:$A$2000='Agg prdcrv'!$A11,IF('AEO 2012 prdcrv'!$H$7:$H$2000="2005",IF('AEO 2012 prdcrv'!$I$7:$I$2000="Prices",'AEO 2012 prdcrv'!B$7:B$2000,0))))</f>
        <v>34.79</v>
      </c>
      <c r="M11" s="205">
        <f t="array" ref="M11">SUM(IF('AEO 2012 prdcrv'!$A$7:$A$2000='Agg prdcrv'!$A11,IF('AEO 2012 prdcrv'!$H$7:$H$2000="2005",IF('AEO 2012 prdcrv'!$I$7:$I$2000="Prices",'AEO 2012 prdcrv'!C$7:C$2000,0))))</f>
        <v>37.590000000000003</v>
      </c>
      <c r="N11" s="205">
        <f t="array" ref="N11">SUM(IF('AEO 2012 prdcrv'!$A$7:$A$2000='Agg prdcrv'!$A11,IF('AEO 2012 prdcrv'!$H$7:$H$2000="2005",IF('AEO 2012 prdcrv'!$I$7:$I$2000="Prices",'AEO 2012 prdcrv'!D$7:D$2000,0))))</f>
        <v>38.11</v>
      </c>
      <c r="O11" s="205">
        <f t="array" ref="O11">SUM(IF('AEO 2012 prdcrv'!$A$7:$A$2000='Agg prdcrv'!$A11,IF('AEO 2012 prdcrv'!$H$7:$H$2000="2005",IF('AEO 2012 prdcrv'!$I$7:$I$2000="Prices",'AEO 2012 prdcrv'!E$7:E$2000,0))))</f>
        <v>37.14</v>
      </c>
      <c r="P11" s="205">
        <f t="array" ref="P11">SUM(IF('AEO 2012 prdcrv'!$A$7:$A$2000='Agg prdcrv'!$A11,IF('AEO 2012 prdcrv'!$H$7:$H$2000="2005",IF('AEO 2012 prdcrv'!$I$7:$I$2000="Prices",'AEO 2012 prdcrv'!F$7:F$2000,0))))</f>
        <v>32.799999999999997</v>
      </c>
    </row>
    <row r="12" spans="1:24">
      <c r="A12" s="195" t="s">
        <v>453</v>
      </c>
      <c r="B12" s="205">
        <v>2005</v>
      </c>
      <c r="C12" s="205">
        <v>1</v>
      </c>
      <c r="D12" s="205">
        <f t="array" ref="D12">SUM(IF('AEO 2012 prdcrv'!$A$7:$A$2000='Agg prdcrv'!$A12,IF('AEO 2012 prdcrv'!$H$7:$H$2000="2005",IF('AEO 2012 prdcrv'!$I$7:$I$2000="Quantities",'AEO 2012 prdcrv'!B$7:B$2000,0))))</f>
        <v>71.38</v>
      </c>
      <c r="E12" s="205">
        <f t="array" ref="E12">SUM(IF('AEO 2012 prdcrv'!$A$7:$A$2000='Agg prdcrv'!$A12,IF('AEO 2012 prdcrv'!$H$7:$H$2000="2005",IF('AEO 2012 prdcrv'!$I$7:$I$2000="Quantities",'AEO 2012 prdcrv'!C$7:C$2000,0))))</f>
        <v>1.1299999999999999</v>
      </c>
      <c r="F12" s="205">
        <f t="array" ref="F12">SUM(IF('AEO 2012 prdcrv'!$A$7:$A$2000='Agg prdcrv'!$A12,IF('AEO 2012 prdcrv'!$H$7:$H$2000="2005",IF('AEO 2012 prdcrv'!$I$7:$I$2000="Quantities",'AEO 2012 prdcrv'!D$7:D$2000,0))))</f>
        <v>16.05</v>
      </c>
      <c r="G12" s="205">
        <f t="array" ref="G12">SUM(IF('AEO 2012 prdcrv'!$A$7:$A$2000='Agg prdcrv'!$A12,IF('AEO 2012 prdcrv'!$H$7:$H$2000="2005",IF('AEO 2012 prdcrv'!$I$7:$I$2000="Quantities",'AEO 2012 prdcrv'!E$7:E$2000,0))))</f>
        <v>0.43</v>
      </c>
      <c r="H12" s="205">
        <f t="array" ref="H12">SUM(IF('AEO 2012 prdcrv'!$A$7:$A$2000='Agg prdcrv'!$A12,IF('AEO 2012 prdcrv'!$H$7:$H$2000="2005",IF('AEO 2012 prdcrv'!$I$7:$I$2000="Quantities",'AEO 2012 prdcrv'!F$7:F$2000,0))))</f>
        <v>100.3</v>
      </c>
      <c r="J12" s="205">
        <v>2005</v>
      </c>
      <c r="K12" s="205">
        <v>1</v>
      </c>
      <c r="L12" s="205">
        <f t="array" ref="L12">SUM(IF('AEO 2012 prdcrv'!$A$7:$A$2000='Agg prdcrv'!$A12,IF('AEO 2012 prdcrv'!$H$7:$H$2000="2005",IF('AEO 2012 prdcrv'!$I$7:$I$2000="Prices",'AEO 2012 prdcrv'!B$7:B$2000,0))))</f>
        <v>44.02</v>
      </c>
      <c r="M12" s="205">
        <f t="array" ref="M12">SUM(IF('AEO 2012 prdcrv'!$A$7:$A$2000='Agg prdcrv'!$A12,IF('AEO 2012 prdcrv'!$H$7:$H$2000="2005",IF('AEO 2012 prdcrv'!$I$7:$I$2000="Prices",'AEO 2012 prdcrv'!C$7:C$2000,0))))</f>
        <v>43.72</v>
      </c>
      <c r="N12" s="205">
        <f t="array" ref="N12">SUM(IF('AEO 2012 prdcrv'!$A$7:$A$2000='Agg prdcrv'!$A12,IF('AEO 2012 prdcrv'!$H$7:$H$2000="2005",IF('AEO 2012 prdcrv'!$I$7:$I$2000="Prices",'AEO 2012 prdcrv'!D$7:D$2000,0))))</f>
        <v>43.27</v>
      </c>
      <c r="O12" s="205">
        <f t="array" ref="O12">SUM(IF('AEO 2012 prdcrv'!$A$7:$A$2000='Agg prdcrv'!$A12,IF('AEO 2012 prdcrv'!$H$7:$H$2000="2005",IF('AEO 2012 prdcrv'!$I$7:$I$2000="Prices",'AEO 2012 prdcrv'!E$7:E$2000,0))))</f>
        <v>55.7</v>
      </c>
      <c r="P12" s="205">
        <f t="array" ref="P12">SUM(IF('AEO 2012 prdcrv'!$A$7:$A$2000='Agg prdcrv'!$A12,IF('AEO 2012 prdcrv'!$H$7:$H$2000="2005",IF('AEO 2012 prdcrv'!$I$7:$I$2000="Prices",'AEO 2012 prdcrv'!F$7:F$2000,0))))</f>
        <v>51.43</v>
      </c>
    </row>
    <row r="13" spans="1:24">
      <c r="A13" s="195" t="s">
        <v>456</v>
      </c>
      <c r="B13" s="205">
        <v>2005</v>
      </c>
      <c r="C13" s="205">
        <v>1</v>
      </c>
      <c r="D13" s="205">
        <f t="array" ref="D13">SUM(IF('AEO 2012 prdcrv'!$A$7:$A$2000='Agg prdcrv'!$A13,IF('AEO 2012 prdcrv'!$H$7:$H$2000="2005",IF('AEO 2012 prdcrv'!$I$7:$I$2000="Quantities",'AEO 2012 prdcrv'!B$7:B$2000,0))))</f>
        <v>60.35</v>
      </c>
      <c r="E13" s="205">
        <f t="array" ref="E13">SUM(IF('AEO 2012 prdcrv'!$A$7:$A$2000='Agg prdcrv'!$A13,IF('AEO 2012 prdcrv'!$H$7:$H$2000="2005",IF('AEO 2012 prdcrv'!$I$7:$I$2000="Quantities",'AEO 2012 prdcrv'!C$7:C$2000,0))))</f>
        <v>140.19999999999999</v>
      </c>
      <c r="F13" s="205">
        <f t="array" ref="F13">SUM(IF('AEO 2012 prdcrv'!$A$7:$A$2000='Agg prdcrv'!$A13,IF('AEO 2012 prdcrv'!$H$7:$H$2000="2005",IF('AEO 2012 prdcrv'!$I$7:$I$2000="Quantities",'AEO 2012 prdcrv'!D$7:D$2000,0))))</f>
        <v>191.43</v>
      </c>
      <c r="G13" s="205">
        <f t="array" ref="G13">SUM(IF('AEO 2012 prdcrv'!$A$7:$A$2000='Agg prdcrv'!$A13,IF('AEO 2012 prdcrv'!$H$7:$H$2000="2005",IF('AEO 2012 prdcrv'!$I$7:$I$2000="Quantities",'AEO 2012 prdcrv'!E$7:E$2000,0))))</f>
        <v>18.350000000000001</v>
      </c>
      <c r="H13" s="205">
        <f t="array" ref="H13">SUM(IF('AEO 2012 prdcrv'!$A$7:$A$2000='Agg prdcrv'!$A13,IF('AEO 2012 prdcrv'!$H$7:$H$2000="2005",IF('AEO 2012 prdcrv'!$I$7:$I$2000="Quantities",'AEO 2012 prdcrv'!F$7:F$2000,0))))</f>
        <v>7.33</v>
      </c>
      <c r="J13" s="205">
        <v>2005</v>
      </c>
      <c r="K13" s="205">
        <v>1</v>
      </c>
      <c r="L13" s="205">
        <f t="array" ref="L13">SUM(IF('AEO 2012 prdcrv'!$A$7:$A$2000='Agg prdcrv'!$A13,IF('AEO 2012 prdcrv'!$H$7:$H$2000="2005",IF('AEO 2012 prdcrv'!$I$7:$I$2000="Prices",'AEO 2012 prdcrv'!B$7:B$2000,0))))</f>
        <v>28.81</v>
      </c>
      <c r="M13" s="205">
        <f t="array" ref="M13">SUM(IF('AEO 2012 prdcrv'!$A$7:$A$2000='Agg prdcrv'!$A13,IF('AEO 2012 prdcrv'!$H$7:$H$2000="2005",IF('AEO 2012 prdcrv'!$I$7:$I$2000="Prices",'AEO 2012 prdcrv'!C$7:C$2000,0))))</f>
        <v>28.81</v>
      </c>
      <c r="N13" s="205">
        <f t="array" ref="N13">SUM(IF('AEO 2012 prdcrv'!$A$7:$A$2000='Agg prdcrv'!$A13,IF('AEO 2012 prdcrv'!$H$7:$H$2000="2005",IF('AEO 2012 prdcrv'!$I$7:$I$2000="Prices",'AEO 2012 prdcrv'!D$7:D$2000,0))))</f>
        <v>28.81</v>
      </c>
      <c r="O13" s="205">
        <f t="array" ref="O13">SUM(IF('AEO 2012 prdcrv'!$A$7:$A$2000='Agg prdcrv'!$A13,IF('AEO 2012 prdcrv'!$H$7:$H$2000="2005",IF('AEO 2012 prdcrv'!$I$7:$I$2000="Prices",'AEO 2012 prdcrv'!E$7:E$2000,0))))</f>
        <v>28.81</v>
      </c>
      <c r="P13" s="205">
        <f t="array" ref="P13">SUM(IF('AEO 2012 prdcrv'!$A$7:$A$2000='Agg prdcrv'!$A13,IF('AEO 2012 prdcrv'!$H$7:$H$2000="2005",IF('AEO 2012 prdcrv'!$I$7:$I$2000="Prices",'AEO 2012 prdcrv'!F$7:F$2000,0))))</f>
        <v>28.81</v>
      </c>
    </row>
    <row r="14" spans="1:24">
      <c r="A14" s="195" t="s">
        <v>35</v>
      </c>
      <c r="B14" s="205">
        <v>2005</v>
      </c>
      <c r="C14" s="205">
        <v>1</v>
      </c>
      <c r="D14" s="205">
        <f t="array" ref="D14">SUM(IF('AEO 2012 prdcrv'!$A$7:$A$2000='Agg prdcrv'!$A14,IF('AEO 2012 prdcrv'!$H$7:$H$2000="2005",IF('AEO 2012 prdcrv'!$I$7:$I$2000="Quantities",'AEO 2012 prdcrv'!B$7:B$2000,0))))</f>
        <v>4</v>
      </c>
      <c r="E14" s="205">
        <f t="array" ref="E14">SUM(IF('AEO 2012 prdcrv'!$A$7:$A$2000='Agg prdcrv'!$A14,IF('AEO 2012 prdcrv'!$H$7:$H$2000="2005",IF('AEO 2012 prdcrv'!$I$7:$I$2000="Quantities",'AEO 2012 prdcrv'!C$7:C$2000,0))))</f>
        <v>1</v>
      </c>
      <c r="F14" s="205">
        <f t="array" ref="F14">SUM(IF('AEO 2012 prdcrv'!$A$7:$A$2000='Agg prdcrv'!$A14,IF('AEO 2012 prdcrv'!$H$7:$H$2000="2005",IF('AEO 2012 prdcrv'!$I$7:$I$2000="Quantities",'AEO 2012 prdcrv'!D$7:D$2000,0))))</f>
        <v>293</v>
      </c>
      <c r="G14" s="205">
        <f t="array" ref="G14">SUM(IF('AEO 2012 prdcrv'!$A$7:$A$2000='Agg prdcrv'!$A14,IF('AEO 2012 prdcrv'!$H$7:$H$2000="2005",IF('AEO 2012 prdcrv'!$I$7:$I$2000="Quantities",'AEO 2012 prdcrv'!E$7:E$2000,0))))</f>
        <v>0</v>
      </c>
      <c r="H14" s="205">
        <f t="array" ref="H14">SUM(IF('AEO 2012 prdcrv'!$A$7:$A$2000='Agg prdcrv'!$A14,IF('AEO 2012 prdcrv'!$H$7:$H$2000="2005",IF('AEO 2012 prdcrv'!$I$7:$I$2000="Quantities",'AEO 2012 prdcrv'!F$7:F$2000,0))))</f>
        <v>0</v>
      </c>
      <c r="J14" s="205">
        <v>2005</v>
      </c>
      <c r="K14" s="205">
        <v>1</v>
      </c>
      <c r="L14" s="205">
        <f t="array" ref="L14">SUM(IF('AEO 2012 prdcrv'!$A$7:$A$2000='Agg prdcrv'!$A14,IF('AEO 2012 prdcrv'!$H$7:$H$2000="2005",IF('AEO 2012 prdcrv'!$I$7:$I$2000="Prices",'AEO 2012 prdcrv'!B$7:B$2000,0))))</f>
        <v>37.479999999999997</v>
      </c>
      <c r="M14" s="205">
        <f t="array" ref="M14">SUM(IF('AEO 2012 prdcrv'!$A$7:$A$2000='Agg prdcrv'!$A14,IF('AEO 2012 prdcrv'!$H$7:$H$2000="2005",IF('AEO 2012 prdcrv'!$I$7:$I$2000="Prices",'AEO 2012 prdcrv'!C$7:C$2000,0))))</f>
        <v>37.119999999999997</v>
      </c>
      <c r="N14" s="205">
        <f t="array" ref="N14">SUM(IF('AEO 2012 prdcrv'!$A$7:$A$2000='Agg prdcrv'!$A14,IF('AEO 2012 prdcrv'!$H$7:$H$2000="2005",IF('AEO 2012 prdcrv'!$I$7:$I$2000="Prices",'AEO 2012 prdcrv'!D$7:D$2000,0))))</f>
        <v>36.340000000000003</v>
      </c>
      <c r="O14" s="205">
        <f t="array" ref="O14">SUM(IF('AEO 2012 prdcrv'!$A$7:$A$2000='Agg prdcrv'!$A14,IF('AEO 2012 prdcrv'!$H$7:$H$2000="2005",IF('AEO 2012 prdcrv'!$I$7:$I$2000="Prices",'AEO 2012 prdcrv'!E$7:E$2000,0))))</f>
        <v>36.28</v>
      </c>
      <c r="P14" s="205">
        <f t="array" ref="P14">SUM(IF('AEO 2012 prdcrv'!$A$7:$A$2000='Agg prdcrv'!$A14,IF('AEO 2012 prdcrv'!$H$7:$H$2000="2005",IF('AEO 2012 prdcrv'!$I$7:$I$2000="Prices",'AEO 2012 prdcrv'!F$7:F$2000,0))))</f>
        <v>28.81</v>
      </c>
    </row>
    <row r="15" spans="1:24">
      <c r="A15" s="195" t="s">
        <v>31</v>
      </c>
      <c r="B15" s="205">
        <v>2005</v>
      </c>
      <c r="C15" s="205">
        <v>1</v>
      </c>
      <c r="D15" s="205">
        <f t="array" ref="D15">SUM(IF('AEO 2012 prdcrv'!$A$7:$A$2000='Agg prdcrv'!$A15,IF('AEO 2012 prdcrv'!$H$7:$H$2000="2005",IF('AEO 2012 prdcrv'!$I$7:$I$2000="Quantities",'AEO 2012 prdcrv'!B$7:B$2000,0))))</f>
        <v>440</v>
      </c>
      <c r="E15" s="205">
        <f t="array" ref="E15">SUM(IF('AEO 2012 prdcrv'!$A$7:$A$2000='Agg prdcrv'!$A15,IF('AEO 2012 prdcrv'!$H$7:$H$2000="2005",IF('AEO 2012 prdcrv'!$I$7:$I$2000="Quantities",'AEO 2012 prdcrv'!C$7:C$2000,0))))</f>
        <v>7</v>
      </c>
      <c r="F15" s="205">
        <f t="array" ref="F15">SUM(IF('AEO 2012 prdcrv'!$A$7:$A$2000='Agg prdcrv'!$A15,IF('AEO 2012 prdcrv'!$H$7:$H$2000="2005",IF('AEO 2012 prdcrv'!$I$7:$I$2000="Quantities",'AEO 2012 prdcrv'!D$7:D$2000,0))))</f>
        <v>109</v>
      </c>
      <c r="G15" s="205">
        <f t="array" ref="G15">SUM(IF('AEO 2012 prdcrv'!$A$7:$A$2000='Agg prdcrv'!$A15,IF('AEO 2012 prdcrv'!$H$7:$H$2000="2005",IF('AEO 2012 prdcrv'!$I$7:$I$2000="Quantities",'AEO 2012 prdcrv'!E$7:E$2000,0))))</f>
        <v>1</v>
      </c>
      <c r="H15" s="205">
        <f t="array" ref="H15">SUM(IF('AEO 2012 prdcrv'!$A$7:$A$2000='Agg prdcrv'!$A15,IF('AEO 2012 prdcrv'!$H$7:$H$2000="2005",IF('AEO 2012 prdcrv'!$I$7:$I$2000="Quantities",'AEO 2012 prdcrv'!F$7:F$2000,0))))</f>
        <v>42</v>
      </c>
      <c r="J15" s="205">
        <v>2005</v>
      </c>
      <c r="K15" s="205">
        <v>1</v>
      </c>
      <c r="L15" s="205">
        <f t="array" ref="L15">SUM(IF('AEO 2012 prdcrv'!$A$7:$A$2000='Agg prdcrv'!$A15,IF('AEO 2012 prdcrv'!$H$7:$H$2000="2005",IF('AEO 2012 prdcrv'!$I$7:$I$2000="Prices",'AEO 2012 prdcrv'!B$7:B$2000,0))))</f>
        <v>59.93</v>
      </c>
      <c r="M15" s="205">
        <f t="array" ref="M15">SUM(IF('AEO 2012 prdcrv'!$A$7:$A$2000='Agg prdcrv'!$A15,IF('AEO 2012 prdcrv'!$H$7:$H$2000="2005",IF('AEO 2012 prdcrv'!$I$7:$I$2000="Prices",'AEO 2012 prdcrv'!C$7:C$2000,0))))</f>
        <v>59.93</v>
      </c>
      <c r="N15" s="205">
        <f t="array" ref="N15">SUM(IF('AEO 2012 prdcrv'!$A$7:$A$2000='Agg prdcrv'!$A15,IF('AEO 2012 prdcrv'!$H$7:$H$2000="2005",IF('AEO 2012 prdcrv'!$I$7:$I$2000="Prices",'AEO 2012 prdcrv'!D$7:D$2000,0))))</f>
        <v>60.59</v>
      </c>
      <c r="O15" s="205">
        <f t="array" ref="O15">SUM(IF('AEO 2012 prdcrv'!$A$7:$A$2000='Agg prdcrv'!$A15,IF('AEO 2012 prdcrv'!$H$7:$H$2000="2005",IF('AEO 2012 prdcrv'!$I$7:$I$2000="Prices",'AEO 2012 prdcrv'!E$7:E$2000,0))))</f>
        <v>60.09</v>
      </c>
      <c r="P15" s="205">
        <f t="array" ref="P15">SUM(IF('AEO 2012 prdcrv'!$A$7:$A$2000='Agg prdcrv'!$A15,IF('AEO 2012 prdcrv'!$H$7:$H$2000="2005",IF('AEO 2012 prdcrv'!$I$7:$I$2000="Prices",'AEO 2012 prdcrv'!F$7:F$2000,0))))</f>
        <v>60.09</v>
      </c>
    </row>
    <row r="16" spans="1:24">
      <c r="A16" s="195" t="s">
        <v>458</v>
      </c>
      <c r="B16" s="205">
        <v>2005</v>
      </c>
      <c r="C16" s="205">
        <v>1</v>
      </c>
      <c r="D16" s="205">
        <f t="array" ref="D16">SUM(IF('AEO 2012 prdcrv'!$A$7:$A$2000='Agg prdcrv'!$A16,IF('AEO 2012 prdcrv'!$H$7:$H$2000="2005",IF('AEO 2012 prdcrv'!$I$7:$I$2000="Quantities",'AEO 2012 prdcrv'!B$7:B$2000,0))))</f>
        <v>0.62</v>
      </c>
      <c r="E16" s="205">
        <f t="array" ref="E16">SUM(IF('AEO 2012 prdcrv'!$A$7:$A$2000='Agg prdcrv'!$A16,IF('AEO 2012 prdcrv'!$H$7:$H$2000="2005",IF('AEO 2012 prdcrv'!$I$7:$I$2000="Quantities",'AEO 2012 prdcrv'!C$7:C$2000,0))))</f>
        <v>0</v>
      </c>
      <c r="F16" s="205">
        <f t="array" ref="F16">SUM(IF('AEO 2012 prdcrv'!$A$7:$A$2000='Agg prdcrv'!$A16,IF('AEO 2012 prdcrv'!$H$7:$H$2000="2005",IF('AEO 2012 prdcrv'!$I$7:$I$2000="Quantities",'AEO 2012 prdcrv'!D$7:D$2000,0))))</f>
        <v>0</v>
      </c>
      <c r="G16" s="205">
        <f t="array" ref="G16">SUM(IF('AEO 2012 prdcrv'!$A$7:$A$2000='Agg prdcrv'!$A16,IF('AEO 2012 prdcrv'!$H$7:$H$2000="2005",IF('AEO 2012 prdcrv'!$I$7:$I$2000="Quantities",'AEO 2012 prdcrv'!E$7:E$2000,0))))</f>
        <v>0</v>
      </c>
      <c r="H16" s="205">
        <f t="array" ref="H16">SUM(IF('AEO 2012 prdcrv'!$A$7:$A$2000='Agg prdcrv'!$A16,IF('AEO 2012 prdcrv'!$H$7:$H$2000="2005",IF('AEO 2012 prdcrv'!$I$7:$I$2000="Quantities",'AEO 2012 prdcrv'!F$7:F$2000,0))))</f>
        <v>0.86</v>
      </c>
      <c r="J16" s="205">
        <v>2005</v>
      </c>
      <c r="K16" s="205">
        <v>1</v>
      </c>
      <c r="L16" s="205">
        <f t="array" ref="L16">SUM(IF('AEO 2012 prdcrv'!$A$7:$A$2000='Agg prdcrv'!$A16,IF('AEO 2012 prdcrv'!$H$7:$H$2000="2005",IF('AEO 2012 prdcrv'!$I$7:$I$2000="Prices",'AEO 2012 prdcrv'!B$7:B$2000,0))))</f>
        <v>48.28</v>
      </c>
      <c r="M16" s="205">
        <f t="array" ref="M16">SUM(IF('AEO 2012 prdcrv'!$A$7:$A$2000='Agg prdcrv'!$A16,IF('AEO 2012 prdcrv'!$H$7:$H$2000="2005",IF('AEO 2012 prdcrv'!$I$7:$I$2000="Prices",'AEO 2012 prdcrv'!C$7:C$2000,0))))</f>
        <v>47.45</v>
      </c>
      <c r="N16" s="205">
        <f t="array" ref="N16">SUM(IF('AEO 2012 prdcrv'!$A$7:$A$2000='Agg prdcrv'!$A16,IF('AEO 2012 prdcrv'!$H$7:$H$2000="2005",IF('AEO 2012 prdcrv'!$I$7:$I$2000="Prices",'AEO 2012 prdcrv'!D$7:D$2000,0))))</f>
        <v>46.99</v>
      </c>
      <c r="O16" s="205">
        <f t="array" ref="O16">SUM(IF('AEO 2012 prdcrv'!$A$7:$A$2000='Agg prdcrv'!$A16,IF('AEO 2012 prdcrv'!$H$7:$H$2000="2005",IF('AEO 2012 prdcrv'!$I$7:$I$2000="Prices",'AEO 2012 prdcrv'!E$7:E$2000,0))))</f>
        <v>48.97</v>
      </c>
      <c r="P16" s="205">
        <f t="array" ref="P16">SUM(IF('AEO 2012 prdcrv'!$A$7:$A$2000='Agg prdcrv'!$A16,IF('AEO 2012 prdcrv'!$H$7:$H$2000="2005",IF('AEO 2012 prdcrv'!$I$7:$I$2000="Prices",'AEO 2012 prdcrv'!F$7:F$2000,0))))</f>
        <v>46.56</v>
      </c>
    </row>
    <row r="17" spans="1:16">
      <c r="A17" s="195" t="s">
        <v>148</v>
      </c>
      <c r="B17" s="205">
        <v>2005</v>
      </c>
      <c r="C17" s="205">
        <v>1</v>
      </c>
      <c r="D17" s="205">
        <f t="array" ref="D17">SUM(IF('AEO 2012 prdcrv'!$A$7:$A$2000='Agg prdcrv'!$A17,IF('AEO 2012 prdcrv'!$H$7:$H$2000="2005",IF('AEO 2012 prdcrv'!$I$7:$I$2000="Quantities",'AEO 2012 prdcrv'!B$7:B$2000,0))))</f>
        <v>33.68</v>
      </c>
      <c r="E17" s="205">
        <f t="array" ref="E17">SUM(IF('AEO 2012 prdcrv'!$A$7:$A$2000='Agg prdcrv'!$A17,IF('AEO 2012 prdcrv'!$H$7:$H$2000="2005",IF('AEO 2012 prdcrv'!$I$7:$I$2000="Quantities",'AEO 2012 prdcrv'!C$7:C$2000,0))))</f>
        <v>0</v>
      </c>
      <c r="F17" s="205">
        <f t="array" ref="F17">SUM(IF('AEO 2012 prdcrv'!$A$7:$A$2000='Agg prdcrv'!$A17,IF('AEO 2012 prdcrv'!$H$7:$H$2000="2005",IF('AEO 2012 prdcrv'!$I$7:$I$2000="Quantities",'AEO 2012 prdcrv'!D$7:D$2000,0))))</f>
        <v>4.72</v>
      </c>
      <c r="G17" s="205">
        <f t="array" ref="G17">SUM(IF('AEO 2012 prdcrv'!$A$7:$A$2000='Agg prdcrv'!$A17,IF('AEO 2012 prdcrv'!$H$7:$H$2000="2005",IF('AEO 2012 prdcrv'!$I$7:$I$2000="Quantities",'AEO 2012 prdcrv'!E$7:E$2000,0))))</f>
        <v>0</v>
      </c>
      <c r="H17" s="205">
        <f t="array" ref="H17">SUM(IF('AEO 2012 prdcrv'!$A$7:$A$2000='Agg prdcrv'!$A17,IF('AEO 2012 prdcrv'!$H$7:$H$2000="2005",IF('AEO 2012 prdcrv'!$I$7:$I$2000="Quantities",'AEO 2012 prdcrv'!F$7:F$2000,0))))</f>
        <v>65.25</v>
      </c>
      <c r="J17" s="205">
        <v>2005</v>
      </c>
      <c r="K17" s="205">
        <v>1</v>
      </c>
      <c r="L17" s="205">
        <f t="array" ref="L17">SUM(IF('AEO 2012 prdcrv'!$A$7:$A$2000='Agg prdcrv'!$A17,IF('AEO 2012 prdcrv'!$H$7:$H$2000="2005",IF('AEO 2012 prdcrv'!$I$7:$I$2000="Prices",'AEO 2012 prdcrv'!B$7:B$2000,0))))</f>
        <v>60.65</v>
      </c>
      <c r="M17" s="205">
        <f t="array" ref="M17">SUM(IF('AEO 2012 prdcrv'!$A$7:$A$2000='Agg prdcrv'!$A17,IF('AEO 2012 prdcrv'!$H$7:$H$2000="2005",IF('AEO 2012 prdcrv'!$I$7:$I$2000="Prices",'AEO 2012 prdcrv'!C$7:C$2000,0))))</f>
        <v>58.57</v>
      </c>
      <c r="N17" s="205">
        <f t="array" ref="N17">SUM(IF('AEO 2012 prdcrv'!$A$7:$A$2000='Agg prdcrv'!$A17,IF('AEO 2012 prdcrv'!$H$7:$H$2000="2005",IF('AEO 2012 prdcrv'!$I$7:$I$2000="Prices",'AEO 2012 prdcrv'!D$7:D$2000,0))))</f>
        <v>58.16</v>
      </c>
      <c r="O17" s="205">
        <f t="array" ref="O17">SUM(IF('AEO 2012 prdcrv'!$A$7:$A$2000='Agg prdcrv'!$A17,IF('AEO 2012 prdcrv'!$H$7:$H$2000="2005",IF('AEO 2012 prdcrv'!$I$7:$I$2000="Prices",'AEO 2012 prdcrv'!E$7:E$2000,0))))</f>
        <v>60.83</v>
      </c>
      <c r="P17" s="205">
        <f t="array" ref="P17">SUM(IF('AEO 2012 prdcrv'!$A$7:$A$2000='Agg prdcrv'!$A17,IF('AEO 2012 prdcrv'!$H$7:$H$2000="2005",IF('AEO 2012 prdcrv'!$I$7:$I$2000="Prices",'AEO 2012 prdcrv'!F$7:F$2000,0))))</f>
        <v>58.19</v>
      </c>
    </row>
    <row r="18" spans="1:16">
      <c r="A18" s="195" t="s">
        <v>149</v>
      </c>
      <c r="B18" s="205">
        <v>2005</v>
      </c>
      <c r="C18" s="205">
        <v>1</v>
      </c>
      <c r="D18" s="205">
        <f t="array" ref="D18">SUM(IF('AEO 2012 prdcrv'!$A$7:$A$2000='Agg prdcrv'!$A18,IF('AEO 2012 prdcrv'!$H$7:$H$2000="2005",IF('AEO 2012 prdcrv'!$I$7:$I$2000="Quantities",'AEO 2012 prdcrv'!B$7:B$2000,0))))</f>
        <v>74.16</v>
      </c>
      <c r="E18" s="205">
        <f t="array" ref="E18">SUM(IF('AEO 2012 prdcrv'!$A$7:$A$2000='Agg prdcrv'!$A18,IF('AEO 2012 prdcrv'!$H$7:$H$2000="2005",IF('AEO 2012 prdcrv'!$I$7:$I$2000="Quantities",'AEO 2012 prdcrv'!C$7:C$2000,0))))</f>
        <v>1</v>
      </c>
      <c r="F18" s="205">
        <f t="array" ref="F18">SUM(IF('AEO 2012 prdcrv'!$A$7:$A$2000='Agg prdcrv'!$A18,IF('AEO 2012 prdcrv'!$H$7:$H$2000="2005",IF('AEO 2012 prdcrv'!$I$7:$I$2000="Quantities",'AEO 2012 prdcrv'!D$7:D$2000,0))))</f>
        <v>1.97</v>
      </c>
      <c r="G18" s="205">
        <f t="array" ref="G18">SUM(IF('AEO 2012 prdcrv'!$A$7:$A$2000='Agg prdcrv'!$A18,IF('AEO 2012 prdcrv'!$H$7:$H$2000="2005",IF('AEO 2012 prdcrv'!$I$7:$I$2000="Quantities",'AEO 2012 prdcrv'!E$7:E$2000,0))))</f>
        <v>1</v>
      </c>
      <c r="H18" s="205">
        <f t="array" ref="H18">SUM(IF('AEO 2012 prdcrv'!$A$7:$A$2000='Agg prdcrv'!$A18,IF('AEO 2012 prdcrv'!$H$7:$H$2000="2005",IF('AEO 2012 prdcrv'!$I$7:$I$2000="Quantities",'AEO 2012 prdcrv'!F$7:F$2000,0))))</f>
        <v>20.43</v>
      </c>
      <c r="J18" s="205">
        <v>2005</v>
      </c>
      <c r="K18" s="205">
        <v>1</v>
      </c>
      <c r="L18" s="205">
        <f t="array" ref="L18">SUM(IF('AEO 2012 prdcrv'!$A$7:$A$2000='Agg prdcrv'!$A18,IF('AEO 2012 prdcrv'!$H$7:$H$2000="2005",IF('AEO 2012 prdcrv'!$I$7:$I$2000="Prices",'AEO 2012 prdcrv'!B$7:B$2000,0))))</f>
        <v>52.75</v>
      </c>
      <c r="M18" s="205">
        <f t="array" ref="M18">SUM(IF('AEO 2012 prdcrv'!$A$7:$A$2000='Agg prdcrv'!$A18,IF('AEO 2012 prdcrv'!$H$7:$H$2000="2005",IF('AEO 2012 prdcrv'!$I$7:$I$2000="Prices",'AEO 2012 prdcrv'!C$7:C$2000,0))))</f>
        <v>52.07</v>
      </c>
      <c r="N18" s="205">
        <f t="array" ref="N18">SUM(IF('AEO 2012 prdcrv'!$A$7:$A$2000='Agg prdcrv'!$A18,IF('AEO 2012 prdcrv'!$H$7:$H$2000="2005",IF('AEO 2012 prdcrv'!$I$7:$I$2000="Prices",'AEO 2012 prdcrv'!D$7:D$2000,0))))</f>
        <v>51.76</v>
      </c>
      <c r="O18" s="205">
        <f t="array" ref="O18">SUM(IF('AEO 2012 prdcrv'!$A$7:$A$2000='Agg prdcrv'!$A18,IF('AEO 2012 prdcrv'!$H$7:$H$2000="2005",IF('AEO 2012 prdcrv'!$I$7:$I$2000="Prices",'AEO 2012 prdcrv'!E$7:E$2000,0))))</f>
        <v>56.99</v>
      </c>
      <c r="P18" s="205">
        <f t="array" ref="P18">SUM(IF('AEO 2012 prdcrv'!$A$7:$A$2000='Agg prdcrv'!$A18,IF('AEO 2012 prdcrv'!$H$7:$H$2000="2005",IF('AEO 2012 prdcrv'!$I$7:$I$2000="Prices",'AEO 2012 prdcrv'!F$7:F$2000,0))))</f>
        <v>55.34</v>
      </c>
    </row>
    <row r="19" spans="1:16">
      <c r="A19" s="195" t="s">
        <v>19</v>
      </c>
      <c r="B19" s="205">
        <v>2005</v>
      </c>
      <c r="C19" s="205">
        <v>1</v>
      </c>
      <c r="D19" s="205">
        <f t="array" ref="D19">SUM(IF('AEO 2012 prdcrv'!$A$7:$A$2000='Agg prdcrv'!$A19,IF('AEO 2012 prdcrv'!$H$7:$H$2000="2005",IF('AEO 2012 prdcrv'!$I$7:$I$2000="Quantities",'AEO 2012 prdcrv'!B$7:B$2000,0))))</f>
        <v>21.38</v>
      </c>
      <c r="E19" s="205">
        <f t="array" ref="E19">SUM(IF('AEO 2012 prdcrv'!$A$7:$A$2000='Agg prdcrv'!$A19,IF('AEO 2012 prdcrv'!$H$7:$H$2000="2005",IF('AEO 2012 prdcrv'!$I$7:$I$2000="Quantities",'AEO 2012 prdcrv'!C$7:C$2000,0))))</f>
        <v>0</v>
      </c>
      <c r="F19" s="205">
        <f t="array" ref="F19">SUM(IF('AEO 2012 prdcrv'!$A$7:$A$2000='Agg prdcrv'!$A19,IF('AEO 2012 prdcrv'!$H$7:$H$2000="2005",IF('AEO 2012 prdcrv'!$I$7:$I$2000="Quantities",'AEO 2012 prdcrv'!D$7:D$2000,0))))</f>
        <v>3.05</v>
      </c>
      <c r="G19" s="205">
        <f t="array" ref="G19">SUM(IF('AEO 2012 prdcrv'!$A$7:$A$2000='Agg prdcrv'!$A19,IF('AEO 2012 prdcrv'!$H$7:$H$2000="2005",IF('AEO 2012 prdcrv'!$I$7:$I$2000="Quantities",'AEO 2012 prdcrv'!E$7:E$2000,0))))</f>
        <v>0</v>
      </c>
      <c r="H19" s="205">
        <f t="array" ref="H19">SUM(IF('AEO 2012 prdcrv'!$A$7:$A$2000='Agg prdcrv'!$A19,IF('AEO 2012 prdcrv'!$H$7:$H$2000="2005",IF('AEO 2012 prdcrv'!$I$7:$I$2000="Quantities",'AEO 2012 prdcrv'!F$7:F$2000,0))))</f>
        <v>4.3499999999999996</v>
      </c>
      <c r="J19" s="205">
        <v>2005</v>
      </c>
      <c r="K19" s="205">
        <v>1</v>
      </c>
      <c r="L19" s="205">
        <f t="array" ref="L19">SUM(IF('AEO 2012 prdcrv'!$A$7:$A$2000='Agg prdcrv'!$A19,IF('AEO 2012 prdcrv'!$H$7:$H$2000="2005",IF('AEO 2012 prdcrv'!$I$7:$I$2000="Prices",'AEO 2012 prdcrv'!B$7:B$2000,0))))</f>
        <v>57.53</v>
      </c>
      <c r="M19" s="205">
        <f t="array" ref="M19">SUM(IF('AEO 2012 prdcrv'!$A$7:$A$2000='Agg prdcrv'!$A19,IF('AEO 2012 prdcrv'!$H$7:$H$2000="2005",IF('AEO 2012 prdcrv'!$I$7:$I$2000="Prices",'AEO 2012 prdcrv'!C$7:C$2000,0))))</f>
        <v>57.76</v>
      </c>
      <c r="N19" s="205">
        <f t="array" ref="N19">SUM(IF('AEO 2012 prdcrv'!$A$7:$A$2000='Agg prdcrv'!$A19,IF('AEO 2012 prdcrv'!$H$7:$H$2000="2005",IF('AEO 2012 prdcrv'!$I$7:$I$2000="Prices",'AEO 2012 prdcrv'!D$7:D$2000,0))))</f>
        <v>56.78</v>
      </c>
      <c r="O19" s="205">
        <f t="array" ref="O19">SUM(IF('AEO 2012 prdcrv'!$A$7:$A$2000='Agg prdcrv'!$A19,IF('AEO 2012 prdcrv'!$H$7:$H$2000="2005",IF('AEO 2012 prdcrv'!$I$7:$I$2000="Prices",'AEO 2012 prdcrv'!E$7:E$2000,0))))</f>
        <v>68.39</v>
      </c>
      <c r="P19" s="205">
        <f t="array" ref="P19">SUM(IF('AEO 2012 prdcrv'!$A$7:$A$2000='Agg prdcrv'!$A19,IF('AEO 2012 prdcrv'!$H$7:$H$2000="2005",IF('AEO 2012 prdcrv'!$I$7:$I$2000="Prices",'AEO 2012 prdcrv'!F$7:F$2000,0))))</f>
        <v>64.040000000000006</v>
      </c>
    </row>
    <row r="20" spans="1:16">
      <c r="A20" s="195" t="s">
        <v>150</v>
      </c>
      <c r="B20" s="205">
        <v>2005</v>
      </c>
      <c r="C20" s="205">
        <v>1</v>
      </c>
      <c r="D20" s="205">
        <f t="array" ref="D20">SUM(IF('AEO 2012 prdcrv'!$A$7:$A$2000='Agg prdcrv'!$A20,IF('AEO 2012 prdcrv'!$H$7:$H$2000="2005",IF('AEO 2012 prdcrv'!$I$7:$I$2000="Quantities",'AEO 2012 prdcrv'!B$7:B$2000,0))))</f>
        <v>18.61</v>
      </c>
      <c r="E20" s="205">
        <f t="array" ref="E20">SUM(IF('AEO 2012 prdcrv'!$A$7:$A$2000='Agg prdcrv'!$A20,IF('AEO 2012 prdcrv'!$H$7:$H$2000="2005",IF('AEO 2012 prdcrv'!$I$7:$I$2000="Quantities",'AEO 2012 prdcrv'!C$7:C$2000,0))))</f>
        <v>0</v>
      </c>
      <c r="F20" s="205">
        <f t="array" ref="F20">SUM(IF('AEO 2012 prdcrv'!$A$7:$A$2000='Agg prdcrv'!$A20,IF('AEO 2012 prdcrv'!$H$7:$H$2000="2005",IF('AEO 2012 prdcrv'!$I$7:$I$2000="Quantities",'AEO 2012 prdcrv'!D$7:D$2000,0))))</f>
        <v>140.25</v>
      </c>
      <c r="G20" s="205">
        <f t="array" ref="G20">SUM(IF('AEO 2012 prdcrv'!$A$7:$A$2000='Agg prdcrv'!$A20,IF('AEO 2012 prdcrv'!$H$7:$H$2000="2005",IF('AEO 2012 prdcrv'!$I$7:$I$2000="Quantities",'AEO 2012 prdcrv'!E$7:E$2000,0))))</f>
        <v>0</v>
      </c>
      <c r="H20" s="205">
        <f t="array" ref="H20">SUM(IF('AEO 2012 prdcrv'!$A$7:$A$2000='Agg prdcrv'!$A20,IF('AEO 2012 prdcrv'!$H$7:$H$2000="2005",IF('AEO 2012 prdcrv'!$I$7:$I$2000="Quantities",'AEO 2012 prdcrv'!F$7:F$2000,0))))</f>
        <v>28.07</v>
      </c>
      <c r="J20" s="205">
        <v>2005</v>
      </c>
      <c r="K20" s="205">
        <v>1</v>
      </c>
      <c r="L20" s="205">
        <f t="array" ref="L20">SUM(IF('AEO 2012 prdcrv'!$A$7:$A$2000='Agg prdcrv'!$A20,IF('AEO 2012 prdcrv'!$H$7:$H$2000="2005",IF('AEO 2012 prdcrv'!$I$7:$I$2000="Prices",'AEO 2012 prdcrv'!B$7:B$2000,0))))</f>
        <v>26.15</v>
      </c>
      <c r="M20" s="205">
        <f t="array" ref="M20">SUM(IF('AEO 2012 prdcrv'!$A$7:$A$2000='Agg prdcrv'!$A20,IF('AEO 2012 prdcrv'!$H$7:$H$2000="2005",IF('AEO 2012 prdcrv'!$I$7:$I$2000="Prices",'AEO 2012 prdcrv'!C$7:C$2000,0))))</f>
        <v>26.25</v>
      </c>
      <c r="N20" s="205">
        <f t="array" ref="N20">SUM(IF('AEO 2012 prdcrv'!$A$7:$A$2000='Agg prdcrv'!$A20,IF('AEO 2012 prdcrv'!$H$7:$H$2000="2005",IF('AEO 2012 prdcrv'!$I$7:$I$2000="Prices",'AEO 2012 prdcrv'!D$7:D$2000,0))))</f>
        <v>25.81</v>
      </c>
      <c r="O20" s="205">
        <f t="array" ref="O20">SUM(IF('AEO 2012 prdcrv'!$A$7:$A$2000='Agg prdcrv'!$A20,IF('AEO 2012 prdcrv'!$H$7:$H$2000="2005",IF('AEO 2012 prdcrv'!$I$7:$I$2000="Prices",'AEO 2012 prdcrv'!E$7:E$2000,0))))</f>
        <v>31.09</v>
      </c>
      <c r="P20" s="205">
        <f t="array" ref="P20">SUM(IF('AEO 2012 prdcrv'!$A$7:$A$2000='Agg prdcrv'!$A20,IF('AEO 2012 prdcrv'!$H$7:$H$2000="2005",IF('AEO 2012 prdcrv'!$I$7:$I$2000="Prices",'AEO 2012 prdcrv'!F$7:F$2000,0))))</f>
        <v>29.11</v>
      </c>
    </row>
    <row r="21" spans="1:16">
      <c r="A21" s="195" t="s">
        <v>151</v>
      </c>
      <c r="B21" s="205">
        <v>2005</v>
      </c>
      <c r="C21" s="205">
        <v>1</v>
      </c>
      <c r="D21" s="205">
        <f t="array" ref="D21">SUM(IF('AEO 2012 prdcrv'!$A$7:$A$2000='Agg prdcrv'!$A21,IF('AEO 2012 prdcrv'!$H$7:$H$2000="2005",IF('AEO 2012 prdcrv'!$I$7:$I$2000="Quantities",'AEO 2012 prdcrv'!B$7:B$2000,0))))</f>
        <v>16.239999999999998</v>
      </c>
      <c r="E21" s="205">
        <f t="array" ref="E21">SUM(IF('AEO 2012 prdcrv'!$A$7:$A$2000='Agg prdcrv'!$A21,IF('AEO 2012 prdcrv'!$H$7:$H$2000="2005",IF('AEO 2012 prdcrv'!$I$7:$I$2000="Quantities",'AEO 2012 prdcrv'!C$7:C$2000,0))))</f>
        <v>1.39</v>
      </c>
      <c r="F21" s="205">
        <f t="array" ref="F21">SUM(IF('AEO 2012 prdcrv'!$A$7:$A$2000='Agg prdcrv'!$A21,IF('AEO 2012 prdcrv'!$H$7:$H$2000="2005",IF('AEO 2012 prdcrv'!$I$7:$I$2000="Quantities",'AEO 2012 prdcrv'!D$7:D$2000,0))))</f>
        <v>365.56</v>
      </c>
      <c r="G21" s="205">
        <f t="array" ref="G21">SUM(IF('AEO 2012 prdcrv'!$A$7:$A$2000='Agg prdcrv'!$A21,IF('AEO 2012 prdcrv'!$H$7:$H$2000="2005",IF('AEO 2012 prdcrv'!$I$7:$I$2000="Quantities",'AEO 2012 prdcrv'!E$7:E$2000,0))))</f>
        <v>0.9</v>
      </c>
      <c r="H21" s="205">
        <f t="array" ref="H21">SUM(IF('AEO 2012 prdcrv'!$A$7:$A$2000='Agg prdcrv'!$A21,IF('AEO 2012 prdcrv'!$H$7:$H$2000="2005",IF('AEO 2012 prdcrv'!$I$7:$I$2000="Quantities",'AEO 2012 prdcrv'!F$7:F$2000,0))))</f>
        <v>15.29</v>
      </c>
      <c r="J21" s="205">
        <v>2005</v>
      </c>
      <c r="K21" s="205">
        <v>1</v>
      </c>
      <c r="L21" s="205">
        <f t="array" ref="L21">SUM(IF('AEO 2012 prdcrv'!$A$7:$A$2000='Agg prdcrv'!$A21,IF('AEO 2012 prdcrv'!$H$7:$H$2000="2005",IF('AEO 2012 prdcrv'!$I$7:$I$2000="Prices",'AEO 2012 prdcrv'!B$7:B$2000,0))))</f>
        <v>31.96</v>
      </c>
      <c r="M21" s="205">
        <f t="array" ref="M21">SUM(IF('AEO 2012 prdcrv'!$A$7:$A$2000='Agg prdcrv'!$A21,IF('AEO 2012 prdcrv'!$H$7:$H$2000="2005",IF('AEO 2012 prdcrv'!$I$7:$I$2000="Prices",'AEO 2012 prdcrv'!C$7:C$2000,0))))</f>
        <v>32.090000000000003</v>
      </c>
      <c r="N21" s="205">
        <f t="array" ref="N21">SUM(IF('AEO 2012 prdcrv'!$A$7:$A$2000='Agg prdcrv'!$A21,IF('AEO 2012 prdcrv'!$H$7:$H$2000="2005",IF('AEO 2012 prdcrv'!$I$7:$I$2000="Prices",'AEO 2012 prdcrv'!D$7:D$2000,0))))</f>
        <v>31.55</v>
      </c>
      <c r="O21" s="205">
        <f t="array" ref="O21">SUM(IF('AEO 2012 prdcrv'!$A$7:$A$2000='Agg prdcrv'!$A21,IF('AEO 2012 prdcrv'!$H$7:$H$2000="2005",IF('AEO 2012 prdcrv'!$I$7:$I$2000="Prices",'AEO 2012 prdcrv'!E$7:E$2000,0))))</f>
        <v>38</v>
      </c>
      <c r="P21" s="205">
        <f t="array" ref="P21">SUM(IF('AEO 2012 prdcrv'!$A$7:$A$2000='Agg prdcrv'!$A21,IF('AEO 2012 prdcrv'!$H$7:$H$2000="2005",IF('AEO 2012 prdcrv'!$I$7:$I$2000="Prices",'AEO 2012 prdcrv'!F$7:F$2000,0))))</f>
        <v>35.58</v>
      </c>
    </row>
    <row r="22" spans="1:16">
      <c r="A22" s="195" t="s">
        <v>152</v>
      </c>
      <c r="B22" s="205">
        <v>2005</v>
      </c>
      <c r="C22" s="205">
        <v>1</v>
      </c>
      <c r="D22" s="205">
        <f t="array" ref="D22">SUM(IF('AEO 2012 prdcrv'!$A$7:$A$2000='Agg prdcrv'!$A22,IF('AEO 2012 prdcrv'!$H$7:$H$2000="2005",IF('AEO 2012 prdcrv'!$I$7:$I$2000="Quantities",'AEO 2012 prdcrv'!B$7:B$2000,0))))</f>
        <v>98.01</v>
      </c>
      <c r="E22" s="205">
        <f t="array" ref="E22">SUM(IF('AEO 2012 prdcrv'!$A$7:$A$2000='Agg prdcrv'!$A22,IF('AEO 2012 prdcrv'!$H$7:$H$2000="2005",IF('AEO 2012 prdcrv'!$I$7:$I$2000="Quantities",'AEO 2012 prdcrv'!C$7:C$2000,0))))</f>
        <v>0.92</v>
      </c>
      <c r="F22" s="205">
        <f t="array" ref="F22">SUM(IF('AEO 2012 prdcrv'!$A$7:$A$2000='Agg prdcrv'!$A22,IF('AEO 2012 prdcrv'!$H$7:$H$2000="2005",IF('AEO 2012 prdcrv'!$I$7:$I$2000="Quantities",'AEO 2012 prdcrv'!D$7:D$2000,0))))</f>
        <v>194.41</v>
      </c>
      <c r="G22" s="205">
        <f t="array" ref="G22">SUM(IF('AEO 2012 prdcrv'!$A$7:$A$2000='Agg prdcrv'!$A22,IF('AEO 2012 prdcrv'!$H$7:$H$2000="2005",IF('AEO 2012 prdcrv'!$I$7:$I$2000="Quantities",'AEO 2012 prdcrv'!E$7:E$2000,0))))</f>
        <v>0</v>
      </c>
      <c r="H22" s="205">
        <f t="array" ref="H22">SUM(IF('AEO 2012 prdcrv'!$A$7:$A$2000='Agg prdcrv'!$A22,IF('AEO 2012 prdcrv'!$H$7:$H$2000="2005",IF('AEO 2012 prdcrv'!$I$7:$I$2000="Quantities",'AEO 2012 prdcrv'!F$7:F$2000,0))))</f>
        <v>54.95</v>
      </c>
      <c r="J22" s="205">
        <v>2005</v>
      </c>
      <c r="K22" s="205">
        <v>1</v>
      </c>
      <c r="L22" s="205">
        <f t="array" ref="L22">SUM(IF('AEO 2012 prdcrv'!$A$7:$A$2000='Agg prdcrv'!$A22,IF('AEO 2012 prdcrv'!$H$7:$H$2000="2005",IF('AEO 2012 prdcrv'!$I$7:$I$2000="Prices",'AEO 2012 prdcrv'!B$7:B$2000,0))))</f>
        <v>23.97</v>
      </c>
      <c r="M22" s="205">
        <f t="array" ref="M22">SUM(IF('AEO 2012 prdcrv'!$A$7:$A$2000='Agg prdcrv'!$A22,IF('AEO 2012 prdcrv'!$H$7:$H$2000="2005",IF('AEO 2012 prdcrv'!$I$7:$I$2000="Prices",'AEO 2012 prdcrv'!C$7:C$2000,0))))</f>
        <v>24.07</v>
      </c>
      <c r="N22" s="205">
        <f t="array" ref="N22">SUM(IF('AEO 2012 prdcrv'!$A$7:$A$2000='Agg prdcrv'!$A22,IF('AEO 2012 prdcrv'!$H$7:$H$2000="2005",IF('AEO 2012 prdcrv'!$I$7:$I$2000="Prices",'AEO 2012 prdcrv'!D$7:D$2000,0))))</f>
        <v>23.66</v>
      </c>
      <c r="O22" s="205">
        <f t="array" ref="O22">SUM(IF('AEO 2012 prdcrv'!$A$7:$A$2000='Agg prdcrv'!$A22,IF('AEO 2012 prdcrv'!$H$7:$H$2000="2005",IF('AEO 2012 prdcrv'!$I$7:$I$2000="Prices",'AEO 2012 prdcrv'!E$7:E$2000,0))))</f>
        <v>28.5</v>
      </c>
      <c r="P22" s="205">
        <f t="array" ref="P22">SUM(IF('AEO 2012 prdcrv'!$A$7:$A$2000='Agg prdcrv'!$A22,IF('AEO 2012 prdcrv'!$H$7:$H$2000="2005",IF('AEO 2012 prdcrv'!$I$7:$I$2000="Prices",'AEO 2012 prdcrv'!F$7:F$2000,0))))</f>
        <v>26.68</v>
      </c>
    </row>
    <row r="23" spans="1:16">
      <c r="A23" s="204" t="s">
        <v>588</v>
      </c>
    </row>
    <row r="24" spans="1:16">
      <c r="A24" s="195" t="s">
        <v>25</v>
      </c>
      <c r="B24" s="205">
        <v>2010</v>
      </c>
      <c r="C24" s="205">
        <v>1</v>
      </c>
      <c r="D24" s="205">
        <f t="array" ref="D24">SUM(IF('AEO 2012 prdcrv'!$A$7:$A$2000='Agg prdcrv'!$A24,IF('AEO 2012 prdcrv'!$H$7:$H$2000="2010",IF('AEO 2012 prdcrv'!$I$7:$I$2000="Quantities",'AEO 2012 prdcrv'!B$7:B$2000,0))))</f>
        <v>0</v>
      </c>
      <c r="E24" s="205">
        <f t="array" ref="E24">SUM(IF('AEO 2012 prdcrv'!$A$7:$A$2000='Agg prdcrv'!$A24,IF('AEO 2012 prdcrv'!$H$7:$H$2000="2010",IF('AEO 2012 prdcrv'!$I$7:$I$2000="Quantities",'AEO 2012 prdcrv'!C$7:C$2000,0))))</f>
        <v>0</v>
      </c>
      <c r="F24" s="205">
        <f t="array" ref="F24">SUM(IF('AEO 2012 prdcrv'!$A$7:$A$2000='Agg prdcrv'!$A24,IF('AEO 2012 prdcrv'!$H$7:$H$2000="2010",IF('AEO 2012 prdcrv'!$I$7:$I$2000="Quantities",'AEO 2012 prdcrv'!D$7:D$2000,0))))</f>
        <v>0</v>
      </c>
      <c r="G24" s="205">
        <f t="array" ref="G24">SUM(IF('AEO 2012 prdcrv'!$A$7:$A$2000='Agg prdcrv'!$A24,IF('AEO 2012 prdcrv'!$H$7:$H$2000="2010",IF('AEO 2012 prdcrv'!$I$7:$I$2000="Quantities",'AEO 2012 prdcrv'!E$7:E$2000,0))))</f>
        <v>0</v>
      </c>
      <c r="H24" s="205">
        <f t="array" ref="H24">SUM(IF('AEO 2012 prdcrv'!$A$7:$A$2000='Agg prdcrv'!$A24,IF('AEO 2012 prdcrv'!$H$7:$H$2000="2010",IF('AEO 2012 prdcrv'!$I$7:$I$2000="Quantities",'AEO 2012 prdcrv'!F$7:F$2000,0))))</f>
        <v>0</v>
      </c>
      <c r="J24" s="205">
        <v>2010</v>
      </c>
      <c r="K24" s="205">
        <v>1</v>
      </c>
      <c r="L24" s="205">
        <f t="array" ref="L24">SUM(IF('AEO 2012 prdcrv'!$A$7:$A$2000='Agg prdcrv'!$A24,IF('AEO 2012 prdcrv'!$H$7:$H$2000="2010",IF('AEO 2012 prdcrv'!$I$7:$I$2000="Prices",'AEO 2012 prdcrv'!B$7:B$2000,0))))</f>
        <v>113.56</v>
      </c>
      <c r="M24" s="205">
        <f t="array" ref="M24">SUM(IF('AEO 2012 prdcrv'!$A$7:$A$2000='Agg prdcrv'!$A24,IF('AEO 2012 prdcrv'!$H$7:$H$2000="2010",IF('AEO 2012 prdcrv'!$I$7:$I$2000="Prices",'AEO 2012 prdcrv'!C$7:C$2000,0))))</f>
        <v>113.5</v>
      </c>
      <c r="N24" s="205">
        <f t="array" ref="N24">SUM(IF('AEO 2012 prdcrv'!$A$7:$A$2000='Agg prdcrv'!$A24,IF('AEO 2012 prdcrv'!$H$7:$H$2000="2010",IF('AEO 2012 prdcrv'!$I$7:$I$2000="Prices",'AEO 2012 prdcrv'!D$7:D$2000,0))))</f>
        <v>113.56</v>
      </c>
      <c r="O24" s="205">
        <f t="array" ref="O24">SUM(IF('AEO 2012 prdcrv'!$A$7:$A$2000='Agg prdcrv'!$A24,IF('AEO 2012 prdcrv'!$H$7:$H$2000="2010",IF('AEO 2012 prdcrv'!$I$7:$I$2000="Prices",'AEO 2012 prdcrv'!E$7:E$2000,0))))</f>
        <v>113.3</v>
      </c>
      <c r="P24" s="205">
        <f t="array" ref="P24">SUM(IF('AEO 2012 prdcrv'!$A$7:$A$2000='Agg prdcrv'!$A24,IF('AEO 2012 prdcrv'!$H$7:$H$2000="2010",IF('AEO 2012 prdcrv'!$I$7:$I$2000="Prices",'AEO 2012 prdcrv'!F$7:F$2000,0))))</f>
        <v>113.5</v>
      </c>
    </row>
    <row r="25" spans="1:16">
      <c r="A25" s="195" t="s">
        <v>22</v>
      </c>
      <c r="B25" s="205">
        <v>2010</v>
      </c>
      <c r="C25" s="205">
        <v>1</v>
      </c>
      <c r="D25" s="205">
        <f t="array" ref="D25">SUM(IF('AEO 2012 prdcrv'!$A$7:$A$2000='Agg prdcrv'!$A25,IF('AEO 2012 prdcrv'!$H$7:$H$2000="2010",IF('AEO 2012 prdcrv'!$I$7:$I$2000="Quantities",'AEO 2012 prdcrv'!B$7:B$2000,0))))</f>
        <v>300.14999999999998</v>
      </c>
      <c r="E25" s="205">
        <f t="array" ref="E25">SUM(IF('AEO 2012 prdcrv'!$A$7:$A$2000='Agg prdcrv'!$A25,IF('AEO 2012 prdcrv'!$H$7:$H$2000="2010",IF('AEO 2012 prdcrv'!$I$7:$I$2000="Quantities",'AEO 2012 prdcrv'!C$7:C$2000,0))))</f>
        <v>1.01</v>
      </c>
      <c r="F25" s="205">
        <f t="array" ref="F25">SUM(IF('AEO 2012 prdcrv'!$A$7:$A$2000='Agg prdcrv'!$A25,IF('AEO 2012 prdcrv'!$H$7:$H$2000="2010",IF('AEO 2012 prdcrv'!$I$7:$I$2000="Quantities",'AEO 2012 prdcrv'!D$7:D$2000,0))))</f>
        <v>28.56</v>
      </c>
      <c r="G25" s="205">
        <f t="array" ref="G25">SUM(IF('AEO 2012 prdcrv'!$A$7:$A$2000='Agg prdcrv'!$A25,IF('AEO 2012 prdcrv'!$H$7:$H$2000="2010",IF('AEO 2012 prdcrv'!$I$7:$I$2000="Quantities",'AEO 2012 prdcrv'!E$7:E$2000,0))))</f>
        <v>0</v>
      </c>
      <c r="H25" s="205">
        <f t="array" ref="H25">SUM(IF('AEO 2012 prdcrv'!$A$7:$A$2000='Agg prdcrv'!$A25,IF('AEO 2012 prdcrv'!$H$7:$H$2000="2010",IF('AEO 2012 prdcrv'!$I$7:$I$2000="Quantities",'AEO 2012 prdcrv'!F$7:F$2000,0))))</f>
        <v>19.77</v>
      </c>
      <c r="J25" s="205">
        <v>2010</v>
      </c>
      <c r="K25" s="205">
        <v>1</v>
      </c>
      <c r="L25" s="205">
        <f t="array" ref="L25">SUM(IF('AEO 2012 prdcrv'!$A$7:$A$2000='Agg prdcrv'!$A25,IF('AEO 2012 prdcrv'!$H$7:$H$2000="2010",IF('AEO 2012 prdcrv'!$I$7:$I$2000="Prices",'AEO 2012 prdcrv'!B$7:B$2000,0))))</f>
        <v>49.74</v>
      </c>
      <c r="M25" s="205">
        <f t="array" ref="M25">SUM(IF('AEO 2012 prdcrv'!$A$7:$A$2000='Agg prdcrv'!$A25,IF('AEO 2012 prdcrv'!$H$7:$H$2000="2010",IF('AEO 2012 prdcrv'!$I$7:$I$2000="Prices",'AEO 2012 prdcrv'!C$7:C$2000,0))))</f>
        <v>50.63</v>
      </c>
      <c r="N25" s="205">
        <f t="array" ref="N25">SUM(IF('AEO 2012 prdcrv'!$A$7:$A$2000='Agg prdcrv'!$A25,IF('AEO 2012 prdcrv'!$H$7:$H$2000="2010",IF('AEO 2012 prdcrv'!$I$7:$I$2000="Prices",'AEO 2012 prdcrv'!D$7:D$2000,0))))</f>
        <v>49.8</v>
      </c>
      <c r="O25" s="205">
        <f t="array" ref="O25">SUM(IF('AEO 2012 prdcrv'!$A$7:$A$2000='Agg prdcrv'!$A25,IF('AEO 2012 prdcrv'!$H$7:$H$2000="2010",IF('AEO 2012 prdcrv'!$I$7:$I$2000="Prices",'AEO 2012 prdcrv'!E$7:E$2000,0))))</f>
        <v>49.61</v>
      </c>
      <c r="P25" s="205">
        <f t="array" ref="P25">SUM(IF('AEO 2012 prdcrv'!$A$7:$A$2000='Agg prdcrv'!$A25,IF('AEO 2012 prdcrv'!$H$7:$H$2000="2010",IF('AEO 2012 prdcrv'!$I$7:$I$2000="Prices",'AEO 2012 prdcrv'!F$7:F$2000,0))))</f>
        <v>34.799999999999997</v>
      </c>
    </row>
    <row r="26" spans="1:16">
      <c r="A26" s="195" t="s">
        <v>15</v>
      </c>
      <c r="B26" s="205">
        <v>2010</v>
      </c>
      <c r="C26" s="205">
        <v>1</v>
      </c>
      <c r="D26" s="205">
        <f t="array" ref="D26">SUM(IF('AEO 2012 prdcrv'!$A$7:$A$2000='Agg prdcrv'!$A26,IF('AEO 2012 prdcrv'!$H$7:$H$2000="2010",IF('AEO 2012 prdcrv'!$I$7:$I$2000="Quantities",'AEO 2012 prdcrv'!B$7:B$2000,0))))</f>
        <v>200.4</v>
      </c>
      <c r="E26" s="205">
        <f t="array" ref="E26">SUM(IF('AEO 2012 prdcrv'!$A$7:$A$2000='Agg prdcrv'!$A26,IF('AEO 2012 prdcrv'!$H$7:$H$2000="2010",IF('AEO 2012 prdcrv'!$I$7:$I$2000="Quantities",'AEO 2012 prdcrv'!C$7:C$2000,0))))</f>
        <v>0.87</v>
      </c>
      <c r="F26" s="205">
        <f t="array" ref="F26">SUM(IF('AEO 2012 prdcrv'!$A$7:$A$2000='Agg prdcrv'!$A26,IF('AEO 2012 prdcrv'!$H$7:$H$2000="2010",IF('AEO 2012 prdcrv'!$I$7:$I$2000="Quantities",'AEO 2012 prdcrv'!D$7:D$2000,0))))</f>
        <v>8.23</v>
      </c>
      <c r="G26" s="205">
        <f t="array" ref="G26">SUM(IF('AEO 2012 prdcrv'!$A$7:$A$2000='Agg prdcrv'!$A26,IF('AEO 2012 prdcrv'!$H$7:$H$2000="2010",IF('AEO 2012 prdcrv'!$I$7:$I$2000="Quantities",'AEO 2012 prdcrv'!E$7:E$2000,0))))</f>
        <v>0.87</v>
      </c>
      <c r="H26" s="205">
        <f t="array" ref="H26">SUM(IF('AEO 2012 prdcrv'!$A$7:$A$2000='Agg prdcrv'!$A26,IF('AEO 2012 prdcrv'!$H$7:$H$2000="2010",IF('AEO 2012 prdcrv'!$I$7:$I$2000="Quantities",'AEO 2012 prdcrv'!F$7:F$2000,0))))</f>
        <v>4.91</v>
      </c>
      <c r="J26" s="205">
        <v>2010</v>
      </c>
      <c r="K26" s="205">
        <v>1</v>
      </c>
      <c r="L26" s="205">
        <f t="array" ref="L26">SUM(IF('AEO 2012 prdcrv'!$A$7:$A$2000='Agg prdcrv'!$A26,IF('AEO 2012 prdcrv'!$H$7:$H$2000="2010",IF('AEO 2012 prdcrv'!$I$7:$I$2000="Prices",'AEO 2012 prdcrv'!B$7:B$2000,0))))</f>
        <v>45.48</v>
      </c>
      <c r="M26" s="205">
        <f t="array" ref="M26">SUM(IF('AEO 2012 prdcrv'!$A$7:$A$2000='Agg prdcrv'!$A26,IF('AEO 2012 prdcrv'!$H$7:$H$2000="2010",IF('AEO 2012 prdcrv'!$I$7:$I$2000="Prices",'AEO 2012 prdcrv'!C$7:C$2000,0))))</f>
        <v>49.64</v>
      </c>
      <c r="N26" s="205">
        <f t="array" ref="N26">SUM(IF('AEO 2012 prdcrv'!$A$7:$A$2000='Agg prdcrv'!$A26,IF('AEO 2012 prdcrv'!$H$7:$H$2000="2010",IF('AEO 2012 prdcrv'!$I$7:$I$2000="Prices",'AEO 2012 prdcrv'!D$7:D$2000,0))))</f>
        <v>48.67</v>
      </c>
      <c r="O26" s="205">
        <f t="array" ref="O26">SUM(IF('AEO 2012 prdcrv'!$A$7:$A$2000='Agg prdcrv'!$A26,IF('AEO 2012 prdcrv'!$H$7:$H$2000="2010",IF('AEO 2012 prdcrv'!$I$7:$I$2000="Prices",'AEO 2012 prdcrv'!E$7:E$2000,0))))</f>
        <v>40.82</v>
      </c>
      <c r="P26" s="205">
        <f t="array" ref="P26">SUM(IF('AEO 2012 prdcrv'!$A$7:$A$2000='Agg prdcrv'!$A26,IF('AEO 2012 prdcrv'!$H$7:$H$2000="2010",IF('AEO 2012 prdcrv'!$I$7:$I$2000="Prices",'AEO 2012 prdcrv'!F$7:F$2000,0))))</f>
        <v>46.09</v>
      </c>
    </row>
    <row r="27" spans="1:16">
      <c r="A27" s="195" t="s">
        <v>16</v>
      </c>
      <c r="B27" s="205">
        <v>2010</v>
      </c>
      <c r="C27" s="205">
        <v>1</v>
      </c>
      <c r="D27" s="205">
        <f t="array" ref="D27">SUM(IF('AEO 2012 prdcrv'!$A$7:$A$2000='Agg prdcrv'!$A27,IF('AEO 2012 prdcrv'!$H$7:$H$2000="2010",IF('AEO 2012 prdcrv'!$I$7:$I$2000="Quantities",'AEO 2012 prdcrv'!B$7:B$2000,0))))</f>
        <v>20.2</v>
      </c>
      <c r="E27" s="205">
        <f t="array" ref="E27">SUM(IF('AEO 2012 prdcrv'!$A$7:$A$2000='Agg prdcrv'!$A27,IF('AEO 2012 prdcrv'!$H$7:$H$2000="2010",IF('AEO 2012 prdcrv'!$I$7:$I$2000="Quantities",'AEO 2012 prdcrv'!C$7:C$2000,0))))</f>
        <v>1.52</v>
      </c>
      <c r="F27" s="205">
        <f t="array" ref="F27">SUM(IF('AEO 2012 prdcrv'!$A$7:$A$2000='Agg prdcrv'!$A27,IF('AEO 2012 prdcrv'!$H$7:$H$2000="2010",IF('AEO 2012 prdcrv'!$I$7:$I$2000="Quantities",'AEO 2012 prdcrv'!D$7:D$2000,0))))</f>
        <v>1.77</v>
      </c>
      <c r="G27" s="205">
        <f t="array" ref="G27">SUM(IF('AEO 2012 prdcrv'!$A$7:$A$2000='Agg prdcrv'!$A27,IF('AEO 2012 prdcrv'!$H$7:$H$2000="2010",IF('AEO 2012 prdcrv'!$I$7:$I$2000="Quantities",'AEO 2012 prdcrv'!E$7:E$2000,0))))</f>
        <v>2.13</v>
      </c>
      <c r="H27" s="205">
        <f t="array" ref="H27">SUM(IF('AEO 2012 prdcrv'!$A$7:$A$2000='Agg prdcrv'!$A27,IF('AEO 2012 prdcrv'!$H$7:$H$2000="2010",IF('AEO 2012 prdcrv'!$I$7:$I$2000="Quantities",'AEO 2012 prdcrv'!F$7:F$2000,0))))</f>
        <v>4.3</v>
      </c>
      <c r="J27" s="205">
        <v>2010</v>
      </c>
      <c r="K27" s="205">
        <v>1</v>
      </c>
      <c r="L27" s="205">
        <f t="array" ref="L27">SUM(IF('AEO 2012 prdcrv'!$A$7:$A$2000='Agg prdcrv'!$A27,IF('AEO 2012 prdcrv'!$H$7:$H$2000="2010",IF('AEO 2012 prdcrv'!$I$7:$I$2000="Prices",'AEO 2012 prdcrv'!B$7:B$2000,0))))</f>
        <v>46.26</v>
      </c>
      <c r="M27" s="205">
        <f t="array" ref="M27">SUM(IF('AEO 2012 prdcrv'!$A$7:$A$2000='Agg prdcrv'!$A27,IF('AEO 2012 prdcrv'!$H$7:$H$2000="2010",IF('AEO 2012 prdcrv'!$I$7:$I$2000="Prices",'AEO 2012 prdcrv'!C$7:C$2000,0))))</f>
        <v>44.59</v>
      </c>
      <c r="N27" s="205">
        <f t="array" ref="N27">SUM(IF('AEO 2012 prdcrv'!$A$7:$A$2000='Agg prdcrv'!$A27,IF('AEO 2012 prdcrv'!$H$7:$H$2000="2010",IF('AEO 2012 prdcrv'!$I$7:$I$2000="Prices",'AEO 2012 prdcrv'!D$7:D$2000,0))))</f>
        <v>44.91</v>
      </c>
      <c r="O27" s="205">
        <f t="array" ref="O27">SUM(IF('AEO 2012 prdcrv'!$A$7:$A$2000='Agg prdcrv'!$A27,IF('AEO 2012 prdcrv'!$H$7:$H$2000="2010",IF('AEO 2012 prdcrv'!$I$7:$I$2000="Prices",'AEO 2012 prdcrv'!E$7:E$2000,0))))</f>
        <v>46.14</v>
      </c>
      <c r="P27" s="205">
        <f t="array" ref="P27">SUM(IF('AEO 2012 prdcrv'!$A$7:$A$2000='Agg prdcrv'!$A27,IF('AEO 2012 prdcrv'!$H$7:$H$2000="2010",IF('AEO 2012 prdcrv'!$I$7:$I$2000="Prices",'AEO 2012 prdcrv'!F$7:F$2000,0))))</f>
        <v>46.25</v>
      </c>
    </row>
    <row r="28" spans="1:16">
      <c r="A28" s="195" t="s">
        <v>37</v>
      </c>
      <c r="B28" s="205">
        <v>2010</v>
      </c>
      <c r="C28" s="205">
        <v>1</v>
      </c>
      <c r="D28" s="205">
        <f t="array" ref="D28">SUM(IF('AEO 2012 prdcrv'!$A$7:$A$2000='Agg prdcrv'!$A28,IF('AEO 2012 prdcrv'!$H$7:$H$2000="2010",IF('AEO 2012 prdcrv'!$I$7:$I$2000="Quantities",'AEO 2012 prdcrv'!B$7:B$2000,0))))</f>
        <v>159.16</v>
      </c>
      <c r="E28" s="205">
        <f t="array" ref="E28">SUM(IF('AEO 2012 prdcrv'!$A$7:$A$2000='Agg prdcrv'!$A28,IF('AEO 2012 prdcrv'!$H$7:$H$2000="2010",IF('AEO 2012 prdcrv'!$I$7:$I$2000="Quantities",'AEO 2012 prdcrv'!C$7:C$2000,0))))</f>
        <v>1.73</v>
      </c>
      <c r="F28" s="205">
        <f t="array" ref="F28">SUM(IF('AEO 2012 prdcrv'!$A$7:$A$2000='Agg prdcrv'!$A28,IF('AEO 2012 prdcrv'!$H$7:$H$2000="2010",IF('AEO 2012 prdcrv'!$I$7:$I$2000="Quantities",'AEO 2012 prdcrv'!D$7:D$2000,0))))</f>
        <v>32.909999999999997</v>
      </c>
      <c r="G28" s="205">
        <f t="array" ref="G28">SUM(IF('AEO 2012 prdcrv'!$A$7:$A$2000='Agg prdcrv'!$A28,IF('AEO 2012 prdcrv'!$H$7:$H$2000="2010",IF('AEO 2012 prdcrv'!$I$7:$I$2000="Quantities",'AEO 2012 prdcrv'!E$7:E$2000,0))))</f>
        <v>0</v>
      </c>
      <c r="H28" s="205">
        <f t="array" ref="H28">SUM(IF('AEO 2012 prdcrv'!$A$7:$A$2000='Agg prdcrv'!$A28,IF('AEO 2012 prdcrv'!$H$7:$H$2000="2010",IF('AEO 2012 prdcrv'!$I$7:$I$2000="Quantities",'AEO 2012 prdcrv'!F$7:F$2000,0))))</f>
        <v>8.66</v>
      </c>
      <c r="J28" s="205">
        <v>2010</v>
      </c>
      <c r="K28" s="205">
        <v>1</v>
      </c>
      <c r="L28" s="205">
        <f t="array" ref="L28">SUM(IF('AEO 2012 prdcrv'!$A$7:$A$2000='Agg prdcrv'!$A28,IF('AEO 2012 prdcrv'!$H$7:$H$2000="2010",IF('AEO 2012 prdcrv'!$I$7:$I$2000="Prices",'AEO 2012 prdcrv'!B$7:B$2000,0))))</f>
        <v>34.28</v>
      </c>
      <c r="M28" s="205">
        <f t="array" ref="M28">SUM(IF('AEO 2012 prdcrv'!$A$7:$A$2000='Agg prdcrv'!$A28,IF('AEO 2012 prdcrv'!$H$7:$H$2000="2010",IF('AEO 2012 prdcrv'!$I$7:$I$2000="Prices",'AEO 2012 prdcrv'!C$7:C$2000,0))))</f>
        <v>33.409999999999997</v>
      </c>
      <c r="N28" s="205">
        <f t="array" ref="N28">SUM(IF('AEO 2012 prdcrv'!$A$7:$A$2000='Agg prdcrv'!$A28,IF('AEO 2012 prdcrv'!$H$7:$H$2000="2010",IF('AEO 2012 prdcrv'!$I$7:$I$2000="Prices",'AEO 2012 prdcrv'!D$7:D$2000,0))))</f>
        <v>33.57</v>
      </c>
      <c r="O28" s="205">
        <f t="array" ref="O28">SUM(IF('AEO 2012 prdcrv'!$A$7:$A$2000='Agg prdcrv'!$A28,IF('AEO 2012 prdcrv'!$H$7:$H$2000="2010",IF('AEO 2012 prdcrv'!$I$7:$I$2000="Prices",'AEO 2012 prdcrv'!E$7:E$2000,0))))</f>
        <v>33.47</v>
      </c>
      <c r="P28" s="205">
        <f t="array" ref="P28">SUM(IF('AEO 2012 prdcrv'!$A$7:$A$2000='Agg prdcrv'!$A28,IF('AEO 2012 prdcrv'!$H$7:$H$2000="2010",IF('AEO 2012 prdcrv'!$I$7:$I$2000="Prices",'AEO 2012 prdcrv'!F$7:F$2000,0))))</f>
        <v>32.83</v>
      </c>
    </row>
    <row r="29" spans="1:16">
      <c r="A29" s="195" t="s">
        <v>36</v>
      </c>
      <c r="B29" s="205">
        <v>2010</v>
      </c>
      <c r="C29" s="205">
        <v>1</v>
      </c>
      <c r="D29" s="205">
        <f t="array" ref="D29">SUM(IF('AEO 2012 prdcrv'!$A$7:$A$2000='Agg prdcrv'!$A29,IF('AEO 2012 prdcrv'!$H$7:$H$2000="2010",IF('AEO 2012 prdcrv'!$I$7:$I$2000="Quantities",'AEO 2012 prdcrv'!B$7:B$2000,0))))</f>
        <v>135.79</v>
      </c>
      <c r="E29" s="205">
        <f t="array" ref="E29">SUM(IF('AEO 2012 prdcrv'!$A$7:$A$2000='Agg prdcrv'!$A29,IF('AEO 2012 prdcrv'!$H$7:$H$2000="2010",IF('AEO 2012 prdcrv'!$I$7:$I$2000="Quantities",'AEO 2012 prdcrv'!C$7:C$2000,0))))</f>
        <v>1.84</v>
      </c>
      <c r="F29" s="205">
        <f t="array" ref="F29">SUM(IF('AEO 2012 prdcrv'!$A$7:$A$2000='Agg prdcrv'!$A29,IF('AEO 2012 prdcrv'!$H$7:$H$2000="2010",IF('AEO 2012 prdcrv'!$I$7:$I$2000="Quantities",'AEO 2012 prdcrv'!D$7:D$2000,0))))</f>
        <v>24.16</v>
      </c>
      <c r="G29" s="205">
        <f t="array" ref="G29">SUM(IF('AEO 2012 prdcrv'!$A$7:$A$2000='Agg prdcrv'!$A29,IF('AEO 2012 prdcrv'!$H$7:$H$2000="2010",IF('AEO 2012 prdcrv'!$I$7:$I$2000="Quantities",'AEO 2012 prdcrv'!E$7:E$2000,0))))</f>
        <v>0</v>
      </c>
      <c r="H29" s="205">
        <f t="array" ref="H29">SUM(IF('AEO 2012 prdcrv'!$A$7:$A$2000='Agg prdcrv'!$A29,IF('AEO 2012 prdcrv'!$H$7:$H$2000="2010",IF('AEO 2012 prdcrv'!$I$7:$I$2000="Quantities",'AEO 2012 prdcrv'!F$7:F$2000,0))))</f>
        <v>28.14</v>
      </c>
      <c r="J29" s="205">
        <v>2010</v>
      </c>
      <c r="K29" s="205">
        <v>1</v>
      </c>
      <c r="L29" s="205">
        <f t="array" ref="L29">SUM(IF('AEO 2012 prdcrv'!$A$7:$A$2000='Agg prdcrv'!$A29,IF('AEO 2012 prdcrv'!$H$7:$H$2000="2010",IF('AEO 2012 prdcrv'!$I$7:$I$2000="Prices",'AEO 2012 prdcrv'!B$7:B$2000,0))))</f>
        <v>28.5</v>
      </c>
      <c r="M29" s="205">
        <f t="array" ref="M29">SUM(IF('AEO 2012 prdcrv'!$A$7:$A$2000='Agg prdcrv'!$A29,IF('AEO 2012 prdcrv'!$H$7:$H$2000="2010",IF('AEO 2012 prdcrv'!$I$7:$I$2000="Prices",'AEO 2012 prdcrv'!C$7:C$2000,0))))</f>
        <v>32.93</v>
      </c>
      <c r="N29" s="205">
        <f t="array" ref="N29">SUM(IF('AEO 2012 prdcrv'!$A$7:$A$2000='Agg prdcrv'!$A29,IF('AEO 2012 prdcrv'!$H$7:$H$2000="2010",IF('AEO 2012 prdcrv'!$I$7:$I$2000="Prices",'AEO 2012 prdcrv'!D$7:D$2000,0))))</f>
        <v>33.409999999999997</v>
      </c>
      <c r="O29" s="205">
        <f t="array" ref="O29">SUM(IF('AEO 2012 prdcrv'!$A$7:$A$2000='Agg prdcrv'!$A29,IF('AEO 2012 prdcrv'!$H$7:$H$2000="2010",IF('AEO 2012 prdcrv'!$I$7:$I$2000="Prices",'AEO 2012 prdcrv'!E$7:E$2000,0))))</f>
        <v>32.81</v>
      </c>
      <c r="P29" s="205">
        <f t="array" ref="P29">SUM(IF('AEO 2012 prdcrv'!$A$7:$A$2000='Agg prdcrv'!$A29,IF('AEO 2012 prdcrv'!$H$7:$H$2000="2010",IF('AEO 2012 prdcrv'!$I$7:$I$2000="Prices",'AEO 2012 prdcrv'!F$7:F$2000,0))))</f>
        <v>33.299999999999997</v>
      </c>
    </row>
    <row r="30" spans="1:16">
      <c r="A30" s="195" t="s">
        <v>453</v>
      </c>
      <c r="B30" s="205">
        <v>2010</v>
      </c>
      <c r="C30" s="205">
        <v>1</v>
      </c>
      <c r="D30" s="205">
        <f t="array" ref="D30">SUM(IF('AEO 2012 prdcrv'!$A$7:$A$2000='Agg prdcrv'!$A30,IF('AEO 2012 prdcrv'!$H$7:$H$2000="2010",IF('AEO 2012 prdcrv'!$I$7:$I$2000="Quantities",'AEO 2012 prdcrv'!B$7:B$2000,0))))</f>
        <v>99.81</v>
      </c>
      <c r="E30" s="205">
        <f t="array" ref="E30">SUM(IF('AEO 2012 prdcrv'!$A$7:$A$2000='Agg prdcrv'!$A30,IF('AEO 2012 prdcrv'!$H$7:$H$2000="2010",IF('AEO 2012 prdcrv'!$I$7:$I$2000="Quantities",'AEO 2012 prdcrv'!C$7:C$2000,0))))</f>
        <v>0</v>
      </c>
      <c r="F30" s="205">
        <f t="array" ref="F30">SUM(IF('AEO 2012 prdcrv'!$A$7:$A$2000='Agg prdcrv'!$A30,IF('AEO 2012 prdcrv'!$H$7:$H$2000="2010",IF('AEO 2012 prdcrv'!$I$7:$I$2000="Quantities",'AEO 2012 prdcrv'!D$7:D$2000,0))))</f>
        <v>5.04</v>
      </c>
      <c r="G30" s="205">
        <f t="array" ref="G30">SUM(IF('AEO 2012 prdcrv'!$A$7:$A$2000='Agg prdcrv'!$A30,IF('AEO 2012 prdcrv'!$H$7:$H$2000="2010",IF('AEO 2012 prdcrv'!$I$7:$I$2000="Quantities",'AEO 2012 prdcrv'!E$7:E$2000,0))))</f>
        <v>0</v>
      </c>
      <c r="H30" s="205">
        <f t="array" ref="H30">SUM(IF('AEO 2012 prdcrv'!$A$7:$A$2000='Agg prdcrv'!$A30,IF('AEO 2012 prdcrv'!$H$7:$H$2000="2010",IF('AEO 2012 prdcrv'!$I$7:$I$2000="Quantities",'AEO 2012 prdcrv'!F$7:F$2000,0))))</f>
        <v>55.38</v>
      </c>
      <c r="J30" s="205">
        <v>2010</v>
      </c>
      <c r="K30" s="205">
        <v>1</v>
      </c>
      <c r="L30" s="205">
        <f t="array" ref="L30">SUM(IF('AEO 2012 prdcrv'!$A$7:$A$2000='Agg prdcrv'!$A30,IF('AEO 2012 prdcrv'!$H$7:$H$2000="2010",IF('AEO 2012 prdcrv'!$I$7:$I$2000="Prices",'AEO 2012 prdcrv'!B$7:B$2000,0))))</f>
        <v>39.44</v>
      </c>
      <c r="M30" s="205">
        <f t="array" ref="M30">SUM(IF('AEO 2012 prdcrv'!$A$7:$A$2000='Agg prdcrv'!$A30,IF('AEO 2012 prdcrv'!$H$7:$H$2000="2010",IF('AEO 2012 prdcrv'!$I$7:$I$2000="Prices",'AEO 2012 prdcrv'!C$7:C$2000,0))))</f>
        <v>39.67</v>
      </c>
      <c r="N30" s="205">
        <f t="array" ref="N30">SUM(IF('AEO 2012 prdcrv'!$A$7:$A$2000='Agg prdcrv'!$A30,IF('AEO 2012 prdcrv'!$H$7:$H$2000="2010",IF('AEO 2012 prdcrv'!$I$7:$I$2000="Prices",'AEO 2012 prdcrv'!D$7:D$2000,0))))</f>
        <v>38.71</v>
      </c>
      <c r="O30" s="205">
        <f t="array" ref="O30">SUM(IF('AEO 2012 prdcrv'!$A$7:$A$2000='Agg prdcrv'!$A30,IF('AEO 2012 prdcrv'!$H$7:$H$2000="2010",IF('AEO 2012 prdcrv'!$I$7:$I$2000="Prices",'AEO 2012 prdcrv'!E$7:E$2000,0))))</f>
        <v>39.94</v>
      </c>
      <c r="P30" s="205">
        <f t="array" ref="P30">SUM(IF('AEO 2012 prdcrv'!$A$7:$A$2000='Agg prdcrv'!$A30,IF('AEO 2012 prdcrv'!$H$7:$H$2000="2010",IF('AEO 2012 prdcrv'!$I$7:$I$2000="Prices",'AEO 2012 prdcrv'!F$7:F$2000,0))))</f>
        <v>41.74</v>
      </c>
    </row>
    <row r="31" spans="1:16">
      <c r="A31" s="195" t="s">
        <v>456</v>
      </c>
      <c r="B31" s="205">
        <v>2010</v>
      </c>
      <c r="C31" s="205">
        <v>1</v>
      </c>
      <c r="D31" s="205">
        <f t="array" ref="D31">SUM(IF('AEO 2012 prdcrv'!$A$7:$A$2000='Agg prdcrv'!$A31,IF('AEO 2012 prdcrv'!$H$7:$H$2000="2010",IF('AEO 2012 prdcrv'!$I$7:$I$2000="Quantities",'AEO 2012 prdcrv'!B$7:B$2000,0))))</f>
        <v>75.680000000000007</v>
      </c>
      <c r="E31" s="205">
        <f t="array" ref="E31">SUM(IF('AEO 2012 prdcrv'!$A$7:$A$2000='Agg prdcrv'!$A31,IF('AEO 2012 prdcrv'!$H$7:$H$2000="2010",IF('AEO 2012 prdcrv'!$I$7:$I$2000="Quantities",'AEO 2012 prdcrv'!C$7:C$2000,0))))</f>
        <v>86.77</v>
      </c>
      <c r="F31" s="205">
        <f t="array" ref="F31">SUM(IF('AEO 2012 prdcrv'!$A$7:$A$2000='Agg prdcrv'!$A31,IF('AEO 2012 prdcrv'!$H$7:$H$2000="2010",IF('AEO 2012 prdcrv'!$I$7:$I$2000="Quantities",'AEO 2012 prdcrv'!D$7:D$2000,0))))</f>
        <v>152.81</v>
      </c>
      <c r="G31" s="205">
        <f t="array" ref="G31">SUM(IF('AEO 2012 prdcrv'!$A$7:$A$2000='Agg prdcrv'!$A31,IF('AEO 2012 prdcrv'!$H$7:$H$2000="2010",IF('AEO 2012 prdcrv'!$I$7:$I$2000="Quantities",'AEO 2012 prdcrv'!E$7:E$2000,0))))</f>
        <v>9.18</v>
      </c>
      <c r="H31" s="205">
        <f t="array" ref="H31">SUM(IF('AEO 2012 prdcrv'!$A$7:$A$2000='Agg prdcrv'!$A31,IF('AEO 2012 prdcrv'!$H$7:$H$2000="2010",IF('AEO 2012 prdcrv'!$I$7:$I$2000="Quantities",'AEO 2012 prdcrv'!F$7:F$2000,0))))</f>
        <v>1.73</v>
      </c>
      <c r="J31" s="205">
        <v>2010</v>
      </c>
      <c r="K31" s="205">
        <v>1</v>
      </c>
      <c r="L31" s="205">
        <f t="array" ref="L31">SUM(IF('AEO 2012 prdcrv'!$A$7:$A$2000='Agg prdcrv'!$A31,IF('AEO 2012 prdcrv'!$H$7:$H$2000="2010",IF('AEO 2012 prdcrv'!$I$7:$I$2000="Prices",'AEO 2012 prdcrv'!B$7:B$2000,0))))</f>
        <v>28.5</v>
      </c>
      <c r="M31" s="205">
        <f t="array" ref="M31">SUM(IF('AEO 2012 prdcrv'!$A$7:$A$2000='Agg prdcrv'!$A31,IF('AEO 2012 prdcrv'!$H$7:$H$2000="2010",IF('AEO 2012 prdcrv'!$I$7:$I$2000="Prices",'AEO 2012 prdcrv'!C$7:C$2000,0))))</f>
        <v>28.5</v>
      </c>
      <c r="N31" s="205">
        <f t="array" ref="N31">SUM(IF('AEO 2012 prdcrv'!$A$7:$A$2000='Agg prdcrv'!$A31,IF('AEO 2012 prdcrv'!$H$7:$H$2000="2010",IF('AEO 2012 prdcrv'!$I$7:$I$2000="Prices",'AEO 2012 prdcrv'!D$7:D$2000,0))))</f>
        <v>28.5</v>
      </c>
      <c r="O31" s="205">
        <f t="array" ref="O31">SUM(IF('AEO 2012 prdcrv'!$A$7:$A$2000='Agg prdcrv'!$A31,IF('AEO 2012 prdcrv'!$H$7:$H$2000="2010",IF('AEO 2012 prdcrv'!$I$7:$I$2000="Prices",'AEO 2012 prdcrv'!E$7:E$2000,0))))</f>
        <v>28.5</v>
      </c>
      <c r="P31" s="205">
        <f t="array" ref="P31">SUM(IF('AEO 2012 prdcrv'!$A$7:$A$2000='Agg prdcrv'!$A31,IF('AEO 2012 prdcrv'!$H$7:$H$2000="2010",IF('AEO 2012 prdcrv'!$I$7:$I$2000="Prices",'AEO 2012 prdcrv'!F$7:F$2000,0))))</f>
        <v>28.5</v>
      </c>
    </row>
    <row r="32" spans="1:16">
      <c r="A32" s="195" t="s">
        <v>35</v>
      </c>
      <c r="B32" s="205">
        <v>2010</v>
      </c>
      <c r="C32" s="205">
        <v>1</v>
      </c>
      <c r="D32" s="205">
        <f t="array" ref="D32">SUM(IF('AEO 2012 prdcrv'!$A$7:$A$2000='Agg prdcrv'!$A32,IF('AEO 2012 prdcrv'!$H$7:$H$2000="2010",IF('AEO 2012 prdcrv'!$I$7:$I$2000="Quantities",'AEO 2012 prdcrv'!B$7:B$2000,0))))</f>
        <v>3.46</v>
      </c>
      <c r="E32" s="205">
        <f t="array" ref="E32">SUM(IF('AEO 2012 prdcrv'!$A$7:$A$2000='Agg prdcrv'!$A32,IF('AEO 2012 prdcrv'!$H$7:$H$2000="2010",IF('AEO 2012 prdcrv'!$I$7:$I$2000="Quantities",'AEO 2012 prdcrv'!C$7:C$2000,0))))</f>
        <v>3.98</v>
      </c>
      <c r="F32" s="205">
        <f t="array" ref="F32">SUM(IF('AEO 2012 prdcrv'!$A$7:$A$2000='Agg prdcrv'!$A32,IF('AEO 2012 prdcrv'!$H$7:$H$2000="2010",IF('AEO 2012 prdcrv'!$I$7:$I$2000="Quantities",'AEO 2012 prdcrv'!D$7:D$2000,0))))</f>
        <v>254.69</v>
      </c>
      <c r="G32" s="205">
        <f t="array" ref="G32">SUM(IF('AEO 2012 prdcrv'!$A$7:$A$2000='Agg prdcrv'!$A32,IF('AEO 2012 prdcrv'!$H$7:$H$2000="2010",IF('AEO 2012 prdcrv'!$I$7:$I$2000="Quantities",'AEO 2012 prdcrv'!E$7:E$2000,0))))</f>
        <v>0</v>
      </c>
      <c r="H32" s="205">
        <f t="array" ref="H32">SUM(IF('AEO 2012 prdcrv'!$A$7:$A$2000='Agg prdcrv'!$A32,IF('AEO 2012 prdcrv'!$H$7:$H$2000="2010",IF('AEO 2012 prdcrv'!$I$7:$I$2000="Quantities",'AEO 2012 prdcrv'!F$7:F$2000,0))))</f>
        <v>2.89</v>
      </c>
      <c r="J32" s="205">
        <v>2010</v>
      </c>
      <c r="K32" s="205">
        <v>1</v>
      </c>
      <c r="L32" s="205">
        <f t="array" ref="L32">SUM(IF('AEO 2012 prdcrv'!$A$7:$A$2000='Agg prdcrv'!$A32,IF('AEO 2012 prdcrv'!$H$7:$H$2000="2010",IF('AEO 2012 prdcrv'!$I$7:$I$2000="Prices",'AEO 2012 prdcrv'!B$7:B$2000,0))))</f>
        <v>22.98</v>
      </c>
      <c r="M32" s="205">
        <f t="array" ref="M32">SUM(IF('AEO 2012 prdcrv'!$A$7:$A$2000='Agg prdcrv'!$A32,IF('AEO 2012 prdcrv'!$H$7:$H$2000="2010",IF('AEO 2012 prdcrv'!$I$7:$I$2000="Prices",'AEO 2012 prdcrv'!C$7:C$2000,0))))</f>
        <v>27.68</v>
      </c>
      <c r="N32" s="205">
        <f t="array" ref="N32">SUM(IF('AEO 2012 prdcrv'!$A$7:$A$2000='Agg prdcrv'!$A32,IF('AEO 2012 prdcrv'!$H$7:$H$2000="2010",IF('AEO 2012 prdcrv'!$I$7:$I$2000="Prices",'AEO 2012 prdcrv'!D$7:D$2000,0))))</f>
        <v>27.74</v>
      </c>
      <c r="O32" s="205">
        <f t="array" ref="O32">SUM(IF('AEO 2012 prdcrv'!$A$7:$A$2000='Agg prdcrv'!$A32,IF('AEO 2012 prdcrv'!$H$7:$H$2000="2010",IF('AEO 2012 prdcrv'!$I$7:$I$2000="Prices",'AEO 2012 prdcrv'!E$7:E$2000,0))))</f>
        <v>26.9</v>
      </c>
      <c r="P32" s="205">
        <f t="array" ref="P32">SUM(IF('AEO 2012 prdcrv'!$A$7:$A$2000='Agg prdcrv'!$A32,IF('AEO 2012 prdcrv'!$H$7:$H$2000="2010",IF('AEO 2012 prdcrv'!$I$7:$I$2000="Prices",'AEO 2012 prdcrv'!F$7:F$2000,0))))</f>
        <v>28.5</v>
      </c>
    </row>
    <row r="33" spans="1:16">
      <c r="A33" s="195" t="s">
        <v>31</v>
      </c>
      <c r="B33" s="205">
        <v>2010</v>
      </c>
      <c r="C33" s="205">
        <v>1</v>
      </c>
      <c r="D33" s="205">
        <f t="array" ref="D33">SUM(IF('AEO 2012 prdcrv'!$A$7:$A$2000='Agg prdcrv'!$A33,IF('AEO 2012 prdcrv'!$H$7:$H$2000="2010",IF('AEO 2012 prdcrv'!$I$7:$I$2000="Quantities",'AEO 2012 prdcrv'!B$7:B$2000,0))))</f>
        <v>39.17</v>
      </c>
      <c r="E33" s="205">
        <f t="array" ref="E33">SUM(IF('AEO 2012 prdcrv'!$A$7:$A$2000='Agg prdcrv'!$A33,IF('AEO 2012 prdcrv'!$H$7:$H$2000="2010",IF('AEO 2012 prdcrv'!$I$7:$I$2000="Quantities",'AEO 2012 prdcrv'!C$7:C$2000,0))))</f>
        <v>6.05</v>
      </c>
      <c r="F33" s="205">
        <f t="array" ref="F33">SUM(IF('AEO 2012 prdcrv'!$A$7:$A$2000='Agg prdcrv'!$A33,IF('AEO 2012 prdcrv'!$H$7:$H$2000="2010",IF('AEO 2012 prdcrv'!$I$7:$I$2000="Quantities",'AEO 2012 prdcrv'!D$7:D$2000,0))))</f>
        <v>19.59</v>
      </c>
      <c r="G33" s="205">
        <f t="array" ref="G33">SUM(IF('AEO 2012 prdcrv'!$A$7:$A$2000='Agg prdcrv'!$A33,IF('AEO 2012 prdcrv'!$H$7:$H$2000="2010",IF('AEO 2012 prdcrv'!$I$7:$I$2000="Quantities",'AEO 2012 prdcrv'!E$7:E$2000,0))))</f>
        <v>0.86</v>
      </c>
      <c r="H33" s="205">
        <f t="array" ref="H33">SUM(IF('AEO 2012 prdcrv'!$A$7:$A$2000='Agg prdcrv'!$A33,IF('AEO 2012 prdcrv'!$H$7:$H$2000="2010",IF('AEO 2012 prdcrv'!$I$7:$I$2000="Quantities",'AEO 2012 prdcrv'!F$7:F$2000,0))))</f>
        <v>27.25</v>
      </c>
      <c r="J33" s="205">
        <v>2010</v>
      </c>
      <c r="K33" s="205">
        <v>1</v>
      </c>
      <c r="L33" s="205">
        <f t="array" ref="L33">SUM(IF('AEO 2012 prdcrv'!$A$7:$A$2000='Agg prdcrv'!$A33,IF('AEO 2012 prdcrv'!$H$7:$H$2000="2010",IF('AEO 2012 prdcrv'!$I$7:$I$2000="Prices",'AEO 2012 prdcrv'!B$7:B$2000,0))))</f>
        <v>36.42</v>
      </c>
      <c r="M33" s="205">
        <f t="array" ref="M33">SUM(IF('AEO 2012 prdcrv'!$A$7:$A$2000='Agg prdcrv'!$A33,IF('AEO 2012 prdcrv'!$H$7:$H$2000="2010",IF('AEO 2012 prdcrv'!$I$7:$I$2000="Prices",'AEO 2012 prdcrv'!C$7:C$2000,0))))</f>
        <v>36.42</v>
      </c>
      <c r="N33" s="205">
        <f t="array" ref="N33">SUM(IF('AEO 2012 prdcrv'!$A$7:$A$2000='Agg prdcrv'!$A33,IF('AEO 2012 prdcrv'!$H$7:$H$2000="2010",IF('AEO 2012 prdcrv'!$I$7:$I$2000="Prices",'AEO 2012 prdcrv'!D$7:D$2000,0))))</f>
        <v>37.04</v>
      </c>
      <c r="O33" s="205">
        <f t="array" ref="O33">SUM(IF('AEO 2012 prdcrv'!$A$7:$A$2000='Agg prdcrv'!$A33,IF('AEO 2012 prdcrv'!$H$7:$H$2000="2010",IF('AEO 2012 prdcrv'!$I$7:$I$2000="Prices",'AEO 2012 prdcrv'!E$7:E$2000,0))))</f>
        <v>36.549999999999997</v>
      </c>
      <c r="P33" s="205">
        <f t="array" ref="P33">SUM(IF('AEO 2012 prdcrv'!$A$7:$A$2000='Agg prdcrv'!$A33,IF('AEO 2012 prdcrv'!$H$7:$H$2000="2010",IF('AEO 2012 prdcrv'!$I$7:$I$2000="Prices",'AEO 2012 prdcrv'!F$7:F$2000,0))))</f>
        <v>36.549999999999997</v>
      </c>
    </row>
    <row r="34" spans="1:16">
      <c r="A34" s="195" t="s">
        <v>458</v>
      </c>
      <c r="B34" s="205">
        <v>2010</v>
      </c>
      <c r="C34" s="205">
        <v>1</v>
      </c>
      <c r="D34" s="205">
        <f t="array" ref="D34">SUM(IF('AEO 2012 prdcrv'!$A$7:$A$2000='Agg prdcrv'!$A34,IF('AEO 2012 prdcrv'!$H$7:$H$2000="2010",IF('AEO 2012 prdcrv'!$I$7:$I$2000="Quantities",'AEO 2012 prdcrv'!B$7:B$2000,0))))</f>
        <v>0.56000000000000005</v>
      </c>
      <c r="E34" s="205">
        <f t="array" ref="E34">SUM(IF('AEO 2012 prdcrv'!$A$7:$A$2000='Agg prdcrv'!$A34,IF('AEO 2012 prdcrv'!$H$7:$H$2000="2010",IF('AEO 2012 prdcrv'!$I$7:$I$2000="Quantities",'AEO 2012 prdcrv'!C$7:C$2000,0))))</f>
        <v>0</v>
      </c>
      <c r="F34" s="205">
        <f t="array" ref="F34">SUM(IF('AEO 2012 prdcrv'!$A$7:$A$2000='Agg prdcrv'!$A34,IF('AEO 2012 prdcrv'!$H$7:$H$2000="2010",IF('AEO 2012 prdcrv'!$I$7:$I$2000="Quantities",'AEO 2012 prdcrv'!D$7:D$2000,0))))</f>
        <v>0</v>
      </c>
      <c r="G34" s="205">
        <f t="array" ref="G34">SUM(IF('AEO 2012 prdcrv'!$A$7:$A$2000='Agg prdcrv'!$A34,IF('AEO 2012 prdcrv'!$H$7:$H$2000="2010",IF('AEO 2012 prdcrv'!$I$7:$I$2000="Quantities",'AEO 2012 prdcrv'!E$7:E$2000,0))))</f>
        <v>0</v>
      </c>
      <c r="H34" s="205">
        <f t="array" ref="H34">SUM(IF('AEO 2012 prdcrv'!$A$7:$A$2000='Agg prdcrv'!$A34,IF('AEO 2012 prdcrv'!$H$7:$H$2000="2010",IF('AEO 2012 prdcrv'!$I$7:$I$2000="Quantities",'AEO 2012 prdcrv'!F$7:F$2000,0))))</f>
        <v>0.77</v>
      </c>
      <c r="J34" s="205">
        <v>2010</v>
      </c>
      <c r="K34" s="205">
        <v>1</v>
      </c>
      <c r="L34" s="205">
        <f t="array" ref="L34">SUM(IF('AEO 2012 prdcrv'!$A$7:$A$2000='Agg prdcrv'!$A34,IF('AEO 2012 prdcrv'!$H$7:$H$2000="2010",IF('AEO 2012 prdcrv'!$I$7:$I$2000="Prices",'AEO 2012 prdcrv'!B$7:B$2000,0))))</f>
        <v>47.76</v>
      </c>
      <c r="M34" s="205">
        <f t="array" ref="M34">SUM(IF('AEO 2012 prdcrv'!$A$7:$A$2000='Agg prdcrv'!$A34,IF('AEO 2012 prdcrv'!$H$7:$H$2000="2010",IF('AEO 2012 prdcrv'!$I$7:$I$2000="Prices",'AEO 2012 prdcrv'!C$7:C$2000,0))))</f>
        <v>46.94</v>
      </c>
      <c r="N34" s="205">
        <f t="array" ref="N34">SUM(IF('AEO 2012 prdcrv'!$A$7:$A$2000='Agg prdcrv'!$A34,IF('AEO 2012 prdcrv'!$H$7:$H$2000="2010",IF('AEO 2012 prdcrv'!$I$7:$I$2000="Prices",'AEO 2012 prdcrv'!D$7:D$2000,0))))</f>
        <v>46.48</v>
      </c>
      <c r="O34" s="205">
        <f t="array" ref="O34">SUM(IF('AEO 2012 prdcrv'!$A$7:$A$2000='Agg prdcrv'!$A34,IF('AEO 2012 prdcrv'!$H$7:$H$2000="2010",IF('AEO 2012 prdcrv'!$I$7:$I$2000="Prices",'AEO 2012 prdcrv'!E$7:E$2000,0))))</f>
        <v>48.44</v>
      </c>
      <c r="P34" s="205">
        <f t="array" ref="P34">SUM(IF('AEO 2012 prdcrv'!$A$7:$A$2000='Agg prdcrv'!$A34,IF('AEO 2012 prdcrv'!$H$7:$H$2000="2010",IF('AEO 2012 prdcrv'!$I$7:$I$2000="Prices",'AEO 2012 prdcrv'!F$7:F$2000,0))))</f>
        <v>46.06</v>
      </c>
    </row>
    <row r="35" spans="1:16">
      <c r="A35" s="195" t="s">
        <v>148</v>
      </c>
      <c r="B35" s="205">
        <v>2010</v>
      </c>
      <c r="C35" s="205">
        <v>1</v>
      </c>
      <c r="D35" s="205">
        <f t="array" ref="D35">SUM(IF('AEO 2012 prdcrv'!$A$7:$A$2000='Agg prdcrv'!$A35,IF('AEO 2012 prdcrv'!$H$7:$H$2000="2010",IF('AEO 2012 prdcrv'!$I$7:$I$2000="Quantities",'AEO 2012 prdcrv'!B$7:B$2000,0))))</f>
        <v>273.04000000000002</v>
      </c>
      <c r="E35" s="205">
        <f t="array" ref="E35">SUM(IF('AEO 2012 prdcrv'!$A$7:$A$2000='Agg prdcrv'!$A35,IF('AEO 2012 prdcrv'!$H$7:$H$2000="2010",IF('AEO 2012 prdcrv'!$I$7:$I$2000="Quantities",'AEO 2012 prdcrv'!C$7:C$2000,0))))</f>
        <v>0.87</v>
      </c>
      <c r="F35" s="205">
        <f t="array" ref="F35">SUM(IF('AEO 2012 prdcrv'!$A$7:$A$2000='Agg prdcrv'!$A35,IF('AEO 2012 prdcrv'!$H$7:$H$2000="2010",IF('AEO 2012 prdcrv'!$I$7:$I$2000="Quantities",'AEO 2012 prdcrv'!D$7:D$2000,0))))</f>
        <v>5.24</v>
      </c>
      <c r="G35" s="205">
        <f t="array" ref="G35">SUM(IF('AEO 2012 prdcrv'!$A$7:$A$2000='Agg prdcrv'!$A35,IF('AEO 2012 prdcrv'!$H$7:$H$2000="2010",IF('AEO 2012 prdcrv'!$I$7:$I$2000="Quantities",'AEO 2012 prdcrv'!E$7:E$2000,0))))</f>
        <v>0.87</v>
      </c>
      <c r="H35" s="205">
        <f t="array" ref="H35">SUM(IF('AEO 2012 prdcrv'!$A$7:$A$2000='Agg prdcrv'!$A35,IF('AEO 2012 prdcrv'!$H$7:$H$2000="2010",IF('AEO 2012 prdcrv'!$I$7:$I$2000="Quantities",'AEO 2012 prdcrv'!F$7:F$2000,0))))</f>
        <v>23.42</v>
      </c>
      <c r="J35" s="205">
        <v>2010</v>
      </c>
      <c r="K35" s="205">
        <v>1</v>
      </c>
      <c r="L35" s="205">
        <f t="array" ref="L35">SUM(IF('AEO 2012 prdcrv'!$A$7:$A$2000='Agg prdcrv'!$A35,IF('AEO 2012 prdcrv'!$H$7:$H$2000="2010",IF('AEO 2012 prdcrv'!$I$7:$I$2000="Prices",'AEO 2012 prdcrv'!B$7:B$2000,0))))</f>
        <v>59.99</v>
      </c>
      <c r="M35" s="205">
        <f t="array" ref="M35">SUM(IF('AEO 2012 prdcrv'!$A$7:$A$2000='Agg prdcrv'!$A35,IF('AEO 2012 prdcrv'!$H$7:$H$2000="2010",IF('AEO 2012 prdcrv'!$I$7:$I$2000="Prices",'AEO 2012 prdcrv'!C$7:C$2000,0))))</f>
        <v>57.94</v>
      </c>
      <c r="N35" s="205">
        <f t="array" ref="N35">SUM(IF('AEO 2012 prdcrv'!$A$7:$A$2000='Agg prdcrv'!$A35,IF('AEO 2012 prdcrv'!$H$7:$H$2000="2010",IF('AEO 2012 prdcrv'!$I$7:$I$2000="Prices",'AEO 2012 prdcrv'!D$7:D$2000,0))))</f>
        <v>57.53</v>
      </c>
      <c r="O35" s="205">
        <f t="array" ref="O35">SUM(IF('AEO 2012 prdcrv'!$A$7:$A$2000='Agg prdcrv'!$A35,IF('AEO 2012 prdcrv'!$H$7:$H$2000="2010",IF('AEO 2012 prdcrv'!$I$7:$I$2000="Prices",'AEO 2012 prdcrv'!E$7:E$2000,0))))</f>
        <v>60.17</v>
      </c>
      <c r="P35" s="205">
        <f t="array" ref="P35">SUM(IF('AEO 2012 prdcrv'!$A$7:$A$2000='Agg prdcrv'!$A35,IF('AEO 2012 prdcrv'!$H$7:$H$2000="2010",IF('AEO 2012 prdcrv'!$I$7:$I$2000="Prices",'AEO 2012 prdcrv'!F$7:F$2000,0))))</f>
        <v>57.56</v>
      </c>
    </row>
    <row r="36" spans="1:16">
      <c r="A36" s="195" t="s">
        <v>149</v>
      </c>
      <c r="B36" s="205">
        <v>2010</v>
      </c>
      <c r="C36" s="205">
        <v>1</v>
      </c>
      <c r="D36" s="205">
        <f t="array" ref="D36">SUM(IF('AEO 2012 prdcrv'!$A$7:$A$2000='Agg prdcrv'!$A36,IF('AEO 2012 prdcrv'!$H$7:$H$2000="2010",IF('AEO 2012 prdcrv'!$I$7:$I$2000="Quantities",'AEO 2012 prdcrv'!B$7:B$2000,0))))</f>
        <v>285.27</v>
      </c>
      <c r="E36" s="205">
        <f t="array" ref="E36">SUM(IF('AEO 2012 prdcrv'!$A$7:$A$2000='Agg prdcrv'!$A36,IF('AEO 2012 prdcrv'!$H$7:$H$2000="2010",IF('AEO 2012 prdcrv'!$I$7:$I$2000="Quantities",'AEO 2012 prdcrv'!C$7:C$2000,0))))</f>
        <v>0.92</v>
      </c>
      <c r="F36" s="205">
        <f t="array" ref="F36">SUM(IF('AEO 2012 prdcrv'!$A$7:$A$2000='Agg prdcrv'!$A36,IF('AEO 2012 prdcrv'!$H$7:$H$2000="2010",IF('AEO 2012 prdcrv'!$I$7:$I$2000="Quantities",'AEO 2012 prdcrv'!D$7:D$2000,0))))</f>
        <v>5.47</v>
      </c>
      <c r="G36" s="205">
        <f t="array" ref="G36">SUM(IF('AEO 2012 prdcrv'!$A$7:$A$2000='Agg prdcrv'!$A36,IF('AEO 2012 prdcrv'!$H$7:$H$2000="2010",IF('AEO 2012 prdcrv'!$I$7:$I$2000="Quantities",'AEO 2012 prdcrv'!E$7:E$2000,0))))</f>
        <v>0.92</v>
      </c>
      <c r="H36" s="205">
        <f t="array" ref="H36">SUM(IF('AEO 2012 prdcrv'!$A$7:$A$2000='Agg prdcrv'!$A36,IF('AEO 2012 prdcrv'!$H$7:$H$2000="2010",IF('AEO 2012 prdcrv'!$I$7:$I$2000="Quantities",'AEO 2012 prdcrv'!F$7:F$2000,0))))</f>
        <v>44.35</v>
      </c>
      <c r="J36" s="205">
        <v>2010</v>
      </c>
      <c r="K36" s="205">
        <v>1</v>
      </c>
      <c r="L36" s="205">
        <f t="array" ref="L36">SUM(IF('AEO 2012 prdcrv'!$A$7:$A$2000='Agg prdcrv'!$A36,IF('AEO 2012 prdcrv'!$H$7:$H$2000="2010",IF('AEO 2012 prdcrv'!$I$7:$I$2000="Prices",'AEO 2012 prdcrv'!B$7:B$2000,0))))</f>
        <v>34.409999999999997</v>
      </c>
      <c r="M36" s="205">
        <f t="array" ref="M36">SUM(IF('AEO 2012 prdcrv'!$A$7:$A$2000='Agg prdcrv'!$A36,IF('AEO 2012 prdcrv'!$H$7:$H$2000="2010",IF('AEO 2012 prdcrv'!$I$7:$I$2000="Prices",'AEO 2012 prdcrv'!C$7:C$2000,0))))</f>
        <v>37.18</v>
      </c>
      <c r="N36" s="205">
        <f t="array" ref="N36">SUM(IF('AEO 2012 prdcrv'!$A$7:$A$2000='Agg prdcrv'!$A36,IF('AEO 2012 prdcrv'!$H$7:$H$2000="2010",IF('AEO 2012 prdcrv'!$I$7:$I$2000="Prices",'AEO 2012 prdcrv'!D$7:D$2000,0))))</f>
        <v>37.700000000000003</v>
      </c>
      <c r="O36" s="205">
        <f t="array" ref="O36">SUM(IF('AEO 2012 prdcrv'!$A$7:$A$2000='Agg prdcrv'!$A36,IF('AEO 2012 prdcrv'!$H$7:$H$2000="2010",IF('AEO 2012 prdcrv'!$I$7:$I$2000="Prices",'AEO 2012 prdcrv'!E$7:E$2000,0))))</f>
        <v>36.729999999999997</v>
      </c>
      <c r="P36" s="205">
        <f t="array" ref="P36">SUM(IF('AEO 2012 prdcrv'!$A$7:$A$2000='Agg prdcrv'!$A36,IF('AEO 2012 prdcrv'!$H$7:$H$2000="2010",IF('AEO 2012 prdcrv'!$I$7:$I$2000="Prices",'AEO 2012 prdcrv'!F$7:F$2000,0))))</f>
        <v>32.450000000000003</v>
      </c>
    </row>
    <row r="37" spans="1:16">
      <c r="A37" s="195" t="s">
        <v>19</v>
      </c>
      <c r="B37" s="205">
        <v>2010</v>
      </c>
      <c r="C37" s="205">
        <v>1</v>
      </c>
      <c r="D37" s="205">
        <f t="array" ref="D37">SUM(IF('AEO 2012 prdcrv'!$A$7:$A$2000='Agg prdcrv'!$A37,IF('AEO 2012 prdcrv'!$H$7:$H$2000="2010",IF('AEO 2012 prdcrv'!$I$7:$I$2000="Quantities",'AEO 2012 prdcrv'!B$7:B$2000,0))))</f>
        <v>43.43</v>
      </c>
      <c r="E37" s="205">
        <f t="array" ref="E37">SUM(IF('AEO 2012 prdcrv'!$A$7:$A$2000='Agg prdcrv'!$A37,IF('AEO 2012 prdcrv'!$H$7:$H$2000="2010",IF('AEO 2012 prdcrv'!$I$7:$I$2000="Quantities",'AEO 2012 prdcrv'!C$7:C$2000,0))))</f>
        <v>0</v>
      </c>
      <c r="F37" s="205">
        <f t="array" ref="F37">SUM(IF('AEO 2012 prdcrv'!$A$7:$A$2000='Agg prdcrv'!$A37,IF('AEO 2012 prdcrv'!$H$7:$H$2000="2010",IF('AEO 2012 prdcrv'!$I$7:$I$2000="Quantities",'AEO 2012 prdcrv'!D$7:D$2000,0))))</f>
        <v>4.79</v>
      </c>
      <c r="G37" s="205">
        <f t="array" ref="G37">SUM(IF('AEO 2012 prdcrv'!$A$7:$A$2000='Agg prdcrv'!$A37,IF('AEO 2012 prdcrv'!$H$7:$H$2000="2010",IF('AEO 2012 prdcrv'!$I$7:$I$2000="Quantities",'AEO 2012 prdcrv'!E$7:E$2000,0))))</f>
        <v>0</v>
      </c>
      <c r="H37" s="205">
        <f t="array" ref="H37">SUM(IF('AEO 2012 prdcrv'!$A$7:$A$2000='Agg prdcrv'!$A37,IF('AEO 2012 prdcrv'!$H$7:$H$2000="2010",IF('AEO 2012 prdcrv'!$I$7:$I$2000="Quantities",'AEO 2012 prdcrv'!F$7:F$2000,0))))</f>
        <v>14.48</v>
      </c>
      <c r="J37" s="205">
        <v>2010</v>
      </c>
      <c r="K37" s="205">
        <v>1</v>
      </c>
      <c r="L37" s="205">
        <f t="array" ref="L37">SUM(IF('AEO 2012 prdcrv'!$A$7:$A$2000='Agg prdcrv'!$A37,IF('AEO 2012 prdcrv'!$H$7:$H$2000="2010",IF('AEO 2012 prdcrv'!$I$7:$I$2000="Prices",'AEO 2012 prdcrv'!B$7:B$2000,0))))</f>
        <v>49.38</v>
      </c>
      <c r="M37" s="205">
        <f t="array" ref="M37">SUM(IF('AEO 2012 prdcrv'!$A$7:$A$2000='Agg prdcrv'!$A37,IF('AEO 2012 prdcrv'!$H$7:$H$2000="2010",IF('AEO 2012 prdcrv'!$I$7:$I$2000="Prices",'AEO 2012 prdcrv'!C$7:C$2000,0))))</f>
        <v>48.41</v>
      </c>
      <c r="N37" s="205">
        <f t="array" ref="N37">SUM(IF('AEO 2012 prdcrv'!$A$7:$A$2000='Agg prdcrv'!$A37,IF('AEO 2012 prdcrv'!$H$7:$H$2000="2010",IF('AEO 2012 prdcrv'!$I$7:$I$2000="Prices",'AEO 2012 prdcrv'!D$7:D$2000,0))))</f>
        <v>48.64</v>
      </c>
      <c r="O37" s="205">
        <f t="array" ref="O37">SUM(IF('AEO 2012 prdcrv'!$A$7:$A$2000='Agg prdcrv'!$A37,IF('AEO 2012 prdcrv'!$H$7:$H$2000="2010",IF('AEO 2012 prdcrv'!$I$7:$I$2000="Prices",'AEO 2012 prdcrv'!E$7:E$2000,0))))</f>
        <v>49.87</v>
      </c>
      <c r="P37" s="205">
        <f t="array" ref="P37">SUM(IF('AEO 2012 prdcrv'!$A$7:$A$2000='Agg prdcrv'!$A37,IF('AEO 2012 prdcrv'!$H$7:$H$2000="2010",IF('AEO 2012 prdcrv'!$I$7:$I$2000="Prices",'AEO 2012 prdcrv'!F$7:F$2000,0))))</f>
        <v>49.6</v>
      </c>
    </row>
    <row r="38" spans="1:16">
      <c r="A38" s="195" t="s">
        <v>150</v>
      </c>
      <c r="B38" s="205">
        <v>2010</v>
      </c>
      <c r="C38" s="205">
        <v>1</v>
      </c>
      <c r="D38" s="205">
        <f t="array" ref="D38">SUM(IF('AEO 2012 prdcrv'!$A$7:$A$2000='Agg prdcrv'!$A38,IF('AEO 2012 prdcrv'!$H$7:$H$2000="2010",IF('AEO 2012 prdcrv'!$I$7:$I$2000="Quantities",'AEO 2012 prdcrv'!B$7:B$2000,0))))</f>
        <v>16.04</v>
      </c>
      <c r="E38" s="205">
        <f t="array" ref="E38">SUM(IF('AEO 2012 prdcrv'!$A$7:$A$2000='Agg prdcrv'!$A38,IF('AEO 2012 prdcrv'!$H$7:$H$2000="2010",IF('AEO 2012 prdcrv'!$I$7:$I$2000="Quantities",'AEO 2012 prdcrv'!C$7:C$2000,0))))</f>
        <v>0</v>
      </c>
      <c r="F38" s="205">
        <f t="array" ref="F38">SUM(IF('AEO 2012 prdcrv'!$A$7:$A$2000='Agg prdcrv'!$A38,IF('AEO 2012 prdcrv'!$H$7:$H$2000="2010",IF('AEO 2012 prdcrv'!$I$7:$I$2000="Quantities",'AEO 2012 prdcrv'!D$7:D$2000,0))))</f>
        <v>120.88</v>
      </c>
      <c r="G38" s="205">
        <f t="array" ref="G38">SUM(IF('AEO 2012 prdcrv'!$A$7:$A$2000='Agg prdcrv'!$A38,IF('AEO 2012 prdcrv'!$H$7:$H$2000="2010",IF('AEO 2012 prdcrv'!$I$7:$I$2000="Quantities",'AEO 2012 prdcrv'!E$7:E$2000,0))))</f>
        <v>0</v>
      </c>
      <c r="H38" s="205">
        <f t="array" ref="H38">SUM(IF('AEO 2012 prdcrv'!$A$7:$A$2000='Agg prdcrv'!$A38,IF('AEO 2012 prdcrv'!$H$7:$H$2000="2010",IF('AEO 2012 prdcrv'!$I$7:$I$2000="Quantities",'AEO 2012 prdcrv'!F$7:F$2000,0))))</f>
        <v>24.19</v>
      </c>
      <c r="J38" s="205">
        <v>2010</v>
      </c>
      <c r="K38" s="205">
        <v>1</v>
      </c>
      <c r="L38" s="205">
        <f t="array" ref="L38">SUM(IF('AEO 2012 prdcrv'!$A$7:$A$2000='Agg prdcrv'!$A38,IF('AEO 2012 prdcrv'!$H$7:$H$2000="2010",IF('AEO 2012 prdcrv'!$I$7:$I$2000="Prices",'AEO 2012 prdcrv'!B$7:B$2000,0))))</f>
        <v>22.44</v>
      </c>
      <c r="M38" s="205">
        <f t="array" ref="M38">SUM(IF('AEO 2012 prdcrv'!$A$7:$A$2000='Agg prdcrv'!$A38,IF('AEO 2012 prdcrv'!$H$7:$H$2000="2010",IF('AEO 2012 prdcrv'!$I$7:$I$2000="Prices",'AEO 2012 prdcrv'!C$7:C$2000,0))))</f>
        <v>22</v>
      </c>
      <c r="N38" s="205">
        <f t="array" ref="N38">SUM(IF('AEO 2012 prdcrv'!$A$7:$A$2000='Agg prdcrv'!$A38,IF('AEO 2012 prdcrv'!$H$7:$H$2000="2010",IF('AEO 2012 prdcrv'!$I$7:$I$2000="Prices",'AEO 2012 prdcrv'!D$7:D$2000,0))))</f>
        <v>22.11</v>
      </c>
      <c r="O38" s="205">
        <f t="array" ref="O38">SUM(IF('AEO 2012 prdcrv'!$A$7:$A$2000='Agg prdcrv'!$A38,IF('AEO 2012 prdcrv'!$H$7:$H$2000="2010",IF('AEO 2012 prdcrv'!$I$7:$I$2000="Prices",'AEO 2012 prdcrv'!E$7:E$2000,0))))</f>
        <v>22.67</v>
      </c>
      <c r="P38" s="205">
        <f t="array" ref="P38">SUM(IF('AEO 2012 prdcrv'!$A$7:$A$2000='Agg prdcrv'!$A38,IF('AEO 2012 prdcrv'!$H$7:$H$2000="2010",IF('AEO 2012 prdcrv'!$I$7:$I$2000="Prices",'AEO 2012 prdcrv'!F$7:F$2000,0))))</f>
        <v>22.55</v>
      </c>
    </row>
    <row r="39" spans="1:16">
      <c r="A39" s="195" t="s">
        <v>151</v>
      </c>
      <c r="B39" s="205">
        <v>2010</v>
      </c>
      <c r="C39" s="205">
        <v>1</v>
      </c>
      <c r="D39" s="205">
        <f t="array" ref="D39">SUM(IF('AEO 2012 prdcrv'!$A$7:$A$2000='Agg prdcrv'!$A39,IF('AEO 2012 prdcrv'!$H$7:$H$2000="2010",IF('AEO 2012 prdcrv'!$I$7:$I$2000="Quantities",'AEO 2012 prdcrv'!B$7:B$2000,0))))</f>
        <v>14</v>
      </c>
      <c r="E39" s="205">
        <f t="array" ref="E39">SUM(IF('AEO 2012 prdcrv'!$A$7:$A$2000='Agg prdcrv'!$A39,IF('AEO 2012 prdcrv'!$H$7:$H$2000="2010",IF('AEO 2012 prdcrv'!$I$7:$I$2000="Quantities",'AEO 2012 prdcrv'!C$7:C$2000,0))))</f>
        <v>1.2</v>
      </c>
      <c r="F39" s="205">
        <f t="array" ref="F39">SUM(IF('AEO 2012 prdcrv'!$A$7:$A$2000='Agg prdcrv'!$A39,IF('AEO 2012 prdcrv'!$H$7:$H$2000="2010",IF('AEO 2012 prdcrv'!$I$7:$I$2000="Quantities",'AEO 2012 prdcrv'!D$7:D$2000,0))))</f>
        <v>315.05</v>
      </c>
      <c r="G39" s="205">
        <f t="array" ref="G39">SUM(IF('AEO 2012 prdcrv'!$A$7:$A$2000='Agg prdcrv'!$A39,IF('AEO 2012 prdcrv'!$H$7:$H$2000="2010",IF('AEO 2012 prdcrv'!$I$7:$I$2000="Quantities",'AEO 2012 prdcrv'!E$7:E$2000,0))))</f>
        <v>0.78</v>
      </c>
      <c r="H39" s="205">
        <f t="array" ref="H39">SUM(IF('AEO 2012 prdcrv'!$A$7:$A$2000='Agg prdcrv'!$A39,IF('AEO 2012 prdcrv'!$H$7:$H$2000="2010",IF('AEO 2012 prdcrv'!$I$7:$I$2000="Quantities",'AEO 2012 prdcrv'!F$7:F$2000,0))))</f>
        <v>13.18</v>
      </c>
      <c r="J39" s="205">
        <v>2010</v>
      </c>
      <c r="K39" s="205">
        <v>1</v>
      </c>
      <c r="L39" s="205">
        <f t="array" ref="L39">SUM(IF('AEO 2012 prdcrv'!$A$7:$A$2000='Agg prdcrv'!$A39,IF('AEO 2012 prdcrv'!$H$7:$H$2000="2010",IF('AEO 2012 prdcrv'!$I$7:$I$2000="Prices",'AEO 2012 prdcrv'!B$7:B$2000,0))))</f>
        <v>27.43</v>
      </c>
      <c r="M39" s="205">
        <f t="array" ref="M39">SUM(IF('AEO 2012 prdcrv'!$A$7:$A$2000='Agg prdcrv'!$A39,IF('AEO 2012 prdcrv'!$H$7:$H$2000="2010",IF('AEO 2012 prdcrv'!$I$7:$I$2000="Prices",'AEO 2012 prdcrv'!C$7:C$2000,0))))</f>
        <v>26.89</v>
      </c>
      <c r="N39" s="205">
        <f t="array" ref="N39">SUM(IF('AEO 2012 prdcrv'!$A$7:$A$2000='Agg prdcrv'!$A39,IF('AEO 2012 prdcrv'!$H$7:$H$2000="2010",IF('AEO 2012 prdcrv'!$I$7:$I$2000="Prices",'AEO 2012 prdcrv'!D$7:D$2000,0))))</f>
        <v>27.02</v>
      </c>
      <c r="O39" s="205">
        <f t="array" ref="O39">SUM(IF('AEO 2012 prdcrv'!$A$7:$A$2000='Agg prdcrv'!$A39,IF('AEO 2012 prdcrv'!$H$7:$H$2000="2010",IF('AEO 2012 prdcrv'!$I$7:$I$2000="Prices",'AEO 2012 prdcrv'!E$7:E$2000,0))))</f>
        <v>27.71</v>
      </c>
      <c r="P39" s="205">
        <f t="array" ref="P39">SUM(IF('AEO 2012 prdcrv'!$A$7:$A$2000='Agg prdcrv'!$A39,IF('AEO 2012 prdcrv'!$H$7:$H$2000="2010",IF('AEO 2012 prdcrv'!$I$7:$I$2000="Prices",'AEO 2012 prdcrv'!F$7:F$2000,0))))</f>
        <v>27.56</v>
      </c>
    </row>
    <row r="40" spans="1:16">
      <c r="A40" s="195" t="s">
        <v>152</v>
      </c>
      <c r="B40" s="205">
        <v>2010</v>
      </c>
      <c r="C40" s="205">
        <v>1</v>
      </c>
      <c r="D40" s="205">
        <f t="array" ref="D40">SUM(IF('AEO 2012 prdcrv'!$A$7:$A$2000='Agg prdcrv'!$A40,IF('AEO 2012 prdcrv'!$H$7:$H$2000="2010",IF('AEO 2012 prdcrv'!$I$7:$I$2000="Quantities",'AEO 2012 prdcrv'!B$7:B$2000,0))))</f>
        <v>84.47</v>
      </c>
      <c r="E40" s="205">
        <f t="array" ref="E40">SUM(IF('AEO 2012 prdcrv'!$A$7:$A$2000='Agg prdcrv'!$A40,IF('AEO 2012 prdcrv'!$H$7:$H$2000="2010",IF('AEO 2012 prdcrv'!$I$7:$I$2000="Quantities",'AEO 2012 prdcrv'!C$7:C$2000,0))))</f>
        <v>0.79</v>
      </c>
      <c r="F40" s="205">
        <f t="array" ref="F40">SUM(IF('AEO 2012 prdcrv'!$A$7:$A$2000='Agg prdcrv'!$A40,IF('AEO 2012 prdcrv'!$H$7:$H$2000="2010",IF('AEO 2012 prdcrv'!$I$7:$I$2000="Quantities",'AEO 2012 prdcrv'!D$7:D$2000,0))))</f>
        <v>167.55</v>
      </c>
      <c r="G40" s="205">
        <f t="array" ref="G40">SUM(IF('AEO 2012 prdcrv'!$A$7:$A$2000='Agg prdcrv'!$A40,IF('AEO 2012 prdcrv'!$H$7:$H$2000="2010",IF('AEO 2012 prdcrv'!$I$7:$I$2000="Quantities",'AEO 2012 prdcrv'!E$7:E$2000,0))))</f>
        <v>0</v>
      </c>
      <c r="H40" s="205">
        <f t="array" ref="H40">SUM(IF('AEO 2012 prdcrv'!$A$7:$A$2000='Agg prdcrv'!$A40,IF('AEO 2012 prdcrv'!$H$7:$H$2000="2010",IF('AEO 2012 prdcrv'!$I$7:$I$2000="Quantities",'AEO 2012 prdcrv'!F$7:F$2000,0))))</f>
        <v>47.36</v>
      </c>
      <c r="J40" s="205">
        <v>2010</v>
      </c>
      <c r="K40" s="205">
        <v>1</v>
      </c>
      <c r="L40" s="205">
        <f t="array" ref="L40">SUM(IF('AEO 2012 prdcrv'!$A$7:$A$2000='Agg prdcrv'!$A40,IF('AEO 2012 prdcrv'!$H$7:$H$2000="2010",IF('AEO 2012 prdcrv'!$I$7:$I$2000="Prices",'AEO 2012 prdcrv'!B$7:B$2000,0))))</f>
        <v>20.57</v>
      </c>
      <c r="M40" s="205">
        <f t="array" ref="M40">SUM(IF('AEO 2012 prdcrv'!$A$7:$A$2000='Agg prdcrv'!$A40,IF('AEO 2012 prdcrv'!$H$7:$H$2000="2010",IF('AEO 2012 prdcrv'!$I$7:$I$2000="Prices",'AEO 2012 prdcrv'!C$7:C$2000,0))))</f>
        <v>20.170000000000002</v>
      </c>
      <c r="N40" s="205">
        <f t="array" ref="N40">SUM(IF('AEO 2012 prdcrv'!$A$7:$A$2000='Agg prdcrv'!$A40,IF('AEO 2012 prdcrv'!$H$7:$H$2000="2010",IF('AEO 2012 prdcrv'!$I$7:$I$2000="Prices",'AEO 2012 prdcrv'!D$7:D$2000,0))))</f>
        <v>20.27</v>
      </c>
      <c r="O40" s="205">
        <f t="array" ref="O40">SUM(IF('AEO 2012 prdcrv'!$A$7:$A$2000='Agg prdcrv'!$A40,IF('AEO 2012 prdcrv'!$H$7:$H$2000="2010",IF('AEO 2012 prdcrv'!$I$7:$I$2000="Prices",'AEO 2012 prdcrv'!E$7:E$2000,0))))</f>
        <v>20.78</v>
      </c>
      <c r="P40" s="205">
        <f t="array" ref="P40">SUM(IF('AEO 2012 prdcrv'!$A$7:$A$2000='Agg prdcrv'!$A40,IF('AEO 2012 prdcrv'!$H$7:$H$2000="2010",IF('AEO 2012 prdcrv'!$I$7:$I$2000="Prices",'AEO 2012 prdcrv'!F$7:F$2000,0))))</f>
        <v>20.67</v>
      </c>
    </row>
    <row r="41" spans="1:16">
      <c r="A41" s="204" t="s">
        <v>588</v>
      </c>
    </row>
    <row r="42" spans="1:16">
      <c r="A42" s="195" t="s">
        <v>25</v>
      </c>
      <c r="B42" s="205">
        <v>2015</v>
      </c>
      <c r="C42" s="205">
        <v>1</v>
      </c>
      <c r="D42" s="205">
        <f t="array" ref="D42">SUM(IF('AEO 2012 prdcrv'!$A$7:$A$2000='Agg prdcrv'!$A42,IF('AEO 2012 prdcrv'!$H$7:$H$2000="2015",IF('AEO 2012 prdcrv'!$I$7:$I$2000="Quantities",'AEO 2012 prdcrv'!B$7:B$2000,0))))</f>
        <v>0</v>
      </c>
      <c r="E42" s="205">
        <f t="array" ref="E42">SUM(IF('AEO 2012 prdcrv'!$A$7:$A$2000='Agg prdcrv'!$A42,IF('AEO 2012 prdcrv'!$H$7:$H$2000="2015",IF('AEO 2012 prdcrv'!$I$7:$I$2000="Quantities",'AEO 2012 prdcrv'!C$7:C$2000,0))))</f>
        <v>0</v>
      </c>
      <c r="F42" s="205">
        <f t="array" ref="F42">SUM(IF('AEO 2012 prdcrv'!$A$7:$A$2000='Agg prdcrv'!$A42,IF('AEO 2012 prdcrv'!$H$7:$H$2000="2015",IF('AEO 2012 prdcrv'!$I$7:$I$2000="Quantities",'AEO 2012 prdcrv'!D$7:D$2000,0))))</f>
        <v>0</v>
      </c>
      <c r="G42" s="205">
        <f t="array" ref="G42">SUM(IF('AEO 2012 prdcrv'!$A$7:$A$2000='Agg prdcrv'!$A42,IF('AEO 2012 prdcrv'!$H$7:$H$2000="2015",IF('AEO 2012 prdcrv'!$I$7:$I$2000="Quantities",'AEO 2012 prdcrv'!E$7:E$2000,0))))</f>
        <v>0</v>
      </c>
      <c r="H42" s="205">
        <f t="array" ref="H42">SUM(IF('AEO 2012 prdcrv'!$A$7:$A$2000='Agg prdcrv'!$A42,IF('AEO 2012 prdcrv'!$H$7:$H$2000="2015",IF('AEO 2012 prdcrv'!$I$7:$I$2000="Quantities",'AEO 2012 prdcrv'!F$7:F$2000,0))))</f>
        <v>0</v>
      </c>
      <c r="J42" s="205">
        <v>2015</v>
      </c>
      <c r="K42" s="205">
        <v>1</v>
      </c>
      <c r="L42" s="205">
        <f t="array" ref="L42">SUM(IF('AEO 2012 prdcrv'!$A$7:$A$2000='Agg prdcrv'!$A42,IF('AEO 2012 prdcrv'!$H$7:$H$2000="2015",IF('AEO 2012 prdcrv'!$I$7:$I$2000="Prices",'AEO 2012 prdcrv'!B$7:B$2000,0))))</f>
        <v>113.56</v>
      </c>
      <c r="M42" s="205">
        <f t="array" ref="M42">SUM(IF('AEO 2012 prdcrv'!$A$7:$A$2000='Agg prdcrv'!$A42,IF('AEO 2012 prdcrv'!$H$7:$H$2000="2015",IF('AEO 2012 prdcrv'!$I$7:$I$2000="Prices",'AEO 2012 prdcrv'!C$7:C$2000,0))))</f>
        <v>113.5</v>
      </c>
      <c r="N42" s="205">
        <f t="array" ref="N42">SUM(IF('AEO 2012 prdcrv'!$A$7:$A$2000='Agg prdcrv'!$A42,IF('AEO 2012 prdcrv'!$H$7:$H$2000="2015",IF('AEO 2012 prdcrv'!$I$7:$I$2000="Prices",'AEO 2012 prdcrv'!D$7:D$2000,0))))</f>
        <v>113.56</v>
      </c>
      <c r="O42" s="205">
        <f t="array" ref="O42">SUM(IF('AEO 2012 prdcrv'!$A$7:$A$2000='Agg prdcrv'!$A42,IF('AEO 2012 prdcrv'!$H$7:$H$2000="2015",IF('AEO 2012 prdcrv'!$I$7:$I$2000="Prices",'AEO 2012 prdcrv'!E$7:E$2000,0))))</f>
        <v>113.3</v>
      </c>
      <c r="P42" s="205">
        <f t="array" ref="P42">SUM(IF('AEO 2012 prdcrv'!$A$7:$A$2000='Agg prdcrv'!$A42,IF('AEO 2012 prdcrv'!$H$7:$H$2000="2015",IF('AEO 2012 prdcrv'!$I$7:$I$2000="Prices",'AEO 2012 prdcrv'!F$7:F$2000,0))))</f>
        <v>113.5</v>
      </c>
    </row>
    <row r="43" spans="1:16">
      <c r="A43" s="195" t="s">
        <v>22</v>
      </c>
      <c r="B43" s="205">
        <v>2015</v>
      </c>
      <c r="C43" s="205">
        <v>1</v>
      </c>
      <c r="D43" s="205">
        <f t="array" ref="D43">SUM(IF('AEO 2012 prdcrv'!$A$7:$A$2000='Agg prdcrv'!$A43,IF('AEO 2012 prdcrv'!$H$7:$H$2000="2015",IF('AEO 2012 prdcrv'!$I$7:$I$2000="Quantities",'AEO 2012 prdcrv'!B$7:B$2000,0))))</f>
        <v>286.70999999999998</v>
      </c>
      <c r="E43" s="205">
        <f t="array" ref="E43">SUM(IF('AEO 2012 prdcrv'!$A$7:$A$2000='Agg prdcrv'!$A43,IF('AEO 2012 prdcrv'!$H$7:$H$2000="2015",IF('AEO 2012 prdcrv'!$I$7:$I$2000="Quantities",'AEO 2012 prdcrv'!C$7:C$2000,0))))</f>
        <v>1.0900000000000001</v>
      </c>
      <c r="F43" s="205">
        <f t="array" ref="F43">SUM(IF('AEO 2012 prdcrv'!$A$7:$A$2000='Agg prdcrv'!$A43,IF('AEO 2012 prdcrv'!$H$7:$H$2000="2015",IF('AEO 2012 prdcrv'!$I$7:$I$2000="Quantities",'AEO 2012 prdcrv'!D$7:D$2000,0))))</f>
        <v>30.76</v>
      </c>
      <c r="G43" s="205">
        <f t="array" ref="G43">SUM(IF('AEO 2012 prdcrv'!$A$7:$A$2000='Agg prdcrv'!$A43,IF('AEO 2012 prdcrv'!$H$7:$H$2000="2015",IF('AEO 2012 prdcrv'!$I$7:$I$2000="Quantities",'AEO 2012 prdcrv'!E$7:E$2000,0))))</f>
        <v>0</v>
      </c>
      <c r="H43" s="205">
        <f t="array" ref="H43">SUM(IF('AEO 2012 prdcrv'!$A$7:$A$2000='Agg prdcrv'!$A43,IF('AEO 2012 prdcrv'!$H$7:$H$2000="2015",IF('AEO 2012 prdcrv'!$I$7:$I$2000="Quantities",'AEO 2012 prdcrv'!F$7:F$2000,0))))</f>
        <v>21.3</v>
      </c>
      <c r="J43" s="205">
        <v>2015</v>
      </c>
      <c r="K43" s="205">
        <v>1</v>
      </c>
      <c r="L43" s="205">
        <f t="array" ref="L43">SUM(IF('AEO 2012 prdcrv'!$A$7:$A$2000='Agg prdcrv'!$A43,IF('AEO 2012 prdcrv'!$H$7:$H$2000="2015",IF('AEO 2012 prdcrv'!$I$7:$I$2000="Prices",'AEO 2012 prdcrv'!B$7:B$2000,0))))</f>
        <v>43.2</v>
      </c>
      <c r="M43" s="205">
        <f t="array" ref="M43">SUM(IF('AEO 2012 prdcrv'!$A$7:$A$2000='Agg prdcrv'!$A43,IF('AEO 2012 prdcrv'!$H$7:$H$2000="2015",IF('AEO 2012 prdcrv'!$I$7:$I$2000="Prices",'AEO 2012 prdcrv'!C$7:C$2000,0))))</f>
        <v>43.66</v>
      </c>
      <c r="N43" s="205">
        <f t="array" ref="N43">SUM(IF('AEO 2012 prdcrv'!$A$7:$A$2000='Agg prdcrv'!$A43,IF('AEO 2012 prdcrv'!$H$7:$H$2000="2015",IF('AEO 2012 prdcrv'!$I$7:$I$2000="Prices",'AEO 2012 prdcrv'!D$7:D$2000,0))))</f>
        <v>43.07</v>
      </c>
      <c r="O43" s="205">
        <f t="array" ref="O43">SUM(IF('AEO 2012 prdcrv'!$A$7:$A$2000='Agg prdcrv'!$A43,IF('AEO 2012 prdcrv'!$H$7:$H$2000="2015",IF('AEO 2012 prdcrv'!$I$7:$I$2000="Prices",'AEO 2012 prdcrv'!E$7:E$2000,0))))</f>
        <v>42.88</v>
      </c>
      <c r="P43" s="205">
        <f t="array" ref="P43">SUM(IF('AEO 2012 prdcrv'!$A$7:$A$2000='Agg prdcrv'!$A43,IF('AEO 2012 prdcrv'!$H$7:$H$2000="2015",IF('AEO 2012 prdcrv'!$I$7:$I$2000="Prices",'AEO 2012 prdcrv'!F$7:F$2000,0))))</f>
        <v>30.68</v>
      </c>
    </row>
    <row r="44" spans="1:16">
      <c r="A44" s="195" t="s">
        <v>15</v>
      </c>
      <c r="B44" s="205">
        <v>2015</v>
      </c>
      <c r="C44" s="205">
        <v>1</v>
      </c>
      <c r="D44" s="205">
        <f t="array" ref="D44">SUM(IF('AEO 2012 prdcrv'!$A$7:$A$2000='Agg prdcrv'!$A44,IF('AEO 2012 prdcrv'!$H$7:$H$2000="2015",IF('AEO 2012 prdcrv'!$I$7:$I$2000="Quantities",'AEO 2012 prdcrv'!B$7:B$2000,0))))</f>
        <v>182.61</v>
      </c>
      <c r="E44" s="205">
        <f t="array" ref="E44">SUM(IF('AEO 2012 prdcrv'!$A$7:$A$2000='Agg prdcrv'!$A44,IF('AEO 2012 prdcrv'!$H$7:$H$2000="2015",IF('AEO 2012 prdcrv'!$I$7:$I$2000="Quantities",'AEO 2012 prdcrv'!C$7:C$2000,0))))</f>
        <v>0.96</v>
      </c>
      <c r="F44" s="205">
        <f t="array" ref="F44">SUM(IF('AEO 2012 prdcrv'!$A$7:$A$2000='Agg prdcrv'!$A44,IF('AEO 2012 prdcrv'!$H$7:$H$2000="2015",IF('AEO 2012 prdcrv'!$I$7:$I$2000="Quantities",'AEO 2012 prdcrv'!D$7:D$2000,0))))</f>
        <v>9.08</v>
      </c>
      <c r="G44" s="205">
        <f t="array" ref="G44">SUM(IF('AEO 2012 prdcrv'!$A$7:$A$2000='Agg prdcrv'!$A44,IF('AEO 2012 prdcrv'!$H$7:$H$2000="2015",IF('AEO 2012 prdcrv'!$I$7:$I$2000="Quantities",'AEO 2012 prdcrv'!E$7:E$2000,0))))</f>
        <v>0.96</v>
      </c>
      <c r="H44" s="205">
        <f t="array" ref="H44">SUM(IF('AEO 2012 prdcrv'!$A$7:$A$2000='Agg prdcrv'!$A44,IF('AEO 2012 prdcrv'!$H$7:$H$2000="2015",IF('AEO 2012 prdcrv'!$I$7:$I$2000="Quantities",'AEO 2012 prdcrv'!F$7:F$2000,0))))</f>
        <v>5.42</v>
      </c>
      <c r="J44" s="205">
        <v>2015</v>
      </c>
      <c r="K44" s="205">
        <v>1</v>
      </c>
      <c r="L44" s="205">
        <f t="array" ref="L44">SUM(IF('AEO 2012 prdcrv'!$A$7:$A$2000='Agg prdcrv'!$A44,IF('AEO 2012 prdcrv'!$H$7:$H$2000="2015",IF('AEO 2012 prdcrv'!$I$7:$I$2000="Prices",'AEO 2012 prdcrv'!B$7:B$2000,0))))</f>
        <v>37.53</v>
      </c>
      <c r="M44" s="205">
        <f t="array" ref="M44">SUM(IF('AEO 2012 prdcrv'!$A$7:$A$2000='Agg prdcrv'!$A44,IF('AEO 2012 prdcrv'!$H$7:$H$2000="2015",IF('AEO 2012 prdcrv'!$I$7:$I$2000="Prices",'AEO 2012 prdcrv'!C$7:C$2000,0))))</f>
        <v>36.57</v>
      </c>
      <c r="N44" s="205">
        <f t="array" ref="N44">SUM(IF('AEO 2012 prdcrv'!$A$7:$A$2000='Agg prdcrv'!$A44,IF('AEO 2012 prdcrv'!$H$7:$H$2000="2015",IF('AEO 2012 prdcrv'!$I$7:$I$2000="Prices",'AEO 2012 prdcrv'!D$7:D$2000,0))))</f>
        <v>37.409999999999997</v>
      </c>
      <c r="O44" s="205">
        <f t="array" ref="O44">SUM(IF('AEO 2012 prdcrv'!$A$7:$A$2000='Agg prdcrv'!$A44,IF('AEO 2012 prdcrv'!$H$7:$H$2000="2015",IF('AEO 2012 prdcrv'!$I$7:$I$2000="Prices",'AEO 2012 prdcrv'!E$7:E$2000,0))))</f>
        <v>35.19</v>
      </c>
      <c r="P44" s="205">
        <f t="array" ref="P44">SUM(IF('AEO 2012 prdcrv'!$A$7:$A$2000='Agg prdcrv'!$A44,IF('AEO 2012 prdcrv'!$H$7:$H$2000="2015",IF('AEO 2012 prdcrv'!$I$7:$I$2000="Prices",'AEO 2012 prdcrv'!F$7:F$2000,0))))</f>
        <v>37.53</v>
      </c>
    </row>
    <row r="45" spans="1:16">
      <c r="A45" s="195" t="s">
        <v>16</v>
      </c>
      <c r="B45" s="205">
        <v>2015</v>
      </c>
      <c r="C45" s="205">
        <v>1</v>
      </c>
      <c r="D45" s="205">
        <f t="array" ref="D45">SUM(IF('AEO 2012 prdcrv'!$A$7:$A$2000='Agg prdcrv'!$A45,IF('AEO 2012 prdcrv'!$H$7:$H$2000="2015",IF('AEO 2012 prdcrv'!$I$7:$I$2000="Quantities",'AEO 2012 prdcrv'!B$7:B$2000,0))))</f>
        <v>4.79</v>
      </c>
      <c r="E45" s="205">
        <f t="array" ref="E45">SUM(IF('AEO 2012 prdcrv'!$A$7:$A$2000='Agg prdcrv'!$A45,IF('AEO 2012 prdcrv'!$H$7:$H$2000="2015",IF('AEO 2012 prdcrv'!$I$7:$I$2000="Quantities",'AEO 2012 prdcrv'!C$7:C$2000,0))))</f>
        <v>0.36</v>
      </c>
      <c r="F45" s="205">
        <f t="array" ref="F45">SUM(IF('AEO 2012 prdcrv'!$A$7:$A$2000='Agg prdcrv'!$A45,IF('AEO 2012 prdcrv'!$H$7:$H$2000="2015",IF('AEO 2012 prdcrv'!$I$7:$I$2000="Quantities",'AEO 2012 prdcrv'!D$7:D$2000,0))))</f>
        <v>0.42</v>
      </c>
      <c r="G45" s="205">
        <f t="array" ref="G45">SUM(IF('AEO 2012 prdcrv'!$A$7:$A$2000='Agg prdcrv'!$A45,IF('AEO 2012 prdcrv'!$H$7:$H$2000="2015",IF('AEO 2012 prdcrv'!$I$7:$I$2000="Quantities",'AEO 2012 prdcrv'!E$7:E$2000,0))))</f>
        <v>0.5</v>
      </c>
      <c r="H45" s="205">
        <f t="array" ref="H45">SUM(IF('AEO 2012 prdcrv'!$A$7:$A$2000='Agg prdcrv'!$A45,IF('AEO 2012 prdcrv'!$H$7:$H$2000="2015",IF('AEO 2012 prdcrv'!$I$7:$I$2000="Quantities",'AEO 2012 prdcrv'!F$7:F$2000,0))))</f>
        <v>1.02</v>
      </c>
      <c r="J45" s="205">
        <v>2015</v>
      </c>
      <c r="K45" s="205">
        <v>1</v>
      </c>
      <c r="L45" s="205">
        <f t="array" ref="L45">SUM(IF('AEO 2012 prdcrv'!$A$7:$A$2000='Agg prdcrv'!$A45,IF('AEO 2012 prdcrv'!$H$7:$H$2000="2015",IF('AEO 2012 prdcrv'!$I$7:$I$2000="Prices",'AEO 2012 prdcrv'!B$7:B$2000,0))))</f>
        <v>113.56</v>
      </c>
      <c r="M45" s="205">
        <f t="array" ref="M45">SUM(IF('AEO 2012 prdcrv'!$A$7:$A$2000='Agg prdcrv'!$A45,IF('AEO 2012 prdcrv'!$H$7:$H$2000="2015",IF('AEO 2012 prdcrv'!$I$7:$I$2000="Prices",'AEO 2012 prdcrv'!C$7:C$2000,0))))</f>
        <v>113.5</v>
      </c>
      <c r="N45" s="205">
        <f t="array" ref="N45">SUM(IF('AEO 2012 prdcrv'!$A$7:$A$2000='Agg prdcrv'!$A45,IF('AEO 2012 prdcrv'!$H$7:$H$2000="2015",IF('AEO 2012 prdcrv'!$I$7:$I$2000="Prices",'AEO 2012 prdcrv'!D$7:D$2000,0))))</f>
        <v>113.56</v>
      </c>
      <c r="O45" s="205">
        <f t="array" ref="O45">SUM(IF('AEO 2012 prdcrv'!$A$7:$A$2000='Agg prdcrv'!$A45,IF('AEO 2012 prdcrv'!$H$7:$H$2000="2015",IF('AEO 2012 prdcrv'!$I$7:$I$2000="Prices",'AEO 2012 prdcrv'!E$7:E$2000,0))))</f>
        <v>113.5</v>
      </c>
      <c r="P45" s="205">
        <f t="array" ref="P45">SUM(IF('AEO 2012 prdcrv'!$A$7:$A$2000='Agg prdcrv'!$A45,IF('AEO 2012 prdcrv'!$H$7:$H$2000="2015",IF('AEO 2012 prdcrv'!$I$7:$I$2000="Prices",'AEO 2012 prdcrv'!F$7:F$2000,0))))</f>
        <v>113.5</v>
      </c>
    </row>
    <row r="46" spans="1:16">
      <c r="A46" s="195" t="s">
        <v>37</v>
      </c>
      <c r="B46" s="205">
        <v>2015</v>
      </c>
      <c r="C46" s="205">
        <v>1</v>
      </c>
      <c r="D46" s="205">
        <f t="array" ref="D46">SUM(IF('AEO 2012 prdcrv'!$A$7:$A$2000='Agg prdcrv'!$A46,IF('AEO 2012 prdcrv'!$H$7:$H$2000="2015",IF('AEO 2012 prdcrv'!$I$7:$I$2000="Quantities",'AEO 2012 prdcrv'!B$7:B$2000,0))))</f>
        <v>175.73</v>
      </c>
      <c r="E46" s="205">
        <f t="array" ref="E46">SUM(IF('AEO 2012 prdcrv'!$A$7:$A$2000='Agg prdcrv'!$A46,IF('AEO 2012 prdcrv'!$H$7:$H$2000="2015",IF('AEO 2012 prdcrv'!$I$7:$I$2000="Quantities",'AEO 2012 prdcrv'!C$7:C$2000,0))))</f>
        <v>1.91</v>
      </c>
      <c r="F46" s="205">
        <f t="array" ref="F46">SUM(IF('AEO 2012 prdcrv'!$A$7:$A$2000='Agg prdcrv'!$A46,IF('AEO 2012 prdcrv'!$H$7:$H$2000="2015",IF('AEO 2012 prdcrv'!$I$7:$I$2000="Quantities",'AEO 2012 prdcrv'!D$7:D$2000,0))))</f>
        <v>36.33</v>
      </c>
      <c r="G46" s="205">
        <f t="array" ref="G46">SUM(IF('AEO 2012 prdcrv'!$A$7:$A$2000='Agg prdcrv'!$A46,IF('AEO 2012 prdcrv'!$H$7:$H$2000="2015",IF('AEO 2012 prdcrv'!$I$7:$I$2000="Quantities",'AEO 2012 prdcrv'!E$7:E$2000,0))))</f>
        <v>0</v>
      </c>
      <c r="H46" s="205">
        <f t="array" ref="H46">SUM(IF('AEO 2012 prdcrv'!$A$7:$A$2000='Agg prdcrv'!$A46,IF('AEO 2012 prdcrv'!$H$7:$H$2000="2015",IF('AEO 2012 prdcrv'!$I$7:$I$2000="Quantities",'AEO 2012 prdcrv'!F$7:F$2000,0))))</f>
        <v>9.56</v>
      </c>
      <c r="J46" s="205">
        <v>2015</v>
      </c>
      <c r="K46" s="205">
        <v>1</v>
      </c>
      <c r="L46" s="205">
        <f t="array" ref="L46">SUM(IF('AEO 2012 prdcrv'!$A$7:$A$2000='Agg prdcrv'!$A46,IF('AEO 2012 prdcrv'!$H$7:$H$2000="2015",IF('AEO 2012 prdcrv'!$I$7:$I$2000="Prices",'AEO 2012 prdcrv'!B$7:B$2000,0))))</f>
        <v>29.19</v>
      </c>
      <c r="M46" s="205">
        <f t="array" ref="M46">SUM(IF('AEO 2012 prdcrv'!$A$7:$A$2000='Agg prdcrv'!$A46,IF('AEO 2012 prdcrv'!$H$7:$H$2000="2015",IF('AEO 2012 prdcrv'!$I$7:$I$2000="Prices",'AEO 2012 prdcrv'!C$7:C$2000,0))))</f>
        <v>29.19</v>
      </c>
      <c r="N46" s="205">
        <f t="array" ref="N46">SUM(IF('AEO 2012 prdcrv'!$A$7:$A$2000='Agg prdcrv'!$A46,IF('AEO 2012 prdcrv'!$H$7:$H$2000="2015",IF('AEO 2012 prdcrv'!$I$7:$I$2000="Prices",'AEO 2012 prdcrv'!D$7:D$2000,0))))</f>
        <v>29.66</v>
      </c>
      <c r="O46" s="205">
        <f t="array" ref="O46">SUM(IF('AEO 2012 prdcrv'!$A$7:$A$2000='Agg prdcrv'!$A46,IF('AEO 2012 prdcrv'!$H$7:$H$2000="2015",IF('AEO 2012 prdcrv'!$I$7:$I$2000="Prices",'AEO 2012 prdcrv'!E$7:E$2000,0))))</f>
        <v>28.46</v>
      </c>
      <c r="P46" s="205">
        <f t="array" ref="P46">SUM(IF('AEO 2012 prdcrv'!$A$7:$A$2000='Agg prdcrv'!$A46,IF('AEO 2012 prdcrv'!$H$7:$H$2000="2015",IF('AEO 2012 prdcrv'!$I$7:$I$2000="Prices",'AEO 2012 prdcrv'!F$7:F$2000,0))))</f>
        <v>29.74</v>
      </c>
    </row>
    <row r="47" spans="1:16">
      <c r="A47" s="195" t="s">
        <v>36</v>
      </c>
      <c r="B47" s="205">
        <v>2015</v>
      </c>
      <c r="C47" s="205">
        <v>1</v>
      </c>
      <c r="D47" s="205">
        <f t="array" ref="D47">SUM(IF('AEO 2012 prdcrv'!$A$7:$A$2000='Agg prdcrv'!$A47,IF('AEO 2012 prdcrv'!$H$7:$H$2000="2015",IF('AEO 2012 prdcrv'!$I$7:$I$2000="Quantities",'AEO 2012 prdcrv'!B$7:B$2000,0))))</f>
        <v>129.13999999999999</v>
      </c>
      <c r="E47" s="205">
        <f t="array" ref="E47">SUM(IF('AEO 2012 prdcrv'!$A$7:$A$2000='Agg prdcrv'!$A47,IF('AEO 2012 prdcrv'!$H$7:$H$2000="2015",IF('AEO 2012 prdcrv'!$I$7:$I$2000="Quantities",'AEO 2012 prdcrv'!C$7:C$2000,0))))</f>
        <v>1.75</v>
      </c>
      <c r="F47" s="205">
        <f t="array" ref="F47">SUM(IF('AEO 2012 prdcrv'!$A$7:$A$2000='Agg prdcrv'!$A47,IF('AEO 2012 prdcrv'!$H$7:$H$2000="2015",IF('AEO 2012 prdcrv'!$I$7:$I$2000="Quantities",'AEO 2012 prdcrv'!D$7:D$2000,0))))</f>
        <v>22.98</v>
      </c>
      <c r="G47" s="205">
        <f t="array" ref="G47">SUM(IF('AEO 2012 prdcrv'!$A$7:$A$2000='Agg prdcrv'!$A47,IF('AEO 2012 prdcrv'!$H$7:$H$2000="2015",IF('AEO 2012 prdcrv'!$I$7:$I$2000="Quantities",'AEO 2012 prdcrv'!E$7:E$2000,0))))</f>
        <v>0</v>
      </c>
      <c r="H47" s="205">
        <f t="array" ref="H47">SUM(IF('AEO 2012 prdcrv'!$A$7:$A$2000='Agg prdcrv'!$A47,IF('AEO 2012 prdcrv'!$H$7:$H$2000="2015",IF('AEO 2012 prdcrv'!$I$7:$I$2000="Quantities",'AEO 2012 prdcrv'!F$7:F$2000,0))))</f>
        <v>26.76</v>
      </c>
      <c r="J47" s="205">
        <v>2015</v>
      </c>
      <c r="K47" s="205">
        <v>1</v>
      </c>
      <c r="L47" s="205">
        <f t="array" ref="L47">SUM(IF('AEO 2012 prdcrv'!$A$7:$A$2000='Agg prdcrv'!$A47,IF('AEO 2012 prdcrv'!$H$7:$H$2000="2015",IF('AEO 2012 prdcrv'!$I$7:$I$2000="Prices",'AEO 2012 prdcrv'!B$7:B$2000,0))))</f>
        <v>28.79</v>
      </c>
      <c r="M47" s="205">
        <f t="array" ref="M47">SUM(IF('AEO 2012 prdcrv'!$A$7:$A$2000='Agg prdcrv'!$A47,IF('AEO 2012 prdcrv'!$H$7:$H$2000="2015",IF('AEO 2012 prdcrv'!$I$7:$I$2000="Prices",'AEO 2012 prdcrv'!C$7:C$2000,0))))</f>
        <v>28.79</v>
      </c>
      <c r="N47" s="205">
        <f t="array" ref="N47">SUM(IF('AEO 2012 prdcrv'!$A$7:$A$2000='Agg prdcrv'!$A47,IF('AEO 2012 prdcrv'!$H$7:$H$2000="2015",IF('AEO 2012 prdcrv'!$I$7:$I$2000="Prices",'AEO 2012 prdcrv'!D$7:D$2000,0))))</f>
        <v>29.26</v>
      </c>
      <c r="O47" s="205">
        <f t="array" ref="O47">SUM(IF('AEO 2012 prdcrv'!$A$7:$A$2000='Agg prdcrv'!$A47,IF('AEO 2012 prdcrv'!$H$7:$H$2000="2015",IF('AEO 2012 prdcrv'!$I$7:$I$2000="Prices",'AEO 2012 prdcrv'!E$7:E$2000,0))))</f>
        <v>28.39</v>
      </c>
      <c r="P47" s="205">
        <f t="array" ref="P47">SUM(IF('AEO 2012 prdcrv'!$A$7:$A$2000='Agg prdcrv'!$A47,IF('AEO 2012 prdcrv'!$H$7:$H$2000="2015",IF('AEO 2012 prdcrv'!$I$7:$I$2000="Prices",'AEO 2012 prdcrv'!F$7:F$2000,0))))</f>
        <v>29.74</v>
      </c>
    </row>
    <row r="48" spans="1:16">
      <c r="A48" s="195" t="s">
        <v>453</v>
      </c>
      <c r="B48" s="205">
        <v>2015</v>
      </c>
      <c r="C48" s="205">
        <v>1</v>
      </c>
      <c r="D48" s="205">
        <f t="array" ref="D48">SUM(IF('AEO 2012 prdcrv'!$A$7:$A$2000='Agg prdcrv'!$A48,IF('AEO 2012 prdcrv'!$H$7:$H$2000="2015",IF('AEO 2012 prdcrv'!$I$7:$I$2000="Quantities",'AEO 2012 prdcrv'!B$7:B$2000,0))))</f>
        <v>88.11</v>
      </c>
      <c r="E48" s="205">
        <f t="array" ref="E48">SUM(IF('AEO 2012 prdcrv'!$A$7:$A$2000='Agg prdcrv'!$A48,IF('AEO 2012 prdcrv'!$H$7:$H$2000="2015",IF('AEO 2012 prdcrv'!$I$7:$I$2000="Quantities",'AEO 2012 prdcrv'!C$7:C$2000,0))))</f>
        <v>0</v>
      </c>
      <c r="F48" s="205">
        <f t="array" ref="F48">SUM(IF('AEO 2012 prdcrv'!$A$7:$A$2000='Agg prdcrv'!$A48,IF('AEO 2012 prdcrv'!$H$7:$H$2000="2015",IF('AEO 2012 prdcrv'!$I$7:$I$2000="Quantities",'AEO 2012 prdcrv'!D$7:D$2000,0))))</f>
        <v>5.57</v>
      </c>
      <c r="G48" s="205">
        <f t="array" ref="G48">SUM(IF('AEO 2012 prdcrv'!$A$7:$A$2000='Agg prdcrv'!$A48,IF('AEO 2012 prdcrv'!$H$7:$H$2000="2015",IF('AEO 2012 prdcrv'!$I$7:$I$2000="Quantities",'AEO 2012 prdcrv'!E$7:E$2000,0))))</f>
        <v>0</v>
      </c>
      <c r="H48" s="205">
        <f t="array" ref="H48">SUM(IF('AEO 2012 prdcrv'!$A$7:$A$2000='Agg prdcrv'!$A48,IF('AEO 2012 prdcrv'!$H$7:$H$2000="2015",IF('AEO 2012 prdcrv'!$I$7:$I$2000="Quantities",'AEO 2012 prdcrv'!F$7:F$2000,0))))</f>
        <v>50.1</v>
      </c>
      <c r="J48" s="205">
        <v>2015</v>
      </c>
      <c r="K48" s="205">
        <v>1</v>
      </c>
      <c r="L48" s="205">
        <f t="array" ref="L48">SUM(IF('AEO 2012 prdcrv'!$A$7:$A$2000='Agg prdcrv'!$A48,IF('AEO 2012 prdcrv'!$H$7:$H$2000="2015",IF('AEO 2012 prdcrv'!$I$7:$I$2000="Prices",'AEO 2012 prdcrv'!B$7:B$2000,0))))</f>
        <v>35.21</v>
      </c>
      <c r="M48" s="205">
        <f t="array" ref="M48">SUM(IF('AEO 2012 prdcrv'!$A$7:$A$2000='Agg prdcrv'!$A48,IF('AEO 2012 prdcrv'!$H$7:$H$2000="2015",IF('AEO 2012 prdcrv'!$I$7:$I$2000="Prices",'AEO 2012 prdcrv'!C$7:C$2000,0))))</f>
        <v>34.32</v>
      </c>
      <c r="N48" s="205">
        <f t="array" ref="N48">SUM(IF('AEO 2012 prdcrv'!$A$7:$A$2000='Agg prdcrv'!$A48,IF('AEO 2012 prdcrv'!$H$7:$H$2000="2015",IF('AEO 2012 prdcrv'!$I$7:$I$2000="Prices",'AEO 2012 prdcrv'!D$7:D$2000,0))))</f>
        <v>34.159999999999997</v>
      </c>
      <c r="O48" s="205">
        <f t="array" ref="O48">SUM(IF('AEO 2012 prdcrv'!$A$7:$A$2000='Agg prdcrv'!$A48,IF('AEO 2012 prdcrv'!$H$7:$H$2000="2015",IF('AEO 2012 prdcrv'!$I$7:$I$2000="Prices",'AEO 2012 prdcrv'!E$7:E$2000,0))))</f>
        <v>37.049999999999997</v>
      </c>
      <c r="P48" s="205">
        <f t="array" ref="P48">SUM(IF('AEO 2012 prdcrv'!$A$7:$A$2000='Agg prdcrv'!$A48,IF('AEO 2012 prdcrv'!$H$7:$H$2000="2015",IF('AEO 2012 prdcrv'!$I$7:$I$2000="Prices",'AEO 2012 prdcrv'!F$7:F$2000,0))))</f>
        <v>36.26</v>
      </c>
    </row>
    <row r="49" spans="1:16">
      <c r="A49" s="195" t="s">
        <v>456</v>
      </c>
      <c r="B49" s="205">
        <v>2015</v>
      </c>
      <c r="C49" s="205">
        <v>1</v>
      </c>
      <c r="D49" s="205">
        <f t="array" ref="D49">SUM(IF('AEO 2012 prdcrv'!$A$7:$A$2000='Agg prdcrv'!$A49,IF('AEO 2012 prdcrv'!$H$7:$H$2000="2015",IF('AEO 2012 prdcrv'!$I$7:$I$2000="Quantities",'AEO 2012 prdcrv'!B$7:B$2000,0))))</f>
        <v>83.56</v>
      </c>
      <c r="E49" s="205">
        <f t="array" ref="E49">SUM(IF('AEO 2012 prdcrv'!$A$7:$A$2000='Agg prdcrv'!$A49,IF('AEO 2012 prdcrv'!$H$7:$H$2000="2015",IF('AEO 2012 prdcrv'!$I$7:$I$2000="Quantities",'AEO 2012 prdcrv'!C$7:C$2000,0))))</f>
        <v>95.8</v>
      </c>
      <c r="F49" s="205">
        <f t="array" ref="F49">SUM(IF('AEO 2012 prdcrv'!$A$7:$A$2000='Agg prdcrv'!$A49,IF('AEO 2012 prdcrv'!$H$7:$H$2000="2015",IF('AEO 2012 prdcrv'!$I$7:$I$2000="Quantities",'AEO 2012 prdcrv'!D$7:D$2000,0))))</f>
        <v>168.72</v>
      </c>
      <c r="G49" s="205">
        <f t="array" ref="G49">SUM(IF('AEO 2012 prdcrv'!$A$7:$A$2000='Agg prdcrv'!$A49,IF('AEO 2012 prdcrv'!$H$7:$H$2000="2015",IF('AEO 2012 prdcrv'!$I$7:$I$2000="Quantities",'AEO 2012 prdcrv'!E$7:E$2000,0))))</f>
        <v>10.130000000000001</v>
      </c>
      <c r="H49" s="205">
        <f t="array" ref="H49">SUM(IF('AEO 2012 prdcrv'!$A$7:$A$2000='Agg prdcrv'!$A49,IF('AEO 2012 prdcrv'!$H$7:$H$2000="2015",IF('AEO 2012 prdcrv'!$I$7:$I$2000="Quantities",'AEO 2012 prdcrv'!F$7:F$2000,0))))</f>
        <v>1.91</v>
      </c>
      <c r="J49" s="205">
        <v>2015</v>
      </c>
      <c r="K49" s="205">
        <v>1</v>
      </c>
      <c r="L49" s="205">
        <f t="array" ref="L49">SUM(IF('AEO 2012 prdcrv'!$A$7:$A$2000='Agg prdcrv'!$A49,IF('AEO 2012 prdcrv'!$H$7:$H$2000="2015",IF('AEO 2012 prdcrv'!$I$7:$I$2000="Prices",'AEO 2012 prdcrv'!B$7:B$2000,0))))</f>
        <v>28.5</v>
      </c>
      <c r="M49" s="205">
        <f t="array" ref="M49">SUM(IF('AEO 2012 prdcrv'!$A$7:$A$2000='Agg prdcrv'!$A49,IF('AEO 2012 prdcrv'!$H$7:$H$2000="2015",IF('AEO 2012 prdcrv'!$I$7:$I$2000="Prices",'AEO 2012 prdcrv'!C$7:C$2000,0))))</f>
        <v>28.5</v>
      </c>
      <c r="N49" s="205">
        <f t="array" ref="N49">SUM(IF('AEO 2012 prdcrv'!$A$7:$A$2000='Agg prdcrv'!$A49,IF('AEO 2012 prdcrv'!$H$7:$H$2000="2015",IF('AEO 2012 prdcrv'!$I$7:$I$2000="Prices",'AEO 2012 prdcrv'!D$7:D$2000,0))))</f>
        <v>28.5</v>
      </c>
      <c r="O49" s="205">
        <f t="array" ref="O49">SUM(IF('AEO 2012 prdcrv'!$A$7:$A$2000='Agg prdcrv'!$A49,IF('AEO 2012 prdcrv'!$H$7:$H$2000="2015",IF('AEO 2012 prdcrv'!$I$7:$I$2000="Prices",'AEO 2012 prdcrv'!E$7:E$2000,0))))</f>
        <v>28.5</v>
      </c>
      <c r="P49" s="205">
        <f t="array" ref="P49">SUM(IF('AEO 2012 prdcrv'!$A$7:$A$2000='Agg prdcrv'!$A49,IF('AEO 2012 prdcrv'!$H$7:$H$2000="2015",IF('AEO 2012 prdcrv'!$I$7:$I$2000="Prices",'AEO 2012 prdcrv'!F$7:F$2000,0))))</f>
        <v>28.5</v>
      </c>
    </row>
    <row r="50" spans="1:16">
      <c r="A50" s="195" t="s">
        <v>35</v>
      </c>
      <c r="B50" s="205">
        <v>2015</v>
      </c>
      <c r="C50" s="205">
        <v>1</v>
      </c>
      <c r="D50" s="205">
        <f t="array" ref="D50">SUM(IF('AEO 2012 prdcrv'!$A$7:$A$2000='Agg prdcrv'!$A50,IF('AEO 2012 prdcrv'!$H$7:$H$2000="2015",IF('AEO 2012 prdcrv'!$I$7:$I$2000="Quantities",'AEO 2012 prdcrv'!B$7:B$2000,0))))</f>
        <v>3.82</v>
      </c>
      <c r="E50" s="205">
        <f t="array" ref="E50">SUM(IF('AEO 2012 prdcrv'!$A$7:$A$2000='Agg prdcrv'!$A50,IF('AEO 2012 prdcrv'!$H$7:$H$2000="2015",IF('AEO 2012 prdcrv'!$I$7:$I$2000="Quantities",'AEO 2012 prdcrv'!C$7:C$2000,0))))</f>
        <v>4.4000000000000004</v>
      </c>
      <c r="F50" s="205">
        <f t="array" ref="F50">SUM(IF('AEO 2012 prdcrv'!$A$7:$A$2000='Agg prdcrv'!$A50,IF('AEO 2012 prdcrv'!$H$7:$H$2000="2015",IF('AEO 2012 prdcrv'!$I$7:$I$2000="Quantities",'AEO 2012 prdcrv'!D$7:D$2000,0))))</f>
        <v>281.2</v>
      </c>
      <c r="G50" s="205">
        <f t="array" ref="G50">SUM(IF('AEO 2012 prdcrv'!$A$7:$A$2000='Agg prdcrv'!$A50,IF('AEO 2012 prdcrv'!$H$7:$H$2000="2015",IF('AEO 2012 prdcrv'!$I$7:$I$2000="Quantities",'AEO 2012 prdcrv'!E$7:E$2000,0))))</f>
        <v>0</v>
      </c>
      <c r="H50" s="205">
        <f t="array" ref="H50">SUM(IF('AEO 2012 prdcrv'!$A$7:$A$2000='Agg prdcrv'!$A50,IF('AEO 2012 prdcrv'!$H$7:$H$2000="2015",IF('AEO 2012 prdcrv'!$I$7:$I$2000="Quantities",'AEO 2012 prdcrv'!F$7:F$2000,0))))</f>
        <v>3.19</v>
      </c>
      <c r="J50" s="205">
        <v>2015</v>
      </c>
      <c r="K50" s="205">
        <v>1</v>
      </c>
      <c r="L50" s="205">
        <f t="array" ref="L50">SUM(IF('AEO 2012 prdcrv'!$A$7:$A$2000='Agg prdcrv'!$A50,IF('AEO 2012 prdcrv'!$H$7:$H$2000="2015",IF('AEO 2012 prdcrv'!$I$7:$I$2000="Prices",'AEO 2012 prdcrv'!B$7:B$2000,0))))</f>
        <v>21.68</v>
      </c>
      <c r="M50" s="205">
        <f t="array" ref="M50">SUM(IF('AEO 2012 prdcrv'!$A$7:$A$2000='Agg prdcrv'!$A50,IF('AEO 2012 prdcrv'!$H$7:$H$2000="2015",IF('AEO 2012 prdcrv'!$I$7:$I$2000="Prices",'AEO 2012 prdcrv'!C$7:C$2000,0))))</f>
        <v>21.68</v>
      </c>
      <c r="N50" s="205">
        <f t="array" ref="N50">SUM(IF('AEO 2012 prdcrv'!$A$7:$A$2000='Agg prdcrv'!$A50,IF('AEO 2012 prdcrv'!$H$7:$H$2000="2015",IF('AEO 2012 prdcrv'!$I$7:$I$2000="Prices",'AEO 2012 prdcrv'!D$7:D$2000,0))))</f>
        <v>21.68</v>
      </c>
      <c r="O50" s="205">
        <f t="array" ref="O50">SUM(IF('AEO 2012 prdcrv'!$A$7:$A$2000='Agg prdcrv'!$A50,IF('AEO 2012 prdcrv'!$H$7:$H$2000="2015",IF('AEO 2012 prdcrv'!$I$7:$I$2000="Prices",'AEO 2012 prdcrv'!E$7:E$2000,0))))</f>
        <v>21.68</v>
      </c>
      <c r="P50" s="205">
        <f t="array" ref="P50">SUM(IF('AEO 2012 prdcrv'!$A$7:$A$2000='Agg prdcrv'!$A50,IF('AEO 2012 prdcrv'!$H$7:$H$2000="2015",IF('AEO 2012 prdcrv'!$I$7:$I$2000="Prices",'AEO 2012 prdcrv'!F$7:F$2000,0))))</f>
        <v>21.68</v>
      </c>
    </row>
    <row r="51" spans="1:16">
      <c r="A51" s="195" t="s">
        <v>31</v>
      </c>
      <c r="B51" s="205">
        <v>2015</v>
      </c>
      <c r="C51" s="205">
        <v>1</v>
      </c>
      <c r="D51" s="205">
        <f t="array" ref="D51">SUM(IF('AEO 2012 prdcrv'!$A$7:$A$2000='Agg prdcrv'!$A51,IF('AEO 2012 prdcrv'!$H$7:$H$2000="2015",IF('AEO 2012 prdcrv'!$I$7:$I$2000="Quantities",'AEO 2012 prdcrv'!B$7:B$2000,0))))</f>
        <v>42.41</v>
      </c>
      <c r="E51" s="205">
        <f t="array" ref="E51">SUM(IF('AEO 2012 prdcrv'!$A$7:$A$2000='Agg prdcrv'!$A51,IF('AEO 2012 prdcrv'!$H$7:$H$2000="2015",IF('AEO 2012 prdcrv'!$I$7:$I$2000="Quantities",'AEO 2012 prdcrv'!C$7:C$2000,0))))</f>
        <v>6.55</v>
      </c>
      <c r="F51" s="205">
        <f t="array" ref="F51">SUM(IF('AEO 2012 prdcrv'!$A$7:$A$2000='Agg prdcrv'!$A51,IF('AEO 2012 prdcrv'!$H$7:$H$2000="2015",IF('AEO 2012 prdcrv'!$I$7:$I$2000="Quantities",'AEO 2012 prdcrv'!D$7:D$2000,0))))</f>
        <v>21.2</v>
      </c>
      <c r="G51" s="205">
        <f t="array" ref="G51">SUM(IF('AEO 2012 prdcrv'!$A$7:$A$2000='Agg prdcrv'!$A51,IF('AEO 2012 prdcrv'!$H$7:$H$2000="2015",IF('AEO 2012 prdcrv'!$I$7:$I$2000="Quantities",'AEO 2012 prdcrv'!E$7:E$2000,0))))</f>
        <v>0.94</v>
      </c>
      <c r="H51" s="205">
        <f t="array" ref="H51">SUM(IF('AEO 2012 prdcrv'!$A$7:$A$2000='Agg prdcrv'!$A51,IF('AEO 2012 prdcrv'!$H$7:$H$2000="2015",IF('AEO 2012 prdcrv'!$I$7:$I$2000="Quantities",'AEO 2012 prdcrv'!F$7:F$2000,0))))</f>
        <v>29.5</v>
      </c>
      <c r="J51" s="205">
        <v>2015</v>
      </c>
      <c r="K51" s="205">
        <v>1</v>
      </c>
      <c r="L51" s="205">
        <f t="array" ref="L51">SUM(IF('AEO 2012 prdcrv'!$A$7:$A$2000='Agg prdcrv'!$A51,IF('AEO 2012 prdcrv'!$H$7:$H$2000="2015",IF('AEO 2012 prdcrv'!$I$7:$I$2000="Prices",'AEO 2012 prdcrv'!B$7:B$2000,0))))</f>
        <v>32.450000000000003</v>
      </c>
      <c r="M51" s="205">
        <f t="array" ref="M51">SUM(IF('AEO 2012 prdcrv'!$A$7:$A$2000='Agg prdcrv'!$A51,IF('AEO 2012 prdcrv'!$H$7:$H$2000="2015",IF('AEO 2012 prdcrv'!$I$7:$I$2000="Prices",'AEO 2012 prdcrv'!C$7:C$2000,0))))</f>
        <v>32.450000000000003</v>
      </c>
      <c r="N51" s="205">
        <f t="array" ref="N51">SUM(IF('AEO 2012 prdcrv'!$A$7:$A$2000='Agg prdcrv'!$A51,IF('AEO 2012 prdcrv'!$H$7:$H$2000="2015",IF('AEO 2012 prdcrv'!$I$7:$I$2000="Prices",'AEO 2012 prdcrv'!D$7:D$2000,0))))</f>
        <v>33.04</v>
      </c>
      <c r="O51" s="205">
        <f t="array" ref="O51">SUM(IF('AEO 2012 prdcrv'!$A$7:$A$2000='Agg prdcrv'!$A51,IF('AEO 2012 prdcrv'!$H$7:$H$2000="2015",IF('AEO 2012 prdcrv'!$I$7:$I$2000="Prices",'AEO 2012 prdcrv'!E$7:E$2000,0))))</f>
        <v>32.549999999999997</v>
      </c>
      <c r="P51" s="205">
        <f t="array" ref="P51">SUM(IF('AEO 2012 prdcrv'!$A$7:$A$2000='Agg prdcrv'!$A51,IF('AEO 2012 prdcrv'!$H$7:$H$2000="2015",IF('AEO 2012 prdcrv'!$I$7:$I$2000="Prices",'AEO 2012 prdcrv'!F$7:F$2000,0))))</f>
        <v>32.549999999999997</v>
      </c>
    </row>
    <row r="52" spans="1:16">
      <c r="A52" s="195" t="s">
        <v>458</v>
      </c>
      <c r="B52" s="205">
        <v>2015</v>
      </c>
      <c r="C52" s="205">
        <v>1</v>
      </c>
      <c r="D52" s="205">
        <f t="array" ref="D52">SUM(IF('AEO 2012 prdcrv'!$A$7:$A$2000='Agg prdcrv'!$A52,IF('AEO 2012 prdcrv'!$H$7:$H$2000="2015",IF('AEO 2012 prdcrv'!$I$7:$I$2000="Quantities",'AEO 2012 prdcrv'!B$7:B$2000,0))))</f>
        <v>0.65</v>
      </c>
      <c r="E52" s="205">
        <f t="array" ref="E52">SUM(IF('AEO 2012 prdcrv'!$A$7:$A$2000='Agg prdcrv'!$A52,IF('AEO 2012 prdcrv'!$H$7:$H$2000="2015",IF('AEO 2012 prdcrv'!$I$7:$I$2000="Quantities",'AEO 2012 prdcrv'!C$7:C$2000,0))))</f>
        <v>0</v>
      </c>
      <c r="F52" s="205">
        <f t="array" ref="F52">SUM(IF('AEO 2012 prdcrv'!$A$7:$A$2000='Agg prdcrv'!$A52,IF('AEO 2012 prdcrv'!$H$7:$H$2000="2015",IF('AEO 2012 prdcrv'!$I$7:$I$2000="Quantities",'AEO 2012 prdcrv'!D$7:D$2000,0))))</f>
        <v>0</v>
      </c>
      <c r="G52" s="205">
        <f t="array" ref="G52">SUM(IF('AEO 2012 prdcrv'!$A$7:$A$2000='Agg prdcrv'!$A52,IF('AEO 2012 prdcrv'!$H$7:$H$2000="2015",IF('AEO 2012 prdcrv'!$I$7:$I$2000="Quantities",'AEO 2012 prdcrv'!E$7:E$2000,0))))</f>
        <v>0</v>
      </c>
      <c r="H52" s="205">
        <f t="array" ref="H52">SUM(IF('AEO 2012 prdcrv'!$A$7:$A$2000='Agg prdcrv'!$A52,IF('AEO 2012 prdcrv'!$H$7:$H$2000="2015",IF('AEO 2012 prdcrv'!$I$7:$I$2000="Quantities",'AEO 2012 prdcrv'!F$7:F$2000,0))))</f>
        <v>0.9</v>
      </c>
      <c r="J52" s="205">
        <v>2015</v>
      </c>
      <c r="K52" s="205">
        <v>1</v>
      </c>
      <c r="L52" s="205">
        <f t="array" ref="L52">SUM(IF('AEO 2012 prdcrv'!$A$7:$A$2000='Agg prdcrv'!$A52,IF('AEO 2012 prdcrv'!$H$7:$H$2000="2015",IF('AEO 2012 prdcrv'!$I$7:$I$2000="Prices",'AEO 2012 prdcrv'!B$7:B$2000,0))))</f>
        <v>47.76</v>
      </c>
      <c r="M52" s="205">
        <f t="array" ref="M52">SUM(IF('AEO 2012 prdcrv'!$A$7:$A$2000='Agg prdcrv'!$A52,IF('AEO 2012 prdcrv'!$H$7:$H$2000="2015",IF('AEO 2012 prdcrv'!$I$7:$I$2000="Prices",'AEO 2012 prdcrv'!C$7:C$2000,0))))</f>
        <v>46.94</v>
      </c>
      <c r="N52" s="205">
        <f t="array" ref="N52">SUM(IF('AEO 2012 prdcrv'!$A$7:$A$2000='Agg prdcrv'!$A52,IF('AEO 2012 prdcrv'!$H$7:$H$2000="2015",IF('AEO 2012 prdcrv'!$I$7:$I$2000="Prices",'AEO 2012 prdcrv'!D$7:D$2000,0))))</f>
        <v>46.48</v>
      </c>
      <c r="O52" s="205">
        <f t="array" ref="O52">SUM(IF('AEO 2012 prdcrv'!$A$7:$A$2000='Agg prdcrv'!$A52,IF('AEO 2012 prdcrv'!$H$7:$H$2000="2015",IF('AEO 2012 prdcrv'!$I$7:$I$2000="Prices",'AEO 2012 prdcrv'!E$7:E$2000,0))))</f>
        <v>48.44</v>
      </c>
      <c r="P52" s="205">
        <f t="array" ref="P52">SUM(IF('AEO 2012 prdcrv'!$A$7:$A$2000='Agg prdcrv'!$A52,IF('AEO 2012 prdcrv'!$H$7:$H$2000="2015",IF('AEO 2012 prdcrv'!$I$7:$I$2000="Prices",'AEO 2012 prdcrv'!F$7:F$2000,0))))</f>
        <v>46.06</v>
      </c>
    </row>
    <row r="53" spans="1:16">
      <c r="A53" s="195" t="s">
        <v>148</v>
      </c>
      <c r="B53" s="205">
        <v>2015</v>
      </c>
      <c r="C53" s="205">
        <v>1</v>
      </c>
      <c r="D53" s="205">
        <f t="array" ref="D53">SUM(IF('AEO 2012 prdcrv'!$A$7:$A$2000='Agg prdcrv'!$A53,IF('AEO 2012 prdcrv'!$H$7:$H$2000="2015",IF('AEO 2012 prdcrv'!$I$7:$I$2000="Quantities",'AEO 2012 prdcrv'!B$7:B$2000,0))))</f>
        <v>301.45999999999998</v>
      </c>
      <c r="E53" s="205">
        <f t="array" ref="E53">SUM(IF('AEO 2012 prdcrv'!$A$7:$A$2000='Agg prdcrv'!$A53,IF('AEO 2012 prdcrv'!$H$7:$H$2000="2015",IF('AEO 2012 prdcrv'!$I$7:$I$2000="Quantities",'AEO 2012 prdcrv'!C$7:C$2000,0))))</f>
        <v>0.97</v>
      </c>
      <c r="F53" s="205">
        <f t="array" ref="F53">SUM(IF('AEO 2012 prdcrv'!$A$7:$A$2000='Agg prdcrv'!$A53,IF('AEO 2012 prdcrv'!$H$7:$H$2000="2015",IF('AEO 2012 prdcrv'!$I$7:$I$2000="Quantities",'AEO 2012 prdcrv'!D$7:D$2000,0))))</f>
        <v>5.78</v>
      </c>
      <c r="G53" s="205">
        <f t="array" ref="G53">SUM(IF('AEO 2012 prdcrv'!$A$7:$A$2000='Agg prdcrv'!$A53,IF('AEO 2012 prdcrv'!$H$7:$H$2000="2015",IF('AEO 2012 prdcrv'!$I$7:$I$2000="Quantities",'AEO 2012 prdcrv'!E$7:E$2000,0))))</f>
        <v>0.97</v>
      </c>
      <c r="H53" s="205">
        <f t="array" ref="H53">SUM(IF('AEO 2012 prdcrv'!$A$7:$A$2000='Agg prdcrv'!$A53,IF('AEO 2012 prdcrv'!$H$7:$H$2000="2015",IF('AEO 2012 prdcrv'!$I$7:$I$2000="Quantities",'AEO 2012 prdcrv'!F$7:F$2000,0))))</f>
        <v>25.86</v>
      </c>
      <c r="J53" s="205">
        <v>2015</v>
      </c>
      <c r="K53" s="205">
        <v>1</v>
      </c>
      <c r="L53" s="205">
        <f t="array" ref="L53">SUM(IF('AEO 2012 prdcrv'!$A$7:$A$2000='Agg prdcrv'!$A53,IF('AEO 2012 prdcrv'!$H$7:$H$2000="2015",IF('AEO 2012 prdcrv'!$I$7:$I$2000="Prices",'AEO 2012 prdcrv'!B$7:B$2000,0))))</f>
        <v>59.99</v>
      </c>
      <c r="M53" s="205">
        <f t="array" ref="M53">SUM(IF('AEO 2012 prdcrv'!$A$7:$A$2000='Agg prdcrv'!$A53,IF('AEO 2012 prdcrv'!$H$7:$H$2000="2015",IF('AEO 2012 prdcrv'!$I$7:$I$2000="Prices",'AEO 2012 prdcrv'!C$7:C$2000,0))))</f>
        <v>57.94</v>
      </c>
      <c r="N53" s="205">
        <f t="array" ref="N53">SUM(IF('AEO 2012 prdcrv'!$A$7:$A$2000='Agg prdcrv'!$A53,IF('AEO 2012 prdcrv'!$H$7:$H$2000="2015",IF('AEO 2012 prdcrv'!$I$7:$I$2000="Prices",'AEO 2012 prdcrv'!D$7:D$2000,0))))</f>
        <v>57.53</v>
      </c>
      <c r="O53" s="205">
        <f t="array" ref="O53">SUM(IF('AEO 2012 prdcrv'!$A$7:$A$2000='Agg prdcrv'!$A53,IF('AEO 2012 prdcrv'!$H$7:$H$2000="2015",IF('AEO 2012 prdcrv'!$I$7:$I$2000="Prices",'AEO 2012 prdcrv'!E$7:E$2000,0))))</f>
        <v>60.17</v>
      </c>
      <c r="P53" s="205">
        <f t="array" ref="P53">SUM(IF('AEO 2012 prdcrv'!$A$7:$A$2000='Agg prdcrv'!$A53,IF('AEO 2012 prdcrv'!$H$7:$H$2000="2015",IF('AEO 2012 prdcrv'!$I$7:$I$2000="Prices",'AEO 2012 prdcrv'!F$7:F$2000,0))))</f>
        <v>57.56</v>
      </c>
    </row>
    <row r="54" spans="1:16">
      <c r="A54" s="195" t="s">
        <v>149</v>
      </c>
      <c r="B54" s="205">
        <v>2015</v>
      </c>
      <c r="C54" s="205">
        <v>1</v>
      </c>
      <c r="D54" s="205">
        <f t="array" ref="D54">SUM(IF('AEO 2012 prdcrv'!$A$7:$A$2000='Agg prdcrv'!$A54,IF('AEO 2012 prdcrv'!$H$7:$H$2000="2015",IF('AEO 2012 prdcrv'!$I$7:$I$2000="Quantities",'AEO 2012 prdcrv'!B$7:B$2000,0))))</f>
        <v>338.81</v>
      </c>
      <c r="E54" s="205">
        <f t="array" ref="E54">SUM(IF('AEO 2012 prdcrv'!$A$7:$A$2000='Agg prdcrv'!$A54,IF('AEO 2012 prdcrv'!$H$7:$H$2000="2015",IF('AEO 2012 prdcrv'!$I$7:$I$2000="Quantities",'AEO 2012 prdcrv'!C$7:C$2000,0))))</f>
        <v>1.0900000000000001</v>
      </c>
      <c r="F54" s="205">
        <f t="array" ref="F54">SUM(IF('AEO 2012 prdcrv'!$A$7:$A$2000='Agg prdcrv'!$A54,IF('AEO 2012 prdcrv'!$H$7:$H$2000="2015",IF('AEO 2012 prdcrv'!$I$7:$I$2000="Quantities",'AEO 2012 prdcrv'!D$7:D$2000,0))))</f>
        <v>6.49</v>
      </c>
      <c r="G54" s="205">
        <f t="array" ref="G54">SUM(IF('AEO 2012 prdcrv'!$A$7:$A$2000='Agg prdcrv'!$A54,IF('AEO 2012 prdcrv'!$H$7:$H$2000="2015",IF('AEO 2012 prdcrv'!$I$7:$I$2000="Quantities",'AEO 2012 prdcrv'!E$7:E$2000,0))))</f>
        <v>1.0900000000000001</v>
      </c>
      <c r="H54" s="205">
        <f t="array" ref="H54">SUM(IF('AEO 2012 prdcrv'!$A$7:$A$2000='Agg prdcrv'!$A54,IF('AEO 2012 prdcrv'!$H$7:$H$2000="2015",IF('AEO 2012 prdcrv'!$I$7:$I$2000="Quantities",'AEO 2012 prdcrv'!F$7:F$2000,0))))</f>
        <v>52.67</v>
      </c>
      <c r="J54" s="205">
        <v>2015</v>
      </c>
      <c r="K54" s="205">
        <v>1</v>
      </c>
      <c r="L54" s="205">
        <f t="array" ref="L54">SUM(IF('AEO 2012 prdcrv'!$A$7:$A$2000='Agg prdcrv'!$A54,IF('AEO 2012 prdcrv'!$H$7:$H$2000="2015",IF('AEO 2012 prdcrv'!$I$7:$I$2000="Prices",'AEO 2012 prdcrv'!B$7:B$2000,0))))</f>
        <v>31.91</v>
      </c>
      <c r="M54" s="205">
        <f t="array" ref="M54">SUM(IF('AEO 2012 prdcrv'!$A$7:$A$2000='Agg prdcrv'!$A54,IF('AEO 2012 prdcrv'!$H$7:$H$2000="2015",IF('AEO 2012 prdcrv'!$I$7:$I$2000="Prices",'AEO 2012 prdcrv'!C$7:C$2000,0))))</f>
        <v>30.8</v>
      </c>
      <c r="N54" s="205">
        <f t="array" ref="N54">SUM(IF('AEO 2012 prdcrv'!$A$7:$A$2000='Agg prdcrv'!$A54,IF('AEO 2012 prdcrv'!$H$7:$H$2000="2015",IF('AEO 2012 prdcrv'!$I$7:$I$2000="Prices",'AEO 2012 prdcrv'!D$7:D$2000,0))))</f>
        <v>31.21</v>
      </c>
      <c r="O54" s="205">
        <f t="array" ref="O54">SUM(IF('AEO 2012 prdcrv'!$A$7:$A$2000='Agg prdcrv'!$A54,IF('AEO 2012 prdcrv'!$H$7:$H$2000="2015",IF('AEO 2012 prdcrv'!$I$7:$I$2000="Prices",'AEO 2012 prdcrv'!E$7:E$2000,0))))</f>
        <v>30.4</v>
      </c>
      <c r="P54" s="205">
        <f t="array" ref="P54">SUM(IF('AEO 2012 prdcrv'!$A$7:$A$2000='Agg prdcrv'!$A54,IF('AEO 2012 prdcrv'!$H$7:$H$2000="2015",IF('AEO 2012 prdcrv'!$I$7:$I$2000="Prices",'AEO 2012 prdcrv'!F$7:F$2000,0))))</f>
        <v>31.55</v>
      </c>
    </row>
    <row r="55" spans="1:16">
      <c r="A55" s="195" t="s">
        <v>19</v>
      </c>
      <c r="B55" s="205">
        <v>2015</v>
      </c>
      <c r="C55" s="205">
        <v>1</v>
      </c>
      <c r="D55" s="205">
        <f t="array" ref="D55">SUM(IF('AEO 2012 prdcrv'!$A$7:$A$2000='Agg prdcrv'!$A55,IF('AEO 2012 prdcrv'!$H$7:$H$2000="2015",IF('AEO 2012 prdcrv'!$I$7:$I$2000="Quantities",'AEO 2012 prdcrv'!B$7:B$2000,0))))</f>
        <v>51.58</v>
      </c>
      <c r="E55" s="205">
        <f t="array" ref="E55">SUM(IF('AEO 2012 prdcrv'!$A$7:$A$2000='Agg prdcrv'!$A55,IF('AEO 2012 prdcrv'!$H$7:$H$2000="2015",IF('AEO 2012 prdcrv'!$I$7:$I$2000="Quantities",'AEO 2012 prdcrv'!C$7:C$2000,0))))</f>
        <v>0</v>
      </c>
      <c r="F55" s="205">
        <f t="array" ref="F55">SUM(IF('AEO 2012 prdcrv'!$A$7:$A$2000='Agg prdcrv'!$A55,IF('AEO 2012 prdcrv'!$H$7:$H$2000="2015",IF('AEO 2012 prdcrv'!$I$7:$I$2000="Quantities",'AEO 2012 prdcrv'!D$7:D$2000,0))))</f>
        <v>5.69</v>
      </c>
      <c r="G55" s="205">
        <f t="array" ref="G55">SUM(IF('AEO 2012 prdcrv'!$A$7:$A$2000='Agg prdcrv'!$A55,IF('AEO 2012 prdcrv'!$H$7:$H$2000="2015",IF('AEO 2012 prdcrv'!$I$7:$I$2000="Quantities",'AEO 2012 prdcrv'!E$7:E$2000,0))))</f>
        <v>0</v>
      </c>
      <c r="H55" s="205">
        <f t="array" ref="H55">SUM(IF('AEO 2012 prdcrv'!$A$7:$A$2000='Agg prdcrv'!$A55,IF('AEO 2012 prdcrv'!$H$7:$H$2000="2015",IF('AEO 2012 prdcrv'!$I$7:$I$2000="Quantities",'AEO 2012 prdcrv'!F$7:F$2000,0))))</f>
        <v>17.190000000000001</v>
      </c>
      <c r="J55" s="205">
        <v>2015</v>
      </c>
      <c r="K55" s="205">
        <v>1</v>
      </c>
      <c r="L55" s="205">
        <f t="array" ref="L55">SUM(IF('AEO 2012 prdcrv'!$A$7:$A$2000='Agg prdcrv'!$A55,IF('AEO 2012 prdcrv'!$H$7:$H$2000="2015",IF('AEO 2012 prdcrv'!$I$7:$I$2000="Prices",'AEO 2012 prdcrv'!B$7:B$2000,0))))</f>
        <v>41.43</v>
      </c>
      <c r="M55" s="205">
        <f t="array" ref="M55">SUM(IF('AEO 2012 prdcrv'!$A$7:$A$2000='Agg prdcrv'!$A55,IF('AEO 2012 prdcrv'!$H$7:$H$2000="2015",IF('AEO 2012 prdcrv'!$I$7:$I$2000="Prices",'AEO 2012 prdcrv'!C$7:C$2000,0))))</f>
        <v>41.34</v>
      </c>
      <c r="N55" s="205">
        <f t="array" ref="N55">SUM(IF('AEO 2012 prdcrv'!$A$7:$A$2000='Agg prdcrv'!$A55,IF('AEO 2012 prdcrv'!$H$7:$H$2000="2015",IF('AEO 2012 prdcrv'!$I$7:$I$2000="Prices",'AEO 2012 prdcrv'!D$7:D$2000,0))))</f>
        <v>40.380000000000003</v>
      </c>
      <c r="O55" s="205">
        <f t="array" ref="O55">SUM(IF('AEO 2012 prdcrv'!$A$7:$A$2000='Agg prdcrv'!$A55,IF('AEO 2012 prdcrv'!$H$7:$H$2000="2015",IF('AEO 2012 prdcrv'!$I$7:$I$2000="Prices",'AEO 2012 prdcrv'!E$7:E$2000,0))))</f>
        <v>43.49</v>
      </c>
      <c r="P55" s="205">
        <f t="array" ref="P55">SUM(IF('AEO 2012 prdcrv'!$A$7:$A$2000='Agg prdcrv'!$A55,IF('AEO 2012 prdcrv'!$H$7:$H$2000="2015",IF('AEO 2012 prdcrv'!$I$7:$I$2000="Prices",'AEO 2012 prdcrv'!F$7:F$2000,0))))</f>
        <v>42.21</v>
      </c>
    </row>
    <row r="56" spans="1:16">
      <c r="A56" s="195" t="s">
        <v>150</v>
      </c>
      <c r="B56" s="205">
        <v>2015</v>
      </c>
      <c r="C56" s="205">
        <v>1</v>
      </c>
      <c r="D56" s="205">
        <f t="array" ref="D56">SUM(IF('AEO 2012 prdcrv'!$A$7:$A$2000='Agg prdcrv'!$A56,IF('AEO 2012 prdcrv'!$H$7:$H$2000="2015",IF('AEO 2012 prdcrv'!$I$7:$I$2000="Quantities",'AEO 2012 prdcrv'!B$7:B$2000,0))))</f>
        <v>17.28</v>
      </c>
      <c r="E56" s="205">
        <f t="array" ref="E56">SUM(IF('AEO 2012 prdcrv'!$A$7:$A$2000='Agg prdcrv'!$A56,IF('AEO 2012 prdcrv'!$H$7:$H$2000="2015",IF('AEO 2012 prdcrv'!$I$7:$I$2000="Quantities",'AEO 2012 prdcrv'!C$7:C$2000,0))))</f>
        <v>0</v>
      </c>
      <c r="F56" s="205">
        <f t="array" ref="F56">SUM(IF('AEO 2012 prdcrv'!$A$7:$A$2000='Agg prdcrv'!$A56,IF('AEO 2012 prdcrv'!$H$7:$H$2000="2015",IF('AEO 2012 prdcrv'!$I$7:$I$2000="Quantities",'AEO 2012 prdcrv'!D$7:D$2000,0))))</f>
        <v>130.22</v>
      </c>
      <c r="G56" s="205">
        <f t="array" ref="G56">SUM(IF('AEO 2012 prdcrv'!$A$7:$A$2000='Agg prdcrv'!$A56,IF('AEO 2012 prdcrv'!$H$7:$H$2000="2015",IF('AEO 2012 prdcrv'!$I$7:$I$2000="Quantities",'AEO 2012 prdcrv'!E$7:E$2000,0))))</f>
        <v>0</v>
      </c>
      <c r="H56" s="205">
        <f t="array" ref="H56">SUM(IF('AEO 2012 prdcrv'!$A$7:$A$2000='Agg prdcrv'!$A56,IF('AEO 2012 prdcrv'!$H$7:$H$2000="2015",IF('AEO 2012 prdcrv'!$I$7:$I$2000="Quantities",'AEO 2012 prdcrv'!F$7:F$2000,0))))</f>
        <v>26.06</v>
      </c>
      <c r="J56" s="205">
        <v>2015</v>
      </c>
      <c r="K56" s="205">
        <v>1</v>
      </c>
      <c r="L56" s="205">
        <f t="array" ref="L56">SUM(IF('AEO 2012 prdcrv'!$A$7:$A$2000='Agg prdcrv'!$A56,IF('AEO 2012 prdcrv'!$H$7:$H$2000="2015",IF('AEO 2012 prdcrv'!$I$7:$I$2000="Prices",'AEO 2012 prdcrv'!B$7:B$2000,0))))</f>
        <v>18.829999999999998</v>
      </c>
      <c r="M56" s="205">
        <f t="array" ref="M56">SUM(IF('AEO 2012 prdcrv'!$A$7:$A$2000='Agg prdcrv'!$A56,IF('AEO 2012 prdcrv'!$H$7:$H$2000="2015",IF('AEO 2012 prdcrv'!$I$7:$I$2000="Prices",'AEO 2012 prdcrv'!C$7:C$2000,0))))</f>
        <v>18.79</v>
      </c>
      <c r="N56" s="205">
        <f t="array" ref="N56">SUM(IF('AEO 2012 prdcrv'!$A$7:$A$2000='Agg prdcrv'!$A56,IF('AEO 2012 prdcrv'!$H$7:$H$2000="2015",IF('AEO 2012 prdcrv'!$I$7:$I$2000="Prices",'AEO 2012 prdcrv'!D$7:D$2000,0))))</f>
        <v>18.350000000000001</v>
      </c>
      <c r="O56" s="205">
        <f t="array" ref="O56">SUM(IF('AEO 2012 prdcrv'!$A$7:$A$2000='Agg prdcrv'!$A56,IF('AEO 2012 prdcrv'!$H$7:$H$2000="2015",IF('AEO 2012 prdcrv'!$I$7:$I$2000="Prices",'AEO 2012 prdcrv'!E$7:E$2000,0))))</f>
        <v>19.77</v>
      </c>
      <c r="P56" s="205">
        <f t="array" ref="P56">SUM(IF('AEO 2012 prdcrv'!$A$7:$A$2000='Agg prdcrv'!$A56,IF('AEO 2012 prdcrv'!$H$7:$H$2000="2015",IF('AEO 2012 prdcrv'!$I$7:$I$2000="Prices",'AEO 2012 prdcrv'!F$7:F$2000,0))))</f>
        <v>19.190000000000001</v>
      </c>
    </row>
    <row r="57" spans="1:16">
      <c r="A57" s="195" t="s">
        <v>151</v>
      </c>
      <c r="B57" s="205">
        <v>2015</v>
      </c>
      <c r="C57" s="205">
        <v>1</v>
      </c>
      <c r="D57" s="205">
        <f t="array" ref="D57">SUM(IF('AEO 2012 prdcrv'!$A$7:$A$2000='Agg prdcrv'!$A57,IF('AEO 2012 prdcrv'!$H$7:$H$2000="2015",IF('AEO 2012 prdcrv'!$I$7:$I$2000="Quantities",'AEO 2012 prdcrv'!B$7:B$2000,0))))</f>
        <v>15.08</v>
      </c>
      <c r="E57" s="205">
        <f t="array" ref="E57">SUM(IF('AEO 2012 prdcrv'!$A$7:$A$2000='Agg prdcrv'!$A57,IF('AEO 2012 prdcrv'!$H$7:$H$2000="2015",IF('AEO 2012 prdcrv'!$I$7:$I$2000="Quantities",'AEO 2012 prdcrv'!C$7:C$2000,0))))</f>
        <v>1.29</v>
      </c>
      <c r="F57" s="205">
        <f t="array" ref="F57">SUM(IF('AEO 2012 prdcrv'!$A$7:$A$2000='Agg prdcrv'!$A57,IF('AEO 2012 prdcrv'!$H$7:$H$2000="2015",IF('AEO 2012 prdcrv'!$I$7:$I$2000="Quantities",'AEO 2012 prdcrv'!D$7:D$2000,0))))</f>
        <v>339.39</v>
      </c>
      <c r="G57" s="205">
        <f t="array" ref="G57">SUM(IF('AEO 2012 prdcrv'!$A$7:$A$2000='Agg prdcrv'!$A57,IF('AEO 2012 prdcrv'!$H$7:$H$2000="2015",IF('AEO 2012 prdcrv'!$I$7:$I$2000="Quantities",'AEO 2012 prdcrv'!E$7:E$2000,0))))</f>
        <v>0.84</v>
      </c>
      <c r="H57" s="205">
        <f t="array" ref="H57">SUM(IF('AEO 2012 prdcrv'!$A$7:$A$2000='Agg prdcrv'!$A57,IF('AEO 2012 prdcrv'!$H$7:$H$2000="2015",IF('AEO 2012 prdcrv'!$I$7:$I$2000="Quantities",'AEO 2012 prdcrv'!F$7:F$2000,0))))</f>
        <v>14.19</v>
      </c>
      <c r="J57" s="205">
        <v>2015</v>
      </c>
      <c r="K57" s="205">
        <v>1</v>
      </c>
      <c r="L57" s="205">
        <f t="array" ref="L57">SUM(IF('AEO 2012 prdcrv'!$A$7:$A$2000='Agg prdcrv'!$A57,IF('AEO 2012 prdcrv'!$H$7:$H$2000="2015",IF('AEO 2012 prdcrv'!$I$7:$I$2000="Prices",'AEO 2012 prdcrv'!B$7:B$2000,0))))</f>
        <v>23.01</v>
      </c>
      <c r="M57" s="205">
        <f t="array" ref="M57">SUM(IF('AEO 2012 prdcrv'!$A$7:$A$2000='Agg prdcrv'!$A57,IF('AEO 2012 prdcrv'!$H$7:$H$2000="2015",IF('AEO 2012 prdcrv'!$I$7:$I$2000="Prices",'AEO 2012 prdcrv'!C$7:C$2000,0))))</f>
        <v>22.97</v>
      </c>
      <c r="N57" s="205">
        <f t="array" ref="N57">SUM(IF('AEO 2012 prdcrv'!$A$7:$A$2000='Agg prdcrv'!$A57,IF('AEO 2012 prdcrv'!$H$7:$H$2000="2015",IF('AEO 2012 prdcrv'!$I$7:$I$2000="Prices",'AEO 2012 prdcrv'!D$7:D$2000,0))))</f>
        <v>22.43</v>
      </c>
      <c r="O57" s="205">
        <f t="array" ref="O57">SUM(IF('AEO 2012 prdcrv'!$A$7:$A$2000='Agg prdcrv'!$A57,IF('AEO 2012 prdcrv'!$H$7:$H$2000="2015",IF('AEO 2012 prdcrv'!$I$7:$I$2000="Prices",'AEO 2012 prdcrv'!E$7:E$2000,0))))</f>
        <v>24.16</v>
      </c>
      <c r="P57" s="205">
        <f t="array" ref="P57">SUM(IF('AEO 2012 prdcrv'!$A$7:$A$2000='Agg prdcrv'!$A57,IF('AEO 2012 prdcrv'!$H$7:$H$2000="2015",IF('AEO 2012 prdcrv'!$I$7:$I$2000="Prices",'AEO 2012 prdcrv'!F$7:F$2000,0))))</f>
        <v>23.45</v>
      </c>
    </row>
    <row r="58" spans="1:16">
      <c r="A58" s="195" t="s">
        <v>152</v>
      </c>
      <c r="B58" s="205">
        <v>2015</v>
      </c>
      <c r="C58" s="205">
        <v>1</v>
      </c>
      <c r="D58" s="205">
        <f t="array" ref="D58">SUM(IF('AEO 2012 prdcrv'!$A$7:$A$2000='Agg prdcrv'!$A58,IF('AEO 2012 prdcrv'!$H$7:$H$2000="2015",IF('AEO 2012 prdcrv'!$I$7:$I$2000="Quantities",'AEO 2012 prdcrv'!B$7:B$2000,0))))</f>
        <v>91</v>
      </c>
      <c r="E58" s="205">
        <f t="array" ref="E58">SUM(IF('AEO 2012 prdcrv'!$A$7:$A$2000='Agg prdcrv'!$A58,IF('AEO 2012 prdcrv'!$H$7:$H$2000="2015",IF('AEO 2012 prdcrv'!$I$7:$I$2000="Quantities",'AEO 2012 prdcrv'!C$7:C$2000,0))))</f>
        <v>0.85</v>
      </c>
      <c r="F58" s="205">
        <f t="array" ref="F58">SUM(IF('AEO 2012 prdcrv'!$A$7:$A$2000='Agg prdcrv'!$A58,IF('AEO 2012 prdcrv'!$H$7:$H$2000="2015",IF('AEO 2012 prdcrv'!$I$7:$I$2000="Quantities",'AEO 2012 prdcrv'!D$7:D$2000,0))))</f>
        <v>180.5</v>
      </c>
      <c r="G58" s="205">
        <f t="array" ref="G58">SUM(IF('AEO 2012 prdcrv'!$A$7:$A$2000='Agg prdcrv'!$A58,IF('AEO 2012 prdcrv'!$H$7:$H$2000="2015",IF('AEO 2012 prdcrv'!$I$7:$I$2000="Quantities",'AEO 2012 prdcrv'!E$7:E$2000,0))))</f>
        <v>0</v>
      </c>
      <c r="H58" s="205">
        <f t="array" ref="H58">SUM(IF('AEO 2012 prdcrv'!$A$7:$A$2000='Agg prdcrv'!$A58,IF('AEO 2012 prdcrv'!$H$7:$H$2000="2015",IF('AEO 2012 prdcrv'!$I$7:$I$2000="Quantities",'AEO 2012 prdcrv'!F$7:F$2000,0))))</f>
        <v>51.02</v>
      </c>
      <c r="J58" s="205">
        <v>2015</v>
      </c>
      <c r="K58" s="205">
        <v>1</v>
      </c>
      <c r="L58" s="205">
        <f t="array" ref="L58">SUM(IF('AEO 2012 prdcrv'!$A$7:$A$2000='Agg prdcrv'!$A58,IF('AEO 2012 prdcrv'!$H$7:$H$2000="2015",IF('AEO 2012 prdcrv'!$I$7:$I$2000="Prices",'AEO 2012 prdcrv'!B$7:B$2000,0))))</f>
        <v>17.260000000000002</v>
      </c>
      <c r="M58" s="205">
        <f t="array" ref="M58">SUM(IF('AEO 2012 prdcrv'!$A$7:$A$2000='Agg prdcrv'!$A58,IF('AEO 2012 prdcrv'!$H$7:$H$2000="2015",IF('AEO 2012 prdcrv'!$I$7:$I$2000="Prices",'AEO 2012 prdcrv'!C$7:C$2000,0))))</f>
        <v>17.23</v>
      </c>
      <c r="N58" s="205">
        <f t="array" ref="N58">SUM(IF('AEO 2012 prdcrv'!$A$7:$A$2000='Agg prdcrv'!$A58,IF('AEO 2012 prdcrv'!$H$7:$H$2000="2015",IF('AEO 2012 prdcrv'!$I$7:$I$2000="Prices",'AEO 2012 prdcrv'!D$7:D$2000,0))))</f>
        <v>16.82</v>
      </c>
      <c r="O58" s="205">
        <f t="array" ref="O58">SUM(IF('AEO 2012 prdcrv'!$A$7:$A$2000='Agg prdcrv'!$A58,IF('AEO 2012 prdcrv'!$H$7:$H$2000="2015",IF('AEO 2012 prdcrv'!$I$7:$I$2000="Prices",'AEO 2012 prdcrv'!E$7:E$2000,0))))</f>
        <v>18.12</v>
      </c>
      <c r="P58" s="205">
        <f t="array" ref="P58">SUM(IF('AEO 2012 prdcrv'!$A$7:$A$2000='Agg prdcrv'!$A58,IF('AEO 2012 prdcrv'!$H$7:$H$2000="2015",IF('AEO 2012 prdcrv'!$I$7:$I$2000="Prices",'AEO 2012 prdcrv'!F$7:F$2000,0))))</f>
        <v>17.59</v>
      </c>
    </row>
    <row r="59" spans="1:16">
      <c r="A59" s="204" t="s">
        <v>588</v>
      </c>
    </row>
    <row r="60" spans="1:16">
      <c r="A60" s="195" t="s">
        <v>25</v>
      </c>
      <c r="B60" s="205">
        <v>2020</v>
      </c>
      <c r="C60" s="205">
        <v>1</v>
      </c>
      <c r="D60" s="205">
        <f t="array" ref="D60">SUM(IF('AEO 2012 prdcrv'!$A$7:$A$2000='Agg prdcrv'!$A60,IF('AEO 2012 prdcrv'!$H$7:$H$2000="2020",IF('AEO 2012 prdcrv'!$I$7:$I$2000="Quantities",'AEO 2012 prdcrv'!B$7:B$2000,0))))</f>
        <v>0</v>
      </c>
      <c r="E60" s="205">
        <f t="array" ref="E60">SUM(IF('AEO 2012 prdcrv'!$A$7:$A$2000='Agg prdcrv'!$A60,IF('AEO 2012 prdcrv'!$H$7:$H$2000="2020",IF('AEO 2012 prdcrv'!$I$7:$I$2000="Quantities",'AEO 2012 prdcrv'!C$7:C$2000,0))))</f>
        <v>0</v>
      </c>
      <c r="F60" s="205">
        <f t="array" ref="F60">SUM(IF('AEO 2012 prdcrv'!$A$7:$A$2000='Agg prdcrv'!$A60,IF('AEO 2012 prdcrv'!$H$7:$H$2000="2020",IF('AEO 2012 prdcrv'!$I$7:$I$2000="Quantities",'AEO 2012 prdcrv'!D$7:D$2000,0))))</f>
        <v>0</v>
      </c>
      <c r="G60" s="205">
        <f t="array" ref="G60">SUM(IF('AEO 2012 prdcrv'!$A$7:$A$2000='Agg prdcrv'!$A60,IF('AEO 2012 prdcrv'!$H$7:$H$2000="2020",IF('AEO 2012 prdcrv'!$I$7:$I$2000="Quantities",'AEO 2012 prdcrv'!E$7:E$2000,0))))</f>
        <v>0</v>
      </c>
      <c r="H60" s="205">
        <f t="array" ref="H60">SUM(IF('AEO 2012 prdcrv'!$A$7:$A$2000='Agg prdcrv'!$A60,IF('AEO 2012 prdcrv'!$H$7:$H$2000="2020",IF('AEO 2012 prdcrv'!$I$7:$I$2000="Quantities",'AEO 2012 prdcrv'!F$7:F$2000,0))))</f>
        <v>0</v>
      </c>
      <c r="J60" s="205">
        <v>2020</v>
      </c>
      <c r="K60" s="205">
        <v>1</v>
      </c>
      <c r="L60" s="205">
        <f t="array" ref="L60">SUM(IF('AEO 2012 prdcrv'!$A$7:$A$2000='Agg prdcrv'!$A60,IF('AEO 2012 prdcrv'!$H$7:$H$2000="2020",IF('AEO 2012 prdcrv'!$I$7:$I$2000="Prices",'AEO 2012 prdcrv'!B$7:B$2000,0))))</f>
        <v>113.56</v>
      </c>
      <c r="M60" s="205">
        <f t="array" ref="M60">SUM(IF('AEO 2012 prdcrv'!$A$7:$A$2000='Agg prdcrv'!$A60,IF('AEO 2012 prdcrv'!$H$7:$H$2000="2020",IF('AEO 2012 prdcrv'!$I$7:$I$2000="Prices",'AEO 2012 prdcrv'!C$7:C$2000,0))))</f>
        <v>113.5</v>
      </c>
      <c r="N60" s="205">
        <f t="array" ref="N60">SUM(IF('AEO 2012 prdcrv'!$A$7:$A$2000='Agg prdcrv'!$A60,IF('AEO 2012 prdcrv'!$H$7:$H$2000="2020",IF('AEO 2012 prdcrv'!$I$7:$I$2000="Prices",'AEO 2012 prdcrv'!D$7:D$2000,0))))</f>
        <v>113.56</v>
      </c>
      <c r="O60" s="205">
        <f t="array" ref="O60">SUM(IF('AEO 2012 prdcrv'!$A$7:$A$2000='Agg prdcrv'!$A60,IF('AEO 2012 prdcrv'!$H$7:$H$2000="2020",IF('AEO 2012 prdcrv'!$I$7:$I$2000="Prices",'AEO 2012 prdcrv'!E$7:E$2000,0))))</f>
        <v>113.3</v>
      </c>
      <c r="P60" s="205">
        <f t="array" ref="P60">SUM(IF('AEO 2012 prdcrv'!$A$7:$A$2000='Agg prdcrv'!$A60,IF('AEO 2012 prdcrv'!$H$7:$H$2000="2020",IF('AEO 2012 prdcrv'!$I$7:$I$2000="Prices",'AEO 2012 prdcrv'!F$7:F$2000,0))))</f>
        <v>113.5</v>
      </c>
    </row>
    <row r="61" spans="1:16">
      <c r="A61" s="195" t="s">
        <v>22</v>
      </c>
      <c r="B61" s="205">
        <v>2020</v>
      </c>
      <c r="C61" s="205">
        <v>1</v>
      </c>
      <c r="D61" s="205">
        <f t="array" ref="D61">SUM(IF('AEO 2012 prdcrv'!$A$7:$A$2000='Agg prdcrv'!$A61,IF('AEO 2012 prdcrv'!$H$7:$H$2000="2020",IF('AEO 2012 prdcrv'!$I$7:$I$2000="Quantities",'AEO 2012 prdcrv'!B$7:B$2000,0))))</f>
        <v>308.87</v>
      </c>
      <c r="E61" s="205">
        <f t="array" ref="E61">SUM(IF('AEO 2012 prdcrv'!$A$7:$A$2000='Agg prdcrv'!$A61,IF('AEO 2012 prdcrv'!$H$7:$H$2000="2020",IF('AEO 2012 prdcrv'!$I$7:$I$2000="Quantities",'AEO 2012 prdcrv'!C$7:C$2000,0))))</f>
        <v>1.18</v>
      </c>
      <c r="F61" s="205">
        <f t="array" ref="F61">SUM(IF('AEO 2012 prdcrv'!$A$7:$A$2000='Agg prdcrv'!$A61,IF('AEO 2012 prdcrv'!$H$7:$H$2000="2020",IF('AEO 2012 prdcrv'!$I$7:$I$2000="Quantities",'AEO 2012 prdcrv'!D$7:D$2000,0))))</f>
        <v>33.14</v>
      </c>
      <c r="G61" s="205">
        <f t="array" ref="G61">SUM(IF('AEO 2012 prdcrv'!$A$7:$A$2000='Agg prdcrv'!$A61,IF('AEO 2012 prdcrv'!$H$7:$H$2000="2020",IF('AEO 2012 prdcrv'!$I$7:$I$2000="Quantities",'AEO 2012 prdcrv'!E$7:E$2000,0))))</f>
        <v>0</v>
      </c>
      <c r="H61" s="205">
        <f t="array" ref="H61">SUM(IF('AEO 2012 prdcrv'!$A$7:$A$2000='Agg prdcrv'!$A61,IF('AEO 2012 prdcrv'!$H$7:$H$2000="2020",IF('AEO 2012 prdcrv'!$I$7:$I$2000="Quantities",'AEO 2012 prdcrv'!F$7:F$2000,0))))</f>
        <v>22.94</v>
      </c>
      <c r="J61" s="205">
        <v>2020</v>
      </c>
      <c r="K61" s="205">
        <v>1</v>
      </c>
      <c r="L61" s="205">
        <f t="array" ref="L61">SUM(IF('AEO 2012 prdcrv'!$A$7:$A$2000='Agg prdcrv'!$A61,IF('AEO 2012 prdcrv'!$H$7:$H$2000="2020",IF('AEO 2012 prdcrv'!$I$7:$I$2000="Prices",'AEO 2012 prdcrv'!B$7:B$2000,0))))</f>
        <v>46.77</v>
      </c>
      <c r="M61" s="205">
        <f t="array" ref="M61">SUM(IF('AEO 2012 prdcrv'!$A$7:$A$2000='Agg prdcrv'!$A61,IF('AEO 2012 prdcrv'!$H$7:$H$2000="2020",IF('AEO 2012 prdcrv'!$I$7:$I$2000="Prices",'AEO 2012 prdcrv'!C$7:C$2000,0))))</f>
        <v>47.23</v>
      </c>
      <c r="N61" s="205">
        <f t="array" ref="N61">SUM(IF('AEO 2012 prdcrv'!$A$7:$A$2000='Agg prdcrv'!$A61,IF('AEO 2012 prdcrv'!$H$7:$H$2000="2020",IF('AEO 2012 prdcrv'!$I$7:$I$2000="Prices",'AEO 2012 prdcrv'!D$7:D$2000,0))))</f>
        <v>46.65</v>
      </c>
      <c r="O61" s="205">
        <f t="array" ref="O61">SUM(IF('AEO 2012 prdcrv'!$A$7:$A$2000='Agg prdcrv'!$A61,IF('AEO 2012 prdcrv'!$H$7:$H$2000="2020",IF('AEO 2012 prdcrv'!$I$7:$I$2000="Prices",'AEO 2012 prdcrv'!E$7:E$2000,0))))</f>
        <v>46.46</v>
      </c>
      <c r="P61" s="205">
        <f t="array" ref="P61">SUM(IF('AEO 2012 prdcrv'!$A$7:$A$2000='Agg prdcrv'!$A61,IF('AEO 2012 prdcrv'!$H$7:$H$2000="2020",IF('AEO 2012 prdcrv'!$I$7:$I$2000="Prices",'AEO 2012 prdcrv'!F$7:F$2000,0))))</f>
        <v>30.65</v>
      </c>
    </row>
    <row r="62" spans="1:16">
      <c r="A62" s="195" t="s">
        <v>15</v>
      </c>
      <c r="B62" s="205">
        <v>2020</v>
      </c>
      <c r="C62" s="205">
        <v>1</v>
      </c>
      <c r="D62" s="205">
        <f t="array" ref="D62">SUM(IF('AEO 2012 prdcrv'!$A$7:$A$2000='Agg prdcrv'!$A62,IF('AEO 2012 prdcrv'!$H$7:$H$2000="2020",IF('AEO 2012 prdcrv'!$I$7:$I$2000="Quantities",'AEO 2012 prdcrv'!B$7:B$2000,0))))</f>
        <v>201.62</v>
      </c>
      <c r="E62" s="205">
        <f t="array" ref="E62">SUM(IF('AEO 2012 prdcrv'!$A$7:$A$2000='Agg prdcrv'!$A62,IF('AEO 2012 prdcrv'!$H$7:$H$2000="2020",IF('AEO 2012 prdcrv'!$I$7:$I$2000="Quantities",'AEO 2012 prdcrv'!C$7:C$2000,0))))</f>
        <v>1.06</v>
      </c>
      <c r="F62" s="205">
        <f t="array" ref="F62">SUM(IF('AEO 2012 prdcrv'!$A$7:$A$2000='Agg prdcrv'!$A62,IF('AEO 2012 prdcrv'!$H$7:$H$2000="2020",IF('AEO 2012 prdcrv'!$I$7:$I$2000="Quantities",'AEO 2012 prdcrv'!D$7:D$2000,0))))</f>
        <v>10.029999999999999</v>
      </c>
      <c r="G62" s="205">
        <f t="array" ref="G62">SUM(IF('AEO 2012 prdcrv'!$A$7:$A$2000='Agg prdcrv'!$A62,IF('AEO 2012 prdcrv'!$H$7:$H$2000="2020",IF('AEO 2012 prdcrv'!$I$7:$I$2000="Quantities",'AEO 2012 prdcrv'!E$7:E$2000,0))))</f>
        <v>1.06</v>
      </c>
      <c r="H62" s="205">
        <f t="array" ref="H62">SUM(IF('AEO 2012 prdcrv'!$A$7:$A$2000='Agg prdcrv'!$A62,IF('AEO 2012 prdcrv'!$H$7:$H$2000="2020",IF('AEO 2012 prdcrv'!$I$7:$I$2000="Quantities",'AEO 2012 prdcrv'!F$7:F$2000,0))))</f>
        <v>5.98</v>
      </c>
      <c r="J62" s="205">
        <v>2020</v>
      </c>
      <c r="K62" s="205">
        <v>1</v>
      </c>
      <c r="L62" s="205">
        <f t="array" ref="L62">SUM(IF('AEO 2012 prdcrv'!$A$7:$A$2000='Agg prdcrv'!$A62,IF('AEO 2012 prdcrv'!$H$7:$H$2000="2020",IF('AEO 2012 prdcrv'!$I$7:$I$2000="Prices",'AEO 2012 prdcrv'!B$7:B$2000,0))))</f>
        <v>40.57</v>
      </c>
      <c r="M62" s="205">
        <f t="array" ref="M62">SUM(IF('AEO 2012 prdcrv'!$A$7:$A$2000='Agg prdcrv'!$A62,IF('AEO 2012 prdcrv'!$H$7:$H$2000="2020",IF('AEO 2012 prdcrv'!$I$7:$I$2000="Prices",'AEO 2012 prdcrv'!C$7:C$2000,0))))</f>
        <v>39.6</v>
      </c>
      <c r="N62" s="205">
        <f t="array" ref="N62">SUM(IF('AEO 2012 prdcrv'!$A$7:$A$2000='Agg prdcrv'!$A62,IF('AEO 2012 prdcrv'!$H$7:$H$2000="2020",IF('AEO 2012 prdcrv'!$I$7:$I$2000="Prices",'AEO 2012 prdcrv'!D$7:D$2000,0))))</f>
        <v>41.05</v>
      </c>
      <c r="O62" s="205">
        <f t="array" ref="O62">SUM(IF('AEO 2012 prdcrv'!$A$7:$A$2000='Agg prdcrv'!$A62,IF('AEO 2012 prdcrv'!$H$7:$H$2000="2020",IF('AEO 2012 prdcrv'!$I$7:$I$2000="Prices",'AEO 2012 prdcrv'!E$7:E$2000,0))))</f>
        <v>37.42</v>
      </c>
      <c r="P62" s="205">
        <f t="array" ref="P62">SUM(IF('AEO 2012 prdcrv'!$A$7:$A$2000='Agg prdcrv'!$A62,IF('AEO 2012 prdcrv'!$H$7:$H$2000="2020",IF('AEO 2012 prdcrv'!$I$7:$I$2000="Prices",'AEO 2012 prdcrv'!F$7:F$2000,0))))</f>
        <v>40.35</v>
      </c>
    </row>
    <row r="63" spans="1:16">
      <c r="A63" s="195" t="s">
        <v>16</v>
      </c>
      <c r="B63" s="205">
        <v>2020</v>
      </c>
      <c r="C63" s="205">
        <v>1</v>
      </c>
      <c r="D63" s="205">
        <f t="array" ref="D63">SUM(IF('AEO 2012 prdcrv'!$A$7:$A$2000='Agg prdcrv'!$A63,IF('AEO 2012 prdcrv'!$H$7:$H$2000="2020",IF('AEO 2012 prdcrv'!$I$7:$I$2000="Quantities",'AEO 2012 prdcrv'!B$7:B$2000,0))))</f>
        <v>1.1399999999999999</v>
      </c>
      <c r="E63" s="205">
        <f t="array" ref="E63">SUM(IF('AEO 2012 prdcrv'!$A$7:$A$2000='Agg prdcrv'!$A63,IF('AEO 2012 prdcrv'!$H$7:$H$2000="2020",IF('AEO 2012 prdcrv'!$I$7:$I$2000="Quantities",'AEO 2012 prdcrv'!C$7:C$2000,0))))</f>
        <v>0.09</v>
      </c>
      <c r="F63" s="205">
        <f t="array" ref="F63">SUM(IF('AEO 2012 prdcrv'!$A$7:$A$2000='Agg prdcrv'!$A63,IF('AEO 2012 prdcrv'!$H$7:$H$2000="2020",IF('AEO 2012 prdcrv'!$I$7:$I$2000="Quantities",'AEO 2012 prdcrv'!D$7:D$2000,0))))</f>
        <v>0.1</v>
      </c>
      <c r="G63" s="205">
        <f t="array" ref="G63">SUM(IF('AEO 2012 prdcrv'!$A$7:$A$2000='Agg prdcrv'!$A63,IF('AEO 2012 prdcrv'!$H$7:$H$2000="2020",IF('AEO 2012 prdcrv'!$I$7:$I$2000="Quantities",'AEO 2012 prdcrv'!E$7:E$2000,0))))</f>
        <v>0.12</v>
      </c>
      <c r="H63" s="205">
        <f t="array" ref="H63">SUM(IF('AEO 2012 prdcrv'!$A$7:$A$2000='Agg prdcrv'!$A63,IF('AEO 2012 prdcrv'!$H$7:$H$2000="2020",IF('AEO 2012 prdcrv'!$I$7:$I$2000="Quantities",'AEO 2012 prdcrv'!F$7:F$2000,0))))</f>
        <v>0.24</v>
      </c>
      <c r="J63" s="205">
        <v>2020</v>
      </c>
      <c r="K63" s="205">
        <v>1</v>
      </c>
      <c r="L63" s="205">
        <f t="array" ref="L63">SUM(IF('AEO 2012 prdcrv'!$A$7:$A$2000='Agg prdcrv'!$A63,IF('AEO 2012 prdcrv'!$H$7:$H$2000="2020",IF('AEO 2012 prdcrv'!$I$7:$I$2000="Prices",'AEO 2012 prdcrv'!B$7:B$2000,0))))</f>
        <v>113.56</v>
      </c>
      <c r="M63" s="205">
        <f t="array" ref="M63">SUM(IF('AEO 2012 prdcrv'!$A$7:$A$2000='Agg prdcrv'!$A63,IF('AEO 2012 prdcrv'!$H$7:$H$2000="2020",IF('AEO 2012 prdcrv'!$I$7:$I$2000="Prices",'AEO 2012 prdcrv'!C$7:C$2000,0))))</f>
        <v>113.5</v>
      </c>
      <c r="N63" s="205">
        <f t="array" ref="N63">SUM(IF('AEO 2012 prdcrv'!$A$7:$A$2000='Agg prdcrv'!$A63,IF('AEO 2012 prdcrv'!$H$7:$H$2000="2020",IF('AEO 2012 prdcrv'!$I$7:$I$2000="Prices",'AEO 2012 prdcrv'!D$7:D$2000,0))))</f>
        <v>113.56</v>
      </c>
      <c r="O63" s="205">
        <f t="array" ref="O63">SUM(IF('AEO 2012 prdcrv'!$A$7:$A$2000='Agg prdcrv'!$A63,IF('AEO 2012 prdcrv'!$H$7:$H$2000="2020",IF('AEO 2012 prdcrv'!$I$7:$I$2000="Prices",'AEO 2012 prdcrv'!E$7:E$2000,0))))</f>
        <v>113.5</v>
      </c>
      <c r="P63" s="205">
        <f t="array" ref="P63">SUM(IF('AEO 2012 prdcrv'!$A$7:$A$2000='Agg prdcrv'!$A63,IF('AEO 2012 prdcrv'!$H$7:$H$2000="2020",IF('AEO 2012 prdcrv'!$I$7:$I$2000="Prices",'AEO 2012 prdcrv'!F$7:F$2000,0))))</f>
        <v>113.5</v>
      </c>
    </row>
    <row r="64" spans="1:16">
      <c r="A64" s="195" t="s">
        <v>37</v>
      </c>
      <c r="B64" s="205">
        <v>2020</v>
      </c>
      <c r="C64" s="205">
        <v>1</v>
      </c>
      <c r="D64" s="205">
        <f t="array" ref="D64">SUM(IF('AEO 2012 prdcrv'!$A$7:$A$2000='Agg prdcrv'!$A64,IF('AEO 2012 prdcrv'!$H$7:$H$2000="2020",IF('AEO 2012 prdcrv'!$I$7:$I$2000="Quantities",'AEO 2012 prdcrv'!B$7:B$2000,0))))</f>
        <v>194.02</v>
      </c>
      <c r="E64" s="205">
        <f t="array" ref="E64">SUM(IF('AEO 2012 prdcrv'!$A$7:$A$2000='Agg prdcrv'!$A64,IF('AEO 2012 prdcrv'!$H$7:$H$2000="2020",IF('AEO 2012 prdcrv'!$I$7:$I$2000="Quantities",'AEO 2012 prdcrv'!C$7:C$2000,0))))</f>
        <v>2.11</v>
      </c>
      <c r="F64" s="205">
        <f t="array" ref="F64">SUM(IF('AEO 2012 prdcrv'!$A$7:$A$2000='Agg prdcrv'!$A64,IF('AEO 2012 prdcrv'!$H$7:$H$2000="2020",IF('AEO 2012 prdcrv'!$I$7:$I$2000="Quantities",'AEO 2012 prdcrv'!D$7:D$2000,0))))</f>
        <v>40.11</v>
      </c>
      <c r="G64" s="205">
        <f t="array" ref="G64">SUM(IF('AEO 2012 prdcrv'!$A$7:$A$2000='Agg prdcrv'!$A64,IF('AEO 2012 prdcrv'!$H$7:$H$2000="2020",IF('AEO 2012 prdcrv'!$I$7:$I$2000="Quantities",'AEO 2012 prdcrv'!E$7:E$2000,0))))</f>
        <v>0</v>
      </c>
      <c r="H64" s="205">
        <f t="array" ref="H64">SUM(IF('AEO 2012 prdcrv'!$A$7:$A$2000='Agg prdcrv'!$A64,IF('AEO 2012 prdcrv'!$H$7:$H$2000="2020",IF('AEO 2012 prdcrv'!$I$7:$I$2000="Quantities",'AEO 2012 prdcrv'!F$7:F$2000,0))))</f>
        <v>10.56</v>
      </c>
      <c r="J64" s="205">
        <v>2020</v>
      </c>
      <c r="K64" s="205">
        <v>1</v>
      </c>
      <c r="L64" s="205">
        <f t="array" ref="L64">SUM(IF('AEO 2012 prdcrv'!$A$7:$A$2000='Agg prdcrv'!$A64,IF('AEO 2012 prdcrv'!$H$7:$H$2000="2020",IF('AEO 2012 prdcrv'!$I$7:$I$2000="Prices",'AEO 2012 prdcrv'!B$7:B$2000,0))))</f>
        <v>32.119999999999997</v>
      </c>
      <c r="M64" s="205">
        <f t="array" ref="M64">SUM(IF('AEO 2012 prdcrv'!$A$7:$A$2000='Agg prdcrv'!$A64,IF('AEO 2012 prdcrv'!$H$7:$H$2000="2020",IF('AEO 2012 prdcrv'!$I$7:$I$2000="Prices",'AEO 2012 prdcrv'!C$7:C$2000,0))))</f>
        <v>32.119999999999997</v>
      </c>
      <c r="N64" s="205">
        <f t="array" ref="N64">SUM(IF('AEO 2012 prdcrv'!$A$7:$A$2000='Agg prdcrv'!$A64,IF('AEO 2012 prdcrv'!$H$7:$H$2000="2020",IF('AEO 2012 prdcrv'!$I$7:$I$2000="Prices",'AEO 2012 prdcrv'!D$7:D$2000,0))))</f>
        <v>32.6</v>
      </c>
      <c r="O64" s="205">
        <f t="array" ref="O64">SUM(IF('AEO 2012 prdcrv'!$A$7:$A$2000='Agg prdcrv'!$A64,IF('AEO 2012 prdcrv'!$H$7:$H$2000="2020",IF('AEO 2012 prdcrv'!$I$7:$I$2000="Prices",'AEO 2012 prdcrv'!E$7:E$2000,0))))</f>
        <v>31.37</v>
      </c>
      <c r="P64" s="205">
        <f t="array" ref="P64">SUM(IF('AEO 2012 prdcrv'!$A$7:$A$2000='Agg prdcrv'!$A64,IF('AEO 2012 prdcrv'!$H$7:$H$2000="2020",IF('AEO 2012 prdcrv'!$I$7:$I$2000="Prices",'AEO 2012 prdcrv'!F$7:F$2000,0))))</f>
        <v>30.83</v>
      </c>
    </row>
    <row r="65" spans="1:16">
      <c r="A65" s="195" t="s">
        <v>36</v>
      </c>
      <c r="B65" s="205">
        <v>2020</v>
      </c>
      <c r="C65" s="205">
        <v>1</v>
      </c>
      <c r="D65" s="205">
        <f t="array" ref="D65">SUM(IF('AEO 2012 prdcrv'!$A$7:$A$2000='Agg prdcrv'!$A65,IF('AEO 2012 prdcrv'!$H$7:$H$2000="2020",IF('AEO 2012 prdcrv'!$I$7:$I$2000="Quantities",'AEO 2012 prdcrv'!B$7:B$2000,0))))</f>
        <v>122.81</v>
      </c>
      <c r="E65" s="205">
        <f t="array" ref="E65">SUM(IF('AEO 2012 prdcrv'!$A$7:$A$2000='Agg prdcrv'!$A65,IF('AEO 2012 prdcrv'!$H$7:$H$2000="2020",IF('AEO 2012 prdcrv'!$I$7:$I$2000="Quantities",'AEO 2012 prdcrv'!C$7:C$2000,0))))</f>
        <v>1.66</v>
      </c>
      <c r="F65" s="205">
        <f t="array" ref="F65">SUM(IF('AEO 2012 prdcrv'!$A$7:$A$2000='Agg prdcrv'!$A65,IF('AEO 2012 prdcrv'!$H$7:$H$2000="2020",IF('AEO 2012 prdcrv'!$I$7:$I$2000="Quantities",'AEO 2012 prdcrv'!D$7:D$2000,0))))</f>
        <v>21.85</v>
      </c>
      <c r="G65" s="205">
        <f t="array" ref="G65">SUM(IF('AEO 2012 prdcrv'!$A$7:$A$2000='Agg prdcrv'!$A65,IF('AEO 2012 prdcrv'!$H$7:$H$2000="2020",IF('AEO 2012 prdcrv'!$I$7:$I$2000="Quantities",'AEO 2012 prdcrv'!E$7:E$2000,0))))</f>
        <v>0</v>
      </c>
      <c r="H65" s="205">
        <f t="array" ref="H65">SUM(IF('AEO 2012 prdcrv'!$A$7:$A$2000='Agg prdcrv'!$A65,IF('AEO 2012 prdcrv'!$H$7:$H$2000="2020",IF('AEO 2012 prdcrv'!$I$7:$I$2000="Quantities",'AEO 2012 prdcrv'!F$7:F$2000,0))))</f>
        <v>25.45</v>
      </c>
      <c r="J65" s="205">
        <v>2020</v>
      </c>
      <c r="K65" s="205">
        <v>1</v>
      </c>
      <c r="L65" s="205">
        <f t="array" ref="L65">SUM(IF('AEO 2012 prdcrv'!$A$7:$A$2000='Agg prdcrv'!$A65,IF('AEO 2012 prdcrv'!$H$7:$H$2000="2020",IF('AEO 2012 prdcrv'!$I$7:$I$2000="Prices",'AEO 2012 prdcrv'!B$7:B$2000,0))))</f>
        <v>31.8</v>
      </c>
      <c r="M65" s="205">
        <f t="array" ref="M65">SUM(IF('AEO 2012 prdcrv'!$A$7:$A$2000='Agg prdcrv'!$A65,IF('AEO 2012 prdcrv'!$H$7:$H$2000="2020",IF('AEO 2012 prdcrv'!$I$7:$I$2000="Prices",'AEO 2012 prdcrv'!C$7:C$2000,0))))</f>
        <v>31.8</v>
      </c>
      <c r="N65" s="205">
        <f t="array" ref="N65">SUM(IF('AEO 2012 prdcrv'!$A$7:$A$2000='Agg prdcrv'!$A65,IF('AEO 2012 prdcrv'!$H$7:$H$2000="2020",IF('AEO 2012 prdcrv'!$I$7:$I$2000="Prices",'AEO 2012 prdcrv'!D$7:D$2000,0))))</f>
        <v>32.28</v>
      </c>
      <c r="O65" s="205">
        <f t="array" ref="O65">SUM(IF('AEO 2012 prdcrv'!$A$7:$A$2000='Agg prdcrv'!$A65,IF('AEO 2012 prdcrv'!$H$7:$H$2000="2020",IF('AEO 2012 prdcrv'!$I$7:$I$2000="Prices",'AEO 2012 prdcrv'!E$7:E$2000,0))))</f>
        <v>31.39</v>
      </c>
      <c r="P65" s="205">
        <f t="array" ref="P65">SUM(IF('AEO 2012 prdcrv'!$A$7:$A$2000='Agg prdcrv'!$A65,IF('AEO 2012 prdcrv'!$H$7:$H$2000="2020",IF('AEO 2012 prdcrv'!$I$7:$I$2000="Prices",'AEO 2012 prdcrv'!F$7:F$2000,0))))</f>
        <v>30.96</v>
      </c>
    </row>
    <row r="66" spans="1:16">
      <c r="A66" s="195" t="s">
        <v>453</v>
      </c>
      <c r="B66" s="205">
        <v>2020</v>
      </c>
      <c r="C66" s="205">
        <v>1</v>
      </c>
      <c r="D66" s="205">
        <f t="array" ref="D66">SUM(IF('AEO 2012 prdcrv'!$A$7:$A$2000='Agg prdcrv'!$A66,IF('AEO 2012 prdcrv'!$H$7:$H$2000="2020",IF('AEO 2012 prdcrv'!$I$7:$I$2000="Quantities",'AEO 2012 prdcrv'!B$7:B$2000,0))))</f>
        <v>97.28</v>
      </c>
      <c r="E66" s="205">
        <f t="array" ref="E66">SUM(IF('AEO 2012 prdcrv'!$A$7:$A$2000='Agg prdcrv'!$A66,IF('AEO 2012 prdcrv'!$H$7:$H$2000="2020",IF('AEO 2012 prdcrv'!$I$7:$I$2000="Quantities",'AEO 2012 prdcrv'!C$7:C$2000,0))))</f>
        <v>0</v>
      </c>
      <c r="F66" s="205">
        <f t="array" ref="F66">SUM(IF('AEO 2012 prdcrv'!$A$7:$A$2000='Agg prdcrv'!$A66,IF('AEO 2012 prdcrv'!$H$7:$H$2000="2020",IF('AEO 2012 prdcrv'!$I$7:$I$2000="Quantities",'AEO 2012 prdcrv'!D$7:D$2000,0))))</f>
        <v>6.15</v>
      </c>
      <c r="G66" s="205">
        <f t="array" ref="G66">SUM(IF('AEO 2012 prdcrv'!$A$7:$A$2000='Agg prdcrv'!$A66,IF('AEO 2012 prdcrv'!$H$7:$H$2000="2020",IF('AEO 2012 prdcrv'!$I$7:$I$2000="Quantities",'AEO 2012 prdcrv'!E$7:E$2000,0))))</f>
        <v>0</v>
      </c>
      <c r="H66" s="205">
        <f t="array" ref="H66">SUM(IF('AEO 2012 prdcrv'!$A$7:$A$2000='Agg prdcrv'!$A66,IF('AEO 2012 prdcrv'!$H$7:$H$2000="2020",IF('AEO 2012 prdcrv'!$I$7:$I$2000="Quantities",'AEO 2012 prdcrv'!F$7:F$2000,0))))</f>
        <v>55.32</v>
      </c>
      <c r="J66" s="205">
        <v>2020</v>
      </c>
      <c r="K66" s="205">
        <v>1</v>
      </c>
      <c r="L66" s="205">
        <f t="array" ref="L66">SUM(IF('AEO 2012 prdcrv'!$A$7:$A$2000='Agg prdcrv'!$A66,IF('AEO 2012 prdcrv'!$H$7:$H$2000="2020",IF('AEO 2012 prdcrv'!$I$7:$I$2000="Prices",'AEO 2012 prdcrv'!B$7:B$2000,0))))</f>
        <v>38.340000000000003</v>
      </c>
      <c r="M66" s="205">
        <f t="array" ref="M66">SUM(IF('AEO 2012 prdcrv'!$A$7:$A$2000='Agg prdcrv'!$A66,IF('AEO 2012 prdcrv'!$H$7:$H$2000="2020",IF('AEO 2012 prdcrv'!$I$7:$I$2000="Prices",'AEO 2012 prdcrv'!C$7:C$2000,0))))</f>
        <v>37.68</v>
      </c>
      <c r="N66" s="205">
        <f t="array" ref="N66">SUM(IF('AEO 2012 prdcrv'!$A$7:$A$2000='Agg prdcrv'!$A66,IF('AEO 2012 prdcrv'!$H$7:$H$2000="2020",IF('AEO 2012 prdcrv'!$I$7:$I$2000="Prices",'AEO 2012 prdcrv'!D$7:D$2000,0))))</f>
        <v>37.28</v>
      </c>
      <c r="O66" s="205">
        <f t="array" ref="O66">SUM(IF('AEO 2012 prdcrv'!$A$7:$A$2000='Agg prdcrv'!$A66,IF('AEO 2012 prdcrv'!$H$7:$H$2000="2020",IF('AEO 2012 prdcrv'!$I$7:$I$2000="Prices",'AEO 2012 prdcrv'!E$7:E$2000,0))))</f>
        <v>38.42</v>
      </c>
      <c r="P66" s="205">
        <f t="array" ref="P66">SUM(IF('AEO 2012 prdcrv'!$A$7:$A$2000='Agg prdcrv'!$A66,IF('AEO 2012 prdcrv'!$H$7:$H$2000="2020",IF('AEO 2012 prdcrv'!$I$7:$I$2000="Prices",'AEO 2012 prdcrv'!F$7:F$2000,0))))</f>
        <v>38.729999999999997</v>
      </c>
    </row>
    <row r="67" spans="1:16">
      <c r="A67" s="195" t="s">
        <v>456</v>
      </c>
      <c r="B67" s="205">
        <v>2020</v>
      </c>
      <c r="C67" s="205">
        <v>1</v>
      </c>
      <c r="D67" s="205">
        <f t="array" ref="D67">SUM(IF('AEO 2012 prdcrv'!$A$7:$A$2000='Agg prdcrv'!$A67,IF('AEO 2012 prdcrv'!$H$7:$H$2000="2020",IF('AEO 2012 prdcrv'!$I$7:$I$2000="Quantities",'AEO 2012 prdcrv'!B$7:B$2000,0))))</f>
        <v>92.26</v>
      </c>
      <c r="E67" s="205">
        <f t="array" ref="E67">SUM(IF('AEO 2012 prdcrv'!$A$7:$A$2000='Agg prdcrv'!$A67,IF('AEO 2012 prdcrv'!$H$7:$H$2000="2020",IF('AEO 2012 prdcrv'!$I$7:$I$2000="Quantities",'AEO 2012 prdcrv'!C$7:C$2000,0))))</f>
        <v>105.7</v>
      </c>
      <c r="F67" s="205">
        <f t="array" ref="F67">SUM(IF('AEO 2012 prdcrv'!$A$7:$A$2000='Agg prdcrv'!$A67,IF('AEO 2012 prdcrv'!$H$7:$H$2000="2020",IF('AEO 2012 prdcrv'!$I$7:$I$2000="Quantities",'AEO 2012 prdcrv'!D$7:D$2000,0))))</f>
        <v>186.28</v>
      </c>
      <c r="G67" s="205">
        <f t="array" ref="G67">SUM(IF('AEO 2012 prdcrv'!$A$7:$A$2000='Agg prdcrv'!$A67,IF('AEO 2012 prdcrv'!$H$7:$H$2000="2020",IF('AEO 2012 prdcrv'!$I$7:$I$2000="Quantities",'AEO 2012 prdcrv'!E$7:E$2000,0))))</f>
        <v>11.19</v>
      </c>
      <c r="H67" s="205">
        <f t="array" ref="H67">SUM(IF('AEO 2012 prdcrv'!$A$7:$A$2000='Agg prdcrv'!$A67,IF('AEO 2012 prdcrv'!$H$7:$H$2000="2020",IF('AEO 2012 prdcrv'!$I$7:$I$2000="Quantities",'AEO 2012 prdcrv'!F$7:F$2000,0))))</f>
        <v>2.11</v>
      </c>
      <c r="J67" s="205">
        <v>2020</v>
      </c>
      <c r="K67" s="205">
        <v>1</v>
      </c>
      <c r="L67" s="205">
        <f t="array" ref="L67">SUM(IF('AEO 2012 prdcrv'!$A$7:$A$2000='Agg prdcrv'!$A67,IF('AEO 2012 prdcrv'!$H$7:$H$2000="2020",IF('AEO 2012 prdcrv'!$I$7:$I$2000="Prices",'AEO 2012 prdcrv'!B$7:B$2000,0))))</f>
        <v>28.5</v>
      </c>
      <c r="M67" s="205">
        <f t="array" ref="M67">SUM(IF('AEO 2012 prdcrv'!$A$7:$A$2000='Agg prdcrv'!$A67,IF('AEO 2012 prdcrv'!$H$7:$H$2000="2020",IF('AEO 2012 prdcrv'!$I$7:$I$2000="Prices",'AEO 2012 prdcrv'!C$7:C$2000,0))))</f>
        <v>28.5</v>
      </c>
      <c r="N67" s="205">
        <f t="array" ref="N67">SUM(IF('AEO 2012 prdcrv'!$A$7:$A$2000='Agg prdcrv'!$A67,IF('AEO 2012 prdcrv'!$H$7:$H$2000="2020",IF('AEO 2012 prdcrv'!$I$7:$I$2000="Prices",'AEO 2012 prdcrv'!D$7:D$2000,0))))</f>
        <v>28.5</v>
      </c>
      <c r="O67" s="205">
        <f t="array" ref="O67">SUM(IF('AEO 2012 prdcrv'!$A$7:$A$2000='Agg prdcrv'!$A67,IF('AEO 2012 prdcrv'!$H$7:$H$2000="2020",IF('AEO 2012 prdcrv'!$I$7:$I$2000="Prices",'AEO 2012 prdcrv'!E$7:E$2000,0))))</f>
        <v>28.5</v>
      </c>
      <c r="P67" s="205">
        <f t="array" ref="P67">SUM(IF('AEO 2012 prdcrv'!$A$7:$A$2000='Agg prdcrv'!$A67,IF('AEO 2012 prdcrv'!$H$7:$H$2000="2020",IF('AEO 2012 prdcrv'!$I$7:$I$2000="Prices",'AEO 2012 prdcrv'!F$7:F$2000,0))))</f>
        <v>28.5</v>
      </c>
    </row>
    <row r="68" spans="1:16">
      <c r="A68" s="195" t="s">
        <v>35</v>
      </c>
      <c r="B68" s="205">
        <v>2020</v>
      </c>
      <c r="C68" s="205">
        <v>1</v>
      </c>
      <c r="D68" s="205">
        <f t="array" ref="D68">SUM(IF('AEO 2012 prdcrv'!$A$7:$A$2000='Agg prdcrv'!$A68,IF('AEO 2012 prdcrv'!$H$7:$H$2000="2020",IF('AEO 2012 prdcrv'!$I$7:$I$2000="Quantities",'AEO 2012 prdcrv'!B$7:B$2000,0))))</f>
        <v>4.22</v>
      </c>
      <c r="E68" s="205">
        <f t="array" ref="E68">SUM(IF('AEO 2012 prdcrv'!$A$7:$A$2000='Agg prdcrv'!$A68,IF('AEO 2012 prdcrv'!$H$7:$H$2000="2020",IF('AEO 2012 prdcrv'!$I$7:$I$2000="Quantities",'AEO 2012 prdcrv'!C$7:C$2000,0))))</f>
        <v>4.8600000000000003</v>
      </c>
      <c r="F68" s="205">
        <f t="array" ref="F68">SUM(IF('AEO 2012 prdcrv'!$A$7:$A$2000='Agg prdcrv'!$A68,IF('AEO 2012 prdcrv'!$H$7:$H$2000="2020",IF('AEO 2012 prdcrv'!$I$7:$I$2000="Quantities",'AEO 2012 prdcrv'!D$7:D$2000,0))))</f>
        <v>310.47000000000003</v>
      </c>
      <c r="G68" s="205">
        <f t="array" ref="G68">SUM(IF('AEO 2012 prdcrv'!$A$7:$A$2000='Agg prdcrv'!$A68,IF('AEO 2012 prdcrv'!$H$7:$H$2000="2020",IF('AEO 2012 prdcrv'!$I$7:$I$2000="Quantities",'AEO 2012 prdcrv'!E$7:E$2000,0))))</f>
        <v>0</v>
      </c>
      <c r="H68" s="205">
        <f t="array" ref="H68">SUM(IF('AEO 2012 prdcrv'!$A$7:$A$2000='Agg prdcrv'!$A68,IF('AEO 2012 prdcrv'!$H$7:$H$2000="2020",IF('AEO 2012 prdcrv'!$I$7:$I$2000="Quantities",'AEO 2012 prdcrv'!F$7:F$2000,0))))</f>
        <v>3.52</v>
      </c>
      <c r="J68" s="205">
        <v>2020</v>
      </c>
      <c r="K68" s="205">
        <v>1</v>
      </c>
      <c r="L68" s="205">
        <f t="array" ref="L68">SUM(IF('AEO 2012 prdcrv'!$A$7:$A$2000='Agg prdcrv'!$A68,IF('AEO 2012 prdcrv'!$H$7:$H$2000="2020",IF('AEO 2012 prdcrv'!$I$7:$I$2000="Prices",'AEO 2012 prdcrv'!B$7:B$2000,0))))</f>
        <v>22.5</v>
      </c>
      <c r="M68" s="205">
        <f t="array" ref="M68">SUM(IF('AEO 2012 prdcrv'!$A$7:$A$2000='Agg prdcrv'!$A68,IF('AEO 2012 prdcrv'!$H$7:$H$2000="2020",IF('AEO 2012 prdcrv'!$I$7:$I$2000="Prices",'AEO 2012 prdcrv'!C$7:C$2000,0))))</f>
        <v>24.85</v>
      </c>
      <c r="N68" s="205">
        <f t="array" ref="N68">SUM(IF('AEO 2012 prdcrv'!$A$7:$A$2000='Agg prdcrv'!$A68,IF('AEO 2012 prdcrv'!$H$7:$H$2000="2020",IF('AEO 2012 prdcrv'!$I$7:$I$2000="Prices",'AEO 2012 prdcrv'!D$7:D$2000,0))))</f>
        <v>24.91</v>
      </c>
      <c r="O68" s="205">
        <f t="array" ref="O68">SUM(IF('AEO 2012 prdcrv'!$A$7:$A$2000='Agg prdcrv'!$A68,IF('AEO 2012 prdcrv'!$H$7:$H$2000="2020",IF('AEO 2012 prdcrv'!$I$7:$I$2000="Prices",'AEO 2012 prdcrv'!E$7:E$2000,0))))</f>
        <v>24.09</v>
      </c>
      <c r="P68" s="205">
        <f t="array" ref="P68">SUM(IF('AEO 2012 prdcrv'!$A$7:$A$2000='Agg prdcrv'!$A68,IF('AEO 2012 prdcrv'!$H$7:$H$2000="2020",IF('AEO 2012 prdcrv'!$I$7:$I$2000="Prices",'AEO 2012 prdcrv'!F$7:F$2000,0))))</f>
        <v>11.24</v>
      </c>
    </row>
    <row r="69" spans="1:16">
      <c r="A69" s="195" t="s">
        <v>31</v>
      </c>
      <c r="B69" s="205">
        <v>2020</v>
      </c>
      <c r="C69" s="205">
        <v>1</v>
      </c>
      <c r="D69" s="205">
        <f t="array" ref="D69">SUM(IF('AEO 2012 prdcrv'!$A$7:$A$2000='Agg prdcrv'!$A69,IF('AEO 2012 prdcrv'!$H$7:$H$2000="2020",IF('AEO 2012 prdcrv'!$I$7:$I$2000="Quantities",'AEO 2012 prdcrv'!B$7:B$2000,0))))</f>
        <v>45.91</v>
      </c>
      <c r="E69" s="205">
        <f t="array" ref="E69">SUM(IF('AEO 2012 prdcrv'!$A$7:$A$2000='Agg prdcrv'!$A69,IF('AEO 2012 prdcrv'!$H$7:$H$2000="2020",IF('AEO 2012 prdcrv'!$I$7:$I$2000="Quantities",'AEO 2012 prdcrv'!C$7:C$2000,0))))</f>
        <v>7.09</v>
      </c>
      <c r="F69" s="205">
        <f t="array" ref="F69">SUM(IF('AEO 2012 prdcrv'!$A$7:$A$2000='Agg prdcrv'!$A69,IF('AEO 2012 prdcrv'!$H$7:$H$2000="2020",IF('AEO 2012 prdcrv'!$I$7:$I$2000="Quantities",'AEO 2012 prdcrv'!D$7:D$2000,0))))</f>
        <v>22.96</v>
      </c>
      <c r="G69" s="205">
        <f t="array" ref="G69">SUM(IF('AEO 2012 prdcrv'!$A$7:$A$2000='Agg prdcrv'!$A69,IF('AEO 2012 prdcrv'!$H$7:$H$2000="2020",IF('AEO 2012 prdcrv'!$I$7:$I$2000="Quantities",'AEO 2012 prdcrv'!E$7:E$2000,0))))</f>
        <v>1.01</v>
      </c>
      <c r="H69" s="205">
        <f t="array" ref="H69">SUM(IF('AEO 2012 prdcrv'!$A$7:$A$2000='Agg prdcrv'!$A69,IF('AEO 2012 prdcrv'!$H$7:$H$2000="2020",IF('AEO 2012 prdcrv'!$I$7:$I$2000="Quantities",'AEO 2012 prdcrv'!F$7:F$2000,0))))</f>
        <v>31.94</v>
      </c>
      <c r="J69" s="205">
        <v>2020</v>
      </c>
      <c r="K69" s="205">
        <v>1</v>
      </c>
      <c r="L69" s="205">
        <f t="array" ref="L69">SUM(IF('AEO 2012 prdcrv'!$A$7:$A$2000='Agg prdcrv'!$A69,IF('AEO 2012 prdcrv'!$H$7:$H$2000="2020",IF('AEO 2012 prdcrv'!$I$7:$I$2000="Prices",'AEO 2012 prdcrv'!B$7:B$2000,0))))</f>
        <v>41.16</v>
      </c>
      <c r="M69" s="205">
        <f t="array" ref="M69">SUM(IF('AEO 2012 prdcrv'!$A$7:$A$2000='Agg prdcrv'!$A69,IF('AEO 2012 prdcrv'!$H$7:$H$2000="2020",IF('AEO 2012 prdcrv'!$I$7:$I$2000="Prices",'AEO 2012 prdcrv'!C$7:C$2000,0))))</f>
        <v>41.16</v>
      </c>
      <c r="N69" s="205">
        <f t="array" ref="N69">SUM(IF('AEO 2012 prdcrv'!$A$7:$A$2000='Agg prdcrv'!$A69,IF('AEO 2012 prdcrv'!$H$7:$H$2000="2020",IF('AEO 2012 prdcrv'!$I$7:$I$2000="Prices",'AEO 2012 prdcrv'!D$7:D$2000,0))))</f>
        <v>41.76</v>
      </c>
      <c r="O69" s="205">
        <f t="array" ref="O69">SUM(IF('AEO 2012 prdcrv'!$A$7:$A$2000='Agg prdcrv'!$A69,IF('AEO 2012 prdcrv'!$H$7:$H$2000="2020",IF('AEO 2012 prdcrv'!$I$7:$I$2000="Prices",'AEO 2012 prdcrv'!E$7:E$2000,0))))</f>
        <v>41.27</v>
      </c>
      <c r="P69" s="205">
        <f t="array" ref="P69">SUM(IF('AEO 2012 prdcrv'!$A$7:$A$2000='Agg prdcrv'!$A69,IF('AEO 2012 prdcrv'!$H$7:$H$2000="2020",IF('AEO 2012 prdcrv'!$I$7:$I$2000="Prices",'AEO 2012 prdcrv'!F$7:F$2000,0))))</f>
        <v>41.27</v>
      </c>
    </row>
    <row r="70" spans="1:16">
      <c r="A70" s="195" t="s">
        <v>458</v>
      </c>
      <c r="B70" s="205">
        <v>2020</v>
      </c>
      <c r="C70" s="205">
        <v>1</v>
      </c>
      <c r="D70" s="205">
        <f t="array" ref="D70">SUM(IF('AEO 2012 prdcrv'!$A$7:$A$2000='Agg prdcrv'!$A70,IF('AEO 2012 prdcrv'!$H$7:$H$2000="2020",IF('AEO 2012 prdcrv'!$I$7:$I$2000="Quantities",'AEO 2012 prdcrv'!B$7:B$2000,0))))</f>
        <v>0.75</v>
      </c>
      <c r="E70" s="205">
        <f t="array" ref="E70">SUM(IF('AEO 2012 prdcrv'!$A$7:$A$2000='Agg prdcrv'!$A70,IF('AEO 2012 prdcrv'!$H$7:$H$2000="2020",IF('AEO 2012 prdcrv'!$I$7:$I$2000="Quantities",'AEO 2012 prdcrv'!C$7:C$2000,0))))</f>
        <v>0</v>
      </c>
      <c r="F70" s="205">
        <f t="array" ref="F70">SUM(IF('AEO 2012 prdcrv'!$A$7:$A$2000='Agg prdcrv'!$A70,IF('AEO 2012 prdcrv'!$H$7:$H$2000="2020",IF('AEO 2012 prdcrv'!$I$7:$I$2000="Quantities",'AEO 2012 prdcrv'!D$7:D$2000,0))))</f>
        <v>0</v>
      </c>
      <c r="G70" s="205">
        <f t="array" ref="G70">SUM(IF('AEO 2012 prdcrv'!$A$7:$A$2000='Agg prdcrv'!$A70,IF('AEO 2012 prdcrv'!$H$7:$H$2000="2020",IF('AEO 2012 prdcrv'!$I$7:$I$2000="Quantities",'AEO 2012 prdcrv'!E$7:E$2000,0))))</f>
        <v>0</v>
      </c>
      <c r="H70" s="205">
        <f t="array" ref="H70">SUM(IF('AEO 2012 prdcrv'!$A$7:$A$2000='Agg prdcrv'!$A70,IF('AEO 2012 prdcrv'!$H$7:$H$2000="2020",IF('AEO 2012 prdcrv'!$I$7:$I$2000="Quantities",'AEO 2012 prdcrv'!F$7:F$2000,0))))</f>
        <v>1.04</v>
      </c>
      <c r="J70" s="205">
        <v>2020</v>
      </c>
      <c r="K70" s="205">
        <v>1</v>
      </c>
      <c r="L70" s="205">
        <f t="array" ref="L70">SUM(IF('AEO 2012 prdcrv'!$A$7:$A$2000='Agg prdcrv'!$A70,IF('AEO 2012 prdcrv'!$H$7:$H$2000="2020",IF('AEO 2012 prdcrv'!$I$7:$I$2000="Prices",'AEO 2012 prdcrv'!B$7:B$2000,0))))</f>
        <v>47.76</v>
      </c>
      <c r="M70" s="205">
        <f t="array" ref="M70">SUM(IF('AEO 2012 prdcrv'!$A$7:$A$2000='Agg prdcrv'!$A70,IF('AEO 2012 prdcrv'!$H$7:$H$2000="2020",IF('AEO 2012 prdcrv'!$I$7:$I$2000="Prices",'AEO 2012 prdcrv'!C$7:C$2000,0))))</f>
        <v>46.94</v>
      </c>
      <c r="N70" s="205">
        <f t="array" ref="N70">SUM(IF('AEO 2012 prdcrv'!$A$7:$A$2000='Agg prdcrv'!$A70,IF('AEO 2012 prdcrv'!$H$7:$H$2000="2020",IF('AEO 2012 prdcrv'!$I$7:$I$2000="Prices",'AEO 2012 prdcrv'!D$7:D$2000,0))))</f>
        <v>46.48</v>
      </c>
      <c r="O70" s="205">
        <f t="array" ref="O70">SUM(IF('AEO 2012 prdcrv'!$A$7:$A$2000='Agg prdcrv'!$A70,IF('AEO 2012 prdcrv'!$H$7:$H$2000="2020",IF('AEO 2012 prdcrv'!$I$7:$I$2000="Prices",'AEO 2012 prdcrv'!E$7:E$2000,0))))</f>
        <v>48.44</v>
      </c>
      <c r="P70" s="205">
        <f t="array" ref="P70">SUM(IF('AEO 2012 prdcrv'!$A$7:$A$2000='Agg prdcrv'!$A70,IF('AEO 2012 prdcrv'!$H$7:$H$2000="2020",IF('AEO 2012 prdcrv'!$I$7:$I$2000="Prices",'AEO 2012 prdcrv'!F$7:F$2000,0))))</f>
        <v>46.06</v>
      </c>
    </row>
    <row r="71" spans="1:16">
      <c r="A71" s="195" t="s">
        <v>148</v>
      </c>
      <c r="B71" s="205">
        <v>2020</v>
      </c>
      <c r="C71" s="205">
        <v>1</v>
      </c>
      <c r="D71" s="205">
        <f t="array" ref="D71">SUM(IF('AEO 2012 prdcrv'!$A$7:$A$2000='Agg prdcrv'!$A71,IF('AEO 2012 prdcrv'!$H$7:$H$2000="2020",IF('AEO 2012 prdcrv'!$I$7:$I$2000="Quantities",'AEO 2012 prdcrv'!B$7:B$2000,0))))</f>
        <v>332.84</v>
      </c>
      <c r="E71" s="205">
        <f t="array" ref="E71">SUM(IF('AEO 2012 prdcrv'!$A$7:$A$2000='Agg prdcrv'!$A71,IF('AEO 2012 prdcrv'!$H$7:$H$2000="2020",IF('AEO 2012 prdcrv'!$I$7:$I$2000="Quantities",'AEO 2012 prdcrv'!C$7:C$2000,0))))</f>
        <v>1.07</v>
      </c>
      <c r="F71" s="205">
        <f t="array" ref="F71">SUM(IF('AEO 2012 prdcrv'!$A$7:$A$2000='Agg prdcrv'!$A71,IF('AEO 2012 prdcrv'!$H$7:$H$2000="2020",IF('AEO 2012 prdcrv'!$I$7:$I$2000="Quantities",'AEO 2012 prdcrv'!D$7:D$2000,0))))</f>
        <v>6.39</v>
      </c>
      <c r="G71" s="205">
        <f t="array" ref="G71">SUM(IF('AEO 2012 prdcrv'!$A$7:$A$2000='Agg prdcrv'!$A71,IF('AEO 2012 prdcrv'!$H$7:$H$2000="2020",IF('AEO 2012 prdcrv'!$I$7:$I$2000="Quantities",'AEO 2012 prdcrv'!E$7:E$2000,0))))</f>
        <v>1.07</v>
      </c>
      <c r="H71" s="205">
        <f t="array" ref="H71">SUM(IF('AEO 2012 prdcrv'!$A$7:$A$2000='Agg prdcrv'!$A71,IF('AEO 2012 prdcrv'!$H$7:$H$2000="2020",IF('AEO 2012 prdcrv'!$I$7:$I$2000="Quantities",'AEO 2012 prdcrv'!F$7:F$2000,0))))</f>
        <v>28.55</v>
      </c>
      <c r="J71" s="205">
        <v>2020</v>
      </c>
      <c r="K71" s="205">
        <v>1</v>
      </c>
      <c r="L71" s="205">
        <f t="array" ref="L71">SUM(IF('AEO 2012 prdcrv'!$A$7:$A$2000='Agg prdcrv'!$A71,IF('AEO 2012 prdcrv'!$H$7:$H$2000="2020",IF('AEO 2012 prdcrv'!$I$7:$I$2000="Prices",'AEO 2012 prdcrv'!B$7:B$2000,0))))</f>
        <v>59.99</v>
      </c>
      <c r="M71" s="205">
        <f t="array" ref="M71">SUM(IF('AEO 2012 prdcrv'!$A$7:$A$2000='Agg prdcrv'!$A71,IF('AEO 2012 prdcrv'!$H$7:$H$2000="2020",IF('AEO 2012 prdcrv'!$I$7:$I$2000="Prices",'AEO 2012 prdcrv'!C$7:C$2000,0))))</f>
        <v>57.94</v>
      </c>
      <c r="N71" s="205">
        <f t="array" ref="N71">SUM(IF('AEO 2012 prdcrv'!$A$7:$A$2000='Agg prdcrv'!$A71,IF('AEO 2012 prdcrv'!$H$7:$H$2000="2020",IF('AEO 2012 prdcrv'!$I$7:$I$2000="Prices",'AEO 2012 prdcrv'!D$7:D$2000,0))))</f>
        <v>57.53</v>
      </c>
      <c r="O71" s="205">
        <f t="array" ref="O71">SUM(IF('AEO 2012 prdcrv'!$A$7:$A$2000='Agg prdcrv'!$A71,IF('AEO 2012 prdcrv'!$H$7:$H$2000="2020",IF('AEO 2012 prdcrv'!$I$7:$I$2000="Prices",'AEO 2012 prdcrv'!E$7:E$2000,0))))</f>
        <v>60.17</v>
      </c>
      <c r="P71" s="205">
        <f t="array" ref="P71">SUM(IF('AEO 2012 prdcrv'!$A$7:$A$2000='Agg prdcrv'!$A71,IF('AEO 2012 prdcrv'!$H$7:$H$2000="2020",IF('AEO 2012 prdcrv'!$I$7:$I$2000="Prices",'AEO 2012 prdcrv'!F$7:F$2000,0))))</f>
        <v>57.56</v>
      </c>
    </row>
    <row r="72" spans="1:16">
      <c r="A72" s="195" t="s">
        <v>149</v>
      </c>
      <c r="B72" s="205">
        <v>2020</v>
      </c>
      <c r="C72" s="205">
        <v>1</v>
      </c>
      <c r="D72" s="205">
        <f t="array" ref="D72">SUM(IF('AEO 2012 prdcrv'!$A$7:$A$2000='Agg prdcrv'!$A72,IF('AEO 2012 prdcrv'!$H$7:$H$2000="2020",IF('AEO 2012 prdcrv'!$I$7:$I$2000="Quantities",'AEO 2012 prdcrv'!B$7:B$2000,0))))</f>
        <v>402.4</v>
      </c>
      <c r="E72" s="205">
        <f t="array" ref="E72">SUM(IF('AEO 2012 prdcrv'!$A$7:$A$2000='Agg prdcrv'!$A72,IF('AEO 2012 prdcrv'!$H$7:$H$2000="2020",IF('AEO 2012 prdcrv'!$I$7:$I$2000="Quantities",'AEO 2012 prdcrv'!C$7:C$2000,0))))</f>
        <v>1.29</v>
      </c>
      <c r="F72" s="205">
        <f t="array" ref="F72">SUM(IF('AEO 2012 prdcrv'!$A$7:$A$2000='Agg prdcrv'!$A72,IF('AEO 2012 prdcrv'!$H$7:$H$2000="2020",IF('AEO 2012 prdcrv'!$I$7:$I$2000="Quantities",'AEO 2012 prdcrv'!D$7:D$2000,0))))</f>
        <v>7.71</v>
      </c>
      <c r="G72" s="205">
        <f t="array" ref="G72">SUM(IF('AEO 2012 prdcrv'!$A$7:$A$2000='Agg prdcrv'!$A72,IF('AEO 2012 prdcrv'!$H$7:$H$2000="2020",IF('AEO 2012 prdcrv'!$I$7:$I$2000="Quantities",'AEO 2012 prdcrv'!E$7:E$2000,0))))</f>
        <v>1.29</v>
      </c>
      <c r="H72" s="205">
        <f t="array" ref="H72">SUM(IF('AEO 2012 prdcrv'!$A$7:$A$2000='Agg prdcrv'!$A72,IF('AEO 2012 prdcrv'!$H$7:$H$2000="2020",IF('AEO 2012 prdcrv'!$I$7:$I$2000="Quantities",'AEO 2012 prdcrv'!F$7:F$2000,0))))</f>
        <v>62.56</v>
      </c>
      <c r="J72" s="205">
        <v>2020</v>
      </c>
      <c r="K72" s="205">
        <v>1</v>
      </c>
      <c r="L72" s="205">
        <f t="array" ref="L72">SUM(IF('AEO 2012 prdcrv'!$A$7:$A$2000='Agg prdcrv'!$A72,IF('AEO 2012 prdcrv'!$H$7:$H$2000="2020",IF('AEO 2012 prdcrv'!$I$7:$I$2000="Prices",'AEO 2012 prdcrv'!B$7:B$2000,0))))</f>
        <v>31.91</v>
      </c>
      <c r="M72" s="205">
        <f t="array" ref="M72">SUM(IF('AEO 2012 prdcrv'!$A$7:$A$2000='Agg prdcrv'!$A72,IF('AEO 2012 prdcrv'!$H$7:$H$2000="2020",IF('AEO 2012 prdcrv'!$I$7:$I$2000="Prices",'AEO 2012 prdcrv'!C$7:C$2000,0))))</f>
        <v>30.8</v>
      </c>
      <c r="N72" s="205">
        <f t="array" ref="N72">SUM(IF('AEO 2012 prdcrv'!$A$7:$A$2000='Agg prdcrv'!$A72,IF('AEO 2012 prdcrv'!$H$7:$H$2000="2020",IF('AEO 2012 prdcrv'!$I$7:$I$2000="Prices",'AEO 2012 prdcrv'!D$7:D$2000,0))))</f>
        <v>31.21</v>
      </c>
      <c r="O72" s="205">
        <f t="array" ref="O72">SUM(IF('AEO 2012 prdcrv'!$A$7:$A$2000='Agg prdcrv'!$A72,IF('AEO 2012 prdcrv'!$H$7:$H$2000="2020",IF('AEO 2012 prdcrv'!$I$7:$I$2000="Prices",'AEO 2012 prdcrv'!E$7:E$2000,0))))</f>
        <v>30.4</v>
      </c>
      <c r="P72" s="205">
        <f t="array" ref="P72">SUM(IF('AEO 2012 prdcrv'!$A$7:$A$2000='Agg prdcrv'!$A72,IF('AEO 2012 prdcrv'!$H$7:$H$2000="2020",IF('AEO 2012 prdcrv'!$I$7:$I$2000="Prices",'AEO 2012 prdcrv'!F$7:F$2000,0))))</f>
        <v>31.55</v>
      </c>
    </row>
    <row r="73" spans="1:16">
      <c r="A73" s="195" t="s">
        <v>19</v>
      </c>
      <c r="B73" s="205">
        <v>2020</v>
      </c>
      <c r="C73" s="205">
        <v>1</v>
      </c>
      <c r="D73" s="205">
        <f t="array" ref="D73">SUM(IF('AEO 2012 prdcrv'!$A$7:$A$2000='Agg prdcrv'!$A73,IF('AEO 2012 prdcrv'!$H$7:$H$2000="2020",IF('AEO 2012 prdcrv'!$I$7:$I$2000="Quantities",'AEO 2012 prdcrv'!B$7:B$2000,0))))</f>
        <v>61.26</v>
      </c>
      <c r="E73" s="205">
        <f t="array" ref="E73">SUM(IF('AEO 2012 prdcrv'!$A$7:$A$2000='Agg prdcrv'!$A73,IF('AEO 2012 prdcrv'!$H$7:$H$2000="2020",IF('AEO 2012 prdcrv'!$I$7:$I$2000="Quantities",'AEO 2012 prdcrv'!C$7:C$2000,0))))</f>
        <v>0</v>
      </c>
      <c r="F73" s="205">
        <f t="array" ref="F73">SUM(IF('AEO 2012 prdcrv'!$A$7:$A$2000='Agg prdcrv'!$A73,IF('AEO 2012 prdcrv'!$H$7:$H$2000="2020",IF('AEO 2012 prdcrv'!$I$7:$I$2000="Quantities",'AEO 2012 prdcrv'!D$7:D$2000,0))))</f>
        <v>6.76</v>
      </c>
      <c r="G73" s="205">
        <f t="array" ref="G73">SUM(IF('AEO 2012 prdcrv'!$A$7:$A$2000='Agg prdcrv'!$A73,IF('AEO 2012 prdcrv'!$H$7:$H$2000="2020",IF('AEO 2012 prdcrv'!$I$7:$I$2000="Quantities",'AEO 2012 prdcrv'!E$7:E$2000,0))))</f>
        <v>0</v>
      </c>
      <c r="H73" s="205">
        <f t="array" ref="H73">SUM(IF('AEO 2012 prdcrv'!$A$7:$A$2000='Agg prdcrv'!$A73,IF('AEO 2012 prdcrv'!$H$7:$H$2000="2020",IF('AEO 2012 prdcrv'!$I$7:$I$2000="Quantities",'AEO 2012 prdcrv'!F$7:F$2000,0))))</f>
        <v>20.420000000000002</v>
      </c>
      <c r="J73" s="205">
        <v>2020</v>
      </c>
      <c r="K73" s="205">
        <v>1</v>
      </c>
      <c r="L73" s="205">
        <f t="array" ref="L73">SUM(IF('AEO 2012 prdcrv'!$A$7:$A$2000='Agg prdcrv'!$A73,IF('AEO 2012 prdcrv'!$H$7:$H$2000="2020",IF('AEO 2012 prdcrv'!$I$7:$I$2000="Prices",'AEO 2012 prdcrv'!B$7:B$2000,0))))</f>
        <v>44.81</v>
      </c>
      <c r="M73" s="205">
        <f t="array" ref="M73">SUM(IF('AEO 2012 prdcrv'!$A$7:$A$2000='Agg prdcrv'!$A73,IF('AEO 2012 prdcrv'!$H$7:$H$2000="2020",IF('AEO 2012 prdcrv'!$I$7:$I$2000="Prices",'AEO 2012 prdcrv'!C$7:C$2000,0))))</f>
        <v>44.71</v>
      </c>
      <c r="N73" s="205">
        <f t="array" ref="N73">SUM(IF('AEO 2012 prdcrv'!$A$7:$A$2000='Agg prdcrv'!$A73,IF('AEO 2012 prdcrv'!$H$7:$H$2000="2020",IF('AEO 2012 prdcrv'!$I$7:$I$2000="Prices",'AEO 2012 prdcrv'!D$7:D$2000,0))))</f>
        <v>43.75</v>
      </c>
      <c r="O73" s="205">
        <f t="array" ref="O73">SUM(IF('AEO 2012 prdcrv'!$A$7:$A$2000='Agg prdcrv'!$A73,IF('AEO 2012 prdcrv'!$H$7:$H$2000="2020",IF('AEO 2012 prdcrv'!$I$7:$I$2000="Prices",'AEO 2012 prdcrv'!E$7:E$2000,0))))</f>
        <v>44.76</v>
      </c>
      <c r="P73" s="205">
        <f t="array" ref="P73">SUM(IF('AEO 2012 prdcrv'!$A$7:$A$2000='Agg prdcrv'!$A73,IF('AEO 2012 prdcrv'!$H$7:$H$2000="2020",IF('AEO 2012 prdcrv'!$I$7:$I$2000="Prices",'AEO 2012 prdcrv'!F$7:F$2000,0))))</f>
        <v>44.43</v>
      </c>
    </row>
    <row r="74" spans="1:16">
      <c r="A74" s="195" t="s">
        <v>150</v>
      </c>
      <c r="B74" s="205">
        <v>2020</v>
      </c>
      <c r="C74" s="205">
        <v>1</v>
      </c>
      <c r="D74" s="205">
        <f t="array" ref="D74">SUM(IF('AEO 2012 prdcrv'!$A$7:$A$2000='Agg prdcrv'!$A74,IF('AEO 2012 prdcrv'!$H$7:$H$2000="2020",IF('AEO 2012 prdcrv'!$I$7:$I$2000="Quantities",'AEO 2012 prdcrv'!B$7:B$2000,0))))</f>
        <v>18.62</v>
      </c>
      <c r="E74" s="205">
        <f t="array" ref="E74">SUM(IF('AEO 2012 prdcrv'!$A$7:$A$2000='Agg prdcrv'!$A74,IF('AEO 2012 prdcrv'!$H$7:$H$2000="2020",IF('AEO 2012 prdcrv'!$I$7:$I$2000="Quantities",'AEO 2012 prdcrv'!C$7:C$2000,0))))</f>
        <v>0</v>
      </c>
      <c r="F74" s="205">
        <f t="array" ref="F74">SUM(IF('AEO 2012 prdcrv'!$A$7:$A$2000='Agg prdcrv'!$A74,IF('AEO 2012 prdcrv'!$H$7:$H$2000="2020",IF('AEO 2012 prdcrv'!$I$7:$I$2000="Quantities",'AEO 2012 prdcrv'!D$7:D$2000,0))))</f>
        <v>140.28</v>
      </c>
      <c r="G74" s="205">
        <f t="array" ref="G74">SUM(IF('AEO 2012 prdcrv'!$A$7:$A$2000='Agg prdcrv'!$A74,IF('AEO 2012 prdcrv'!$H$7:$H$2000="2020",IF('AEO 2012 prdcrv'!$I$7:$I$2000="Quantities",'AEO 2012 prdcrv'!E$7:E$2000,0))))</f>
        <v>0</v>
      </c>
      <c r="H74" s="205">
        <f t="array" ref="H74">SUM(IF('AEO 2012 prdcrv'!$A$7:$A$2000='Agg prdcrv'!$A74,IF('AEO 2012 prdcrv'!$H$7:$H$2000="2020",IF('AEO 2012 prdcrv'!$I$7:$I$2000="Quantities",'AEO 2012 prdcrv'!F$7:F$2000,0))))</f>
        <v>28.08</v>
      </c>
      <c r="J74" s="205">
        <v>2020</v>
      </c>
      <c r="K74" s="205">
        <v>1</v>
      </c>
      <c r="L74" s="205">
        <f t="array" ref="L74">SUM(IF('AEO 2012 prdcrv'!$A$7:$A$2000='Agg prdcrv'!$A74,IF('AEO 2012 prdcrv'!$H$7:$H$2000="2020",IF('AEO 2012 prdcrv'!$I$7:$I$2000="Prices",'AEO 2012 prdcrv'!B$7:B$2000,0))))</f>
        <v>20.37</v>
      </c>
      <c r="M74" s="205">
        <f t="array" ref="M74">SUM(IF('AEO 2012 prdcrv'!$A$7:$A$2000='Agg prdcrv'!$A74,IF('AEO 2012 prdcrv'!$H$7:$H$2000="2020",IF('AEO 2012 prdcrv'!$I$7:$I$2000="Prices",'AEO 2012 prdcrv'!C$7:C$2000,0))))</f>
        <v>20.32</v>
      </c>
      <c r="N74" s="205">
        <f t="array" ref="N74">SUM(IF('AEO 2012 prdcrv'!$A$7:$A$2000='Agg prdcrv'!$A74,IF('AEO 2012 prdcrv'!$H$7:$H$2000="2020",IF('AEO 2012 prdcrv'!$I$7:$I$2000="Prices",'AEO 2012 prdcrv'!D$7:D$2000,0))))</f>
        <v>19.88</v>
      </c>
      <c r="O74" s="205">
        <f t="array" ref="O74">SUM(IF('AEO 2012 prdcrv'!$A$7:$A$2000='Agg prdcrv'!$A74,IF('AEO 2012 prdcrv'!$H$7:$H$2000="2020",IF('AEO 2012 prdcrv'!$I$7:$I$2000="Prices",'AEO 2012 prdcrv'!E$7:E$2000,0))))</f>
        <v>20.350000000000001</v>
      </c>
      <c r="P74" s="205">
        <f t="array" ref="P74">SUM(IF('AEO 2012 prdcrv'!$A$7:$A$2000='Agg prdcrv'!$A74,IF('AEO 2012 prdcrv'!$H$7:$H$2000="2020",IF('AEO 2012 prdcrv'!$I$7:$I$2000="Prices",'AEO 2012 prdcrv'!F$7:F$2000,0))))</f>
        <v>20.2</v>
      </c>
    </row>
    <row r="75" spans="1:16">
      <c r="A75" s="195" t="s">
        <v>151</v>
      </c>
      <c r="B75" s="205">
        <v>2020</v>
      </c>
      <c r="C75" s="205">
        <v>1</v>
      </c>
      <c r="D75" s="205">
        <f t="array" ref="D75">SUM(IF('AEO 2012 prdcrv'!$A$7:$A$2000='Agg prdcrv'!$A75,IF('AEO 2012 prdcrv'!$H$7:$H$2000="2020",IF('AEO 2012 prdcrv'!$I$7:$I$2000="Quantities",'AEO 2012 prdcrv'!B$7:B$2000,0))))</f>
        <v>16.239999999999998</v>
      </c>
      <c r="E75" s="205">
        <f t="array" ref="E75">SUM(IF('AEO 2012 prdcrv'!$A$7:$A$2000='Agg prdcrv'!$A75,IF('AEO 2012 prdcrv'!$H$7:$H$2000="2020",IF('AEO 2012 prdcrv'!$I$7:$I$2000="Quantities",'AEO 2012 prdcrv'!C$7:C$2000,0))))</f>
        <v>1.39</v>
      </c>
      <c r="F75" s="205">
        <f t="array" ref="F75">SUM(IF('AEO 2012 prdcrv'!$A$7:$A$2000='Agg prdcrv'!$A75,IF('AEO 2012 prdcrv'!$H$7:$H$2000="2020",IF('AEO 2012 prdcrv'!$I$7:$I$2000="Quantities",'AEO 2012 prdcrv'!D$7:D$2000,0))))</f>
        <v>365.62</v>
      </c>
      <c r="G75" s="205">
        <f t="array" ref="G75">SUM(IF('AEO 2012 prdcrv'!$A$7:$A$2000='Agg prdcrv'!$A75,IF('AEO 2012 prdcrv'!$H$7:$H$2000="2020",IF('AEO 2012 prdcrv'!$I$7:$I$2000="Quantities",'AEO 2012 prdcrv'!E$7:E$2000,0))))</f>
        <v>0.9</v>
      </c>
      <c r="H75" s="205">
        <f t="array" ref="H75">SUM(IF('AEO 2012 prdcrv'!$A$7:$A$2000='Agg prdcrv'!$A75,IF('AEO 2012 prdcrv'!$H$7:$H$2000="2020",IF('AEO 2012 prdcrv'!$I$7:$I$2000="Quantities",'AEO 2012 prdcrv'!F$7:F$2000,0))))</f>
        <v>15.29</v>
      </c>
      <c r="J75" s="205">
        <v>2020</v>
      </c>
      <c r="K75" s="205">
        <v>1</v>
      </c>
      <c r="L75" s="205">
        <f t="array" ref="L75">SUM(IF('AEO 2012 prdcrv'!$A$7:$A$2000='Agg prdcrv'!$A75,IF('AEO 2012 prdcrv'!$H$7:$H$2000="2020",IF('AEO 2012 prdcrv'!$I$7:$I$2000="Prices",'AEO 2012 prdcrv'!B$7:B$2000,0))))</f>
        <v>24.9</v>
      </c>
      <c r="M75" s="205">
        <f t="array" ref="M75">SUM(IF('AEO 2012 prdcrv'!$A$7:$A$2000='Agg prdcrv'!$A75,IF('AEO 2012 prdcrv'!$H$7:$H$2000="2020",IF('AEO 2012 prdcrv'!$I$7:$I$2000="Prices",'AEO 2012 prdcrv'!C$7:C$2000,0))))</f>
        <v>24.84</v>
      </c>
      <c r="N75" s="205">
        <f t="array" ref="N75">SUM(IF('AEO 2012 prdcrv'!$A$7:$A$2000='Agg prdcrv'!$A75,IF('AEO 2012 prdcrv'!$H$7:$H$2000="2020",IF('AEO 2012 prdcrv'!$I$7:$I$2000="Prices",'AEO 2012 prdcrv'!D$7:D$2000,0))))</f>
        <v>24.3</v>
      </c>
      <c r="O75" s="205">
        <f t="array" ref="O75">SUM(IF('AEO 2012 prdcrv'!$A$7:$A$2000='Agg prdcrv'!$A75,IF('AEO 2012 prdcrv'!$H$7:$H$2000="2020",IF('AEO 2012 prdcrv'!$I$7:$I$2000="Prices",'AEO 2012 prdcrv'!E$7:E$2000,0))))</f>
        <v>24.87</v>
      </c>
      <c r="P75" s="205">
        <f t="array" ref="P75">SUM(IF('AEO 2012 prdcrv'!$A$7:$A$2000='Agg prdcrv'!$A75,IF('AEO 2012 prdcrv'!$H$7:$H$2000="2020",IF('AEO 2012 prdcrv'!$I$7:$I$2000="Prices",'AEO 2012 prdcrv'!F$7:F$2000,0))))</f>
        <v>24.68</v>
      </c>
    </row>
    <row r="76" spans="1:16">
      <c r="A76" s="195" t="s">
        <v>152</v>
      </c>
      <c r="B76" s="205">
        <v>2020</v>
      </c>
      <c r="C76" s="205">
        <v>1</v>
      </c>
      <c r="D76" s="205">
        <f t="array" ref="D76">SUM(IF('AEO 2012 prdcrv'!$A$7:$A$2000='Agg prdcrv'!$A76,IF('AEO 2012 prdcrv'!$H$7:$H$2000="2020",IF('AEO 2012 prdcrv'!$I$7:$I$2000="Quantities",'AEO 2012 prdcrv'!B$7:B$2000,0))))</f>
        <v>98.03</v>
      </c>
      <c r="E76" s="205">
        <f t="array" ref="E76">SUM(IF('AEO 2012 prdcrv'!$A$7:$A$2000='Agg prdcrv'!$A76,IF('AEO 2012 prdcrv'!$H$7:$H$2000="2020",IF('AEO 2012 prdcrv'!$I$7:$I$2000="Quantities",'AEO 2012 prdcrv'!C$7:C$2000,0))))</f>
        <v>0.92</v>
      </c>
      <c r="F76" s="205">
        <f t="array" ref="F76">SUM(IF('AEO 2012 prdcrv'!$A$7:$A$2000='Agg prdcrv'!$A76,IF('AEO 2012 prdcrv'!$H$7:$H$2000="2020",IF('AEO 2012 prdcrv'!$I$7:$I$2000="Quantities",'AEO 2012 prdcrv'!D$7:D$2000,0))))</f>
        <v>194.45</v>
      </c>
      <c r="G76" s="205">
        <f t="array" ref="G76">SUM(IF('AEO 2012 prdcrv'!$A$7:$A$2000='Agg prdcrv'!$A76,IF('AEO 2012 prdcrv'!$H$7:$H$2000="2020",IF('AEO 2012 prdcrv'!$I$7:$I$2000="Quantities",'AEO 2012 prdcrv'!E$7:E$2000,0))))</f>
        <v>0</v>
      </c>
      <c r="H76" s="205">
        <f t="array" ref="H76">SUM(IF('AEO 2012 prdcrv'!$A$7:$A$2000='Agg prdcrv'!$A76,IF('AEO 2012 prdcrv'!$H$7:$H$2000="2020",IF('AEO 2012 prdcrv'!$I$7:$I$2000="Quantities",'AEO 2012 prdcrv'!F$7:F$2000,0))))</f>
        <v>54.96</v>
      </c>
      <c r="J76" s="205">
        <v>2020</v>
      </c>
      <c r="K76" s="205">
        <v>1</v>
      </c>
      <c r="L76" s="205">
        <f t="array" ref="L76">SUM(IF('AEO 2012 prdcrv'!$A$7:$A$2000='Agg prdcrv'!$A76,IF('AEO 2012 prdcrv'!$H$7:$H$2000="2020",IF('AEO 2012 prdcrv'!$I$7:$I$2000="Prices",'AEO 2012 prdcrv'!B$7:B$2000,0))))</f>
        <v>18.670000000000002</v>
      </c>
      <c r="M76" s="205">
        <f t="array" ref="M76">SUM(IF('AEO 2012 prdcrv'!$A$7:$A$2000='Agg prdcrv'!$A76,IF('AEO 2012 prdcrv'!$H$7:$H$2000="2020",IF('AEO 2012 prdcrv'!$I$7:$I$2000="Prices",'AEO 2012 prdcrv'!C$7:C$2000,0))))</f>
        <v>18.63</v>
      </c>
      <c r="N76" s="205">
        <f t="array" ref="N76">SUM(IF('AEO 2012 prdcrv'!$A$7:$A$2000='Agg prdcrv'!$A76,IF('AEO 2012 prdcrv'!$H$7:$H$2000="2020",IF('AEO 2012 prdcrv'!$I$7:$I$2000="Prices",'AEO 2012 prdcrv'!D$7:D$2000,0))))</f>
        <v>18.23</v>
      </c>
      <c r="O76" s="205">
        <f t="array" ref="O76">SUM(IF('AEO 2012 prdcrv'!$A$7:$A$2000='Agg prdcrv'!$A76,IF('AEO 2012 prdcrv'!$H$7:$H$2000="2020",IF('AEO 2012 prdcrv'!$I$7:$I$2000="Prices",'AEO 2012 prdcrv'!E$7:E$2000,0))))</f>
        <v>18.649999999999999</v>
      </c>
      <c r="P76" s="205">
        <f t="array" ref="P76">SUM(IF('AEO 2012 prdcrv'!$A$7:$A$2000='Agg prdcrv'!$A76,IF('AEO 2012 prdcrv'!$H$7:$H$2000="2020",IF('AEO 2012 prdcrv'!$I$7:$I$2000="Prices",'AEO 2012 prdcrv'!F$7:F$2000,0))))</f>
        <v>18.510000000000002</v>
      </c>
    </row>
  </sheetData>
  <mergeCells count="3">
    <mergeCell ref="D2:H2"/>
    <mergeCell ref="L2:P2"/>
    <mergeCell ref="A1:P1"/>
  </mergeCells>
  <phoneticPr fontId="17" type="noConversion"/>
  <pageMargins left="0.75" right="0.75" top="1" bottom="1" header="0.5" footer="0.5"/>
  <pageSetup orientation="portrait" r:id="rId1"/>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19"/>
  <dimension ref="A1:X76"/>
  <sheetViews>
    <sheetView zoomScale="80" zoomScaleNormal="80" workbookViewId="0">
      <pane ySplit="5" topLeftCell="A6" activePane="bottomLeft" state="frozen"/>
      <selection pane="bottomLeft" activeCell="M14" sqref="M14"/>
    </sheetView>
  </sheetViews>
  <sheetFormatPr defaultColWidth="9.140625" defaultRowHeight="12.75"/>
  <cols>
    <col min="1" max="1" width="21.5703125" style="201" bestFit="1" customWidth="1"/>
    <col min="2" max="16" width="10.7109375" style="222" customWidth="1"/>
    <col min="17" max="18" width="9.140625" style="201"/>
    <col min="19" max="19" width="26" style="201" customWidth="1"/>
    <col min="20" max="16384" width="9.140625" style="201"/>
  </cols>
  <sheetData>
    <row r="1" spans="1:24" ht="27" customHeight="1">
      <c r="A1" s="441" t="s">
        <v>2458</v>
      </c>
      <c r="B1" s="441"/>
      <c r="C1" s="441"/>
      <c r="D1" s="441"/>
      <c r="E1" s="441"/>
      <c r="F1" s="441"/>
      <c r="G1" s="441"/>
      <c r="H1" s="441"/>
      <c r="I1" s="441"/>
      <c r="J1" s="441"/>
      <c r="K1" s="441"/>
      <c r="L1" s="441"/>
      <c r="M1" s="441"/>
      <c r="N1" s="441"/>
      <c r="O1" s="441"/>
      <c r="P1" s="441"/>
    </row>
    <row r="2" spans="1:24" ht="13.5" customHeight="1">
      <c r="D2" s="439" t="s">
        <v>710</v>
      </c>
      <c r="E2" s="439"/>
      <c r="F2" s="439"/>
      <c r="G2" s="439"/>
      <c r="H2" s="439"/>
      <c r="L2" s="439" t="s">
        <v>153</v>
      </c>
      <c r="M2" s="439"/>
      <c r="N2" s="439"/>
      <c r="O2" s="439"/>
      <c r="P2" s="439"/>
      <c r="U2" s="248"/>
    </row>
    <row r="3" spans="1:24" s="222" customFormat="1">
      <c r="B3" s="206"/>
      <c r="C3" s="206"/>
      <c r="D3" s="206" t="s">
        <v>138</v>
      </c>
      <c r="E3" s="206" t="s">
        <v>129</v>
      </c>
      <c r="F3" s="206" t="s">
        <v>130</v>
      </c>
      <c r="G3" s="206" t="s">
        <v>131</v>
      </c>
      <c r="H3" s="206" t="s">
        <v>139</v>
      </c>
      <c r="I3" s="206"/>
      <c r="J3" s="206"/>
      <c r="K3" s="206"/>
      <c r="L3" s="206" t="s">
        <v>138</v>
      </c>
      <c r="M3" s="206" t="s">
        <v>129</v>
      </c>
      <c r="N3" s="206" t="s">
        <v>130</v>
      </c>
      <c r="O3" s="206" t="s">
        <v>131</v>
      </c>
      <c r="P3" s="206" t="s">
        <v>139</v>
      </c>
      <c r="S3" s="201"/>
      <c r="T3" s="201"/>
      <c r="U3" s="201"/>
      <c r="V3" s="201"/>
      <c r="W3" s="201"/>
      <c r="X3" s="201"/>
    </row>
    <row r="4" spans="1:24">
      <c r="B4" s="206"/>
      <c r="C4" s="206"/>
      <c r="D4" s="206"/>
      <c r="E4" s="206"/>
      <c r="F4" s="206"/>
      <c r="G4" s="206"/>
      <c r="H4" s="206"/>
      <c r="I4" s="206"/>
      <c r="J4" s="206"/>
      <c r="K4" s="206"/>
      <c r="L4" s="206"/>
      <c r="M4" s="206"/>
      <c r="N4" s="206"/>
      <c r="O4" s="206"/>
      <c r="P4" s="206"/>
    </row>
    <row r="5" spans="1:24" s="249" customFormat="1" ht="25.5">
      <c r="B5" s="199" t="s">
        <v>140</v>
      </c>
      <c r="C5" s="199" t="s">
        <v>141</v>
      </c>
      <c r="D5" s="199" t="s">
        <v>142</v>
      </c>
      <c r="E5" s="199" t="s">
        <v>142</v>
      </c>
      <c r="F5" s="199" t="s">
        <v>142</v>
      </c>
      <c r="G5" s="199" t="s">
        <v>142</v>
      </c>
      <c r="H5" s="199" t="s">
        <v>142</v>
      </c>
      <c r="I5" s="199"/>
      <c r="J5" s="199" t="s">
        <v>140</v>
      </c>
      <c r="K5" s="199" t="s">
        <v>141</v>
      </c>
      <c r="L5" s="199" t="s">
        <v>143</v>
      </c>
      <c r="M5" s="199" t="s">
        <v>143</v>
      </c>
      <c r="N5" s="199" t="s">
        <v>143</v>
      </c>
      <c r="O5" s="199" t="s">
        <v>143</v>
      </c>
      <c r="P5" s="199" t="s">
        <v>143</v>
      </c>
    </row>
    <row r="6" spans="1:24">
      <c r="A6" s="201" t="s">
        <v>25</v>
      </c>
      <c r="B6" s="222">
        <v>2005</v>
      </c>
      <c r="C6" s="222">
        <v>1</v>
      </c>
      <c r="D6" s="250">
        <v>999999</v>
      </c>
      <c r="E6" s="250">
        <v>999999</v>
      </c>
      <c r="F6" s="250">
        <v>999999</v>
      </c>
      <c r="G6" s="222">
        <f>'Agg prdcrv'!G6</f>
        <v>0</v>
      </c>
      <c r="H6" s="222">
        <f>'Agg prdcrv'!H6</f>
        <v>6.45</v>
      </c>
      <c r="J6" s="222">
        <v>2005</v>
      </c>
      <c r="K6" s="222">
        <v>1</v>
      </c>
      <c r="L6" s="222">
        <f>'Agg prdcrv'!L6</f>
        <v>61.74</v>
      </c>
      <c r="M6" s="222">
        <f>'Agg prdcrv'!M6</f>
        <v>63.01</v>
      </c>
      <c r="N6" s="222">
        <f>'Agg prdcrv'!N6</f>
        <v>62.03</v>
      </c>
      <c r="O6" s="222">
        <f>'Agg prdcrv'!O6</f>
        <v>61.84</v>
      </c>
      <c r="P6" s="222">
        <f>'Agg prdcrv'!P6</f>
        <v>35.89</v>
      </c>
    </row>
    <row r="7" spans="1:24">
      <c r="A7" s="201" t="s">
        <v>22</v>
      </c>
      <c r="B7" s="222">
        <v>2005</v>
      </c>
      <c r="C7" s="222">
        <v>1</v>
      </c>
      <c r="D7" s="250">
        <v>999999</v>
      </c>
      <c r="E7" s="250">
        <v>999999</v>
      </c>
      <c r="F7" s="250">
        <v>999999</v>
      </c>
      <c r="G7" s="222">
        <f>'Agg prdcrv'!G7</f>
        <v>0.55000000000000004</v>
      </c>
      <c r="H7" s="222">
        <f>'Agg prdcrv'!H7</f>
        <v>23.07</v>
      </c>
      <c r="J7" s="222">
        <v>2005</v>
      </c>
      <c r="K7" s="222">
        <v>1</v>
      </c>
      <c r="L7" s="222">
        <f>'Agg prdcrv'!L7</f>
        <v>59.78</v>
      </c>
      <c r="M7" s="222">
        <f>'Agg prdcrv'!M7</f>
        <v>61.05</v>
      </c>
      <c r="N7" s="222">
        <f>'Agg prdcrv'!N7</f>
        <v>60.07</v>
      </c>
      <c r="O7" s="222">
        <f>'Agg prdcrv'!O7</f>
        <v>59.88</v>
      </c>
      <c r="P7" s="222">
        <f>'Agg prdcrv'!P7</f>
        <v>33.93</v>
      </c>
    </row>
    <row r="8" spans="1:24">
      <c r="A8" s="201" t="s">
        <v>15</v>
      </c>
      <c r="B8" s="222">
        <v>2005</v>
      </c>
      <c r="C8" s="222">
        <v>1</v>
      </c>
      <c r="D8" s="250">
        <v>999999</v>
      </c>
      <c r="E8" s="250">
        <v>999999</v>
      </c>
      <c r="F8" s="250">
        <v>999999</v>
      </c>
      <c r="G8" s="222">
        <f>'Agg prdcrv'!G8</f>
        <v>1.34</v>
      </c>
      <c r="H8" s="222">
        <f>'Agg prdcrv'!H8</f>
        <v>5.07</v>
      </c>
      <c r="J8" s="222">
        <v>2005</v>
      </c>
      <c r="K8" s="222">
        <v>1</v>
      </c>
      <c r="L8" s="222">
        <f>'Agg prdcrv'!L8</f>
        <v>50.83</v>
      </c>
      <c r="M8" s="222">
        <f>'Agg prdcrv'!M8</f>
        <v>52.1</v>
      </c>
      <c r="N8" s="222">
        <f>'Agg prdcrv'!N8</f>
        <v>51.12</v>
      </c>
      <c r="O8" s="222">
        <f>'Agg prdcrv'!O8</f>
        <v>53.51</v>
      </c>
      <c r="P8" s="222">
        <f>'Agg prdcrv'!P8</f>
        <v>50.61</v>
      </c>
    </row>
    <row r="9" spans="1:24">
      <c r="A9" s="201" t="s">
        <v>16</v>
      </c>
      <c r="B9" s="222">
        <v>2005</v>
      </c>
      <c r="C9" s="222">
        <v>1</v>
      </c>
      <c r="D9" s="250">
        <v>999999</v>
      </c>
      <c r="E9" s="250">
        <v>999999</v>
      </c>
      <c r="F9" s="250">
        <v>999999</v>
      </c>
      <c r="G9" s="222">
        <f>'Agg prdcrv'!G9</f>
        <v>9.3699999999999992</v>
      </c>
      <c r="H9" s="222">
        <f>'Agg prdcrv'!H9</f>
        <v>13.73</v>
      </c>
      <c r="J9" s="222">
        <v>2005</v>
      </c>
      <c r="K9" s="222">
        <v>1</v>
      </c>
      <c r="L9" s="222">
        <f>'Agg prdcrv'!L9</f>
        <v>52.34</v>
      </c>
      <c r="M9" s="222">
        <f>'Agg prdcrv'!M9</f>
        <v>50.45</v>
      </c>
      <c r="N9" s="222">
        <f>'Agg prdcrv'!N9</f>
        <v>50.89</v>
      </c>
      <c r="O9" s="222">
        <f>'Agg prdcrv'!O9</f>
        <v>61.33</v>
      </c>
      <c r="P9" s="222">
        <f>'Agg prdcrv'!P9</f>
        <v>59.05</v>
      </c>
    </row>
    <row r="10" spans="1:24">
      <c r="A10" s="201" t="s">
        <v>37</v>
      </c>
      <c r="B10" s="222">
        <v>2005</v>
      </c>
      <c r="C10" s="222">
        <v>1</v>
      </c>
      <c r="D10" s="250">
        <v>999999</v>
      </c>
      <c r="E10" s="250">
        <v>999999</v>
      </c>
      <c r="F10" s="250">
        <v>999999</v>
      </c>
      <c r="G10" s="222">
        <f>'Agg prdcrv'!G10</f>
        <v>0</v>
      </c>
      <c r="H10" s="222">
        <f>'Agg prdcrv'!H10</f>
        <v>10.5</v>
      </c>
      <c r="J10" s="222">
        <v>2005</v>
      </c>
      <c r="K10" s="222">
        <v>1</v>
      </c>
      <c r="L10" s="222">
        <f>'Agg prdcrv'!L10</f>
        <v>36.299999999999997</v>
      </c>
      <c r="M10" s="222">
        <f>'Agg prdcrv'!M10</f>
        <v>39.200000000000003</v>
      </c>
      <c r="N10" s="222">
        <f>'Agg prdcrv'!N10</f>
        <v>39.200000000000003</v>
      </c>
      <c r="O10" s="222">
        <f>'Agg prdcrv'!O10</f>
        <v>38.43</v>
      </c>
      <c r="P10" s="222">
        <f>'Agg prdcrv'!P10</f>
        <v>32.56</v>
      </c>
    </row>
    <row r="11" spans="1:24">
      <c r="A11" s="201" t="s">
        <v>36</v>
      </c>
      <c r="B11" s="222">
        <v>2005</v>
      </c>
      <c r="C11" s="222">
        <v>1</v>
      </c>
      <c r="D11" s="250">
        <v>999999</v>
      </c>
      <c r="E11" s="250">
        <v>999999</v>
      </c>
      <c r="F11" s="250">
        <v>999999</v>
      </c>
      <c r="G11" s="222">
        <f>'Agg prdcrv'!G11</f>
        <v>0</v>
      </c>
      <c r="H11" s="222">
        <f>'Agg prdcrv'!H11</f>
        <v>31.98</v>
      </c>
      <c r="J11" s="222">
        <v>2005</v>
      </c>
      <c r="K11" s="222">
        <v>1</v>
      </c>
      <c r="L11" s="222">
        <f>'Agg prdcrv'!L11</f>
        <v>34.79</v>
      </c>
      <c r="M11" s="222">
        <f>'Agg prdcrv'!M11</f>
        <v>37.590000000000003</v>
      </c>
      <c r="N11" s="222">
        <f>'Agg prdcrv'!N11</f>
        <v>38.11</v>
      </c>
      <c r="O11" s="222">
        <f>'Agg prdcrv'!O11</f>
        <v>37.14</v>
      </c>
      <c r="P11" s="222">
        <f>'Agg prdcrv'!P11</f>
        <v>32.799999999999997</v>
      </c>
    </row>
    <row r="12" spans="1:24">
      <c r="A12" s="201" t="s">
        <v>453</v>
      </c>
      <c r="B12" s="222">
        <v>2005</v>
      </c>
      <c r="C12" s="222">
        <v>1</v>
      </c>
      <c r="D12" s="250">
        <v>999999</v>
      </c>
      <c r="E12" s="250">
        <v>999999</v>
      </c>
      <c r="F12" s="250">
        <v>999999</v>
      </c>
      <c r="G12" s="222">
        <f>'Agg prdcrv'!G12</f>
        <v>0.43</v>
      </c>
      <c r="H12" s="222">
        <f>'Agg prdcrv'!H12</f>
        <v>100.3</v>
      </c>
      <c r="J12" s="222">
        <v>2005</v>
      </c>
      <c r="K12" s="222">
        <v>1</v>
      </c>
      <c r="L12" s="222">
        <f>'Agg prdcrv'!L12</f>
        <v>44.02</v>
      </c>
      <c r="M12" s="222">
        <f>'Agg prdcrv'!M12</f>
        <v>43.72</v>
      </c>
      <c r="N12" s="222">
        <f>'Agg prdcrv'!N12</f>
        <v>43.27</v>
      </c>
      <c r="O12" s="222">
        <f>'Agg prdcrv'!O12</f>
        <v>55.7</v>
      </c>
      <c r="P12" s="222">
        <f>'Agg prdcrv'!P12</f>
        <v>51.43</v>
      </c>
    </row>
    <row r="13" spans="1:24">
      <c r="A13" s="201" t="s">
        <v>456</v>
      </c>
      <c r="B13" s="222">
        <v>2005</v>
      </c>
      <c r="C13" s="222">
        <v>1</v>
      </c>
      <c r="D13" s="250">
        <v>999999</v>
      </c>
      <c r="E13" s="250">
        <v>999999</v>
      </c>
      <c r="F13" s="250">
        <v>999999</v>
      </c>
      <c r="G13" s="222">
        <f>'Agg prdcrv'!G13</f>
        <v>18.350000000000001</v>
      </c>
      <c r="H13" s="222">
        <f>'Agg prdcrv'!H13</f>
        <v>7.33</v>
      </c>
      <c r="J13" s="222">
        <v>2005</v>
      </c>
      <c r="K13" s="222">
        <v>1</v>
      </c>
      <c r="L13" s="222">
        <f>'Agg prdcrv'!L13</f>
        <v>28.81</v>
      </c>
      <c r="M13" s="222">
        <f>'Agg prdcrv'!M13</f>
        <v>28.81</v>
      </c>
      <c r="N13" s="222">
        <f>'Agg prdcrv'!N13</f>
        <v>28.81</v>
      </c>
      <c r="O13" s="222">
        <f>'Agg prdcrv'!O13</f>
        <v>28.81</v>
      </c>
      <c r="P13" s="222">
        <f>'Agg prdcrv'!P13</f>
        <v>28.81</v>
      </c>
    </row>
    <row r="14" spans="1:24">
      <c r="A14" s="201" t="s">
        <v>35</v>
      </c>
      <c r="B14" s="222">
        <v>2005</v>
      </c>
      <c r="C14" s="222">
        <v>1</v>
      </c>
      <c r="D14" s="250">
        <v>999999</v>
      </c>
      <c r="E14" s="250">
        <v>999999</v>
      </c>
      <c r="F14" s="250">
        <v>999999</v>
      </c>
      <c r="G14" s="222">
        <f>'Agg prdcrv'!G14</f>
        <v>0</v>
      </c>
      <c r="H14" s="222">
        <f>'Agg prdcrv'!H14</f>
        <v>0</v>
      </c>
      <c r="J14" s="222">
        <v>2005</v>
      </c>
      <c r="K14" s="222">
        <v>1</v>
      </c>
      <c r="L14" s="222">
        <f>'Agg prdcrv'!L14</f>
        <v>37.479999999999997</v>
      </c>
      <c r="M14" s="222">
        <f>'Agg prdcrv'!M14</f>
        <v>37.119999999999997</v>
      </c>
      <c r="N14" s="222">
        <f>'Agg prdcrv'!N14</f>
        <v>36.340000000000003</v>
      </c>
      <c r="O14" s="222">
        <f>'Agg prdcrv'!O14</f>
        <v>36.28</v>
      </c>
      <c r="P14" s="222">
        <f>'Agg prdcrv'!P14</f>
        <v>28.81</v>
      </c>
    </row>
    <row r="15" spans="1:24">
      <c r="A15" s="201" t="s">
        <v>31</v>
      </c>
      <c r="B15" s="222">
        <v>2005</v>
      </c>
      <c r="C15" s="222">
        <v>1</v>
      </c>
      <c r="D15" s="250">
        <v>999999</v>
      </c>
      <c r="E15" s="250">
        <v>999999</v>
      </c>
      <c r="F15" s="250">
        <v>999999</v>
      </c>
      <c r="G15" s="222">
        <f>'Agg prdcrv'!G15</f>
        <v>1</v>
      </c>
      <c r="H15" s="222">
        <f>'Agg prdcrv'!H15</f>
        <v>42</v>
      </c>
      <c r="J15" s="222">
        <v>2005</v>
      </c>
      <c r="K15" s="222">
        <v>1</v>
      </c>
      <c r="L15" s="222">
        <f>'Agg prdcrv'!L15</f>
        <v>59.93</v>
      </c>
      <c r="M15" s="222">
        <f>'Agg prdcrv'!M15</f>
        <v>59.93</v>
      </c>
      <c r="N15" s="222">
        <f>'Agg prdcrv'!N15</f>
        <v>60.59</v>
      </c>
      <c r="O15" s="222">
        <f>'Agg prdcrv'!O15</f>
        <v>60.09</v>
      </c>
      <c r="P15" s="222">
        <f>'Agg prdcrv'!P15</f>
        <v>60.09</v>
      </c>
    </row>
    <row r="16" spans="1:24">
      <c r="A16" s="201" t="s">
        <v>458</v>
      </c>
      <c r="B16" s="222">
        <v>2005</v>
      </c>
      <c r="C16" s="222">
        <v>1</v>
      </c>
      <c r="D16" s="250">
        <v>999999</v>
      </c>
      <c r="E16" s="250">
        <v>999999</v>
      </c>
      <c r="F16" s="250">
        <v>999999</v>
      </c>
      <c r="G16" s="222">
        <f>'Agg prdcrv'!G16</f>
        <v>0</v>
      </c>
      <c r="H16" s="222">
        <f>'Agg prdcrv'!H16</f>
        <v>0.86</v>
      </c>
      <c r="J16" s="222">
        <v>2005</v>
      </c>
      <c r="K16" s="222">
        <v>1</v>
      </c>
      <c r="L16" s="222">
        <f>'Agg prdcrv'!L16</f>
        <v>48.28</v>
      </c>
      <c r="M16" s="222">
        <f>'Agg prdcrv'!M16</f>
        <v>47.45</v>
      </c>
      <c r="N16" s="222">
        <f>'Agg prdcrv'!N16</f>
        <v>46.99</v>
      </c>
      <c r="O16" s="222">
        <f>'Agg prdcrv'!O16</f>
        <v>48.97</v>
      </c>
      <c r="P16" s="222">
        <f>'Agg prdcrv'!P16</f>
        <v>46.56</v>
      </c>
    </row>
    <row r="17" spans="1:16">
      <c r="A17" s="201" t="s">
        <v>148</v>
      </c>
      <c r="B17" s="222">
        <v>2005</v>
      </c>
      <c r="C17" s="222">
        <v>1</v>
      </c>
      <c r="D17" s="250">
        <v>999999</v>
      </c>
      <c r="E17" s="250">
        <v>999999</v>
      </c>
      <c r="F17" s="250">
        <v>999999</v>
      </c>
      <c r="G17" s="222">
        <f>'Agg prdcrv'!G17</f>
        <v>0</v>
      </c>
      <c r="H17" s="222">
        <f>'Agg prdcrv'!H17</f>
        <v>65.25</v>
      </c>
      <c r="J17" s="222">
        <v>2005</v>
      </c>
      <c r="K17" s="222">
        <v>1</v>
      </c>
      <c r="L17" s="222">
        <f>'Agg prdcrv'!L17</f>
        <v>60.65</v>
      </c>
      <c r="M17" s="222">
        <f>'Agg prdcrv'!M17</f>
        <v>58.57</v>
      </c>
      <c r="N17" s="222">
        <f>'Agg prdcrv'!N17</f>
        <v>58.16</v>
      </c>
      <c r="O17" s="222">
        <f>'Agg prdcrv'!O17</f>
        <v>60.83</v>
      </c>
      <c r="P17" s="222">
        <f>'Agg prdcrv'!P17</f>
        <v>58.19</v>
      </c>
    </row>
    <row r="18" spans="1:16">
      <c r="A18" s="201" t="s">
        <v>149</v>
      </c>
      <c r="B18" s="222">
        <v>2005</v>
      </c>
      <c r="C18" s="222">
        <v>1</v>
      </c>
      <c r="D18" s="250">
        <v>999999</v>
      </c>
      <c r="E18" s="250">
        <v>999999</v>
      </c>
      <c r="F18" s="250">
        <v>999999</v>
      </c>
      <c r="G18" s="222">
        <f>'Agg prdcrv'!G18</f>
        <v>1</v>
      </c>
      <c r="H18" s="222">
        <f>'Agg prdcrv'!H18</f>
        <v>20.43</v>
      </c>
      <c r="J18" s="222">
        <v>2005</v>
      </c>
      <c r="K18" s="222">
        <v>1</v>
      </c>
      <c r="L18" s="222">
        <f>'Agg prdcrv'!L18</f>
        <v>52.75</v>
      </c>
      <c r="M18" s="222">
        <f>'Agg prdcrv'!M18</f>
        <v>52.07</v>
      </c>
      <c r="N18" s="222">
        <f>'Agg prdcrv'!N18</f>
        <v>51.76</v>
      </c>
      <c r="O18" s="222">
        <f>'Agg prdcrv'!O18</f>
        <v>56.99</v>
      </c>
      <c r="P18" s="222">
        <f>'Agg prdcrv'!P18</f>
        <v>55.34</v>
      </c>
    </row>
    <row r="19" spans="1:16">
      <c r="A19" s="201" t="s">
        <v>19</v>
      </c>
      <c r="B19" s="222">
        <v>2005</v>
      </c>
      <c r="C19" s="222">
        <v>1</v>
      </c>
      <c r="D19" s="250">
        <v>999999</v>
      </c>
      <c r="E19" s="250">
        <v>999999</v>
      </c>
      <c r="F19" s="250">
        <v>999999</v>
      </c>
      <c r="G19" s="222">
        <f>'Agg prdcrv'!G19</f>
        <v>0</v>
      </c>
      <c r="H19" s="222">
        <f>'Agg prdcrv'!H19</f>
        <v>4.3499999999999996</v>
      </c>
      <c r="J19" s="222">
        <v>2005</v>
      </c>
      <c r="K19" s="222">
        <v>1</v>
      </c>
      <c r="L19" s="222">
        <f>'Agg prdcrv'!L19</f>
        <v>57.53</v>
      </c>
      <c r="M19" s="222">
        <f>'Agg prdcrv'!M19</f>
        <v>57.76</v>
      </c>
      <c r="N19" s="222">
        <f>'Agg prdcrv'!N19</f>
        <v>56.78</v>
      </c>
      <c r="O19" s="222">
        <f>'Agg prdcrv'!O19</f>
        <v>68.39</v>
      </c>
      <c r="P19" s="222">
        <f>'Agg prdcrv'!P19</f>
        <v>64.040000000000006</v>
      </c>
    </row>
    <row r="20" spans="1:16">
      <c r="A20" s="201" t="s">
        <v>150</v>
      </c>
      <c r="B20" s="222">
        <v>2005</v>
      </c>
      <c r="C20" s="222">
        <v>1</v>
      </c>
      <c r="D20" s="250">
        <v>999999</v>
      </c>
      <c r="E20" s="250">
        <v>999999</v>
      </c>
      <c r="F20" s="250">
        <v>999999</v>
      </c>
      <c r="G20" s="222">
        <f>'Agg prdcrv'!G20</f>
        <v>0</v>
      </c>
      <c r="H20" s="222">
        <f>'Agg prdcrv'!H20</f>
        <v>28.07</v>
      </c>
      <c r="J20" s="222">
        <v>2005</v>
      </c>
      <c r="K20" s="222">
        <v>1</v>
      </c>
      <c r="L20" s="222">
        <f>'Agg prdcrv'!L20</f>
        <v>26.15</v>
      </c>
      <c r="M20" s="222">
        <f>'Agg prdcrv'!M20</f>
        <v>26.25</v>
      </c>
      <c r="N20" s="222">
        <f>'Agg prdcrv'!N20</f>
        <v>25.81</v>
      </c>
      <c r="O20" s="222">
        <f>'Agg prdcrv'!O20</f>
        <v>31.09</v>
      </c>
      <c r="P20" s="222">
        <f>'Agg prdcrv'!P20</f>
        <v>29.11</v>
      </c>
    </row>
    <row r="21" spans="1:16">
      <c r="A21" s="201" t="s">
        <v>151</v>
      </c>
      <c r="B21" s="222">
        <v>2005</v>
      </c>
      <c r="C21" s="222">
        <v>1</v>
      </c>
      <c r="D21" s="250">
        <v>999999</v>
      </c>
      <c r="E21" s="250">
        <v>999999</v>
      </c>
      <c r="F21" s="250">
        <v>999999</v>
      </c>
      <c r="G21" s="222">
        <f>'Agg prdcrv'!G21</f>
        <v>0.9</v>
      </c>
      <c r="H21" s="222">
        <f>'Agg prdcrv'!H21</f>
        <v>15.29</v>
      </c>
      <c r="J21" s="222">
        <v>2005</v>
      </c>
      <c r="K21" s="222">
        <v>1</v>
      </c>
      <c r="L21" s="222">
        <f>'Agg prdcrv'!L21</f>
        <v>31.96</v>
      </c>
      <c r="M21" s="222">
        <f>'Agg prdcrv'!M21</f>
        <v>32.090000000000003</v>
      </c>
      <c r="N21" s="222">
        <f>'Agg prdcrv'!N21</f>
        <v>31.55</v>
      </c>
      <c r="O21" s="222">
        <f>'Agg prdcrv'!O21</f>
        <v>38</v>
      </c>
      <c r="P21" s="222">
        <f>'Agg prdcrv'!P21</f>
        <v>35.58</v>
      </c>
    </row>
    <row r="22" spans="1:16">
      <c r="A22" s="201" t="s">
        <v>152</v>
      </c>
      <c r="B22" s="222">
        <v>2005</v>
      </c>
      <c r="C22" s="222">
        <v>1</v>
      </c>
      <c r="D22" s="250">
        <v>999999</v>
      </c>
      <c r="E22" s="250">
        <v>999999</v>
      </c>
      <c r="F22" s="250">
        <v>999999</v>
      </c>
      <c r="G22" s="222">
        <f>'Agg prdcrv'!G22</f>
        <v>0</v>
      </c>
      <c r="H22" s="222">
        <f>'Agg prdcrv'!H22</f>
        <v>54.95</v>
      </c>
      <c r="J22" s="222">
        <v>2005</v>
      </c>
      <c r="K22" s="222">
        <v>1</v>
      </c>
      <c r="L22" s="222">
        <f>'Agg prdcrv'!L22</f>
        <v>23.97</v>
      </c>
      <c r="M22" s="222">
        <f>'Agg prdcrv'!M22</f>
        <v>24.07</v>
      </c>
      <c r="N22" s="222">
        <f>'Agg prdcrv'!N22</f>
        <v>23.66</v>
      </c>
      <c r="O22" s="222">
        <f>'Agg prdcrv'!O22</f>
        <v>28.5</v>
      </c>
      <c r="P22" s="222">
        <f>'Agg prdcrv'!P22</f>
        <v>26.68</v>
      </c>
    </row>
    <row r="23" spans="1:16">
      <c r="A23" s="201" t="s">
        <v>588</v>
      </c>
      <c r="D23" s="250">
        <v>999999</v>
      </c>
      <c r="E23" s="250">
        <v>999999</v>
      </c>
      <c r="F23" s="250">
        <v>999999</v>
      </c>
    </row>
    <row r="24" spans="1:16">
      <c r="A24" s="201" t="s">
        <v>25</v>
      </c>
      <c r="B24" s="222">
        <v>2010</v>
      </c>
      <c r="C24" s="222">
        <v>1</v>
      </c>
      <c r="D24" s="250">
        <v>999999</v>
      </c>
      <c r="E24" s="250">
        <v>999999</v>
      </c>
      <c r="F24" s="250">
        <v>999999</v>
      </c>
      <c r="G24" s="222">
        <f>'Agg prdcrv'!G24</f>
        <v>0</v>
      </c>
      <c r="H24" s="222">
        <f>'Agg prdcrv'!H24</f>
        <v>0</v>
      </c>
      <c r="J24" s="222">
        <v>2010</v>
      </c>
      <c r="K24" s="222">
        <v>1</v>
      </c>
      <c r="L24" s="222">
        <f>'Agg prdcrv'!L24</f>
        <v>113.56</v>
      </c>
      <c r="M24" s="222">
        <f>'Agg prdcrv'!M24</f>
        <v>113.5</v>
      </c>
      <c r="N24" s="222">
        <f>'Agg prdcrv'!N24</f>
        <v>113.56</v>
      </c>
      <c r="O24" s="222">
        <f>'Agg prdcrv'!O24</f>
        <v>113.3</v>
      </c>
      <c r="P24" s="222">
        <f>'Agg prdcrv'!P24</f>
        <v>113.5</v>
      </c>
    </row>
    <row r="25" spans="1:16">
      <c r="A25" s="201" t="s">
        <v>22</v>
      </c>
      <c r="B25" s="222">
        <v>2010</v>
      </c>
      <c r="C25" s="222">
        <v>1</v>
      </c>
      <c r="D25" s="250">
        <v>999999</v>
      </c>
      <c r="E25" s="250">
        <v>999999</v>
      </c>
      <c r="F25" s="250">
        <v>999999</v>
      </c>
      <c r="G25" s="222">
        <f>'Agg prdcrv'!G25</f>
        <v>0</v>
      </c>
      <c r="H25" s="222">
        <f>'Agg prdcrv'!H25</f>
        <v>19.77</v>
      </c>
      <c r="J25" s="222">
        <v>2010</v>
      </c>
      <c r="K25" s="222">
        <v>1</v>
      </c>
      <c r="L25" s="222">
        <f>'Agg prdcrv'!L25</f>
        <v>49.74</v>
      </c>
      <c r="M25" s="222">
        <f>'Agg prdcrv'!M25</f>
        <v>50.63</v>
      </c>
      <c r="N25" s="222">
        <f>'Agg prdcrv'!N25</f>
        <v>49.8</v>
      </c>
      <c r="O25" s="222">
        <f>'Agg prdcrv'!O25</f>
        <v>49.61</v>
      </c>
      <c r="P25" s="222">
        <f>'Agg prdcrv'!P25</f>
        <v>34.799999999999997</v>
      </c>
    </row>
    <row r="26" spans="1:16">
      <c r="A26" s="201" t="s">
        <v>15</v>
      </c>
      <c r="B26" s="222">
        <v>2010</v>
      </c>
      <c r="C26" s="222">
        <v>1</v>
      </c>
      <c r="D26" s="250">
        <v>999999</v>
      </c>
      <c r="E26" s="250">
        <v>999999</v>
      </c>
      <c r="F26" s="250">
        <v>999999</v>
      </c>
      <c r="G26" s="222">
        <f>'Agg prdcrv'!G26</f>
        <v>0.87</v>
      </c>
      <c r="H26" s="222">
        <f>'Agg prdcrv'!H26</f>
        <v>4.91</v>
      </c>
      <c r="J26" s="222">
        <v>2010</v>
      </c>
      <c r="K26" s="222">
        <v>1</v>
      </c>
      <c r="L26" s="222">
        <f>'Agg prdcrv'!L26</f>
        <v>45.48</v>
      </c>
      <c r="M26" s="222">
        <f>'Agg prdcrv'!M26</f>
        <v>49.64</v>
      </c>
      <c r="N26" s="222">
        <f>'Agg prdcrv'!N26</f>
        <v>48.67</v>
      </c>
      <c r="O26" s="222">
        <f>'Agg prdcrv'!O26</f>
        <v>40.82</v>
      </c>
      <c r="P26" s="222">
        <f>'Agg prdcrv'!P26</f>
        <v>46.09</v>
      </c>
    </row>
    <row r="27" spans="1:16">
      <c r="A27" s="201" t="s">
        <v>16</v>
      </c>
      <c r="B27" s="222">
        <v>2010</v>
      </c>
      <c r="C27" s="222">
        <v>1</v>
      </c>
      <c r="D27" s="250">
        <v>999999</v>
      </c>
      <c r="E27" s="250">
        <v>999999</v>
      </c>
      <c r="F27" s="250">
        <v>999999</v>
      </c>
      <c r="G27" s="222">
        <f>'Agg prdcrv'!G27</f>
        <v>2.13</v>
      </c>
      <c r="H27" s="222">
        <f>'Agg prdcrv'!H27</f>
        <v>4.3</v>
      </c>
      <c r="J27" s="222">
        <v>2010</v>
      </c>
      <c r="K27" s="222">
        <v>1</v>
      </c>
      <c r="L27" s="222">
        <f>'Agg prdcrv'!L27</f>
        <v>46.26</v>
      </c>
      <c r="M27" s="222">
        <f>'Agg prdcrv'!M27</f>
        <v>44.59</v>
      </c>
      <c r="N27" s="222">
        <f>'Agg prdcrv'!N27</f>
        <v>44.91</v>
      </c>
      <c r="O27" s="222">
        <f>'Agg prdcrv'!O27</f>
        <v>46.14</v>
      </c>
      <c r="P27" s="222">
        <f>'Agg prdcrv'!P27</f>
        <v>46.25</v>
      </c>
    </row>
    <row r="28" spans="1:16">
      <c r="A28" s="201" t="s">
        <v>37</v>
      </c>
      <c r="B28" s="222">
        <v>2010</v>
      </c>
      <c r="C28" s="222">
        <v>1</v>
      </c>
      <c r="D28" s="250">
        <v>999999</v>
      </c>
      <c r="E28" s="250">
        <v>999999</v>
      </c>
      <c r="F28" s="250">
        <v>999999</v>
      </c>
      <c r="G28" s="222">
        <f>'Agg prdcrv'!G28</f>
        <v>0</v>
      </c>
      <c r="H28" s="222">
        <f>'Agg prdcrv'!H28</f>
        <v>8.66</v>
      </c>
      <c r="J28" s="222">
        <v>2010</v>
      </c>
      <c r="K28" s="222">
        <v>1</v>
      </c>
      <c r="L28" s="222">
        <f>'Agg prdcrv'!L28</f>
        <v>34.28</v>
      </c>
      <c r="M28" s="222">
        <f>'Agg prdcrv'!M28</f>
        <v>33.409999999999997</v>
      </c>
      <c r="N28" s="222">
        <f>'Agg prdcrv'!N28</f>
        <v>33.57</v>
      </c>
      <c r="O28" s="222">
        <f>'Agg prdcrv'!O28</f>
        <v>33.47</v>
      </c>
      <c r="P28" s="222">
        <f>'Agg prdcrv'!P28</f>
        <v>32.83</v>
      </c>
    </row>
    <row r="29" spans="1:16">
      <c r="A29" s="201" t="s">
        <v>36</v>
      </c>
      <c r="B29" s="222">
        <v>2010</v>
      </c>
      <c r="C29" s="222">
        <v>1</v>
      </c>
      <c r="D29" s="250">
        <v>999999</v>
      </c>
      <c r="E29" s="250">
        <v>999999</v>
      </c>
      <c r="F29" s="250">
        <v>999999</v>
      </c>
      <c r="G29" s="222">
        <f>'Agg prdcrv'!G29</f>
        <v>0</v>
      </c>
      <c r="H29" s="222">
        <f>'Agg prdcrv'!H29</f>
        <v>28.14</v>
      </c>
      <c r="J29" s="222">
        <v>2010</v>
      </c>
      <c r="K29" s="222">
        <v>1</v>
      </c>
      <c r="L29" s="222">
        <f>'Agg prdcrv'!L29</f>
        <v>28.5</v>
      </c>
      <c r="M29" s="222">
        <f>'Agg prdcrv'!M29</f>
        <v>32.93</v>
      </c>
      <c r="N29" s="222">
        <f>'Agg prdcrv'!N29</f>
        <v>33.409999999999997</v>
      </c>
      <c r="O29" s="222">
        <f>'Agg prdcrv'!O29</f>
        <v>32.81</v>
      </c>
      <c r="P29" s="222">
        <f>'Agg prdcrv'!P29</f>
        <v>33.299999999999997</v>
      </c>
    </row>
    <row r="30" spans="1:16">
      <c r="A30" s="201" t="s">
        <v>453</v>
      </c>
      <c r="B30" s="222">
        <v>2010</v>
      </c>
      <c r="C30" s="222">
        <v>1</v>
      </c>
      <c r="D30" s="250">
        <v>999999</v>
      </c>
      <c r="E30" s="250">
        <v>999999</v>
      </c>
      <c r="F30" s="250">
        <v>999999</v>
      </c>
      <c r="G30" s="222">
        <f>'Agg prdcrv'!G30</f>
        <v>0</v>
      </c>
      <c r="H30" s="222">
        <f>'Agg prdcrv'!H30</f>
        <v>55.38</v>
      </c>
      <c r="J30" s="222">
        <v>2010</v>
      </c>
      <c r="K30" s="222">
        <v>1</v>
      </c>
      <c r="L30" s="222">
        <f>'Agg prdcrv'!L30</f>
        <v>39.44</v>
      </c>
      <c r="M30" s="222">
        <f>'Agg prdcrv'!M30</f>
        <v>39.67</v>
      </c>
      <c r="N30" s="222">
        <f>'Agg prdcrv'!N30</f>
        <v>38.71</v>
      </c>
      <c r="O30" s="222">
        <f>'Agg prdcrv'!O30</f>
        <v>39.94</v>
      </c>
      <c r="P30" s="222">
        <f>'Agg prdcrv'!P30</f>
        <v>41.74</v>
      </c>
    </row>
    <row r="31" spans="1:16">
      <c r="A31" s="201" t="s">
        <v>456</v>
      </c>
      <c r="B31" s="222">
        <v>2010</v>
      </c>
      <c r="C31" s="222">
        <v>1</v>
      </c>
      <c r="D31" s="250">
        <v>999999</v>
      </c>
      <c r="E31" s="250">
        <v>999999</v>
      </c>
      <c r="F31" s="250">
        <v>999999</v>
      </c>
      <c r="G31" s="222">
        <f>'Agg prdcrv'!G31</f>
        <v>9.18</v>
      </c>
      <c r="H31" s="222">
        <f>'Agg prdcrv'!H31</f>
        <v>1.73</v>
      </c>
      <c r="J31" s="222">
        <v>2010</v>
      </c>
      <c r="K31" s="222">
        <v>1</v>
      </c>
      <c r="L31" s="222">
        <f>'Agg prdcrv'!L31</f>
        <v>28.5</v>
      </c>
      <c r="M31" s="222">
        <f>'Agg prdcrv'!M31</f>
        <v>28.5</v>
      </c>
      <c r="N31" s="222">
        <f>'Agg prdcrv'!N31</f>
        <v>28.5</v>
      </c>
      <c r="O31" s="222">
        <f>'Agg prdcrv'!O31</f>
        <v>28.5</v>
      </c>
      <c r="P31" s="222">
        <f>'Agg prdcrv'!P31</f>
        <v>28.5</v>
      </c>
    </row>
    <row r="32" spans="1:16">
      <c r="A32" s="201" t="s">
        <v>35</v>
      </c>
      <c r="B32" s="222">
        <v>2010</v>
      </c>
      <c r="C32" s="222">
        <v>1</v>
      </c>
      <c r="D32" s="250">
        <v>999999</v>
      </c>
      <c r="E32" s="250">
        <v>999999</v>
      </c>
      <c r="F32" s="250">
        <v>999999</v>
      </c>
      <c r="G32" s="222">
        <f>'Agg prdcrv'!G32</f>
        <v>0</v>
      </c>
      <c r="H32" s="222">
        <f>'Agg prdcrv'!H32</f>
        <v>2.89</v>
      </c>
      <c r="J32" s="222">
        <v>2010</v>
      </c>
      <c r="K32" s="222">
        <v>1</v>
      </c>
      <c r="L32" s="222">
        <f>'Agg prdcrv'!L32</f>
        <v>22.98</v>
      </c>
      <c r="M32" s="222">
        <f>'Agg prdcrv'!M32</f>
        <v>27.68</v>
      </c>
      <c r="N32" s="222">
        <f>'Agg prdcrv'!N32</f>
        <v>27.74</v>
      </c>
      <c r="O32" s="222">
        <f>'Agg prdcrv'!O32</f>
        <v>26.9</v>
      </c>
      <c r="P32" s="222">
        <f>'Agg prdcrv'!P32</f>
        <v>28.5</v>
      </c>
    </row>
    <row r="33" spans="1:16">
      <c r="A33" s="201" t="s">
        <v>31</v>
      </c>
      <c r="B33" s="222">
        <v>2010</v>
      </c>
      <c r="C33" s="222">
        <v>1</v>
      </c>
      <c r="D33" s="250">
        <v>999999</v>
      </c>
      <c r="E33" s="250">
        <v>999999</v>
      </c>
      <c r="F33" s="250">
        <v>999999</v>
      </c>
      <c r="G33" s="222">
        <f>'Agg prdcrv'!G33</f>
        <v>0.86</v>
      </c>
      <c r="H33" s="222">
        <f>'Agg prdcrv'!H33</f>
        <v>27.25</v>
      </c>
      <c r="J33" s="222">
        <v>2010</v>
      </c>
      <c r="K33" s="222">
        <v>1</v>
      </c>
      <c r="L33" s="222">
        <f>'Agg prdcrv'!L33</f>
        <v>36.42</v>
      </c>
      <c r="M33" s="222">
        <f>'Agg prdcrv'!M33</f>
        <v>36.42</v>
      </c>
      <c r="N33" s="222">
        <f>'Agg prdcrv'!N33</f>
        <v>37.04</v>
      </c>
      <c r="O33" s="222">
        <f>'Agg prdcrv'!O33</f>
        <v>36.549999999999997</v>
      </c>
      <c r="P33" s="222">
        <f>'Agg prdcrv'!P33</f>
        <v>36.549999999999997</v>
      </c>
    </row>
    <row r="34" spans="1:16">
      <c r="A34" s="201" t="s">
        <v>458</v>
      </c>
      <c r="B34" s="222">
        <v>2010</v>
      </c>
      <c r="C34" s="222">
        <v>1</v>
      </c>
      <c r="D34" s="250">
        <v>999999</v>
      </c>
      <c r="E34" s="250">
        <v>999999</v>
      </c>
      <c r="F34" s="250">
        <v>999999</v>
      </c>
      <c r="G34" s="222">
        <f>'Agg prdcrv'!G34</f>
        <v>0</v>
      </c>
      <c r="H34" s="222">
        <f>'Agg prdcrv'!H34</f>
        <v>0.77</v>
      </c>
      <c r="J34" s="222">
        <v>2010</v>
      </c>
      <c r="K34" s="222">
        <v>1</v>
      </c>
      <c r="L34" s="222">
        <f>'Agg prdcrv'!L34</f>
        <v>47.76</v>
      </c>
      <c r="M34" s="222">
        <f>'Agg prdcrv'!M34</f>
        <v>46.94</v>
      </c>
      <c r="N34" s="222">
        <f>'Agg prdcrv'!N34</f>
        <v>46.48</v>
      </c>
      <c r="O34" s="222">
        <f>'Agg prdcrv'!O34</f>
        <v>48.44</v>
      </c>
      <c r="P34" s="222">
        <f>'Agg prdcrv'!P34</f>
        <v>46.06</v>
      </c>
    </row>
    <row r="35" spans="1:16">
      <c r="A35" s="201" t="s">
        <v>148</v>
      </c>
      <c r="B35" s="222">
        <v>2010</v>
      </c>
      <c r="C35" s="222">
        <v>1</v>
      </c>
      <c r="D35" s="250">
        <v>999999</v>
      </c>
      <c r="E35" s="250">
        <v>999999</v>
      </c>
      <c r="F35" s="250">
        <v>999999</v>
      </c>
      <c r="G35" s="222">
        <f>'Agg prdcrv'!G35</f>
        <v>0.87</v>
      </c>
      <c r="H35" s="222">
        <f>'Agg prdcrv'!H35</f>
        <v>23.42</v>
      </c>
      <c r="J35" s="222">
        <v>2010</v>
      </c>
      <c r="K35" s="222">
        <v>1</v>
      </c>
      <c r="L35" s="222">
        <f>'Agg prdcrv'!L35</f>
        <v>59.99</v>
      </c>
      <c r="M35" s="222">
        <f>'Agg prdcrv'!M35</f>
        <v>57.94</v>
      </c>
      <c r="N35" s="222">
        <f>'Agg prdcrv'!N35</f>
        <v>57.53</v>
      </c>
      <c r="O35" s="222">
        <f>'Agg prdcrv'!O35</f>
        <v>60.17</v>
      </c>
      <c r="P35" s="222">
        <f>'Agg prdcrv'!P35</f>
        <v>57.56</v>
      </c>
    </row>
    <row r="36" spans="1:16">
      <c r="A36" s="201" t="s">
        <v>149</v>
      </c>
      <c r="B36" s="222">
        <v>2010</v>
      </c>
      <c r="C36" s="222">
        <v>1</v>
      </c>
      <c r="D36" s="250">
        <v>999999</v>
      </c>
      <c r="E36" s="250">
        <v>999999</v>
      </c>
      <c r="F36" s="250">
        <v>999999</v>
      </c>
      <c r="G36" s="222">
        <f>'Agg prdcrv'!G36</f>
        <v>0.92</v>
      </c>
      <c r="H36" s="222">
        <f>'Agg prdcrv'!H36</f>
        <v>44.35</v>
      </c>
      <c r="J36" s="222">
        <v>2010</v>
      </c>
      <c r="K36" s="222">
        <v>1</v>
      </c>
      <c r="L36" s="222">
        <f>'Agg prdcrv'!L36</f>
        <v>34.409999999999997</v>
      </c>
      <c r="M36" s="222">
        <f>'Agg prdcrv'!M36</f>
        <v>37.18</v>
      </c>
      <c r="N36" s="222">
        <f>'Agg prdcrv'!N36</f>
        <v>37.700000000000003</v>
      </c>
      <c r="O36" s="222">
        <f>'Agg prdcrv'!O36</f>
        <v>36.729999999999997</v>
      </c>
      <c r="P36" s="222">
        <f>'Agg prdcrv'!P36</f>
        <v>32.450000000000003</v>
      </c>
    </row>
    <row r="37" spans="1:16">
      <c r="A37" s="201" t="s">
        <v>19</v>
      </c>
      <c r="B37" s="222">
        <v>2010</v>
      </c>
      <c r="C37" s="222">
        <v>1</v>
      </c>
      <c r="D37" s="250">
        <v>999999</v>
      </c>
      <c r="E37" s="250">
        <v>999999</v>
      </c>
      <c r="F37" s="250">
        <v>999999</v>
      </c>
      <c r="G37" s="222">
        <f>'Agg prdcrv'!G37</f>
        <v>0</v>
      </c>
      <c r="H37" s="222">
        <f>'Agg prdcrv'!H37</f>
        <v>14.48</v>
      </c>
      <c r="J37" s="222">
        <v>2010</v>
      </c>
      <c r="K37" s="222">
        <v>1</v>
      </c>
      <c r="L37" s="222">
        <f>'Agg prdcrv'!L37</f>
        <v>49.38</v>
      </c>
      <c r="M37" s="222">
        <f>'Agg prdcrv'!M37</f>
        <v>48.41</v>
      </c>
      <c r="N37" s="222">
        <f>'Agg prdcrv'!N37</f>
        <v>48.64</v>
      </c>
      <c r="O37" s="222">
        <f>'Agg prdcrv'!O37</f>
        <v>49.87</v>
      </c>
      <c r="P37" s="222">
        <f>'Agg prdcrv'!P37</f>
        <v>49.6</v>
      </c>
    </row>
    <row r="38" spans="1:16">
      <c r="A38" s="201" t="s">
        <v>150</v>
      </c>
      <c r="B38" s="222">
        <v>2010</v>
      </c>
      <c r="C38" s="222">
        <v>1</v>
      </c>
      <c r="D38" s="250">
        <v>999999</v>
      </c>
      <c r="E38" s="250">
        <v>999999</v>
      </c>
      <c r="F38" s="250">
        <v>999999</v>
      </c>
      <c r="G38" s="222">
        <f>'Agg prdcrv'!G38</f>
        <v>0</v>
      </c>
      <c r="H38" s="222">
        <f>'Agg prdcrv'!H38</f>
        <v>24.19</v>
      </c>
      <c r="J38" s="222">
        <v>2010</v>
      </c>
      <c r="K38" s="222">
        <v>1</v>
      </c>
      <c r="L38" s="222">
        <f>'Agg prdcrv'!L38</f>
        <v>22.44</v>
      </c>
      <c r="M38" s="222">
        <f>'Agg prdcrv'!M38</f>
        <v>22</v>
      </c>
      <c r="N38" s="222">
        <f>'Agg prdcrv'!N38</f>
        <v>22.11</v>
      </c>
      <c r="O38" s="222">
        <f>'Agg prdcrv'!O38</f>
        <v>22.67</v>
      </c>
      <c r="P38" s="222">
        <f>'Agg prdcrv'!P38</f>
        <v>22.55</v>
      </c>
    </row>
    <row r="39" spans="1:16">
      <c r="A39" s="201" t="s">
        <v>151</v>
      </c>
      <c r="B39" s="222">
        <v>2010</v>
      </c>
      <c r="C39" s="222">
        <v>1</v>
      </c>
      <c r="D39" s="250">
        <v>999999</v>
      </c>
      <c r="E39" s="250">
        <v>999999</v>
      </c>
      <c r="F39" s="250">
        <v>999999</v>
      </c>
      <c r="G39" s="222">
        <f>'Agg prdcrv'!G39</f>
        <v>0.78</v>
      </c>
      <c r="H39" s="222">
        <f>'Agg prdcrv'!H39</f>
        <v>13.18</v>
      </c>
      <c r="J39" s="222">
        <v>2010</v>
      </c>
      <c r="K39" s="222">
        <v>1</v>
      </c>
      <c r="L39" s="222">
        <f>'Agg prdcrv'!L39</f>
        <v>27.43</v>
      </c>
      <c r="M39" s="222">
        <f>'Agg prdcrv'!M39</f>
        <v>26.89</v>
      </c>
      <c r="N39" s="222">
        <f>'Agg prdcrv'!N39</f>
        <v>27.02</v>
      </c>
      <c r="O39" s="222">
        <f>'Agg prdcrv'!O39</f>
        <v>27.71</v>
      </c>
      <c r="P39" s="222">
        <f>'Agg prdcrv'!P39</f>
        <v>27.56</v>
      </c>
    </row>
    <row r="40" spans="1:16">
      <c r="A40" s="201" t="s">
        <v>152</v>
      </c>
      <c r="B40" s="222">
        <v>2010</v>
      </c>
      <c r="C40" s="222">
        <v>1</v>
      </c>
      <c r="D40" s="250">
        <v>999999</v>
      </c>
      <c r="E40" s="250">
        <v>999999</v>
      </c>
      <c r="F40" s="250">
        <v>999999</v>
      </c>
      <c r="G40" s="222">
        <f>'Agg prdcrv'!G40</f>
        <v>0</v>
      </c>
      <c r="H40" s="222">
        <f>'Agg prdcrv'!H40</f>
        <v>47.36</v>
      </c>
      <c r="J40" s="222">
        <v>2010</v>
      </c>
      <c r="K40" s="222">
        <v>1</v>
      </c>
      <c r="L40" s="222">
        <f>'Agg prdcrv'!L40</f>
        <v>20.57</v>
      </c>
      <c r="M40" s="222">
        <f>'Agg prdcrv'!M40</f>
        <v>20.170000000000002</v>
      </c>
      <c r="N40" s="222">
        <f>'Agg prdcrv'!N40</f>
        <v>20.27</v>
      </c>
      <c r="O40" s="222">
        <f>'Agg prdcrv'!O40</f>
        <v>20.78</v>
      </c>
      <c r="P40" s="222">
        <f>'Agg prdcrv'!P40</f>
        <v>20.67</v>
      </c>
    </row>
    <row r="41" spans="1:16">
      <c r="A41" s="201" t="s">
        <v>588</v>
      </c>
      <c r="D41" s="250">
        <v>999999</v>
      </c>
      <c r="E41" s="250">
        <v>999999</v>
      </c>
      <c r="F41" s="250">
        <v>999999</v>
      </c>
    </row>
    <row r="42" spans="1:16">
      <c r="A42" s="201" t="s">
        <v>25</v>
      </c>
      <c r="B42" s="222">
        <v>2015</v>
      </c>
      <c r="C42" s="222">
        <v>1</v>
      </c>
      <c r="D42" s="250">
        <v>999999</v>
      </c>
      <c r="E42" s="250">
        <v>999999</v>
      </c>
      <c r="F42" s="250">
        <v>999999</v>
      </c>
      <c r="G42" s="222">
        <f>'Agg prdcrv'!G42</f>
        <v>0</v>
      </c>
      <c r="H42" s="222">
        <f>'Agg prdcrv'!H42</f>
        <v>0</v>
      </c>
      <c r="J42" s="222">
        <v>2015</v>
      </c>
      <c r="K42" s="222">
        <v>1</v>
      </c>
      <c r="L42" s="222">
        <f>'Agg prdcrv'!L42</f>
        <v>113.56</v>
      </c>
      <c r="M42" s="222">
        <f>'Agg prdcrv'!M42</f>
        <v>113.5</v>
      </c>
      <c r="N42" s="222">
        <f>'Agg prdcrv'!N42</f>
        <v>113.56</v>
      </c>
      <c r="O42" s="222">
        <f>'Agg prdcrv'!O42</f>
        <v>113.3</v>
      </c>
      <c r="P42" s="222">
        <f>'Agg prdcrv'!P42</f>
        <v>113.5</v>
      </c>
    </row>
    <row r="43" spans="1:16">
      <c r="A43" s="201" t="s">
        <v>22</v>
      </c>
      <c r="B43" s="222">
        <v>2015</v>
      </c>
      <c r="C43" s="222">
        <v>1</v>
      </c>
      <c r="D43" s="250">
        <v>999999</v>
      </c>
      <c r="E43" s="250">
        <v>999999</v>
      </c>
      <c r="F43" s="250">
        <v>999999</v>
      </c>
      <c r="G43" s="222">
        <f>'Agg prdcrv'!G43</f>
        <v>0</v>
      </c>
      <c r="H43" s="222">
        <f>'Agg prdcrv'!H43</f>
        <v>21.3</v>
      </c>
      <c r="J43" s="222">
        <v>2015</v>
      </c>
      <c r="K43" s="222">
        <v>1</v>
      </c>
      <c r="L43" s="222">
        <f>'Agg prdcrv'!L43</f>
        <v>43.2</v>
      </c>
      <c r="M43" s="222">
        <f>'Agg prdcrv'!M43</f>
        <v>43.66</v>
      </c>
      <c r="N43" s="222">
        <f>'Agg prdcrv'!N43</f>
        <v>43.07</v>
      </c>
      <c r="O43" s="222">
        <f>'Agg prdcrv'!O43</f>
        <v>42.88</v>
      </c>
      <c r="P43" s="222">
        <f>'Agg prdcrv'!P43</f>
        <v>30.68</v>
      </c>
    </row>
    <row r="44" spans="1:16">
      <c r="A44" s="201" t="s">
        <v>15</v>
      </c>
      <c r="B44" s="222">
        <v>2015</v>
      </c>
      <c r="C44" s="222">
        <v>1</v>
      </c>
      <c r="D44" s="250">
        <v>999999</v>
      </c>
      <c r="E44" s="250">
        <v>999999</v>
      </c>
      <c r="F44" s="250">
        <v>999999</v>
      </c>
      <c r="G44" s="222">
        <f>'Agg prdcrv'!G44</f>
        <v>0.96</v>
      </c>
      <c r="H44" s="222">
        <f>'Agg prdcrv'!H44</f>
        <v>5.42</v>
      </c>
      <c r="J44" s="222">
        <v>2015</v>
      </c>
      <c r="K44" s="222">
        <v>1</v>
      </c>
      <c r="L44" s="222">
        <f>'Agg prdcrv'!L44</f>
        <v>37.53</v>
      </c>
      <c r="M44" s="222">
        <f>'Agg prdcrv'!M44</f>
        <v>36.57</v>
      </c>
      <c r="N44" s="222">
        <f>'Agg prdcrv'!N44</f>
        <v>37.409999999999997</v>
      </c>
      <c r="O44" s="222">
        <f>'Agg prdcrv'!O44</f>
        <v>35.19</v>
      </c>
      <c r="P44" s="222">
        <f>'Agg prdcrv'!P44</f>
        <v>37.53</v>
      </c>
    </row>
    <row r="45" spans="1:16">
      <c r="A45" s="201" t="s">
        <v>16</v>
      </c>
      <c r="B45" s="222">
        <v>2015</v>
      </c>
      <c r="C45" s="222">
        <v>1</v>
      </c>
      <c r="D45" s="250">
        <v>999999</v>
      </c>
      <c r="E45" s="250">
        <v>999999</v>
      </c>
      <c r="F45" s="250">
        <v>999999</v>
      </c>
      <c r="G45" s="222">
        <f>'Agg prdcrv'!G45</f>
        <v>0.5</v>
      </c>
      <c r="H45" s="222">
        <f>'Agg prdcrv'!H45</f>
        <v>1.02</v>
      </c>
      <c r="J45" s="222">
        <v>2015</v>
      </c>
      <c r="K45" s="222">
        <v>1</v>
      </c>
      <c r="L45" s="222">
        <f>'Agg prdcrv'!L45</f>
        <v>113.56</v>
      </c>
      <c r="M45" s="222">
        <f>'Agg prdcrv'!M45</f>
        <v>113.5</v>
      </c>
      <c r="N45" s="222">
        <f>'Agg prdcrv'!N45</f>
        <v>113.56</v>
      </c>
      <c r="O45" s="222">
        <f>'Agg prdcrv'!O45</f>
        <v>113.5</v>
      </c>
      <c r="P45" s="222">
        <f>'Agg prdcrv'!P45</f>
        <v>113.5</v>
      </c>
    </row>
    <row r="46" spans="1:16">
      <c r="A46" s="201" t="s">
        <v>37</v>
      </c>
      <c r="B46" s="222">
        <v>2015</v>
      </c>
      <c r="C46" s="222">
        <v>1</v>
      </c>
      <c r="D46" s="250">
        <v>999999</v>
      </c>
      <c r="E46" s="250">
        <v>999999</v>
      </c>
      <c r="F46" s="250">
        <v>999999</v>
      </c>
      <c r="G46" s="222">
        <f>'Agg prdcrv'!G46</f>
        <v>0</v>
      </c>
      <c r="H46" s="222">
        <f>'Agg prdcrv'!H46</f>
        <v>9.56</v>
      </c>
      <c r="J46" s="222">
        <v>2015</v>
      </c>
      <c r="K46" s="222">
        <v>1</v>
      </c>
      <c r="L46" s="222">
        <f>'Agg prdcrv'!L46</f>
        <v>29.19</v>
      </c>
      <c r="M46" s="222">
        <f>'Agg prdcrv'!M46</f>
        <v>29.19</v>
      </c>
      <c r="N46" s="222">
        <f>'Agg prdcrv'!N46</f>
        <v>29.66</v>
      </c>
      <c r="O46" s="222">
        <f>'Agg prdcrv'!O46</f>
        <v>28.46</v>
      </c>
      <c r="P46" s="222">
        <f>'Agg prdcrv'!P46</f>
        <v>29.74</v>
      </c>
    </row>
    <row r="47" spans="1:16">
      <c r="A47" s="201" t="s">
        <v>36</v>
      </c>
      <c r="B47" s="222">
        <v>2015</v>
      </c>
      <c r="C47" s="222">
        <v>1</v>
      </c>
      <c r="D47" s="250">
        <v>999999</v>
      </c>
      <c r="E47" s="250">
        <v>999999</v>
      </c>
      <c r="F47" s="250">
        <v>999999</v>
      </c>
      <c r="G47" s="222">
        <f>'Agg prdcrv'!G47</f>
        <v>0</v>
      </c>
      <c r="H47" s="222">
        <f>'Agg prdcrv'!H47</f>
        <v>26.76</v>
      </c>
      <c r="J47" s="222">
        <v>2015</v>
      </c>
      <c r="K47" s="222">
        <v>1</v>
      </c>
      <c r="L47" s="222">
        <f>'Agg prdcrv'!L47</f>
        <v>28.79</v>
      </c>
      <c r="M47" s="222">
        <f>'Agg prdcrv'!M47</f>
        <v>28.79</v>
      </c>
      <c r="N47" s="222">
        <f>'Agg prdcrv'!N47</f>
        <v>29.26</v>
      </c>
      <c r="O47" s="222">
        <f>'Agg prdcrv'!O47</f>
        <v>28.39</v>
      </c>
      <c r="P47" s="222">
        <f>'Agg prdcrv'!P47</f>
        <v>29.74</v>
      </c>
    </row>
    <row r="48" spans="1:16">
      <c r="A48" s="201" t="s">
        <v>453</v>
      </c>
      <c r="B48" s="222">
        <v>2015</v>
      </c>
      <c r="C48" s="222">
        <v>1</v>
      </c>
      <c r="D48" s="250">
        <v>999999</v>
      </c>
      <c r="E48" s="250">
        <v>999999</v>
      </c>
      <c r="F48" s="250">
        <v>999999</v>
      </c>
      <c r="G48" s="222">
        <f>'Agg prdcrv'!G48</f>
        <v>0</v>
      </c>
      <c r="H48" s="222">
        <f>'Agg prdcrv'!H48</f>
        <v>50.1</v>
      </c>
      <c r="J48" s="222">
        <v>2015</v>
      </c>
      <c r="K48" s="222">
        <v>1</v>
      </c>
      <c r="L48" s="222">
        <f>'Agg prdcrv'!L48</f>
        <v>35.21</v>
      </c>
      <c r="M48" s="222">
        <f>'Agg prdcrv'!M48</f>
        <v>34.32</v>
      </c>
      <c r="N48" s="222">
        <f>'Agg prdcrv'!N48</f>
        <v>34.159999999999997</v>
      </c>
      <c r="O48" s="222">
        <f>'Agg prdcrv'!O48</f>
        <v>37.049999999999997</v>
      </c>
      <c r="P48" s="222">
        <f>'Agg prdcrv'!P48</f>
        <v>36.26</v>
      </c>
    </row>
    <row r="49" spans="1:16">
      <c r="A49" s="201" t="s">
        <v>456</v>
      </c>
      <c r="B49" s="222">
        <v>2015</v>
      </c>
      <c r="C49" s="222">
        <v>1</v>
      </c>
      <c r="D49" s="250">
        <v>999999</v>
      </c>
      <c r="E49" s="250">
        <v>999999</v>
      </c>
      <c r="F49" s="250">
        <v>999999</v>
      </c>
      <c r="G49" s="222">
        <f>'Agg prdcrv'!G49</f>
        <v>10.130000000000001</v>
      </c>
      <c r="H49" s="222">
        <f>'Agg prdcrv'!H49</f>
        <v>1.91</v>
      </c>
      <c r="J49" s="222">
        <v>2015</v>
      </c>
      <c r="K49" s="222">
        <v>1</v>
      </c>
      <c r="L49" s="222">
        <f>'Agg prdcrv'!L49</f>
        <v>28.5</v>
      </c>
      <c r="M49" s="222">
        <f>'Agg prdcrv'!M49</f>
        <v>28.5</v>
      </c>
      <c r="N49" s="222">
        <f>'Agg prdcrv'!N49</f>
        <v>28.5</v>
      </c>
      <c r="O49" s="222">
        <f>'Agg prdcrv'!O49</f>
        <v>28.5</v>
      </c>
      <c r="P49" s="222">
        <f>'Agg prdcrv'!P49</f>
        <v>28.5</v>
      </c>
    </row>
    <row r="50" spans="1:16">
      <c r="A50" s="201" t="s">
        <v>35</v>
      </c>
      <c r="B50" s="222">
        <v>2015</v>
      </c>
      <c r="C50" s="222">
        <v>1</v>
      </c>
      <c r="D50" s="250">
        <v>999999</v>
      </c>
      <c r="E50" s="250">
        <v>999999</v>
      </c>
      <c r="F50" s="250">
        <v>999999</v>
      </c>
      <c r="G50" s="222">
        <f>'Agg prdcrv'!G50</f>
        <v>0</v>
      </c>
      <c r="H50" s="222">
        <f>'Agg prdcrv'!H50</f>
        <v>3.19</v>
      </c>
      <c r="J50" s="222">
        <v>2015</v>
      </c>
      <c r="K50" s="222">
        <v>1</v>
      </c>
      <c r="L50" s="222">
        <f>'Agg prdcrv'!L50</f>
        <v>21.68</v>
      </c>
      <c r="M50" s="222">
        <f>'Agg prdcrv'!M50</f>
        <v>21.68</v>
      </c>
      <c r="N50" s="222">
        <f>'Agg prdcrv'!N50</f>
        <v>21.68</v>
      </c>
      <c r="O50" s="222">
        <f>'Agg prdcrv'!O50</f>
        <v>21.68</v>
      </c>
      <c r="P50" s="222">
        <f>'Agg prdcrv'!P50</f>
        <v>21.68</v>
      </c>
    </row>
    <row r="51" spans="1:16">
      <c r="A51" s="201" t="s">
        <v>31</v>
      </c>
      <c r="B51" s="222">
        <v>2015</v>
      </c>
      <c r="C51" s="222">
        <v>1</v>
      </c>
      <c r="D51" s="250">
        <v>999999</v>
      </c>
      <c r="E51" s="250">
        <v>999999</v>
      </c>
      <c r="F51" s="250">
        <v>999999</v>
      </c>
      <c r="G51" s="222">
        <f>'Agg prdcrv'!G51</f>
        <v>0.94</v>
      </c>
      <c r="H51" s="222">
        <f>'Agg prdcrv'!H51</f>
        <v>29.5</v>
      </c>
      <c r="J51" s="222">
        <v>2015</v>
      </c>
      <c r="K51" s="222">
        <v>1</v>
      </c>
      <c r="L51" s="222">
        <f>'Agg prdcrv'!L51</f>
        <v>32.450000000000003</v>
      </c>
      <c r="M51" s="222">
        <f>'Agg prdcrv'!M51</f>
        <v>32.450000000000003</v>
      </c>
      <c r="N51" s="222">
        <f>'Agg prdcrv'!N51</f>
        <v>33.04</v>
      </c>
      <c r="O51" s="222">
        <f>'Agg prdcrv'!O51</f>
        <v>32.549999999999997</v>
      </c>
      <c r="P51" s="222">
        <f>'Agg prdcrv'!P51</f>
        <v>32.549999999999997</v>
      </c>
    </row>
    <row r="52" spans="1:16">
      <c r="A52" s="201" t="s">
        <v>458</v>
      </c>
      <c r="B52" s="222">
        <v>2015</v>
      </c>
      <c r="C52" s="222">
        <v>1</v>
      </c>
      <c r="D52" s="250">
        <v>999999</v>
      </c>
      <c r="E52" s="250">
        <v>999999</v>
      </c>
      <c r="F52" s="250">
        <v>999999</v>
      </c>
      <c r="G52" s="222">
        <f>'Agg prdcrv'!G52</f>
        <v>0</v>
      </c>
      <c r="H52" s="222">
        <f>'Agg prdcrv'!H52</f>
        <v>0.9</v>
      </c>
      <c r="J52" s="222">
        <v>2015</v>
      </c>
      <c r="K52" s="222">
        <v>1</v>
      </c>
      <c r="L52" s="222">
        <f>'Agg prdcrv'!L52</f>
        <v>47.76</v>
      </c>
      <c r="M52" s="222">
        <f>'Agg prdcrv'!M52</f>
        <v>46.94</v>
      </c>
      <c r="N52" s="222">
        <f>'Agg prdcrv'!N52</f>
        <v>46.48</v>
      </c>
      <c r="O52" s="222">
        <f>'Agg prdcrv'!O52</f>
        <v>48.44</v>
      </c>
      <c r="P52" s="222">
        <f>'Agg prdcrv'!P52</f>
        <v>46.06</v>
      </c>
    </row>
    <row r="53" spans="1:16">
      <c r="A53" s="201" t="s">
        <v>148</v>
      </c>
      <c r="B53" s="222">
        <v>2015</v>
      </c>
      <c r="C53" s="222">
        <v>1</v>
      </c>
      <c r="D53" s="250">
        <v>999999</v>
      </c>
      <c r="E53" s="250">
        <v>999999</v>
      </c>
      <c r="F53" s="250">
        <v>999999</v>
      </c>
      <c r="G53" s="222">
        <f>'Agg prdcrv'!G53</f>
        <v>0.97</v>
      </c>
      <c r="H53" s="222">
        <f>'Agg prdcrv'!H53</f>
        <v>25.86</v>
      </c>
      <c r="J53" s="222">
        <v>2015</v>
      </c>
      <c r="K53" s="222">
        <v>1</v>
      </c>
      <c r="L53" s="222">
        <f>'Agg prdcrv'!L53</f>
        <v>59.99</v>
      </c>
      <c r="M53" s="222">
        <f>'Agg prdcrv'!M53</f>
        <v>57.94</v>
      </c>
      <c r="N53" s="222">
        <f>'Agg prdcrv'!N53</f>
        <v>57.53</v>
      </c>
      <c r="O53" s="222">
        <f>'Agg prdcrv'!O53</f>
        <v>60.17</v>
      </c>
      <c r="P53" s="222">
        <f>'Agg prdcrv'!P53</f>
        <v>57.56</v>
      </c>
    </row>
    <row r="54" spans="1:16">
      <c r="A54" s="201" t="s">
        <v>149</v>
      </c>
      <c r="B54" s="222">
        <v>2015</v>
      </c>
      <c r="C54" s="222">
        <v>1</v>
      </c>
      <c r="D54" s="250">
        <v>999999</v>
      </c>
      <c r="E54" s="250">
        <v>999999</v>
      </c>
      <c r="F54" s="250">
        <v>999999</v>
      </c>
      <c r="G54" s="222">
        <f>'Agg prdcrv'!G54</f>
        <v>1.0900000000000001</v>
      </c>
      <c r="H54" s="222">
        <f>'Agg prdcrv'!H54</f>
        <v>52.67</v>
      </c>
      <c r="J54" s="222">
        <v>2015</v>
      </c>
      <c r="K54" s="222">
        <v>1</v>
      </c>
      <c r="L54" s="222">
        <f>'Agg prdcrv'!L54</f>
        <v>31.91</v>
      </c>
      <c r="M54" s="222">
        <f>'Agg prdcrv'!M54</f>
        <v>30.8</v>
      </c>
      <c r="N54" s="222">
        <f>'Agg prdcrv'!N54</f>
        <v>31.21</v>
      </c>
      <c r="O54" s="222">
        <f>'Agg prdcrv'!O54</f>
        <v>30.4</v>
      </c>
      <c r="P54" s="222">
        <f>'Agg prdcrv'!P54</f>
        <v>31.55</v>
      </c>
    </row>
    <row r="55" spans="1:16">
      <c r="A55" s="201" t="s">
        <v>19</v>
      </c>
      <c r="B55" s="222">
        <v>2015</v>
      </c>
      <c r="C55" s="222">
        <v>1</v>
      </c>
      <c r="D55" s="250">
        <v>999999</v>
      </c>
      <c r="E55" s="250">
        <v>999999</v>
      </c>
      <c r="F55" s="250">
        <v>999999</v>
      </c>
      <c r="G55" s="222">
        <f>'Agg prdcrv'!G55</f>
        <v>0</v>
      </c>
      <c r="H55" s="222">
        <f>'Agg prdcrv'!H55</f>
        <v>17.190000000000001</v>
      </c>
      <c r="J55" s="222">
        <v>2015</v>
      </c>
      <c r="K55" s="222">
        <v>1</v>
      </c>
      <c r="L55" s="222">
        <f>'Agg prdcrv'!L55</f>
        <v>41.43</v>
      </c>
      <c r="M55" s="222">
        <f>'Agg prdcrv'!M55</f>
        <v>41.34</v>
      </c>
      <c r="N55" s="222">
        <f>'Agg prdcrv'!N55</f>
        <v>40.380000000000003</v>
      </c>
      <c r="O55" s="222">
        <f>'Agg prdcrv'!O55</f>
        <v>43.49</v>
      </c>
      <c r="P55" s="222">
        <f>'Agg prdcrv'!P55</f>
        <v>42.21</v>
      </c>
    </row>
    <row r="56" spans="1:16">
      <c r="A56" s="201" t="s">
        <v>150</v>
      </c>
      <c r="B56" s="222">
        <v>2015</v>
      </c>
      <c r="C56" s="222">
        <v>1</v>
      </c>
      <c r="D56" s="250">
        <v>999999</v>
      </c>
      <c r="E56" s="250">
        <v>999999</v>
      </c>
      <c r="F56" s="250">
        <v>999999</v>
      </c>
      <c r="G56" s="222">
        <f>'Agg prdcrv'!G56</f>
        <v>0</v>
      </c>
      <c r="H56" s="222">
        <f>'Agg prdcrv'!H56</f>
        <v>26.06</v>
      </c>
      <c r="J56" s="222">
        <v>2015</v>
      </c>
      <c r="K56" s="222">
        <v>1</v>
      </c>
      <c r="L56" s="222">
        <f>'Agg prdcrv'!L56</f>
        <v>18.829999999999998</v>
      </c>
      <c r="M56" s="222">
        <f>'Agg prdcrv'!M56</f>
        <v>18.79</v>
      </c>
      <c r="N56" s="222">
        <f>'Agg prdcrv'!N56</f>
        <v>18.350000000000001</v>
      </c>
      <c r="O56" s="222">
        <f>'Agg prdcrv'!O56</f>
        <v>19.77</v>
      </c>
      <c r="P56" s="222">
        <f>'Agg prdcrv'!P56</f>
        <v>19.190000000000001</v>
      </c>
    </row>
    <row r="57" spans="1:16">
      <c r="A57" s="201" t="s">
        <v>151</v>
      </c>
      <c r="B57" s="222">
        <v>2015</v>
      </c>
      <c r="C57" s="222">
        <v>1</v>
      </c>
      <c r="D57" s="250">
        <v>999999</v>
      </c>
      <c r="E57" s="250">
        <v>999999</v>
      </c>
      <c r="F57" s="250">
        <v>999999</v>
      </c>
      <c r="G57" s="222">
        <f>'Agg prdcrv'!G57</f>
        <v>0.84</v>
      </c>
      <c r="H57" s="222">
        <f>'Agg prdcrv'!H57</f>
        <v>14.19</v>
      </c>
      <c r="J57" s="222">
        <v>2015</v>
      </c>
      <c r="K57" s="222">
        <v>1</v>
      </c>
      <c r="L57" s="222">
        <f>'Agg prdcrv'!L57</f>
        <v>23.01</v>
      </c>
      <c r="M57" s="222">
        <f>'Agg prdcrv'!M57</f>
        <v>22.97</v>
      </c>
      <c r="N57" s="222">
        <f>'Agg prdcrv'!N57</f>
        <v>22.43</v>
      </c>
      <c r="O57" s="222">
        <f>'Agg prdcrv'!O57</f>
        <v>24.16</v>
      </c>
      <c r="P57" s="222">
        <f>'Agg prdcrv'!P57</f>
        <v>23.45</v>
      </c>
    </row>
    <row r="58" spans="1:16">
      <c r="A58" s="201" t="s">
        <v>152</v>
      </c>
      <c r="B58" s="222">
        <v>2015</v>
      </c>
      <c r="C58" s="222">
        <v>1</v>
      </c>
      <c r="D58" s="250">
        <v>999999</v>
      </c>
      <c r="E58" s="250">
        <v>999999</v>
      </c>
      <c r="F58" s="250">
        <v>999999</v>
      </c>
      <c r="G58" s="222">
        <f>'Agg prdcrv'!G58</f>
        <v>0</v>
      </c>
      <c r="H58" s="222">
        <f>'Agg prdcrv'!H58</f>
        <v>51.02</v>
      </c>
      <c r="J58" s="222">
        <v>2015</v>
      </c>
      <c r="K58" s="222">
        <v>1</v>
      </c>
      <c r="L58" s="222">
        <f>'Agg prdcrv'!L58</f>
        <v>17.260000000000002</v>
      </c>
      <c r="M58" s="222">
        <f>'Agg prdcrv'!M58</f>
        <v>17.23</v>
      </c>
      <c r="N58" s="222">
        <f>'Agg prdcrv'!N58</f>
        <v>16.82</v>
      </c>
      <c r="O58" s="222">
        <f>'Agg prdcrv'!O58</f>
        <v>18.12</v>
      </c>
      <c r="P58" s="222">
        <f>'Agg prdcrv'!P58</f>
        <v>17.59</v>
      </c>
    </row>
    <row r="59" spans="1:16">
      <c r="A59" s="201" t="s">
        <v>588</v>
      </c>
      <c r="D59" s="250">
        <v>999999</v>
      </c>
      <c r="E59" s="250">
        <v>999999</v>
      </c>
      <c r="F59" s="250">
        <v>999999</v>
      </c>
    </row>
    <row r="60" spans="1:16">
      <c r="A60" s="201" t="s">
        <v>25</v>
      </c>
      <c r="B60" s="222">
        <v>2020</v>
      </c>
      <c r="C60" s="222">
        <v>1</v>
      </c>
      <c r="D60" s="250">
        <v>999999</v>
      </c>
      <c r="E60" s="250">
        <v>999999</v>
      </c>
      <c r="F60" s="250">
        <v>999999</v>
      </c>
      <c r="G60" s="222">
        <f>'Agg prdcrv'!G60</f>
        <v>0</v>
      </c>
      <c r="H60" s="222">
        <f>'Agg prdcrv'!H60</f>
        <v>0</v>
      </c>
      <c r="J60" s="222">
        <v>2020</v>
      </c>
      <c r="K60" s="222">
        <v>1</v>
      </c>
      <c r="L60" s="222">
        <f>'Agg prdcrv'!L60</f>
        <v>113.56</v>
      </c>
      <c r="M60" s="222">
        <f>'Agg prdcrv'!M60</f>
        <v>113.5</v>
      </c>
      <c r="N60" s="222">
        <f>'Agg prdcrv'!N60</f>
        <v>113.56</v>
      </c>
      <c r="O60" s="222">
        <f>'Agg prdcrv'!O60</f>
        <v>113.3</v>
      </c>
      <c r="P60" s="222">
        <f>'Agg prdcrv'!P60</f>
        <v>113.5</v>
      </c>
    </row>
    <row r="61" spans="1:16">
      <c r="A61" s="201" t="s">
        <v>22</v>
      </c>
      <c r="B61" s="222">
        <v>2020</v>
      </c>
      <c r="C61" s="222">
        <v>1</v>
      </c>
      <c r="D61" s="250">
        <v>999999</v>
      </c>
      <c r="E61" s="250">
        <v>999999</v>
      </c>
      <c r="F61" s="250">
        <v>999999</v>
      </c>
      <c r="G61" s="222">
        <f>'Agg prdcrv'!G61</f>
        <v>0</v>
      </c>
      <c r="H61" s="222">
        <f>'Agg prdcrv'!H61</f>
        <v>22.94</v>
      </c>
      <c r="J61" s="222">
        <v>2020</v>
      </c>
      <c r="K61" s="222">
        <v>1</v>
      </c>
      <c r="L61" s="222">
        <f>'Agg prdcrv'!L61</f>
        <v>46.77</v>
      </c>
      <c r="M61" s="222">
        <f>'Agg prdcrv'!M61</f>
        <v>47.23</v>
      </c>
      <c r="N61" s="222">
        <f>'Agg prdcrv'!N61</f>
        <v>46.65</v>
      </c>
      <c r="O61" s="222">
        <f>'Agg prdcrv'!O61</f>
        <v>46.46</v>
      </c>
      <c r="P61" s="222">
        <f>'Agg prdcrv'!P61</f>
        <v>30.65</v>
      </c>
    </row>
    <row r="62" spans="1:16">
      <c r="A62" s="201" t="s">
        <v>15</v>
      </c>
      <c r="B62" s="222">
        <v>2020</v>
      </c>
      <c r="C62" s="222">
        <v>1</v>
      </c>
      <c r="D62" s="250">
        <v>999999</v>
      </c>
      <c r="E62" s="250">
        <v>999999</v>
      </c>
      <c r="F62" s="250">
        <v>999999</v>
      </c>
      <c r="G62" s="222">
        <f>'Agg prdcrv'!G62</f>
        <v>1.06</v>
      </c>
      <c r="H62" s="222">
        <f>'Agg prdcrv'!H62</f>
        <v>5.98</v>
      </c>
      <c r="J62" s="222">
        <v>2020</v>
      </c>
      <c r="K62" s="222">
        <v>1</v>
      </c>
      <c r="L62" s="222">
        <f>'Agg prdcrv'!L62</f>
        <v>40.57</v>
      </c>
      <c r="M62" s="222">
        <f>'Agg prdcrv'!M62</f>
        <v>39.6</v>
      </c>
      <c r="N62" s="222">
        <f>'Agg prdcrv'!N62</f>
        <v>41.05</v>
      </c>
      <c r="O62" s="222">
        <f>'Agg prdcrv'!O62</f>
        <v>37.42</v>
      </c>
      <c r="P62" s="222">
        <f>'Agg prdcrv'!P62</f>
        <v>40.35</v>
      </c>
    </row>
    <row r="63" spans="1:16">
      <c r="A63" s="201" t="s">
        <v>16</v>
      </c>
      <c r="B63" s="222">
        <v>2020</v>
      </c>
      <c r="C63" s="222">
        <v>1</v>
      </c>
      <c r="D63" s="250">
        <v>999999</v>
      </c>
      <c r="E63" s="250">
        <v>999999</v>
      </c>
      <c r="F63" s="250">
        <v>999999</v>
      </c>
      <c r="G63" s="222">
        <f>'Agg prdcrv'!G63</f>
        <v>0.12</v>
      </c>
      <c r="H63" s="222">
        <f>'Agg prdcrv'!H63</f>
        <v>0.24</v>
      </c>
      <c r="J63" s="222">
        <v>2020</v>
      </c>
      <c r="K63" s="222">
        <v>1</v>
      </c>
      <c r="L63" s="222">
        <f>'Agg prdcrv'!L63</f>
        <v>113.56</v>
      </c>
      <c r="M63" s="222">
        <f>'Agg prdcrv'!M63</f>
        <v>113.5</v>
      </c>
      <c r="N63" s="222">
        <f>'Agg prdcrv'!N63</f>
        <v>113.56</v>
      </c>
      <c r="O63" s="222">
        <f>'Agg prdcrv'!O63</f>
        <v>113.5</v>
      </c>
      <c r="P63" s="222">
        <f>'Agg prdcrv'!P63</f>
        <v>113.5</v>
      </c>
    </row>
    <row r="64" spans="1:16">
      <c r="A64" s="201" t="s">
        <v>37</v>
      </c>
      <c r="B64" s="222">
        <v>2020</v>
      </c>
      <c r="C64" s="222">
        <v>1</v>
      </c>
      <c r="D64" s="250">
        <v>999999</v>
      </c>
      <c r="E64" s="250">
        <v>999999</v>
      </c>
      <c r="F64" s="250">
        <v>999999</v>
      </c>
      <c r="G64" s="222">
        <f>'Agg prdcrv'!G64</f>
        <v>0</v>
      </c>
      <c r="H64" s="222">
        <f>'Agg prdcrv'!H64</f>
        <v>10.56</v>
      </c>
      <c r="J64" s="222">
        <v>2020</v>
      </c>
      <c r="K64" s="222">
        <v>1</v>
      </c>
      <c r="L64" s="222">
        <f>'Agg prdcrv'!L64</f>
        <v>32.119999999999997</v>
      </c>
      <c r="M64" s="222">
        <f>'Agg prdcrv'!M64</f>
        <v>32.119999999999997</v>
      </c>
      <c r="N64" s="222">
        <f>'Agg prdcrv'!N64</f>
        <v>32.6</v>
      </c>
      <c r="O64" s="222">
        <f>'Agg prdcrv'!O64</f>
        <v>31.37</v>
      </c>
      <c r="P64" s="222">
        <f>'Agg prdcrv'!P64</f>
        <v>30.83</v>
      </c>
    </row>
    <row r="65" spans="1:16">
      <c r="A65" s="201" t="s">
        <v>36</v>
      </c>
      <c r="B65" s="222">
        <v>2020</v>
      </c>
      <c r="C65" s="222">
        <v>1</v>
      </c>
      <c r="D65" s="250">
        <v>999999</v>
      </c>
      <c r="E65" s="250">
        <v>999999</v>
      </c>
      <c r="F65" s="250">
        <v>999999</v>
      </c>
      <c r="G65" s="222">
        <f>'Agg prdcrv'!G65</f>
        <v>0</v>
      </c>
      <c r="H65" s="222">
        <f>'Agg prdcrv'!H65</f>
        <v>25.45</v>
      </c>
      <c r="J65" s="222">
        <v>2020</v>
      </c>
      <c r="K65" s="222">
        <v>1</v>
      </c>
      <c r="L65" s="222">
        <f>'Agg prdcrv'!L65</f>
        <v>31.8</v>
      </c>
      <c r="M65" s="222">
        <f>'Agg prdcrv'!M65</f>
        <v>31.8</v>
      </c>
      <c r="N65" s="222">
        <f>'Agg prdcrv'!N65</f>
        <v>32.28</v>
      </c>
      <c r="O65" s="222">
        <f>'Agg prdcrv'!O65</f>
        <v>31.39</v>
      </c>
      <c r="P65" s="222">
        <f>'Agg prdcrv'!P65</f>
        <v>30.96</v>
      </c>
    </row>
    <row r="66" spans="1:16">
      <c r="A66" s="201" t="s">
        <v>453</v>
      </c>
      <c r="B66" s="222">
        <v>2020</v>
      </c>
      <c r="C66" s="222">
        <v>1</v>
      </c>
      <c r="D66" s="250">
        <v>999999</v>
      </c>
      <c r="E66" s="250">
        <v>999999</v>
      </c>
      <c r="F66" s="250">
        <v>999999</v>
      </c>
      <c r="G66" s="222">
        <f>'Agg prdcrv'!G66</f>
        <v>0</v>
      </c>
      <c r="H66" s="222">
        <f>'Agg prdcrv'!H66</f>
        <v>55.32</v>
      </c>
      <c r="J66" s="222">
        <v>2020</v>
      </c>
      <c r="K66" s="222">
        <v>1</v>
      </c>
      <c r="L66" s="222">
        <f>'Agg prdcrv'!L66</f>
        <v>38.340000000000003</v>
      </c>
      <c r="M66" s="222">
        <f>'Agg prdcrv'!M66</f>
        <v>37.68</v>
      </c>
      <c r="N66" s="222">
        <f>'Agg prdcrv'!N66</f>
        <v>37.28</v>
      </c>
      <c r="O66" s="222">
        <f>'Agg prdcrv'!O66</f>
        <v>38.42</v>
      </c>
      <c r="P66" s="222">
        <f>'Agg prdcrv'!P66</f>
        <v>38.729999999999997</v>
      </c>
    </row>
    <row r="67" spans="1:16">
      <c r="A67" s="201" t="s">
        <v>456</v>
      </c>
      <c r="B67" s="222">
        <v>2020</v>
      </c>
      <c r="C67" s="222">
        <v>1</v>
      </c>
      <c r="D67" s="250">
        <v>999999</v>
      </c>
      <c r="E67" s="250">
        <v>999999</v>
      </c>
      <c r="F67" s="250">
        <v>999999</v>
      </c>
      <c r="G67" s="222">
        <f>'Agg prdcrv'!G67</f>
        <v>11.19</v>
      </c>
      <c r="H67" s="222">
        <f>'Agg prdcrv'!H67</f>
        <v>2.11</v>
      </c>
      <c r="J67" s="222">
        <v>2020</v>
      </c>
      <c r="K67" s="222">
        <v>1</v>
      </c>
      <c r="L67" s="222">
        <f>'Agg prdcrv'!L67</f>
        <v>28.5</v>
      </c>
      <c r="M67" s="222">
        <f>'Agg prdcrv'!M67</f>
        <v>28.5</v>
      </c>
      <c r="N67" s="222">
        <f>'Agg prdcrv'!N67</f>
        <v>28.5</v>
      </c>
      <c r="O67" s="222">
        <f>'Agg prdcrv'!O67</f>
        <v>28.5</v>
      </c>
      <c r="P67" s="222">
        <f>'Agg prdcrv'!P67</f>
        <v>28.5</v>
      </c>
    </row>
    <row r="68" spans="1:16">
      <c r="A68" s="201" t="s">
        <v>35</v>
      </c>
      <c r="B68" s="222">
        <v>2020</v>
      </c>
      <c r="C68" s="222">
        <v>1</v>
      </c>
      <c r="D68" s="250">
        <v>999999</v>
      </c>
      <c r="E68" s="250">
        <v>999999</v>
      </c>
      <c r="F68" s="250">
        <v>999999</v>
      </c>
      <c r="G68" s="222">
        <f>'Agg prdcrv'!G68</f>
        <v>0</v>
      </c>
      <c r="H68" s="222">
        <f>'Agg prdcrv'!H68</f>
        <v>3.52</v>
      </c>
      <c r="J68" s="222">
        <v>2020</v>
      </c>
      <c r="K68" s="222">
        <v>1</v>
      </c>
      <c r="L68" s="222">
        <f>'Agg prdcrv'!L68</f>
        <v>22.5</v>
      </c>
      <c r="M68" s="222">
        <f>'Agg prdcrv'!M68</f>
        <v>24.85</v>
      </c>
      <c r="N68" s="222">
        <f>'Agg prdcrv'!N68</f>
        <v>24.91</v>
      </c>
      <c r="O68" s="222">
        <f>'Agg prdcrv'!O68</f>
        <v>24.09</v>
      </c>
      <c r="P68" s="222">
        <f>'Agg prdcrv'!P68</f>
        <v>11.24</v>
      </c>
    </row>
    <row r="69" spans="1:16">
      <c r="A69" s="201" t="s">
        <v>31</v>
      </c>
      <c r="B69" s="222">
        <v>2020</v>
      </c>
      <c r="C69" s="222">
        <v>1</v>
      </c>
      <c r="D69" s="250">
        <v>999999</v>
      </c>
      <c r="E69" s="250">
        <v>999999</v>
      </c>
      <c r="F69" s="250">
        <v>999999</v>
      </c>
      <c r="G69" s="222">
        <f>'Agg prdcrv'!G69</f>
        <v>1.01</v>
      </c>
      <c r="H69" s="222">
        <f>'Agg prdcrv'!H69</f>
        <v>31.94</v>
      </c>
      <c r="J69" s="222">
        <v>2020</v>
      </c>
      <c r="K69" s="222">
        <v>1</v>
      </c>
      <c r="L69" s="222">
        <f>'Agg prdcrv'!L69</f>
        <v>41.16</v>
      </c>
      <c r="M69" s="222">
        <f>'Agg prdcrv'!M69</f>
        <v>41.16</v>
      </c>
      <c r="N69" s="222">
        <f>'Agg prdcrv'!N69</f>
        <v>41.76</v>
      </c>
      <c r="O69" s="222">
        <f>'Agg prdcrv'!O69</f>
        <v>41.27</v>
      </c>
      <c r="P69" s="222">
        <f>'Agg prdcrv'!P69</f>
        <v>41.27</v>
      </c>
    </row>
    <row r="70" spans="1:16">
      <c r="A70" s="201" t="s">
        <v>458</v>
      </c>
      <c r="B70" s="222">
        <v>2020</v>
      </c>
      <c r="C70" s="222">
        <v>1</v>
      </c>
      <c r="D70" s="250">
        <v>999999</v>
      </c>
      <c r="E70" s="250">
        <v>999999</v>
      </c>
      <c r="F70" s="250">
        <v>999999</v>
      </c>
      <c r="G70" s="222">
        <f>'Agg prdcrv'!G70</f>
        <v>0</v>
      </c>
      <c r="H70" s="222">
        <f>'Agg prdcrv'!H70</f>
        <v>1.04</v>
      </c>
      <c r="J70" s="222">
        <v>2020</v>
      </c>
      <c r="K70" s="222">
        <v>1</v>
      </c>
      <c r="L70" s="222">
        <f>'Agg prdcrv'!L70</f>
        <v>47.76</v>
      </c>
      <c r="M70" s="222">
        <f>'Agg prdcrv'!M70</f>
        <v>46.94</v>
      </c>
      <c r="N70" s="222">
        <f>'Agg prdcrv'!N70</f>
        <v>46.48</v>
      </c>
      <c r="O70" s="222">
        <f>'Agg prdcrv'!O70</f>
        <v>48.44</v>
      </c>
      <c r="P70" s="222">
        <f>'Agg prdcrv'!P70</f>
        <v>46.06</v>
      </c>
    </row>
    <row r="71" spans="1:16">
      <c r="A71" s="201" t="s">
        <v>148</v>
      </c>
      <c r="B71" s="222">
        <v>2020</v>
      </c>
      <c r="C71" s="222">
        <v>1</v>
      </c>
      <c r="D71" s="250">
        <v>999999</v>
      </c>
      <c r="E71" s="250">
        <v>999999</v>
      </c>
      <c r="F71" s="250">
        <v>999999</v>
      </c>
      <c r="G71" s="222">
        <f>'Agg prdcrv'!G71</f>
        <v>1.07</v>
      </c>
      <c r="H71" s="222">
        <f>'Agg prdcrv'!H71</f>
        <v>28.55</v>
      </c>
      <c r="J71" s="222">
        <v>2020</v>
      </c>
      <c r="K71" s="222">
        <v>1</v>
      </c>
      <c r="L71" s="222">
        <f>'Agg prdcrv'!L71</f>
        <v>59.99</v>
      </c>
      <c r="M71" s="222">
        <f>'Agg prdcrv'!M71</f>
        <v>57.94</v>
      </c>
      <c r="N71" s="222">
        <f>'Agg prdcrv'!N71</f>
        <v>57.53</v>
      </c>
      <c r="O71" s="222">
        <f>'Agg prdcrv'!O71</f>
        <v>60.17</v>
      </c>
      <c r="P71" s="222">
        <f>'Agg prdcrv'!P71</f>
        <v>57.56</v>
      </c>
    </row>
    <row r="72" spans="1:16">
      <c r="A72" s="201" t="s">
        <v>149</v>
      </c>
      <c r="B72" s="222">
        <v>2020</v>
      </c>
      <c r="C72" s="222">
        <v>1</v>
      </c>
      <c r="D72" s="250">
        <v>999999</v>
      </c>
      <c r="E72" s="250">
        <v>999999</v>
      </c>
      <c r="F72" s="250">
        <v>999999</v>
      </c>
      <c r="G72" s="222">
        <f>'Agg prdcrv'!G72</f>
        <v>1.29</v>
      </c>
      <c r="H72" s="222">
        <f>'Agg prdcrv'!H72</f>
        <v>62.56</v>
      </c>
      <c r="J72" s="222">
        <v>2020</v>
      </c>
      <c r="K72" s="222">
        <v>1</v>
      </c>
      <c r="L72" s="222">
        <f>'Agg prdcrv'!L72</f>
        <v>31.91</v>
      </c>
      <c r="M72" s="222">
        <f>'Agg prdcrv'!M72</f>
        <v>30.8</v>
      </c>
      <c r="N72" s="222">
        <f>'Agg prdcrv'!N72</f>
        <v>31.21</v>
      </c>
      <c r="O72" s="222">
        <f>'Agg prdcrv'!O72</f>
        <v>30.4</v>
      </c>
      <c r="P72" s="222">
        <f>'Agg prdcrv'!P72</f>
        <v>31.55</v>
      </c>
    </row>
    <row r="73" spans="1:16">
      <c r="A73" s="201" t="s">
        <v>19</v>
      </c>
      <c r="B73" s="222">
        <v>2020</v>
      </c>
      <c r="C73" s="222">
        <v>1</v>
      </c>
      <c r="D73" s="250">
        <v>999999</v>
      </c>
      <c r="E73" s="250">
        <v>999999</v>
      </c>
      <c r="F73" s="250">
        <v>999999</v>
      </c>
      <c r="G73" s="222">
        <f>'Agg prdcrv'!G73</f>
        <v>0</v>
      </c>
      <c r="H73" s="222">
        <f>'Agg prdcrv'!H73</f>
        <v>20.420000000000002</v>
      </c>
      <c r="J73" s="222">
        <v>2020</v>
      </c>
      <c r="K73" s="222">
        <v>1</v>
      </c>
      <c r="L73" s="222">
        <f>'Agg prdcrv'!L73</f>
        <v>44.81</v>
      </c>
      <c r="M73" s="222">
        <f>'Agg prdcrv'!M73</f>
        <v>44.71</v>
      </c>
      <c r="N73" s="222">
        <f>'Agg prdcrv'!N73</f>
        <v>43.75</v>
      </c>
      <c r="O73" s="222">
        <f>'Agg prdcrv'!O73</f>
        <v>44.76</v>
      </c>
      <c r="P73" s="222">
        <f>'Agg prdcrv'!P73</f>
        <v>44.43</v>
      </c>
    </row>
    <row r="74" spans="1:16">
      <c r="A74" s="201" t="s">
        <v>150</v>
      </c>
      <c r="B74" s="222">
        <v>2020</v>
      </c>
      <c r="C74" s="222">
        <v>1</v>
      </c>
      <c r="D74" s="250">
        <v>999999</v>
      </c>
      <c r="E74" s="250">
        <v>999999</v>
      </c>
      <c r="F74" s="250">
        <v>999999</v>
      </c>
      <c r="G74" s="222">
        <f>'Agg prdcrv'!G74</f>
        <v>0</v>
      </c>
      <c r="H74" s="222">
        <f>'Agg prdcrv'!H74</f>
        <v>28.08</v>
      </c>
      <c r="J74" s="222">
        <v>2020</v>
      </c>
      <c r="K74" s="222">
        <v>1</v>
      </c>
      <c r="L74" s="222">
        <f>'Agg prdcrv'!L74</f>
        <v>20.37</v>
      </c>
      <c r="M74" s="222">
        <f>'Agg prdcrv'!M74</f>
        <v>20.32</v>
      </c>
      <c r="N74" s="222">
        <f>'Agg prdcrv'!N74</f>
        <v>19.88</v>
      </c>
      <c r="O74" s="222">
        <f>'Agg prdcrv'!O74</f>
        <v>20.350000000000001</v>
      </c>
      <c r="P74" s="222">
        <f>'Agg prdcrv'!P74</f>
        <v>20.2</v>
      </c>
    </row>
    <row r="75" spans="1:16">
      <c r="A75" s="201" t="s">
        <v>151</v>
      </c>
      <c r="B75" s="222">
        <v>2020</v>
      </c>
      <c r="C75" s="222">
        <v>1</v>
      </c>
      <c r="D75" s="250">
        <v>999999</v>
      </c>
      <c r="E75" s="250">
        <v>999999</v>
      </c>
      <c r="F75" s="250">
        <v>999999</v>
      </c>
      <c r="G75" s="222">
        <f>'Agg prdcrv'!G75</f>
        <v>0.9</v>
      </c>
      <c r="H75" s="222">
        <f>'Agg prdcrv'!H75</f>
        <v>15.29</v>
      </c>
      <c r="J75" s="222">
        <v>2020</v>
      </c>
      <c r="K75" s="222">
        <v>1</v>
      </c>
      <c r="L75" s="222">
        <f>'Agg prdcrv'!L75</f>
        <v>24.9</v>
      </c>
      <c r="M75" s="222">
        <f>'Agg prdcrv'!M75</f>
        <v>24.84</v>
      </c>
      <c r="N75" s="222">
        <f>'Agg prdcrv'!N75</f>
        <v>24.3</v>
      </c>
      <c r="O75" s="222">
        <f>'Agg prdcrv'!O75</f>
        <v>24.87</v>
      </c>
      <c r="P75" s="222">
        <f>'Agg prdcrv'!P75</f>
        <v>24.68</v>
      </c>
    </row>
    <row r="76" spans="1:16">
      <c r="A76" s="201" t="s">
        <v>152</v>
      </c>
      <c r="B76" s="222">
        <v>2020</v>
      </c>
      <c r="C76" s="222">
        <v>1</v>
      </c>
      <c r="D76" s="250">
        <v>999999</v>
      </c>
      <c r="E76" s="250">
        <v>999999</v>
      </c>
      <c r="F76" s="250">
        <v>999999</v>
      </c>
      <c r="G76" s="222">
        <f>'Agg prdcrv'!G76</f>
        <v>0</v>
      </c>
      <c r="H76" s="222">
        <f>'Agg prdcrv'!H76</f>
        <v>54.96</v>
      </c>
      <c r="J76" s="222">
        <v>2020</v>
      </c>
      <c r="K76" s="222">
        <v>1</v>
      </c>
      <c r="L76" s="222">
        <f>'Agg prdcrv'!L76</f>
        <v>18.670000000000002</v>
      </c>
      <c r="M76" s="222">
        <f>'Agg prdcrv'!M76</f>
        <v>18.63</v>
      </c>
      <c r="N76" s="222">
        <f>'Agg prdcrv'!N76</f>
        <v>18.23</v>
      </c>
      <c r="O76" s="222">
        <f>'Agg prdcrv'!O76</f>
        <v>18.649999999999999</v>
      </c>
      <c r="P76" s="222">
        <f>'Agg prdcrv'!P76</f>
        <v>18.510000000000002</v>
      </c>
    </row>
  </sheetData>
  <mergeCells count="3">
    <mergeCell ref="A1:P1"/>
    <mergeCell ref="D2:H2"/>
    <mergeCell ref="L2:P2"/>
  </mergeCells>
  <pageMargins left="0.75" right="0.75" top="1" bottom="1" header="0.5" footer="0.5"/>
  <pageSetup orientation="portrait"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21"/>
  <dimension ref="A1:J1188"/>
  <sheetViews>
    <sheetView workbookViewId="0">
      <selection sqref="A1:XFD1048576"/>
    </sheetView>
  </sheetViews>
  <sheetFormatPr defaultColWidth="9.140625" defaultRowHeight="12.75"/>
  <cols>
    <col min="1" max="1" width="26" style="195" customWidth="1"/>
    <col min="2" max="12" width="9.140625" style="195"/>
    <col min="13" max="13" width="22.5703125" style="195" customWidth="1"/>
    <col min="14" max="16384" width="9.140625" style="195"/>
  </cols>
  <sheetData>
    <row r="1" spans="1:10">
      <c r="A1" s="195" t="s">
        <v>588</v>
      </c>
      <c r="B1" s="195" t="s">
        <v>128</v>
      </c>
      <c r="C1" s="195" t="s">
        <v>129</v>
      </c>
      <c r="D1" s="195" t="s">
        <v>130</v>
      </c>
      <c r="E1" s="195" t="s">
        <v>131</v>
      </c>
      <c r="F1" s="195" t="s">
        <v>132</v>
      </c>
      <c r="I1" s="195" t="s">
        <v>704</v>
      </c>
      <c r="J1" s="195" t="s">
        <v>705</v>
      </c>
    </row>
    <row r="2" spans="1:10">
      <c r="A2" s="195" t="s">
        <v>588</v>
      </c>
      <c r="B2" s="195" t="s">
        <v>144</v>
      </c>
      <c r="C2" s="246" t="s">
        <v>145</v>
      </c>
      <c r="D2" s="195" t="s">
        <v>146</v>
      </c>
      <c r="E2" s="195" t="s">
        <v>145</v>
      </c>
      <c r="F2" s="195" t="s">
        <v>144</v>
      </c>
      <c r="I2" s="195" t="s">
        <v>706</v>
      </c>
      <c r="J2" s="195" t="s">
        <v>707</v>
      </c>
    </row>
    <row r="3" spans="1:10">
      <c r="A3" s="195" t="s">
        <v>588</v>
      </c>
    </row>
    <row r="4" spans="1:10">
      <c r="A4" s="195" t="s">
        <v>588</v>
      </c>
    </row>
    <row r="5" spans="1:10">
      <c r="A5" s="195" t="s">
        <v>147</v>
      </c>
    </row>
    <row r="6" spans="1:10">
      <c r="A6" s="195" t="s">
        <v>708</v>
      </c>
    </row>
    <row r="7" spans="1:10">
      <c r="A7" s="195" t="s">
        <v>25</v>
      </c>
      <c r="B7" s="195">
        <v>0</v>
      </c>
      <c r="C7" s="195">
        <v>0</v>
      </c>
      <c r="D7" s="195">
        <v>0</v>
      </c>
      <c r="E7" s="195">
        <v>0</v>
      </c>
      <c r="F7" s="195">
        <v>0</v>
      </c>
      <c r="H7" s="195" t="str">
        <f>RIGHT(A5,4)</f>
        <v>1990</v>
      </c>
      <c r="I7" s="204" t="s">
        <v>710</v>
      </c>
    </row>
    <row r="8" spans="1:10">
      <c r="A8" s="195" t="s">
        <v>22</v>
      </c>
      <c r="B8" s="195">
        <v>303.79000000000002</v>
      </c>
      <c r="C8" s="195">
        <v>5.83</v>
      </c>
      <c r="D8" s="195">
        <v>14.17</v>
      </c>
      <c r="E8" s="195">
        <v>1.35</v>
      </c>
      <c r="F8" s="195">
        <v>16.45</v>
      </c>
      <c r="H8" s="195" t="str">
        <f>H7</f>
        <v>1990</v>
      </c>
      <c r="I8" s="204" t="s">
        <v>710</v>
      </c>
    </row>
    <row r="9" spans="1:10">
      <c r="A9" s="195" t="s">
        <v>15</v>
      </c>
      <c r="B9" s="195">
        <v>4.29</v>
      </c>
      <c r="C9" s="195">
        <v>0</v>
      </c>
      <c r="D9" s="195">
        <v>1.21</v>
      </c>
      <c r="E9" s="195">
        <v>0.04</v>
      </c>
      <c r="F9" s="195">
        <v>0</v>
      </c>
      <c r="H9" s="195" t="str">
        <f t="shared" ref="H9:H23" si="0">H8</f>
        <v>1990</v>
      </c>
      <c r="I9" s="204" t="s">
        <v>710</v>
      </c>
    </row>
    <row r="10" spans="1:10">
      <c r="A10" s="195" t="s">
        <v>16</v>
      </c>
      <c r="B10" s="195">
        <v>0</v>
      </c>
      <c r="C10" s="195">
        <v>0</v>
      </c>
      <c r="D10" s="195">
        <v>0</v>
      </c>
      <c r="E10" s="195">
        <v>0</v>
      </c>
      <c r="F10" s="195">
        <v>0</v>
      </c>
      <c r="H10" s="195" t="str">
        <f t="shared" si="0"/>
        <v>1990</v>
      </c>
      <c r="I10" s="204" t="s">
        <v>710</v>
      </c>
    </row>
    <row r="11" spans="1:10">
      <c r="A11" s="195" t="s">
        <v>37</v>
      </c>
      <c r="B11" s="195">
        <v>186.17</v>
      </c>
      <c r="C11" s="195">
        <v>1.45</v>
      </c>
      <c r="D11" s="195">
        <v>17.2</v>
      </c>
      <c r="E11" s="195">
        <v>0.04</v>
      </c>
      <c r="F11" s="195">
        <v>26.06</v>
      </c>
      <c r="H11" s="195" t="str">
        <f t="shared" si="0"/>
        <v>1990</v>
      </c>
      <c r="I11" s="204" t="s">
        <v>710</v>
      </c>
    </row>
    <row r="12" spans="1:10">
      <c r="A12" s="195" t="s">
        <v>36</v>
      </c>
      <c r="B12" s="195">
        <v>262.02</v>
      </c>
      <c r="C12" s="195">
        <v>1.03</v>
      </c>
      <c r="D12" s="195">
        <v>11.78</v>
      </c>
      <c r="E12" s="195">
        <v>0.23</v>
      </c>
      <c r="F12" s="195">
        <v>0</v>
      </c>
      <c r="H12" s="195" t="str">
        <f t="shared" si="0"/>
        <v>1990</v>
      </c>
      <c r="I12" s="204" t="s">
        <v>710</v>
      </c>
    </row>
    <row r="13" spans="1:10">
      <c r="A13" s="195" t="s">
        <v>453</v>
      </c>
      <c r="B13" s="195">
        <v>77.41</v>
      </c>
      <c r="C13" s="195">
        <v>1.64</v>
      </c>
      <c r="D13" s="195">
        <v>16.82</v>
      </c>
      <c r="E13" s="195">
        <v>0</v>
      </c>
      <c r="F13" s="195">
        <v>12.02</v>
      </c>
      <c r="H13" s="195" t="str">
        <f t="shared" si="0"/>
        <v>1990</v>
      </c>
      <c r="I13" s="204" t="s">
        <v>710</v>
      </c>
    </row>
    <row r="14" spans="1:10">
      <c r="A14" s="195" t="s">
        <v>456</v>
      </c>
      <c r="B14" s="195">
        <v>39.700000000000003</v>
      </c>
      <c r="C14" s="195">
        <v>77.319999999999993</v>
      </c>
      <c r="D14" s="195">
        <v>65.28</v>
      </c>
      <c r="E14" s="195">
        <v>9.69</v>
      </c>
      <c r="F14" s="195">
        <v>4.78</v>
      </c>
      <c r="H14" s="195" t="str">
        <f t="shared" si="0"/>
        <v>1990</v>
      </c>
      <c r="I14" s="204" t="s">
        <v>710</v>
      </c>
    </row>
    <row r="15" spans="1:10">
      <c r="A15" s="195" t="s">
        <v>35</v>
      </c>
      <c r="B15" s="195">
        <v>8</v>
      </c>
      <c r="C15" s="195">
        <v>2</v>
      </c>
      <c r="D15" s="195">
        <v>144</v>
      </c>
      <c r="E15" s="195">
        <v>0</v>
      </c>
      <c r="F15" s="195">
        <v>1</v>
      </c>
      <c r="H15" s="195" t="str">
        <f t="shared" si="0"/>
        <v>1990</v>
      </c>
      <c r="I15" s="204" t="s">
        <v>710</v>
      </c>
    </row>
    <row r="16" spans="1:10">
      <c r="A16" s="195" t="s">
        <v>31</v>
      </c>
      <c r="B16" s="195">
        <v>93</v>
      </c>
      <c r="C16" s="195">
        <v>7</v>
      </c>
      <c r="D16" s="195">
        <v>19</v>
      </c>
      <c r="E16" s="195">
        <v>0</v>
      </c>
      <c r="F16" s="195">
        <v>2</v>
      </c>
      <c r="H16" s="195" t="str">
        <f t="shared" si="0"/>
        <v>1990</v>
      </c>
      <c r="I16" s="204" t="s">
        <v>710</v>
      </c>
    </row>
    <row r="17" spans="1:9">
      <c r="A17" s="195" t="s">
        <v>458</v>
      </c>
      <c r="B17" s="195">
        <v>0</v>
      </c>
      <c r="C17" s="195">
        <v>0</v>
      </c>
      <c r="D17" s="195">
        <v>0</v>
      </c>
      <c r="E17" s="195">
        <v>0</v>
      </c>
      <c r="F17" s="195">
        <v>0</v>
      </c>
      <c r="H17" s="195" t="str">
        <f t="shared" si="0"/>
        <v>1990</v>
      </c>
      <c r="I17" s="204" t="s">
        <v>710</v>
      </c>
    </row>
    <row r="18" spans="1:9">
      <c r="A18" s="195" t="s">
        <v>148</v>
      </c>
      <c r="B18" s="195">
        <v>0</v>
      </c>
      <c r="C18" s="195">
        <v>0</v>
      </c>
      <c r="D18" s="195">
        <v>0</v>
      </c>
      <c r="E18" s="195">
        <v>0</v>
      </c>
      <c r="F18" s="195">
        <v>0</v>
      </c>
      <c r="H18" s="195" t="str">
        <f t="shared" si="0"/>
        <v>1990</v>
      </c>
      <c r="I18" s="204" t="s">
        <v>710</v>
      </c>
    </row>
    <row r="19" spans="1:9">
      <c r="A19" s="195" t="s">
        <v>149</v>
      </c>
      <c r="B19" s="195">
        <v>0</v>
      </c>
      <c r="C19" s="195">
        <v>0</v>
      </c>
      <c r="D19" s="195">
        <v>0</v>
      </c>
      <c r="E19" s="195">
        <v>0</v>
      </c>
      <c r="F19" s="195">
        <v>0</v>
      </c>
      <c r="H19" s="195" t="str">
        <f t="shared" si="0"/>
        <v>1990</v>
      </c>
      <c r="I19" s="204" t="s">
        <v>710</v>
      </c>
    </row>
    <row r="20" spans="1:9">
      <c r="A20" s="195" t="s">
        <v>19</v>
      </c>
      <c r="B20" s="195">
        <v>0</v>
      </c>
      <c r="C20" s="195">
        <v>0</v>
      </c>
      <c r="D20" s="195">
        <v>0</v>
      </c>
      <c r="E20" s="195">
        <v>0</v>
      </c>
      <c r="F20" s="195">
        <v>0</v>
      </c>
      <c r="H20" s="195" t="str">
        <f t="shared" si="0"/>
        <v>1990</v>
      </c>
      <c r="I20" s="204" t="s">
        <v>710</v>
      </c>
    </row>
    <row r="21" spans="1:9">
      <c r="A21" s="195" t="s">
        <v>150</v>
      </c>
      <c r="B21" s="195">
        <v>12.63</v>
      </c>
      <c r="C21" s="195">
        <v>0</v>
      </c>
      <c r="D21" s="195">
        <v>147.80000000000001</v>
      </c>
      <c r="E21" s="195">
        <v>0</v>
      </c>
      <c r="F21" s="195">
        <v>0.87</v>
      </c>
      <c r="H21" s="195" t="str">
        <f t="shared" si="0"/>
        <v>1990</v>
      </c>
      <c r="I21" s="204" t="s">
        <v>710</v>
      </c>
    </row>
    <row r="22" spans="1:9">
      <c r="A22" s="195" t="s">
        <v>151</v>
      </c>
      <c r="B22" s="195">
        <v>15.37</v>
      </c>
      <c r="C22" s="195">
        <v>1.71</v>
      </c>
      <c r="D22" s="195">
        <v>213.68</v>
      </c>
      <c r="E22" s="195">
        <v>0.02</v>
      </c>
      <c r="F22" s="195">
        <v>1.31</v>
      </c>
      <c r="H22" s="195" t="str">
        <f t="shared" si="0"/>
        <v>1990</v>
      </c>
      <c r="I22" s="204" t="s">
        <v>710</v>
      </c>
    </row>
    <row r="23" spans="1:9">
      <c r="A23" s="195" t="s">
        <v>152</v>
      </c>
      <c r="B23" s="195">
        <v>103.52</v>
      </c>
      <c r="C23" s="195">
        <v>0</v>
      </c>
      <c r="D23" s="195">
        <v>66.349999999999994</v>
      </c>
      <c r="E23" s="195">
        <v>0</v>
      </c>
      <c r="F23" s="195">
        <v>3.51</v>
      </c>
      <c r="H23" s="195" t="str">
        <f t="shared" si="0"/>
        <v>1990</v>
      </c>
      <c r="I23" s="204" t="s">
        <v>710</v>
      </c>
    </row>
    <row r="24" spans="1:9">
      <c r="A24" s="195" t="s">
        <v>709</v>
      </c>
    </row>
    <row r="25" spans="1:9">
      <c r="A25" s="195" t="s">
        <v>25</v>
      </c>
      <c r="B25" s="195">
        <v>45.6</v>
      </c>
      <c r="C25" s="195">
        <v>46.53</v>
      </c>
      <c r="D25" s="195">
        <v>45.81</v>
      </c>
      <c r="E25" s="195">
        <v>45.67</v>
      </c>
      <c r="F25" s="195">
        <v>26.51</v>
      </c>
      <c r="H25" s="195" t="str">
        <f>H7</f>
        <v>1990</v>
      </c>
      <c r="I25" s="204" t="s">
        <v>153</v>
      </c>
    </row>
    <row r="26" spans="1:9">
      <c r="A26" s="195" t="s">
        <v>22</v>
      </c>
      <c r="B26" s="195">
        <v>44.15</v>
      </c>
      <c r="C26" s="195">
        <v>45.09</v>
      </c>
      <c r="D26" s="195">
        <v>44.37</v>
      </c>
      <c r="E26" s="195">
        <v>44.22</v>
      </c>
      <c r="F26" s="195">
        <v>25.06</v>
      </c>
      <c r="H26" s="195" t="str">
        <f t="shared" ref="H26:H41" si="1">H8</f>
        <v>1990</v>
      </c>
      <c r="I26" s="204" t="s">
        <v>153</v>
      </c>
    </row>
    <row r="27" spans="1:9">
      <c r="A27" s="195" t="s">
        <v>15</v>
      </c>
      <c r="B27" s="195">
        <v>37.54</v>
      </c>
      <c r="C27" s="195">
        <v>38.479999999999997</v>
      </c>
      <c r="D27" s="195">
        <v>37.76</v>
      </c>
      <c r="E27" s="195">
        <v>39.520000000000003</v>
      </c>
      <c r="F27" s="195">
        <v>37.380000000000003</v>
      </c>
      <c r="H27" s="195" t="str">
        <f t="shared" si="1"/>
        <v>1990</v>
      </c>
      <c r="I27" s="204" t="s">
        <v>153</v>
      </c>
    </row>
    <row r="28" spans="1:9">
      <c r="A28" s="195" t="s">
        <v>16</v>
      </c>
      <c r="B28" s="195">
        <v>38.659999999999997</v>
      </c>
      <c r="C28" s="195">
        <v>37.26</v>
      </c>
      <c r="D28" s="195">
        <v>37.590000000000003</v>
      </c>
      <c r="E28" s="195">
        <v>45.3</v>
      </c>
      <c r="F28" s="195">
        <v>43.61</v>
      </c>
      <c r="H28" s="195" t="str">
        <f t="shared" si="1"/>
        <v>1990</v>
      </c>
      <c r="I28" s="204" t="s">
        <v>153</v>
      </c>
    </row>
    <row r="29" spans="1:9">
      <c r="A29" s="195" t="s">
        <v>37</v>
      </c>
      <c r="B29" s="195">
        <v>26.81</v>
      </c>
      <c r="C29" s="195">
        <v>28.95</v>
      </c>
      <c r="D29" s="195">
        <v>28.96</v>
      </c>
      <c r="E29" s="195">
        <v>28.38</v>
      </c>
      <c r="F29" s="195">
        <v>24.05</v>
      </c>
      <c r="H29" s="195" t="str">
        <f t="shared" si="1"/>
        <v>1990</v>
      </c>
      <c r="I29" s="204" t="s">
        <v>153</v>
      </c>
    </row>
    <row r="30" spans="1:9">
      <c r="A30" s="195" t="s">
        <v>36</v>
      </c>
      <c r="B30" s="195">
        <v>25.69</v>
      </c>
      <c r="C30" s="195">
        <v>27.76</v>
      </c>
      <c r="D30" s="195">
        <v>28.15</v>
      </c>
      <c r="E30" s="195">
        <v>27.43</v>
      </c>
      <c r="F30" s="195">
        <v>24.23</v>
      </c>
      <c r="H30" s="195" t="str">
        <f t="shared" si="1"/>
        <v>1990</v>
      </c>
      <c r="I30" s="204" t="s">
        <v>153</v>
      </c>
    </row>
    <row r="31" spans="1:9">
      <c r="A31" s="195" t="s">
        <v>453</v>
      </c>
      <c r="B31" s="195">
        <v>32.51</v>
      </c>
      <c r="C31" s="195">
        <v>32.29</v>
      </c>
      <c r="D31" s="195">
        <v>31.96</v>
      </c>
      <c r="E31" s="195">
        <v>41.14</v>
      </c>
      <c r="F31" s="195">
        <v>37.979999999999997</v>
      </c>
      <c r="H31" s="195" t="str">
        <f t="shared" si="1"/>
        <v>1990</v>
      </c>
      <c r="I31" s="204" t="s">
        <v>153</v>
      </c>
    </row>
    <row r="32" spans="1:9">
      <c r="A32" s="195" t="s">
        <v>456</v>
      </c>
      <c r="B32" s="195">
        <v>21.28</v>
      </c>
      <c r="C32" s="195">
        <v>21.28</v>
      </c>
      <c r="D32" s="195">
        <v>21.28</v>
      </c>
      <c r="E32" s="195">
        <v>21.28</v>
      </c>
      <c r="F32" s="195">
        <v>21.28</v>
      </c>
      <c r="H32" s="195" t="str">
        <f t="shared" si="1"/>
        <v>1990</v>
      </c>
      <c r="I32" s="204" t="s">
        <v>153</v>
      </c>
    </row>
    <row r="33" spans="1:9">
      <c r="A33" s="195" t="s">
        <v>35</v>
      </c>
      <c r="B33" s="195">
        <v>27.68</v>
      </c>
      <c r="C33" s="195">
        <v>27.42</v>
      </c>
      <c r="D33" s="195">
        <v>26.84</v>
      </c>
      <c r="E33" s="195">
        <v>26.79</v>
      </c>
      <c r="F33" s="195">
        <v>21.28</v>
      </c>
      <c r="H33" s="195" t="str">
        <f t="shared" si="1"/>
        <v>1990</v>
      </c>
      <c r="I33" s="204" t="s">
        <v>153</v>
      </c>
    </row>
    <row r="34" spans="1:9">
      <c r="A34" s="195" t="s">
        <v>31</v>
      </c>
      <c r="B34" s="195">
        <v>44.26</v>
      </c>
      <c r="C34" s="195">
        <v>44.26</v>
      </c>
      <c r="D34" s="195">
        <v>44.75</v>
      </c>
      <c r="E34" s="195">
        <v>44.38</v>
      </c>
      <c r="F34" s="195">
        <v>44.38</v>
      </c>
      <c r="H34" s="195" t="str">
        <f t="shared" si="1"/>
        <v>1990</v>
      </c>
      <c r="I34" s="204" t="s">
        <v>153</v>
      </c>
    </row>
    <row r="35" spans="1:9">
      <c r="A35" s="195" t="s">
        <v>458</v>
      </c>
      <c r="B35" s="195">
        <v>35.659999999999997</v>
      </c>
      <c r="C35" s="195">
        <v>35.049999999999997</v>
      </c>
      <c r="D35" s="195">
        <v>34.71</v>
      </c>
      <c r="E35" s="195">
        <v>36.17</v>
      </c>
      <c r="F35" s="195">
        <v>34.39</v>
      </c>
      <c r="H35" s="195" t="str">
        <f t="shared" si="1"/>
        <v>1990</v>
      </c>
      <c r="I35" s="204" t="s">
        <v>153</v>
      </c>
    </row>
    <row r="36" spans="1:9">
      <c r="A36" s="195" t="s">
        <v>148</v>
      </c>
      <c r="B36" s="195">
        <v>44.79</v>
      </c>
      <c r="C36" s="195">
        <v>43.26</v>
      </c>
      <c r="D36" s="195">
        <v>42.96</v>
      </c>
      <c r="E36" s="195">
        <v>44.93</v>
      </c>
      <c r="F36" s="195">
        <v>42.98</v>
      </c>
      <c r="H36" s="195" t="str">
        <f t="shared" si="1"/>
        <v>1990</v>
      </c>
      <c r="I36" s="204" t="s">
        <v>153</v>
      </c>
    </row>
    <row r="37" spans="1:9">
      <c r="A37" s="195" t="s">
        <v>149</v>
      </c>
      <c r="B37" s="195">
        <v>38.96</v>
      </c>
      <c r="C37" s="195">
        <v>38.46</v>
      </c>
      <c r="D37" s="195">
        <v>38.229999999999997</v>
      </c>
      <c r="E37" s="195">
        <v>42.09</v>
      </c>
      <c r="F37" s="195">
        <v>40.869999999999997</v>
      </c>
      <c r="H37" s="195" t="str">
        <f t="shared" si="1"/>
        <v>1990</v>
      </c>
      <c r="I37" s="204" t="s">
        <v>153</v>
      </c>
    </row>
    <row r="38" spans="1:9">
      <c r="A38" s="195" t="s">
        <v>19</v>
      </c>
      <c r="B38" s="195">
        <v>0</v>
      </c>
      <c r="C38" s="195">
        <v>0</v>
      </c>
      <c r="D38" s="195">
        <v>0</v>
      </c>
      <c r="E38" s="195">
        <v>0</v>
      </c>
      <c r="F38" s="195">
        <v>0</v>
      </c>
      <c r="H38" s="195" t="str">
        <f t="shared" si="1"/>
        <v>1990</v>
      </c>
      <c r="I38" s="204" t="s">
        <v>153</v>
      </c>
    </row>
    <row r="39" spans="1:9">
      <c r="A39" s="195" t="s">
        <v>150</v>
      </c>
      <c r="B39" s="195">
        <v>19.309999999999999</v>
      </c>
      <c r="C39" s="195">
        <v>19.39</v>
      </c>
      <c r="D39" s="195">
        <v>19.059999999999999</v>
      </c>
      <c r="E39" s="195">
        <v>22.96</v>
      </c>
      <c r="F39" s="195">
        <v>21.5</v>
      </c>
      <c r="H39" s="195" t="str">
        <f t="shared" si="1"/>
        <v>1990</v>
      </c>
      <c r="I39" s="204" t="s">
        <v>153</v>
      </c>
    </row>
    <row r="40" spans="1:9">
      <c r="A40" s="195" t="s">
        <v>151</v>
      </c>
      <c r="B40" s="195">
        <v>23.6</v>
      </c>
      <c r="C40" s="195">
        <v>23.7</v>
      </c>
      <c r="D40" s="195">
        <v>23.3</v>
      </c>
      <c r="E40" s="195">
        <v>28.06</v>
      </c>
      <c r="F40" s="195">
        <v>26.28</v>
      </c>
      <c r="H40" s="195" t="str">
        <f t="shared" si="1"/>
        <v>1990</v>
      </c>
      <c r="I40" s="204" t="s">
        <v>153</v>
      </c>
    </row>
    <row r="41" spans="1:9">
      <c r="A41" s="195" t="s">
        <v>152</v>
      </c>
      <c r="B41" s="195">
        <v>17.7</v>
      </c>
      <c r="C41" s="195">
        <v>17.77</v>
      </c>
      <c r="D41" s="195">
        <v>17.47</v>
      </c>
      <c r="E41" s="195">
        <v>21.05</v>
      </c>
      <c r="F41" s="195">
        <v>19.71</v>
      </c>
      <c r="H41" s="195" t="str">
        <f t="shared" si="1"/>
        <v>1990</v>
      </c>
      <c r="I41" s="204" t="s">
        <v>153</v>
      </c>
    </row>
    <row r="42" spans="1:9">
      <c r="A42" s="195" t="s">
        <v>154</v>
      </c>
    </row>
    <row r="43" spans="1:9">
      <c r="A43" s="195" t="s">
        <v>708</v>
      </c>
    </row>
    <row r="44" spans="1:9">
      <c r="A44" s="195" t="s">
        <v>25</v>
      </c>
      <c r="B44" s="195">
        <v>0</v>
      </c>
      <c r="C44" s="195">
        <v>0</v>
      </c>
      <c r="D44" s="195">
        <v>0</v>
      </c>
      <c r="E44" s="195">
        <v>0</v>
      </c>
      <c r="F44" s="195">
        <v>0</v>
      </c>
      <c r="H44" s="195" t="str">
        <f>RIGHT(A42,4)</f>
        <v>1991</v>
      </c>
      <c r="I44" s="204" t="s">
        <v>710</v>
      </c>
    </row>
    <row r="45" spans="1:9">
      <c r="A45" s="195" t="s">
        <v>22</v>
      </c>
      <c r="B45" s="195">
        <v>272.39</v>
      </c>
      <c r="C45" s="195">
        <v>9.1300000000000008</v>
      </c>
      <c r="D45" s="195">
        <v>2.0699999999999998</v>
      </c>
      <c r="E45" s="195">
        <v>1.27</v>
      </c>
      <c r="F45" s="195">
        <v>12.3</v>
      </c>
      <c r="H45" s="195" t="str">
        <f>H44</f>
        <v>1991</v>
      </c>
      <c r="I45" s="204" t="s">
        <v>710</v>
      </c>
    </row>
    <row r="46" spans="1:9">
      <c r="A46" s="195" t="s">
        <v>15</v>
      </c>
      <c r="B46" s="195">
        <v>9.82</v>
      </c>
      <c r="C46" s="195">
        <v>0</v>
      </c>
      <c r="D46" s="195">
        <v>2.42</v>
      </c>
      <c r="E46" s="195">
        <v>0.01</v>
      </c>
      <c r="F46" s="195">
        <v>0</v>
      </c>
      <c r="H46" s="195" t="str">
        <f t="shared" ref="H46:H60" si="2">H45</f>
        <v>1991</v>
      </c>
      <c r="I46" s="204" t="s">
        <v>710</v>
      </c>
    </row>
    <row r="47" spans="1:9">
      <c r="A47" s="195" t="s">
        <v>16</v>
      </c>
      <c r="B47" s="195">
        <v>0</v>
      </c>
      <c r="C47" s="195">
        <v>0</v>
      </c>
      <c r="D47" s="195">
        <v>0</v>
      </c>
      <c r="E47" s="195">
        <v>0</v>
      </c>
      <c r="F47" s="195">
        <v>0</v>
      </c>
      <c r="H47" s="195" t="str">
        <f t="shared" si="2"/>
        <v>1991</v>
      </c>
      <c r="I47" s="204" t="s">
        <v>710</v>
      </c>
    </row>
    <row r="48" spans="1:9">
      <c r="A48" s="195" t="s">
        <v>37</v>
      </c>
      <c r="B48" s="195">
        <v>138.85</v>
      </c>
      <c r="C48" s="195">
        <v>1.26</v>
      </c>
      <c r="D48" s="195">
        <v>30.01</v>
      </c>
      <c r="E48" s="195">
        <v>0.02</v>
      </c>
      <c r="F48" s="195">
        <v>12.46</v>
      </c>
      <c r="H48" s="195" t="str">
        <f t="shared" si="2"/>
        <v>1991</v>
      </c>
      <c r="I48" s="204" t="s">
        <v>710</v>
      </c>
    </row>
    <row r="49" spans="1:9">
      <c r="A49" s="195" t="s">
        <v>36</v>
      </c>
      <c r="B49" s="195">
        <v>235.48</v>
      </c>
      <c r="C49" s="195">
        <v>1.17</v>
      </c>
      <c r="D49" s="195">
        <v>25.68</v>
      </c>
      <c r="E49" s="195">
        <v>0.08</v>
      </c>
      <c r="F49" s="195">
        <v>8.92</v>
      </c>
      <c r="H49" s="195" t="str">
        <f t="shared" si="2"/>
        <v>1991</v>
      </c>
      <c r="I49" s="204" t="s">
        <v>710</v>
      </c>
    </row>
    <row r="50" spans="1:9">
      <c r="A50" s="195" t="s">
        <v>453</v>
      </c>
      <c r="B50" s="195">
        <v>59.82</v>
      </c>
      <c r="C50" s="195">
        <v>1.65</v>
      </c>
      <c r="D50" s="195">
        <v>1.26</v>
      </c>
      <c r="E50" s="195">
        <v>0</v>
      </c>
      <c r="F50" s="195">
        <v>4.46</v>
      </c>
      <c r="H50" s="195" t="str">
        <f t="shared" si="2"/>
        <v>1991</v>
      </c>
      <c r="I50" s="204" t="s">
        <v>710</v>
      </c>
    </row>
    <row r="51" spans="1:9">
      <c r="A51" s="195" t="s">
        <v>456</v>
      </c>
      <c r="B51" s="195">
        <v>23.09</v>
      </c>
      <c r="C51" s="195">
        <v>73.67</v>
      </c>
      <c r="D51" s="195">
        <v>59.28</v>
      </c>
      <c r="E51" s="195">
        <v>11.23</v>
      </c>
      <c r="F51" s="195">
        <v>2.42</v>
      </c>
      <c r="H51" s="195" t="str">
        <f t="shared" si="2"/>
        <v>1991</v>
      </c>
      <c r="I51" s="204" t="s">
        <v>710</v>
      </c>
    </row>
    <row r="52" spans="1:9">
      <c r="A52" s="195" t="s">
        <v>35</v>
      </c>
      <c r="B52" s="195">
        <v>8</v>
      </c>
      <c r="C52" s="195">
        <v>1</v>
      </c>
      <c r="D52" s="195">
        <v>130</v>
      </c>
      <c r="E52" s="195">
        <v>0</v>
      </c>
      <c r="F52" s="195">
        <v>1</v>
      </c>
      <c r="H52" s="195" t="str">
        <f t="shared" si="2"/>
        <v>1991</v>
      </c>
      <c r="I52" s="204" t="s">
        <v>710</v>
      </c>
    </row>
    <row r="53" spans="1:9">
      <c r="A53" s="195" t="s">
        <v>31</v>
      </c>
      <c r="B53" s="195">
        <v>58</v>
      </c>
      <c r="C53" s="195">
        <v>7</v>
      </c>
      <c r="D53" s="195">
        <v>16</v>
      </c>
      <c r="E53" s="195">
        <v>0</v>
      </c>
      <c r="F53" s="195">
        <v>4</v>
      </c>
      <c r="H53" s="195" t="str">
        <f t="shared" si="2"/>
        <v>1991</v>
      </c>
      <c r="I53" s="204" t="s">
        <v>710</v>
      </c>
    </row>
    <row r="54" spans="1:9">
      <c r="A54" s="195" t="s">
        <v>458</v>
      </c>
      <c r="B54" s="195">
        <v>0</v>
      </c>
      <c r="C54" s="195">
        <v>0</v>
      </c>
      <c r="D54" s="195">
        <v>0</v>
      </c>
      <c r="E54" s="195">
        <v>0</v>
      </c>
      <c r="F54" s="195">
        <v>0</v>
      </c>
      <c r="H54" s="195" t="str">
        <f t="shared" si="2"/>
        <v>1991</v>
      </c>
      <c r="I54" s="204" t="s">
        <v>710</v>
      </c>
    </row>
    <row r="55" spans="1:9">
      <c r="A55" s="195" t="s">
        <v>148</v>
      </c>
      <c r="B55" s="195">
        <v>0</v>
      </c>
      <c r="C55" s="195">
        <v>0</v>
      </c>
      <c r="D55" s="195">
        <v>0</v>
      </c>
      <c r="E55" s="195">
        <v>0</v>
      </c>
      <c r="F55" s="195">
        <v>0</v>
      </c>
      <c r="H55" s="195" t="str">
        <f t="shared" si="2"/>
        <v>1991</v>
      </c>
      <c r="I55" s="204" t="s">
        <v>710</v>
      </c>
    </row>
    <row r="56" spans="1:9">
      <c r="A56" s="195" t="s">
        <v>149</v>
      </c>
      <c r="B56" s="195">
        <v>0</v>
      </c>
      <c r="C56" s="195">
        <v>0</v>
      </c>
      <c r="D56" s="195">
        <v>0</v>
      </c>
      <c r="E56" s="195">
        <v>0</v>
      </c>
      <c r="F56" s="195">
        <v>0</v>
      </c>
      <c r="H56" s="195" t="str">
        <f t="shared" si="2"/>
        <v>1991</v>
      </c>
      <c r="I56" s="204" t="s">
        <v>710</v>
      </c>
    </row>
    <row r="57" spans="1:9">
      <c r="A57" s="195" t="s">
        <v>19</v>
      </c>
      <c r="B57" s="195">
        <v>0</v>
      </c>
      <c r="C57" s="195">
        <v>0</v>
      </c>
      <c r="D57" s="195">
        <v>0</v>
      </c>
      <c r="E57" s="195">
        <v>0</v>
      </c>
      <c r="F57" s="195">
        <v>0</v>
      </c>
      <c r="H57" s="195" t="str">
        <f t="shared" si="2"/>
        <v>1991</v>
      </c>
      <c r="I57" s="204" t="s">
        <v>710</v>
      </c>
    </row>
    <row r="58" spans="1:9">
      <c r="A58" s="195" t="s">
        <v>150</v>
      </c>
      <c r="B58" s="195">
        <v>31.35</v>
      </c>
      <c r="C58" s="195">
        <v>0</v>
      </c>
      <c r="D58" s="195">
        <v>106.07</v>
      </c>
      <c r="E58" s="195">
        <v>0</v>
      </c>
      <c r="F58" s="195">
        <v>2.21</v>
      </c>
      <c r="H58" s="195" t="str">
        <f t="shared" si="2"/>
        <v>1991</v>
      </c>
      <c r="I58" s="204" t="s">
        <v>710</v>
      </c>
    </row>
    <row r="59" spans="1:9">
      <c r="A59" s="195" t="s">
        <v>151</v>
      </c>
      <c r="B59" s="195">
        <v>26.57</v>
      </c>
      <c r="C59" s="195">
        <v>0.93</v>
      </c>
      <c r="D59" s="195">
        <v>187.33</v>
      </c>
      <c r="E59" s="195">
        <v>0</v>
      </c>
      <c r="F59" s="195">
        <v>1.99</v>
      </c>
      <c r="H59" s="195" t="str">
        <f t="shared" si="2"/>
        <v>1991</v>
      </c>
      <c r="I59" s="204" t="s">
        <v>710</v>
      </c>
    </row>
    <row r="60" spans="1:9">
      <c r="A60" s="195" t="s">
        <v>152</v>
      </c>
      <c r="B60" s="195">
        <v>104.95</v>
      </c>
      <c r="C60" s="195">
        <v>0</v>
      </c>
      <c r="D60" s="195">
        <v>80.91</v>
      </c>
      <c r="E60" s="195">
        <v>0</v>
      </c>
      <c r="F60" s="195">
        <v>5.09</v>
      </c>
      <c r="H60" s="195" t="str">
        <f t="shared" si="2"/>
        <v>1991</v>
      </c>
      <c r="I60" s="204" t="s">
        <v>710</v>
      </c>
    </row>
    <row r="61" spans="1:9">
      <c r="A61" s="195" t="s">
        <v>709</v>
      </c>
    </row>
    <row r="62" spans="1:9">
      <c r="A62" s="195" t="s">
        <v>25</v>
      </c>
      <c r="B62" s="195">
        <v>46.53</v>
      </c>
      <c r="C62" s="195">
        <v>47.48</v>
      </c>
      <c r="D62" s="195">
        <v>46.75</v>
      </c>
      <c r="E62" s="195">
        <v>46.6</v>
      </c>
      <c r="F62" s="195">
        <v>27.05</v>
      </c>
      <c r="H62" s="195" t="str">
        <f>H44</f>
        <v>1991</v>
      </c>
      <c r="I62" s="204" t="s">
        <v>153</v>
      </c>
    </row>
    <row r="63" spans="1:9">
      <c r="A63" s="195" t="s">
        <v>22</v>
      </c>
      <c r="B63" s="195">
        <v>45.05</v>
      </c>
      <c r="C63" s="195">
        <v>46.01</v>
      </c>
      <c r="D63" s="195">
        <v>45.27</v>
      </c>
      <c r="E63" s="195">
        <v>45.13</v>
      </c>
      <c r="F63" s="195">
        <v>25.57</v>
      </c>
      <c r="H63" s="195" t="str">
        <f t="shared" ref="H63:H78" si="3">H45</f>
        <v>1991</v>
      </c>
      <c r="I63" s="204" t="s">
        <v>153</v>
      </c>
    </row>
    <row r="64" spans="1:9">
      <c r="A64" s="195" t="s">
        <v>15</v>
      </c>
      <c r="B64" s="195">
        <v>38.31</v>
      </c>
      <c r="C64" s="195">
        <v>39.26</v>
      </c>
      <c r="D64" s="195">
        <v>38.53</v>
      </c>
      <c r="E64" s="195">
        <v>40.33</v>
      </c>
      <c r="F64" s="195">
        <v>38.14</v>
      </c>
      <c r="H64" s="195" t="str">
        <f t="shared" si="3"/>
        <v>1991</v>
      </c>
      <c r="I64" s="204" t="s">
        <v>153</v>
      </c>
    </row>
    <row r="65" spans="1:9">
      <c r="A65" s="195" t="s">
        <v>16</v>
      </c>
      <c r="B65" s="195">
        <v>39.450000000000003</v>
      </c>
      <c r="C65" s="195">
        <v>38.020000000000003</v>
      </c>
      <c r="D65" s="195">
        <v>38.35</v>
      </c>
      <c r="E65" s="195">
        <v>46.22</v>
      </c>
      <c r="F65" s="195">
        <v>44.5</v>
      </c>
      <c r="H65" s="195" t="str">
        <f t="shared" si="3"/>
        <v>1991</v>
      </c>
      <c r="I65" s="204" t="s">
        <v>153</v>
      </c>
    </row>
    <row r="66" spans="1:9">
      <c r="A66" s="195" t="s">
        <v>37</v>
      </c>
      <c r="B66" s="195">
        <v>27.36</v>
      </c>
      <c r="C66" s="195">
        <v>29.55</v>
      </c>
      <c r="D66" s="195">
        <v>29.55</v>
      </c>
      <c r="E66" s="195">
        <v>28.96</v>
      </c>
      <c r="F66" s="195">
        <v>24.54</v>
      </c>
      <c r="H66" s="195" t="str">
        <f t="shared" si="3"/>
        <v>1991</v>
      </c>
      <c r="I66" s="204" t="s">
        <v>153</v>
      </c>
    </row>
    <row r="67" spans="1:9">
      <c r="A67" s="195" t="s">
        <v>36</v>
      </c>
      <c r="B67" s="195">
        <v>26.22</v>
      </c>
      <c r="C67" s="195">
        <v>28.33</v>
      </c>
      <c r="D67" s="195">
        <v>28.72</v>
      </c>
      <c r="E67" s="195">
        <v>27.99</v>
      </c>
      <c r="F67" s="195">
        <v>24.72</v>
      </c>
      <c r="H67" s="195" t="str">
        <f t="shared" si="3"/>
        <v>1991</v>
      </c>
      <c r="I67" s="204" t="s">
        <v>153</v>
      </c>
    </row>
    <row r="68" spans="1:9">
      <c r="A68" s="195" t="s">
        <v>453</v>
      </c>
      <c r="B68" s="195">
        <v>33.17</v>
      </c>
      <c r="C68" s="195">
        <v>32.950000000000003</v>
      </c>
      <c r="D68" s="195">
        <v>32.61</v>
      </c>
      <c r="E68" s="195">
        <v>41.98</v>
      </c>
      <c r="F68" s="195">
        <v>38.76</v>
      </c>
      <c r="H68" s="195" t="str">
        <f t="shared" si="3"/>
        <v>1991</v>
      </c>
      <c r="I68" s="204" t="s">
        <v>153</v>
      </c>
    </row>
    <row r="69" spans="1:9">
      <c r="A69" s="195" t="s">
        <v>456</v>
      </c>
      <c r="B69" s="195">
        <v>21.71</v>
      </c>
      <c r="C69" s="195">
        <v>21.71</v>
      </c>
      <c r="D69" s="195">
        <v>21.71</v>
      </c>
      <c r="E69" s="195">
        <v>21.71</v>
      </c>
      <c r="F69" s="195">
        <v>21.71</v>
      </c>
      <c r="H69" s="195" t="str">
        <f t="shared" si="3"/>
        <v>1991</v>
      </c>
      <c r="I69" s="204" t="s">
        <v>153</v>
      </c>
    </row>
    <row r="70" spans="1:9">
      <c r="A70" s="195" t="s">
        <v>35</v>
      </c>
      <c r="B70" s="195">
        <v>28.24</v>
      </c>
      <c r="C70" s="195">
        <v>27.97</v>
      </c>
      <c r="D70" s="195">
        <v>27.39</v>
      </c>
      <c r="E70" s="195">
        <v>27.34</v>
      </c>
      <c r="F70" s="195">
        <v>21.71</v>
      </c>
      <c r="H70" s="195" t="str">
        <f t="shared" si="3"/>
        <v>1991</v>
      </c>
      <c r="I70" s="204" t="s">
        <v>153</v>
      </c>
    </row>
    <row r="71" spans="1:9">
      <c r="A71" s="195" t="s">
        <v>31</v>
      </c>
      <c r="B71" s="195">
        <v>45.17</v>
      </c>
      <c r="C71" s="195">
        <v>45.17</v>
      </c>
      <c r="D71" s="195">
        <v>45.66</v>
      </c>
      <c r="E71" s="195">
        <v>45.29</v>
      </c>
      <c r="F71" s="195">
        <v>45.29</v>
      </c>
      <c r="H71" s="195" t="str">
        <f t="shared" si="3"/>
        <v>1991</v>
      </c>
      <c r="I71" s="204" t="s">
        <v>153</v>
      </c>
    </row>
    <row r="72" spans="1:9">
      <c r="A72" s="195" t="s">
        <v>458</v>
      </c>
      <c r="B72" s="195">
        <v>36.39</v>
      </c>
      <c r="C72" s="195">
        <v>35.76</v>
      </c>
      <c r="D72" s="195">
        <v>35.42</v>
      </c>
      <c r="E72" s="195">
        <v>36.909999999999997</v>
      </c>
      <c r="F72" s="195">
        <v>35.090000000000003</v>
      </c>
      <c r="H72" s="195" t="str">
        <f t="shared" si="3"/>
        <v>1991</v>
      </c>
      <c r="I72" s="204" t="s">
        <v>153</v>
      </c>
    </row>
    <row r="73" spans="1:9">
      <c r="A73" s="195" t="s">
        <v>148</v>
      </c>
      <c r="B73" s="195">
        <v>45.71</v>
      </c>
      <c r="C73" s="195">
        <v>44.14</v>
      </c>
      <c r="D73" s="195">
        <v>43.83</v>
      </c>
      <c r="E73" s="195">
        <v>45.85</v>
      </c>
      <c r="F73" s="195">
        <v>43.85</v>
      </c>
      <c r="H73" s="195" t="str">
        <f t="shared" si="3"/>
        <v>1991</v>
      </c>
      <c r="I73" s="204" t="s">
        <v>153</v>
      </c>
    </row>
    <row r="74" spans="1:9">
      <c r="A74" s="195" t="s">
        <v>149</v>
      </c>
      <c r="B74" s="195">
        <v>39.76</v>
      </c>
      <c r="C74" s="195">
        <v>39.24</v>
      </c>
      <c r="D74" s="195">
        <v>39.01</v>
      </c>
      <c r="E74" s="195">
        <v>42.95</v>
      </c>
      <c r="F74" s="195">
        <v>41.71</v>
      </c>
      <c r="H74" s="195" t="str">
        <f t="shared" si="3"/>
        <v>1991</v>
      </c>
      <c r="I74" s="204" t="s">
        <v>153</v>
      </c>
    </row>
    <row r="75" spans="1:9">
      <c r="A75" s="195" t="s">
        <v>19</v>
      </c>
      <c r="B75" s="195">
        <v>0</v>
      </c>
      <c r="C75" s="195">
        <v>0</v>
      </c>
      <c r="D75" s="195">
        <v>0</v>
      </c>
      <c r="E75" s="195">
        <v>0</v>
      </c>
      <c r="F75" s="195">
        <v>0</v>
      </c>
      <c r="H75" s="195" t="str">
        <f t="shared" si="3"/>
        <v>1991</v>
      </c>
      <c r="I75" s="204" t="s">
        <v>153</v>
      </c>
    </row>
    <row r="76" spans="1:9">
      <c r="A76" s="195" t="s">
        <v>150</v>
      </c>
      <c r="B76" s="195">
        <v>19.71</v>
      </c>
      <c r="C76" s="195">
        <v>19.79</v>
      </c>
      <c r="D76" s="195">
        <v>19.45</v>
      </c>
      <c r="E76" s="195">
        <v>23.43</v>
      </c>
      <c r="F76" s="195">
        <v>21.94</v>
      </c>
      <c r="H76" s="195" t="str">
        <f t="shared" si="3"/>
        <v>1991</v>
      </c>
      <c r="I76" s="204" t="s">
        <v>153</v>
      </c>
    </row>
    <row r="77" spans="1:9">
      <c r="A77" s="195" t="s">
        <v>151</v>
      </c>
      <c r="B77" s="195">
        <v>24.09</v>
      </c>
      <c r="C77" s="195">
        <v>24.18</v>
      </c>
      <c r="D77" s="195">
        <v>23.77</v>
      </c>
      <c r="E77" s="195">
        <v>28.64</v>
      </c>
      <c r="F77" s="195">
        <v>26.81</v>
      </c>
      <c r="H77" s="195" t="str">
        <f t="shared" si="3"/>
        <v>1991</v>
      </c>
      <c r="I77" s="204" t="s">
        <v>153</v>
      </c>
    </row>
    <row r="78" spans="1:9">
      <c r="A78" s="195" t="s">
        <v>152</v>
      </c>
      <c r="B78" s="195">
        <v>18.059999999999999</v>
      </c>
      <c r="C78" s="195">
        <v>18.14</v>
      </c>
      <c r="D78" s="195">
        <v>17.829999999999998</v>
      </c>
      <c r="E78" s="195">
        <v>21.48</v>
      </c>
      <c r="F78" s="195">
        <v>20.11</v>
      </c>
      <c r="H78" s="195" t="str">
        <f t="shared" si="3"/>
        <v>1991</v>
      </c>
      <c r="I78" s="204" t="s">
        <v>153</v>
      </c>
    </row>
    <row r="79" spans="1:9">
      <c r="A79" s="195" t="s">
        <v>155</v>
      </c>
    </row>
    <row r="80" spans="1:9">
      <c r="A80" s="195" t="s">
        <v>708</v>
      </c>
    </row>
    <row r="81" spans="1:9">
      <c r="A81" s="195" t="s">
        <v>25</v>
      </c>
      <c r="B81" s="195">
        <v>0</v>
      </c>
      <c r="C81" s="195">
        <v>0</v>
      </c>
      <c r="D81" s="195">
        <v>0</v>
      </c>
      <c r="E81" s="195">
        <v>0</v>
      </c>
      <c r="F81" s="195">
        <v>0</v>
      </c>
      <c r="H81" s="195" t="str">
        <f>RIGHT(A79,4)</f>
        <v>1992</v>
      </c>
      <c r="I81" s="204" t="s">
        <v>710</v>
      </c>
    </row>
    <row r="82" spans="1:9">
      <c r="A82" s="195" t="s">
        <v>22</v>
      </c>
      <c r="B82" s="195">
        <v>267.08</v>
      </c>
      <c r="C82" s="195">
        <v>5.62</v>
      </c>
      <c r="D82" s="195">
        <v>5.58</v>
      </c>
      <c r="E82" s="195">
        <v>1.1000000000000001</v>
      </c>
      <c r="F82" s="195">
        <v>15.61</v>
      </c>
      <c r="H82" s="195" t="str">
        <f>H81</f>
        <v>1992</v>
      </c>
      <c r="I82" s="204" t="s">
        <v>710</v>
      </c>
    </row>
    <row r="83" spans="1:9">
      <c r="A83" s="195" t="s">
        <v>15</v>
      </c>
      <c r="B83" s="195">
        <v>8.23</v>
      </c>
      <c r="C83" s="195">
        <v>0</v>
      </c>
      <c r="D83" s="195">
        <v>0.34</v>
      </c>
      <c r="E83" s="195">
        <v>0.01</v>
      </c>
      <c r="F83" s="195">
        <v>0.55000000000000004</v>
      </c>
      <c r="H83" s="195" t="str">
        <f t="shared" ref="H83:H97" si="4">H82</f>
        <v>1992</v>
      </c>
      <c r="I83" s="204" t="s">
        <v>710</v>
      </c>
    </row>
    <row r="84" spans="1:9">
      <c r="A84" s="195" t="s">
        <v>16</v>
      </c>
      <c r="B84" s="195">
        <v>0</v>
      </c>
      <c r="C84" s="195">
        <v>0</v>
      </c>
      <c r="D84" s="195">
        <v>0</v>
      </c>
      <c r="E84" s="195">
        <v>0</v>
      </c>
      <c r="F84" s="195">
        <v>0</v>
      </c>
      <c r="H84" s="195" t="str">
        <f t="shared" si="4"/>
        <v>1992</v>
      </c>
      <c r="I84" s="204" t="s">
        <v>710</v>
      </c>
    </row>
    <row r="85" spans="1:9">
      <c r="A85" s="195" t="s">
        <v>37</v>
      </c>
      <c r="B85" s="195">
        <v>109.18</v>
      </c>
      <c r="C85" s="195">
        <v>0.67</v>
      </c>
      <c r="D85" s="195">
        <v>18.88</v>
      </c>
      <c r="E85" s="195">
        <v>0.13</v>
      </c>
      <c r="F85" s="195">
        <v>4.79</v>
      </c>
      <c r="H85" s="195" t="str">
        <f t="shared" si="4"/>
        <v>1992</v>
      </c>
      <c r="I85" s="204" t="s">
        <v>710</v>
      </c>
    </row>
    <row r="86" spans="1:9">
      <c r="A86" s="195" t="s">
        <v>36</v>
      </c>
      <c r="B86" s="195">
        <v>197.89</v>
      </c>
      <c r="C86" s="195">
        <v>0.52</v>
      </c>
      <c r="D86" s="195">
        <v>37.72</v>
      </c>
      <c r="E86" s="195">
        <v>0.01</v>
      </c>
      <c r="F86" s="195">
        <v>6.32</v>
      </c>
      <c r="H86" s="195" t="str">
        <f t="shared" si="4"/>
        <v>1992</v>
      </c>
      <c r="I86" s="204" t="s">
        <v>710</v>
      </c>
    </row>
    <row r="87" spans="1:9">
      <c r="A87" s="195" t="s">
        <v>453</v>
      </c>
      <c r="B87" s="195">
        <v>71.25</v>
      </c>
      <c r="C87" s="195">
        <v>2.75</v>
      </c>
      <c r="D87" s="195">
        <v>4.6900000000000004</v>
      </c>
      <c r="E87" s="195">
        <v>0</v>
      </c>
      <c r="F87" s="195">
        <v>3.79</v>
      </c>
      <c r="H87" s="195" t="str">
        <f t="shared" si="4"/>
        <v>1992</v>
      </c>
      <c r="I87" s="204" t="s">
        <v>710</v>
      </c>
    </row>
    <row r="88" spans="1:9">
      <c r="A88" s="195" t="s">
        <v>456</v>
      </c>
      <c r="B88" s="195">
        <v>22.02</v>
      </c>
      <c r="C88" s="195">
        <v>80.510000000000005</v>
      </c>
      <c r="D88" s="195">
        <v>44.43</v>
      </c>
      <c r="E88" s="195">
        <v>8.14</v>
      </c>
      <c r="F88" s="195">
        <v>1.2</v>
      </c>
      <c r="H88" s="195" t="str">
        <f t="shared" si="4"/>
        <v>1992</v>
      </c>
      <c r="I88" s="204" t="s">
        <v>710</v>
      </c>
    </row>
    <row r="89" spans="1:9">
      <c r="A89" s="195" t="s">
        <v>35</v>
      </c>
      <c r="B89" s="195">
        <v>6</v>
      </c>
      <c r="C89" s="195">
        <v>1</v>
      </c>
      <c r="D89" s="195">
        <v>118</v>
      </c>
      <c r="E89" s="195">
        <v>0</v>
      </c>
      <c r="F89" s="195">
        <v>1</v>
      </c>
      <c r="H89" s="195" t="str">
        <f t="shared" si="4"/>
        <v>1992</v>
      </c>
      <c r="I89" s="204" t="s">
        <v>710</v>
      </c>
    </row>
    <row r="90" spans="1:9">
      <c r="A90" s="195" t="s">
        <v>31</v>
      </c>
      <c r="B90" s="195">
        <v>64</v>
      </c>
      <c r="C90" s="195">
        <v>7</v>
      </c>
      <c r="D90" s="195">
        <v>20</v>
      </c>
      <c r="E90" s="195">
        <v>0</v>
      </c>
      <c r="F90" s="195">
        <v>5</v>
      </c>
      <c r="H90" s="195" t="str">
        <f t="shared" si="4"/>
        <v>1992</v>
      </c>
      <c r="I90" s="204" t="s">
        <v>710</v>
      </c>
    </row>
    <row r="91" spans="1:9">
      <c r="A91" s="195" t="s">
        <v>458</v>
      </c>
      <c r="B91" s="195">
        <v>0</v>
      </c>
      <c r="C91" s="195">
        <v>0</v>
      </c>
      <c r="D91" s="195">
        <v>0</v>
      </c>
      <c r="E91" s="195">
        <v>0</v>
      </c>
      <c r="F91" s="195">
        <v>0</v>
      </c>
      <c r="H91" s="195" t="str">
        <f t="shared" si="4"/>
        <v>1992</v>
      </c>
      <c r="I91" s="204" t="s">
        <v>710</v>
      </c>
    </row>
    <row r="92" spans="1:9">
      <c r="A92" s="195" t="s">
        <v>148</v>
      </c>
      <c r="B92" s="195">
        <v>0</v>
      </c>
      <c r="C92" s="195">
        <v>0</v>
      </c>
      <c r="D92" s="195">
        <v>0</v>
      </c>
      <c r="E92" s="195">
        <v>0</v>
      </c>
      <c r="F92" s="195">
        <v>0</v>
      </c>
      <c r="H92" s="195" t="str">
        <f t="shared" si="4"/>
        <v>1992</v>
      </c>
      <c r="I92" s="204" t="s">
        <v>710</v>
      </c>
    </row>
    <row r="93" spans="1:9">
      <c r="A93" s="195" t="s">
        <v>149</v>
      </c>
      <c r="B93" s="195">
        <v>0</v>
      </c>
      <c r="C93" s="195">
        <v>0</v>
      </c>
      <c r="D93" s="195">
        <v>0</v>
      </c>
      <c r="E93" s="195">
        <v>0</v>
      </c>
      <c r="F93" s="195">
        <v>0</v>
      </c>
      <c r="H93" s="195" t="str">
        <f t="shared" si="4"/>
        <v>1992</v>
      </c>
      <c r="I93" s="204" t="s">
        <v>710</v>
      </c>
    </row>
    <row r="94" spans="1:9">
      <c r="A94" s="195" t="s">
        <v>19</v>
      </c>
      <c r="B94" s="195">
        <v>0</v>
      </c>
      <c r="C94" s="195">
        <v>0</v>
      </c>
      <c r="D94" s="195">
        <v>0</v>
      </c>
      <c r="E94" s="195">
        <v>0</v>
      </c>
      <c r="F94" s="195">
        <v>0</v>
      </c>
      <c r="H94" s="195" t="str">
        <f t="shared" si="4"/>
        <v>1992</v>
      </c>
      <c r="I94" s="204" t="s">
        <v>710</v>
      </c>
    </row>
    <row r="95" spans="1:9">
      <c r="A95" s="195" t="s">
        <v>150</v>
      </c>
      <c r="B95" s="195">
        <v>34.18</v>
      </c>
      <c r="C95" s="195">
        <v>0</v>
      </c>
      <c r="D95" s="195">
        <v>151.94999999999999</v>
      </c>
      <c r="E95" s="195">
        <v>0</v>
      </c>
      <c r="F95" s="195">
        <v>7.4</v>
      </c>
      <c r="H95" s="195" t="str">
        <f t="shared" si="4"/>
        <v>1992</v>
      </c>
      <c r="I95" s="204" t="s">
        <v>710</v>
      </c>
    </row>
    <row r="96" spans="1:9">
      <c r="A96" s="195" t="s">
        <v>151</v>
      </c>
      <c r="B96" s="195">
        <v>21.01</v>
      </c>
      <c r="C96" s="195">
        <v>0.73</v>
      </c>
      <c r="D96" s="195">
        <v>187.1</v>
      </c>
      <c r="E96" s="195">
        <v>0</v>
      </c>
      <c r="F96" s="195">
        <v>1.88</v>
      </c>
      <c r="H96" s="195" t="str">
        <f t="shared" si="4"/>
        <v>1992</v>
      </c>
      <c r="I96" s="204" t="s">
        <v>710</v>
      </c>
    </row>
    <row r="97" spans="1:9">
      <c r="A97" s="195" t="s">
        <v>152</v>
      </c>
      <c r="B97" s="195">
        <v>94.89</v>
      </c>
      <c r="C97" s="195">
        <v>0</v>
      </c>
      <c r="D97" s="195">
        <v>65.45</v>
      </c>
      <c r="E97" s="195">
        <v>0</v>
      </c>
      <c r="F97" s="195">
        <v>0</v>
      </c>
      <c r="H97" s="195" t="str">
        <f t="shared" si="4"/>
        <v>1992</v>
      </c>
      <c r="I97" s="204" t="s">
        <v>710</v>
      </c>
    </row>
    <row r="98" spans="1:9">
      <c r="A98" s="195" t="s">
        <v>709</v>
      </c>
    </row>
    <row r="99" spans="1:9">
      <c r="A99" s="195" t="s">
        <v>25</v>
      </c>
      <c r="B99" s="195">
        <v>47.48</v>
      </c>
      <c r="C99" s="195">
        <v>48.45</v>
      </c>
      <c r="D99" s="195">
        <v>47.7</v>
      </c>
      <c r="E99" s="195">
        <v>47.55</v>
      </c>
      <c r="F99" s="195">
        <v>27.6</v>
      </c>
      <c r="H99" s="195" t="str">
        <f>H81</f>
        <v>1992</v>
      </c>
      <c r="I99" s="204" t="s">
        <v>153</v>
      </c>
    </row>
    <row r="100" spans="1:9">
      <c r="A100" s="195" t="s">
        <v>22</v>
      </c>
      <c r="B100" s="195">
        <v>45.97</v>
      </c>
      <c r="C100" s="195">
        <v>46.95</v>
      </c>
      <c r="D100" s="195">
        <v>46.2</v>
      </c>
      <c r="E100" s="195">
        <v>46.05</v>
      </c>
      <c r="F100" s="195">
        <v>26.09</v>
      </c>
      <c r="H100" s="195" t="str">
        <f t="shared" ref="H100:H115" si="5">H82</f>
        <v>1992</v>
      </c>
      <c r="I100" s="204" t="s">
        <v>153</v>
      </c>
    </row>
    <row r="101" spans="1:9">
      <c r="A101" s="195" t="s">
        <v>15</v>
      </c>
      <c r="B101" s="195">
        <v>39.090000000000003</v>
      </c>
      <c r="C101" s="195">
        <v>40.06</v>
      </c>
      <c r="D101" s="195">
        <v>39.31</v>
      </c>
      <c r="E101" s="195">
        <v>41.15</v>
      </c>
      <c r="F101" s="195">
        <v>38.92</v>
      </c>
      <c r="H101" s="195" t="str">
        <f t="shared" si="5"/>
        <v>1992</v>
      </c>
      <c r="I101" s="204" t="s">
        <v>153</v>
      </c>
    </row>
    <row r="102" spans="1:9">
      <c r="A102" s="195" t="s">
        <v>16</v>
      </c>
      <c r="B102" s="195">
        <v>40.25</v>
      </c>
      <c r="C102" s="195">
        <v>38.799999999999997</v>
      </c>
      <c r="D102" s="195">
        <v>39.14</v>
      </c>
      <c r="E102" s="195">
        <v>47.17</v>
      </c>
      <c r="F102" s="195">
        <v>45.41</v>
      </c>
      <c r="H102" s="195" t="str">
        <f t="shared" si="5"/>
        <v>1992</v>
      </c>
      <c r="I102" s="204" t="s">
        <v>153</v>
      </c>
    </row>
    <row r="103" spans="1:9">
      <c r="A103" s="195" t="s">
        <v>37</v>
      </c>
      <c r="B103" s="195">
        <v>27.92</v>
      </c>
      <c r="C103" s="195">
        <v>30.15</v>
      </c>
      <c r="D103" s="195">
        <v>30.15</v>
      </c>
      <c r="E103" s="195">
        <v>29.55</v>
      </c>
      <c r="F103" s="195">
        <v>25.04</v>
      </c>
      <c r="H103" s="195" t="str">
        <f t="shared" si="5"/>
        <v>1992</v>
      </c>
      <c r="I103" s="204" t="s">
        <v>153</v>
      </c>
    </row>
    <row r="104" spans="1:9">
      <c r="A104" s="195" t="s">
        <v>36</v>
      </c>
      <c r="B104" s="195">
        <v>26.75</v>
      </c>
      <c r="C104" s="195">
        <v>28.91</v>
      </c>
      <c r="D104" s="195">
        <v>29.31</v>
      </c>
      <c r="E104" s="195">
        <v>28.56</v>
      </c>
      <c r="F104" s="195">
        <v>25.22</v>
      </c>
      <c r="H104" s="195" t="str">
        <f t="shared" si="5"/>
        <v>1992</v>
      </c>
      <c r="I104" s="204" t="s">
        <v>153</v>
      </c>
    </row>
    <row r="105" spans="1:9">
      <c r="A105" s="195" t="s">
        <v>453</v>
      </c>
      <c r="B105" s="195">
        <v>33.85</v>
      </c>
      <c r="C105" s="195">
        <v>33.619999999999997</v>
      </c>
      <c r="D105" s="195">
        <v>33.28</v>
      </c>
      <c r="E105" s="195">
        <v>42.84</v>
      </c>
      <c r="F105" s="195">
        <v>39.549999999999997</v>
      </c>
      <c r="H105" s="195" t="str">
        <f t="shared" si="5"/>
        <v>1992</v>
      </c>
      <c r="I105" s="204" t="s">
        <v>153</v>
      </c>
    </row>
    <row r="106" spans="1:9">
      <c r="A106" s="195" t="s">
        <v>456</v>
      </c>
      <c r="B106" s="195">
        <v>22.16</v>
      </c>
      <c r="C106" s="195">
        <v>22.16</v>
      </c>
      <c r="D106" s="195">
        <v>22.16</v>
      </c>
      <c r="E106" s="195">
        <v>22.16</v>
      </c>
      <c r="F106" s="195">
        <v>22.16</v>
      </c>
      <c r="H106" s="195" t="str">
        <f t="shared" si="5"/>
        <v>1992</v>
      </c>
      <c r="I106" s="204" t="s">
        <v>153</v>
      </c>
    </row>
    <row r="107" spans="1:9">
      <c r="A107" s="195" t="s">
        <v>35</v>
      </c>
      <c r="B107" s="195">
        <v>28.82</v>
      </c>
      <c r="C107" s="195">
        <v>28.55</v>
      </c>
      <c r="D107" s="195">
        <v>27.94</v>
      </c>
      <c r="E107" s="195">
        <v>27.9</v>
      </c>
      <c r="F107" s="195">
        <v>22.16</v>
      </c>
      <c r="H107" s="195" t="str">
        <f t="shared" si="5"/>
        <v>1992</v>
      </c>
      <c r="I107" s="204" t="s">
        <v>153</v>
      </c>
    </row>
    <row r="108" spans="1:9">
      <c r="A108" s="195" t="s">
        <v>31</v>
      </c>
      <c r="B108" s="195">
        <v>46.09</v>
      </c>
      <c r="C108" s="195">
        <v>46.09</v>
      </c>
      <c r="D108" s="195">
        <v>46.59</v>
      </c>
      <c r="E108" s="195">
        <v>46.21</v>
      </c>
      <c r="F108" s="195">
        <v>46.21</v>
      </c>
      <c r="H108" s="195" t="str">
        <f t="shared" si="5"/>
        <v>1992</v>
      </c>
      <c r="I108" s="204" t="s">
        <v>153</v>
      </c>
    </row>
    <row r="109" spans="1:9">
      <c r="A109" s="195" t="s">
        <v>458</v>
      </c>
      <c r="B109" s="195">
        <v>37.130000000000003</v>
      </c>
      <c r="C109" s="195">
        <v>36.49</v>
      </c>
      <c r="D109" s="195">
        <v>36.14</v>
      </c>
      <c r="E109" s="195">
        <v>37.659999999999997</v>
      </c>
      <c r="F109" s="195">
        <v>35.81</v>
      </c>
      <c r="H109" s="195" t="str">
        <f t="shared" si="5"/>
        <v>1992</v>
      </c>
      <c r="I109" s="204" t="s">
        <v>153</v>
      </c>
    </row>
    <row r="110" spans="1:9">
      <c r="A110" s="195" t="s">
        <v>148</v>
      </c>
      <c r="B110" s="195">
        <v>46.64</v>
      </c>
      <c r="C110" s="195">
        <v>45.05</v>
      </c>
      <c r="D110" s="195">
        <v>44.73</v>
      </c>
      <c r="E110" s="195">
        <v>46.78</v>
      </c>
      <c r="F110" s="195">
        <v>44.75</v>
      </c>
      <c r="H110" s="195" t="str">
        <f t="shared" si="5"/>
        <v>1992</v>
      </c>
      <c r="I110" s="204" t="s">
        <v>153</v>
      </c>
    </row>
    <row r="111" spans="1:9">
      <c r="A111" s="195" t="s">
        <v>149</v>
      </c>
      <c r="B111" s="195">
        <v>40.57</v>
      </c>
      <c r="C111" s="195">
        <v>40.049999999999997</v>
      </c>
      <c r="D111" s="195">
        <v>39.799999999999997</v>
      </c>
      <c r="E111" s="195">
        <v>43.83</v>
      </c>
      <c r="F111" s="195">
        <v>42.56</v>
      </c>
      <c r="H111" s="195" t="str">
        <f t="shared" si="5"/>
        <v>1992</v>
      </c>
      <c r="I111" s="204" t="s">
        <v>153</v>
      </c>
    </row>
    <row r="112" spans="1:9">
      <c r="A112" s="195" t="s">
        <v>19</v>
      </c>
      <c r="B112" s="195">
        <v>0</v>
      </c>
      <c r="C112" s="195">
        <v>0</v>
      </c>
      <c r="D112" s="195">
        <v>0</v>
      </c>
      <c r="E112" s="195">
        <v>0</v>
      </c>
      <c r="F112" s="195">
        <v>0</v>
      </c>
      <c r="H112" s="195" t="str">
        <f t="shared" si="5"/>
        <v>1992</v>
      </c>
      <c r="I112" s="204" t="s">
        <v>153</v>
      </c>
    </row>
    <row r="113" spans="1:9">
      <c r="A113" s="195" t="s">
        <v>150</v>
      </c>
      <c r="B113" s="195">
        <v>20.11</v>
      </c>
      <c r="C113" s="195">
        <v>20.190000000000001</v>
      </c>
      <c r="D113" s="195">
        <v>19.850000000000001</v>
      </c>
      <c r="E113" s="195">
        <v>23.91</v>
      </c>
      <c r="F113" s="195">
        <v>22.38</v>
      </c>
      <c r="H113" s="195" t="str">
        <f t="shared" si="5"/>
        <v>1992</v>
      </c>
      <c r="I113" s="204" t="s">
        <v>153</v>
      </c>
    </row>
    <row r="114" spans="1:9">
      <c r="A114" s="195" t="s">
        <v>151</v>
      </c>
      <c r="B114" s="195">
        <v>24.58</v>
      </c>
      <c r="C114" s="195">
        <v>24.68</v>
      </c>
      <c r="D114" s="195">
        <v>24.26</v>
      </c>
      <c r="E114" s="195">
        <v>29.22</v>
      </c>
      <c r="F114" s="195">
        <v>27.36</v>
      </c>
      <c r="H114" s="195" t="str">
        <f t="shared" si="5"/>
        <v>1992</v>
      </c>
      <c r="I114" s="204" t="s">
        <v>153</v>
      </c>
    </row>
    <row r="115" spans="1:9">
      <c r="A115" s="195" t="s">
        <v>152</v>
      </c>
      <c r="B115" s="195">
        <v>18.43</v>
      </c>
      <c r="C115" s="195">
        <v>18.510000000000002</v>
      </c>
      <c r="D115" s="195">
        <v>18.190000000000001</v>
      </c>
      <c r="E115" s="195">
        <v>21.91</v>
      </c>
      <c r="F115" s="195">
        <v>20.52</v>
      </c>
      <c r="H115" s="195" t="str">
        <f t="shared" si="5"/>
        <v>1992</v>
      </c>
      <c r="I115" s="204" t="s">
        <v>153</v>
      </c>
    </row>
    <row r="116" spans="1:9">
      <c r="A116" s="195" t="s">
        <v>156</v>
      </c>
    </row>
    <row r="117" spans="1:9">
      <c r="A117" s="195" t="s">
        <v>708</v>
      </c>
    </row>
    <row r="118" spans="1:9">
      <c r="A118" s="195" t="s">
        <v>25</v>
      </c>
      <c r="B118" s="195">
        <v>0</v>
      </c>
      <c r="C118" s="195">
        <v>0</v>
      </c>
      <c r="D118" s="195">
        <v>0</v>
      </c>
      <c r="E118" s="195">
        <v>0</v>
      </c>
      <c r="F118" s="195">
        <v>0</v>
      </c>
      <c r="H118" s="195" t="str">
        <f>RIGHT(A116,4)</f>
        <v>1993</v>
      </c>
      <c r="I118" s="204" t="s">
        <v>710</v>
      </c>
    </row>
    <row r="119" spans="1:9">
      <c r="A119" s="195" t="s">
        <v>22</v>
      </c>
      <c r="B119" s="195">
        <v>231.32</v>
      </c>
      <c r="C119" s="195">
        <v>2.4900000000000002</v>
      </c>
      <c r="D119" s="195">
        <v>3.73</v>
      </c>
      <c r="E119" s="195">
        <v>0.33</v>
      </c>
      <c r="F119" s="195">
        <v>9.3699999999999992</v>
      </c>
      <c r="H119" s="195" t="str">
        <f>H118</f>
        <v>1993</v>
      </c>
      <c r="I119" s="204" t="s">
        <v>710</v>
      </c>
    </row>
    <row r="120" spans="1:9">
      <c r="A120" s="195" t="s">
        <v>15</v>
      </c>
      <c r="B120" s="195">
        <v>102.32</v>
      </c>
      <c r="C120" s="195">
        <v>3.27</v>
      </c>
      <c r="D120" s="195">
        <v>0.13</v>
      </c>
      <c r="E120" s="195">
        <v>1.82</v>
      </c>
      <c r="F120" s="195">
        <v>3.24</v>
      </c>
      <c r="H120" s="195" t="str">
        <f t="shared" ref="H120:H134" si="6">H119</f>
        <v>1993</v>
      </c>
      <c r="I120" s="204" t="s">
        <v>710</v>
      </c>
    </row>
    <row r="121" spans="1:9">
      <c r="A121" s="195" t="s">
        <v>16</v>
      </c>
      <c r="B121" s="195">
        <v>60.62</v>
      </c>
      <c r="C121" s="195">
        <v>2.88</v>
      </c>
      <c r="D121" s="195">
        <v>6.57</v>
      </c>
      <c r="E121" s="195">
        <v>1.3</v>
      </c>
      <c r="F121" s="195">
        <v>2.75</v>
      </c>
      <c r="H121" s="195" t="str">
        <f t="shared" si="6"/>
        <v>1993</v>
      </c>
      <c r="I121" s="204" t="s">
        <v>710</v>
      </c>
    </row>
    <row r="122" spans="1:9">
      <c r="A122" s="195" t="s">
        <v>37</v>
      </c>
      <c r="B122" s="195">
        <v>103.45</v>
      </c>
      <c r="C122" s="195">
        <v>0.5</v>
      </c>
      <c r="D122" s="195">
        <v>7.25</v>
      </c>
      <c r="E122" s="195">
        <v>0.03</v>
      </c>
      <c r="F122" s="195">
        <v>5.04</v>
      </c>
      <c r="H122" s="195" t="str">
        <f t="shared" si="6"/>
        <v>1993</v>
      </c>
      <c r="I122" s="204" t="s">
        <v>710</v>
      </c>
    </row>
    <row r="123" spans="1:9">
      <c r="A123" s="195" t="s">
        <v>36</v>
      </c>
      <c r="B123" s="195">
        <v>199.23</v>
      </c>
      <c r="C123" s="195">
        <v>0.21</v>
      </c>
      <c r="D123" s="195">
        <v>42.59</v>
      </c>
      <c r="E123" s="195">
        <v>0.02</v>
      </c>
      <c r="F123" s="195">
        <v>14.69</v>
      </c>
      <c r="H123" s="195" t="str">
        <f t="shared" si="6"/>
        <v>1993</v>
      </c>
      <c r="I123" s="204" t="s">
        <v>710</v>
      </c>
    </row>
    <row r="124" spans="1:9">
      <c r="A124" s="195" t="s">
        <v>453</v>
      </c>
      <c r="B124" s="195">
        <v>82.02</v>
      </c>
      <c r="C124" s="195">
        <v>2.2799999999999998</v>
      </c>
      <c r="D124" s="195">
        <v>6.7</v>
      </c>
      <c r="E124" s="195">
        <v>0</v>
      </c>
      <c r="F124" s="195">
        <v>8.9600000000000009</v>
      </c>
      <c r="H124" s="195" t="str">
        <f t="shared" si="6"/>
        <v>1993</v>
      </c>
      <c r="I124" s="204" t="s">
        <v>710</v>
      </c>
    </row>
    <row r="125" spans="1:9">
      <c r="A125" s="195" t="s">
        <v>456</v>
      </c>
      <c r="B125" s="195">
        <v>23.73</v>
      </c>
      <c r="C125" s="195">
        <v>77.88</v>
      </c>
      <c r="D125" s="195">
        <v>75.67</v>
      </c>
      <c r="E125" s="195">
        <v>14.05</v>
      </c>
      <c r="F125" s="195">
        <v>0.64</v>
      </c>
      <c r="H125" s="195" t="str">
        <f t="shared" si="6"/>
        <v>1993</v>
      </c>
      <c r="I125" s="204" t="s">
        <v>710</v>
      </c>
    </row>
    <row r="126" spans="1:9">
      <c r="A126" s="195" t="s">
        <v>35</v>
      </c>
      <c r="B126" s="195">
        <v>5</v>
      </c>
      <c r="C126" s="195">
        <v>1</v>
      </c>
      <c r="D126" s="195">
        <v>141</v>
      </c>
      <c r="E126" s="195">
        <v>0</v>
      </c>
      <c r="F126" s="195">
        <v>1</v>
      </c>
      <c r="H126" s="195" t="str">
        <f t="shared" si="6"/>
        <v>1993</v>
      </c>
      <c r="I126" s="204" t="s">
        <v>710</v>
      </c>
    </row>
    <row r="127" spans="1:9">
      <c r="A127" s="195" t="s">
        <v>31</v>
      </c>
      <c r="B127" s="195">
        <v>60</v>
      </c>
      <c r="C127" s="195">
        <v>3</v>
      </c>
      <c r="D127" s="195">
        <v>9</v>
      </c>
      <c r="E127" s="195">
        <v>0</v>
      </c>
      <c r="F127" s="195">
        <v>2</v>
      </c>
      <c r="H127" s="195" t="str">
        <f t="shared" si="6"/>
        <v>1993</v>
      </c>
      <c r="I127" s="204" t="s">
        <v>710</v>
      </c>
    </row>
    <row r="128" spans="1:9">
      <c r="A128" s="195" t="s">
        <v>458</v>
      </c>
      <c r="B128" s="195">
        <v>0</v>
      </c>
      <c r="C128" s="195">
        <v>0</v>
      </c>
      <c r="D128" s="195">
        <v>0</v>
      </c>
      <c r="E128" s="195">
        <v>0</v>
      </c>
      <c r="F128" s="195">
        <v>0</v>
      </c>
      <c r="H128" s="195" t="str">
        <f t="shared" si="6"/>
        <v>1993</v>
      </c>
      <c r="I128" s="204" t="s">
        <v>710</v>
      </c>
    </row>
    <row r="129" spans="1:9">
      <c r="A129" s="195" t="s">
        <v>148</v>
      </c>
      <c r="B129" s="195">
        <v>6.48</v>
      </c>
      <c r="C129" s="195">
        <v>0</v>
      </c>
      <c r="D129" s="195">
        <v>0.72</v>
      </c>
      <c r="E129" s="195">
        <v>0</v>
      </c>
      <c r="F129" s="195">
        <v>12.75</v>
      </c>
      <c r="H129" s="195" t="str">
        <f t="shared" si="6"/>
        <v>1993</v>
      </c>
      <c r="I129" s="204" t="s">
        <v>710</v>
      </c>
    </row>
    <row r="130" spans="1:9">
      <c r="A130" s="195" t="s">
        <v>149</v>
      </c>
      <c r="B130" s="195">
        <v>0</v>
      </c>
      <c r="C130" s="195">
        <v>0</v>
      </c>
      <c r="D130" s="195">
        <v>0</v>
      </c>
      <c r="E130" s="195">
        <v>0</v>
      </c>
      <c r="F130" s="195">
        <v>0</v>
      </c>
      <c r="H130" s="195" t="str">
        <f t="shared" si="6"/>
        <v>1993</v>
      </c>
      <c r="I130" s="204" t="s">
        <v>710</v>
      </c>
    </row>
    <row r="131" spans="1:9">
      <c r="A131" s="195" t="s">
        <v>19</v>
      </c>
      <c r="B131" s="195">
        <v>0</v>
      </c>
      <c r="C131" s="195">
        <v>0</v>
      </c>
      <c r="D131" s="195">
        <v>0</v>
      </c>
      <c r="E131" s="195">
        <v>0</v>
      </c>
      <c r="F131" s="195">
        <v>0</v>
      </c>
      <c r="H131" s="195" t="str">
        <f t="shared" si="6"/>
        <v>1993</v>
      </c>
      <c r="I131" s="204" t="s">
        <v>710</v>
      </c>
    </row>
    <row r="132" spans="1:9">
      <c r="A132" s="195" t="s">
        <v>150</v>
      </c>
      <c r="B132" s="195">
        <v>29.35</v>
      </c>
      <c r="C132" s="195">
        <v>0</v>
      </c>
      <c r="D132" s="195">
        <v>209.68</v>
      </c>
      <c r="E132" s="195">
        <v>0</v>
      </c>
      <c r="F132" s="195">
        <v>10.91</v>
      </c>
      <c r="H132" s="195" t="str">
        <f t="shared" si="6"/>
        <v>1993</v>
      </c>
      <c r="I132" s="204" t="s">
        <v>710</v>
      </c>
    </row>
    <row r="133" spans="1:9">
      <c r="A133" s="195" t="s">
        <v>151</v>
      </c>
      <c r="B133" s="195">
        <v>10.25</v>
      </c>
      <c r="C133" s="195">
        <v>1.6</v>
      </c>
      <c r="D133" s="195">
        <v>203.55</v>
      </c>
      <c r="E133" s="195">
        <v>0</v>
      </c>
      <c r="F133" s="195">
        <v>0.7</v>
      </c>
      <c r="H133" s="195" t="str">
        <f t="shared" si="6"/>
        <v>1993</v>
      </c>
      <c r="I133" s="204" t="s">
        <v>710</v>
      </c>
    </row>
    <row r="134" spans="1:9">
      <c r="A134" s="195" t="s">
        <v>152</v>
      </c>
      <c r="B134" s="195">
        <v>90.32</v>
      </c>
      <c r="C134" s="195">
        <v>0</v>
      </c>
      <c r="D134" s="195">
        <v>76.12</v>
      </c>
      <c r="E134" s="195">
        <v>0</v>
      </c>
      <c r="F134" s="195">
        <v>2.2799999999999998</v>
      </c>
      <c r="H134" s="195" t="str">
        <f t="shared" si="6"/>
        <v>1993</v>
      </c>
      <c r="I134" s="204" t="s">
        <v>710</v>
      </c>
    </row>
    <row r="135" spans="1:9">
      <c r="A135" s="195" t="s">
        <v>709</v>
      </c>
    </row>
    <row r="136" spans="1:9">
      <c r="A136" s="195" t="s">
        <v>25</v>
      </c>
      <c r="B136" s="195">
        <v>48.45</v>
      </c>
      <c r="C136" s="195">
        <v>49.44</v>
      </c>
      <c r="D136" s="195">
        <v>48.68</v>
      </c>
      <c r="E136" s="195">
        <v>48.53</v>
      </c>
      <c r="F136" s="195">
        <v>28.16</v>
      </c>
      <c r="H136" s="195" t="str">
        <f>H118</f>
        <v>1993</v>
      </c>
      <c r="I136" s="204" t="s">
        <v>153</v>
      </c>
    </row>
    <row r="137" spans="1:9">
      <c r="A137" s="195" t="s">
        <v>22</v>
      </c>
      <c r="B137" s="195">
        <v>46.91</v>
      </c>
      <c r="C137" s="195">
        <v>47.9</v>
      </c>
      <c r="D137" s="195">
        <v>47.14</v>
      </c>
      <c r="E137" s="195">
        <v>46.99</v>
      </c>
      <c r="F137" s="195">
        <v>26.62</v>
      </c>
      <c r="H137" s="195" t="str">
        <f t="shared" ref="H137:H152" si="7">H119</f>
        <v>1993</v>
      </c>
      <c r="I137" s="204" t="s">
        <v>153</v>
      </c>
    </row>
    <row r="138" spans="1:9">
      <c r="A138" s="195" t="s">
        <v>15</v>
      </c>
      <c r="B138" s="195">
        <v>39.89</v>
      </c>
      <c r="C138" s="195">
        <v>40.880000000000003</v>
      </c>
      <c r="D138" s="195">
        <v>40.119999999999997</v>
      </c>
      <c r="E138" s="195">
        <v>41.99</v>
      </c>
      <c r="F138" s="195">
        <v>39.71</v>
      </c>
      <c r="H138" s="195" t="str">
        <f t="shared" si="7"/>
        <v>1993</v>
      </c>
      <c r="I138" s="204" t="s">
        <v>153</v>
      </c>
    </row>
    <row r="139" spans="1:9">
      <c r="A139" s="195" t="s">
        <v>16</v>
      </c>
      <c r="B139" s="195">
        <v>41.08</v>
      </c>
      <c r="C139" s="195">
        <v>39.590000000000003</v>
      </c>
      <c r="D139" s="195">
        <v>39.94</v>
      </c>
      <c r="E139" s="195">
        <v>48.13</v>
      </c>
      <c r="F139" s="195">
        <v>46.33</v>
      </c>
      <c r="H139" s="195" t="str">
        <f t="shared" si="7"/>
        <v>1993</v>
      </c>
      <c r="I139" s="204" t="s">
        <v>153</v>
      </c>
    </row>
    <row r="140" spans="1:9">
      <c r="A140" s="195" t="s">
        <v>37</v>
      </c>
      <c r="B140" s="195">
        <v>28.49</v>
      </c>
      <c r="C140" s="195">
        <v>30.76</v>
      </c>
      <c r="D140" s="195">
        <v>30.76</v>
      </c>
      <c r="E140" s="195">
        <v>30.15</v>
      </c>
      <c r="F140" s="195">
        <v>25.55</v>
      </c>
      <c r="H140" s="195" t="str">
        <f t="shared" si="7"/>
        <v>1993</v>
      </c>
      <c r="I140" s="204" t="s">
        <v>153</v>
      </c>
    </row>
    <row r="141" spans="1:9">
      <c r="A141" s="195" t="s">
        <v>36</v>
      </c>
      <c r="B141" s="195">
        <v>27.3</v>
      </c>
      <c r="C141" s="195">
        <v>29.5</v>
      </c>
      <c r="D141" s="195">
        <v>29.91</v>
      </c>
      <c r="E141" s="195">
        <v>29.14</v>
      </c>
      <c r="F141" s="195">
        <v>25.74</v>
      </c>
      <c r="H141" s="195" t="str">
        <f t="shared" si="7"/>
        <v>1993</v>
      </c>
      <c r="I141" s="204" t="s">
        <v>153</v>
      </c>
    </row>
    <row r="142" spans="1:9">
      <c r="A142" s="195" t="s">
        <v>453</v>
      </c>
      <c r="B142" s="195">
        <v>34.54</v>
      </c>
      <c r="C142" s="195">
        <v>34.31</v>
      </c>
      <c r="D142" s="195">
        <v>33.96</v>
      </c>
      <c r="E142" s="195">
        <v>43.71</v>
      </c>
      <c r="F142" s="195">
        <v>40.36</v>
      </c>
      <c r="H142" s="195" t="str">
        <f t="shared" si="7"/>
        <v>1993</v>
      </c>
      <c r="I142" s="204" t="s">
        <v>153</v>
      </c>
    </row>
    <row r="143" spans="1:9">
      <c r="A143" s="195" t="s">
        <v>456</v>
      </c>
      <c r="B143" s="195">
        <v>22.61</v>
      </c>
      <c r="C143" s="195">
        <v>22.61</v>
      </c>
      <c r="D143" s="195">
        <v>22.61</v>
      </c>
      <c r="E143" s="195">
        <v>22.61</v>
      </c>
      <c r="F143" s="195">
        <v>22.61</v>
      </c>
      <c r="H143" s="195" t="str">
        <f t="shared" si="7"/>
        <v>1993</v>
      </c>
      <c r="I143" s="204" t="s">
        <v>153</v>
      </c>
    </row>
    <row r="144" spans="1:9">
      <c r="A144" s="195" t="s">
        <v>35</v>
      </c>
      <c r="B144" s="195">
        <v>29.41</v>
      </c>
      <c r="C144" s="195">
        <v>29.13</v>
      </c>
      <c r="D144" s="195">
        <v>28.52</v>
      </c>
      <c r="E144" s="195">
        <v>28.47</v>
      </c>
      <c r="F144" s="195">
        <v>22.61</v>
      </c>
      <c r="H144" s="195" t="str">
        <f t="shared" si="7"/>
        <v>1993</v>
      </c>
      <c r="I144" s="204" t="s">
        <v>153</v>
      </c>
    </row>
    <row r="145" spans="1:9">
      <c r="A145" s="195" t="s">
        <v>31</v>
      </c>
      <c r="B145" s="195">
        <v>47.03</v>
      </c>
      <c r="C145" s="195">
        <v>47.03</v>
      </c>
      <c r="D145" s="195">
        <v>47.55</v>
      </c>
      <c r="E145" s="195">
        <v>47.16</v>
      </c>
      <c r="F145" s="195">
        <v>47.16</v>
      </c>
      <c r="H145" s="195" t="str">
        <f t="shared" si="7"/>
        <v>1993</v>
      </c>
      <c r="I145" s="204" t="s">
        <v>153</v>
      </c>
    </row>
    <row r="146" spans="1:9">
      <c r="A146" s="195" t="s">
        <v>458</v>
      </c>
      <c r="B146" s="195">
        <v>37.89</v>
      </c>
      <c r="C146" s="195">
        <v>37.24</v>
      </c>
      <c r="D146" s="195">
        <v>36.880000000000003</v>
      </c>
      <c r="E146" s="195">
        <v>38.43</v>
      </c>
      <c r="F146" s="195">
        <v>36.54</v>
      </c>
      <c r="H146" s="195" t="str">
        <f t="shared" si="7"/>
        <v>1993</v>
      </c>
      <c r="I146" s="204" t="s">
        <v>153</v>
      </c>
    </row>
    <row r="147" spans="1:9">
      <c r="A147" s="195" t="s">
        <v>148</v>
      </c>
      <c r="B147" s="195">
        <v>47.59</v>
      </c>
      <c r="C147" s="195">
        <v>45.96</v>
      </c>
      <c r="D147" s="195">
        <v>45.64</v>
      </c>
      <c r="E147" s="195">
        <v>47.74</v>
      </c>
      <c r="F147" s="195">
        <v>45.66</v>
      </c>
      <c r="H147" s="195" t="str">
        <f t="shared" si="7"/>
        <v>1993</v>
      </c>
      <c r="I147" s="204" t="s">
        <v>153</v>
      </c>
    </row>
    <row r="148" spans="1:9">
      <c r="A148" s="195" t="s">
        <v>149</v>
      </c>
      <c r="B148" s="195">
        <v>41.4</v>
      </c>
      <c r="C148" s="195">
        <v>40.86</v>
      </c>
      <c r="D148" s="195">
        <v>40.61</v>
      </c>
      <c r="E148" s="195">
        <v>44.72</v>
      </c>
      <c r="F148" s="195">
        <v>43.42</v>
      </c>
      <c r="H148" s="195" t="str">
        <f t="shared" si="7"/>
        <v>1993</v>
      </c>
      <c r="I148" s="204" t="s">
        <v>153</v>
      </c>
    </row>
    <row r="149" spans="1:9">
      <c r="A149" s="195" t="s">
        <v>19</v>
      </c>
      <c r="B149" s="195">
        <v>0</v>
      </c>
      <c r="C149" s="195">
        <v>0</v>
      </c>
      <c r="D149" s="195">
        <v>0</v>
      </c>
      <c r="E149" s="195">
        <v>0</v>
      </c>
      <c r="F149" s="195">
        <v>0</v>
      </c>
      <c r="H149" s="195" t="str">
        <f t="shared" si="7"/>
        <v>1993</v>
      </c>
      <c r="I149" s="204" t="s">
        <v>153</v>
      </c>
    </row>
    <row r="150" spans="1:9">
      <c r="A150" s="195" t="s">
        <v>150</v>
      </c>
      <c r="B150" s="195">
        <v>20.52</v>
      </c>
      <c r="C150" s="195">
        <v>20.6</v>
      </c>
      <c r="D150" s="195">
        <v>20.25</v>
      </c>
      <c r="E150" s="195">
        <v>24.39</v>
      </c>
      <c r="F150" s="195">
        <v>22.84</v>
      </c>
      <c r="H150" s="195" t="str">
        <f t="shared" si="7"/>
        <v>1993</v>
      </c>
      <c r="I150" s="204" t="s">
        <v>153</v>
      </c>
    </row>
    <row r="151" spans="1:9">
      <c r="A151" s="195" t="s">
        <v>151</v>
      </c>
      <c r="B151" s="195">
        <v>25.08</v>
      </c>
      <c r="C151" s="195">
        <v>25.18</v>
      </c>
      <c r="D151" s="195">
        <v>24.75</v>
      </c>
      <c r="E151" s="195">
        <v>29.82</v>
      </c>
      <c r="F151" s="195">
        <v>27.92</v>
      </c>
      <c r="H151" s="195" t="str">
        <f t="shared" si="7"/>
        <v>1993</v>
      </c>
      <c r="I151" s="204" t="s">
        <v>153</v>
      </c>
    </row>
    <row r="152" spans="1:9">
      <c r="A152" s="195" t="s">
        <v>152</v>
      </c>
      <c r="B152" s="195">
        <v>18.809999999999999</v>
      </c>
      <c r="C152" s="195">
        <v>18.88</v>
      </c>
      <c r="D152" s="195">
        <v>18.57</v>
      </c>
      <c r="E152" s="195">
        <v>22.36</v>
      </c>
      <c r="F152" s="195">
        <v>20.94</v>
      </c>
      <c r="H152" s="195" t="str">
        <f t="shared" si="7"/>
        <v>1993</v>
      </c>
      <c r="I152" s="204" t="s">
        <v>153</v>
      </c>
    </row>
    <row r="153" spans="1:9">
      <c r="A153" s="195" t="s">
        <v>157</v>
      </c>
    </row>
    <row r="154" spans="1:9">
      <c r="A154" s="195" t="s">
        <v>708</v>
      </c>
      <c r="H154" s="195" t="str">
        <f>RIGHT(A152,4)</f>
        <v>Oil)</v>
      </c>
    </row>
    <row r="155" spans="1:9">
      <c r="A155" s="195" t="s">
        <v>25</v>
      </c>
      <c r="B155" s="195">
        <v>15.02</v>
      </c>
      <c r="C155" s="195">
        <v>0</v>
      </c>
      <c r="D155" s="195">
        <v>0.15</v>
      </c>
      <c r="E155" s="195">
        <v>0</v>
      </c>
      <c r="F155" s="195">
        <v>0</v>
      </c>
      <c r="H155" s="195" t="str">
        <f>RIGHT(A153,4)</f>
        <v>1994</v>
      </c>
      <c r="I155" s="204" t="s">
        <v>710</v>
      </c>
    </row>
    <row r="156" spans="1:9">
      <c r="A156" s="195" t="s">
        <v>22</v>
      </c>
      <c r="B156" s="195">
        <v>320.61</v>
      </c>
      <c r="C156" s="195">
        <v>2.5299999999999998</v>
      </c>
      <c r="D156" s="195">
        <v>12.93</v>
      </c>
      <c r="E156" s="195">
        <v>0.4</v>
      </c>
      <c r="F156" s="195">
        <v>4.1900000000000004</v>
      </c>
      <c r="H156" s="195" t="str">
        <f>H155</f>
        <v>1994</v>
      </c>
      <c r="I156" s="204" t="s">
        <v>710</v>
      </c>
    </row>
    <row r="157" spans="1:9">
      <c r="A157" s="195" t="s">
        <v>15</v>
      </c>
      <c r="B157" s="195">
        <v>117.61</v>
      </c>
      <c r="C157" s="195">
        <v>2.77</v>
      </c>
      <c r="D157" s="195">
        <v>1.67</v>
      </c>
      <c r="E157" s="195">
        <v>3.29</v>
      </c>
      <c r="F157" s="195">
        <v>1.22</v>
      </c>
      <c r="H157" s="195" t="str">
        <f t="shared" ref="H157:H171" si="8">H156</f>
        <v>1994</v>
      </c>
      <c r="I157" s="204" t="s">
        <v>710</v>
      </c>
    </row>
    <row r="158" spans="1:9">
      <c r="A158" s="195" t="s">
        <v>16</v>
      </c>
      <c r="B158" s="195">
        <v>72.25</v>
      </c>
      <c r="C158" s="195">
        <v>4.04</v>
      </c>
      <c r="D158" s="195">
        <v>1.57</v>
      </c>
      <c r="E158" s="195">
        <v>1.22</v>
      </c>
      <c r="F158" s="195">
        <v>0.31</v>
      </c>
      <c r="H158" s="195" t="str">
        <f t="shared" si="8"/>
        <v>1994</v>
      </c>
      <c r="I158" s="204" t="s">
        <v>710</v>
      </c>
    </row>
    <row r="159" spans="1:9">
      <c r="A159" s="195" t="s">
        <v>37</v>
      </c>
      <c r="B159" s="195">
        <v>111.3</v>
      </c>
      <c r="C159" s="195">
        <v>0.18</v>
      </c>
      <c r="D159" s="195">
        <v>6.89</v>
      </c>
      <c r="E159" s="195">
        <v>0.17</v>
      </c>
      <c r="F159" s="195">
        <v>1.66</v>
      </c>
      <c r="H159" s="195" t="str">
        <f t="shared" si="8"/>
        <v>1994</v>
      </c>
      <c r="I159" s="204" t="s">
        <v>710</v>
      </c>
    </row>
    <row r="160" spans="1:9">
      <c r="A160" s="195" t="s">
        <v>36</v>
      </c>
      <c r="B160" s="195">
        <v>172.99</v>
      </c>
      <c r="C160" s="195">
        <v>0.55000000000000004</v>
      </c>
      <c r="D160" s="195">
        <v>18.53</v>
      </c>
      <c r="E160" s="195">
        <v>0</v>
      </c>
      <c r="F160" s="195">
        <v>1.27</v>
      </c>
      <c r="H160" s="195" t="str">
        <f t="shared" si="8"/>
        <v>1994</v>
      </c>
      <c r="I160" s="204" t="s">
        <v>710</v>
      </c>
    </row>
    <row r="161" spans="1:9">
      <c r="A161" s="195" t="s">
        <v>453</v>
      </c>
      <c r="B161" s="195">
        <v>98.99</v>
      </c>
      <c r="C161" s="195">
        <v>0.78</v>
      </c>
      <c r="D161" s="195">
        <v>6.65</v>
      </c>
      <c r="E161" s="195">
        <v>0</v>
      </c>
      <c r="F161" s="195">
        <v>10.63</v>
      </c>
      <c r="H161" s="195" t="str">
        <f t="shared" si="8"/>
        <v>1994</v>
      </c>
      <c r="I161" s="204" t="s">
        <v>710</v>
      </c>
    </row>
    <row r="162" spans="1:9">
      <c r="A162" s="195" t="s">
        <v>456</v>
      </c>
      <c r="B162" s="195">
        <v>28.87</v>
      </c>
      <c r="C162" s="195">
        <v>84.28</v>
      </c>
      <c r="D162" s="195">
        <v>88.41</v>
      </c>
      <c r="E162" s="195">
        <v>19.82</v>
      </c>
      <c r="F162" s="195">
        <v>1.21</v>
      </c>
      <c r="H162" s="195" t="str">
        <f t="shared" si="8"/>
        <v>1994</v>
      </c>
      <c r="I162" s="204" t="s">
        <v>710</v>
      </c>
    </row>
    <row r="163" spans="1:9">
      <c r="A163" s="195" t="s">
        <v>35</v>
      </c>
      <c r="B163" s="195">
        <v>6</v>
      </c>
      <c r="C163" s="195">
        <v>1</v>
      </c>
      <c r="D163" s="195">
        <v>179</v>
      </c>
      <c r="E163" s="195">
        <v>0</v>
      </c>
      <c r="F163" s="195">
        <v>1</v>
      </c>
      <c r="H163" s="195" t="str">
        <f t="shared" si="8"/>
        <v>1994</v>
      </c>
      <c r="I163" s="204" t="s">
        <v>710</v>
      </c>
    </row>
    <row r="164" spans="1:9">
      <c r="A164" s="195" t="s">
        <v>31</v>
      </c>
      <c r="B164" s="195">
        <v>62</v>
      </c>
      <c r="C164" s="195">
        <v>7</v>
      </c>
      <c r="D164" s="195">
        <v>6</v>
      </c>
      <c r="E164" s="195">
        <v>0</v>
      </c>
      <c r="F164" s="195">
        <v>1</v>
      </c>
      <c r="H164" s="195" t="str">
        <f t="shared" si="8"/>
        <v>1994</v>
      </c>
      <c r="I164" s="204" t="s">
        <v>710</v>
      </c>
    </row>
    <row r="165" spans="1:9">
      <c r="A165" s="195" t="s">
        <v>458</v>
      </c>
      <c r="B165" s="195">
        <v>0</v>
      </c>
      <c r="C165" s="195">
        <v>0</v>
      </c>
      <c r="D165" s="195">
        <v>0</v>
      </c>
      <c r="E165" s="195">
        <v>0</v>
      </c>
      <c r="F165" s="195">
        <v>0</v>
      </c>
      <c r="H165" s="195" t="str">
        <f t="shared" si="8"/>
        <v>1994</v>
      </c>
      <c r="I165" s="204" t="s">
        <v>710</v>
      </c>
    </row>
    <row r="166" spans="1:9">
      <c r="A166" s="195" t="s">
        <v>148</v>
      </c>
      <c r="B166" s="195">
        <v>17.45</v>
      </c>
      <c r="C166" s="195">
        <v>0</v>
      </c>
      <c r="D166" s="195">
        <v>0</v>
      </c>
      <c r="E166" s="195">
        <v>0</v>
      </c>
      <c r="F166" s="195">
        <v>21.35</v>
      </c>
      <c r="H166" s="195" t="str">
        <f t="shared" si="8"/>
        <v>1994</v>
      </c>
      <c r="I166" s="204" t="s">
        <v>710</v>
      </c>
    </row>
    <row r="167" spans="1:9">
      <c r="A167" s="195" t="s">
        <v>149</v>
      </c>
      <c r="B167" s="195">
        <v>0</v>
      </c>
      <c r="C167" s="195">
        <v>0</v>
      </c>
      <c r="D167" s="195">
        <v>0</v>
      </c>
      <c r="E167" s="195">
        <v>0</v>
      </c>
      <c r="F167" s="195">
        <v>0</v>
      </c>
      <c r="H167" s="195" t="str">
        <f t="shared" si="8"/>
        <v>1994</v>
      </c>
      <c r="I167" s="204" t="s">
        <v>710</v>
      </c>
    </row>
    <row r="168" spans="1:9">
      <c r="A168" s="195" t="s">
        <v>19</v>
      </c>
      <c r="B168" s="195">
        <v>0</v>
      </c>
      <c r="C168" s="195">
        <v>0</v>
      </c>
      <c r="D168" s="195">
        <v>0</v>
      </c>
      <c r="E168" s="195">
        <v>0</v>
      </c>
      <c r="F168" s="195">
        <v>0</v>
      </c>
      <c r="H168" s="195" t="str">
        <f t="shared" si="8"/>
        <v>1994</v>
      </c>
      <c r="I168" s="204" t="s">
        <v>710</v>
      </c>
    </row>
    <row r="169" spans="1:9">
      <c r="A169" s="195" t="s">
        <v>150</v>
      </c>
      <c r="B169" s="195">
        <v>40.83</v>
      </c>
      <c r="C169" s="195">
        <v>0</v>
      </c>
      <c r="D169" s="195">
        <v>140.94999999999999</v>
      </c>
      <c r="E169" s="195">
        <v>0</v>
      </c>
      <c r="F169" s="195">
        <v>20.76</v>
      </c>
      <c r="H169" s="195" t="str">
        <f t="shared" si="8"/>
        <v>1994</v>
      </c>
      <c r="I169" s="204" t="s">
        <v>710</v>
      </c>
    </row>
    <row r="170" spans="1:9">
      <c r="A170" s="195" t="s">
        <v>151</v>
      </c>
      <c r="B170" s="195">
        <v>9.56</v>
      </c>
      <c r="C170" s="195">
        <v>0.7</v>
      </c>
      <c r="D170" s="195">
        <v>219.81</v>
      </c>
      <c r="E170" s="195">
        <v>0</v>
      </c>
      <c r="F170" s="195">
        <v>0.75</v>
      </c>
      <c r="H170" s="195" t="str">
        <f t="shared" si="8"/>
        <v>1994</v>
      </c>
      <c r="I170" s="204" t="s">
        <v>710</v>
      </c>
    </row>
    <row r="171" spans="1:9">
      <c r="A171" s="195" t="s">
        <v>152</v>
      </c>
      <c r="B171" s="195">
        <v>60.6</v>
      </c>
      <c r="C171" s="195">
        <v>0</v>
      </c>
      <c r="D171" s="195">
        <v>101.35</v>
      </c>
      <c r="E171" s="195">
        <v>0</v>
      </c>
      <c r="F171" s="195">
        <v>3.25</v>
      </c>
      <c r="H171" s="195" t="str">
        <f t="shared" si="8"/>
        <v>1994</v>
      </c>
      <c r="I171" s="204" t="s">
        <v>710</v>
      </c>
    </row>
    <row r="172" spans="1:9">
      <c r="A172" s="195" t="s">
        <v>709</v>
      </c>
    </row>
    <row r="173" spans="1:9">
      <c r="A173" s="195" t="s">
        <v>25</v>
      </c>
      <c r="B173" s="195">
        <v>49.44</v>
      </c>
      <c r="C173" s="195">
        <v>50.45</v>
      </c>
      <c r="D173" s="195">
        <v>49.67</v>
      </c>
      <c r="E173" s="195">
        <v>49.52</v>
      </c>
      <c r="F173" s="195">
        <v>28.74</v>
      </c>
      <c r="H173" s="195" t="str">
        <f>H155</f>
        <v>1994</v>
      </c>
      <c r="I173" s="204" t="s">
        <v>153</v>
      </c>
    </row>
    <row r="174" spans="1:9">
      <c r="A174" s="195" t="s">
        <v>22</v>
      </c>
      <c r="B174" s="195">
        <v>47.87</v>
      </c>
      <c r="C174" s="195">
        <v>48.88</v>
      </c>
      <c r="D174" s="195">
        <v>48.1</v>
      </c>
      <c r="E174" s="195">
        <v>47.95</v>
      </c>
      <c r="F174" s="195">
        <v>27.17</v>
      </c>
      <c r="H174" s="195" t="str">
        <f t="shared" ref="H174:H189" si="9">H156</f>
        <v>1994</v>
      </c>
      <c r="I174" s="204" t="s">
        <v>153</v>
      </c>
    </row>
    <row r="175" spans="1:9">
      <c r="A175" s="195" t="s">
        <v>15</v>
      </c>
      <c r="B175" s="195">
        <v>40.700000000000003</v>
      </c>
      <c r="C175" s="195">
        <v>41.72</v>
      </c>
      <c r="D175" s="195">
        <v>40.93</v>
      </c>
      <c r="E175" s="195">
        <v>42.85</v>
      </c>
      <c r="F175" s="195">
        <v>40.53</v>
      </c>
      <c r="H175" s="195" t="str">
        <f t="shared" si="9"/>
        <v>1994</v>
      </c>
      <c r="I175" s="204" t="s">
        <v>153</v>
      </c>
    </row>
    <row r="176" spans="1:9">
      <c r="A176" s="195" t="s">
        <v>16</v>
      </c>
      <c r="B176" s="195">
        <v>41.91</v>
      </c>
      <c r="C176" s="195">
        <v>40.4</v>
      </c>
      <c r="D176" s="195">
        <v>40.75</v>
      </c>
      <c r="E176" s="195">
        <v>49.11</v>
      </c>
      <c r="F176" s="195">
        <v>47.28</v>
      </c>
      <c r="H176" s="195" t="str">
        <f t="shared" si="9"/>
        <v>1994</v>
      </c>
      <c r="I176" s="204" t="s">
        <v>153</v>
      </c>
    </row>
    <row r="177" spans="1:9">
      <c r="A177" s="195" t="s">
        <v>37</v>
      </c>
      <c r="B177" s="195">
        <v>29.07</v>
      </c>
      <c r="C177" s="195">
        <v>31.39</v>
      </c>
      <c r="D177" s="195">
        <v>31.39</v>
      </c>
      <c r="E177" s="195">
        <v>30.77</v>
      </c>
      <c r="F177" s="195">
        <v>26.07</v>
      </c>
      <c r="H177" s="195" t="str">
        <f t="shared" si="9"/>
        <v>1994</v>
      </c>
      <c r="I177" s="204" t="s">
        <v>153</v>
      </c>
    </row>
    <row r="178" spans="1:9">
      <c r="A178" s="195" t="s">
        <v>36</v>
      </c>
      <c r="B178" s="195">
        <v>27.86</v>
      </c>
      <c r="C178" s="195">
        <v>30.1</v>
      </c>
      <c r="D178" s="195">
        <v>30.52</v>
      </c>
      <c r="E178" s="195">
        <v>29.74</v>
      </c>
      <c r="F178" s="195">
        <v>26.26</v>
      </c>
      <c r="H178" s="195" t="str">
        <f t="shared" si="9"/>
        <v>1994</v>
      </c>
      <c r="I178" s="204" t="s">
        <v>153</v>
      </c>
    </row>
    <row r="179" spans="1:9">
      <c r="A179" s="195" t="s">
        <v>453</v>
      </c>
      <c r="B179" s="195">
        <v>35.25</v>
      </c>
      <c r="C179" s="195">
        <v>35.01</v>
      </c>
      <c r="D179" s="195">
        <v>34.65</v>
      </c>
      <c r="E179" s="195">
        <v>44.6</v>
      </c>
      <c r="F179" s="195">
        <v>41.18</v>
      </c>
      <c r="H179" s="195" t="str">
        <f t="shared" si="9"/>
        <v>1994</v>
      </c>
      <c r="I179" s="204" t="s">
        <v>153</v>
      </c>
    </row>
    <row r="180" spans="1:9">
      <c r="A180" s="195" t="s">
        <v>456</v>
      </c>
      <c r="B180" s="195">
        <v>23.07</v>
      </c>
      <c r="C180" s="195">
        <v>23.07</v>
      </c>
      <c r="D180" s="195">
        <v>23.07</v>
      </c>
      <c r="E180" s="195">
        <v>23.07</v>
      </c>
      <c r="F180" s="195">
        <v>23.07</v>
      </c>
      <c r="H180" s="195" t="str">
        <f t="shared" si="9"/>
        <v>1994</v>
      </c>
      <c r="I180" s="204" t="s">
        <v>153</v>
      </c>
    </row>
    <row r="181" spans="1:9">
      <c r="A181" s="195" t="s">
        <v>35</v>
      </c>
      <c r="B181" s="195">
        <v>30.01</v>
      </c>
      <c r="C181" s="195">
        <v>29.72</v>
      </c>
      <c r="D181" s="195">
        <v>29.1</v>
      </c>
      <c r="E181" s="195">
        <v>29.05</v>
      </c>
      <c r="F181" s="195">
        <v>23.07</v>
      </c>
      <c r="H181" s="195" t="str">
        <f t="shared" si="9"/>
        <v>1994</v>
      </c>
      <c r="I181" s="204" t="s">
        <v>153</v>
      </c>
    </row>
    <row r="182" spans="1:9">
      <c r="A182" s="195" t="s">
        <v>31</v>
      </c>
      <c r="B182" s="195">
        <v>47.99</v>
      </c>
      <c r="C182" s="195">
        <v>47.99</v>
      </c>
      <c r="D182" s="195">
        <v>48.52</v>
      </c>
      <c r="E182" s="195">
        <v>48.12</v>
      </c>
      <c r="F182" s="195">
        <v>48.12</v>
      </c>
      <c r="H182" s="195" t="str">
        <f t="shared" si="9"/>
        <v>1994</v>
      </c>
      <c r="I182" s="204" t="s">
        <v>153</v>
      </c>
    </row>
    <row r="183" spans="1:9">
      <c r="A183" s="195" t="s">
        <v>458</v>
      </c>
      <c r="B183" s="195">
        <v>38.659999999999997</v>
      </c>
      <c r="C183" s="195">
        <v>38</v>
      </c>
      <c r="D183" s="195">
        <v>37.630000000000003</v>
      </c>
      <c r="E183" s="195">
        <v>39.21</v>
      </c>
      <c r="F183" s="195">
        <v>37.28</v>
      </c>
      <c r="H183" s="195" t="str">
        <f t="shared" si="9"/>
        <v>1994</v>
      </c>
      <c r="I183" s="204" t="s">
        <v>153</v>
      </c>
    </row>
    <row r="184" spans="1:9">
      <c r="A184" s="195" t="s">
        <v>148</v>
      </c>
      <c r="B184" s="195">
        <v>48.56</v>
      </c>
      <c r="C184" s="195">
        <v>46.9</v>
      </c>
      <c r="D184" s="195">
        <v>46.57</v>
      </c>
      <c r="E184" s="195">
        <v>48.71</v>
      </c>
      <c r="F184" s="195">
        <v>46.6</v>
      </c>
      <c r="H184" s="195" t="str">
        <f t="shared" si="9"/>
        <v>1994</v>
      </c>
      <c r="I184" s="204" t="s">
        <v>153</v>
      </c>
    </row>
    <row r="185" spans="1:9">
      <c r="A185" s="195" t="s">
        <v>149</v>
      </c>
      <c r="B185" s="195">
        <v>42.24</v>
      </c>
      <c r="C185" s="195">
        <v>41.7</v>
      </c>
      <c r="D185" s="195">
        <v>41.44</v>
      </c>
      <c r="E185" s="195">
        <v>45.63</v>
      </c>
      <c r="F185" s="195">
        <v>44.31</v>
      </c>
      <c r="H185" s="195" t="str">
        <f t="shared" si="9"/>
        <v>1994</v>
      </c>
      <c r="I185" s="204" t="s">
        <v>153</v>
      </c>
    </row>
    <row r="186" spans="1:9">
      <c r="A186" s="195" t="s">
        <v>19</v>
      </c>
      <c r="B186" s="195">
        <v>0</v>
      </c>
      <c r="C186" s="195">
        <v>0</v>
      </c>
      <c r="D186" s="195">
        <v>0</v>
      </c>
      <c r="E186" s="195">
        <v>0</v>
      </c>
      <c r="F186" s="195">
        <v>0</v>
      </c>
      <c r="H186" s="195" t="str">
        <f t="shared" si="9"/>
        <v>1994</v>
      </c>
      <c r="I186" s="204" t="s">
        <v>153</v>
      </c>
    </row>
    <row r="187" spans="1:9">
      <c r="A187" s="195" t="s">
        <v>150</v>
      </c>
      <c r="B187" s="195">
        <v>20.94</v>
      </c>
      <c r="C187" s="195">
        <v>21.02</v>
      </c>
      <c r="D187" s="195">
        <v>20.67</v>
      </c>
      <c r="E187" s="195">
        <v>24.89</v>
      </c>
      <c r="F187" s="195">
        <v>23.31</v>
      </c>
      <c r="H187" s="195" t="str">
        <f t="shared" si="9"/>
        <v>1994</v>
      </c>
      <c r="I187" s="204" t="s">
        <v>153</v>
      </c>
    </row>
    <row r="188" spans="1:9">
      <c r="A188" s="195" t="s">
        <v>151</v>
      </c>
      <c r="B188" s="195">
        <v>25.59</v>
      </c>
      <c r="C188" s="195">
        <v>25.69</v>
      </c>
      <c r="D188" s="195">
        <v>25.26</v>
      </c>
      <c r="E188" s="195">
        <v>30.42</v>
      </c>
      <c r="F188" s="195">
        <v>28.49</v>
      </c>
      <c r="H188" s="195" t="str">
        <f t="shared" si="9"/>
        <v>1994</v>
      </c>
      <c r="I188" s="204" t="s">
        <v>153</v>
      </c>
    </row>
    <row r="189" spans="1:9">
      <c r="A189" s="195" t="s">
        <v>152</v>
      </c>
      <c r="B189" s="195">
        <v>19.190000000000001</v>
      </c>
      <c r="C189" s="195">
        <v>19.27</v>
      </c>
      <c r="D189" s="195">
        <v>18.95</v>
      </c>
      <c r="E189" s="195">
        <v>22.82</v>
      </c>
      <c r="F189" s="195">
        <v>21.37</v>
      </c>
      <c r="H189" s="195" t="str">
        <f t="shared" si="9"/>
        <v>1994</v>
      </c>
      <c r="I189" s="204" t="s">
        <v>153</v>
      </c>
    </row>
    <row r="190" spans="1:9">
      <c r="A190" s="195" t="s">
        <v>158</v>
      </c>
    </row>
    <row r="191" spans="1:9">
      <c r="A191" s="195" t="s">
        <v>708</v>
      </c>
    </row>
    <row r="192" spans="1:9">
      <c r="A192" s="195" t="s">
        <v>25</v>
      </c>
      <c r="B192" s="195">
        <v>116.04</v>
      </c>
      <c r="C192" s="195">
        <v>0</v>
      </c>
      <c r="D192" s="195">
        <v>0</v>
      </c>
      <c r="E192" s="195">
        <v>0</v>
      </c>
      <c r="F192" s="195">
        <v>0.78</v>
      </c>
      <c r="H192" s="195" t="str">
        <f>RIGHT(A190,4)</f>
        <v>1995</v>
      </c>
      <c r="I192" s="204" t="s">
        <v>710</v>
      </c>
    </row>
    <row r="193" spans="1:9">
      <c r="A193" s="195" t="s">
        <v>22</v>
      </c>
      <c r="B193" s="195">
        <v>140.4</v>
      </c>
      <c r="C193" s="195">
        <v>3.08</v>
      </c>
      <c r="D193" s="195">
        <v>3.07</v>
      </c>
      <c r="E193" s="195">
        <v>0.43</v>
      </c>
      <c r="F193" s="195">
        <v>1.1599999999999999</v>
      </c>
      <c r="H193" s="195" t="str">
        <f>H192</f>
        <v>1995</v>
      </c>
      <c r="I193" s="204" t="s">
        <v>710</v>
      </c>
    </row>
    <row r="194" spans="1:9">
      <c r="A194" s="195" t="s">
        <v>15</v>
      </c>
      <c r="B194" s="195">
        <v>109.26</v>
      </c>
      <c r="C194" s="195">
        <v>1.62</v>
      </c>
      <c r="D194" s="195">
        <v>1.1399999999999999</v>
      </c>
      <c r="E194" s="195">
        <v>4.01</v>
      </c>
      <c r="F194" s="195">
        <v>1.18</v>
      </c>
      <c r="H194" s="195" t="str">
        <f t="shared" ref="H194:H208" si="10">H193</f>
        <v>1995</v>
      </c>
      <c r="I194" s="204" t="s">
        <v>710</v>
      </c>
    </row>
    <row r="195" spans="1:9">
      <c r="A195" s="195" t="s">
        <v>16</v>
      </c>
      <c r="B195" s="195">
        <v>71.25</v>
      </c>
      <c r="C195" s="195">
        <v>2.9</v>
      </c>
      <c r="D195" s="195">
        <v>0</v>
      </c>
      <c r="E195" s="195">
        <v>1.32</v>
      </c>
      <c r="F195" s="195">
        <v>1.88</v>
      </c>
      <c r="H195" s="195" t="str">
        <f t="shared" si="10"/>
        <v>1995</v>
      </c>
      <c r="I195" s="204" t="s">
        <v>710</v>
      </c>
    </row>
    <row r="196" spans="1:9">
      <c r="A196" s="195" t="s">
        <v>37</v>
      </c>
      <c r="B196" s="195">
        <v>45.77</v>
      </c>
      <c r="C196" s="195">
        <v>0.13</v>
      </c>
      <c r="D196" s="195">
        <v>1.62</v>
      </c>
      <c r="E196" s="195">
        <v>0</v>
      </c>
      <c r="F196" s="195">
        <v>0.55000000000000004</v>
      </c>
      <c r="H196" s="195" t="str">
        <f t="shared" si="10"/>
        <v>1995</v>
      </c>
      <c r="I196" s="204" t="s">
        <v>710</v>
      </c>
    </row>
    <row r="197" spans="1:9">
      <c r="A197" s="195" t="s">
        <v>36</v>
      </c>
      <c r="B197" s="195">
        <v>123.36</v>
      </c>
      <c r="C197" s="195">
        <v>0.84</v>
      </c>
      <c r="D197" s="195">
        <v>12.99</v>
      </c>
      <c r="E197" s="195">
        <v>0</v>
      </c>
      <c r="F197" s="195">
        <v>1.41</v>
      </c>
      <c r="H197" s="195" t="str">
        <f t="shared" si="10"/>
        <v>1995</v>
      </c>
      <c r="I197" s="204" t="s">
        <v>710</v>
      </c>
    </row>
    <row r="198" spans="1:9">
      <c r="A198" s="195" t="s">
        <v>453</v>
      </c>
      <c r="B198" s="195">
        <v>85.47</v>
      </c>
      <c r="C198" s="195">
        <v>0</v>
      </c>
      <c r="D198" s="195">
        <v>10.33</v>
      </c>
      <c r="E198" s="195">
        <v>0</v>
      </c>
      <c r="F198" s="195">
        <v>9.9</v>
      </c>
      <c r="H198" s="195" t="str">
        <f t="shared" si="10"/>
        <v>1995</v>
      </c>
      <c r="I198" s="204" t="s">
        <v>710</v>
      </c>
    </row>
    <row r="199" spans="1:9">
      <c r="A199" s="195" t="s">
        <v>456</v>
      </c>
      <c r="B199" s="195">
        <v>22.34</v>
      </c>
      <c r="C199" s="195">
        <v>67.37</v>
      </c>
      <c r="D199" s="195">
        <v>87.18</v>
      </c>
      <c r="E199" s="195">
        <v>12.79</v>
      </c>
      <c r="F199" s="195">
        <v>2.57</v>
      </c>
      <c r="H199" s="195" t="str">
        <f t="shared" si="10"/>
        <v>1995</v>
      </c>
      <c r="I199" s="204" t="s">
        <v>710</v>
      </c>
    </row>
    <row r="200" spans="1:9">
      <c r="A200" s="195" t="s">
        <v>35</v>
      </c>
      <c r="B200" s="195">
        <v>4</v>
      </c>
      <c r="C200" s="195">
        <v>1</v>
      </c>
      <c r="D200" s="195">
        <v>153</v>
      </c>
      <c r="E200" s="195">
        <v>0</v>
      </c>
      <c r="F200" s="195">
        <v>0</v>
      </c>
      <c r="H200" s="195" t="str">
        <f t="shared" si="10"/>
        <v>1995</v>
      </c>
      <c r="I200" s="204" t="s">
        <v>710</v>
      </c>
    </row>
    <row r="201" spans="1:9">
      <c r="A201" s="195" t="s">
        <v>31</v>
      </c>
      <c r="B201" s="195">
        <v>87</v>
      </c>
      <c r="C201" s="195">
        <v>4</v>
      </c>
      <c r="D201" s="195">
        <v>14</v>
      </c>
      <c r="E201" s="195">
        <v>0</v>
      </c>
      <c r="F201" s="195">
        <v>2</v>
      </c>
      <c r="H201" s="195" t="str">
        <f t="shared" si="10"/>
        <v>1995</v>
      </c>
      <c r="I201" s="204" t="s">
        <v>710</v>
      </c>
    </row>
    <row r="202" spans="1:9">
      <c r="A202" s="195" t="s">
        <v>458</v>
      </c>
      <c r="B202" s="195">
        <v>0</v>
      </c>
      <c r="C202" s="195">
        <v>0</v>
      </c>
      <c r="D202" s="195">
        <v>0</v>
      </c>
      <c r="E202" s="195">
        <v>0</v>
      </c>
      <c r="F202" s="195">
        <v>0</v>
      </c>
      <c r="H202" s="195" t="str">
        <f t="shared" si="10"/>
        <v>1995</v>
      </c>
      <c r="I202" s="204" t="s">
        <v>710</v>
      </c>
    </row>
    <row r="203" spans="1:9">
      <c r="A203" s="195" t="s">
        <v>148</v>
      </c>
      <c r="B203" s="195">
        <v>16.29</v>
      </c>
      <c r="C203" s="195">
        <v>0</v>
      </c>
      <c r="D203" s="195">
        <v>0.95</v>
      </c>
      <c r="E203" s="195">
        <v>0</v>
      </c>
      <c r="F203" s="195">
        <v>27.87</v>
      </c>
      <c r="H203" s="195" t="str">
        <f t="shared" si="10"/>
        <v>1995</v>
      </c>
      <c r="I203" s="204" t="s">
        <v>710</v>
      </c>
    </row>
    <row r="204" spans="1:9">
      <c r="A204" s="195" t="s">
        <v>149</v>
      </c>
      <c r="B204" s="195">
        <v>0</v>
      </c>
      <c r="C204" s="195">
        <v>0</v>
      </c>
      <c r="D204" s="195">
        <v>0</v>
      </c>
      <c r="E204" s="195">
        <v>0</v>
      </c>
      <c r="F204" s="195">
        <v>0</v>
      </c>
      <c r="H204" s="195" t="str">
        <f t="shared" si="10"/>
        <v>1995</v>
      </c>
      <c r="I204" s="204" t="s">
        <v>710</v>
      </c>
    </row>
    <row r="205" spans="1:9">
      <c r="A205" s="195" t="s">
        <v>19</v>
      </c>
      <c r="B205" s="195">
        <v>0</v>
      </c>
      <c r="C205" s="195">
        <v>0</v>
      </c>
      <c r="D205" s="195">
        <v>0</v>
      </c>
      <c r="E205" s="195">
        <v>0</v>
      </c>
      <c r="F205" s="195">
        <v>0</v>
      </c>
      <c r="H205" s="195" t="str">
        <f t="shared" si="10"/>
        <v>1995</v>
      </c>
      <c r="I205" s="204" t="s">
        <v>710</v>
      </c>
    </row>
    <row r="206" spans="1:9">
      <c r="A206" s="195" t="s">
        <v>150</v>
      </c>
      <c r="B206" s="195">
        <v>25.04</v>
      </c>
      <c r="C206" s="195">
        <v>0</v>
      </c>
      <c r="D206" s="195">
        <v>117.1</v>
      </c>
      <c r="E206" s="195">
        <v>0</v>
      </c>
      <c r="F206" s="195">
        <v>15.5</v>
      </c>
      <c r="H206" s="195" t="str">
        <f t="shared" si="10"/>
        <v>1995</v>
      </c>
      <c r="I206" s="204" t="s">
        <v>710</v>
      </c>
    </row>
    <row r="207" spans="1:9">
      <c r="A207" s="195" t="s">
        <v>151</v>
      </c>
      <c r="B207" s="195">
        <v>7.17</v>
      </c>
      <c r="C207" s="195">
        <v>1.1299999999999999</v>
      </c>
      <c r="D207" s="195">
        <v>199.7</v>
      </c>
      <c r="E207" s="195">
        <v>0</v>
      </c>
      <c r="F207" s="195">
        <v>0.79</v>
      </c>
      <c r="H207" s="195" t="str">
        <f t="shared" si="10"/>
        <v>1995</v>
      </c>
      <c r="I207" s="204" t="s">
        <v>710</v>
      </c>
    </row>
    <row r="208" spans="1:9">
      <c r="A208" s="195" t="s">
        <v>152</v>
      </c>
      <c r="B208" s="195">
        <v>51.55</v>
      </c>
      <c r="C208" s="195">
        <v>0</v>
      </c>
      <c r="D208" s="195">
        <v>85.99</v>
      </c>
      <c r="E208" s="195">
        <v>0</v>
      </c>
      <c r="F208" s="195">
        <v>2.73</v>
      </c>
      <c r="H208" s="195" t="str">
        <f t="shared" si="10"/>
        <v>1995</v>
      </c>
      <c r="I208" s="204" t="s">
        <v>710</v>
      </c>
    </row>
    <row r="209" spans="1:9">
      <c r="A209" s="195" t="s">
        <v>709</v>
      </c>
    </row>
    <row r="210" spans="1:9">
      <c r="A210" s="195" t="s">
        <v>25</v>
      </c>
      <c r="B210" s="195">
        <v>50.44</v>
      </c>
      <c r="C210" s="195">
        <v>51.48</v>
      </c>
      <c r="D210" s="195">
        <v>50.68</v>
      </c>
      <c r="E210" s="195">
        <v>50.53</v>
      </c>
      <c r="F210" s="195">
        <v>29.32</v>
      </c>
      <c r="H210" s="195" t="str">
        <f>H192</f>
        <v>1995</v>
      </c>
      <c r="I210" s="204" t="s">
        <v>153</v>
      </c>
    </row>
    <row r="211" spans="1:9">
      <c r="A211" s="195" t="s">
        <v>22</v>
      </c>
      <c r="B211" s="195">
        <v>48.84</v>
      </c>
      <c r="C211" s="195">
        <v>49.88</v>
      </c>
      <c r="D211" s="195">
        <v>49.08</v>
      </c>
      <c r="E211" s="195">
        <v>48.92</v>
      </c>
      <c r="F211" s="195">
        <v>27.72</v>
      </c>
      <c r="H211" s="195" t="str">
        <f t="shared" ref="H211:H226" si="11">H193</f>
        <v>1995</v>
      </c>
      <c r="I211" s="204" t="s">
        <v>153</v>
      </c>
    </row>
    <row r="212" spans="1:9">
      <c r="A212" s="195" t="s">
        <v>15</v>
      </c>
      <c r="B212" s="195">
        <v>41.53</v>
      </c>
      <c r="C212" s="195">
        <v>42.57</v>
      </c>
      <c r="D212" s="195">
        <v>41.77</v>
      </c>
      <c r="E212" s="195">
        <v>43.73</v>
      </c>
      <c r="F212" s="195">
        <v>41.35</v>
      </c>
      <c r="H212" s="195" t="str">
        <f t="shared" si="11"/>
        <v>1995</v>
      </c>
      <c r="I212" s="204" t="s">
        <v>153</v>
      </c>
    </row>
    <row r="213" spans="1:9">
      <c r="A213" s="195" t="s">
        <v>16</v>
      </c>
      <c r="B213" s="195">
        <v>42.77</v>
      </c>
      <c r="C213" s="195">
        <v>41.22</v>
      </c>
      <c r="D213" s="195">
        <v>41.58</v>
      </c>
      <c r="E213" s="195">
        <v>50.11</v>
      </c>
      <c r="F213" s="195">
        <v>48.24</v>
      </c>
      <c r="H213" s="195" t="str">
        <f t="shared" si="11"/>
        <v>1995</v>
      </c>
      <c r="I213" s="204" t="s">
        <v>153</v>
      </c>
    </row>
    <row r="214" spans="1:9">
      <c r="A214" s="195" t="s">
        <v>37</v>
      </c>
      <c r="B214" s="195">
        <v>29.66</v>
      </c>
      <c r="C214" s="195">
        <v>32.03</v>
      </c>
      <c r="D214" s="195">
        <v>32.03</v>
      </c>
      <c r="E214" s="195">
        <v>31.4</v>
      </c>
      <c r="F214" s="195">
        <v>26.6</v>
      </c>
      <c r="H214" s="195" t="str">
        <f t="shared" si="11"/>
        <v>1995</v>
      </c>
      <c r="I214" s="204" t="s">
        <v>153</v>
      </c>
    </row>
    <row r="215" spans="1:9">
      <c r="A215" s="195" t="s">
        <v>36</v>
      </c>
      <c r="B215" s="195">
        <v>28.43</v>
      </c>
      <c r="C215" s="195">
        <v>30.71</v>
      </c>
      <c r="D215" s="195">
        <v>31.14</v>
      </c>
      <c r="E215" s="195">
        <v>30.34</v>
      </c>
      <c r="F215" s="195">
        <v>26.8</v>
      </c>
      <c r="H215" s="195" t="str">
        <f t="shared" si="11"/>
        <v>1995</v>
      </c>
      <c r="I215" s="204" t="s">
        <v>153</v>
      </c>
    </row>
    <row r="216" spans="1:9">
      <c r="A216" s="195" t="s">
        <v>453</v>
      </c>
      <c r="B216" s="195">
        <v>35.96</v>
      </c>
      <c r="C216" s="195">
        <v>35.72</v>
      </c>
      <c r="D216" s="195">
        <v>35.36</v>
      </c>
      <c r="E216" s="195">
        <v>45.51</v>
      </c>
      <c r="F216" s="195">
        <v>42.02</v>
      </c>
      <c r="H216" s="195" t="str">
        <f t="shared" si="11"/>
        <v>1995</v>
      </c>
      <c r="I216" s="204" t="s">
        <v>153</v>
      </c>
    </row>
    <row r="217" spans="1:9">
      <c r="A217" s="195" t="s">
        <v>456</v>
      </c>
      <c r="B217" s="195">
        <v>23.54</v>
      </c>
      <c r="C217" s="195">
        <v>23.54</v>
      </c>
      <c r="D217" s="195">
        <v>23.54</v>
      </c>
      <c r="E217" s="195">
        <v>23.54</v>
      </c>
      <c r="F217" s="195">
        <v>23.54</v>
      </c>
      <c r="H217" s="195" t="str">
        <f t="shared" si="11"/>
        <v>1995</v>
      </c>
      <c r="I217" s="204" t="s">
        <v>153</v>
      </c>
    </row>
    <row r="218" spans="1:9">
      <c r="A218" s="195" t="s">
        <v>35</v>
      </c>
      <c r="B218" s="195">
        <v>30.62</v>
      </c>
      <c r="C218" s="195">
        <v>30.33</v>
      </c>
      <c r="D218" s="195">
        <v>29.69</v>
      </c>
      <c r="E218" s="195">
        <v>29.64</v>
      </c>
      <c r="F218" s="195">
        <v>23.54</v>
      </c>
      <c r="H218" s="195" t="str">
        <f t="shared" si="11"/>
        <v>1995</v>
      </c>
      <c r="I218" s="204" t="s">
        <v>153</v>
      </c>
    </row>
    <row r="219" spans="1:9">
      <c r="A219" s="195" t="s">
        <v>31</v>
      </c>
      <c r="B219" s="195">
        <v>48.97</v>
      </c>
      <c r="C219" s="195">
        <v>48.97</v>
      </c>
      <c r="D219" s="195">
        <v>49.51</v>
      </c>
      <c r="E219" s="195">
        <v>49.1</v>
      </c>
      <c r="F219" s="195">
        <v>49.1</v>
      </c>
      <c r="H219" s="195" t="str">
        <f t="shared" si="11"/>
        <v>1995</v>
      </c>
      <c r="I219" s="204" t="s">
        <v>153</v>
      </c>
    </row>
    <row r="220" spans="1:9">
      <c r="A220" s="195" t="s">
        <v>458</v>
      </c>
      <c r="B220" s="195">
        <v>39.450000000000003</v>
      </c>
      <c r="C220" s="195">
        <v>38.770000000000003</v>
      </c>
      <c r="D220" s="195">
        <v>38.4</v>
      </c>
      <c r="E220" s="195">
        <v>40.01</v>
      </c>
      <c r="F220" s="195">
        <v>38.04</v>
      </c>
      <c r="H220" s="195" t="str">
        <f t="shared" si="11"/>
        <v>1995</v>
      </c>
      <c r="I220" s="204" t="s">
        <v>153</v>
      </c>
    </row>
    <row r="221" spans="1:9">
      <c r="A221" s="195" t="s">
        <v>148</v>
      </c>
      <c r="B221" s="195">
        <v>49.55</v>
      </c>
      <c r="C221" s="195">
        <v>47.86</v>
      </c>
      <c r="D221" s="195">
        <v>47.52</v>
      </c>
      <c r="E221" s="195">
        <v>49.7</v>
      </c>
      <c r="F221" s="195">
        <v>47.55</v>
      </c>
      <c r="H221" s="195" t="str">
        <f t="shared" si="11"/>
        <v>1995</v>
      </c>
      <c r="I221" s="204" t="s">
        <v>153</v>
      </c>
    </row>
    <row r="222" spans="1:9">
      <c r="A222" s="195" t="s">
        <v>149</v>
      </c>
      <c r="B222" s="195">
        <v>43.1</v>
      </c>
      <c r="C222" s="195">
        <v>42.55</v>
      </c>
      <c r="D222" s="195">
        <v>42.29</v>
      </c>
      <c r="E222" s="195">
        <v>46.57</v>
      </c>
      <c r="F222" s="195">
        <v>45.22</v>
      </c>
      <c r="H222" s="195" t="str">
        <f t="shared" si="11"/>
        <v>1995</v>
      </c>
      <c r="I222" s="204" t="s">
        <v>153</v>
      </c>
    </row>
    <row r="223" spans="1:9">
      <c r="A223" s="195" t="s">
        <v>19</v>
      </c>
      <c r="B223" s="195">
        <v>0</v>
      </c>
      <c r="C223" s="195">
        <v>0</v>
      </c>
      <c r="D223" s="195">
        <v>0</v>
      </c>
      <c r="E223" s="195">
        <v>0</v>
      </c>
      <c r="F223" s="195">
        <v>0</v>
      </c>
      <c r="H223" s="195" t="str">
        <f t="shared" si="11"/>
        <v>1995</v>
      </c>
      <c r="I223" s="204" t="s">
        <v>153</v>
      </c>
    </row>
    <row r="224" spans="1:9">
      <c r="A224" s="195" t="s">
        <v>150</v>
      </c>
      <c r="B224" s="195">
        <v>21.37</v>
      </c>
      <c r="C224" s="195">
        <v>21.45</v>
      </c>
      <c r="D224" s="195">
        <v>21.09</v>
      </c>
      <c r="E224" s="195">
        <v>25.4</v>
      </c>
      <c r="F224" s="195">
        <v>23.78</v>
      </c>
      <c r="H224" s="195" t="str">
        <f t="shared" si="11"/>
        <v>1995</v>
      </c>
      <c r="I224" s="204" t="s">
        <v>153</v>
      </c>
    </row>
    <row r="225" spans="1:9">
      <c r="A225" s="195" t="s">
        <v>151</v>
      </c>
      <c r="B225" s="195">
        <v>26.11</v>
      </c>
      <c r="C225" s="195">
        <v>26.22</v>
      </c>
      <c r="D225" s="195">
        <v>25.78</v>
      </c>
      <c r="E225" s="195">
        <v>31.05</v>
      </c>
      <c r="F225" s="195">
        <v>29.07</v>
      </c>
      <c r="H225" s="195" t="str">
        <f t="shared" si="11"/>
        <v>1995</v>
      </c>
      <c r="I225" s="204" t="s">
        <v>153</v>
      </c>
    </row>
    <row r="226" spans="1:9">
      <c r="A226" s="195" t="s">
        <v>152</v>
      </c>
      <c r="B226" s="195">
        <v>19.579999999999998</v>
      </c>
      <c r="C226" s="195">
        <v>19.66</v>
      </c>
      <c r="D226" s="195">
        <v>19.329999999999998</v>
      </c>
      <c r="E226" s="195">
        <v>23.28</v>
      </c>
      <c r="F226" s="195">
        <v>21.8</v>
      </c>
      <c r="H226" s="195" t="str">
        <f t="shared" si="11"/>
        <v>1995</v>
      </c>
      <c r="I226" s="204" t="s">
        <v>153</v>
      </c>
    </row>
    <row r="227" spans="1:9">
      <c r="A227" s="195" t="s">
        <v>159</v>
      </c>
    </row>
    <row r="228" spans="1:9">
      <c r="A228" s="195" t="s">
        <v>708</v>
      </c>
    </row>
    <row r="229" spans="1:9">
      <c r="A229" s="195" t="s">
        <v>25</v>
      </c>
      <c r="B229" s="195">
        <v>166.92</v>
      </c>
      <c r="C229" s="195">
        <v>0</v>
      </c>
      <c r="D229" s="195">
        <v>2.48</v>
      </c>
      <c r="E229" s="195">
        <v>0</v>
      </c>
      <c r="F229" s="195">
        <v>4.72</v>
      </c>
      <c r="H229" s="195" t="str">
        <f>RIGHT(A227,4)</f>
        <v>1996</v>
      </c>
      <c r="I229" s="204" t="s">
        <v>710</v>
      </c>
    </row>
    <row r="230" spans="1:9">
      <c r="A230" s="195" t="s">
        <v>22</v>
      </c>
      <c r="B230" s="195">
        <v>152.77000000000001</v>
      </c>
      <c r="C230" s="195">
        <v>3.16</v>
      </c>
      <c r="D230" s="195">
        <v>2.98</v>
      </c>
      <c r="E230" s="195">
        <v>1.0900000000000001</v>
      </c>
      <c r="F230" s="195">
        <v>3.15</v>
      </c>
      <c r="H230" s="195" t="str">
        <f>H229</f>
        <v>1996</v>
      </c>
      <c r="I230" s="204" t="s">
        <v>710</v>
      </c>
    </row>
    <row r="231" spans="1:9">
      <c r="A231" s="195" t="s">
        <v>15</v>
      </c>
      <c r="B231" s="195">
        <v>111.03</v>
      </c>
      <c r="C231" s="195">
        <v>1.63</v>
      </c>
      <c r="D231" s="195">
        <v>0.11</v>
      </c>
      <c r="E231" s="195">
        <v>5.27</v>
      </c>
      <c r="F231" s="195">
        <v>1.73</v>
      </c>
      <c r="H231" s="195" t="str">
        <f t="shared" ref="H231:H245" si="12">H230</f>
        <v>1996</v>
      </c>
      <c r="I231" s="204" t="s">
        <v>710</v>
      </c>
    </row>
    <row r="232" spans="1:9">
      <c r="A232" s="195" t="s">
        <v>16</v>
      </c>
      <c r="B232" s="195">
        <v>101.82</v>
      </c>
      <c r="C232" s="195">
        <v>4.34</v>
      </c>
      <c r="D232" s="195">
        <v>0</v>
      </c>
      <c r="E232" s="195">
        <v>2.09</v>
      </c>
      <c r="F232" s="195">
        <v>3.99</v>
      </c>
      <c r="H232" s="195" t="str">
        <f t="shared" si="12"/>
        <v>1996</v>
      </c>
      <c r="I232" s="204" t="s">
        <v>710</v>
      </c>
    </row>
    <row r="233" spans="1:9">
      <c r="A233" s="195" t="s">
        <v>37</v>
      </c>
      <c r="B233" s="195">
        <v>96.86</v>
      </c>
      <c r="C233" s="195">
        <v>0.3</v>
      </c>
      <c r="D233" s="195">
        <v>10.75</v>
      </c>
      <c r="E233" s="195">
        <v>0</v>
      </c>
      <c r="F233" s="195">
        <v>3.2</v>
      </c>
      <c r="H233" s="195" t="str">
        <f t="shared" si="12"/>
        <v>1996</v>
      </c>
      <c r="I233" s="204" t="s">
        <v>710</v>
      </c>
    </row>
    <row r="234" spans="1:9">
      <c r="A234" s="195" t="s">
        <v>36</v>
      </c>
      <c r="B234" s="195">
        <v>127.92</v>
      </c>
      <c r="C234" s="195">
        <v>0</v>
      </c>
      <c r="D234" s="195">
        <v>9.2899999999999991</v>
      </c>
      <c r="E234" s="195">
        <v>0</v>
      </c>
      <c r="F234" s="195">
        <v>0.59</v>
      </c>
      <c r="H234" s="195" t="str">
        <f t="shared" si="12"/>
        <v>1996</v>
      </c>
      <c r="I234" s="204" t="s">
        <v>710</v>
      </c>
    </row>
    <row r="235" spans="1:9">
      <c r="A235" s="195" t="s">
        <v>453</v>
      </c>
      <c r="B235" s="195">
        <v>100.25</v>
      </c>
      <c r="C235" s="195">
        <v>0</v>
      </c>
      <c r="D235" s="195">
        <v>3.18</v>
      </c>
      <c r="E235" s="195">
        <v>0</v>
      </c>
      <c r="F235" s="195">
        <v>7.69</v>
      </c>
      <c r="H235" s="195" t="str">
        <f t="shared" si="12"/>
        <v>1996</v>
      </c>
      <c r="I235" s="204" t="s">
        <v>710</v>
      </c>
    </row>
    <row r="236" spans="1:9">
      <c r="A236" s="195" t="s">
        <v>456</v>
      </c>
      <c r="B236" s="195">
        <v>30.28</v>
      </c>
      <c r="C236" s="195">
        <v>64.11</v>
      </c>
      <c r="D236" s="195">
        <v>104.35</v>
      </c>
      <c r="E236" s="195">
        <v>11.57</v>
      </c>
      <c r="F236" s="195">
        <v>1.44</v>
      </c>
      <c r="H236" s="195" t="str">
        <f t="shared" si="12"/>
        <v>1996</v>
      </c>
      <c r="I236" s="204" t="s">
        <v>710</v>
      </c>
    </row>
    <row r="237" spans="1:9">
      <c r="A237" s="195" t="s">
        <v>35</v>
      </c>
      <c r="B237" s="195">
        <v>9</v>
      </c>
      <c r="C237" s="195">
        <v>1</v>
      </c>
      <c r="D237" s="195">
        <v>186</v>
      </c>
      <c r="E237" s="195">
        <v>0</v>
      </c>
      <c r="F237" s="195">
        <v>1</v>
      </c>
      <c r="H237" s="195" t="str">
        <f t="shared" si="12"/>
        <v>1996</v>
      </c>
      <c r="I237" s="204" t="s">
        <v>710</v>
      </c>
    </row>
    <row r="238" spans="1:9">
      <c r="A238" s="195" t="s">
        <v>31</v>
      </c>
      <c r="B238" s="195">
        <v>199</v>
      </c>
      <c r="C238" s="195">
        <v>4</v>
      </c>
      <c r="D238" s="195">
        <v>4</v>
      </c>
      <c r="E238" s="195">
        <v>0</v>
      </c>
      <c r="F238" s="195">
        <v>8</v>
      </c>
      <c r="H238" s="195" t="str">
        <f t="shared" si="12"/>
        <v>1996</v>
      </c>
      <c r="I238" s="204" t="s">
        <v>710</v>
      </c>
    </row>
    <row r="239" spans="1:9">
      <c r="A239" s="195" t="s">
        <v>458</v>
      </c>
      <c r="B239" s="195">
        <v>0.1</v>
      </c>
      <c r="C239" s="195">
        <v>0</v>
      </c>
      <c r="D239" s="195">
        <v>0</v>
      </c>
      <c r="E239" s="195">
        <v>0</v>
      </c>
      <c r="F239" s="195">
        <v>0</v>
      </c>
      <c r="H239" s="195" t="str">
        <f t="shared" si="12"/>
        <v>1996</v>
      </c>
      <c r="I239" s="204" t="s">
        <v>710</v>
      </c>
    </row>
    <row r="240" spans="1:9">
      <c r="A240" s="195" t="s">
        <v>148</v>
      </c>
      <c r="B240" s="195">
        <v>10.09</v>
      </c>
      <c r="C240" s="195">
        <v>0</v>
      </c>
      <c r="D240" s="195">
        <v>7.0000000000000007E-2</v>
      </c>
      <c r="E240" s="195">
        <v>0</v>
      </c>
      <c r="F240" s="195">
        <v>37.68</v>
      </c>
      <c r="H240" s="195" t="str">
        <f t="shared" si="12"/>
        <v>1996</v>
      </c>
      <c r="I240" s="204" t="s">
        <v>710</v>
      </c>
    </row>
    <row r="241" spans="1:9">
      <c r="A241" s="195" t="s">
        <v>149</v>
      </c>
      <c r="B241" s="195">
        <v>0</v>
      </c>
      <c r="C241" s="195">
        <v>0</v>
      </c>
      <c r="D241" s="195">
        <v>0</v>
      </c>
      <c r="E241" s="195">
        <v>0</v>
      </c>
      <c r="F241" s="195">
        <v>0</v>
      </c>
      <c r="H241" s="195" t="str">
        <f t="shared" si="12"/>
        <v>1996</v>
      </c>
      <c r="I241" s="204" t="s">
        <v>710</v>
      </c>
    </row>
    <row r="242" spans="1:9">
      <c r="A242" s="195" t="s">
        <v>19</v>
      </c>
      <c r="B242" s="195">
        <v>0</v>
      </c>
      <c r="C242" s="195">
        <v>0</v>
      </c>
      <c r="D242" s="195">
        <v>0</v>
      </c>
      <c r="E242" s="195">
        <v>0</v>
      </c>
      <c r="F242" s="195">
        <v>0</v>
      </c>
      <c r="H242" s="195" t="str">
        <f t="shared" si="12"/>
        <v>1996</v>
      </c>
      <c r="I242" s="204" t="s">
        <v>710</v>
      </c>
    </row>
    <row r="243" spans="1:9">
      <c r="A243" s="195" t="s">
        <v>150</v>
      </c>
      <c r="B243" s="195">
        <v>17.16</v>
      </c>
      <c r="C243" s="195">
        <v>0</v>
      </c>
      <c r="D243" s="195">
        <v>105.3</v>
      </c>
      <c r="E243" s="195">
        <v>0</v>
      </c>
      <c r="F243" s="195">
        <v>14.68</v>
      </c>
      <c r="H243" s="195" t="str">
        <f t="shared" si="12"/>
        <v>1996</v>
      </c>
      <c r="I243" s="204" t="s">
        <v>710</v>
      </c>
    </row>
    <row r="244" spans="1:9">
      <c r="A244" s="195" t="s">
        <v>151</v>
      </c>
      <c r="B244" s="195">
        <v>14.26</v>
      </c>
      <c r="C244" s="195">
        <v>1.24</v>
      </c>
      <c r="D244" s="195">
        <v>234.79</v>
      </c>
      <c r="E244" s="195">
        <v>0</v>
      </c>
      <c r="F244" s="195">
        <v>5.42</v>
      </c>
      <c r="H244" s="195" t="str">
        <f t="shared" si="12"/>
        <v>1996</v>
      </c>
      <c r="I244" s="204" t="s">
        <v>710</v>
      </c>
    </row>
    <row r="245" spans="1:9">
      <c r="A245" s="195" t="s">
        <v>152</v>
      </c>
      <c r="B245" s="195">
        <v>38.18</v>
      </c>
      <c r="C245" s="195">
        <v>0.48</v>
      </c>
      <c r="D245" s="195">
        <v>131.13</v>
      </c>
      <c r="E245" s="195">
        <v>0</v>
      </c>
      <c r="F245" s="195">
        <v>3.56</v>
      </c>
      <c r="H245" s="195" t="str">
        <f t="shared" si="12"/>
        <v>1996</v>
      </c>
      <c r="I245" s="204" t="s">
        <v>710</v>
      </c>
    </row>
    <row r="246" spans="1:9">
      <c r="A246" s="195" t="s">
        <v>709</v>
      </c>
    </row>
    <row r="247" spans="1:9">
      <c r="A247" s="195" t="s">
        <v>25</v>
      </c>
      <c r="B247" s="195">
        <v>51.47</v>
      </c>
      <c r="C247" s="195">
        <v>52.53</v>
      </c>
      <c r="D247" s="195">
        <v>51.72</v>
      </c>
      <c r="E247" s="195">
        <v>51.56</v>
      </c>
      <c r="F247" s="195">
        <v>29.92</v>
      </c>
      <c r="H247" s="195" t="str">
        <f>H229</f>
        <v>1996</v>
      </c>
      <c r="I247" s="204" t="s">
        <v>153</v>
      </c>
    </row>
    <row r="248" spans="1:9">
      <c r="A248" s="195" t="s">
        <v>22</v>
      </c>
      <c r="B248" s="195">
        <v>49.84</v>
      </c>
      <c r="C248" s="195">
        <v>50.9</v>
      </c>
      <c r="D248" s="195">
        <v>50.08</v>
      </c>
      <c r="E248" s="195">
        <v>49.92</v>
      </c>
      <c r="F248" s="195">
        <v>28.29</v>
      </c>
      <c r="H248" s="195" t="str">
        <f t="shared" ref="H248:H263" si="13">H230</f>
        <v>1996</v>
      </c>
      <c r="I248" s="204" t="s">
        <v>153</v>
      </c>
    </row>
    <row r="249" spans="1:9">
      <c r="A249" s="195" t="s">
        <v>15</v>
      </c>
      <c r="B249" s="195">
        <v>42.38</v>
      </c>
      <c r="C249" s="195">
        <v>43.44</v>
      </c>
      <c r="D249" s="195">
        <v>42.62</v>
      </c>
      <c r="E249" s="195">
        <v>44.62</v>
      </c>
      <c r="F249" s="195">
        <v>42.2</v>
      </c>
      <c r="H249" s="195" t="str">
        <f t="shared" si="13"/>
        <v>1996</v>
      </c>
      <c r="I249" s="204" t="s">
        <v>153</v>
      </c>
    </row>
    <row r="250" spans="1:9">
      <c r="A250" s="195" t="s">
        <v>16</v>
      </c>
      <c r="B250" s="195">
        <v>43.64</v>
      </c>
      <c r="C250" s="195">
        <v>42.06</v>
      </c>
      <c r="D250" s="195">
        <v>42.43</v>
      </c>
      <c r="E250" s="195">
        <v>51.14</v>
      </c>
      <c r="F250" s="195">
        <v>49.23</v>
      </c>
      <c r="H250" s="195" t="str">
        <f t="shared" si="13"/>
        <v>1996</v>
      </c>
      <c r="I250" s="204" t="s">
        <v>153</v>
      </c>
    </row>
    <row r="251" spans="1:9">
      <c r="A251" s="195" t="s">
        <v>37</v>
      </c>
      <c r="B251" s="195">
        <v>30.27</v>
      </c>
      <c r="C251" s="195">
        <v>32.69</v>
      </c>
      <c r="D251" s="195">
        <v>32.69</v>
      </c>
      <c r="E251" s="195">
        <v>32.04</v>
      </c>
      <c r="F251" s="195">
        <v>27.15</v>
      </c>
      <c r="H251" s="195" t="str">
        <f t="shared" si="13"/>
        <v>1996</v>
      </c>
      <c r="I251" s="204" t="s">
        <v>153</v>
      </c>
    </row>
    <row r="252" spans="1:9">
      <c r="A252" s="195" t="s">
        <v>36</v>
      </c>
      <c r="B252" s="195">
        <v>29.01</v>
      </c>
      <c r="C252" s="195">
        <v>31.34</v>
      </c>
      <c r="D252" s="195">
        <v>31.77</v>
      </c>
      <c r="E252" s="195">
        <v>30.96</v>
      </c>
      <c r="F252" s="195">
        <v>27.35</v>
      </c>
      <c r="H252" s="195" t="str">
        <f t="shared" si="13"/>
        <v>1996</v>
      </c>
      <c r="I252" s="204" t="s">
        <v>153</v>
      </c>
    </row>
    <row r="253" spans="1:9">
      <c r="A253" s="195" t="s">
        <v>453</v>
      </c>
      <c r="B253" s="195">
        <v>36.700000000000003</v>
      </c>
      <c r="C253" s="195">
        <v>36.450000000000003</v>
      </c>
      <c r="D253" s="195">
        <v>36.08</v>
      </c>
      <c r="E253" s="195">
        <v>46.44</v>
      </c>
      <c r="F253" s="195">
        <v>42.88</v>
      </c>
      <c r="H253" s="195" t="str">
        <f t="shared" si="13"/>
        <v>1996</v>
      </c>
      <c r="I253" s="204" t="s">
        <v>153</v>
      </c>
    </row>
    <row r="254" spans="1:9">
      <c r="A254" s="195" t="s">
        <v>456</v>
      </c>
      <c r="B254" s="195">
        <v>24.02</v>
      </c>
      <c r="C254" s="195">
        <v>24.02</v>
      </c>
      <c r="D254" s="195">
        <v>24.02</v>
      </c>
      <c r="E254" s="195">
        <v>24.02</v>
      </c>
      <c r="F254" s="195">
        <v>24.02</v>
      </c>
      <c r="H254" s="195" t="str">
        <f t="shared" si="13"/>
        <v>1996</v>
      </c>
      <c r="I254" s="204" t="s">
        <v>153</v>
      </c>
    </row>
    <row r="255" spans="1:9">
      <c r="A255" s="195" t="s">
        <v>35</v>
      </c>
      <c r="B255" s="195">
        <v>31.25</v>
      </c>
      <c r="C255" s="195">
        <v>30.95</v>
      </c>
      <c r="D255" s="195">
        <v>30.3</v>
      </c>
      <c r="E255" s="195">
        <v>30.25</v>
      </c>
      <c r="F255" s="195">
        <v>24.02</v>
      </c>
      <c r="H255" s="195" t="str">
        <f t="shared" si="13"/>
        <v>1996</v>
      </c>
      <c r="I255" s="204" t="s">
        <v>153</v>
      </c>
    </row>
    <row r="256" spans="1:9">
      <c r="A256" s="195" t="s">
        <v>31</v>
      </c>
      <c r="B256" s="195">
        <v>49.97</v>
      </c>
      <c r="C256" s="195">
        <v>49.97</v>
      </c>
      <c r="D256" s="195">
        <v>50.52</v>
      </c>
      <c r="E256" s="195">
        <v>50.1</v>
      </c>
      <c r="F256" s="195">
        <v>50.1</v>
      </c>
      <c r="H256" s="195" t="str">
        <f t="shared" si="13"/>
        <v>1996</v>
      </c>
      <c r="I256" s="204" t="s">
        <v>153</v>
      </c>
    </row>
    <row r="257" spans="1:9">
      <c r="A257" s="195" t="s">
        <v>458</v>
      </c>
      <c r="B257" s="195">
        <v>40.25</v>
      </c>
      <c r="C257" s="195">
        <v>39.56</v>
      </c>
      <c r="D257" s="195">
        <v>39.18</v>
      </c>
      <c r="E257" s="195">
        <v>40.83</v>
      </c>
      <c r="F257" s="195">
        <v>38.82</v>
      </c>
      <c r="H257" s="195" t="str">
        <f t="shared" si="13"/>
        <v>1996</v>
      </c>
      <c r="I257" s="204" t="s">
        <v>153</v>
      </c>
    </row>
    <row r="258" spans="1:9">
      <c r="A258" s="195" t="s">
        <v>148</v>
      </c>
      <c r="B258" s="195">
        <v>50.57</v>
      </c>
      <c r="C258" s="195">
        <v>48.84</v>
      </c>
      <c r="D258" s="195">
        <v>48.49</v>
      </c>
      <c r="E258" s="195">
        <v>50.72</v>
      </c>
      <c r="F258" s="195">
        <v>48.52</v>
      </c>
      <c r="H258" s="195" t="str">
        <f t="shared" si="13"/>
        <v>1996</v>
      </c>
      <c r="I258" s="204" t="s">
        <v>153</v>
      </c>
    </row>
    <row r="259" spans="1:9">
      <c r="A259" s="195" t="s">
        <v>149</v>
      </c>
      <c r="B259" s="195">
        <v>43.98</v>
      </c>
      <c r="C259" s="195">
        <v>43.42</v>
      </c>
      <c r="D259" s="195">
        <v>43.15</v>
      </c>
      <c r="E259" s="195">
        <v>47.52</v>
      </c>
      <c r="F259" s="195">
        <v>46.14</v>
      </c>
      <c r="H259" s="195" t="str">
        <f t="shared" si="13"/>
        <v>1996</v>
      </c>
      <c r="I259" s="204" t="s">
        <v>153</v>
      </c>
    </row>
    <row r="260" spans="1:9">
      <c r="A260" s="195" t="s">
        <v>19</v>
      </c>
      <c r="B260" s="195">
        <v>0</v>
      </c>
      <c r="C260" s="195">
        <v>0</v>
      </c>
      <c r="D260" s="195">
        <v>0</v>
      </c>
      <c r="E260" s="195">
        <v>0</v>
      </c>
      <c r="F260" s="195">
        <v>0</v>
      </c>
      <c r="H260" s="195" t="str">
        <f t="shared" si="13"/>
        <v>1996</v>
      </c>
      <c r="I260" s="204" t="s">
        <v>153</v>
      </c>
    </row>
    <row r="261" spans="1:9">
      <c r="A261" s="195" t="s">
        <v>150</v>
      </c>
      <c r="B261" s="195">
        <v>21.8</v>
      </c>
      <c r="C261" s="195">
        <v>21.89</v>
      </c>
      <c r="D261" s="195">
        <v>21.52</v>
      </c>
      <c r="E261" s="195">
        <v>25.92</v>
      </c>
      <c r="F261" s="195">
        <v>24.27</v>
      </c>
      <c r="H261" s="195" t="str">
        <f t="shared" si="13"/>
        <v>1996</v>
      </c>
      <c r="I261" s="204" t="s">
        <v>153</v>
      </c>
    </row>
    <row r="262" spans="1:9">
      <c r="A262" s="195" t="s">
        <v>151</v>
      </c>
      <c r="B262" s="195">
        <v>26.65</v>
      </c>
      <c r="C262" s="195">
        <v>26.75</v>
      </c>
      <c r="D262" s="195">
        <v>26.3</v>
      </c>
      <c r="E262" s="195">
        <v>31.68</v>
      </c>
      <c r="F262" s="195">
        <v>29.66</v>
      </c>
      <c r="H262" s="195" t="str">
        <f t="shared" si="13"/>
        <v>1996</v>
      </c>
      <c r="I262" s="204" t="s">
        <v>153</v>
      </c>
    </row>
    <row r="263" spans="1:9">
      <c r="A263" s="195" t="s">
        <v>152</v>
      </c>
      <c r="B263" s="195">
        <v>19.98</v>
      </c>
      <c r="C263" s="195">
        <v>20.059999999999999</v>
      </c>
      <c r="D263" s="195">
        <v>19.73</v>
      </c>
      <c r="E263" s="195">
        <v>23.76</v>
      </c>
      <c r="F263" s="195">
        <v>22.25</v>
      </c>
      <c r="H263" s="195" t="str">
        <f t="shared" si="13"/>
        <v>1996</v>
      </c>
      <c r="I263" s="204" t="s">
        <v>153</v>
      </c>
    </row>
    <row r="264" spans="1:9">
      <c r="A264" s="195" t="s">
        <v>160</v>
      </c>
    </row>
    <row r="265" spans="1:9">
      <c r="A265" s="195" t="s">
        <v>708</v>
      </c>
    </row>
    <row r="266" spans="1:9">
      <c r="A266" s="195" t="s">
        <v>25</v>
      </c>
      <c r="B266" s="195">
        <v>154.38999999999999</v>
      </c>
      <c r="C266" s="195">
        <v>0</v>
      </c>
      <c r="D266" s="195">
        <v>6.27</v>
      </c>
      <c r="E266" s="195">
        <v>0</v>
      </c>
      <c r="F266" s="195">
        <v>0</v>
      </c>
      <c r="H266" s="195" t="str">
        <f>RIGHT(A264,4)</f>
        <v>1997</v>
      </c>
      <c r="I266" s="204" t="s">
        <v>710</v>
      </c>
    </row>
    <row r="267" spans="1:9">
      <c r="A267" s="195" t="s">
        <v>22</v>
      </c>
      <c r="B267" s="195">
        <v>140.56</v>
      </c>
      <c r="C267" s="195">
        <v>2.62</v>
      </c>
      <c r="D267" s="195">
        <v>1.52</v>
      </c>
      <c r="E267" s="195">
        <v>0.64</v>
      </c>
      <c r="F267" s="195">
        <v>3.15</v>
      </c>
      <c r="H267" s="195" t="str">
        <f>H266</f>
        <v>1997</v>
      </c>
      <c r="I267" s="204" t="s">
        <v>710</v>
      </c>
    </row>
    <row r="268" spans="1:9">
      <c r="A268" s="195" t="s">
        <v>15</v>
      </c>
      <c r="B268" s="195">
        <v>116.73</v>
      </c>
      <c r="C268" s="195">
        <v>1.25</v>
      </c>
      <c r="D268" s="195">
        <v>0</v>
      </c>
      <c r="E268" s="195">
        <v>7.16</v>
      </c>
      <c r="F268" s="195">
        <v>1.08</v>
      </c>
      <c r="H268" s="195" t="str">
        <f t="shared" ref="H268:H282" si="14">H267</f>
        <v>1997</v>
      </c>
      <c r="I268" s="204" t="s">
        <v>710</v>
      </c>
    </row>
    <row r="269" spans="1:9">
      <c r="A269" s="195" t="s">
        <v>16</v>
      </c>
      <c r="B269" s="195">
        <v>93.29</v>
      </c>
      <c r="C269" s="195">
        <v>3.22</v>
      </c>
      <c r="D269" s="195">
        <v>0</v>
      </c>
      <c r="E269" s="195">
        <v>1.76</v>
      </c>
      <c r="F269" s="195">
        <v>4.74</v>
      </c>
      <c r="H269" s="195" t="str">
        <f t="shared" si="14"/>
        <v>1997</v>
      </c>
      <c r="I269" s="204" t="s">
        <v>710</v>
      </c>
    </row>
    <row r="270" spans="1:9">
      <c r="A270" s="195" t="s">
        <v>37</v>
      </c>
      <c r="B270" s="195">
        <v>72.2</v>
      </c>
      <c r="C270" s="195">
        <v>0.27</v>
      </c>
      <c r="D270" s="195">
        <v>4.6399999999999997</v>
      </c>
      <c r="E270" s="195">
        <v>0</v>
      </c>
      <c r="F270" s="195">
        <v>4.33</v>
      </c>
      <c r="H270" s="195" t="str">
        <f t="shared" si="14"/>
        <v>1997</v>
      </c>
      <c r="I270" s="204" t="s">
        <v>710</v>
      </c>
    </row>
    <row r="271" spans="1:9">
      <c r="A271" s="195" t="s">
        <v>36</v>
      </c>
      <c r="B271" s="195">
        <v>104.11</v>
      </c>
      <c r="C271" s="195">
        <v>0.11</v>
      </c>
      <c r="D271" s="195">
        <v>7.94</v>
      </c>
      <c r="E271" s="195">
        <v>0</v>
      </c>
      <c r="F271" s="195">
        <v>0.45</v>
      </c>
      <c r="H271" s="195" t="str">
        <f t="shared" si="14"/>
        <v>1997</v>
      </c>
      <c r="I271" s="204" t="s">
        <v>710</v>
      </c>
    </row>
    <row r="272" spans="1:9">
      <c r="A272" s="195" t="s">
        <v>453</v>
      </c>
      <c r="B272" s="195">
        <v>84.59</v>
      </c>
      <c r="C272" s="195">
        <v>0.21</v>
      </c>
      <c r="D272" s="195">
        <v>0.56000000000000005</v>
      </c>
      <c r="E272" s="195">
        <v>0</v>
      </c>
      <c r="F272" s="195">
        <v>5.35</v>
      </c>
      <c r="H272" s="195" t="str">
        <f t="shared" si="14"/>
        <v>1997</v>
      </c>
      <c r="I272" s="204" t="s">
        <v>710</v>
      </c>
    </row>
    <row r="273" spans="1:9">
      <c r="A273" s="195" t="s">
        <v>456</v>
      </c>
      <c r="B273" s="195">
        <v>23.7</v>
      </c>
      <c r="C273" s="195">
        <v>87.01</v>
      </c>
      <c r="D273" s="195">
        <v>83.55</v>
      </c>
      <c r="E273" s="195">
        <v>10.5</v>
      </c>
      <c r="F273" s="195">
        <v>0.27</v>
      </c>
      <c r="H273" s="195" t="str">
        <f t="shared" si="14"/>
        <v>1997</v>
      </c>
      <c r="I273" s="204" t="s">
        <v>710</v>
      </c>
    </row>
    <row r="274" spans="1:9">
      <c r="A274" s="195" t="s">
        <v>35</v>
      </c>
      <c r="B274" s="195">
        <v>6</v>
      </c>
      <c r="C274" s="195">
        <v>1</v>
      </c>
      <c r="D274" s="195">
        <v>233</v>
      </c>
      <c r="E274" s="195">
        <v>0</v>
      </c>
      <c r="F274" s="195">
        <v>1</v>
      </c>
      <c r="H274" s="195" t="str">
        <f t="shared" si="14"/>
        <v>1997</v>
      </c>
      <c r="I274" s="204" t="s">
        <v>710</v>
      </c>
    </row>
    <row r="275" spans="1:9">
      <c r="A275" s="195" t="s">
        <v>31</v>
      </c>
      <c r="B275" s="195">
        <v>45.57</v>
      </c>
      <c r="C275" s="195">
        <v>4.0199999999999996</v>
      </c>
      <c r="D275" s="195">
        <v>3.04</v>
      </c>
      <c r="E275" s="195">
        <v>0.16</v>
      </c>
      <c r="F275" s="195">
        <v>1.25</v>
      </c>
      <c r="H275" s="195" t="str">
        <f t="shared" si="14"/>
        <v>1997</v>
      </c>
      <c r="I275" s="204" t="s">
        <v>710</v>
      </c>
    </row>
    <row r="276" spans="1:9">
      <c r="A276" s="195" t="s">
        <v>458</v>
      </c>
      <c r="B276" s="195">
        <v>0</v>
      </c>
      <c r="C276" s="195">
        <v>0</v>
      </c>
      <c r="D276" s="195">
        <v>0</v>
      </c>
      <c r="E276" s="195">
        <v>0</v>
      </c>
      <c r="F276" s="195">
        <v>0</v>
      </c>
      <c r="H276" s="195" t="str">
        <f t="shared" si="14"/>
        <v>1997</v>
      </c>
      <c r="I276" s="204" t="s">
        <v>710</v>
      </c>
    </row>
    <row r="277" spans="1:9">
      <c r="A277" s="195" t="s">
        <v>148</v>
      </c>
      <c r="B277" s="195">
        <v>14.44</v>
      </c>
      <c r="C277" s="195">
        <v>0</v>
      </c>
      <c r="D277" s="195">
        <v>0.12</v>
      </c>
      <c r="E277" s="195">
        <v>0</v>
      </c>
      <c r="F277" s="195">
        <v>45.32</v>
      </c>
      <c r="H277" s="195" t="str">
        <f t="shared" si="14"/>
        <v>1997</v>
      </c>
      <c r="I277" s="204" t="s">
        <v>710</v>
      </c>
    </row>
    <row r="278" spans="1:9">
      <c r="A278" s="195" t="s">
        <v>149</v>
      </c>
      <c r="B278" s="195">
        <v>0</v>
      </c>
      <c r="C278" s="195">
        <v>0</v>
      </c>
      <c r="D278" s="195">
        <v>0</v>
      </c>
      <c r="E278" s="195">
        <v>0</v>
      </c>
      <c r="F278" s="195">
        <v>0</v>
      </c>
      <c r="H278" s="195" t="str">
        <f t="shared" si="14"/>
        <v>1997</v>
      </c>
      <c r="I278" s="204" t="s">
        <v>710</v>
      </c>
    </row>
    <row r="279" spans="1:9">
      <c r="A279" s="195" t="s">
        <v>19</v>
      </c>
      <c r="B279" s="195">
        <v>0</v>
      </c>
      <c r="C279" s="195">
        <v>0</v>
      </c>
      <c r="D279" s="195">
        <v>0</v>
      </c>
      <c r="E279" s="195">
        <v>0</v>
      </c>
      <c r="F279" s="195">
        <v>0</v>
      </c>
      <c r="H279" s="195" t="str">
        <f t="shared" si="14"/>
        <v>1997</v>
      </c>
      <c r="I279" s="204" t="s">
        <v>710</v>
      </c>
    </row>
    <row r="280" spans="1:9">
      <c r="A280" s="195" t="s">
        <v>150</v>
      </c>
      <c r="B280" s="195">
        <v>0.33</v>
      </c>
      <c r="C280" s="195">
        <v>0</v>
      </c>
      <c r="D280" s="195">
        <v>113.64</v>
      </c>
      <c r="E280" s="195">
        <v>0</v>
      </c>
      <c r="F280" s="195">
        <v>17.78</v>
      </c>
      <c r="H280" s="195" t="str">
        <f t="shared" si="14"/>
        <v>1997</v>
      </c>
      <c r="I280" s="204" t="s">
        <v>710</v>
      </c>
    </row>
    <row r="281" spans="1:9">
      <c r="A281" s="195" t="s">
        <v>151</v>
      </c>
      <c r="B281" s="195">
        <v>11.75</v>
      </c>
      <c r="C281" s="195">
        <v>1.23</v>
      </c>
      <c r="D281" s="195">
        <v>280.61</v>
      </c>
      <c r="E281" s="195">
        <v>0</v>
      </c>
      <c r="F281" s="195">
        <v>2.83</v>
      </c>
      <c r="H281" s="195" t="str">
        <f t="shared" si="14"/>
        <v>1997</v>
      </c>
      <c r="I281" s="204" t="s">
        <v>710</v>
      </c>
    </row>
    <row r="282" spans="1:9">
      <c r="A282" s="195" t="s">
        <v>152</v>
      </c>
      <c r="B282" s="195">
        <v>29.18</v>
      </c>
      <c r="C282" s="195">
        <v>0</v>
      </c>
      <c r="D282" s="195">
        <v>135.46</v>
      </c>
      <c r="E282" s="195">
        <v>0</v>
      </c>
      <c r="F282" s="195">
        <v>0.56000000000000005</v>
      </c>
      <c r="H282" s="195" t="str">
        <f t="shared" si="14"/>
        <v>1997</v>
      </c>
      <c r="I282" s="204" t="s">
        <v>710</v>
      </c>
    </row>
    <row r="283" spans="1:9">
      <c r="A283" s="195" t="s">
        <v>709</v>
      </c>
    </row>
    <row r="284" spans="1:9">
      <c r="A284" s="195" t="s">
        <v>25</v>
      </c>
      <c r="B284" s="195">
        <v>52.52</v>
      </c>
      <c r="C284" s="195">
        <v>53.6</v>
      </c>
      <c r="D284" s="195">
        <v>52.77</v>
      </c>
      <c r="E284" s="195">
        <v>52.61</v>
      </c>
      <c r="F284" s="195">
        <v>30.53</v>
      </c>
      <c r="H284" s="195" t="str">
        <f>H266</f>
        <v>1997</v>
      </c>
      <c r="I284" s="204" t="s">
        <v>153</v>
      </c>
    </row>
    <row r="285" spans="1:9">
      <c r="A285" s="195" t="s">
        <v>22</v>
      </c>
      <c r="B285" s="195">
        <v>50.86</v>
      </c>
      <c r="C285" s="195">
        <v>51.93</v>
      </c>
      <c r="D285" s="195">
        <v>51.11</v>
      </c>
      <c r="E285" s="195">
        <v>50.94</v>
      </c>
      <c r="F285" s="195">
        <v>28.87</v>
      </c>
      <c r="H285" s="195" t="str">
        <f t="shared" ref="H285:H300" si="15">H267</f>
        <v>1997</v>
      </c>
      <c r="I285" s="204" t="s">
        <v>153</v>
      </c>
    </row>
    <row r="286" spans="1:9">
      <c r="A286" s="195" t="s">
        <v>15</v>
      </c>
      <c r="B286" s="195">
        <v>43.24</v>
      </c>
      <c r="C286" s="195">
        <v>44.32</v>
      </c>
      <c r="D286" s="195">
        <v>43.49</v>
      </c>
      <c r="E286" s="195">
        <v>45.53</v>
      </c>
      <c r="F286" s="195">
        <v>43.06</v>
      </c>
      <c r="H286" s="195" t="str">
        <f t="shared" si="15"/>
        <v>1997</v>
      </c>
      <c r="I286" s="204" t="s">
        <v>153</v>
      </c>
    </row>
    <row r="287" spans="1:9">
      <c r="A287" s="195" t="s">
        <v>16</v>
      </c>
      <c r="B287" s="195">
        <v>44.53</v>
      </c>
      <c r="C287" s="195">
        <v>42.92</v>
      </c>
      <c r="D287" s="195">
        <v>43.3</v>
      </c>
      <c r="E287" s="195">
        <v>52.18</v>
      </c>
      <c r="F287" s="195">
        <v>50.23</v>
      </c>
      <c r="H287" s="195" t="str">
        <f t="shared" si="15"/>
        <v>1997</v>
      </c>
      <c r="I287" s="204" t="s">
        <v>153</v>
      </c>
    </row>
    <row r="288" spans="1:9">
      <c r="A288" s="195" t="s">
        <v>37</v>
      </c>
      <c r="B288" s="195">
        <v>30.88</v>
      </c>
      <c r="C288" s="195">
        <v>33.35</v>
      </c>
      <c r="D288" s="195">
        <v>33.35</v>
      </c>
      <c r="E288" s="195">
        <v>32.69</v>
      </c>
      <c r="F288" s="195">
        <v>27.7</v>
      </c>
      <c r="H288" s="195" t="str">
        <f t="shared" si="15"/>
        <v>1997</v>
      </c>
      <c r="I288" s="204" t="s">
        <v>153</v>
      </c>
    </row>
    <row r="289" spans="1:9">
      <c r="A289" s="195" t="s">
        <v>36</v>
      </c>
      <c r="B289" s="195">
        <v>29.6</v>
      </c>
      <c r="C289" s="195">
        <v>31.98</v>
      </c>
      <c r="D289" s="195">
        <v>32.42</v>
      </c>
      <c r="E289" s="195">
        <v>31.59</v>
      </c>
      <c r="F289" s="195">
        <v>27.91</v>
      </c>
      <c r="H289" s="195" t="str">
        <f t="shared" si="15"/>
        <v>1997</v>
      </c>
      <c r="I289" s="204" t="s">
        <v>153</v>
      </c>
    </row>
    <row r="290" spans="1:9">
      <c r="A290" s="195" t="s">
        <v>453</v>
      </c>
      <c r="B290" s="195">
        <v>37.450000000000003</v>
      </c>
      <c r="C290" s="195">
        <v>37.200000000000003</v>
      </c>
      <c r="D290" s="195">
        <v>36.81</v>
      </c>
      <c r="E290" s="195">
        <v>47.39</v>
      </c>
      <c r="F290" s="195">
        <v>43.75</v>
      </c>
      <c r="H290" s="195" t="str">
        <f t="shared" si="15"/>
        <v>1997</v>
      </c>
      <c r="I290" s="204" t="s">
        <v>153</v>
      </c>
    </row>
    <row r="291" spans="1:9">
      <c r="A291" s="195" t="s">
        <v>456</v>
      </c>
      <c r="B291" s="195">
        <v>24.51</v>
      </c>
      <c r="C291" s="195">
        <v>24.51</v>
      </c>
      <c r="D291" s="195">
        <v>24.51</v>
      </c>
      <c r="E291" s="195">
        <v>24.51</v>
      </c>
      <c r="F291" s="195">
        <v>24.51</v>
      </c>
      <c r="H291" s="195" t="str">
        <f t="shared" si="15"/>
        <v>1997</v>
      </c>
      <c r="I291" s="204" t="s">
        <v>153</v>
      </c>
    </row>
    <row r="292" spans="1:9">
      <c r="A292" s="195" t="s">
        <v>35</v>
      </c>
      <c r="B292" s="195">
        <v>31.88</v>
      </c>
      <c r="C292" s="195">
        <v>31.58</v>
      </c>
      <c r="D292" s="195">
        <v>30.92</v>
      </c>
      <c r="E292" s="195">
        <v>30.86</v>
      </c>
      <c r="F292" s="195">
        <v>24.51</v>
      </c>
      <c r="H292" s="195" t="str">
        <f t="shared" si="15"/>
        <v>1997</v>
      </c>
      <c r="I292" s="204" t="s">
        <v>153</v>
      </c>
    </row>
    <row r="293" spans="1:9">
      <c r="A293" s="195" t="s">
        <v>31</v>
      </c>
      <c r="B293" s="195">
        <v>50.99</v>
      </c>
      <c r="C293" s="195">
        <v>50.99</v>
      </c>
      <c r="D293" s="195">
        <v>51.55</v>
      </c>
      <c r="E293" s="195">
        <v>51.13</v>
      </c>
      <c r="F293" s="195">
        <v>51.13</v>
      </c>
      <c r="H293" s="195" t="str">
        <f t="shared" si="15"/>
        <v>1997</v>
      </c>
      <c r="I293" s="204" t="s">
        <v>153</v>
      </c>
    </row>
    <row r="294" spans="1:9">
      <c r="A294" s="195" t="s">
        <v>458</v>
      </c>
      <c r="B294" s="195">
        <v>41.07</v>
      </c>
      <c r="C294" s="195">
        <v>40.369999999999997</v>
      </c>
      <c r="D294" s="195">
        <v>39.979999999999997</v>
      </c>
      <c r="E294" s="195">
        <v>41.66</v>
      </c>
      <c r="F294" s="195">
        <v>39.61</v>
      </c>
      <c r="H294" s="195" t="str">
        <f t="shared" si="15"/>
        <v>1997</v>
      </c>
      <c r="I294" s="204" t="s">
        <v>153</v>
      </c>
    </row>
    <row r="295" spans="1:9">
      <c r="A295" s="195" t="s">
        <v>148</v>
      </c>
      <c r="B295" s="195">
        <v>51.6</v>
      </c>
      <c r="C295" s="195">
        <v>49.83</v>
      </c>
      <c r="D295" s="195">
        <v>49.48</v>
      </c>
      <c r="E295" s="195">
        <v>51.75</v>
      </c>
      <c r="F295" s="195">
        <v>49.51</v>
      </c>
      <c r="H295" s="195" t="str">
        <f t="shared" si="15"/>
        <v>1997</v>
      </c>
      <c r="I295" s="204" t="s">
        <v>153</v>
      </c>
    </row>
    <row r="296" spans="1:9">
      <c r="A296" s="195" t="s">
        <v>149</v>
      </c>
      <c r="B296" s="195">
        <v>44.88</v>
      </c>
      <c r="C296" s="195">
        <v>44.3</v>
      </c>
      <c r="D296" s="195">
        <v>44.03</v>
      </c>
      <c r="E296" s="195">
        <v>48.49</v>
      </c>
      <c r="F296" s="195">
        <v>47.08</v>
      </c>
      <c r="H296" s="195" t="str">
        <f t="shared" si="15"/>
        <v>1997</v>
      </c>
      <c r="I296" s="204" t="s">
        <v>153</v>
      </c>
    </row>
    <row r="297" spans="1:9">
      <c r="A297" s="195" t="s">
        <v>19</v>
      </c>
      <c r="B297" s="195">
        <v>0</v>
      </c>
      <c r="C297" s="195">
        <v>0</v>
      </c>
      <c r="D297" s="195">
        <v>0</v>
      </c>
      <c r="E297" s="195">
        <v>0</v>
      </c>
      <c r="F297" s="195">
        <v>0</v>
      </c>
      <c r="H297" s="195" t="str">
        <f t="shared" si="15"/>
        <v>1997</v>
      </c>
      <c r="I297" s="204" t="s">
        <v>153</v>
      </c>
    </row>
    <row r="298" spans="1:9">
      <c r="A298" s="195" t="s">
        <v>150</v>
      </c>
      <c r="B298" s="195">
        <v>22.25</v>
      </c>
      <c r="C298" s="195">
        <v>22.34</v>
      </c>
      <c r="D298" s="195">
        <v>21.96</v>
      </c>
      <c r="E298" s="195">
        <v>26.45</v>
      </c>
      <c r="F298" s="195">
        <v>24.76</v>
      </c>
      <c r="H298" s="195" t="str">
        <f t="shared" si="15"/>
        <v>1997</v>
      </c>
      <c r="I298" s="204" t="s">
        <v>153</v>
      </c>
    </row>
    <row r="299" spans="1:9">
      <c r="A299" s="195" t="s">
        <v>151</v>
      </c>
      <c r="B299" s="195">
        <v>27.19</v>
      </c>
      <c r="C299" s="195">
        <v>27.3</v>
      </c>
      <c r="D299" s="195">
        <v>26.84</v>
      </c>
      <c r="E299" s="195">
        <v>32.33</v>
      </c>
      <c r="F299" s="195">
        <v>30.27</v>
      </c>
      <c r="H299" s="195" t="str">
        <f t="shared" si="15"/>
        <v>1997</v>
      </c>
      <c r="I299" s="204" t="s">
        <v>153</v>
      </c>
    </row>
    <row r="300" spans="1:9">
      <c r="A300" s="195" t="s">
        <v>152</v>
      </c>
      <c r="B300" s="195">
        <v>20.39</v>
      </c>
      <c r="C300" s="195">
        <v>20.47</v>
      </c>
      <c r="D300" s="195">
        <v>20.13</v>
      </c>
      <c r="E300" s="195">
        <v>24.24</v>
      </c>
      <c r="F300" s="195">
        <v>22.7</v>
      </c>
      <c r="H300" s="195" t="str">
        <f t="shared" si="15"/>
        <v>1997</v>
      </c>
      <c r="I300" s="204" t="s">
        <v>153</v>
      </c>
    </row>
    <row r="301" spans="1:9">
      <c r="A301" s="195" t="s">
        <v>161</v>
      </c>
    </row>
    <row r="302" spans="1:9">
      <c r="A302" s="195" t="s">
        <v>708</v>
      </c>
    </row>
    <row r="303" spans="1:9">
      <c r="A303" s="195" t="s">
        <v>25</v>
      </c>
      <c r="B303" s="195">
        <v>157.41999999999999</v>
      </c>
      <c r="C303" s="195">
        <v>1.06</v>
      </c>
      <c r="D303" s="195">
        <v>17.170000000000002</v>
      </c>
      <c r="E303" s="195">
        <v>0</v>
      </c>
      <c r="F303" s="195">
        <v>3.95</v>
      </c>
      <c r="H303" s="195" t="str">
        <f>RIGHT(A301,4)</f>
        <v>1998</v>
      </c>
      <c r="I303" s="204" t="s">
        <v>710</v>
      </c>
    </row>
    <row r="304" spans="1:9">
      <c r="A304" s="195" t="s">
        <v>22</v>
      </c>
      <c r="B304" s="195">
        <v>127.81</v>
      </c>
      <c r="C304" s="195">
        <v>1.83</v>
      </c>
      <c r="D304" s="195">
        <v>0</v>
      </c>
      <c r="E304" s="195">
        <v>0.55000000000000004</v>
      </c>
      <c r="F304" s="195">
        <v>1.45</v>
      </c>
      <c r="H304" s="195" t="str">
        <f>H303</f>
        <v>1998</v>
      </c>
      <c r="I304" s="204" t="s">
        <v>710</v>
      </c>
    </row>
    <row r="305" spans="1:9">
      <c r="A305" s="195" t="s">
        <v>15</v>
      </c>
      <c r="B305" s="195">
        <v>86.67</v>
      </c>
      <c r="C305" s="195">
        <v>0.95</v>
      </c>
      <c r="D305" s="195">
        <v>0.3</v>
      </c>
      <c r="E305" s="195">
        <v>3.38</v>
      </c>
      <c r="F305" s="195">
        <v>1.46</v>
      </c>
      <c r="H305" s="195" t="str">
        <f t="shared" ref="H305:H319" si="16">H304</f>
        <v>1998</v>
      </c>
      <c r="I305" s="204" t="s">
        <v>710</v>
      </c>
    </row>
    <row r="306" spans="1:9">
      <c r="A306" s="195" t="s">
        <v>16</v>
      </c>
      <c r="B306" s="195">
        <v>111.81</v>
      </c>
      <c r="C306" s="195">
        <v>2.73</v>
      </c>
      <c r="D306" s="195">
        <v>0.24</v>
      </c>
      <c r="E306" s="195">
        <v>2.02</v>
      </c>
      <c r="F306" s="195">
        <v>1.62</v>
      </c>
      <c r="H306" s="195" t="str">
        <f t="shared" si="16"/>
        <v>1998</v>
      </c>
      <c r="I306" s="204" t="s">
        <v>710</v>
      </c>
    </row>
    <row r="307" spans="1:9">
      <c r="A307" s="195" t="s">
        <v>37</v>
      </c>
      <c r="B307" s="195">
        <v>119.17</v>
      </c>
      <c r="C307" s="195">
        <v>0.65</v>
      </c>
      <c r="D307" s="195">
        <v>12.53</v>
      </c>
      <c r="E307" s="195">
        <v>0</v>
      </c>
      <c r="F307" s="195">
        <v>1.54</v>
      </c>
      <c r="H307" s="195" t="str">
        <f t="shared" si="16"/>
        <v>1998</v>
      </c>
      <c r="I307" s="204" t="s">
        <v>710</v>
      </c>
    </row>
    <row r="308" spans="1:9">
      <c r="A308" s="195" t="s">
        <v>36</v>
      </c>
      <c r="B308" s="195">
        <v>130.06</v>
      </c>
      <c r="C308" s="195">
        <v>0.56000000000000005</v>
      </c>
      <c r="D308" s="195">
        <v>8.7799999999999994</v>
      </c>
      <c r="E308" s="195">
        <v>0</v>
      </c>
      <c r="F308" s="195">
        <v>2.15</v>
      </c>
      <c r="H308" s="195" t="str">
        <f t="shared" si="16"/>
        <v>1998</v>
      </c>
      <c r="I308" s="204" t="s">
        <v>710</v>
      </c>
    </row>
    <row r="309" spans="1:9">
      <c r="A309" s="195" t="s">
        <v>453</v>
      </c>
      <c r="B309" s="195">
        <v>77.010000000000005</v>
      </c>
      <c r="C309" s="195">
        <v>0</v>
      </c>
      <c r="D309" s="195">
        <v>0.37</v>
      </c>
      <c r="E309" s="195">
        <v>0</v>
      </c>
      <c r="F309" s="195">
        <v>46.3</v>
      </c>
      <c r="H309" s="195" t="str">
        <f t="shared" si="16"/>
        <v>1998</v>
      </c>
      <c r="I309" s="204" t="s">
        <v>710</v>
      </c>
    </row>
    <row r="310" spans="1:9">
      <c r="A310" s="195" t="s">
        <v>456</v>
      </c>
      <c r="B310" s="195">
        <v>21.33</v>
      </c>
      <c r="C310" s="195">
        <v>83.09</v>
      </c>
      <c r="D310" s="195">
        <v>108.91</v>
      </c>
      <c r="E310" s="195">
        <v>11.46</v>
      </c>
      <c r="F310" s="195">
        <v>0.09</v>
      </c>
      <c r="H310" s="195" t="str">
        <f t="shared" si="16"/>
        <v>1998</v>
      </c>
      <c r="I310" s="204" t="s">
        <v>710</v>
      </c>
    </row>
    <row r="311" spans="1:9">
      <c r="A311" s="195" t="s">
        <v>35</v>
      </c>
      <c r="B311" s="195">
        <v>8</v>
      </c>
      <c r="C311" s="195">
        <v>1</v>
      </c>
      <c r="D311" s="195">
        <v>221</v>
      </c>
      <c r="E311" s="195">
        <v>0</v>
      </c>
      <c r="F311" s="195">
        <v>0</v>
      </c>
      <c r="H311" s="195" t="str">
        <f t="shared" si="16"/>
        <v>1998</v>
      </c>
      <c r="I311" s="204" t="s">
        <v>710</v>
      </c>
    </row>
    <row r="312" spans="1:9">
      <c r="A312" s="195" t="s">
        <v>31</v>
      </c>
      <c r="B312" s="195">
        <v>238</v>
      </c>
      <c r="C312" s="195">
        <v>3</v>
      </c>
      <c r="D312" s="195">
        <v>10</v>
      </c>
      <c r="E312" s="195">
        <v>0</v>
      </c>
      <c r="F312" s="195">
        <v>4</v>
      </c>
      <c r="H312" s="195" t="str">
        <f t="shared" si="16"/>
        <v>1998</v>
      </c>
      <c r="I312" s="204" t="s">
        <v>710</v>
      </c>
    </row>
    <row r="313" spans="1:9">
      <c r="A313" s="195" t="s">
        <v>458</v>
      </c>
      <c r="B313" s="195">
        <v>0</v>
      </c>
      <c r="C313" s="195">
        <v>0</v>
      </c>
      <c r="D313" s="195">
        <v>0</v>
      </c>
      <c r="E313" s="195">
        <v>0</v>
      </c>
      <c r="F313" s="195">
        <v>0</v>
      </c>
      <c r="H313" s="195" t="str">
        <f t="shared" si="16"/>
        <v>1998</v>
      </c>
      <c r="I313" s="204" t="s">
        <v>710</v>
      </c>
    </row>
    <row r="314" spans="1:9">
      <c r="A314" s="195" t="s">
        <v>148</v>
      </c>
      <c r="B314" s="195">
        <v>17.45</v>
      </c>
      <c r="C314" s="195">
        <v>0</v>
      </c>
      <c r="D314" s="195">
        <v>0.06</v>
      </c>
      <c r="E314" s="195">
        <v>0</v>
      </c>
      <c r="F314" s="195">
        <v>50.31</v>
      </c>
      <c r="H314" s="195" t="str">
        <f t="shared" si="16"/>
        <v>1998</v>
      </c>
      <c r="I314" s="204" t="s">
        <v>710</v>
      </c>
    </row>
    <row r="315" spans="1:9">
      <c r="A315" s="195" t="s">
        <v>149</v>
      </c>
      <c r="B315" s="195">
        <v>0</v>
      </c>
      <c r="C315" s="195">
        <v>0</v>
      </c>
      <c r="D315" s="195">
        <v>0</v>
      </c>
      <c r="E315" s="195">
        <v>0</v>
      </c>
      <c r="F315" s="195">
        <v>0</v>
      </c>
      <c r="H315" s="195" t="str">
        <f t="shared" si="16"/>
        <v>1998</v>
      </c>
      <c r="I315" s="204" t="s">
        <v>710</v>
      </c>
    </row>
    <row r="316" spans="1:9">
      <c r="A316" s="195" t="s">
        <v>19</v>
      </c>
      <c r="B316" s="195">
        <v>0</v>
      </c>
      <c r="C316" s="195">
        <v>0</v>
      </c>
      <c r="D316" s="195">
        <v>0</v>
      </c>
      <c r="E316" s="195">
        <v>0</v>
      </c>
      <c r="F316" s="195">
        <v>0</v>
      </c>
      <c r="H316" s="195" t="str">
        <f t="shared" si="16"/>
        <v>1998</v>
      </c>
      <c r="I316" s="204" t="s">
        <v>710</v>
      </c>
    </row>
    <row r="317" spans="1:9">
      <c r="A317" s="195" t="s">
        <v>150</v>
      </c>
      <c r="B317" s="195">
        <v>8.5399999999999991</v>
      </c>
      <c r="C317" s="195">
        <v>0</v>
      </c>
      <c r="D317" s="195">
        <v>64.45</v>
      </c>
      <c r="E317" s="195">
        <v>0</v>
      </c>
      <c r="F317" s="195">
        <v>22.52</v>
      </c>
      <c r="H317" s="195" t="str">
        <f t="shared" si="16"/>
        <v>1998</v>
      </c>
      <c r="I317" s="204" t="s">
        <v>710</v>
      </c>
    </row>
    <row r="318" spans="1:9">
      <c r="A318" s="195" t="s">
        <v>151</v>
      </c>
      <c r="B318" s="195">
        <v>8.67</v>
      </c>
      <c r="C318" s="195">
        <v>1.66</v>
      </c>
      <c r="D318" s="195">
        <v>269.89</v>
      </c>
      <c r="E318" s="195">
        <v>0</v>
      </c>
      <c r="F318" s="195">
        <v>1.04</v>
      </c>
      <c r="H318" s="195" t="str">
        <f t="shared" si="16"/>
        <v>1998</v>
      </c>
      <c r="I318" s="204" t="s">
        <v>710</v>
      </c>
    </row>
    <row r="319" spans="1:9">
      <c r="A319" s="195" t="s">
        <v>152</v>
      </c>
      <c r="B319" s="195">
        <v>28.24</v>
      </c>
      <c r="C319" s="195">
        <v>0</v>
      </c>
      <c r="D319" s="195">
        <v>126.36</v>
      </c>
      <c r="E319" s="195">
        <v>0</v>
      </c>
      <c r="F319" s="195">
        <v>0.31</v>
      </c>
      <c r="H319" s="195" t="str">
        <f t="shared" si="16"/>
        <v>1998</v>
      </c>
      <c r="I319" s="204" t="s">
        <v>710</v>
      </c>
    </row>
    <row r="320" spans="1:9">
      <c r="A320" s="195" t="s">
        <v>709</v>
      </c>
    </row>
    <row r="321" spans="1:9">
      <c r="A321" s="195" t="s">
        <v>25</v>
      </c>
      <c r="B321" s="195">
        <v>53.6</v>
      </c>
      <c r="C321" s="195">
        <v>54.7</v>
      </c>
      <c r="D321" s="195">
        <v>53.85</v>
      </c>
      <c r="E321" s="195">
        <v>53.68</v>
      </c>
      <c r="F321" s="195">
        <v>31.16</v>
      </c>
      <c r="H321" s="195" t="str">
        <f>H303</f>
        <v>1998</v>
      </c>
      <c r="I321" s="204" t="s">
        <v>153</v>
      </c>
    </row>
    <row r="322" spans="1:9">
      <c r="A322" s="195" t="s">
        <v>22</v>
      </c>
      <c r="B322" s="195">
        <v>51.9</v>
      </c>
      <c r="C322" s="195">
        <v>52.99</v>
      </c>
      <c r="D322" s="195">
        <v>52.15</v>
      </c>
      <c r="E322" s="195">
        <v>51.98</v>
      </c>
      <c r="F322" s="195">
        <v>29.45</v>
      </c>
      <c r="H322" s="195" t="str">
        <f t="shared" ref="H322:H337" si="17">H304</f>
        <v>1998</v>
      </c>
      <c r="I322" s="204" t="s">
        <v>153</v>
      </c>
    </row>
    <row r="323" spans="1:9">
      <c r="A323" s="195" t="s">
        <v>15</v>
      </c>
      <c r="B323" s="195">
        <v>44.13</v>
      </c>
      <c r="C323" s="195">
        <v>45.23</v>
      </c>
      <c r="D323" s="195">
        <v>44.38</v>
      </c>
      <c r="E323" s="195">
        <v>46.46</v>
      </c>
      <c r="F323" s="195">
        <v>43.94</v>
      </c>
      <c r="H323" s="195" t="str">
        <f t="shared" si="17"/>
        <v>1998</v>
      </c>
      <c r="I323" s="204" t="s">
        <v>153</v>
      </c>
    </row>
    <row r="324" spans="1:9">
      <c r="A324" s="195" t="s">
        <v>16</v>
      </c>
      <c r="B324" s="195">
        <v>45.44</v>
      </c>
      <c r="C324" s="195">
        <v>43.8</v>
      </c>
      <c r="D324" s="195">
        <v>44.18</v>
      </c>
      <c r="E324" s="195">
        <v>53.24</v>
      </c>
      <c r="F324" s="195">
        <v>51.26</v>
      </c>
      <c r="H324" s="195" t="str">
        <f t="shared" si="17"/>
        <v>1998</v>
      </c>
      <c r="I324" s="204" t="s">
        <v>153</v>
      </c>
    </row>
    <row r="325" spans="1:9">
      <c r="A325" s="195" t="s">
        <v>37</v>
      </c>
      <c r="B325" s="195">
        <v>31.51</v>
      </c>
      <c r="C325" s="195">
        <v>34.03</v>
      </c>
      <c r="D325" s="195">
        <v>34.03</v>
      </c>
      <c r="E325" s="195">
        <v>33.36</v>
      </c>
      <c r="F325" s="195">
        <v>28.27</v>
      </c>
      <c r="H325" s="195" t="str">
        <f t="shared" si="17"/>
        <v>1998</v>
      </c>
      <c r="I325" s="204" t="s">
        <v>153</v>
      </c>
    </row>
    <row r="326" spans="1:9">
      <c r="A326" s="195" t="s">
        <v>36</v>
      </c>
      <c r="B326" s="195">
        <v>30.2</v>
      </c>
      <c r="C326" s="195">
        <v>32.630000000000003</v>
      </c>
      <c r="D326" s="195">
        <v>33.08</v>
      </c>
      <c r="E326" s="195">
        <v>32.24</v>
      </c>
      <c r="F326" s="195">
        <v>28.48</v>
      </c>
      <c r="H326" s="195" t="str">
        <f t="shared" si="17"/>
        <v>1998</v>
      </c>
      <c r="I326" s="204" t="s">
        <v>153</v>
      </c>
    </row>
    <row r="327" spans="1:9">
      <c r="A327" s="195" t="s">
        <v>453</v>
      </c>
      <c r="B327" s="195">
        <v>38.21</v>
      </c>
      <c r="C327" s="195">
        <v>37.96</v>
      </c>
      <c r="D327" s="195">
        <v>37.57</v>
      </c>
      <c r="E327" s="195">
        <v>48.36</v>
      </c>
      <c r="F327" s="195">
        <v>44.65</v>
      </c>
      <c r="H327" s="195" t="str">
        <f t="shared" si="17"/>
        <v>1998</v>
      </c>
      <c r="I327" s="204" t="s">
        <v>153</v>
      </c>
    </row>
    <row r="328" spans="1:9">
      <c r="A328" s="195" t="s">
        <v>456</v>
      </c>
      <c r="B328" s="195">
        <v>25.01</v>
      </c>
      <c r="C328" s="195">
        <v>25.01</v>
      </c>
      <c r="D328" s="195">
        <v>25.01</v>
      </c>
      <c r="E328" s="195">
        <v>25.01</v>
      </c>
      <c r="F328" s="195">
        <v>25.01</v>
      </c>
      <c r="H328" s="195" t="str">
        <f t="shared" si="17"/>
        <v>1998</v>
      </c>
      <c r="I328" s="204" t="s">
        <v>153</v>
      </c>
    </row>
    <row r="329" spans="1:9">
      <c r="A329" s="195" t="s">
        <v>35</v>
      </c>
      <c r="B329" s="195">
        <v>32.54</v>
      </c>
      <c r="C329" s="195">
        <v>32.22</v>
      </c>
      <c r="D329" s="195">
        <v>31.55</v>
      </c>
      <c r="E329" s="195">
        <v>31.49</v>
      </c>
      <c r="F329" s="195">
        <v>25.01</v>
      </c>
      <c r="H329" s="195" t="str">
        <f t="shared" si="17"/>
        <v>1998</v>
      </c>
      <c r="I329" s="204" t="s">
        <v>153</v>
      </c>
    </row>
    <row r="330" spans="1:9">
      <c r="A330" s="195" t="s">
        <v>31</v>
      </c>
      <c r="B330" s="195">
        <v>52.03</v>
      </c>
      <c r="C330" s="195">
        <v>52.03</v>
      </c>
      <c r="D330" s="195">
        <v>52.6</v>
      </c>
      <c r="E330" s="195">
        <v>52.17</v>
      </c>
      <c r="F330" s="195">
        <v>52.17</v>
      </c>
      <c r="H330" s="195" t="str">
        <f t="shared" si="17"/>
        <v>1998</v>
      </c>
      <c r="I330" s="204" t="s">
        <v>153</v>
      </c>
    </row>
    <row r="331" spans="1:9">
      <c r="A331" s="195" t="s">
        <v>458</v>
      </c>
      <c r="B331" s="195">
        <v>41.91</v>
      </c>
      <c r="C331" s="195">
        <v>41.2</v>
      </c>
      <c r="D331" s="195">
        <v>40.799999999999997</v>
      </c>
      <c r="E331" s="195">
        <v>42.51</v>
      </c>
      <c r="F331" s="195">
        <v>40.42</v>
      </c>
      <c r="H331" s="195" t="str">
        <f t="shared" si="17"/>
        <v>1998</v>
      </c>
      <c r="I331" s="204" t="s">
        <v>153</v>
      </c>
    </row>
    <row r="332" spans="1:9">
      <c r="A332" s="195" t="s">
        <v>148</v>
      </c>
      <c r="B332" s="195">
        <v>52.65</v>
      </c>
      <c r="C332" s="195">
        <v>50.85</v>
      </c>
      <c r="D332" s="195">
        <v>50.49</v>
      </c>
      <c r="E332" s="195">
        <v>52.81</v>
      </c>
      <c r="F332" s="195">
        <v>50.52</v>
      </c>
      <c r="H332" s="195" t="str">
        <f t="shared" si="17"/>
        <v>1998</v>
      </c>
      <c r="I332" s="204" t="s">
        <v>153</v>
      </c>
    </row>
    <row r="333" spans="1:9">
      <c r="A333" s="195" t="s">
        <v>149</v>
      </c>
      <c r="B333" s="195">
        <v>45.8</v>
      </c>
      <c r="C333" s="195">
        <v>45.21</v>
      </c>
      <c r="D333" s="195">
        <v>44.93</v>
      </c>
      <c r="E333" s="195">
        <v>49.47</v>
      </c>
      <c r="F333" s="195">
        <v>48.04</v>
      </c>
      <c r="H333" s="195" t="str">
        <f t="shared" si="17"/>
        <v>1998</v>
      </c>
      <c r="I333" s="204" t="s">
        <v>153</v>
      </c>
    </row>
    <row r="334" spans="1:9">
      <c r="A334" s="195" t="s">
        <v>19</v>
      </c>
      <c r="B334" s="195">
        <v>0</v>
      </c>
      <c r="C334" s="195">
        <v>0</v>
      </c>
      <c r="D334" s="195">
        <v>0</v>
      </c>
      <c r="E334" s="195">
        <v>0</v>
      </c>
      <c r="F334" s="195">
        <v>0</v>
      </c>
      <c r="H334" s="195" t="str">
        <f t="shared" si="17"/>
        <v>1998</v>
      </c>
      <c r="I334" s="204" t="s">
        <v>153</v>
      </c>
    </row>
    <row r="335" spans="1:9">
      <c r="A335" s="195" t="s">
        <v>150</v>
      </c>
      <c r="B335" s="195">
        <v>22.7</v>
      </c>
      <c r="C335" s="195">
        <v>22.79</v>
      </c>
      <c r="D335" s="195">
        <v>22.41</v>
      </c>
      <c r="E335" s="195">
        <v>26.99</v>
      </c>
      <c r="F335" s="195">
        <v>25.27</v>
      </c>
      <c r="H335" s="195" t="str">
        <f t="shared" si="17"/>
        <v>1998</v>
      </c>
      <c r="I335" s="204" t="s">
        <v>153</v>
      </c>
    </row>
    <row r="336" spans="1:9">
      <c r="A336" s="195" t="s">
        <v>151</v>
      </c>
      <c r="B336" s="195">
        <v>27.74</v>
      </c>
      <c r="C336" s="195">
        <v>27.86</v>
      </c>
      <c r="D336" s="195">
        <v>27.39</v>
      </c>
      <c r="E336" s="195">
        <v>32.99</v>
      </c>
      <c r="F336" s="195">
        <v>30.88</v>
      </c>
      <c r="H336" s="195" t="str">
        <f t="shared" si="17"/>
        <v>1998</v>
      </c>
      <c r="I336" s="204" t="s">
        <v>153</v>
      </c>
    </row>
    <row r="337" spans="1:9">
      <c r="A337" s="195" t="s">
        <v>152</v>
      </c>
      <c r="B337" s="195">
        <v>20.81</v>
      </c>
      <c r="C337" s="195">
        <v>20.89</v>
      </c>
      <c r="D337" s="195">
        <v>20.54</v>
      </c>
      <c r="E337" s="195">
        <v>24.74</v>
      </c>
      <c r="F337" s="195">
        <v>23.16</v>
      </c>
      <c r="H337" s="195" t="str">
        <f t="shared" si="17"/>
        <v>1998</v>
      </c>
      <c r="I337" s="204" t="s">
        <v>153</v>
      </c>
    </row>
    <row r="338" spans="1:9">
      <c r="A338" s="195" t="s">
        <v>162</v>
      </c>
    </row>
    <row r="339" spans="1:9">
      <c r="A339" s="195" t="s">
        <v>708</v>
      </c>
    </row>
    <row r="340" spans="1:9">
      <c r="A340" s="195" t="s">
        <v>25</v>
      </c>
      <c r="B340" s="195">
        <v>180.59</v>
      </c>
      <c r="C340" s="195">
        <v>0</v>
      </c>
      <c r="D340" s="195">
        <v>0.73</v>
      </c>
      <c r="E340" s="195">
        <v>0</v>
      </c>
      <c r="F340" s="195">
        <v>8.94</v>
      </c>
      <c r="H340" s="195" t="str">
        <f>RIGHT(A338,4)</f>
        <v>1999</v>
      </c>
      <c r="I340" s="204" t="s">
        <v>710</v>
      </c>
    </row>
    <row r="341" spans="1:9">
      <c r="A341" s="195" t="s">
        <v>22</v>
      </c>
      <c r="B341" s="195">
        <v>164.38</v>
      </c>
      <c r="C341" s="195">
        <v>2.1</v>
      </c>
      <c r="D341" s="195">
        <v>1.18</v>
      </c>
      <c r="E341" s="195">
        <v>0.38</v>
      </c>
      <c r="F341" s="195">
        <v>23.33</v>
      </c>
      <c r="H341" s="195" t="str">
        <f>H340</f>
        <v>1999</v>
      </c>
      <c r="I341" s="204" t="s">
        <v>710</v>
      </c>
    </row>
    <row r="342" spans="1:9">
      <c r="A342" s="195" t="s">
        <v>15</v>
      </c>
      <c r="B342" s="195">
        <v>96.11</v>
      </c>
      <c r="C342" s="195">
        <v>0.76</v>
      </c>
      <c r="D342" s="195">
        <v>5.32</v>
      </c>
      <c r="E342" s="195">
        <v>3.48</v>
      </c>
      <c r="F342" s="195">
        <v>5.36</v>
      </c>
      <c r="H342" s="195" t="str">
        <f t="shared" ref="H342:H356" si="18">H341</f>
        <v>1999</v>
      </c>
      <c r="I342" s="204" t="s">
        <v>710</v>
      </c>
    </row>
    <row r="343" spans="1:9">
      <c r="A343" s="195" t="s">
        <v>16</v>
      </c>
      <c r="B343" s="195">
        <v>122.97</v>
      </c>
      <c r="C343" s="195">
        <v>3.65</v>
      </c>
      <c r="D343" s="195">
        <v>0</v>
      </c>
      <c r="E343" s="195">
        <v>3.4</v>
      </c>
      <c r="F343" s="195">
        <v>10.75</v>
      </c>
      <c r="H343" s="195" t="str">
        <f t="shared" si="18"/>
        <v>1999</v>
      </c>
      <c r="I343" s="204" t="s">
        <v>710</v>
      </c>
    </row>
    <row r="344" spans="1:9">
      <c r="A344" s="195" t="s">
        <v>37</v>
      </c>
      <c r="B344" s="195">
        <v>75.84</v>
      </c>
      <c r="C344" s="195">
        <v>1.39</v>
      </c>
      <c r="D344" s="195">
        <v>19.21</v>
      </c>
      <c r="E344" s="195">
        <v>0.01</v>
      </c>
      <c r="F344" s="195">
        <v>5.12</v>
      </c>
      <c r="H344" s="195" t="str">
        <f t="shared" si="18"/>
        <v>1999</v>
      </c>
      <c r="I344" s="204" t="s">
        <v>710</v>
      </c>
    </row>
    <row r="345" spans="1:9">
      <c r="A345" s="195" t="s">
        <v>36</v>
      </c>
      <c r="B345" s="195">
        <v>107.24</v>
      </c>
      <c r="C345" s="195">
        <v>0.12</v>
      </c>
      <c r="D345" s="195">
        <v>23.9</v>
      </c>
      <c r="E345" s="195">
        <v>0</v>
      </c>
      <c r="F345" s="195">
        <v>3.73</v>
      </c>
      <c r="H345" s="195" t="str">
        <f t="shared" si="18"/>
        <v>1999</v>
      </c>
      <c r="I345" s="204" t="s">
        <v>710</v>
      </c>
    </row>
    <row r="346" spans="1:9">
      <c r="A346" s="195" t="s">
        <v>453</v>
      </c>
      <c r="B346" s="195">
        <v>60.86</v>
      </c>
      <c r="C346" s="195">
        <v>0.01</v>
      </c>
      <c r="D346" s="195">
        <v>0.01</v>
      </c>
      <c r="E346" s="195">
        <v>0</v>
      </c>
      <c r="F346" s="195">
        <v>67.17</v>
      </c>
      <c r="H346" s="195" t="str">
        <f t="shared" si="18"/>
        <v>1999</v>
      </c>
      <c r="I346" s="204" t="s">
        <v>710</v>
      </c>
    </row>
    <row r="347" spans="1:9">
      <c r="A347" s="195" t="s">
        <v>456</v>
      </c>
      <c r="B347" s="195">
        <v>24.21</v>
      </c>
      <c r="C347" s="195">
        <v>132.30000000000001</v>
      </c>
      <c r="D347" s="195">
        <v>54.91</v>
      </c>
      <c r="E347" s="195">
        <v>11.07</v>
      </c>
      <c r="F347" s="195">
        <v>0.4</v>
      </c>
      <c r="H347" s="195" t="str">
        <f t="shared" si="18"/>
        <v>1999</v>
      </c>
      <c r="I347" s="204" t="s">
        <v>710</v>
      </c>
    </row>
    <row r="348" spans="1:9">
      <c r="A348" s="195" t="s">
        <v>35</v>
      </c>
      <c r="B348" s="195">
        <v>8</v>
      </c>
      <c r="C348" s="195">
        <v>2</v>
      </c>
      <c r="D348" s="195">
        <v>224</v>
      </c>
      <c r="E348" s="195">
        <v>0</v>
      </c>
      <c r="F348" s="195">
        <v>2</v>
      </c>
      <c r="H348" s="195" t="str">
        <f t="shared" si="18"/>
        <v>1999</v>
      </c>
      <c r="I348" s="204" t="s">
        <v>710</v>
      </c>
    </row>
    <row r="349" spans="1:9">
      <c r="A349" s="195" t="s">
        <v>31</v>
      </c>
      <c r="B349" s="195">
        <v>245</v>
      </c>
      <c r="C349" s="195">
        <v>2</v>
      </c>
      <c r="D349" s="195">
        <v>15</v>
      </c>
      <c r="E349" s="195">
        <v>0</v>
      </c>
      <c r="F349" s="195">
        <v>9</v>
      </c>
      <c r="H349" s="195" t="str">
        <f t="shared" si="18"/>
        <v>1999</v>
      </c>
      <c r="I349" s="204" t="s">
        <v>710</v>
      </c>
    </row>
    <row r="350" spans="1:9">
      <c r="A350" s="195" t="s">
        <v>458</v>
      </c>
      <c r="B350" s="195">
        <v>0</v>
      </c>
      <c r="C350" s="195">
        <v>0</v>
      </c>
      <c r="D350" s="195">
        <v>0</v>
      </c>
      <c r="E350" s="195">
        <v>0</v>
      </c>
      <c r="F350" s="195">
        <v>0</v>
      </c>
      <c r="H350" s="195" t="str">
        <f t="shared" si="18"/>
        <v>1999</v>
      </c>
      <c r="I350" s="204" t="s">
        <v>710</v>
      </c>
    </row>
    <row r="351" spans="1:9">
      <c r="A351" s="195" t="s">
        <v>148</v>
      </c>
      <c r="B351" s="195">
        <v>16.03</v>
      </c>
      <c r="C351" s="195">
        <v>0</v>
      </c>
      <c r="D351" s="195">
        <v>0</v>
      </c>
      <c r="E351" s="195">
        <v>0</v>
      </c>
      <c r="F351" s="195">
        <v>58.72</v>
      </c>
      <c r="H351" s="195" t="str">
        <f t="shared" si="18"/>
        <v>1999</v>
      </c>
      <c r="I351" s="204" t="s">
        <v>710</v>
      </c>
    </row>
    <row r="352" spans="1:9">
      <c r="A352" s="195" t="s">
        <v>149</v>
      </c>
      <c r="B352" s="195">
        <v>0</v>
      </c>
      <c r="C352" s="195">
        <v>0</v>
      </c>
      <c r="D352" s="195">
        <v>0</v>
      </c>
      <c r="E352" s="195">
        <v>0</v>
      </c>
      <c r="F352" s="195">
        <v>0</v>
      </c>
      <c r="H352" s="195" t="str">
        <f t="shared" si="18"/>
        <v>1999</v>
      </c>
      <c r="I352" s="204" t="s">
        <v>710</v>
      </c>
    </row>
    <row r="353" spans="1:9">
      <c r="A353" s="195" t="s">
        <v>19</v>
      </c>
      <c r="B353" s="195">
        <v>0</v>
      </c>
      <c r="C353" s="195">
        <v>0</v>
      </c>
      <c r="D353" s="195">
        <v>0</v>
      </c>
      <c r="E353" s="195">
        <v>0</v>
      </c>
      <c r="F353" s="195">
        <v>0</v>
      </c>
      <c r="H353" s="195" t="str">
        <f t="shared" si="18"/>
        <v>1999</v>
      </c>
      <c r="I353" s="204" t="s">
        <v>710</v>
      </c>
    </row>
    <row r="354" spans="1:9">
      <c r="A354" s="195" t="s">
        <v>150</v>
      </c>
      <c r="B354" s="195">
        <v>9.0399999999999991</v>
      </c>
      <c r="C354" s="195">
        <v>0</v>
      </c>
      <c r="D354" s="195">
        <v>80.989999999999995</v>
      </c>
      <c r="E354" s="195">
        <v>0</v>
      </c>
      <c r="F354" s="195">
        <v>30.8</v>
      </c>
      <c r="H354" s="195" t="str">
        <f t="shared" si="18"/>
        <v>1999</v>
      </c>
      <c r="I354" s="204" t="s">
        <v>710</v>
      </c>
    </row>
    <row r="355" spans="1:9">
      <c r="A355" s="195" t="s">
        <v>151</v>
      </c>
      <c r="B355" s="195">
        <v>14.41</v>
      </c>
      <c r="C355" s="195">
        <v>1.68</v>
      </c>
      <c r="D355" s="195">
        <v>268.82</v>
      </c>
      <c r="E355" s="195">
        <v>0</v>
      </c>
      <c r="F355" s="195">
        <v>2.73</v>
      </c>
      <c r="H355" s="195" t="str">
        <f t="shared" si="18"/>
        <v>1999</v>
      </c>
      <c r="I355" s="204" t="s">
        <v>710</v>
      </c>
    </row>
    <row r="356" spans="1:9">
      <c r="A356" s="195" t="s">
        <v>152</v>
      </c>
      <c r="B356" s="195">
        <v>45.89</v>
      </c>
      <c r="C356" s="195">
        <v>0</v>
      </c>
      <c r="D356" s="195">
        <v>97.33</v>
      </c>
      <c r="E356" s="195">
        <v>0</v>
      </c>
      <c r="F356" s="195">
        <v>1.58</v>
      </c>
      <c r="H356" s="195" t="str">
        <f t="shared" si="18"/>
        <v>1999</v>
      </c>
      <c r="I356" s="204" t="s">
        <v>710</v>
      </c>
    </row>
    <row r="357" spans="1:9">
      <c r="A357" s="195" t="s">
        <v>709</v>
      </c>
    </row>
    <row r="358" spans="1:9">
      <c r="A358" s="195" t="s">
        <v>25</v>
      </c>
      <c r="B358" s="195">
        <v>54.69</v>
      </c>
      <c r="C358" s="195">
        <v>55.81</v>
      </c>
      <c r="D358" s="195">
        <v>54.95</v>
      </c>
      <c r="E358" s="195">
        <v>54.78</v>
      </c>
      <c r="F358" s="195">
        <v>31.79</v>
      </c>
      <c r="H358" s="195" t="str">
        <f>H340</f>
        <v>1999</v>
      </c>
      <c r="I358" s="204" t="s">
        <v>153</v>
      </c>
    </row>
    <row r="359" spans="1:9">
      <c r="A359" s="195" t="s">
        <v>22</v>
      </c>
      <c r="B359" s="195">
        <v>52.95</v>
      </c>
      <c r="C359" s="195">
        <v>54.08</v>
      </c>
      <c r="D359" s="195">
        <v>53.21</v>
      </c>
      <c r="E359" s="195">
        <v>53.04</v>
      </c>
      <c r="F359" s="195">
        <v>30.06</v>
      </c>
      <c r="H359" s="195" t="str">
        <f t="shared" ref="H359:H374" si="19">H341</f>
        <v>1999</v>
      </c>
      <c r="I359" s="204" t="s">
        <v>153</v>
      </c>
    </row>
    <row r="360" spans="1:9">
      <c r="A360" s="195" t="s">
        <v>15</v>
      </c>
      <c r="B360" s="195">
        <v>45.03</v>
      </c>
      <c r="C360" s="195">
        <v>46.15</v>
      </c>
      <c r="D360" s="195">
        <v>45.29</v>
      </c>
      <c r="E360" s="195">
        <v>47.41</v>
      </c>
      <c r="F360" s="195">
        <v>44.83</v>
      </c>
      <c r="H360" s="195" t="str">
        <f t="shared" si="19"/>
        <v>1999</v>
      </c>
      <c r="I360" s="204" t="s">
        <v>153</v>
      </c>
    </row>
    <row r="361" spans="1:9">
      <c r="A361" s="195" t="s">
        <v>16</v>
      </c>
      <c r="B361" s="195">
        <v>46.37</v>
      </c>
      <c r="C361" s="195">
        <v>44.69</v>
      </c>
      <c r="D361" s="195">
        <v>45.08</v>
      </c>
      <c r="E361" s="195">
        <v>54.33</v>
      </c>
      <c r="F361" s="195">
        <v>52.3</v>
      </c>
      <c r="H361" s="195" t="str">
        <f t="shared" si="19"/>
        <v>1999</v>
      </c>
      <c r="I361" s="204" t="s">
        <v>153</v>
      </c>
    </row>
    <row r="362" spans="1:9">
      <c r="A362" s="195" t="s">
        <v>37</v>
      </c>
      <c r="B362" s="195">
        <v>32.159999999999997</v>
      </c>
      <c r="C362" s="195">
        <v>34.729999999999997</v>
      </c>
      <c r="D362" s="195">
        <v>34.729999999999997</v>
      </c>
      <c r="E362" s="195">
        <v>34.04</v>
      </c>
      <c r="F362" s="195">
        <v>28.84</v>
      </c>
      <c r="H362" s="195" t="str">
        <f t="shared" si="19"/>
        <v>1999</v>
      </c>
      <c r="I362" s="204" t="s">
        <v>153</v>
      </c>
    </row>
    <row r="363" spans="1:9">
      <c r="A363" s="195" t="s">
        <v>36</v>
      </c>
      <c r="B363" s="195">
        <v>30.82</v>
      </c>
      <c r="C363" s="195">
        <v>33.299999999999997</v>
      </c>
      <c r="D363" s="195">
        <v>33.76</v>
      </c>
      <c r="E363" s="195">
        <v>32.9</v>
      </c>
      <c r="F363" s="195">
        <v>29.06</v>
      </c>
      <c r="H363" s="195" t="str">
        <f t="shared" si="19"/>
        <v>1999</v>
      </c>
      <c r="I363" s="204" t="s">
        <v>153</v>
      </c>
    </row>
    <row r="364" spans="1:9">
      <c r="A364" s="195" t="s">
        <v>453</v>
      </c>
      <c r="B364" s="195">
        <v>38.99</v>
      </c>
      <c r="C364" s="195">
        <v>38.729999999999997</v>
      </c>
      <c r="D364" s="195">
        <v>38.33</v>
      </c>
      <c r="E364" s="195">
        <v>49.34</v>
      </c>
      <c r="F364" s="195">
        <v>45.56</v>
      </c>
      <c r="H364" s="195" t="str">
        <f t="shared" si="19"/>
        <v>1999</v>
      </c>
      <c r="I364" s="204" t="s">
        <v>153</v>
      </c>
    </row>
    <row r="365" spans="1:9">
      <c r="A365" s="195" t="s">
        <v>456</v>
      </c>
      <c r="B365" s="195">
        <v>25.52</v>
      </c>
      <c r="C365" s="195">
        <v>25.52</v>
      </c>
      <c r="D365" s="195">
        <v>25.52</v>
      </c>
      <c r="E365" s="195">
        <v>25.52</v>
      </c>
      <c r="F365" s="195">
        <v>25.52</v>
      </c>
      <c r="H365" s="195" t="str">
        <f t="shared" si="19"/>
        <v>1999</v>
      </c>
      <c r="I365" s="204" t="s">
        <v>153</v>
      </c>
    </row>
    <row r="366" spans="1:9">
      <c r="A366" s="195" t="s">
        <v>35</v>
      </c>
      <c r="B366" s="195">
        <v>33.200000000000003</v>
      </c>
      <c r="C366" s="195">
        <v>32.880000000000003</v>
      </c>
      <c r="D366" s="195">
        <v>32.19</v>
      </c>
      <c r="E366" s="195">
        <v>32.14</v>
      </c>
      <c r="F366" s="195">
        <v>25.52</v>
      </c>
      <c r="H366" s="195" t="str">
        <f t="shared" si="19"/>
        <v>1999</v>
      </c>
      <c r="I366" s="204" t="s">
        <v>153</v>
      </c>
    </row>
    <row r="367" spans="1:9">
      <c r="A367" s="195" t="s">
        <v>31</v>
      </c>
      <c r="B367" s="195">
        <v>53.09</v>
      </c>
      <c r="C367" s="195">
        <v>53.09</v>
      </c>
      <c r="D367" s="195">
        <v>53.67</v>
      </c>
      <c r="E367" s="195">
        <v>53.23</v>
      </c>
      <c r="F367" s="195">
        <v>53.23</v>
      </c>
      <c r="H367" s="195" t="str">
        <f t="shared" si="19"/>
        <v>1999</v>
      </c>
      <c r="I367" s="204" t="s">
        <v>153</v>
      </c>
    </row>
    <row r="368" spans="1:9">
      <c r="A368" s="195" t="s">
        <v>458</v>
      </c>
      <c r="B368" s="195">
        <v>42.77</v>
      </c>
      <c r="C368" s="195">
        <v>42.04</v>
      </c>
      <c r="D368" s="195">
        <v>41.63</v>
      </c>
      <c r="E368" s="195">
        <v>43.38</v>
      </c>
      <c r="F368" s="195">
        <v>41.24</v>
      </c>
      <c r="H368" s="195" t="str">
        <f t="shared" si="19"/>
        <v>1999</v>
      </c>
      <c r="I368" s="204" t="s">
        <v>153</v>
      </c>
    </row>
    <row r="369" spans="1:9">
      <c r="A369" s="195" t="s">
        <v>148</v>
      </c>
      <c r="B369" s="195">
        <v>53.73</v>
      </c>
      <c r="C369" s="195">
        <v>51.89</v>
      </c>
      <c r="D369" s="195">
        <v>51.52</v>
      </c>
      <c r="E369" s="195">
        <v>53.89</v>
      </c>
      <c r="F369" s="195">
        <v>51.55</v>
      </c>
      <c r="H369" s="195" t="str">
        <f t="shared" si="19"/>
        <v>1999</v>
      </c>
      <c r="I369" s="204" t="s">
        <v>153</v>
      </c>
    </row>
    <row r="370" spans="1:9">
      <c r="A370" s="195" t="s">
        <v>149</v>
      </c>
      <c r="B370" s="195">
        <v>46.73</v>
      </c>
      <c r="C370" s="195">
        <v>46.13</v>
      </c>
      <c r="D370" s="195">
        <v>45.85</v>
      </c>
      <c r="E370" s="195">
        <v>50.48</v>
      </c>
      <c r="F370" s="195">
        <v>49.02</v>
      </c>
      <c r="H370" s="195" t="str">
        <f t="shared" si="19"/>
        <v>1999</v>
      </c>
      <c r="I370" s="204" t="s">
        <v>153</v>
      </c>
    </row>
    <row r="371" spans="1:9">
      <c r="A371" s="195" t="s">
        <v>19</v>
      </c>
      <c r="B371" s="195">
        <v>0</v>
      </c>
      <c r="C371" s="195">
        <v>0</v>
      </c>
      <c r="D371" s="195">
        <v>0</v>
      </c>
      <c r="E371" s="195">
        <v>0</v>
      </c>
      <c r="F371" s="195">
        <v>0</v>
      </c>
      <c r="H371" s="195" t="str">
        <f t="shared" si="19"/>
        <v>1999</v>
      </c>
      <c r="I371" s="204" t="s">
        <v>153</v>
      </c>
    </row>
    <row r="372" spans="1:9">
      <c r="A372" s="195" t="s">
        <v>150</v>
      </c>
      <c r="B372" s="195">
        <v>23.16</v>
      </c>
      <c r="C372" s="195">
        <v>23.26</v>
      </c>
      <c r="D372" s="195">
        <v>22.86</v>
      </c>
      <c r="E372" s="195">
        <v>27.54</v>
      </c>
      <c r="F372" s="195">
        <v>25.78</v>
      </c>
      <c r="H372" s="195" t="str">
        <f t="shared" si="19"/>
        <v>1999</v>
      </c>
      <c r="I372" s="204" t="s">
        <v>153</v>
      </c>
    </row>
    <row r="373" spans="1:9">
      <c r="A373" s="195" t="s">
        <v>151</v>
      </c>
      <c r="B373" s="195">
        <v>28.31</v>
      </c>
      <c r="C373" s="195">
        <v>28.42</v>
      </c>
      <c r="D373" s="195">
        <v>27.94</v>
      </c>
      <c r="E373" s="195">
        <v>33.659999999999997</v>
      </c>
      <c r="F373" s="195">
        <v>31.51</v>
      </c>
      <c r="H373" s="195" t="str">
        <f t="shared" si="19"/>
        <v>1999</v>
      </c>
      <c r="I373" s="204" t="s">
        <v>153</v>
      </c>
    </row>
    <row r="374" spans="1:9">
      <c r="A374" s="195" t="s">
        <v>152</v>
      </c>
      <c r="B374" s="195">
        <v>21.23</v>
      </c>
      <c r="C374" s="195">
        <v>21.32</v>
      </c>
      <c r="D374" s="195">
        <v>20.96</v>
      </c>
      <c r="E374" s="195">
        <v>25.24</v>
      </c>
      <c r="F374" s="195">
        <v>23.64</v>
      </c>
      <c r="H374" s="195" t="str">
        <f t="shared" si="19"/>
        <v>1999</v>
      </c>
      <c r="I374" s="204" t="s">
        <v>153</v>
      </c>
    </row>
    <row r="375" spans="1:9">
      <c r="A375" s="195" t="s">
        <v>163</v>
      </c>
    </row>
    <row r="376" spans="1:9">
      <c r="A376" s="195" t="s">
        <v>708</v>
      </c>
    </row>
    <row r="377" spans="1:9">
      <c r="A377" s="195" t="s">
        <v>25</v>
      </c>
      <c r="B377" s="195">
        <v>194.86</v>
      </c>
      <c r="C377" s="195">
        <v>0</v>
      </c>
      <c r="D377" s="195">
        <v>0.66</v>
      </c>
      <c r="E377" s="195">
        <v>0</v>
      </c>
      <c r="F377" s="195">
        <v>1.8</v>
      </c>
      <c r="H377" s="195" t="str">
        <f>RIGHT(A375,4)</f>
        <v>2000</v>
      </c>
      <c r="I377" s="204" t="s">
        <v>710</v>
      </c>
    </row>
    <row r="378" spans="1:9">
      <c r="A378" s="195" t="s">
        <v>22</v>
      </c>
      <c r="B378" s="195">
        <v>204.58</v>
      </c>
      <c r="C378" s="195">
        <v>2.58</v>
      </c>
      <c r="D378" s="195">
        <v>8.65</v>
      </c>
      <c r="E378" s="195">
        <v>0.45</v>
      </c>
      <c r="F378" s="195">
        <v>14.44</v>
      </c>
      <c r="H378" s="195" t="str">
        <f>H377</f>
        <v>2000</v>
      </c>
      <c r="I378" s="204" t="s">
        <v>710</v>
      </c>
    </row>
    <row r="379" spans="1:9">
      <c r="A379" s="195" t="s">
        <v>15</v>
      </c>
      <c r="B379" s="195">
        <v>151.99</v>
      </c>
      <c r="C379" s="195">
        <v>1.6</v>
      </c>
      <c r="D379" s="195">
        <v>5.03</v>
      </c>
      <c r="E379" s="195">
        <v>0.96</v>
      </c>
      <c r="F379" s="195">
        <v>4.28</v>
      </c>
      <c r="H379" s="195" t="str">
        <f t="shared" ref="H379:H393" si="20">H378</f>
        <v>2000</v>
      </c>
      <c r="I379" s="204" t="s">
        <v>710</v>
      </c>
    </row>
    <row r="380" spans="1:9">
      <c r="A380" s="195" t="s">
        <v>16</v>
      </c>
      <c r="B380" s="195">
        <v>108.88</v>
      </c>
      <c r="C380" s="195">
        <v>4.83</v>
      </c>
      <c r="D380" s="195">
        <v>2.29</v>
      </c>
      <c r="E380" s="195">
        <v>6.66</v>
      </c>
      <c r="F380" s="195">
        <v>11.4</v>
      </c>
      <c r="H380" s="195" t="str">
        <f t="shared" si="20"/>
        <v>2000</v>
      </c>
      <c r="I380" s="204" t="s">
        <v>710</v>
      </c>
    </row>
    <row r="381" spans="1:9">
      <c r="A381" s="195" t="s">
        <v>37</v>
      </c>
      <c r="B381" s="195">
        <v>130.15</v>
      </c>
      <c r="C381" s="195">
        <v>0.26</v>
      </c>
      <c r="D381" s="195">
        <v>62.6</v>
      </c>
      <c r="E381" s="195">
        <v>0</v>
      </c>
      <c r="F381" s="195">
        <v>3.83</v>
      </c>
      <c r="H381" s="195" t="str">
        <f t="shared" si="20"/>
        <v>2000</v>
      </c>
      <c r="I381" s="204" t="s">
        <v>710</v>
      </c>
    </row>
    <row r="382" spans="1:9">
      <c r="A382" s="195" t="s">
        <v>36</v>
      </c>
      <c r="B382" s="195">
        <v>123.01</v>
      </c>
      <c r="C382" s="195">
        <v>1.65</v>
      </c>
      <c r="D382" s="195">
        <v>28.48</v>
      </c>
      <c r="E382" s="195">
        <v>0</v>
      </c>
      <c r="F382" s="195">
        <v>3.21</v>
      </c>
      <c r="H382" s="195" t="str">
        <f t="shared" si="20"/>
        <v>2000</v>
      </c>
      <c r="I382" s="204" t="s">
        <v>710</v>
      </c>
    </row>
    <row r="383" spans="1:9">
      <c r="A383" s="195" t="s">
        <v>453</v>
      </c>
      <c r="B383" s="195">
        <v>61.41</v>
      </c>
      <c r="C383" s="195">
        <v>0</v>
      </c>
      <c r="D383" s="195">
        <v>0.26</v>
      </c>
      <c r="E383" s="195">
        <v>0</v>
      </c>
      <c r="F383" s="195">
        <v>100.3</v>
      </c>
      <c r="H383" s="195" t="str">
        <f t="shared" si="20"/>
        <v>2000</v>
      </c>
      <c r="I383" s="204" t="s">
        <v>710</v>
      </c>
    </row>
    <row r="384" spans="1:9">
      <c r="A384" s="195" t="s">
        <v>456</v>
      </c>
      <c r="B384" s="195">
        <v>47.56</v>
      </c>
      <c r="C384" s="195">
        <v>140.19999999999999</v>
      </c>
      <c r="D384" s="195">
        <v>46.99</v>
      </c>
      <c r="E384" s="195">
        <v>18.350000000000001</v>
      </c>
      <c r="F384" s="195">
        <v>3.7</v>
      </c>
      <c r="H384" s="195" t="str">
        <f t="shared" si="20"/>
        <v>2000</v>
      </c>
      <c r="I384" s="204" t="s">
        <v>710</v>
      </c>
    </row>
    <row r="385" spans="1:9">
      <c r="A385" s="195" t="s">
        <v>35</v>
      </c>
      <c r="B385" s="195">
        <v>13</v>
      </c>
      <c r="C385" s="195">
        <v>1</v>
      </c>
      <c r="D385" s="195">
        <v>245</v>
      </c>
      <c r="E385" s="195">
        <v>0</v>
      </c>
      <c r="F385" s="195">
        <v>2</v>
      </c>
      <c r="H385" s="195" t="str">
        <f t="shared" si="20"/>
        <v>2000</v>
      </c>
      <c r="I385" s="204" t="s">
        <v>710</v>
      </c>
    </row>
    <row r="386" spans="1:9">
      <c r="A386" s="195" t="s">
        <v>31</v>
      </c>
      <c r="B386" s="195">
        <v>242</v>
      </c>
      <c r="C386" s="195">
        <v>3</v>
      </c>
      <c r="D386" s="195">
        <v>27</v>
      </c>
      <c r="E386" s="195">
        <v>1</v>
      </c>
      <c r="F386" s="195">
        <v>6</v>
      </c>
      <c r="H386" s="195" t="str">
        <f t="shared" si="20"/>
        <v>2000</v>
      </c>
      <c r="I386" s="204" t="s">
        <v>710</v>
      </c>
    </row>
    <row r="387" spans="1:9">
      <c r="A387" s="195" t="s">
        <v>458</v>
      </c>
      <c r="B387" s="195">
        <v>0</v>
      </c>
      <c r="C387" s="195">
        <v>0</v>
      </c>
      <c r="D387" s="195">
        <v>0</v>
      </c>
      <c r="E387" s="195">
        <v>0</v>
      </c>
      <c r="F387" s="195">
        <v>0.86</v>
      </c>
      <c r="H387" s="195" t="str">
        <f t="shared" si="20"/>
        <v>2000</v>
      </c>
      <c r="I387" s="204" t="s">
        <v>710</v>
      </c>
    </row>
    <row r="388" spans="1:9">
      <c r="A388" s="195" t="s">
        <v>148</v>
      </c>
      <c r="B388" s="195">
        <v>11.48</v>
      </c>
      <c r="C388" s="195">
        <v>0</v>
      </c>
      <c r="D388" s="195">
        <v>0</v>
      </c>
      <c r="E388" s="195">
        <v>0</v>
      </c>
      <c r="F388" s="195">
        <v>65.25</v>
      </c>
      <c r="H388" s="195" t="str">
        <f t="shared" si="20"/>
        <v>2000</v>
      </c>
      <c r="I388" s="204" t="s">
        <v>710</v>
      </c>
    </row>
    <row r="389" spans="1:9">
      <c r="A389" s="195" t="s">
        <v>149</v>
      </c>
      <c r="B389" s="195">
        <v>0</v>
      </c>
      <c r="C389" s="195">
        <v>0</v>
      </c>
      <c r="D389" s="195">
        <v>0</v>
      </c>
      <c r="E389" s="195">
        <v>0</v>
      </c>
      <c r="F389" s="195">
        <v>0</v>
      </c>
      <c r="H389" s="195" t="str">
        <f t="shared" si="20"/>
        <v>2000</v>
      </c>
      <c r="I389" s="204" t="s">
        <v>710</v>
      </c>
    </row>
    <row r="390" spans="1:9">
      <c r="A390" s="195" t="s">
        <v>19</v>
      </c>
      <c r="B390" s="195">
        <v>0</v>
      </c>
      <c r="C390" s="195">
        <v>0</v>
      </c>
      <c r="D390" s="195">
        <v>0</v>
      </c>
      <c r="E390" s="195">
        <v>0</v>
      </c>
      <c r="F390" s="195">
        <v>0</v>
      </c>
      <c r="H390" s="195" t="str">
        <f t="shared" si="20"/>
        <v>2000</v>
      </c>
      <c r="I390" s="204" t="s">
        <v>710</v>
      </c>
    </row>
    <row r="391" spans="1:9">
      <c r="A391" s="195" t="s">
        <v>150</v>
      </c>
      <c r="B391" s="195">
        <v>18.61</v>
      </c>
      <c r="C391" s="195">
        <v>0</v>
      </c>
      <c r="D391" s="195">
        <v>29.33</v>
      </c>
      <c r="E391" s="195">
        <v>0</v>
      </c>
      <c r="F391" s="195">
        <v>18.43</v>
      </c>
      <c r="H391" s="195" t="str">
        <f t="shared" si="20"/>
        <v>2000</v>
      </c>
      <c r="I391" s="204" t="s">
        <v>710</v>
      </c>
    </row>
    <row r="392" spans="1:9">
      <c r="A392" s="195" t="s">
        <v>151</v>
      </c>
      <c r="B392" s="195">
        <v>16.239999999999998</v>
      </c>
      <c r="C392" s="195">
        <v>1.39</v>
      </c>
      <c r="D392" s="195">
        <v>276.69</v>
      </c>
      <c r="E392" s="195">
        <v>0</v>
      </c>
      <c r="F392" s="195">
        <v>3.01</v>
      </c>
      <c r="H392" s="195" t="str">
        <f t="shared" si="20"/>
        <v>2000</v>
      </c>
      <c r="I392" s="204" t="s">
        <v>710</v>
      </c>
    </row>
    <row r="393" spans="1:9">
      <c r="A393" s="195" t="s">
        <v>152</v>
      </c>
      <c r="B393" s="195">
        <v>13.54</v>
      </c>
      <c r="C393" s="195">
        <v>0</v>
      </c>
      <c r="D393" s="195">
        <v>153.47</v>
      </c>
      <c r="E393" s="195">
        <v>0</v>
      </c>
      <c r="F393" s="195">
        <v>5.77</v>
      </c>
      <c r="H393" s="195" t="str">
        <f t="shared" si="20"/>
        <v>2000</v>
      </c>
      <c r="I393" s="204" t="s">
        <v>710</v>
      </c>
    </row>
    <row r="394" spans="1:9">
      <c r="A394" s="195" t="s">
        <v>709</v>
      </c>
    </row>
    <row r="395" spans="1:9">
      <c r="A395" s="195" t="s">
        <v>25</v>
      </c>
      <c r="B395" s="195">
        <v>55.81</v>
      </c>
      <c r="C395" s="195">
        <v>56.95</v>
      </c>
      <c r="D395" s="195">
        <v>56.07</v>
      </c>
      <c r="E395" s="195">
        <v>55.9</v>
      </c>
      <c r="F395" s="195">
        <v>32.44</v>
      </c>
      <c r="H395" s="195" t="str">
        <f>H377</f>
        <v>2000</v>
      </c>
      <c r="I395" s="204" t="s">
        <v>153</v>
      </c>
    </row>
    <row r="396" spans="1:9">
      <c r="A396" s="195" t="s">
        <v>22</v>
      </c>
      <c r="B396" s="195">
        <v>54.04</v>
      </c>
      <c r="C396" s="195">
        <v>55.18</v>
      </c>
      <c r="D396" s="195">
        <v>54.3</v>
      </c>
      <c r="E396" s="195">
        <v>54.12</v>
      </c>
      <c r="F396" s="195">
        <v>30.67</v>
      </c>
      <c r="H396" s="195" t="str">
        <f t="shared" ref="H396:H411" si="21">H378</f>
        <v>2000</v>
      </c>
      <c r="I396" s="204" t="s">
        <v>153</v>
      </c>
    </row>
    <row r="397" spans="1:9">
      <c r="A397" s="195" t="s">
        <v>15</v>
      </c>
      <c r="B397" s="195">
        <v>45.95</v>
      </c>
      <c r="C397" s="195">
        <v>47.09</v>
      </c>
      <c r="D397" s="195">
        <v>46.21</v>
      </c>
      <c r="E397" s="195">
        <v>48.37</v>
      </c>
      <c r="F397" s="195">
        <v>45.75</v>
      </c>
      <c r="H397" s="195" t="str">
        <f t="shared" si="21"/>
        <v>2000</v>
      </c>
      <c r="I397" s="204" t="s">
        <v>153</v>
      </c>
    </row>
    <row r="398" spans="1:9">
      <c r="A398" s="195" t="s">
        <v>16</v>
      </c>
      <c r="B398" s="195">
        <v>47.31</v>
      </c>
      <c r="C398" s="195">
        <v>45.6</v>
      </c>
      <c r="D398" s="195">
        <v>46</v>
      </c>
      <c r="E398" s="195">
        <v>55.44</v>
      </c>
      <c r="F398" s="195">
        <v>53.37</v>
      </c>
      <c r="H398" s="195" t="str">
        <f t="shared" si="21"/>
        <v>2000</v>
      </c>
      <c r="I398" s="204" t="s">
        <v>153</v>
      </c>
    </row>
    <row r="399" spans="1:9">
      <c r="A399" s="195" t="s">
        <v>37</v>
      </c>
      <c r="B399" s="195">
        <v>32.81</v>
      </c>
      <c r="C399" s="195">
        <v>35.44</v>
      </c>
      <c r="D399" s="195">
        <v>35.44</v>
      </c>
      <c r="E399" s="195">
        <v>34.729999999999997</v>
      </c>
      <c r="F399" s="195">
        <v>29.43</v>
      </c>
      <c r="H399" s="195" t="str">
        <f t="shared" si="21"/>
        <v>2000</v>
      </c>
      <c r="I399" s="204" t="s">
        <v>153</v>
      </c>
    </row>
    <row r="400" spans="1:9">
      <c r="A400" s="195" t="s">
        <v>36</v>
      </c>
      <c r="B400" s="195">
        <v>31.45</v>
      </c>
      <c r="C400" s="195">
        <v>33.979999999999997</v>
      </c>
      <c r="D400" s="195">
        <v>34.450000000000003</v>
      </c>
      <c r="E400" s="195">
        <v>33.57</v>
      </c>
      <c r="F400" s="195">
        <v>29.65</v>
      </c>
      <c r="H400" s="195" t="str">
        <f t="shared" si="21"/>
        <v>2000</v>
      </c>
      <c r="I400" s="204" t="s">
        <v>153</v>
      </c>
    </row>
    <row r="401" spans="1:9">
      <c r="A401" s="195" t="s">
        <v>453</v>
      </c>
      <c r="B401" s="195">
        <v>39.79</v>
      </c>
      <c r="C401" s="195">
        <v>39.520000000000003</v>
      </c>
      <c r="D401" s="195">
        <v>39.119999999999997</v>
      </c>
      <c r="E401" s="195">
        <v>50.35</v>
      </c>
      <c r="F401" s="195">
        <v>46.49</v>
      </c>
      <c r="H401" s="195" t="str">
        <f t="shared" si="21"/>
        <v>2000</v>
      </c>
      <c r="I401" s="204" t="s">
        <v>153</v>
      </c>
    </row>
    <row r="402" spans="1:9">
      <c r="A402" s="195" t="s">
        <v>456</v>
      </c>
      <c r="B402" s="195">
        <v>26.04</v>
      </c>
      <c r="C402" s="195">
        <v>26.04</v>
      </c>
      <c r="D402" s="195">
        <v>26.04</v>
      </c>
      <c r="E402" s="195">
        <v>26.04</v>
      </c>
      <c r="F402" s="195">
        <v>26.04</v>
      </c>
      <c r="H402" s="195" t="str">
        <f t="shared" si="21"/>
        <v>2000</v>
      </c>
      <c r="I402" s="204" t="s">
        <v>153</v>
      </c>
    </row>
    <row r="403" spans="1:9">
      <c r="A403" s="195" t="s">
        <v>35</v>
      </c>
      <c r="B403" s="195">
        <v>33.880000000000003</v>
      </c>
      <c r="C403" s="195">
        <v>33.549999999999997</v>
      </c>
      <c r="D403" s="195">
        <v>32.85</v>
      </c>
      <c r="E403" s="195">
        <v>32.79</v>
      </c>
      <c r="F403" s="195">
        <v>26.04</v>
      </c>
      <c r="H403" s="195" t="str">
        <f t="shared" si="21"/>
        <v>2000</v>
      </c>
      <c r="I403" s="204" t="s">
        <v>153</v>
      </c>
    </row>
    <row r="404" spans="1:9">
      <c r="A404" s="195" t="s">
        <v>31</v>
      </c>
      <c r="B404" s="195">
        <v>54.17</v>
      </c>
      <c r="C404" s="195">
        <v>54.17</v>
      </c>
      <c r="D404" s="195">
        <v>54.77</v>
      </c>
      <c r="E404" s="195">
        <v>54.32</v>
      </c>
      <c r="F404" s="195">
        <v>54.32</v>
      </c>
      <c r="H404" s="195" t="str">
        <f t="shared" si="21"/>
        <v>2000</v>
      </c>
      <c r="I404" s="204" t="s">
        <v>153</v>
      </c>
    </row>
    <row r="405" spans="1:9">
      <c r="A405" s="195" t="s">
        <v>458</v>
      </c>
      <c r="B405" s="195">
        <v>43.64</v>
      </c>
      <c r="C405" s="195">
        <v>42.89</v>
      </c>
      <c r="D405" s="195">
        <v>42.48</v>
      </c>
      <c r="E405" s="195">
        <v>44.27</v>
      </c>
      <c r="F405" s="195">
        <v>42.09</v>
      </c>
      <c r="H405" s="195" t="str">
        <f t="shared" si="21"/>
        <v>2000</v>
      </c>
      <c r="I405" s="204" t="s">
        <v>153</v>
      </c>
    </row>
    <row r="406" spans="1:9">
      <c r="A406" s="195" t="s">
        <v>148</v>
      </c>
      <c r="B406" s="195">
        <v>54.82</v>
      </c>
      <c r="C406" s="195">
        <v>52.95</v>
      </c>
      <c r="D406" s="195">
        <v>52.57</v>
      </c>
      <c r="E406" s="195">
        <v>54.99</v>
      </c>
      <c r="F406" s="195">
        <v>52.6</v>
      </c>
      <c r="H406" s="195" t="str">
        <f t="shared" si="21"/>
        <v>2000</v>
      </c>
      <c r="I406" s="204" t="s">
        <v>153</v>
      </c>
    </row>
    <row r="407" spans="1:9">
      <c r="A407" s="195" t="s">
        <v>149</v>
      </c>
      <c r="B407" s="195">
        <v>47.69</v>
      </c>
      <c r="C407" s="195">
        <v>47.07</v>
      </c>
      <c r="D407" s="195">
        <v>46.78</v>
      </c>
      <c r="E407" s="195">
        <v>51.51</v>
      </c>
      <c r="F407" s="195">
        <v>50.02</v>
      </c>
      <c r="H407" s="195" t="str">
        <f t="shared" si="21"/>
        <v>2000</v>
      </c>
      <c r="I407" s="204" t="s">
        <v>153</v>
      </c>
    </row>
    <row r="408" spans="1:9">
      <c r="A408" s="195" t="s">
        <v>19</v>
      </c>
      <c r="B408" s="195">
        <v>0</v>
      </c>
      <c r="C408" s="195">
        <v>0</v>
      </c>
      <c r="D408" s="195">
        <v>0</v>
      </c>
      <c r="E408" s="195">
        <v>0</v>
      </c>
      <c r="F408" s="195">
        <v>0</v>
      </c>
      <c r="H408" s="195" t="str">
        <f t="shared" si="21"/>
        <v>2000</v>
      </c>
      <c r="I408" s="204" t="s">
        <v>153</v>
      </c>
    </row>
    <row r="409" spans="1:9">
      <c r="A409" s="195" t="s">
        <v>150</v>
      </c>
      <c r="B409" s="195">
        <v>23.64</v>
      </c>
      <c r="C409" s="195">
        <v>23.73</v>
      </c>
      <c r="D409" s="195">
        <v>23.33</v>
      </c>
      <c r="E409" s="195">
        <v>28.1</v>
      </c>
      <c r="F409" s="195">
        <v>26.31</v>
      </c>
      <c r="H409" s="195" t="str">
        <f t="shared" si="21"/>
        <v>2000</v>
      </c>
      <c r="I409" s="204" t="s">
        <v>153</v>
      </c>
    </row>
    <row r="410" spans="1:9">
      <c r="A410" s="195" t="s">
        <v>151</v>
      </c>
      <c r="B410" s="195">
        <v>28.89</v>
      </c>
      <c r="C410" s="195">
        <v>29.01</v>
      </c>
      <c r="D410" s="195">
        <v>28.52</v>
      </c>
      <c r="E410" s="195">
        <v>34.35</v>
      </c>
      <c r="F410" s="195">
        <v>32.159999999999997</v>
      </c>
      <c r="H410" s="195" t="str">
        <f t="shared" si="21"/>
        <v>2000</v>
      </c>
      <c r="I410" s="204" t="s">
        <v>153</v>
      </c>
    </row>
    <row r="411" spans="1:9">
      <c r="A411" s="195" t="s">
        <v>152</v>
      </c>
      <c r="B411" s="195">
        <v>21.67</v>
      </c>
      <c r="C411" s="195">
        <v>21.75</v>
      </c>
      <c r="D411" s="195">
        <v>21.39</v>
      </c>
      <c r="E411" s="195">
        <v>25.76</v>
      </c>
      <c r="F411" s="195">
        <v>24.12</v>
      </c>
      <c r="H411" s="195" t="str">
        <f t="shared" si="21"/>
        <v>2000</v>
      </c>
      <c r="I411" s="204" t="s">
        <v>153</v>
      </c>
    </row>
    <row r="412" spans="1:9">
      <c r="A412" s="195" t="s">
        <v>164</v>
      </c>
    </row>
    <row r="413" spans="1:9">
      <c r="A413" s="195" t="s">
        <v>708</v>
      </c>
    </row>
    <row r="414" spans="1:9">
      <c r="A414" s="195" t="s">
        <v>25</v>
      </c>
      <c r="B414" s="195">
        <v>210.26</v>
      </c>
      <c r="C414" s="195">
        <v>0</v>
      </c>
      <c r="D414" s="195">
        <v>0.66</v>
      </c>
      <c r="E414" s="195">
        <v>0</v>
      </c>
      <c r="F414" s="195">
        <v>6.45</v>
      </c>
      <c r="H414" s="195" t="str">
        <f>RIGHT(A412,4)</f>
        <v>2001</v>
      </c>
      <c r="I414" s="204" t="s">
        <v>710</v>
      </c>
    </row>
    <row r="415" spans="1:9">
      <c r="A415" s="195" t="s">
        <v>22</v>
      </c>
      <c r="B415" s="195">
        <v>210.65</v>
      </c>
      <c r="C415" s="195">
        <v>2.44</v>
      </c>
      <c r="D415" s="195">
        <v>3.75</v>
      </c>
      <c r="E415" s="195">
        <v>0.33</v>
      </c>
      <c r="F415" s="195">
        <v>19.920000000000002</v>
      </c>
      <c r="H415" s="195" t="str">
        <f>H414</f>
        <v>2001</v>
      </c>
      <c r="I415" s="204" t="s">
        <v>710</v>
      </c>
    </row>
    <row r="416" spans="1:9">
      <c r="A416" s="195" t="s">
        <v>15</v>
      </c>
      <c r="B416" s="195">
        <v>206.68</v>
      </c>
      <c r="C416" s="195">
        <v>1.39</v>
      </c>
      <c r="D416" s="195">
        <v>7.88</v>
      </c>
      <c r="E416" s="195">
        <v>0.28000000000000003</v>
      </c>
      <c r="F416" s="195">
        <v>3.2</v>
      </c>
      <c r="H416" s="195" t="str">
        <f t="shared" ref="H416:H430" si="22">H415</f>
        <v>2001</v>
      </c>
      <c r="I416" s="204" t="s">
        <v>710</v>
      </c>
    </row>
    <row r="417" spans="1:9">
      <c r="A417" s="195" t="s">
        <v>16</v>
      </c>
      <c r="B417" s="195">
        <v>105.83</v>
      </c>
      <c r="C417" s="195">
        <v>4.25</v>
      </c>
      <c r="D417" s="195">
        <v>0.3</v>
      </c>
      <c r="E417" s="195">
        <v>5.38</v>
      </c>
      <c r="F417" s="195">
        <v>13.73</v>
      </c>
      <c r="H417" s="195" t="str">
        <f t="shared" si="22"/>
        <v>2001</v>
      </c>
      <c r="I417" s="204" t="s">
        <v>710</v>
      </c>
    </row>
    <row r="418" spans="1:9">
      <c r="A418" s="195" t="s">
        <v>37</v>
      </c>
      <c r="B418" s="195">
        <v>115</v>
      </c>
      <c r="C418" s="195">
        <v>2</v>
      </c>
      <c r="D418" s="195">
        <v>23</v>
      </c>
      <c r="E418" s="195">
        <v>0</v>
      </c>
      <c r="F418" s="195">
        <v>3</v>
      </c>
      <c r="H418" s="195" t="str">
        <f t="shared" si="22"/>
        <v>2001</v>
      </c>
      <c r="I418" s="204" t="s">
        <v>710</v>
      </c>
    </row>
    <row r="419" spans="1:9">
      <c r="A419" s="195" t="s">
        <v>36</v>
      </c>
      <c r="B419" s="195">
        <v>136</v>
      </c>
      <c r="C419" s="195">
        <v>2</v>
      </c>
      <c r="D419" s="195">
        <v>7</v>
      </c>
      <c r="E419" s="195">
        <v>0</v>
      </c>
      <c r="F419" s="195">
        <v>8</v>
      </c>
      <c r="H419" s="195" t="str">
        <f t="shared" si="22"/>
        <v>2001</v>
      </c>
      <c r="I419" s="204" t="s">
        <v>710</v>
      </c>
    </row>
    <row r="420" spans="1:9">
      <c r="A420" s="195" t="s">
        <v>453</v>
      </c>
      <c r="B420" s="195">
        <v>71.38</v>
      </c>
      <c r="C420" s="195">
        <v>0</v>
      </c>
      <c r="D420" s="195">
        <v>0.57999999999999996</v>
      </c>
      <c r="E420" s="195">
        <v>0.03</v>
      </c>
      <c r="F420" s="195">
        <v>76.13</v>
      </c>
      <c r="H420" s="195" t="str">
        <f t="shared" si="22"/>
        <v>2001</v>
      </c>
      <c r="I420" s="204" t="s">
        <v>710</v>
      </c>
    </row>
    <row r="421" spans="1:9">
      <c r="A421" s="195" t="s">
        <v>456</v>
      </c>
      <c r="B421" s="195">
        <v>41.81</v>
      </c>
      <c r="C421" s="195">
        <v>95.99</v>
      </c>
      <c r="D421" s="195">
        <v>91.24</v>
      </c>
      <c r="E421" s="195">
        <v>13.97</v>
      </c>
      <c r="F421" s="195">
        <v>7.33</v>
      </c>
      <c r="H421" s="195" t="str">
        <f t="shared" si="22"/>
        <v>2001</v>
      </c>
      <c r="I421" s="204" t="s">
        <v>710</v>
      </c>
    </row>
    <row r="422" spans="1:9">
      <c r="A422" s="195" t="s">
        <v>35</v>
      </c>
      <c r="B422" s="195">
        <v>5</v>
      </c>
      <c r="C422" s="195">
        <v>1</v>
      </c>
      <c r="D422" s="195">
        <v>224</v>
      </c>
      <c r="E422" s="195">
        <v>0</v>
      </c>
      <c r="F422" s="195">
        <v>1</v>
      </c>
      <c r="H422" s="195" t="str">
        <f t="shared" si="22"/>
        <v>2001</v>
      </c>
      <c r="I422" s="204" t="s">
        <v>710</v>
      </c>
    </row>
    <row r="423" spans="1:9">
      <c r="A423" s="195" t="s">
        <v>31</v>
      </c>
      <c r="B423" s="195">
        <v>287</v>
      </c>
      <c r="C423" s="195">
        <v>5</v>
      </c>
      <c r="D423" s="195">
        <v>43</v>
      </c>
      <c r="E423" s="195">
        <v>1</v>
      </c>
      <c r="F423" s="195">
        <v>18</v>
      </c>
      <c r="H423" s="195" t="str">
        <f t="shared" si="22"/>
        <v>2001</v>
      </c>
      <c r="I423" s="204" t="s">
        <v>710</v>
      </c>
    </row>
    <row r="424" spans="1:9">
      <c r="A424" s="195" t="s">
        <v>458</v>
      </c>
      <c r="B424" s="195">
        <v>0</v>
      </c>
      <c r="C424" s="195">
        <v>0</v>
      </c>
      <c r="D424" s="195">
        <v>0</v>
      </c>
      <c r="E424" s="195">
        <v>0</v>
      </c>
      <c r="F424" s="195">
        <v>0</v>
      </c>
      <c r="H424" s="195" t="str">
        <f t="shared" si="22"/>
        <v>2001</v>
      </c>
      <c r="I424" s="204" t="s">
        <v>710</v>
      </c>
    </row>
    <row r="425" spans="1:9">
      <c r="A425" s="195" t="s">
        <v>148</v>
      </c>
      <c r="B425" s="195">
        <v>14.85</v>
      </c>
      <c r="C425" s="195">
        <v>0</v>
      </c>
      <c r="D425" s="195">
        <v>0.28999999999999998</v>
      </c>
      <c r="E425" s="195">
        <v>0</v>
      </c>
      <c r="F425" s="195">
        <v>61.46</v>
      </c>
      <c r="H425" s="195" t="str">
        <f t="shared" si="22"/>
        <v>2001</v>
      </c>
      <c r="I425" s="204" t="s">
        <v>710</v>
      </c>
    </row>
    <row r="426" spans="1:9">
      <c r="A426" s="195" t="s">
        <v>149</v>
      </c>
      <c r="B426" s="195">
        <v>0</v>
      </c>
      <c r="C426" s="195">
        <v>0</v>
      </c>
      <c r="D426" s="195">
        <v>0</v>
      </c>
      <c r="E426" s="195">
        <v>0</v>
      </c>
      <c r="F426" s="195">
        <v>0</v>
      </c>
      <c r="H426" s="195" t="str">
        <f t="shared" si="22"/>
        <v>2001</v>
      </c>
      <c r="I426" s="204" t="s">
        <v>710</v>
      </c>
    </row>
    <row r="427" spans="1:9">
      <c r="A427" s="195" t="s">
        <v>19</v>
      </c>
      <c r="B427" s="195">
        <v>0</v>
      </c>
      <c r="C427" s="195">
        <v>0</v>
      </c>
      <c r="D427" s="195">
        <v>0</v>
      </c>
      <c r="E427" s="195">
        <v>0</v>
      </c>
      <c r="F427" s="195">
        <v>0</v>
      </c>
      <c r="H427" s="195" t="str">
        <f t="shared" si="22"/>
        <v>2001</v>
      </c>
      <c r="I427" s="204" t="s">
        <v>710</v>
      </c>
    </row>
    <row r="428" spans="1:9">
      <c r="A428" s="195" t="s">
        <v>150</v>
      </c>
      <c r="B428" s="195">
        <v>0</v>
      </c>
      <c r="C428" s="195">
        <v>0</v>
      </c>
      <c r="D428" s="195">
        <v>79.78</v>
      </c>
      <c r="E428" s="195">
        <v>0</v>
      </c>
      <c r="F428" s="195">
        <v>28.07</v>
      </c>
      <c r="H428" s="195" t="str">
        <f t="shared" si="22"/>
        <v>2001</v>
      </c>
      <c r="I428" s="204" t="s">
        <v>710</v>
      </c>
    </row>
    <row r="429" spans="1:9">
      <c r="A429" s="195" t="s">
        <v>151</v>
      </c>
      <c r="B429" s="195">
        <v>15.34</v>
      </c>
      <c r="C429" s="195">
        <v>1.34</v>
      </c>
      <c r="D429" s="195">
        <v>243.44</v>
      </c>
      <c r="E429" s="195">
        <v>0</v>
      </c>
      <c r="F429" s="195">
        <v>7.87</v>
      </c>
      <c r="H429" s="195" t="str">
        <f t="shared" si="22"/>
        <v>2001</v>
      </c>
      <c r="I429" s="204" t="s">
        <v>710</v>
      </c>
    </row>
    <row r="430" spans="1:9">
      <c r="A430" s="195" t="s">
        <v>152</v>
      </c>
      <c r="B430" s="195">
        <v>73.47</v>
      </c>
      <c r="C430" s="195">
        <v>0.92</v>
      </c>
      <c r="D430" s="195">
        <v>156.18</v>
      </c>
      <c r="E430" s="195">
        <v>0</v>
      </c>
      <c r="F430" s="195">
        <v>4.25</v>
      </c>
      <c r="H430" s="195" t="str">
        <f t="shared" si="22"/>
        <v>2001</v>
      </c>
      <c r="I430" s="204" t="s">
        <v>710</v>
      </c>
    </row>
    <row r="431" spans="1:9">
      <c r="A431" s="195" t="s">
        <v>709</v>
      </c>
    </row>
    <row r="432" spans="1:9">
      <c r="A432" s="195" t="s">
        <v>25</v>
      </c>
      <c r="B432" s="195">
        <v>56.95</v>
      </c>
      <c r="C432" s="195">
        <v>58.11</v>
      </c>
      <c r="D432" s="195">
        <v>57.21</v>
      </c>
      <c r="E432" s="195">
        <v>57.04</v>
      </c>
      <c r="F432" s="195">
        <v>33.1</v>
      </c>
      <c r="H432" s="195" t="str">
        <f>H414</f>
        <v>2001</v>
      </c>
      <c r="I432" s="204" t="s">
        <v>153</v>
      </c>
    </row>
    <row r="433" spans="1:9">
      <c r="A433" s="195" t="s">
        <v>22</v>
      </c>
      <c r="B433" s="195">
        <v>55.14</v>
      </c>
      <c r="C433" s="195">
        <v>56.31</v>
      </c>
      <c r="D433" s="195">
        <v>55.41</v>
      </c>
      <c r="E433" s="195">
        <v>55.23</v>
      </c>
      <c r="F433" s="195">
        <v>31.3</v>
      </c>
      <c r="H433" s="195" t="str">
        <f t="shared" ref="H433:H448" si="23">H415</f>
        <v>2001</v>
      </c>
      <c r="I433" s="204" t="s">
        <v>153</v>
      </c>
    </row>
    <row r="434" spans="1:9">
      <c r="A434" s="195" t="s">
        <v>15</v>
      </c>
      <c r="B434" s="195">
        <v>46.88</v>
      </c>
      <c r="C434" s="195">
        <v>48.05</v>
      </c>
      <c r="D434" s="195">
        <v>47.15</v>
      </c>
      <c r="E434" s="195">
        <v>49.36</v>
      </c>
      <c r="F434" s="195">
        <v>46.68</v>
      </c>
      <c r="H434" s="195" t="str">
        <f t="shared" si="23"/>
        <v>2001</v>
      </c>
      <c r="I434" s="204" t="s">
        <v>153</v>
      </c>
    </row>
    <row r="435" spans="1:9">
      <c r="A435" s="195" t="s">
        <v>16</v>
      </c>
      <c r="B435" s="195">
        <v>48.28</v>
      </c>
      <c r="C435" s="195">
        <v>46.53</v>
      </c>
      <c r="D435" s="195">
        <v>46.94</v>
      </c>
      <c r="E435" s="195">
        <v>56.57</v>
      </c>
      <c r="F435" s="195">
        <v>54.46</v>
      </c>
      <c r="H435" s="195" t="str">
        <f t="shared" si="23"/>
        <v>2001</v>
      </c>
      <c r="I435" s="204" t="s">
        <v>153</v>
      </c>
    </row>
    <row r="436" spans="1:9">
      <c r="A436" s="195" t="s">
        <v>37</v>
      </c>
      <c r="B436" s="195">
        <v>33.479999999999997</v>
      </c>
      <c r="C436" s="195">
        <v>36.159999999999997</v>
      </c>
      <c r="D436" s="195">
        <v>36.159999999999997</v>
      </c>
      <c r="E436" s="195">
        <v>35.44</v>
      </c>
      <c r="F436" s="195">
        <v>30.03</v>
      </c>
      <c r="H436" s="195" t="str">
        <f t="shared" si="23"/>
        <v>2001</v>
      </c>
      <c r="I436" s="204" t="s">
        <v>153</v>
      </c>
    </row>
    <row r="437" spans="1:9">
      <c r="A437" s="195" t="s">
        <v>36</v>
      </c>
      <c r="B437" s="195">
        <v>32.090000000000003</v>
      </c>
      <c r="C437" s="195">
        <v>34.67</v>
      </c>
      <c r="D437" s="195">
        <v>35.15</v>
      </c>
      <c r="E437" s="195">
        <v>34.25</v>
      </c>
      <c r="F437" s="195">
        <v>30.25</v>
      </c>
      <c r="H437" s="195" t="str">
        <f t="shared" si="23"/>
        <v>2001</v>
      </c>
      <c r="I437" s="204" t="s">
        <v>153</v>
      </c>
    </row>
    <row r="438" spans="1:9">
      <c r="A438" s="195" t="s">
        <v>453</v>
      </c>
      <c r="B438" s="195">
        <v>40.6</v>
      </c>
      <c r="C438" s="195">
        <v>40.33</v>
      </c>
      <c r="D438" s="195">
        <v>39.909999999999997</v>
      </c>
      <c r="E438" s="195">
        <v>51.38</v>
      </c>
      <c r="F438" s="195">
        <v>47.44</v>
      </c>
      <c r="H438" s="195" t="str">
        <f t="shared" si="23"/>
        <v>2001</v>
      </c>
      <c r="I438" s="204" t="s">
        <v>153</v>
      </c>
    </row>
    <row r="439" spans="1:9">
      <c r="A439" s="195" t="s">
        <v>456</v>
      </c>
      <c r="B439" s="195">
        <v>26.58</v>
      </c>
      <c r="C439" s="195">
        <v>26.58</v>
      </c>
      <c r="D439" s="195">
        <v>26.58</v>
      </c>
      <c r="E439" s="195">
        <v>26.58</v>
      </c>
      <c r="F439" s="195">
        <v>26.58</v>
      </c>
      <c r="H439" s="195" t="str">
        <f t="shared" si="23"/>
        <v>2001</v>
      </c>
      <c r="I439" s="204" t="s">
        <v>153</v>
      </c>
    </row>
    <row r="440" spans="1:9">
      <c r="A440" s="195" t="s">
        <v>35</v>
      </c>
      <c r="B440" s="195">
        <v>34.57</v>
      </c>
      <c r="C440" s="195">
        <v>34.24</v>
      </c>
      <c r="D440" s="195">
        <v>33.520000000000003</v>
      </c>
      <c r="E440" s="195">
        <v>33.46</v>
      </c>
      <c r="F440" s="195">
        <v>26.58</v>
      </c>
      <c r="H440" s="195" t="str">
        <f t="shared" si="23"/>
        <v>2001</v>
      </c>
      <c r="I440" s="204" t="s">
        <v>153</v>
      </c>
    </row>
    <row r="441" spans="1:9">
      <c r="A441" s="195" t="s">
        <v>31</v>
      </c>
      <c r="B441" s="195">
        <v>55.28</v>
      </c>
      <c r="C441" s="195">
        <v>55.28</v>
      </c>
      <c r="D441" s="195">
        <v>55.89</v>
      </c>
      <c r="E441" s="195">
        <v>55.43</v>
      </c>
      <c r="F441" s="195">
        <v>55.43</v>
      </c>
      <c r="H441" s="195" t="str">
        <f t="shared" si="23"/>
        <v>2001</v>
      </c>
      <c r="I441" s="204" t="s">
        <v>153</v>
      </c>
    </row>
    <row r="442" spans="1:9">
      <c r="A442" s="195" t="s">
        <v>458</v>
      </c>
      <c r="B442" s="195">
        <v>44.53</v>
      </c>
      <c r="C442" s="195">
        <v>43.77</v>
      </c>
      <c r="D442" s="195">
        <v>43.34</v>
      </c>
      <c r="E442" s="195">
        <v>45.17</v>
      </c>
      <c r="F442" s="195">
        <v>42.95</v>
      </c>
      <c r="H442" s="195" t="str">
        <f t="shared" si="23"/>
        <v>2001</v>
      </c>
      <c r="I442" s="204" t="s">
        <v>153</v>
      </c>
    </row>
    <row r="443" spans="1:9">
      <c r="A443" s="195" t="s">
        <v>148</v>
      </c>
      <c r="B443" s="195">
        <v>55.94</v>
      </c>
      <c r="C443" s="195">
        <v>54.03</v>
      </c>
      <c r="D443" s="195">
        <v>53.65</v>
      </c>
      <c r="E443" s="195">
        <v>56.11</v>
      </c>
      <c r="F443" s="195">
        <v>53.67</v>
      </c>
      <c r="H443" s="195" t="str">
        <f t="shared" si="23"/>
        <v>2001</v>
      </c>
      <c r="I443" s="204" t="s">
        <v>153</v>
      </c>
    </row>
    <row r="444" spans="1:9">
      <c r="A444" s="195" t="s">
        <v>149</v>
      </c>
      <c r="B444" s="195">
        <v>48.66</v>
      </c>
      <c r="C444" s="195">
        <v>48.03</v>
      </c>
      <c r="D444" s="195">
        <v>47.74</v>
      </c>
      <c r="E444" s="195">
        <v>52.57</v>
      </c>
      <c r="F444" s="195">
        <v>51.04</v>
      </c>
      <c r="H444" s="195" t="str">
        <f t="shared" si="23"/>
        <v>2001</v>
      </c>
      <c r="I444" s="204" t="s">
        <v>153</v>
      </c>
    </row>
    <row r="445" spans="1:9">
      <c r="A445" s="195" t="s">
        <v>19</v>
      </c>
      <c r="B445" s="195">
        <v>0</v>
      </c>
      <c r="C445" s="195">
        <v>0</v>
      </c>
      <c r="D445" s="195">
        <v>0</v>
      </c>
      <c r="E445" s="195">
        <v>0</v>
      </c>
      <c r="F445" s="195">
        <v>0</v>
      </c>
      <c r="H445" s="195" t="str">
        <f t="shared" si="23"/>
        <v>2001</v>
      </c>
      <c r="I445" s="204" t="s">
        <v>153</v>
      </c>
    </row>
    <row r="446" spans="1:9">
      <c r="A446" s="195" t="s">
        <v>150</v>
      </c>
      <c r="B446" s="195">
        <v>24.12</v>
      </c>
      <c r="C446" s="195">
        <v>24.22</v>
      </c>
      <c r="D446" s="195">
        <v>23.81</v>
      </c>
      <c r="E446" s="195">
        <v>28.67</v>
      </c>
      <c r="F446" s="195">
        <v>26.85</v>
      </c>
      <c r="H446" s="195" t="str">
        <f t="shared" si="23"/>
        <v>2001</v>
      </c>
      <c r="I446" s="204" t="s">
        <v>153</v>
      </c>
    </row>
    <row r="447" spans="1:9">
      <c r="A447" s="195" t="s">
        <v>151</v>
      </c>
      <c r="B447" s="195">
        <v>29.48</v>
      </c>
      <c r="C447" s="195">
        <v>29.6</v>
      </c>
      <c r="D447" s="195">
        <v>29.1</v>
      </c>
      <c r="E447" s="195">
        <v>35.049999999999997</v>
      </c>
      <c r="F447" s="195">
        <v>32.81</v>
      </c>
      <c r="H447" s="195" t="str">
        <f t="shared" si="23"/>
        <v>2001</v>
      </c>
      <c r="I447" s="204" t="s">
        <v>153</v>
      </c>
    </row>
    <row r="448" spans="1:9">
      <c r="A448" s="195" t="s">
        <v>152</v>
      </c>
      <c r="B448" s="195">
        <v>22.11</v>
      </c>
      <c r="C448" s="195">
        <v>22.2</v>
      </c>
      <c r="D448" s="195">
        <v>21.82</v>
      </c>
      <c r="E448" s="195">
        <v>26.28</v>
      </c>
      <c r="F448" s="195">
        <v>24.61</v>
      </c>
      <c r="H448" s="195" t="str">
        <f t="shared" si="23"/>
        <v>2001</v>
      </c>
      <c r="I448" s="204" t="s">
        <v>153</v>
      </c>
    </row>
    <row r="449" spans="1:9">
      <c r="A449" s="195" t="s">
        <v>165</v>
      </c>
    </row>
    <row r="450" spans="1:9">
      <c r="A450" s="195" t="s">
        <v>708</v>
      </c>
    </row>
    <row r="451" spans="1:9">
      <c r="A451" s="195" t="s">
        <v>25</v>
      </c>
      <c r="B451" s="195">
        <v>227.88</v>
      </c>
      <c r="C451" s="195">
        <v>0</v>
      </c>
      <c r="D451" s="195">
        <v>1.5</v>
      </c>
      <c r="E451" s="195">
        <v>0</v>
      </c>
      <c r="F451" s="195">
        <v>3.73</v>
      </c>
      <c r="H451" s="195" t="str">
        <f>RIGHT(A449,4)</f>
        <v>2002</v>
      </c>
      <c r="I451" s="204" t="s">
        <v>710</v>
      </c>
    </row>
    <row r="452" spans="1:9">
      <c r="A452" s="195" t="s">
        <v>22</v>
      </c>
      <c r="B452" s="195">
        <v>241.27</v>
      </c>
      <c r="C452" s="195">
        <v>2.17</v>
      </c>
      <c r="D452" s="195">
        <v>8.76</v>
      </c>
      <c r="E452" s="195">
        <v>0.36</v>
      </c>
      <c r="F452" s="195">
        <v>12.67</v>
      </c>
      <c r="H452" s="195" t="str">
        <f>H451</f>
        <v>2002</v>
      </c>
      <c r="I452" s="204" t="s">
        <v>710</v>
      </c>
    </row>
    <row r="453" spans="1:9">
      <c r="A453" s="195" t="s">
        <v>15</v>
      </c>
      <c r="B453" s="195">
        <v>163.25</v>
      </c>
      <c r="C453" s="195">
        <v>1.51</v>
      </c>
      <c r="D453" s="195">
        <v>0.28000000000000003</v>
      </c>
      <c r="E453" s="195">
        <v>0.45</v>
      </c>
      <c r="F453" s="195">
        <v>0.36</v>
      </c>
      <c r="H453" s="195" t="str">
        <f t="shared" ref="H453:H467" si="24">H452</f>
        <v>2002</v>
      </c>
      <c r="I453" s="204" t="s">
        <v>710</v>
      </c>
    </row>
    <row r="454" spans="1:9">
      <c r="A454" s="195" t="s">
        <v>16</v>
      </c>
      <c r="B454" s="195">
        <v>88.73</v>
      </c>
      <c r="C454" s="195">
        <v>4.79</v>
      </c>
      <c r="D454" s="195">
        <v>1.34</v>
      </c>
      <c r="E454" s="195">
        <v>6.33</v>
      </c>
      <c r="F454" s="195">
        <v>5.51</v>
      </c>
      <c r="H454" s="195" t="str">
        <f t="shared" si="24"/>
        <v>2002</v>
      </c>
      <c r="I454" s="204" t="s">
        <v>710</v>
      </c>
    </row>
    <row r="455" spans="1:9">
      <c r="A455" s="195" t="s">
        <v>37</v>
      </c>
      <c r="B455" s="195">
        <v>83</v>
      </c>
      <c r="C455" s="195">
        <v>0</v>
      </c>
      <c r="D455" s="195">
        <v>7</v>
      </c>
      <c r="E455" s="195">
        <v>0</v>
      </c>
      <c r="F455" s="195">
        <v>5</v>
      </c>
      <c r="H455" s="195" t="str">
        <f t="shared" si="24"/>
        <v>2002</v>
      </c>
      <c r="I455" s="204" t="s">
        <v>710</v>
      </c>
    </row>
    <row r="456" spans="1:9">
      <c r="A456" s="195" t="s">
        <v>36</v>
      </c>
      <c r="B456" s="195">
        <v>110</v>
      </c>
      <c r="C456" s="195">
        <v>0</v>
      </c>
      <c r="D456" s="195">
        <v>11</v>
      </c>
      <c r="E456" s="195">
        <v>0</v>
      </c>
      <c r="F456" s="195">
        <v>32</v>
      </c>
      <c r="H456" s="195" t="str">
        <f t="shared" si="24"/>
        <v>2002</v>
      </c>
      <c r="I456" s="204" t="s">
        <v>710</v>
      </c>
    </row>
    <row r="457" spans="1:9">
      <c r="A457" s="195" t="s">
        <v>453</v>
      </c>
      <c r="B457" s="195">
        <v>46.92</v>
      </c>
      <c r="C457" s="195">
        <v>0</v>
      </c>
      <c r="D457" s="195">
        <v>0.44</v>
      </c>
      <c r="E457" s="195">
        <v>0.04</v>
      </c>
      <c r="F457" s="195">
        <v>60.08</v>
      </c>
      <c r="H457" s="195" t="str">
        <f t="shared" si="24"/>
        <v>2002</v>
      </c>
      <c r="I457" s="204" t="s">
        <v>710</v>
      </c>
    </row>
    <row r="458" spans="1:9">
      <c r="A458" s="195" t="s">
        <v>456</v>
      </c>
      <c r="B458" s="195">
        <v>30.75</v>
      </c>
      <c r="C458" s="195">
        <v>121.2</v>
      </c>
      <c r="D458" s="195">
        <v>32.700000000000003</v>
      </c>
      <c r="E458" s="195">
        <v>10.37</v>
      </c>
      <c r="F458" s="195">
        <v>3.53</v>
      </c>
      <c r="H458" s="195" t="str">
        <f t="shared" si="24"/>
        <v>2002</v>
      </c>
      <c r="I458" s="204" t="s">
        <v>710</v>
      </c>
    </row>
    <row r="459" spans="1:9">
      <c r="A459" s="195" t="s">
        <v>35</v>
      </c>
      <c r="B459" s="195">
        <v>9</v>
      </c>
      <c r="C459" s="195">
        <v>1</v>
      </c>
      <c r="D459" s="195">
        <v>198</v>
      </c>
      <c r="E459" s="195">
        <v>0</v>
      </c>
      <c r="F459" s="195">
        <v>1</v>
      </c>
      <c r="H459" s="195" t="str">
        <f t="shared" si="24"/>
        <v>2002</v>
      </c>
      <c r="I459" s="204" t="s">
        <v>710</v>
      </c>
    </row>
    <row r="460" spans="1:9">
      <c r="A460" s="195" t="s">
        <v>31</v>
      </c>
      <c r="B460" s="195">
        <v>316</v>
      </c>
      <c r="C460" s="195">
        <v>5</v>
      </c>
      <c r="D460" s="195">
        <v>41</v>
      </c>
      <c r="E460" s="195">
        <v>1</v>
      </c>
      <c r="F460" s="195">
        <v>17</v>
      </c>
      <c r="H460" s="195" t="str">
        <f t="shared" si="24"/>
        <v>2002</v>
      </c>
      <c r="I460" s="204" t="s">
        <v>710</v>
      </c>
    </row>
    <row r="461" spans="1:9">
      <c r="A461" s="195" t="s">
        <v>458</v>
      </c>
      <c r="B461" s="195">
        <v>0</v>
      </c>
      <c r="C461" s="195">
        <v>0</v>
      </c>
      <c r="D461" s="195">
        <v>0</v>
      </c>
      <c r="E461" s="195">
        <v>0</v>
      </c>
      <c r="F461" s="195">
        <v>0</v>
      </c>
      <c r="H461" s="195" t="str">
        <f t="shared" si="24"/>
        <v>2002</v>
      </c>
      <c r="I461" s="204" t="s">
        <v>710</v>
      </c>
    </row>
    <row r="462" spans="1:9">
      <c r="A462" s="195" t="s">
        <v>148</v>
      </c>
      <c r="B462" s="195">
        <v>8.02</v>
      </c>
      <c r="C462" s="195">
        <v>0</v>
      </c>
      <c r="D462" s="195">
        <v>0</v>
      </c>
      <c r="E462" s="195">
        <v>0</v>
      </c>
      <c r="F462" s="195">
        <v>51.14</v>
      </c>
      <c r="H462" s="195" t="str">
        <f t="shared" si="24"/>
        <v>2002</v>
      </c>
      <c r="I462" s="204" t="s">
        <v>710</v>
      </c>
    </row>
    <row r="463" spans="1:9">
      <c r="A463" s="195" t="s">
        <v>149</v>
      </c>
      <c r="B463" s="195">
        <v>0</v>
      </c>
      <c r="C463" s="195">
        <v>0</v>
      </c>
      <c r="D463" s="195">
        <v>0</v>
      </c>
      <c r="E463" s="195">
        <v>0</v>
      </c>
      <c r="F463" s="195">
        <v>0</v>
      </c>
      <c r="H463" s="195" t="str">
        <f t="shared" si="24"/>
        <v>2002</v>
      </c>
      <c r="I463" s="204" t="s">
        <v>710</v>
      </c>
    </row>
    <row r="464" spans="1:9">
      <c r="A464" s="195" t="s">
        <v>19</v>
      </c>
      <c r="B464" s="195">
        <v>0</v>
      </c>
      <c r="C464" s="195">
        <v>0</v>
      </c>
      <c r="D464" s="195">
        <v>0</v>
      </c>
      <c r="E464" s="195">
        <v>0</v>
      </c>
      <c r="F464" s="195">
        <v>0</v>
      </c>
      <c r="H464" s="195" t="str">
        <f t="shared" si="24"/>
        <v>2002</v>
      </c>
      <c r="I464" s="204" t="s">
        <v>710</v>
      </c>
    </row>
    <row r="465" spans="1:9">
      <c r="A465" s="195" t="s">
        <v>150</v>
      </c>
      <c r="B465" s="195">
        <v>5.82</v>
      </c>
      <c r="C465" s="195">
        <v>0</v>
      </c>
      <c r="D465" s="195">
        <v>92.14</v>
      </c>
      <c r="E465" s="195">
        <v>0</v>
      </c>
      <c r="F465" s="195">
        <v>1.79</v>
      </c>
      <c r="H465" s="195" t="str">
        <f t="shared" si="24"/>
        <v>2002</v>
      </c>
      <c r="I465" s="204" t="s">
        <v>710</v>
      </c>
    </row>
    <row r="466" spans="1:9">
      <c r="A466" s="195" t="s">
        <v>151</v>
      </c>
      <c r="B466" s="195">
        <v>10.28</v>
      </c>
      <c r="C466" s="195">
        <v>1.34</v>
      </c>
      <c r="D466" s="195">
        <v>224.35</v>
      </c>
      <c r="E466" s="195">
        <v>0</v>
      </c>
      <c r="F466" s="195">
        <v>15.29</v>
      </c>
      <c r="H466" s="195" t="str">
        <f t="shared" si="24"/>
        <v>2002</v>
      </c>
      <c r="I466" s="204" t="s">
        <v>710</v>
      </c>
    </row>
    <row r="467" spans="1:9">
      <c r="A467" s="195" t="s">
        <v>152</v>
      </c>
      <c r="B467" s="195">
        <v>57.18</v>
      </c>
      <c r="C467" s="195">
        <v>0</v>
      </c>
      <c r="D467" s="195">
        <v>194.41</v>
      </c>
      <c r="E467" s="195">
        <v>0</v>
      </c>
      <c r="F467" s="195">
        <v>16.87</v>
      </c>
      <c r="H467" s="195" t="str">
        <f t="shared" si="24"/>
        <v>2002</v>
      </c>
      <c r="I467" s="204" t="s">
        <v>710</v>
      </c>
    </row>
    <row r="468" spans="1:9">
      <c r="A468" s="195" t="s">
        <v>709</v>
      </c>
    </row>
    <row r="469" spans="1:9">
      <c r="A469" s="195" t="s">
        <v>25</v>
      </c>
      <c r="B469" s="195">
        <v>58.11</v>
      </c>
      <c r="C469" s="195">
        <v>59.3</v>
      </c>
      <c r="D469" s="195">
        <v>58.38</v>
      </c>
      <c r="E469" s="195">
        <v>58.2</v>
      </c>
      <c r="F469" s="195">
        <v>33.78</v>
      </c>
      <c r="H469" s="195" t="str">
        <f>H451</f>
        <v>2002</v>
      </c>
      <c r="I469" s="204" t="s">
        <v>153</v>
      </c>
    </row>
    <row r="470" spans="1:9">
      <c r="A470" s="195" t="s">
        <v>22</v>
      </c>
      <c r="B470" s="195">
        <v>56.26</v>
      </c>
      <c r="C470" s="195">
        <v>57.46</v>
      </c>
      <c r="D470" s="195">
        <v>56.54</v>
      </c>
      <c r="E470" s="195">
        <v>56.36</v>
      </c>
      <c r="F470" s="195">
        <v>31.93</v>
      </c>
      <c r="H470" s="195" t="str">
        <f t="shared" ref="H470:H485" si="25">H452</f>
        <v>2002</v>
      </c>
      <c r="I470" s="204" t="s">
        <v>153</v>
      </c>
    </row>
    <row r="471" spans="1:9">
      <c r="A471" s="195" t="s">
        <v>15</v>
      </c>
      <c r="B471" s="195">
        <v>47.84</v>
      </c>
      <c r="C471" s="195">
        <v>49.03</v>
      </c>
      <c r="D471" s="195">
        <v>48.12</v>
      </c>
      <c r="E471" s="195">
        <v>50.37</v>
      </c>
      <c r="F471" s="195">
        <v>47.63</v>
      </c>
      <c r="H471" s="195" t="str">
        <f t="shared" si="25"/>
        <v>2002</v>
      </c>
      <c r="I471" s="204" t="s">
        <v>153</v>
      </c>
    </row>
    <row r="472" spans="1:9">
      <c r="A472" s="195" t="s">
        <v>16</v>
      </c>
      <c r="B472" s="195">
        <v>49.27</v>
      </c>
      <c r="C472" s="195">
        <v>47.48</v>
      </c>
      <c r="D472" s="195">
        <v>47.9</v>
      </c>
      <c r="E472" s="195">
        <v>57.73</v>
      </c>
      <c r="F472" s="195">
        <v>55.57</v>
      </c>
      <c r="H472" s="195" t="str">
        <f t="shared" si="25"/>
        <v>2002</v>
      </c>
      <c r="I472" s="204" t="s">
        <v>153</v>
      </c>
    </row>
    <row r="473" spans="1:9">
      <c r="A473" s="195" t="s">
        <v>37</v>
      </c>
      <c r="B473" s="195">
        <v>34.17</v>
      </c>
      <c r="C473" s="195">
        <v>36.9</v>
      </c>
      <c r="D473" s="195">
        <v>36.9</v>
      </c>
      <c r="E473" s="195">
        <v>36.17</v>
      </c>
      <c r="F473" s="195">
        <v>30.65</v>
      </c>
      <c r="H473" s="195" t="str">
        <f t="shared" si="25"/>
        <v>2002</v>
      </c>
      <c r="I473" s="204" t="s">
        <v>153</v>
      </c>
    </row>
    <row r="474" spans="1:9">
      <c r="A474" s="195" t="s">
        <v>36</v>
      </c>
      <c r="B474" s="195">
        <v>32.74</v>
      </c>
      <c r="C474" s="195">
        <v>35.380000000000003</v>
      </c>
      <c r="D474" s="195">
        <v>35.869999999999997</v>
      </c>
      <c r="E474" s="195">
        <v>34.950000000000003</v>
      </c>
      <c r="F474" s="195">
        <v>30.87</v>
      </c>
      <c r="H474" s="195" t="str">
        <f t="shared" si="25"/>
        <v>2002</v>
      </c>
      <c r="I474" s="204" t="s">
        <v>153</v>
      </c>
    </row>
    <row r="475" spans="1:9">
      <c r="A475" s="195" t="s">
        <v>453</v>
      </c>
      <c r="B475" s="195">
        <v>41.43</v>
      </c>
      <c r="C475" s="195">
        <v>41.15</v>
      </c>
      <c r="D475" s="195">
        <v>40.729999999999997</v>
      </c>
      <c r="E475" s="195">
        <v>52.43</v>
      </c>
      <c r="F475" s="195">
        <v>48.4</v>
      </c>
      <c r="H475" s="195" t="str">
        <f t="shared" si="25"/>
        <v>2002</v>
      </c>
      <c r="I475" s="204" t="s">
        <v>153</v>
      </c>
    </row>
    <row r="476" spans="1:9">
      <c r="A476" s="195" t="s">
        <v>456</v>
      </c>
      <c r="B476" s="195">
        <v>27.12</v>
      </c>
      <c r="C476" s="195">
        <v>27.12</v>
      </c>
      <c r="D476" s="195">
        <v>27.12</v>
      </c>
      <c r="E476" s="195">
        <v>27.12</v>
      </c>
      <c r="F476" s="195">
        <v>27.12</v>
      </c>
      <c r="H476" s="195" t="str">
        <f t="shared" si="25"/>
        <v>2002</v>
      </c>
      <c r="I476" s="204" t="s">
        <v>153</v>
      </c>
    </row>
    <row r="477" spans="1:9">
      <c r="A477" s="195" t="s">
        <v>35</v>
      </c>
      <c r="B477" s="195">
        <v>35.270000000000003</v>
      </c>
      <c r="C477" s="195">
        <v>34.94</v>
      </c>
      <c r="D477" s="195">
        <v>34.200000000000003</v>
      </c>
      <c r="E477" s="195">
        <v>34.14</v>
      </c>
      <c r="F477" s="195">
        <v>27.12</v>
      </c>
      <c r="H477" s="195" t="str">
        <f t="shared" si="25"/>
        <v>2002</v>
      </c>
      <c r="I477" s="204" t="s">
        <v>153</v>
      </c>
    </row>
    <row r="478" spans="1:9">
      <c r="A478" s="195" t="s">
        <v>31</v>
      </c>
      <c r="B478" s="195">
        <v>56.41</v>
      </c>
      <c r="C478" s="195">
        <v>56.41</v>
      </c>
      <c r="D478" s="195">
        <v>57.03</v>
      </c>
      <c r="E478" s="195">
        <v>56.56</v>
      </c>
      <c r="F478" s="195">
        <v>56.56</v>
      </c>
      <c r="H478" s="195" t="str">
        <f t="shared" si="25"/>
        <v>2002</v>
      </c>
      <c r="I478" s="204" t="s">
        <v>153</v>
      </c>
    </row>
    <row r="479" spans="1:9">
      <c r="A479" s="195" t="s">
        <v>458</v>
      </c>
      <c r="B479" s="195">
        <v>45.44</v>
      </c>
      <c r="C479" s="195">
        <v>44.66</v>
      </c>
      <c r="D479" s="195">
        <v>44.23</v>
      </c>
      <c r="E479" s="195">
        <v>46.09</v>
      </c>
      <c r="F479" s="195">
        <v>43.82</v>
      </c>
      <c r="H479" s="195" t="str">
        <f t="shared" si="25"/>
        <v>2002</v>
      </c>
      <c r="I479" s="204" t="s">
        <v>153</v>
      </c>
    </row>
    <row r="480" spans="1:9">
      <c r="A480" s="195" t="s">
        <v>148</v>
      </c>
      <c r="B480" s="195">
        <v>57.08</v>
      </c>
      <c r="C480" s="195">
        <v>55.13</v>
      </c>
      <c r="D480" s="195">
        <v>54.74</v>
      </c>
      <c r="E480" s="195">
        <v>57.25</v>
      </c>
      <c r="F480" s="195">
        <v>54.77</v>
      </c>
      <c r="H480" s="195" t="str">
        <f t="shared" si="25"/>
        <v>2002</v>
      </c>
      <c r="I480" s="204" t="s">
        <v>153</v>
      </c>
    </row>
    <row r="481" spans="1:9">
      <c r="A481" s="195" t="s">
        <v>149</v>
      </c>
      <c r="B481" s="195">
        <v>49.65</v>
      </c>
      <c r="C481" s="195">
        <v>49.01</v>
      </c>
      <c r="D481" s="195">
        <v>48.71</v>
      </c>
      <c r="E481" s="195">
        <v>53.64</v>
      </c>
      <c r="F481" s="195">
        <v>52.08</v>
      </c>
      <c r="H481" s="195" t="str">
        <f t="shared" si="25"/>
        <v>2002</v>
      </c>
      <c r="I481" s="204" t="s">
        <v>153</v>
      </c>
    </row>
    <row r="482" spans="1:9">
      <c r="A482" s="195" t="s">
        <v>19</v>
      </c>
      <c r="B482" s="195">
        <v>0</v>
      </c>
      <c r="C482" s="195">
        <v>0</v>
      </c>
      <c r="D482" s="195">
        <v>0</v>
      </c>
      <c r="E482" s="195">
        <v>0</v>
      </c>
      <c r="F482" s="195">
        <v>0</v>
      </c>
      <c r="H482" s="195" t="str">
        <f t="shared" si="25"/>
        <v>2002</v>
      </c>
      <c r="I482" s="204" t="s">
        <v>153</v>
      </c>
    </row>
    <row r="483" spans="1:9">
      <c r="A483" s="195" t="s">
        <v>150</v>
      </c>
      <c r="B483" s="195">
        <v>24.61</v>
      </c>
      <c r="C483" s="195">
        <v>24.71</v>
      </c>
      <c r="D483" s="195">
        <v>24.29</v>
      </c>
      <c r="E483" s="195">
        <v>29.26</v>
      </c>
      <c r="F483" s="195">
        <v>27.4</v>
      </c>
      <c r="H483" s="195" t="str">
        <f t="shared" si="25"/>
        <v>2002</v>
      </c>
      <c r="I483" s="204" t="s">
        <v>153</v>
      </c>
    </row>
    <row r="484" spans="1:9">
      <c r="A484" s="195" t="s">
        <v>151</v>
      </c>
      <c r="B484" s="195">
        <v>30.08</v>
      </c>
      <c r="C484" s="195">
        <v>30.2</v>
      </c>
      <c r="D484" s="195">
        <v>29.69</v>
      </c>
      <c r="E484" s="195">
        <v>35.76</v>
      </c>
      <c r="F484" s="195">
        <v>33.479999999999997</v>
      </c>
      <c r="H484" s="195" t="str">
        <f t="shared" si="25"/>
        <v>2002</v>
      </c>
      <c r="I484" s="204" t="s">
        <v>153</v>
      </c>
    </row>
    <row r="485" spans="1:9">
      <c r="A485" s="195" t="s">
        <v>152</v>
      </c>
      <c r="B485" s="195">
        <v>22.56</v>
      </c>
      <c r="C485" s="195">
        <v>22.65</v>
      </c>
      <c r="D485" s="195">
        <v>22.27</v>
      </c>
      <c r="E485" s="195">
        <v>26.82</v>
      </c>
      <c r="F485" s="195">
        <v>25.11</v>
      </c>
      <c r="H485" s="195" t="str">
        <f t="shared" si="25"/>
        <v>2002</v>
      </c>
      <c r="I485" s="204" t="s">
        <v>153</v>
      </c>
    </row>
    <row r="486" spans="1:9">
      <c r="A486" s="195" t="s">
        <v>166</v>
      </c>
    </row>
    <row r="487" spans="1:9">
      <c r="A487" s="195" t="s">
        <v>708</v>
      </c>
    </row>
    <row r="488" spans="1:9">
      <c r="A488" s="195" t="s">
        <v>25</v>
      </c>
      <c r="B488" s="195">
        <v>244.86</v>
      </c>
      <c r="C488" s="195">
        <v>0</v>
      </c>
      <c r="D488" s="195">
        <v>2.48</v>
      </c>
      <c r="E488" s="195">
        <v>0</v>
      </c>
      <c r="F488" s="195">
        <v>1.71</v>
      </c>
      <c r="H488" s="195" t="str">
        <f>RIGHT(A486,4)</f>
        <v>2003</v>
      </c>
      <c r="I488" s="204" t="s">
        <v>710</v>
      </c>
    </row>
    <row r="489" spans="1:9">
      <c r="A489" s="195" t="s">
        <v>22</v>
      </c>
      <c r="B489" s="195">
        <v>242.62</v>
      </c>
      <c r="C489" s="195">
        <v>1.87</v>
      </c>
      <c r="D489" s="195">
        <v>3.97</v>
      </c>
      <c r="E489" s="195">
        <v>0.53</v>
      </c>
      <c r="F489" s="195">
        <v>19.850000000000001</v>
      </c>
      <c r="H489" s="195" t="str">
        <f>H488</f>
        <v>2003</v>
      </c>
      <c r="I489" s="204" t="s">
        <v>710</v>
      </c>
    </row>
    <row r="490" spans="1:9">
      <c r="A490" s="195" t="s">
        <v>15</v>
      </c>
      <c r="B490" s="195">
        <v>200.2</v>
      </c>
      <c r="C490" s="195">
        <v>1.52</v>
      </c>
      <c r="D490" s="195">
        <v>1.62</v>
      </c>
      <c r="E490" s="195">
        <v>0.44</v>
      </c>
      <c r="F490" s="195">
        <v>0.48</v>
      </c>
      <c r="H490" s="195" t="str">
        <f t="shared" ref="H490:H504" si="26">H489</f>
        <v>2003</v>
      </c>
      <c r="I490" s="204" t="s">
        <v>710</v>
      </c>
    </row>
    <row r="491" spans="1:9">
      <c r="A491" s="195" t="s">
        <v>16</v>
      </c>
      <c r="B491" s="195">
        <v>115.38</v>
      </c>
      <c r="C491" s="195">
        <v>5.74</v>
      </c>
      <c r="D491" s="195">
        <v>0.91</v>
      </c>
      <c r="E491" s="195">
        <v>7.53</v>
      </c>
      <c r="F491" s="195">
        <v>5.78</v>
      </c>
      <c r="H491" s="195" t="str">
        <f t="shared" si="26"/>
        <v>2003</v>
      </c>
      <c r="I491" s="204" t="s">
        <v>710</v>
      </c>
    </row>
    <row r="492" spans="1:9">
      <c r="A492" s="195" t="s">
        <v>37</v>
      </c>
      <c r="B492" s="195">
        <v>121.74</v>
      </c>
      <c r="C492" s="195">
        <v>2</v>
      </c>
      <c r="D492" s="195">
        <v>15.01</v>
      </c>
      <c r="E492" s="195">
        <v>0</v>
      </c>
      <c r="F492" s="195">
        <v>8.3699999999999992</v>
      </c>
      <c r="H492" s="195" t="str">
        <f t="shared" si="26"/>
        <v>2003</v>
      </c>
      <c r="I492" s="204" t="s">
        <v>710</v>
      </c>
    </row>
    <row r="493" spans="1:9">
      <c r="A493" s="195" t="s">
        <v>36</v>
      </c>
      <c r="B493" s="195">
        <v>139.58000000000001</v>
      </c>
      <c r="C493" s="195">
        <v>1.32</v>
      </c>
      <c r="D493" s="195">
        <v>11.5</v>
      </c>
      <c r="E493" s="195">
        <v>0</v>
      </c>
      <c r="F493" s="195">
        <v>27.87</v>
      </c>
      <c r="H493" s="195" t="str">
        <f t="shared" si="26"/>
        <v>2003</v>
      </c>
      <c r="I493" s="204" t="s">
        <v>710</v>
      </c>
    </row>
    <row r="494" spans="1:9">
      <c r="A494" s="195" t="s">
        <v>453</v>
      </c>
      <c r="B494" s="195">
        <v>65.53</v>
      </c>
      <c r="C494" s="195">
        <v>0.66</v>
      </c>
      <c r="D494" s="195">
        <v>0.94</v>
      </c>
      <c r="E494" s="195">
        <v>0.37</v>
      </c>
      <c r="F494" s="195">
        <v>41.57</v>
      </c>
      <c r="H494" s="195" t="str">
        <f t="shared" si="26"/>
        <v>2003</v>
      </c>
      <c r="I494" s="204" t="s">
        <v>710</v>
      </c>
    </row>
    <row r="495" spans="1:9">
      <c r="A495" s="195" t="s">
        <v>456</v>
      </c>
      <c r="B495" s="195">
        <v>41.94</v>
      </c>
      <c r="C495" s="195">
        <v>89.99</v>
      </c>
      <c r="D495" s="195">
        <v>130.08000000000001</v>
      </c>
      <c r="E495" s="195">
        <v>8.32</v>
      </c>
      <c r="F495" s="195">
        <v>0.95</v>
      </c>
      <c r="H495" s="195" t="str">
        <f t="shared" si="26"/>
        <v>2003</v>
      </c>
      <c r="I495" s="204" t="s">
        <v>710</v>
      </c>
    </row>
    <row r="496" spans="1:9">
      <c r="A496" s="195" t="s">
        <v>35</v>
      </c>
      <c r="B496" s="195">
        <v>11</v>
      </c>
      <c r="C496" s="195">
        <v>1</v>
      </c>
      <c r="D496" s="195">
        <v>221</v>
      </c>
      <c r="E496" s="195">
        <v>0</v>
      </c>
      <c r="F496" s="195">
        <v>1</v>
      </c>
      <c r="H496" s="195" t="str">
        <f t="shared" si="26"/>
        <v>2003</v>
      </c>
      <c r="I496" s="204" t="s">
        <v>710</v>
      </c>
    </row>
    <row r="497" spans="1:9">
      <c r="A497" s="195" t="s">
        <v>31</v>
      </c>
      <c r="B497" s="195">
        <v>323</v>
      </c>
      <c r="C497" s="195">
        <v>4</v>
      </c>
      <c r="D497" s="195">
        <v>56</v>
      </c>
      <c r="E497" s="195">
        <v>1</v>
      </c>
      <c r="F497" s="195">
        <v>35</v>
      </c>
      <c r="H497" s="195" t="str">
        <f t="shared" si="26"/>
        <v>2003</v>
      </c>
      <c r="I497" s="204" t="s">
        <v>710</v>
      </c>
    </row>
    <row r="498" spans="1:9">
      <c r="A498" s="195" t="s">
        <v>458</v>
      </c>
      <c r="B498" s="195">
        <v>0</v>
      </c>
      <c r="C498" s="195">
        <v>0</v>
      </c>
      <c r="D498" s="195">
        <v>0</v>
      </c>
      <c r="E498" s="195">
        <v>0</v>
      </c>
      <c r="F498" s="195">
        <v>0</v>
      </c>
      <c r="H498" s="195" t="str">
        <f t="shared" si="26"/>
        <v>2003</v>
      </c>
      <c r="I498" s="204" t="s">
        <v>710</v>
      </c>
    </row>
    <row r="499" spans="1:9">
      <c r="A499" s="195" t="s">
        <v>148</v>
      </c>
      <c r="B499" s="195">
        <v>18.940000000000001</v>
      </c>
      <c r="C499" s="195">
        <v>0</v>
      </c>
      <c r="D499" s="195">
        <v>0</v>
      </c>
      <c r="E499" s="195">
        <v>0</v>
      </c>
      <c r="F499" s="195">
        <v>22</v>
      </c>
      <c r="H499" s="195" t="str">
        <f t="shared" si="26"/>
        <v>2003</v>
      </c>
      <c r="I499" s="204" t="s">
        <v>710</v>
      </c>
    </row>
    <row r="500" spans="1:9">
      <c r="A500" s="195" t="s">
        <v>149</v>
      </c>
      <c r="B500" s="195">
        <v>0</v>
      </c>
      <c r="C500" s="195">
        <v>0</v>
      </c>
      <c r="D500" s="195">
        <v>0</v>
      </c>
      <c r="E500" s="195">
        <v>0</v>
      </c>
      <c r="F500" s="195">
        <v>0</v>
      </c>
      <c r="H500" s="195" t="str">
        <f t="shared" si="26"/>
        <v>2003</v>
      </c>
      <c r="I500" s="204" t="s">
        <v>710</v>
      </c>
    </row>
    <row r="501" spans="1:9">
      <c r="A501" s="195" t="s">
        <v>19</v>
      </c>
      <c r="B501" s="195">
        <v>0</v>
      </c>
      <c r="C501" s="195">
        <v>0</v>
      </c>
      <c r="D501" s="195">
        <v>0</v>
      </c>
      <c r="E501" s="195">
        <v>0</v>
      </c>
      <c r="F501" s="195">
        <v>0</v>
      </c>
      <c r="H501" s="195" t="str">
        <f t="shared" si="26"/>
        <v>2003</v>
      </c>
      <c r="I501" s="204" t="s">
        <v>710</v>
      </c>
    </row>
    <row r="502" spans="1:9">
      <c r="A502" s="195" t="s">
        <v>150</v>
      </c>
      <c r="B502" s="195">
        <v>0.74</v>
      </c>
      <c r="C502" s="195">
        <v>0</v>
      </c>
      <c r="D502" s="195">
        <v>83.22</v>
      </c>
      <c r="E502" s="195">
        <v>0</v>
      </c>
      <c r="F502" s="195">
        <v>9.1199999999999992</v>
      </c>
      <c r="H502" s="195" t="str">
        <f t="shared" si="26"/>
        <v>2003</v>
      </c>
      <c r="I502" s="204" t="s">
        <v>710</v>
      </c>
    </row>
    <row r="503" spans="1:9">
      <c r="A503" s="195" t="s">
        <v>151</v>
      </c>
      <c r="B503" s="195">
        <v>12.32</v>
      </c>
      <c r="C503" s="195">
        <v>1.17</v>
      </c>
      <c r="D503" s="195">
        <v>239.3</v>
      </c>
      <c r="E503" s="195">
        <v>0</v>
      </c>
      <c r="F503" s="195">
        <v>4.46</v>
      </c>
      <c r="H503" s="195" t="str">
        <f t="shared" si="26"/>
        <v>2003</v>
      </c>
      <c r="I503" s="204" t="s">
        <v>710</v>
      </c>
    </row>
    <row r="504" spans="1:9">
      <c r="A504" s="195" t="s">
        <v>152</v>
      </c>
      <c r="B504" s="195">
        <v>75.81</v>
      </c>
      <c r="C504" s="195">
        <v>0</v>
      </c>
      <c r="D504" s="195">
        <v>126.23</v>
      </c>
      <c r="E504" s="195">
        <v>0</v>
      </c>
      <c r="F504" s="195">
        <v>16.29</v>
      </c>
      <c r="H504" s="195" t="str">
        <f t="shared" si="26"/>
        <v>2003</v>
      </c>
      <c r="I504" s="204" t="s">
        <v>710</v>
      </c>
    </row>
    <row r="505" spans="1:9">
      <c r="A505" s="195" t="s">
        <v>709</v>
      </c>
    </row>
    <row r="506" spans="1:9">
      <c r="A506" s="195" t="s">
        <v>25</v>
      </c>
      <c r="B506" s="195">
        <v>59.29</v>
      </c>
      <c r="C506" s="195">
        <v>60.51</v>
      </c>
      <c r="D506" s="195">
        <v>59.57</v>
      </c>
      <c r="E506" s="195">
        <v>59.39</v>
      </c>
      <c r="F506" s="195">
        <v>34.47</v>
      </c>
      <c r="H506" s="195" t="str">
        <f>H488</f>
        <v>2003</v>
      </c>
      <c r="I506" s="204" t="s">
        <v>153</v>
      </c>
    </row>
    <row r="507" spans="1:9">
      <c r="A507" s="195" t="s">
        <v>22</v>
      </c>
      <c r="B507" s="195">
        <v>57.41</v>
      </c>
      <c r="C507" s="195">
        <v>58.63</v>
      </c>
      <c r="D507" s="195">
        <v>57.69</v>
      </c>
      <c r="E507" s="195">
        <v>57.51</v>
      </c>
      <c r="F507" s="195">
        <v>32.590000000000003</v>
      </c>
      <c r="H507" s="195" t="str">
        <f t="shared" ref="H507:H522" si="27">H489</f>
        <v>2003</v>
      </c>
      <c r="I507" s="204" t="s">
        <v>153</v>
      </c>
    </row>
    <row r="508" spans="1:9">
      <c r="A508" s="195" t="s">
        <v>15</v>
      </c>
      <c r="B508" s="195">
        <v>48.82</v>
      </c>
      <c r="C508" s="195">
        <v>50.03</v>
      </c>
      <c r="D508" s="195">
        <v>49.1</v>
      </c>
      <c r="E508" s="195">
        <v>51.4</v>
      </c>
      <c r="F508" s="195">
        <v>48.61</v>
      </c>
      <c r="H508" s="195" t="str">
        <f t="shared" si="27"/>
        <v>2003</v>
      </c>
      <c r="I508" s="204" t="s">
        <v>153</v>
      </c>
    </row>
    <row r="509" spans="1:9">
      <c r="A509" s="195" t="s">
        <v>16</v>
      </c>
      <c r="B509" s="195">
        <v>50.27</v>
      </c>
      <c r="C509" s="195">
        <v>48.45</v>
      </c>
      <c r="D509" s="195">
        <v>48.88</v>
      </c>
      <c r="E509" s="195">
        <v>58.9</v>
      </c>
      <c r="F509" s="195">
        <v>56.71</v>
      </c>
      <c r="H509" s="195" t="str">
        <f t="shared" si="27"/>
        <v>2003</v>
      </c>
      <c r="I509" s="204" t="s">
        <v>153</v>
      </c>
    </row>
    <row r="510" spans="1:9">
      <c r="A510" s="195" t="s">
        <v>37</v>
      </c>
      <c r="B510" s="195">
        <v>34.86</v>
      </c>
      <c r="C510" s="195">
        <v>37.65</v>
      </c>
      <c r="D510" s="195">
        <v>37.65</v>
      </c>
      <c r="E510" s="195">
        <v>36.9</v>
      </c>
      <c r="F510" s="195">
        <v>31.27</v>
      </c>
      <c r="H510" s="195" t="str">
        <f t="shared" si="27"/>
        <v>2003</v>
      </c>
      <c r="I510" s="204" t="s">
        <v>153</v>
      </c>
    </row>
    <row r="511" spans="1:9">
      <c r="A511" s="195" t="s">
        <v>36</v>
      </c>
      <c r="B511" s="195">
        <v>33.409999999999997</v>
      </c>
      <c r="C511" s="195">
        <v>36.1</v>
      </c>
      <c r="D511" s="195">
        <v>36.6</v>
      </c>
      <c r="E511" s="195">
        <v>35.659999999999997</v>
      </c>
      <c r="F511" s="195">
        <v>31.5</v>
      </c>
      <c r="H511" s="195" t="str">
        <f t="shared" si="27"/>
        <v>2003</v>
      </c>
      <c r="I511" s="204" t="s">
        <v>153</v>
      </c>
    </row>
    <row r="512" spans="1:9">
      <c r="A512" s="195" t="s">
        <v>453</v>
      </c>
      <c r="B512" s="195">
        <v>42.27</v>
      </c>
      <c r="C512" s="195">
        <v>41.99</v>
      </c>
      <c r="D512" s="195">
        <v>41.56</v>
      </c>
      <c r="E512" s="195">
        <v>53.5</v>
      </c>
      <c r="F512" s="195">
        <v>49.39</v>
      </c>
      <c r="H512" s="195" t="str">
        <f t="shared" si="27"/>
        <v>2003</v>
      </c>
      <c r="I512" s="204" t="s">
        <v>153</v>
      </c>
    </row>
    <row r="513" spans="1:9">
      <c r="A513" s="195" t="s">
        <v>456</v>
      </c>
      <c r="B513" s="195">
        <v>27.67</v>
      </c>
      <c r="C513" s="195">
        <v>27.67</v>
      </c>
      <c r="D513" s="195">
        <v>27.67</v>
      </c>
      <c r="E513" s="195">
        <v>27.67</v>
      </c>
      <c r="F513" s="195">
        <v>27.67</v>
      </c>
      <c r="H513" s="195" t="str">
        <f t="shared" si="27"/>
        <v>2003</v>
      </c>
      <c r="I513" s="204" t="s">
        <v>153</v>
      </c>
    </row>
    <row r="514" spans="1:9">
      <c r="A514" s="195" t="s">
        <v>35</v>
      </c>
      <c r="B514" s="195">
        <v>35.99</v>
      </c>
      <c r="C514" s="195">
        <v>35.65</v>
      </c>
      <c r="D514" s="195">
        <v>34.9</v>
      </c>
      <c r="E514" s="195">
        <v>34.840000000000003</v>
      </c>
      <c r="F514" s="195">
        <v>27.67</v>
      </c>
      <c r="H514" s="195" t="str">
        <f t="shared" si="27"/>
        <v>2003</v>
      </c>
      <c r="I514" s="204" t="s">
        <v>153</v>
      </c>
    </row>
    <row r="515" spans="1:9">
      <c r="A515" s="195" t="s">
        <v>31</v>
      </c>
      <c r="B515" s="195">
        <v>57.56</v>
      </c>
      <c r="C515" s="195">
        <v>57.56</v>
      </c>
      <c r="D515" s="195">
        <v>58.19</v>
      </c>
      <c r="E515" s="195">
        <v>57.71</v>
      </c>
      <c r="F515" s="195">
        <v>57.71</v>
      </c>
      <c r="H515" s="195" t="str">
        <f t="shared" si="27"/>
        <v>2003</v>
      </c>
      <c r="I515" s="204" t="s">
        <v>153</v>
      </c>
    </row>
    <row r="516" spans="1:9">
      <c r="A516" s="195" t="s">
        <v>458</v>
      </c>
      <c r="B516" s="195">
        <v>46.37</v>
      </c>
      <c r="C516" s="195">
        <v>45.57</v>
      </c>
      <c r="D516" s="195">
        <v>45.13</v>
      </c>
      <c r="E516" s="195">
        <v>47.03</v>
      </c>
      <c r="F516" s="195">
        <v>44.72</v>
      </c>
      <c r="H516" s="195" t="str">
        <f t="shared" si="27"/>
        <v>2003</v>
      </c>
      <c r="I516" s="204" t="s">
        <v>153</v>
      </c>
    </row>
    <row r="517" spans="1:9">
      <c r="A517" s="195" t="s">
        <v>148</v>
      </c>
      <c r="B517" s="195">
        <v>58.25</v>
      </c>
      <c r="C517" s="195">
        <v>56.26</v>
      </c>
      <c r="D517" s="195">
        <v>55.86</v>
      </c>
      <c r="E517" s="195">
        <v>58.42</v>
      </c>
      <c r="F517" s="195">
        <v>55.89</v>
      </c>
      <c r="H517" s="195" t="str">
        <f t="shared" si="27"/>
        <v>2003</v>
      </c>
      <c r="I517" s="204" t="s">
        <v>153</v>
      </c>
    </row>
    <row r="518" spans="1:9">
      <c r="A518" s="195" t="s">
        <v>149</v>
      </c>
      <c r="B518" s="195">
        <v>50.67</v>
      </c>
      <c r="C518" s="195">
        <v>50.01</v>
      </c>
      <c r="D518" s="195">
        <v>49.71</v>
      </c>
      <c r="E518" s="195">
        <v>54.73</v>
      </c>
      <c r="F518" s="195">
        <v>53.15</v>
      </c>
      <c r="H518" s="195" t="str">
        <f t="shared" si="27"/>
        <v>2003</v>
      </c>
      <c r="I518" s="204" t="s">
        <v>153</v>
      </c>
    </row>
    <row r="519" spans="1:9">
      <c r="A519" s="195" t="s">
        <v>19</v>
      </c>
      <c r="B519" s="195">
        <v>0</v>
      </c>
      <c r="C519" s="195">
        <v>0</v>
      </c>
      <c r="D519" s="195">
        <v>0</v>
      </c>
      <c r="E519" s="195">
        <v>0</v>
      </c>
      <c r="F519" s="195">
        <v>0</v>
      </c>
      <c r="H519" s="195" t="str">
        <f t="shared" si="27"/>
        <v>2003</v>
      </c>
      <c r="I519" s="204" t="s">
        <v>153</v>
      </c>
    </row>
    <row r="520" spans="1:9">
      <c r="A520" s="195" t="s">
        <v>150</v>
      </c>
      <c r="B520" s="195">
        <v>25.11</v>
      </c>
      <c r="C520" s="195">
        <v>25.21</v>
      </c>
      <c r="D520" s="195">
        <v>24.79</v>
      </c>
      <c r="E520" s="195">
        <v>29.86</v>
      </c>
      <c r="F520" s="195">
        <v>27.95</v>
      </c>
      <c r="H520" s="195" t="str">
        <f t="shared" si="27"/>
        <v>2003</v>
      </c>
      <c r="I520" s="204" t="s">
        <v>153</v>
      </c>
    </row>
    <row r="521" spans="1:9">
      <c r="A521" s="195" t="s">
        <v>151</v>
      </c>
      <c r="B521" s="195">
        <v>30.69</v>
      </c>
      <c r="C521" s="195">
        <v>30.82</v>
      </c>
      <c r="D521" s="195">
        <v>30.3</v>
      </c>
      <c r="E521" s="195">
        <v>36.49</v>
      </c>
      <c r="F521" s="195">
        <v>34.17</v>
      </c>
      <c r="H521" s="195" t="str">
        <f t="shared" si="27"/>
        <v>2003</v>
      </c>
      <c r="I521" s="204" t="s">
        <v>153</v>
      </c>
    </row>
    <row r="522" spans="1:9">
      <c r="A522" s="195" t="s">
        <v>152</v>
      </c>
      <c r="B522" s="195">
        <v>23.02</v>
      </c>
      <c r="C522" s="195">
        <v>23.11</v>
      </c>
      <c r="D522" s="195">
        <v>22.72</v>
      </c>
      <c r="E522" s="195">
        <v>27.37</v>
      </c>
      <c r="F522" s="195">
        <v>25.63</v>
      </c>
      <c r="H522" s="195" t="str">
        <f t="shared" si="27"/>
        <v>2003</v>
      </c>
      <c r="I522" s="204" t="s">
        <v>153</v>
      </c>
    </row>
    <row r="523" spans="1:9">
      <c r="A523" s="195" t="s">
        <v>167</v>
      </c>
    </row>
    <row r="524" spans="1:9">
      <c r="A524" s="195" t="s">
        <v>708</v>
      </c>
    </row>
    <row r="525" spans="1:9">
      <c r="A525" s="195" t="s">
        <v>25</v>
      </c>
      <c r="B525" s="195">
        <v>208.9</v>
      </c>
      <c r="C525" s="195">
        <v>0</v>
      </c>
      <c r="D525" s="195">
        <v>0</v>
      </c>
      <c r="E525" s="195">
        <v>0</v>
      </c>
      <c r="F525" s="195">
        <v>4.1500000000000004</v>
      </c>
      <c r="H525" s="195" t="str">
        <f>RIGHT(A523,4)</f>
        <v>2004</v>
      </c>
      <c r="I525" s="204" t="s">
        <v>710</v>
      </c>
    </row>
    <row r="526" spans="1:9">
      <c r="A526" s="195" t="s">
        <v>22</v>
      </c>
      <c r="B526" s="195">
        <v>261.76</v>
      </c>
      <c r="C526" s="195">
        <v>1.67</v>
      </c>
      <c r="D526" s="195">
        <v>7.47</v>
      </c>
      <c r="E526" s="195">
        <v>0.55000000000000004</v>
      </c>
      <c r="F526" s="195">
        <v>12.4</v>
      </c>
      <c r="H526" s="195" t="str">
        <f>H525</f>
        <v>2004</v>
      </c>
      <c r="I526" s="204" t="s">
        <v>710</v>
      </c>
    </row>
    <row r="527" spans="1:9">
      <c r="A527" s="195" t="s">
        <v>15</v>
      </c>
      <c r="B527" s="195">
        <v>169.33</v>
      </c>
      <c r="C527" s="195">
        <v>2.04</v>
      </c>
      <c r="D527" s="195">
        <v>5.47</v>
      </c>
      <c r="E527" s="195">
        <v>1.34</v>
      </c>
      <c r="F527" s="195">
        <v>1.57</v>
      </c>
      <c r="H527" s="195" t="str">
        <f t="shared" ref="H527:H541" si="28">H526</f>
        <v>2004</v>
      </c>
      <c r="I527" s="204" t="s">
        <v>710</v>
      </c>
    </row>
    <row r="528" spans="1:9">
      <c r="A528" s="195" t="s">
        <v>16</v>
      </c>
      <c r="B528" s="195">
        <v>91.84</v>
      </c>
      <c r="C528" s="195">
        <v>4.84</v>
      </c>
      <c r="D528" s="195">
        <v>2.5499999999999998</v>
      </c>
      <c r="E528" s="195">
        <v>9.3699999999999992</v>
      </c>
      <c r="F528" s="195">
        <v>10.92</v>
      </c>
      <c r="H528" s="195" t="str">
        <f t="shared" si="28"/>
        <v>2004</v>
      </c>
      <c r="I528" s="204" t="s">
        <v>710</v>
      </c>
    </row>
    <row r="529" spans="1:9">
      <c r="A529" s="195" t="s">
        <v>37</v>
      </c>
      <c r="B529" s="195">
        <v>185.06</v>
      </c>
      <c r="C529" s="195">
        <v>2.09</v>
      </c>
      <c r="D529" s="195">
        <v>32.24</v>
      </c>
      <c r="E529" s="195">
        <v>0</v>
      </c>
      <c r="F529" s="195">
        <v>10.5</v>
      </c>
      <c r="H529" s="195" t="str">
        <f t="shared" si="28"/>
        <v>2004</v>
      </c>
      <c r="I529" s="204" t="s">
        <v>710</v>
      </c>
    </row>
    <row r="530" spans="1:9">
      <c r="A530" s="195" t="s">
        <v>36</v>
      </c>
      <c r="B530" s="195">
        <v>149.55000000000001</v>
      </c>
      <c r="C530" s="195">
        <v>2.1</v>
      </c>
      <c r="D530" s="195">
        <v>21.26</v>
      </c>
      <c r="E530" s="195">
        <v>0</v>
      </c>
      <c r="F530" s="195">
        <v>24.66</v>
      </c>
      <c r="H530" s="195" t="str">
        <f t="shared" si="28"/>
        <v>2004</v>
      </c>
      <c r="I530" s="204" t="s">
        <v>710</v>
      </c>
    </row>
    <row r="531" spans="1:9">
      <c r="A531" s="195" t="s">
        <v>453</v>
      </c>
      <c r="B531" s="195">
        <v>48.91</v>
      </c>
      <c r="C531" s="195">
        <v>1.1299999999999999</v>
      </c>
      <c r="D531" s="195">
        <v>0.56000000000000005</v>
      </c>
      <c r="E531" s="195">
        <v>0.43</v>
      </c>
      <c r="F531" s="195">
        <v>76.38</v>
      </c>
      <c r="H531" s="195" t="str">
        <f t="shared" si="28"/>
        <v>2004</v>
      </c>
      <c r="I531" s="204" t="s">
        <v>710</v>
      </c>
    </row>
    <row r="532" spans="1:9">
      <c r="A532" s="195" t="s">
        <v>456</v>
      </c>
      <c r="B532" s="195">
        <v>47.79</v>
      </c>
      <c r="C532" s="195">
        <v>103.7</v>
      </c>
      <c r="D532" s="195">
        <v>142.80000000000001</v>
      </c>
      <c r="E532" s="195">
        <v>9.6999999999999993</v>
      </c>
      <c r="F532" s="195">
        <v>2.04</v>
      </c>
      <c r="H532" s="195" t="str">
        <f t="shared" si="28"/>
        <v>2004</v>
      </c>
      <c r="I532" s="204" t="s">
        <v>710</v>
      </c>
    </row>
    <row r="533" spans="1:9">
      <c r="A533" s="195" t="s">
        <v>35</v>
      </c>
      <c r="B533" s="195">
        <v>7</v>
      </c>
      <c r="C533" s="195">
        <v>1</v>
      </c>
      <c r="D533" s="195">
        <v>282</v>
      </c>
      <c r="E533" s="195">
        <v>1</v>
      </c>
      <c r="F533" s="195">
        <v>0</v>
      </c>
      <c r="H533" s="195" t="str">
        <f t="shared" si="28"/>
        <v>2004</v>
      </c>
      <c r="I533" s="204" t="s">
        <v>710</v>
      </c>
    </row>
    <row r="534" spans="1:9">
      <c r="A534" s="195" t="s">
        <v>31</v>
      </c>
      <c r="B534" s="195">
        <v>436</v>
      </c>
      <c r="C534" s="195">
        <v>4</v>
      </c>
      <c r="D534" s="195">
        <v>58</v>
      </c>
      <c r="E534" s="195">
        <v>2</v>
      </c>
      <c r="F534" s="195">
        <v>49</v>
      </c>
      <c r="H534" s="195" t="str">
        <f t="shared" si="28"/>
        <v>2004</v>
      </c>
      <c r="I534" s="204" t="s">
        <v>710</v>
      </c>
    </row>
    <row r="535" spans="1:9">
      <c r="A535" s="195" t="s">
        <v>458</v>
      </c>
      <c r="B535" s="195">
        <v>0</v>
      </c>
      <c r="C535" s="195">
        <v>0</v>
      </c>
      <c r="D535" s="195">
        <v>0</v>
      </c>
      <c r="E535" s="195">
        <v>0</v>
      </c>
      <c r="F535" s="195">
        <v>0</v>
      </c>
      <c r="H535" s="195" t="str">
        <f t="shared" si="28"/>
        <v>2004</v>
      </c>
      <c r="I535" s="204" t="s">
        <v>710</v>
      </c>
    </row>
    <row r="536" spans="1:9">
      <c r="A536" s="195" t="s">
        <v>148</v>
      </c>
      <c r="B536" s="195">
        <v>33.68</v>
      </c>
      <c r="C536" s="195">
        <v>0</v>
      </c>
      <c r="D536" s="195">
        <v>3.42</v>
      </c>
      <c r="E536" s="195">
        <v>0</v>
      </c>
      <c r="F536" s="195">
        <v>0</v>
      </c>
      <c r="H536" s="195" t="str">
        <f t="shared" si="28"/>
        <v>2004</v>
      </c>
      <c r="I536" s="204" t="s">
        <v>710</v>
      </c>
    </row>
    <row r="537" spans="1:9">
      <c r="A537" s="195" t="s">
        <v>149</v>
      </c>
      <c r="B537" s="195">
        <v>66.209999999999994</v>
      </c>
      <c r="C537" s="195">
        <v>0</v>
      </c>
      <c r="D537" s="195">
        <v>1.43</v>
      </c>
      <c r="E537" s="195">
        <v>0</v>
      </c>
      <c r="F537" s="195">
        <v>20.43</v>
      </c>
      <c r="H537" s="195" t="str">
        <f t="shared" si="28"/>
        <v>2004</v>
      </c>
      <c r="I537" s="204" t="s">
        <v>710</v>
      </c>
    </row>
    <row r="538" spans="1:9">
      <c r="A538" s="195" t="s">
        <v>19</v>
      </c>
      <c r="B538" s="195">
        <v>21.38</v>
      </c>
      <c r="C538" s="195">
        <v>0</v>
      </c>
      <c r="D538" s="195">
        <v>3.05</v>
      </c>
      <c r="E538" s="195">
        <v>0</v>
      </c>
      <c r="F538" s="195">
        <v>4.3499999999999996</v>
      </c>
      <c r="H538" s="195" t="str">
        <f t="shared" si="28"/>
        <v>2004</v>
      </c>
      <c r="I538" s="204" t="s">
        <v>710</v>
      </c>
    </row>
    <row r="539" spans="1:9">
      <c r="A539" s="195" t="s">
        <v>150</v>
      </c>
      <c r="B539" s="195">
        <v>1.85</v>
      </c>
      <c r="C539" s="195">
        <v>0</v>
      </c>
      <c r="D539" s="195">
        <v>109.81</v>
      </c>
      <c r="E539" s="195">
        <v>0</v>
      </c>
      <c r="F539" s="195">
        <v>0</v>
      </c>
      <c r="H539" s="195" t="str">
        <f t="shared" si="28"/>
        <v>2004</v>
      </c>
      <c r="I539" s="204" t="s">
        <v>710</v>
      </c>
    </row>
    <row r="540" spans="1:9">
      <c r="A540" s="195" t="s">
        <v>151</v>
      </c>
      <c r="B540" s="195">
        <v>12.62</v>
      </c>
      <c r="C540" s="195">
        <v>1.35</v>
      </c>
      <c r="D540" s="195">
        <v>321.98</v>
      </c>
      <c r="E540" s="195">
        <v>0.9</v>
      </c>
      <c r="F540" s="195">
        <v>1.06</v>
      </c>
      <c r="H540" s="195" t="str">
        <f t="shared" si="28"/>
        <v>2004</v>
      </c>
      <c r="I540" s="204" t="s">
        <v>710</v>
      </c>
    </row>
    <row r="541" spans="1:9">
      <c r="A541" s="195" t="s">
        <v>152</v>
      </c>
      <c r="B541" s="195">
        <v>91.53</v>
      </c>
      <c r="C541" s="195">
        <v>0</v>
      </c>
      <c r="D541" s="195">
        <v>184.53</v>
      </c>
      <c r="E541" s="195">
        <v>0</v>
      </c>
      <c r="F541" s="195">
        <v>51.82</v>
      </c>
      <c r="H541" s="195" t="str">
        <f t="shared" si="28"/>
        <v>2004</v>
      </c>
      <c r="I541" s="204" t="s">
        <v>710</v>
      </c>
    </row>
    <row r="542" spans="1:9">
      <c r="A542" s="195" t="s">
        <v>709</v>
      </c>
    </row>
    <row r="543" spans="1:9">
      <c r="A543" s="195" t="s">
        <v>25</v>
      </c>
      <c r="B543" s="195">
        <v>60.5</v>
      </c>
      <c r="C543" s="195">
        <v>61.74</v>
      </c>
      <c r="D543" s="195">
        <v>60.79</v>
      </c>
      <c r="E543" s="195">
        <v>60.6</v>
      </c>
      <c r="F543" s="195">
        <v>35.17</v>
      </c>
      <c r="H543" s="195" t="str">
        <f>H525</f>
        <v>2004</v>
      </c>
      <c r="I543" s="204" t="s">
        <v>153</v>
      </c>
    </row>
    <row r="544" spans="1:9">
      <c r="A544" s="195" t="s">
        <v>22</v>
      </c>
      <c r="B544" s="195">
        <v>58.58</v>
      </c>
      <c r="C544" s="195">
        <v>59.82</v>
      </c>
      <c r="D544" s="195">
        <v>58.87</v>
      </c>
      <c r="E544" s="195">
        <v>58.68</v>
      </c>
      <c r="F544" s="195">
        <v>33.25</v>
      </c>
      <c r="H544" s="195" t="str">
        <f t="shared" ref="H544:H559" si="29">H526</f>
        <v>2004</v>
      </c>
      <c r="I544" s="204" t="s">
        <v>153</v>
      </c>
    </row>
    <row r="545" spans="1:9">
      <c r="A545" s="195" t="s">
        <v>15</v>
      </c>
      <c r="B545" s="195">
        <v>49.81</v>
      </c>
      <c r="C545" s="195">
        <v>51.06</v>
      </c>
      <c r="D545" s="195">
        <v>50.1</v>
      </c>
      <c r="E545" s="195">
        <v>52.44</v>
      </c>
      <c r="F545" s="195">
        <v>49.6</v>
      </c>
      <c r="H545" s="195" t="str">
        <f t="shared" si="29"/>
        <v>2004</v>
      </c>
      <c r="I545" s="204" t="s">
        <v>153</v>
      </c>
    </row>
    <row r="546" spans="1:9">
      <c r="A546" s="195" t="s">
        <v>16</v>
      </c>
      <c r="B546" s="195">
        <v>51.3</v>
      </c>
      <c r="C546" s="195">
        <v>49.44</v>
      </c>
      <c r="D546" s="195">
        <v>49.87</v>
      </c>
      <c r="E546" s="195">
        <v>60.11</v>
      </c>
      <c r="F546" s="195">
        <v>57.86</v>
      </c>
      <c r="H546" s="195" t="str">
        <f t="shared" si="29"/>
        <v>2004</v>
      </c>
      <c r="I546" s="204" t="s">
        <v>153</v>
      </c>
    </row>
    <row r="547" spans="1:9">
      <c r="A547" s="195" t="s">
        <v>37</v>
      </c>
      <c r="B547" s="195">
        <v>35.57</v>
      </c>
      <c r="C547" s="195">
        <v>38.42</v>
      </c>
      <c r="D547" s="195">
        <v>38.42</v>
      </c>
      <c r="E547" s="195">
        <v>37.659999999999997</v>
      </c>
      <c r="F547" s="195">
        <v>31.91</v>
      </c>
      <c r="H547" s="195" t="str">
        <f t="shared" si="29"/>
        <v>2004</v>
      </c>
      <c r="I547" s="204" t="s">
        <v>153</v>
      </c>
    </row>
    <row r="548" spans="1:9">
      <c r="A548" s="195" t="s">
        <v>36</v>
      </c>
      <c r="B548" s="195">
        <v>34.090000000000003</v>
      </c>
      <c r="C548" s="195">
        <v>36.840000000000003</v>
      </c>
      <c r="D548" s="195">
        <v>37.35</v>
      </c>
      <c r="E548" s="195">
        <v>36.39</v>
      </c>
      <c r="F548" s="195">
        <v>32.15</v>
      </c>
      <c r="H548" s="195" t="str">
        <f t="shared" si="29"/>
        <v>2004</v>
      </c>
      <c r="I548" s="204" t="s">
        <v>153</v>
      </c>
    </row>
    <row r="549" spans="1:9">
      <c r="A549" s="195" t="s">
        <v>453</v>
      </c>
      <c r="B549" s="195">
        <v>43.14</v>
      </c>
      <c r="C549" s="195">
        <v>42.85</v>
      </c>
      <c r="D549" s="195">
        <v>42.41</v>
      </c>
      <c r="E549" s="195">
        <v>54.59</v>
      </c>
      <c r="F549" s="195">
        <v>50.4</v>
      </c>
      <c r="H549" s="195" t="str">
        <f t="shared" si="29"/>
        <v>2004</v>
      </c>
      <c r="I549" s="204" t="s">
        <v>153</v>
      </c>
    </row>
    <row r="550" spans="1:9">
      <c r="A550" s="195" t="s">
        <v>456</v>
      </c>
      <c r="B550" s="195">
        <v>28.24</v>
      </c>
      <c r="C550" s="195">
        <v>28.24</v>
      </c>
      <c r="D550" s="195">
        <v>28.24</v>
      </c>
      <c r="E550" s="195">
        <v>28.24</v>
      </c>
      <c r="F550" s="195">
        <v>28.24</v>
      </c>
      <c r="H550" s="195" t="str">
        <f t="shared" si="29"/>
        <v>2004</v>
      </c>
      <c r="I550" s="204" t="s">
        <v>153</v>
      </c>
    </row>
    <row r="551" spans="1:9">
      <c r="A551" s="195" t="s">
        <v>35</v>
      </c>
      <c r="B551" s="195">
        <v>36.729999999999997</v>
      </c>
      <c r="C551" s="195">
        <v>36.380000000000003</v>
      </c>
      <c r="D551" s="195">
        <v>35.61</v>
      </c>
      <c r="E551" s="195">
        <v>35.549999999999997</v>
      </c>
      <c r="F551" s="195">
        <v>28.24</v>
      </c>
      <c r="H551" s="195" t="str">
        <f t="shared" si="29"/>
        <v>2004</v>
      </c>
      <c r="I551" s="204" t="s">
        <v>153</v>
      </c>
    </row>
    <row r="552" spans="1:9">
      <c r="A552" s="195" t="s">
        <v>31</v>
      </c>
      <c r="B552" s="195">
        <v>58.73</v>
      </c>
      <c r="C552" s="195">
        <v>58.73</v>
      </c>
      <c r="D552" s="195">
        <v>59.38</v>
      </c>
      <c r="E552" s="195">
        <v>58.89</v>
      </c>
      <c r="F552" s="195">
        <v>58.89</v>
      </c>
      <c r="H552" s="195" t="str">
        <f t="shared" si="29"/>
        <v>2004</v>
      </c>
      <c r="I552" s="204" t="s">
        <v>153</v>
      </c>
    </row>
    <row r="553" spans="1:9">
      <c r="A553" s="195" t="s">
        <v>458</v>
      </c>
      <c r="B553" s="195">
        <v>47.31</v>
      </c>
      <c r="C553" s="195">
        <v>46.5</v>
      </c>
      <c r="D553" s="195">
        <v>46.05</v>
      </c>
      <c r="E553" s="195">
        <v>47.99</v>
      </c>
      <c r="F553" s="195">
        <v>45.63</v>
      </c>
      <c r="H553" s="195" t="str">
        <f t="shared" si="29"/>
        <v>2004</v>
      </c>
      <c r="I553" s="204" t="s">
        <v>153</v>
      </c>
    </row>
    <row r="554" spans="1:9">
      <c r="A554" s="195" t="s">
        <v>148</v>
      </c>
      <c r="B554" s="195">
        <v>59.44</v>
      </c>
      <c r="C554" s="195">
        <v>57.4</v>
      </c>
      <c r="D554" s="195">
        <v>57</v>
      </c>
      <c r="E554" s="195">
        <v>59.62</v>
      </c>
      <c r="F554" s="195">
        <v>57.03</v>
      </c>
      <c r="H554" s="195" t="str">
        <f t="shared" si="29"/>
        <v>2004</v>
      </c>
      <c r="I554" s="204" t="s">
        <v>153</v>
      </c>
    </row>
    <row r="555" spans="1:9">
      <c r="A555" s="195" t="s">
        <v>149</v>
      </c>
      <c r="B555" s="195">
        <v>51.7</v>
      </c>
      <c r="C555" s="195">
        <v>51.03</v>
      </c>
      <c r="D555" s="195">
        <v>50.72</v>
      </c>
      <c r="E555" s="195">
        <v>55.85</v>
      </c>
      <c r="F555" s="195">
        <v>54.23</v>
      </c>
      <c r="H555" s="195" t="str">
        <f t="shared" si="29"/>
        <v>2004</v>
      </c>
      <c r="I555" s="204" t="s">
        <v>153</v>
      </c>
    </row>
    <row r="556" spans="1:9">
      <c r="A556" s="195" t="s">
        <v>19</v>
      </c>
      <c r="B556" s="195">
        <v>56.38</v>
      </c>
      <c r="C556" s="195">
        <v>56.6</v>
      </c>
      <c r="D556" s="195">
        <v>55.65</v>
      </c>
      <c r="E556" s="195">
        <v>67.02</v>
      </c>
      <c r="F556" s="195">
        <v>62.76</v>
      </c>
      <c r="H556" s="195" t="str">
        <f t="shared" si="29"/>
        <v>2004</v>
      </c>
      <c r="I556" s="204" t="s">
        <v>153</v>
      </c>
    </row>
    <row r="557" spans="1:9">
      <c r="A557" s="195" t="s">
        <v>150</v>
      </c>
      <c r="B557" s="195">
        <v>25.63</v>
      </c>
      <c r="C557" s="195">
        <v>25.73</v>
      </c>
      <c r="D557" s="195">
        <v>25.29</v>
      </c>
      <c r="E557" s="195">
        <v>30.47</v>
      </c>
      <c r="F557" s="195">
        <v>28.53</v>
      </c>
      <c r="H557" s="195" t="str">
        <f t="shared" si="29"/>
        <v>2004</v>
      </c>
      <c r="I557" s="204" t="s">
        <v>153</v>
      </c>
    </row>
    <row r="558" spans="1:9">
      <c r="A558" s="195" t="s">
        <v>151</v>
      </c>
      <c r="B558" s="195">
        <v>31.32</v>
      </c>
      <c r="C558" s="195">
        <v>31.45</v>
      </c>
      <c r="D558" s="195">
        <v>30.92</v>
      </c>
      <c r="E558" s="195">
        <v>37.24</v>
      </c>
      <c r="F558" s="195">
        <v>34.86</v>
      </c>
      <c r="H558" s="195" t="str">
        <f t="shared" si="29"/>
        <v>2004</v>
      </c>
      <c r="I558" s="204" t="s">
        <v>153</v>
      </c>
    </row>
    <row r="559" spans="1:9">
      <c r="A559" s="195" t="s">
        <v>152</v>
      </c>
      <c r="B559" s="195">
        <v>23.49</v>
      </c>
      <c r="C559" s="195">
        <v>23.58</v>
      </c>
      <c r="D559" s="195">
        <v>23.19</v>
      </c>
      <c r="E559" s="195">
        <v>27.93</v>
      </c>
      <c r="F559" s="195">
        <v>26.15</v>
      </c>
      <c r="H559" s="195" t="str">
        <f t="shared" si="29"/>
        <v>2004</v>
      </c>
      <c r="I559" s="204" t="s">
        <v>153</v>
      </c>
    </row>
    <row r="560" spans="1:9">
      <c r="A560" s="195" t="s">
        <v>168</v>
      </c>
    </row>
    <row r="561" spans="1:9">
      <c r="A561" s="195" t="s">
        <v>708</v>
      </c>
    </row>
    <row r="562" spans="1:9">
      <c r="A562" s="195" t="s">
        <v>25</v>
      </c>
      <c r="B562" s="195">
        <v>244.86</v>
      </c>
      <c r="C562" s="195">
        <v>0</v>
      </c>
      <c r="D562" s="195">
        <v>4.12</v>
      </c>
      <c r="E562" s="195">
        <v>0</v>
      </c>
      <c r="F562" s="195">
        <v>6.45</v>
      </c>
      <c r="H562" s="195" t="str">
        <f>RIGHT(A560,4)</f>
        <v>2005</v>
      </c>
      <c r="I562" s="204" t="s">
        <v>710</v>
      </c>
    </row>
    <row r="563" spans="1:9">
      <c r="A563" s="195" t="s">
        <v>22</v>
      </c>
      <c r="B563" s="195">
        <v>299.08</v>
      </c>
      <c r="C563" s="195">
        <v>2.58</v>
      </c>
      <c r="D563" s="195">
        <v>32.270000000000003</v>
      </c>
      <c r="E563" s="195">
        <v>0.55000000000000004</v>
      </c>
      <c r="F563" s="195">
        <v>23.07</v>
      </c>
      <c r="H563" s="195" t="str">
        <f>H562</f>
        <v>2005</v>
      </c>
      <c r="I563" s="204" t="s">
        <v>710</v>
      </c>
    </row>
    <row r="564" spans="1:9">
      <c r="A564" s="195" t="s">
        <v>15</v>
      </c>
      <c r="B564" s="195">
        <v>206.68</v>
      </c>
      <c r="C564" s="195">
        <v>2.04</v>
      </c>
      <c r="D564" s="195">
        <v>7.88</v>
      </c>
      <c r="E564" s="195">
        <v>1.34</v>
      </c>
      <c r="F564" s="195">
        <v>5.07</v>
      </c>
      <c r="H564" s="195" t="str">
        <f t="shared" ref="H564:H578" si="30">H563</f>
        <v>2005</v>
      </c>
      <c r="I564" s="204" t="s">
        <v>710</v>
      </c>
    </row>
    <row r="565" spans="1:9">
      <c r="A565" s="195" t="s">
        <v>16</v>
      </c>
      <c r="B565" s="195">
        <v>124.23</v>
      </c>
      <c r="C565" s="195">
        <v>5.74</v>
      </c>
      <c r="D565" s="195">
        <v>8.2799999999999994</v>
      </c>
      <c r="E565" s="195">
        <v>9.3699999999999992</v>
      </c>
      <c r="F565" s="195">
        <v>13.73</v>
      </c>
      <c r="H565" s="195" t="str">
        <f t="shared" si="30"/>
        <v>2005</v>
      </c>
      <c r="I565" s="204" t="s">
        <v>710</v>
      </c>
    </row>
    <row r="566" spans="1:9">
      <c r="A566" s="195" t="s">
        <v>37</v>
      </c>
      <c r="B566" s="195">
        <v>211.46</v>
      </c>
      <c r="C566" s="195">
        <v>2.82</v>
      </c>
      <c r="D566" s="195">
        <v>62.6</v>
      </c>
      <c r="E566" s="195">
        <v>0</v>
      </c>
      <c r="F566" s="195">
        <v>10.5</v>
      </c>
      <c r="H566" s="195" t="str">
        <f t="shared" si="30"/>
        <v>2005</v>
      </c>
      <c r="I566" s="204" t="s">
        <v>710</v>
      </c>
    </row>
    <row r="567" spans="1:9">
      <c r="A567" s="195" t="s">
        <v>36</v>
      </c>
      <c r="B567" s="195">
        <v>188.15</v>
      </c>
      <c r="C567" s="195">
        <v>2.1</v>
      </c>
      <c r="D567" s="195">
        <v>33.5</v>
      </c>
      <c r="E567" s="195">
        <v>0</v>
      </c>
      <c r="F567" s="195">
        <v>31.98</v>
      </c>
      <c r="H567" s="195" t="str">
        <f t="shared" si="30"/>
        <v>2005</v>
      </c>
      <c r="I567" s="204" t="s">
        <v>710</v>
      </c>
    </row>
    <row r="568" spans="1:9">
      <c r="A568" s="195" t="s">
        <v>453</v>
      </c>
      <c r="B568" s="195">
        <v>71.38</v>
      </c>
      <c r="C568" s="195">
        <v>1.1299999999999999</v>
      </c>
      <c r="D568" s="195">
        <v>16.05</v>
      </c>
      <c r="E568" s="195">
        <v>0.43</v>
      </c>
      <c r="F568" s="195">
        <v>100.3</v>
      </c>
      <c r="H568" s="195" t="str">
        <f t="shared" si="30"/>
        <v>2005</v>
      </c>
      <c r="I568" s="204" t="s">
        <v>710</v>
      </c>
    </row>
    <row r="569" spans="1:9">
      <c r="A569" s="195" t="s">
        <v>456</v>
      </c>
      <c r="B569" s="195">
        <v>60.35</v>
      </c>
      <c r="C569" s="195">
        <v>140.19999999999999</v>
      </c>
      <c r="D569" s="195">
        <v>191.43</v>
      </c>
      <c r="E569" s="195">
        <v>18.350000000000001</v>
      </c>
      <c r="F569" s="195">
        <v>7.33</v>
      </c>
      <c r="H569" s="195" t="str">
        <f t="shared" si="30"/>
        <v>2005</v>
      </c>
      <c r="I569" s="204" t="s">
        <v>710</v>
      </c>
    </row>
    <row r="570" spans="1:9">
      <c r="A570" s="195" t="s">
        <v>35</v>
      </c>
      <c r="B570" s="195">
        <v>4</v>
      </c>
      <c r="C570" s="195">
        <v>1</v>
      </c>
      <c r="D570" s="195">
        <v>293</v>
      </c>
      <c r="E570" s="195">
        <v>0</v>
      </c>
      <c r="F570" s="195">
        <v>0</v>
      </c>
      <c r="H570" s="195" t="str">
        <f t="shared" si="30"/>
        <v>2005</v>
      </c>
      <c r="I570" s="204" t="s">
        <v>710</v>
      </c>
    </row>
    <row r="571" spans="1:9">
      <c r="A571" s="195" t="s">
        <v>31</v>
      </c>
      <c r="B571" s="195">
        <v>440</v>
      </c>
      <c r="C571" s="195">
        <v>7</v>
      </c>
      <c r="D571" s="195">
        <v>109</v>
      </c>
      <c r="E571" s="195">
        <v>1</v>
      </c>
      <c r="F571" s="195">
        <v>42</v>
      </c>
      <c r="H571" s="195" t="str">
        <f t="shared" si="30"/>
        <v>2005</v>
      </c>
      <c r="I571" s="204" t="s">
        <v>710</v>
      </c>
    </row>
    <row r="572" spans="1:9">
      <c r="A572" s="195" t="s">
        <v>458</v>
      </c>
      <c r="B572" s="195">
        <v>0.62</v>
      </c>
      <c r="C572" s="195">
        <v>0</v>
      </c>
      <c r="D572" s="195">
        <v>0</v>
      </c>
      <c r="E572" s="195">
        <v>0</v>
      </c>
      <c r="F572" s="195">
        <v>0.86</v>
      </c>
      <c r="H572" s="195" t="str">
        <f t="shared" si="30"/>
        <v>2005</v>
      </c>
      <c r="I572" s="204" t="s">
        <v>710</v>
      </c>
    </row>
    <row r="573" spans="1:9">
      <c r="A573" s="195" t="s">
        <v>148</v>
      </c>
      <c r="B573" s="195">
        <v>33.68</v>
      </c>
      <c r="C573" s="195">
        <v>0</v>
      </c>
      <c r="D573" s="195">
        <v>4.72</v>
      </c>
      <c r="E573" s="195">
        <v>0</v>
      </c>
      <c r="F573" s="195">
        <v>65.25</v>
      </c>
      <c r="H573" s="195" t="str">
        <f t="shared" si="30"/>
        <v>2005</v>
      </c>
      <c r="I573" s="204" t="s">
        <v>710</v>
      </c>
    </row>
    <row r="574" spans="1:9">
      <c r="A574" s="195" t="s">
        <v>149</v>
      </c>
      <c r="B574" s="195">
        <v>74.16</v>
      </c>
      <c r="C574" s="195">
        <v>1</v>
      </c>
      <c r="D574" s="195">
        <v>1.97</v>
      </c>
      <c r="E574" s="195">
        <v>1</v>
      </c>
      <c r="F574" s="195">
        <v>20.43</v>
      </c>
      <c r="H574" s="195" t="str">
        <f t="shared" si="30"/>
        <v>2005</v>
      </c>
      <c r="I574" s="204" t="s">
        <v>710</v>
      </c>
    </row>
    <row r="575" spans="1:9">
      <c r="A575" s="195" t="s">
        <v>19</v>
      </c>
      <c r="B575" s="195">
        <v>21.38</v>
      </c>
      <c r="C575" s="195">
        <v>0</v>
      </c>
      <c r="D575" s="195">
        <v>3.05</v>
      </c>
      <c r="E575" s="195">
        <v>0</v>
      </c>
      <c r="F575" s="195">
        <v>4.3499999999999996</v>
      </c>
      <c r="H575" s="195" t="str">
        <f t="shared" si="30"/>
        <v>2005</v>
      </c>
      <c r="I575" s="204" t="s">
        <v>710</v>
      </c>
    </row>
    <row r="576" spans="1:9">
      <c r="A576" s="195" t="s">
        <v>150</v>
      </c>
      <c r="B576" s="195">
        <v>18.61</v>
      </c>
      <c r="C576" s="195">
        <v>0</v>
      </c>
      <c r="D576" s="195">
        <v>140.25</v>
      </c>
      <c r="E576" s="195">
        <v>0</v>
      </c>
      <c r="F576" s="195">
        <v>28.07</v>
      </c>
      <c r="H576" s="195" t="str">
        <f t="shared" si="30"/>
        <v>2005</v>
      </c>
      <c r="I576" s="204" t="s">
        <v>710</v>
      </c>
    </row>
    <row r="577" spans="1:9">
      <c r="A577" s="195" t="s">
        <v>151</v>
      </c>
      <c r="B577" s="195">
        <v>16.239999999999998</v>
      </c>
      <c r="C577" s="195">
        <v>1.39</v>
      </c>
      <c r="D577" s="195">
        <v>365.56</v>
      </c>
      <c r="E577" s="195">
        <v>0.9</v>
      </c>
      <c r="F577" s="195">
        <v>15.29</v>
      </c>
      <c r="H577" s="195" t="str">
        <f t="shared" si="30"/>
        <v>2005</v>
      </c>
      <c r="I577" s="204" t="s">
        <v>710</v>
      </c>
    </row>
    <row r="578" spans="1:9">
      <c r="A578" s="195" t="s">
        <v>152</v>
      </c>
      <c r="B578" s="195">
        <v>98.01</v>
      </c>
      <c r="C578" s="195">
        <v>0.92</v>
      </c>
      <c r="D578" s="195">
        <v>194.41</v>
      </c>
      <c r="E578" s="195">
        <v>0</v>
      </c>
      <c r="F578" s="195">
        <v>54.95</v>
      </c>
      <c r="H578" s="195" t="str">
        <f t="shared" si="30"/>
        <v>2005</v>
      </c>
      <c r="I578" s="204" t="s">
        <v>710</v>
      </c>
    </row>
    <row r="579" spans="1:9">
      <c r="A579" s="195" t="s">
        <v>709</v>
      </c>
    </row>
    <row r="580" spans="1:9">
      <c r="A580" s="195" t="s">
        <v>25</v>
      </c>
      <c r="B580" s="195">
        <v>61.74</v>
      </c>
      <c r="C580" s="195">
        <v>63.01</v>
      </c>
      <c r="D580" s="195">
        <v>62.03</v>
      </c>
      <c r="E580" s="195">
        <v>61.84</v>
      </c>
      <c r="F580" s="195">
        <v>35.89</v>
      </c>
      <c r="H580" s="195" t="str">
        <f>H562</f>
        <v>2005</v>
      </c>
      <c r="I580" s="204" t="s">
        <v>153</v>
      </c>
    </row>
    <row r="581" spans="1:9">
      <c r="A581" s="195" t="s">
        <v>22</v>
      </c>
      <c r="B581" s="195">
        <v>59.78</v>
      </c>
      <c r="C581" s="195">
        <v>61.05</v>
      </c>
      <c r="D581" s="195">
        <v>60.07</v>
      </c>
      <c r="E581" s="195">
        <v>59.88</v>
      </c>
      <c r="F581" s="195">
        <v>33.93</v>
      </c>
      <c r="H581" s="195" t="str">
        <f t="shared" ref="H581:H596" si="31">H563</f>
        <v>2005</v>
      </c>
      <c r="I581" s="204" t="s">
        <v>153</v>
      </c>
    </row>
    <row r="582" spans="1:9">
      <c r="A582" s="195" t="s">
        <v>15</v>
      </c>
      <c r="B582" s="195">
        <v>50.83</v>
      </c>
      <c r="C582" s="195">
        <v>52.1</v>
      </c>
      <c r="D582" s="195">
        <v>51.12</v>
      </c>
      <c r="E582" s="195">
        <v>53.51</v>
      </c>
      <c r="F582" s="195">
        <v>50.61</v>
      </c>
      <c r="H582" s="195" t="str">
        <f t="shared" si="31"/>
        <v>2005</v>
      </c>
      <c r="I582" s="204" t="s">
        <v>153</v>
      </c>
    </row>
    <row r="583" spans="1:9">
      <c r="A583" s="195" t="s">
        <v>16</v>
      </c>
      <c r="B583" s="195">
        <v>52.34</v>
      </c>
      <c r="C583" s="195">
        <v>50.45</v>
      </c>
      <c r="D583" s="195">
        <v>50.89</v>
      </c>
      <c r="E583" s="195">
        <v>61.33</v>
      </c>
      <c r="F583" s="195">
        <v>59.05</v>
      </c>
      <c r="H583" s="195" t="str">
        <f t="shared" si="31"/>
        <v>2005</v>
      </c>
      <c r="I583" s="204" t="s">
        <v>153</v>
      </c>
    </row>
    <row r="584" spans="1:9">
      <c r="A584" s="195" t="s">
        <v>37</v>
      </c>
      <c r="B584" s="195">
        <v>36.299999999999997</v>
      </c>
      <c r="C584" s="195">
        <v>39.200000000000003</v>
      </c>
      <c r="D584" s="195">
        <v>39.200000000000003</v>
      </c>
      <c r="E584" s="195">
        <v>38.43</v>
      </c>
      <c r="F584" s="195">
        <v>32.56</v>
      </c>
      <c r="H584" s="195" t="str">
        <f t="shared" si="31"/>
        <v>2005</v>
      </c>
      <c r="I584" s="204" t="s">
        <v>153</v>
      </c>
    </row>
    <row r="585" spans="1:9">
      <c r="A585" s="195" t="s">
        <v>36</v>
      </c>
      <c r="B585" s="195">
        <v>34.79</v>
      </c>
      <c r="C585" s="195">
        <v>37.590000000000003</v>
      </c>
      <c r="D585" s="195">
        <v>38.11</v>
      </c>
      <c r="E585" s="195">
        <v>37.14</v>
      </c>
      <c r="F585" s="195">
        <v>32.799999999999997</v>
      </c>
      <c r="H585" s="195" t="str">
        <f t="shared" si="31"/>
        <v>2005</v>
      </c>
      <c r="I585" s="204" t="s">
        <v>153</v>
      </c>
    </row>
    <row r="586" spans="1:9">
      <c r="A586" s="195" t="s">
        <v>453</v>
      </c>
      <c r="B586" s="195">
        <v>44.02</v>
      </c>
      <c r="C586" s="195">
        <v>43.72</v>
      </c>
      <c r="D586" s="195">
        <v>43.27</v>
      </c>
      <c r="E586" s="195">
        <v>55.7</v>
      </c>
      <c r="F586" s="195">
        <v>51.43</v>
      </c>
      <c r="H586" s="195" t="str">
        <f t="shared" si="31"/>
        <v>2005</v>
      </c>
      <c r="I586" s="204" t="s">
        <v>153</v>
      </c>
    </row>
    <row r="587" spans="1:9">
      <c r="A587" s="195" t="s">
        <v>456</v>
      </c>
      <c r="B587" s="195">
        <v>28.81</v>
      </c>
      <c r="C587" s="195">
        <v>28.81</v>
      </c>
      <c r="D587" s="195">
        <v>28.81</v>
      </c>
      <c r="E587" s="195">
        <v>28.81</v>
      </c>
      <c r="F587" s="195">
        <v>28.81</v>
      </c>
      <c r="H587" s="195" t="str">
        <f t="shared" si="31"/>
        <v>2005</v>
      </c>
      <c r="I587" s="204" t="s">
        <v>153</v>
      </c>
    </row>
    <row r="588" spans="1:9">
      <c r="A588" s="195" t="s">
        <v>35</v>
      </c>
      <c r="B588" s="195">
        <v>37.479999999999997</v>
      </c>
      <c r="C588" s="195">
        <v>37.119999999999997</v>
      </c>
      <c r="D588" s="195">
        <v>36.340000000000003</v>
      </c>
      <c r="E588" s="195">
        <v>36.28</v>
      </c>
      <c r="F588" s="195">
        <v>28.81</v>
      </c>
      <c r="H588" s="195" t="str">
        <f t="shared" si="31"/>
        <v>2005</v>
      </c>
      <c r="I588" s="204" t="s">
        <v>153</v>
      </c>
    </row>
    <row r="589" spans="1:9">
      <c r="A589" s="195" t="s">
        <v>31</v>
      </c>
      <c r="B589" s="195">
        <v>59.93</v>
      </c>
      <c r="C589" s="195">
        <v>59.93</v>
      </c>
      <c r="D589" s="195">
        <v>60.59</v>
      </c>
      <c r="E589" s="195">
        <v>60.09</v>
      </c>
      <c r="F589" s="195">
        <v>60.09</v>
      </c>
      <c r="H589" s="195" t="str">
        <f t="shared" si="31"/>
        <v>2005</v>
      </c>
      <c r="I589" s="204" t="s">
        <v>153</v>
      </c>
    </row>
    <row r="590" spans="1:9">
      <c r="A590" s="195" t="s">
        <v>458</v>
      </c>
      <c r="B590" s="195">
        <v>48.28</v>
      </c>
      <c r="C590" s="195">
        <v>47.45</v>
      </c>
      <c r="D590" s="195">
        <v>46.99</v>
      </c>
      <c r="E590" s="195">
        <v>48.97</v>
      </c>
      <c r="F590" s="195">
        <v>46.56</v>
      </c>
      <c r="H590" s="195" t="str">
        <f t="shared" si="31"/>
        <v>2005</v>
      </c>
      <c r="I590" s="204" t="s">
        <v>153</v>
      </c>
    </row>
    <row r="591" spans="1:9">
      <c r="A591" s="195" t="s">
        <v>148</v>
      </c>
      <c r="B591" s="195">
        <v>60.65</v>
      </c>
      <c r="C591" s="195">
        <v>58.57</v>
      </c>
      <c r="D591" s="195">
        <v>58.16</v>
      </c>
      <c r="E591" s="195">
        <v>60.83</v>
      </c>
      <c r="F591" s="195">
        <v>58.19</v>
      </c>
      <c r="H591" s="195" t="str">
        <f t="shared" si="31"/>
        <v>2005</v>
      </c>
      <c r="I591" s="204" t="s">
        <v>153</v>
      </c>
    </row>
    <row r="592" spans="1:9">
      <c r="A592" s="195" t="s">
        <v>149</v>
      </c>
      <c r="B592" s="195">
        <v>52.75</v>
      </c>
      <c r="C592" s="195">
        <v>52.07</v>
      </c>
      <c r="D592" s="195">
        <v>51.76</v>
      </c>
      <c r="E592" s="195">
        <v>56.99</v>
      </c>
      <c r="F592" s="195">
        <v>55.34</v>
      </c>
      <c r="H592" s="195" t="str">
        <f t="shared" si="31"/>
        <v>2005</v>
      </c>
      <c r="I592" s="204" t="s">
        <v>153</v>
      </c>
    </row>
    <row r="593" spans="1:9">
      <c r="A593" s="195" t="s">
        <v>19</v>
      </c>
      <c r="B593" s="195">
        <v>57.53</v>
      </c>
      <c r="C593" s="195">
        <v>57.76</v>
      </c>
      <c r="D593" s="195">
        <v>56.78</v>
      </c>
      <c r="E593" s="195">
        <v>68.39</v>
      </c>
      <c r="F593" s="195">
        <v>64.040000000000006</v>
      </c>
      <c r="H593" s="195" t="str">
        <f t="shared" si="31"/>
        <v>2005</v>
      </c>
      <c r="I593" s="204" t="s">
        <v>153</v>
      </c>
    </row>
    <row r="594" spans="1:9">
      <c r="A594" s="195" t="s">
        <v>150</v>
      </c>
      <c r="B594" s="195">
        <v>26.15</v>
      </c>
      <c r="C594" s="195">
        <v>26.25</v>
      </c>
      <c r="D594" s="195">
        <v>25.81</v>
      </c>
      <c r="E594" s="195">
        <v>31.09</v>
      </c>
      <c r="F594" s="195">
        <v>29.11</v>
      </c>
      <c r="H594" s="195" t="str">
        <f t="shared" si="31"/>
        <v>2005</v>
      </c>
      <c r="I594" s="204" t="s">
        <v>153</v>
      </c>
    </row>
    <row r="595" spans="1:9">
      <c r="A595" s="195" t="s">
        <v>151</v>
      </c>
      <c r="B595" s="195">
        <v>31.96</v>
      </c>
      <c r="C595" s="195">
        <v>32.090000000000003</v>
      </c>
      <c r="D595" s="195">
        <v>31.55</v>
      </c>
      <c r="E595" s="195">
        <v>38</v>
      </c>
      <c r="F595" s="195">
        <v>35.58</v>
      </c>
      <c r="H595" s="195" t="str">
        <f t="shared" si="31"/>
        <v>2005</v>
      </c>
      <c r="I595" s="204" t="s">
        <v>153</v>
      </c>
    </row>
    <row r="596" spans="1:9">
      <c r="A596" s="195" t="s">
        <v>152</v>
      </c>
      <c r="B596" s="195">
        <v>23.97</v>
      </c>
      <c r="C596" s="195">
        <v>24.07</v>
      </c>
      <c r="D596" s="195">
        <v>23.66</v>
      </c>
      <c r="E596" s="195">
        <v>28.5</v>
      </c>
      <c r="F596" s="195">
        <v>26.68</v>
      </c>
      <c r="H596" s="195" t="str">
        <f t="shared" si="31"/>
        <v>2005</v>
      </c>
      <c r="I596" s="204" t="s">
        <v>153</v>
      </c>
    </row>
    <row r="597" spans="1:9">
      <c r="A597" s="195" t="s">
        <v>169</v>
      </c>
    </row>
    <row r="598" spans="1:9">
      <c r="A598" s="195" t="s">
        <v>708</v>
      </c>
    </row>
    <row r="599" spans="1:9">
      <c r="A599" s="195" t="s">
        <v>25</v>
      </c>
      <c r="B599" s="195">
        <v>93</v>
      </c>
      <c r="C599" s="195">
        <v>0</v>
      </c>
      <c r="E599" s="195">
        <v>0</v>
      </c>
      <c r="F599" s="195">
        <v>0</v>
      </c>
      <c r="H599" s="195" t="str">
        <f>RIGHT(A597,4)</f>
        <v>2006</v>
      </c>
      <c r="I599" s="204" t="s">
        <v>710</v>
      </c>
    </row>
    <row r="600" spans="1:9">
      <c r="A600" s="195" t="s">
        <v>22</v>
      </c>
      <c r="B600" s="195">
        <v>290.97000000000003</v>
      </c>
      <c r="C600" s="195">
        <v>0.73</v>
      </c>
      <c r="D600" s="195">
        <v>27.96</v>
      </c>
      <c r="E600" s="195">
        <v>0</v>
      </c>
      <c r="F600" s="195">
        <v>16.760000000000002</v>
      </c>
      <c r="H600" s="195" t="str">
        <f>H599</f>
        <v>2006</v>
      </c>
      <c r="I600" s="204" t="s">
        <v>710</v>
      </c>
    </row>
    <row r="601" spans="1:9">
      <c r="A601" s="195" t="s">
        <v>15</v>
      </c>
      <c r="B601" s="195">
        <v>136.93</v>
      </c>
      <c r="C601" s="195">
        <v>0.92</v>
      </c>
      <c r="D601" s="195">
        <v>9.19</v>
      </c>
      <c r="E601" s="195">
        <v>0.56999999999999995</v>
      </c>
      <c r="F601" s="195">
        <v>6.62</v>
      </c>
      <c r="H601" s="195" t="str">
        <f t="shared" ref="H601:H615" si="32">H600</f>
        <v>2006</v>
      </c>
      <c r="I601" s="204" t="s">
        <v>710</v>
      </c>
    </row>
    <row r="602" spans="1:9">
      <c r="A602" s="195" t="s">
        <v>16</v>
      </c>
      <c r="B602" s="195">
        <v>45.6</v>
      </c>
      <c r="C602" s="195">
        <v>3.04</v>
      </c>
      <c r="D602" s="195">
        <v>4.45</v>
      </c>
      <c r="E602" s="195">
        <v>5.23</v>
      </c>
      <c r="F602" s="195">
        <v>8.06</v>
      </c>
      <c r="H602" s="195" t="str">
        <f t="shared" si="32"/>
        <v>2006</v>
      </c>
      <c r="I602" s="204" t="s">
        <v>710</v>
      </c>
    </row>
    <row r="603" spans="1:9">
      <c r="A603" s="195" t="s">
        <v>37</v>
      </c>
      <c r="B603" s="195">
        <v>63.6</v>
      </c>
      <c r="C603" s="195">
        <v>1.45</v>
      </c>
      <c r="D603" s="195">
        <v>17.39</v>
      </c>
      <c r="E603" s="195">
        <v>0</v>
      </c>
      <c r="F603" s="195">
        <v>15.24</v>
      </c>
      <c r="H603" s="195" t="str">
        <f t="shared" si="32"/>
        <v>2006</v>
      </c>
      <c r="I603" s="204" t="s">
        <v>710</v>
      </c>
    </row>
    <row r="604" spans="1:9">
      <c r="A604" s="195" t="s">
        <v>36</v>
      </c>
      <c r="B604" s="195">
        <v>128.25</v>
      </c>
      <c r="C604" s="195">
        <v>2.0499999999999998</v>
      </c>
      <c r="D604" s="195">
        <v>29.95</v>
      </c>
      <c r="E604" s="195">
        <v>0</v>
      </c>
      <c r="F604" s="195">
        <v>27.12</v>
      </c>
      <c r="H604" s="195" t="str">
        <f t="shared" si="32"/>
        <v>2006</v>
      </c>
      <c r="I604" s="204" t="s">
        <v>710</v>
      </c>
    </row>
    <row r="605" spans="1:9">
      <c r="A605" s="195" t="s">
        <v>453</v>
      </c>
      <c r="B605" s="195">
        <v>65.67</v>
      </c>
      <c r="C605" s="195">
        <v>1.36</v>
      </c>
      <c r="D605" s="195">
        <v>5.1100000000000003</v>
      </c>
      <c r="E605" s="195">
        <v>0</v>
      </c>
      <c r="F605" s="195">
        <v>62.86</v>
      </c>
      <c r="H605" s="195" t="str">
        <f t="shared" si="32"/>
        <v>2006</v>
      </c>
      <c r="I605" s="204" t="s">
        <v>710</v>
      </c>
    </row>
    <row r="606" spans="1:9">
      <c r="A606" s="195" t="s">
        <v>456</v>
      </c>
      <c r="B606" s="195">
        <v>77.08</v>
      </c>
      <c r="C606" s="195">
        <v>95.17</v>
      </c>
      <c r="D606" s="195">
        <v>136.5</v>
      </c>
      <c r="E606" s="195">
        <v>9.17</v>
      </c>
      <c r="F606" s="195">
        <v>2</v>
      </c>
      <c r="H606" s="195" t="str">
        <f t="shared" si="32"/>
        <v>2006</v>
      </c>
      <c r="I606" s="204" t="s">
        <v>710</v>
      </c>
    </row>
    <row r="607" spans="1:9">
      <c r="A607" s="195" t="s">
        <v>35</v>
      </c>
      <c r="B607" s="195">
        <v>4</v>
      </c>
      <c r="C607" s="195">
        <v>4.5999999999999996</v>
      </c>
      <c r="D607" s="195">
        <v>300.2</v>
      </c>
      <c r="E607" s="195">
        <v>0</v>
      </c>
      <c r="F607" s="195">
        <v>3.33</v>
      </c>
      <c r="H607" s="195" t="str">
        <f t="shared" si="32"/>
        <v>2006</v>
      </c>
      <c r="I607" s="204" t="s">
        <v>710</v>
      </c>
    </row>
    <row r="608" spans="1:9">
      <c r="A608" s="195" t="s">
        <v>31</v>
      </c>
      <c r="B608" s="195">
        <v>46</v>
      </c>
      <c r="C608" s="195">
        <v>7.11</v>
      </c>
      <c r="D608" s="195">
        <v>23</v>
      </c>
      <c r="E608" s="195">
        <v>1.02</v>
      </c>
      <c r="F608" s="195">
        <v>32</v>
      </c>
      <c r="H608" s="195" t="str">
        <f t="shared" si="32"/>
        <v>2006</v>
      </c>
      <c r="I608" s="204" t="s">
        <v>710</v>
      </c>
    </row>
    <row r="609" spans="1:9">
      <c r="A609" s="195" t="s">
        <v>458</v>
      </c>
      <c r="B609" s="195">
        <v>0.63</v>
      </c>
      <c r="C609" s="195">
        <v>0</v>
      </c>
      <c r="D609" s="195">
        <v>0</v>
      </c>
      <c r="E609" s="195">
        <v>0</v>
      </c>
      <c r="F609" s="195">
        <v>0.87</v>
      </c>
      <c r="H609" s="195" t="str">
        <f t="shared" si="32"/>
        <v>2006</v>
      </c>
      <c r="I609" s="204" t="s">
        <v>710</v>
      </c>
    </row>
    <row r="610" spans="1:9">
      <c r="A610" s="195" t="s">
        <v>148</v>
      </c>
      <c r="B610" s="195">
        <v>12</v>
      </c>
      <c r="C610" s="195">
        <v>0</v>
      </c>
      <c r="D610" s="195">
        <v>1</v>
      </c>
      <c r="E610" s="195">
        <v>0</v>
      </c>
      <c r="F610" s="195">
        <v>0</v>
      </c>
      <c r="H610" s="195" t="str">
        <f t="shared" si="32"/>
        <v>2006</v>
      </c>
      <c r="I610" s="204" t="s">
        <v>710</v>
      </c>
    </row>
    <row r="611" spans="1:9">
      <c r="A611" s="195" t="s">
        <v>149</v>
      </c>
      <c r="B611" s="195">
        <v>250.61</v>
      </c>
      <c r="C611" s="195">
        <v>0</v>
      </c>
      <c r="D611" s="195">
        <v>6.51</v>
      </c>
      <c r="E611" s="195">
        <v>0</v>
      </c>
      <c r="F611" s="195">
        <v>6.83</v>
      </c>
      <c r="H611" s="195" t="str">
        <f t="shared" si="32"/>
        <v>2006</v>
      </c>
      <c r="I611" s="204" t="s">
        <v>710</v>
      </c>
    </row>
    <row r="612" spans="1:9">
      <c r="A612" s="195" t="s">
        <v>19</v>
      </c>
      <c r="B612" s="195">
        <v>48</v>
      </c>
      <c r="C612" s="195">
        <v>0</v>
      </c>
      <c r="D612" s="195">
        <v>5.3</v>
      </c>
      <c r="E612" s="195">
        <v>0</v>
      </c>
      <c r="F612" s="195">
        <v>16</v>
      </c>
      <c r="H612" s="195" t="str">
        <f t="shared" si="32"/>
        <v>2006</v>
      </c>
      <c r="I612" s="204" t="s">
        <v>710</v>
      </c>
    </row>
    <row r="613" spans="1:9">
      <c r="A613" s="195" t="s">
        <v>150</v>
      </c>
      <c r="B613" s="195">
        <v>18.89</v>
      </c>
      <c r="C613" s="195">
        <v>0</v>
      </c>
      <c r="D613" s="195">
        <v>142.36000000000001</v>
      </c>
      <c r="E613" s="195">
        <v>0</v>
      </c>
      <c r="F613" s="195">
        <v>28.49</v>
      </c>
      <c r="H613" s="195" t="str">
        <f t="shared" si="32"/>
        <v>2006</v>
      </c>
      <c r="I613" s="204" t="s">
        <v>710</v>
      </c>
    </row>
    <row r="614" spans="1:9">
      <c r="A614" s="195" t="s">
        <v>151</v>
      </c>
      <c r="B614" s="195">
        <v>16.48</v>
      </c>
      <c r="C614" s="195">
        <v>1.41</v>
      </c>
      <c r="D614" s="195">
        <v>371.04</v>
      </c>
      <c r="E614" s="195">
        <v>0.92</v>
      </c>
      <c r="F614" s="195">
        <v>15.52</v>
      </c>
      <c r="H614" s="195" t="str">
        <f t="shared" si="32"/>
        <v>2006</v>
      </c>
      <c r="I614" s="204" t="s">
        <v>710</v>
      </c>
    </row>
    <row r="615" spans="1:9">
      <c r="A615" s="195" t="s">
        <v>152</v>
      </c>
      <c r="B615" s="195">
        <v>99.48</v>
      </c>
      <c r="C615" s="195">
        <v>0.93</v>
      </c>
      <c r="D615" s="195">
        <v>197.33</v>
      </c>
      <c r="E615" s="195">
        <v>0</v>
      </c>
      <c r="F615" s="195">
        <v>55.77</v>
      </c>
      <c r="H615" s="195" t="str">
        <f t="shared" si="32"/>
        <v>2006</v>
      </c>
      <c r="I615" s="204" t="s">
        <v>710</v>
      </c>
    </row>
    <row r="616" spans="1:9">
      <c r="A616" s="195" t="s">
        <v>709</v>
      </c>
    </row>
    <row r="617" spans="1:9">
      <c r="A617" s="195" t="s">
        <v>25</v>
      </c>
      <c r="B617" s="195">
        <v>63</v>
      </c>
      <c r="C617" s="195">
        <v>64.290000000000006</v>
      </c>
      <c r="D617" s="195">
        <v>63.3</v>
      </c>
      <c r="E617" s="195">
        <v>63.1</v>
      </c>
      <c r="F617" s="195">
        <v>36.619999999999997</v>
      </c>
      <c r="H617" s="195" t="str">
        <f>H599</f>
        <v>2006</v>
      </c>
      <c r="I617" s="204" t="s">
        <v>153</v>
      </c>
    </row>
    <row r="618" spans="1:9">
      <c r="A618" s="195" t="s">
        <v>22</v>
      </c>
      <c r="B618" s="195">
        <v>61</v>
      </c>
      <c r="C618" s="195">
        <v>62.29</v>
      </c>
      <c r="D618" s="195">
        <v>61.3</v>
      </c>
      <c r="E618" s="195">
        <v>61.1</v>
      </c>
      <c r="F618" s="195">
        <v>34.619999999999997</v>
      </c>
      <c r="H618" s="195" t="str">
        <f t="shared" ref="H618:H633" si="33">H600</f>
        <v>2006</v>
      </c>
      <c r="I618" s="204" t="s">
        <v>153</v>
      </c>
    </row>
    <row r="619" spans="1:9">
      <c r="A619" s="195" t="s">
        <v>15</v>
      </c>
      <c r="B619" s="195">
        <v>51.87</v>
      </c>
      <c r="C619" s="195">
        <v>53.16</v>
      </c>
      <c r="D619" s="195">
        <v>52.16</v>
      </c>
      <c r="E619" s="195">
        <v>54.61</v>
      </c>
      <c r="F619" s="195">
        <v>51.64</v>
      </c>
      <c r="H619" s="195" t="str">
        <f t="shared" si="33"/>
        <v>2006</v>
      </c>
      <c r="I619" s="204" t="s">
        <v>153</v>
      </c>
    </row>
    <row r="620" spans="1:9">
      <c r="A620" s="195" t="s">
        <v>16</v>
      </c>
      <c r="B620" s="195">
        <v>53.41</v>
      </c>
      <c r="C620" s="195">
        <v>51.48</v>
      </c>
      <c r="D620" s="195">
        <v>51.93</v>
      </c>
      <c r="E620" s="195">
        <v>62.58</v>
      </c>
      <c r="F620" s="195">
        <v>60.25</v>
      </c>
      <c r="H620" s="195" t="str">
        <f t="shared" si="33"/>
        <v>2006</v>
      </c>
      <c r="I620" s="204" t="s">
        <v>153</v>
      </c>
    </row>
    <row r="621" spans="1:9">
      <c r="A621" s="195" t="s">
        <v>37</v>
      </c>
      <c r="B621" s="195">
        <v>37.04</v>
      </c>
      <c r="C621" s="195">
        <v>40</v>
      </c>
      <c r="D621" s="195">
        <v>40</v>
      </c>
      <c r="E621" s="195">
        <v>39.21</v>
      </c>
      <c r="F621" s="195">
        <v>33.229999999999997</v>
      </c>
      <c r="H621" s="195" t="str">
        <f t="shared" si="33"/>
        <v>2006</v>
      </c>
      <c r="I621" s="204" t="s">
        <v>153</v>
      </c>
    </row>
    <row r="622" spans="1:9">
      <c r="A622" s="195" t="s">
        <v>36</v>
      </c>
      <c r="B622" s="195">
        <v>35.5</v>
      </c>
      <c r="C622" s="195">
        <v>38.35</v>
      </c>
      <c r="D622" s="195">
        <v>38.89</v>
      </c>
      <c r="E622" s="195">
        <v>37.89</v>
      </c>
      <c r="F622" s="195">
        <v>33.47</v>
      </c>
      <c r="H622" s="195" t="str">
        <f t="shared" si="33"/>
        <v>2006</v>
      </c>
      <c r="I622" s="204" t="s">
        <v>153</v>
      </c>
    </row>
    <row r="623" spans="1:9">
      <c r="A623" s="195" t="s">
        <v>453</v>
      </c>
      <c r="B623" s="195">
        <v>44.91</v>
      </c>
      <c r="C623" s="195">
        <v>44.61</v>
      </c>
      <c r="D623" s="195">
        <v>44.16</v>
      </c>
      <c r="E623" s="195">
        <v>56.84</v>
      </c>
      <c r="F623" s="195">
        <v>52.48</v>
      </c>
      <c r="H623" s="195" t="str">
        <f t="shared" si="33"/>
        <v>2006</v>
      </c>
      <c r="I623" s="204" t="s">
        <v>153</v>
      </c>
    </row>
    <row r="624" spans="1:9">
      <c r="A624" s="195" t="s">
        <v>456</v>
      </c>
      <c r="B624" s="195">
        <v>29.4</v>
      </c>
      <c r="C624" s="195">
        <v>29.4</v>
      </c>
      <c r="D624" s="195">
        <v>29.4</v>
      </c>
      <c r="E624" s="195">
        <v>29.4</v>
      </c>
      <c r="F624" s="195">
        <v>29.4</v>
      </c>
      <c r="H624" s="195" t="str">
        <f t="shared" si="33"/>
        <v>2006</v>
      </c>
      <c r="I624" s="204" t="s">
        <v>153</v>
      </c>
    </row>
    <row r="625" spans="1:9">
      <c r="A625" s="195" t="s">
        <v>35</v>
      </c>
      <c r="B625" s="195">
        <v>38.24</v>
      </c>
      <c r="C625" s="195">
        <v>37.880000000000003</v>
      </c>
      <c r="D625" s="195">
        <v>37.08</v>
      </c>
      <c r="E625" s="195">
        <v>37.020000000000003</v>
      </c>
      <c r="F625" s="195">
        <v>29.4</v>
      </c>
      <c r="H625" s="195" t="str">
        <f t="shared" si="33"/>
        <v>2006</v>
      </c>
      <c r="I625" s="204" t="s">
        <v>153</v>
      </c>
    </row>
    <row r="626" spans="1:9">
      <c r="A626" s="195" t="s">
        <v>31</v>
      </c>
      <c r="B626" s="195">
        <v>61.15</v>
      </c>
      <c r="C626" s="195">
        <v>61.15</v>
      </c>
      <c r="D626" s="195">
        <v>61.83</v>
      </c>
      <c r="E626" s="195">
        <v>61.32</v>
      </c>
      <c r="F626" s="195">
        <v>61.32</v>
      </c>
      <c r="H626" s="195" t="str">
        <f t="shared" si="33"/>
        <v>2006</v>
      </c>
      <c r="I626" s="204" t="s">
        <v>153</v>
      </c>
    </row>
    <row r="627" spans="1:9">
      <c r="A627" s="195" t="s">
        <v>458</v>
      </c>
      <c r="B627" s="195">
        <v>49.26</v>
      </c>
      <c r="C627" s="195">
        <v>48.42</v>
      </c>
      <c r="D627" s="195">
        <v>47.95</v>
      </c>
      <c r="E627" s="195">
        <v>49.97</v>
      </c>
      <c r="F627" s="195">
        <v>47.51</v>
      </c>
      <c r="H627" s="195" t="str">
        <f t="shared" si="33"/>
        <v>2006</v>
      </c>
      <c r="I627" s="204" t="s">
        <v>153</v>
      </c>
    </row>
    <row r="628" spans="1:9">
      <c r="A628" s="195" t="s">
        <v>148</v>
      </c>
      <c r="B628" s="195">
        <v>61.89</v>
      </c>
      <c r="C628" s="195">
        <v>59.77</v>
      </c>
      <c r="D628" s="195">
        <v>59.35</v>
      </c>
      <c r="E628" s="195">
        <v>62.07</v>
      </c>
      <c r="F628" s="195">
        <v>59.38</v>
      </c>
      <c r="H628" s="195" t="str">
        <f t="shared" si="33"/>
        <v>2006</v>
      </c>
      <c r="I628" s="204" t="s">
        <v>153</v>
      </c>
    </row>
    <row r="629" spans="1:9">
      <c r="A629" s="195" t="s">
        <v>149</v>
      </c>
      <c r="B629" s="195">
        <v>53.83</v>
      </c>
      <c r="C629" s="195">
        <v>53.14</v>
      </c>
      <c r="D629" s="195">
        <v>52.81</v>
      </c>
      <c r="E629" s="195">
        <v>58.15</v>
      </c>
      <c r="F629" s="195">
        <v>56.47</v>
      </c>
      <c r="H629" s="195" t="str">
        <f t="shared" si="33"/>
        <v>2006</v>
      </c>
      <c r="I629" s="204" t="s">
        <v>153</v>
      </c>
    </row>
    <row r="630" spans="1:9">
      <c r="A630" s="195" t="s">
        <v>19</v>
      </c>
      <c r="B630" s="195">
        <v>58.7</v>
      </c>
      <c r="C630" s="195">
        <v>58.94</v>
      </c>
      <c r="D630" s="195">
        <v>57.94</v>
      </c>
      <c r="E630" s="195">
        <v>69.790000000000006</v>
      </c>
      <c r="F630" s="195">
        <v>65.34</v>
      </c>
      <c r="H630" s="195" t="str">
        <f t="shared" si="33"/>
        <v>2006</v>
      </c>
      <c r="I630" s="204" t="s">
        <v>153</v>
      </c>
    </row>
    <row r="631" spans="1:9">
      <c r="A631" s="195" t="s">
        <v>150</v>
      </c>
      <c r="B631" s="195">
        <v>26.68</v>
      </c>
      <c r="C631" s="195">
        <v>26.79</v>
      </c>
      <c r="D631" s="195">
        <v>26.34</v>
      </c>
      <c r="E631" s="195">
        <v>31.72</v>
      </c>
      <c r="F631" s="195">
        <v>29.7</v>
      </c>
      <c r="H631" s="195" t="str">
        <f t="shared" si="33"/>
        <v>2006</v>
      </c>
      <c r="I631" s="204" t="s">
        <v>153</v>
      </c>
    </row>
    <row r="632" spans="1:9">
      <c r="A632" s="195" t="s">
        <v>151</v>
      </c>
      <c r="B632" s="195">
        <v>32.61</v>
      </c>
      <c r="C632" s="195">
        <v>32.74</v>
      </c>
      <c r="D632" s="195">
        <v>32.19</v>
      </c>
      <c r="E632" s="195">
        <v>38.770000000000003</v>
      </c>
      <c r="F632" s="195">
        <v>36.299999999999997</v>
      </c>
      <c r="H632" s="195" t="str">
        <f t="shared" si="33"/>
        <v>2006</v>
      </c>
      <c r="I632" s="204" t="s">
        <v>153</v>
      </c>
    </row>
    <row r="633" spans="1:9">
      <c r="A633" s="195" t="s">
        <v>152</v>
      </c>
      <c r="B633" s="195">
        <v>24.46</v>
      </c>
      <c r="C633" s="195">
        <v>24.56</v>
      </c>
      <c r="D633" s="195">
        <v>24.14</v>
      </c>
      <c r="E633" s="195">
        <v>29.08</v>
      </c>
      <c r="F633" s="195">
        <v>27.23</v>
      </c>
      <c r="H633" s="195" t="str">
        <f t="shared" si="33"/>
        <v>2006</v>
      </c>
      <c r="I633" s="204" t="s">
        <v>153</v>
      </c>
    </row>
    <row r="634" spans="1:9">
      <c r="A634" s="195" t="s">
        <v>170</v>
      </c>
    </row>
    <row r="635" spans="1:9">
      <c r="A635" s="195" t="s">
        <v>708</v>
      </c>
    </row>
    <row r="636" spans="1:9">
      <c r="A636" s="195" t="s">
        <v>25</v>
      </c>
      <c r="B636" s="195">
        <v>0</v>
      </c>
      <c r="C636" s="195">
        <v>0</v>
      </c>
      <c r="D636" s="195">
        <v>0</v>
      </c>
      <c r="E636" s="195">
        <v>0</v>
      </c>
      <c r="F636" s="195">
        <v>0</v>
      </c>
      <c r="H636" s="195" t="str">
        <f>RIGHT(A634,4)</f>
        <v>2007</v>
      </c>
      <c r="I636" s="204" t="s">
        <v>710</v>
      </c>
    </row>
    <row r="637" spans="1:9">
      <c r="A637" s="195" t="s">
        <v>22</v>
      </c>
      <c r="B637" s="195">
        <v>347</v>
      </c>
      <c r="C637" s="195">
        <v>1</v>
      </c>
      <c r="D637" s="195">
        <v>30</v>
      </c>
      <c r="E637" s="195">
        <v>0</v>
      </c>
      <c r="F637" s="195">
        <v>34</v>
      </c>
      <c r="H637" s="195" t="str">
        <f>H636</f>
        <v>2007</v>
      </c>
      <c r="I637" s="204" t="s">
        <v>710</v>
      </c>
    </row>
    <row r="638" spans="1:9">
      <c r="A638" s="195" t="s">
        <v>15</v>
      </c>
      <c r="B638" s="195">
        <v>97</v>
      </c>
      <c r="C638" s="195">
        <v>1</v>
      </c>
      <c r="D638" s="195">
        <v>16</v>
      </c>
      <c r="E638" s="195">
        <v>1</v>
      </c>
      <c r="F638" s="195">
        <v>2</v>
      </c>
      <c r="H638" s="195" t="str">
        <f t="shared" ref="H638:H652" si="34">H637</f>
        <v>2007</v>
      </c>
      <c r="I638" s="204" t="s">
        <v>710</v>
      </c>
    </row>
    <row r="639" spans="1:9">
      <c r="A639" s="195" t="s">
        <v>16</v>
      </c>
      <c r="B639" s="195">
        <v>5</v>
      </c>
      <c r="C639" s="195">
        <v>2</v>
      </c>
      <c r="D639" s="195">
        <v>1</v>
      </c>
      <c r="E639" s="195">
        <v>1</v>
      </c>
      <c r="F639" s="195">
        <v>3</v>
      </c>
      <c r="H639" s="195" t="str">
        <f t="shared" si="34"/>
        <v>2007</v>
      </c>
      <c r="I639" s="204" t="s">
        <v>710</v>
      </c>
    </row>
    <row r="640" spans="1:9">
      <c r="A640" s="195" t="s">
        <v>37</v>
      </c>
      <c r="B640" s="195">
        <v>73</v>
      </c>
      <c r="C640" s="195">
        <v>4</v>
      </c>
      <c r="D640" s="195">
        <v>52</v>
      </c>
      <c r="E640" s="195">
        <v>0</v>
      </c>
      <c r="F640" s="195">
        <v>5</v>
      </c>
      <c r="H640" s="195" t="str">
        <f t="shared" si="34"/>
        <v>2007</v>
      </c>
      <c r="I640" s="204" t="s">
        <v>710</v>
      </c>
    </row>
    <row r="641" spans="1:9">
      <c r="A641" s="195" t="s">
        <v>36</v>
      </c>
      <c r="B641" s="195">
        <v>141</v>
      </c>
      <c r="C641" s="195">
        <v>3</v>
      </c>
      <c r="D641" s="195">
        <v>64</v>
      </c>
      <c r="E641" s="195">
        <v>0</v>
      </c>
      <c r="F641" s="195">
        <v>29</v>
      </c>
      <c r="H641" s="195" t="str">
        <f t="shared" si="34"/>
        <v>2007</v>
      </c>
      <c r="I641" s="204" t="s">
        <v>710</v>
      </c>
    </row>
    <row r="642" spans="1:9">
      <c r="A642" s="195" t="s">
        <v>453</v>
      </c>
      <c r="B642" s="195">
        <v>97</v>
      </c>
      <c r="C642" s="195">
        <v>0</v>
      </c>
      <c r="D642" s="195">
        <v>4</v>
      </c>
      <c r="E642" s="195">
        <v>0</v>
      </c>
      <c r="F642" s="195">
        <v>115</v>
      </c>
      <c r="H642" s="195" t="str">
        <f t="shared" si="34"/>
        <v>2007</v>
      </c>
      <c r="I642" s="204" t="s">
        <v>710</v>
      </c>
    </row>
    <row r="643" spans="1:9">
      <c r="A643" s="195" t="s">
        <v>456</v>
      </c>
      <c r="B643" s="195">
        <v>68</v>
      </c>
      <c r="C643" s="195">
        <v>90</v>
      </c>
      <c r="D643" s="195">
        <v>75</v>
      </c>
      <c r="E643" s="195">
        <v>12</v>
      </c>
      <c r="F643" s="195">
        <v>3</v>
      </c>
      <c r="H643" s="195" t="str">
        <f t="shared" si="34"/>
        <v>2007</v>
      </c>
      <c r="I643" s="204" t="s">
        <v>710</v>
      </c>
    </row>
    <row r="644" spans="1:9">
      <c r="A644" s="195" t="s">
        <v>35</v>
      </c>
      <c r="B644" s="195">
        <v>5</v>
      </c>
      <c r="C644" s="195">
        <v>5</v>
      </c>
      <c r="D644" s="195">
        <v>233</v>
      </c>
      <c r="E644" s="195">
        <v>0</v>
      </c>
      <c r="F644" s="195">
        <v>2</v>
      </c>
      <c r="H644" s="195" t="str">
        <f t="shared" si="34"/>
        <v>2007</v>
      </c>
      <c r="I644" s="204" t="s">
        <v>710</v>
      </c>
    </row>
    <row r="645" spans="1:9">
      <c r="A645" s="195" t="s">
        <v>31</v>
      </c>
      <c r="B645" s="195">
        <v>55</v>
      </c>
      <c r="C645" s="195">
        <v>12</v>
      </c>
      <c r="D645" s="195">
        <v>31</v>
      </c>
      <c r="E645" s="195">
        <v>3</v>
      </c>
      <c r="F645" s="195">
        <v>6</v>
      </c>
      <c r="H645" s="195" t="str">
        <f t="shared" si="34"/>
        <v>2007</v>
      </c>
      <c r="I645" s="204" t="s">
        <v>710</v>
      </c>
    </row>
    <row r="646" spans="1:9">
      <c r="A646" s="195" t="s">
        <v>458</v>
      </c>
      <c r="B646" s="195">
        <v>0.63</v>
      </c>
      <c r="C646" s="195">
        <v>0</v>
      </c>
      <c r="D646" s="195">
        <v>0</v>
      </c>
      <c r="E646" s="195">
        <v>0</v>
      </c>
      <c r="F646" s="195">
        <v>0.87</v>
      </c>
      <c r="H646" s="195" t="str">
        <f t="shared" si="34"/>
        <v>2007</v>
      </c>
      <c r="I646" s="204" t="s">
        <v>710</v>
      </c>
    </row>
    <row r="647" spans="1:9">
      <c r="A647" s="195" t="s">
        <v>148</v>
      </c>
      <c r="B647" s="195">
        <v>12</v>
      </c>
      <c r="C647" s="195">
        <v>0</v>
      </c>
      <c r="D647" s="195">
        <v>1</v>
      </c>
      <c r="E647" s="195">
        <v>0</v>
      </c>
      <c r="F647" s="195">
        <v>0</v>
      </c>
      <c r="H647" s="195" t="str">
        <f t="shared" si="34"/>
        <v>2007</v>
      </c>
      <c r="I647" s="204" t="s">
        <v>710</v>
      </c>
    </row>
    <row r="648" spans="1:9">
      <c r="A648" s="195" t="s">
        <v>149</v>
      </c>
      <c r="B648" s="195">
        <v>261</v>
      </c>
      <c r="C648" s="195">
        <v>0</v>
      </c>
      <c r="D648" s="195">
        <v>1</v>
      </c>
      <c r="E648" s="195">
        <v>0</v>
      </c>
      <c r="F648" s="195">
        <v>7</v>
      </c>
      <c r="H648" s="195" t="str">
        <f t="shared" si="34"/>
        <v>2007</v>
      </c>
      <c r="I648" s="204" t="s">
        <v>710</v>
      </c>
    </row>
    <row r="649" spans="1:9">
      <c r="A649" s="195" t="s">
        <v>19</v>
      </c>
      <c r="B649" s="195">
        <v>129</v>
      </c>
      <c r="C649" s="195">
        <v>3</v>
      </c>
      <c r="D649" s="195">
        <v>8</v>
      </c>
      <c r="E649" s="195">
        <v>5</v>
      </c>
      <c r="F649" s="195">
        <v>29</v>
      </c>
      <c r="H649" s="195" t="str">
        <f t="shared" si="34"/>
        <v>2007</v>
      </c>
      <c r="I649" s="204" t="s">
        <v>710</v>
      </c>
    </row>
    <row r="650" spans="1:9">
      <c r="A650" s="195" t="s">
        <v>150</v>
      </c>
      <c r="B650" s="195">
        <v>43</v>
      </c>
      <c r="C650" s="195">
        <v>0</v>
      </c>
      <c r="D650" s="195">
        <v>160</v>
      </c>
      <c r="E650" s="195">
        <v>0</v>
      </c>
      <c r="F650" s="195">
        <v>2</v>
      </c>
      <c r="H650" s="195" t="str">
        <f t="shared" si="34"/>
        <v>2007</v>
      </c>
      <c r="I650" s="204" t="s">
        <v>710</v>
      </c>
    </row>
    <row r="651" spans="1:9">
      <c r="A651" s="195" t="s">
        <v>151</v>
      </c>
      <c r="B651" s="195">
        <v>24</v>
      </c>
      <c r="C651" s="195">
        <v>0</v>
      </c>
      <c r="D651" s="195">
        <v>65</v>
      </c>
      <c r="E651" s="195">
        <v>0</v>
      </c>
      <c r="F651" s="195">
        <v>7</v>
      </c>
      <c r="H651" s="195" t="str">
        <f t="shared" si="34"/>
        <v>2007</v>
      </c>
      <c r="I651" s="204" t="s">
        <v>710</v>
      </c>
    </row>
    <row r="652" spans="1:9">
      <c r="A652" s="195" t="s">
        <v>152</v>
      </c>
      <c r="B652" s="195">
        <v>100</v>
      </c>
      <c r="C652" s="195">
        <v>1</v>
      </c>
      <c r="D652" s="195">
        <v>253</v>
      </c>
      <c r="E652" s="195">
        <v>0</v>
      </c>
      <c r="F652" s="195">
        <v>61</v>
      </c>
      <c r="H652" s="195" t="str">
        <f t="shared" si="34"/>
        <v>2007</v>
      </c>
      <c r="I652" s="204" t="s">
        <v>710</v>
      </c>
    </row>
    <row r="653" spans="1:9">
      <c r="A653" s="195" t="s">
        <v>709</v>
      </c>
    </row>
    <row r="654" spans="1:9">
      <c r="A654" s="195" t="s">
        <v>25</v>
      </c>
      <c r="B654" s="195">
        <v>63</v>
      </c>
      <c r="C654" s="195">
        <v>64.290000000000006</v>
      </c>
      <c r="D654" s="195">
        <v>63.3</v>
      </c>
      <c r="E654" s="195">
        <v>63.1</v>
      </c>
      <c r="F654" s="195">
        <v>36.619999999999997</v>
      </c>
      <c r="H654" s="195" t="str">
        <f>H636</f>
        <v>2007</v>
      </c>
      <c r="I654" s="204" t="s">
        <v>153</v>
      </c>
    </row>
    <row r="655" spans="1:9">
      <c r="A655" s="195" t="s">
        <v>22</v>
      </c>
      <c r="B655" s="195">
        <v>61</v>
      </c>
      <c r="C655" s="195">
        <v>62.29</v>
      </c>
      <c r="D655" s="195">
        <v>61.3</v>
      </c>
      <c r="E655" s="195">
        <v>61.1</v>
      </c>
      <c r="F655" s="195">
        <v>34.619999999999997</v>
      </c>
      <c r="H655" s="195" t="str">
        <f t="shared" ref="H655:H670" si="35">H637</f>
        <v>2007</v>
      </c>
      <c r="I655" s="204" t="s">
        <v>153</v>
      </c>
    </row>
    <row r="656" spans="1:9">
      <c r="A656" s="195" t="s">
        <v>15</v>
      </c>
      <c r="B656" s="195">
        <v>51.87</v>
      </c>
      <c r="C656" s="195">
        <v>53.16</v>
      </c>
      <c r="D656" s="195">
        <v>52.16</v>
      </c>
      <c r="E656" s="195">
        <v>54.61</v>
      </c>
      <c r="F656" s="195">
        <v>51.64</v>
      </c>
      <c r="H656" s="195" t="str">
        <f t="shared" si="35"/>
        <v>2007</v>
      </c>
      <c r="I656" s="204" t="s">
        <v>153</v>
      </c>
    </row>
    <row r="657" spans="1:9">
      <c r="A657" s="195" t="s">
        <v>16</v>
      </c>
      <c r="B657" s="195">
        <v>53.41</v>
      </c>
      <c r="C657" s="195">
        <v>51.48</v>
      </c>
      <c r="D657" s="195">
        <v>51.93</v>
      </c>
      <c r="E657" s="195">
        <v>62.58</v>
      </c>
      <c r="F657" s="195">
        <v>60.25</v>
      </c>
      <c r="H657" s="195" t="str">
        <f t="shared" si="35"/>
        <v>2007</v>
      </c>
      <c r="I657" s="204" t="s">
        <v>153</v>
      </c>
    </row>
    <row r="658" spans="1:9">
      <c r="A658" s="195" t="s">
        <v>37</v>
      </c>
      <c r="B658" s="195">
        <v>37.04</v>
      </c>
      <c r="C658" s="195">
        <v>40</v>
      </c>
      <c r="D658" s="195">
        <v>40</v>
      </c>
      <c r="E658" s="195">
        <v>39.21</v>
      </c>
      <c r="F658" s="195">
        <v>33.229999999999997</v>
      </c>
      <c r="H658" s="195" t="str">
        <f t="shared" si="35"/>
        <v>2007</v>
      </c>
      <c r="I658" s="204" t="s">
        <v>153</v>
      </c>
    </row>
    <row r="659" spans="1:9">
      <c r="A659" s="195" t="s">
        <v>36</v>
      </c>
      <c r="B659" s="195">
        <v>35.5</v>
      </c>
      <c r="C659" s="195">
        <v>38.35</v>
      </c>
      <c r="D659" s="195">
        <v>38.89</v>
      </c>
      <c r="E659" s="195">
        <v>37.89</v>
      </c>
      <c r="F659" s="195">
        <v>33.47</v>
      </c>
      <c r="H659" s="195" t="str">
        <f t="shared" si="35"/>
        <v>2007</v>
      </c>
      <c r="I659" s="204" t="s">
        <v>153</v>
      </c>
    </row>
    <row r="660" spans="1:9">
      <c r="A660" s="195" t="s">
        <v>453</v>
      </c>
      <c r="B660" s="195">
        <v>44.91</v>
      </c>
      <c r="C660" s="195">
        <v>44.61</v>
      </c>
      <c r="D660" s="195">
        <v>44.16</v>
      </c>
      <c r="E660" s="195">
        <v>56.84</v>
      </c>
      <c r="F660" s="195">
        <v>52.48</v>
      </c>
      <c r="H660" s="195" t="str">
        <f t="shared" si="35"/>
        <v>2007</v>
      </c>
      <c r="I660" s="204" t="s">
        <v>153</v>
      </c>
    </row>
    <row r="661" spans="1:9">
      <c r="A661" s="195" t="s">
        <v>456</v>
      </c>
      <c r="B661" s="195">
        <v>29.4</v>
      </c>
      <c r="C661" s="195">
        <v>29.4</v>
      </c>
      <c r="D661" s="195">
        <v>29.4</v>
      </c>
      <c r="E661" s="195">
        <v>29.4</v>
      </c>
      <c r="F661" s="195">
        <v>29.4</v>
      </c>
      <c r="H661" s="195" t="str">
        <f t="shared" si="35"/>
        <v>2007</v>
      </c>
      <c r="I661" s="204" t="s">
        <v>153</v>
      </c>
    </row>
    <row r="662" spans="1:9">
      <c r="A662" s="195" t="s">
        <v>35</v>
      </c>
      <c r="B662" s="195">
        <v>38.24</v>
      </c>
      <c r="C662" s="195">
        <v>37.880000000000003</v>
      </c>
      <c r="D662" s="195">
        <v>37.08</v>
      </c>
      <c r="E662" s="195">
        <v>37.020000000000003</v>
      </c>
      <c r="F662" s="195">
        <v>29.4</v>
      </c>
      <c r="H662" s="195" t="str">
        <f t="shared" si="35"/>
        <v>2007</v>
      </c>
      <c r="I662" s="204" t="s">
        <v>153</v>
      </c>
    </row>
    <row r="663" spans="1:9">
      <c r="A663" s="195" t="s">
        <v>31</v>
      </c>
      <c r="B663" s="195">
        <v>61.15</v>
      </c>
      <c r="C663" s="195">
        <v>61.15</v>
      </c>
      <c r="D663" s="195">
        <v>61.83</v>
      </c>
      <c r="E663" s="195">
        <v>61.32</v>
      </c>
      <c r="F663" s="195">
        <v>61.32</v>
      </c>
      <c r="H663" s="195" t="str">
        <f t="shared" si="35"/>
        <v>2007</v>
      </c>
      <c r="I663" s="204" t="s">
        <v>153</v>
      </c>
    </row>
    <row r="664" spans="1:9">
      <c r="A664" s="195" t="s">
        <v>458</v>
      </c>
      <c r="B664" s="195">
        <v>49.26</v>
      </c>
      <c r="C664" s="195">
        <v>48.42</v>
      </c>
      <c r="D664" s="195">
        <v>47.95</v>
      </c>
      <c r="E664" s="195">
        <v>49.97</v>
      </c>
      <c r="F664" s="195">
        <v>47.51</v>
      </c>
      <c r="H664" s="195" t="str">
        <f t="shared" si="35"/>
        <v>2007</v>
      </c>
      <c r="I664" s="204" t="s">
        <v>153</v>
      </c>
    </row>
    <row r="665" spans="1:9">
      <c r="A665" s="195" t="s">
        <v>148</v>
      </c>
      <c r="B665" s="195">
        <v>61.89</v>
      </c>
      <c r="C665" s="195">
        <v>59.77</v>
      </c>
      <c r="D665" s="195">
        <v>59.35</v>
      </c>
      <c r="E665" s="195">
        <v>62.07</v>
      </c>
      <c r="F665" s="195">
        <v>59.38</v>
      </c>
      <c r="H665" s="195" t="str">
        <f t="shared" si="35"/>
        <v>2007</v>
      </c>
      <c r="I665" s="204" t="s">
        <v>153</v>
      </c>
    </row>
    <row r="666" spans="1:9">
      <c r="A666" s="195" t="s">
        <v>149</v>
      </c>
      <c r="B666" s="195">
        <v>53.83</v>
      </c>
      <c r="C666" s="195">
        <v>53.14</v>
      </c>
      <c r="D666" s="195">
        <v>52.81</v>
      </c>
      <c r="E666" s="195">
        <v>58.15</v>
      </c>
      <c r="F666" s="195">
        <v>56.47</v>
      </c>
      <c r="H666" s="195" t="str">
        <f t="shared" si="35"/>
        <v>2007</v>
      </c>
      <c r="I666" s="204" t="s">
        <v>153</v>
      </c>
    </row>
    <row r="667" spans="1:9">
      <c r="A667" s="195" t="s">
        <v>19</v>
      </c>
      <c r="B667" s="195">
        <v>58.7</v>
      </c>
      <c r="C667" s="195">
        <v>58.94</v>
      </c>
      <c r="D667" s="195">
        <v>57.94</v>
      </c>
      <c r="E667" s="195">
        <v>69.790000000000006</v>
      </c>
      <c r="F667" s="195">
        <v>65.34</v>
      </c>
      <c r="H667" s="195" t="str">
        <f t="shared" si="35"/>
        <v>2007</v>
      </c>
      <c r="I667" s="204" t="s">
        <v>153</v>
      </c>
    </row>
    <row r="668" spans="1:9">
      <c r="A668" s="195" t="s">
        <v>150</v>
      </c>
      <c r="B668" s="195">
        <v>26.68</v>
      </c>
      <c r="C668" s="195">
        <v>26.79</v>
      </c>
      <c r="D668" s="195">
        <v>26.34</v>
      </c>
      <c r="E668" s="195">
        <v>31.72</v>
      </c>
      <c r="F668" s="195">
        <v>29.7</v>
      </c>
      <c r="H668" s="195" t="str">
        <f t="shared" si="35"/>
        <v>2007</v>
      </c>
      <c r="I668" s="204" t="s">
        <v>153</v>
      </c>
    </row>
    <row r="669" spans="1:9">
      <c r="A669" s="195" t="s">
        <v>151</v>
      </c>
      <c r="B669" s="195">
        <v>32.61</v>
      </c>
      <c r="C669" s="195">
        <v>32.74</v>
      </c>
      <c r="D669" s="195">
        <v>32.19</v>
      </c>
      <c r="E669" s="195">
        <v>38.770000000000003</v>
      </c>
      <c r="F669" s="195">
        <v>36.299999999999997</v>
      </c>
      <c r="H669" s="195" t="str">
        <f t="shared" si="35"/>
        <v>2007</v>
      </c>
      <c r="I669" s="204" t="s">
        <v>153</v>
      </c>
    </row>
    <row r="670" spans="1:9">
      <c r="A670" s="195" t="s">
        <v>152</v>
      </c>
      <c r="B670" s="195">
        <v>24.46</v>
      </c>
      <c r="C670" s="195">
        <v>24.56</v>
      </c>
      <c r="D670" s="195">
        <v>24.14</v>
      </c>
      <c r="E670" s="195">
        <v>29.08</v>
      </c>
      <c r="F670" s="195">
        <v>27.23</v>
      </c>
      <c r="H670" s="195" t="str">
        <f t="shared" si="35"/>
        <v>2007</v>
      </c>
      <c r="I670" s="204" t="s">
        <v>153</v>
      </c>
    </row>
    <row r="671" spans="1:9">
      <c r="A671" s="195" t="s">
        <v>171</v>
      </c>
    </row>
    <row r="672" spans="1:9">
      <c r="A672" s="195" t="s">
        <v>708</v>
      </c>
    </row>
    <row r="673" spans="1:9">
      <c r="A673" s="195" t="s">
        <v>25</v>
      </c>
      <c r="B673" s="195">
        <v>0</v>
      </c>
      <c r="C673" s="195">
        <v>0</v>
      </c>
      <c r="D673" s="195">
        <v>0</v>
      </c>
      <c r="E673" s="195">
        <v>0</v>
      </c>
      <c r="F673" s="195">
        <v>2</v>
      </c>
      <c r="H673" s="195" t="str">
        <f>RIGHT(A671,4)</f>
        <v>2008</v>
      </c>
      <c r="I673" s="204" t="s">
        <v>710</v>
      </c>
    </row>
    <row r="674" spans="1:9">
      <c r="A674" s="195" t="s">
        <v>22</v>
      </c>
      <c r="B674" s="195">
        <v>243</v>
      </c>
      <c r="C674" s="195">
        <v>1</v>
      </c>
      <c r="D674" s="195">
        <v>42</v>
      </c>
      <c r="E674" s="195">
        <v>0</v>
      </c>
      <c r="F674" s="195">
        <v>22</v>
      </c>
      <c r="H674" s="195" t="str">
        <f>H673</f>
        <v>2008</v>
      </c>
      <c r="I674" s="204" t="s">
        <v>710</v>
      </c>
    </row>
    <row r="675" spans="1:9">
      <c r="A675" s="195" t="s">
        <v>15</v>
      </c>
      <c r="B675" s="195">
        <v>60</v>
      </c>
      <c r="C675" s="195">
        <v>0</v>
      </c>
      <c r="D675" s="195">
        <v>12</v>
      </c>
      <c r="E675" s="195">
        <v>0</v>
      </c>
      <c r="F675" s="195">
        <v>4</v>
      </c>
      <c r="H675" s="195" t="str">
        <f t="shared" ref="H675:H689" si="36">H674</f>
        <v>2008</v>
      </c>
      <c r="I675" s="204" t="s">
        <v>710</v>
      </c>
    </row>
    <row r="676" spans="1:9">
      <c r="A676" s="195" t="s">
        <v>16</v>
      </c>
      <c r="B676" s="195">
        <v>13</v>
      </c>
      <c r="C676" s="195">
        <v>2</v>
      </c>
      <c r="D676" s="195">
        <v>1</v>
      </c>
      <c r="E676" s="195">
        <v>0</v>
      </c>
      <c r="F676" s="195">
        <v>0</v>
      </c>
      <c r="H676" s="195" t="str">
        <f t="shared" si="36"/>
        <v>2008</v>
      </c>
      <c r="I676" s="204" t="s">
        <v>710</v>
      </c>
    </row>
    <row r="677" spans="1:9">
      <c r="A677" s="195" t="s">
        <v>37</v>
      </c>
      <c r="B677" s="195">
        <v>48</v>
      </c>
      <c r="C677" s="195">
        <v>2</v>
      </c>
      <c r="D677" s="195">
        <v>25</v>
      </c>
      <c r="E677" s="195">
        <v>0</v>
      </c>
      <c r="F677" s="195">
        <v>4</v>
      </c>
      <c r="H677" s="195" t="str">
        <f t="shared" si="36"/>
        <v>2008</v>
      </c>
      <c r="I677" s="204" t="s">
        <v>710</v>
      </c>
    </row>
    <row r="678" spans="1:9">
      <c r="A678" s="195" t="s">
        <v>36</v>
      </c>
      <c r="B678" s="195">
        <v>152</v>
      </c>
      <c r="C678" s="195">
        <v>3</v>
      </c>
      <c r="D678" s="195">
        <v>85</v>
      </c>
      <c r="E678" s="195">
        <v>0</v>
      </c>
      <c r="F678" s="195">
        <v>30</v>
      </c>
      <c r="H678" s="195" t="str">
        <f t="shared" si="36"/>
        <v>2008</v>
      </c>
      <c r="I678" s="204" t="s">
        <v>710</v>
      </c>
    </row>
    <row r="679" spans="1:9">
      <c r="A679" s="195" t="s">
        <v>453</v>
      </c>
      <c r="B679" s="195">
        <v>74</v>
      </c>
      <c r="C679" s="195">
        <v>0</v>
      </c>
      <c r="D679" s="195">
        <v>1</v>
      </c>
      <c r="E679" s="195">
        <v>0</v>
      </c>
      <c r="F679" s="195">
        <v>28</v>
      </c>
      <c r="H679" s="195" t="str">
        <f t="shared" si="36"/>
        <v>2008</v>
      </c>
      <c r="I679" s="204" t="s">
        <v>710</v>
      </c>
    </row>
    <row r="680" spans="1:9">
      <c r="A680" s="195" t="s">
        <v>456</v>
      </c>
      <c r="B680" s="195">
        <v>73</v>
      </c>
      <c r="C680" s="195">
        <v>98</v>
      </c>
      <c r="D680" s="195">
        <v>62</v>
      </c>
      <c r="E680" s="195">
        <v>16</v>
      </c>
      <c r="F680" s="195">
        <v>4</v>
      </c>
      <c r="H680" s="195" t="str">
        <f t="shared" si="36"/>
        <v>2008</v>
      </c>
      <c r="I680" s="204" t="s">
        <v>710</v>
      </c>
    </row>
    <row r="681" spans="1:9">
      <c r="A681" s="195" t="s">
        <v>35</v>
      </c>
      <c r="B681" s="195">
        <v>9</v>
      </c>
      <c r="C681" s="195">
        <v>4</v>
      </c>
      <c r="D681" s="195">
        <v>201</v>
      </c>
      <c r="E681" s="195">
        <v>0</v>
      </c>
      <c r="F681" s="195">
        <v>2</v>
      </c>
      <c r="H681" s="195" t="str">
        <f t="shared" si="36"/>
        <v>2008</v>
      </c>
      <c r="I681" s="204" t="s">
        <v>710</v>
      </c>
    </row>
    <row r="682" spans="1:9">
      <c r="A682" s="195" t="s">
        <v>31</v>
      </c>
      <c r="B682" s="195">
        <v>34.5</v>
      </c>
      <c r="C682" s="195">
        <v>12.33</v>
      </c>
      <c r="D682" s="195">
        <v>32.33</v>
      </c>
      <c r="E682" s="195">
        <v>2.71</v>
      </c>
      <c r="F682" s="195">
        <v>5.5</v>
      </c>
      <c r="H682" s="195" t="str">
        <f t="shared" si="36"/>
        <v>2008</v>
      </c>
      <c r="I682" s="204" t="s">
        <v>710</v>
      </c>
    </row>
    <row r="683" spans="1:9">
      <c r="A683" s="195" t="s">
        <v>458</v>
      </c>
      <c r="B683" s="195">
        <v>0.53</v>
      </c>
      <c r="C683" s="195">
        <v>0</v>
      </c>
      <c r="D683" s="195">
        <v>0</v>
      </c>
      <c r="E683" s="195">
        <v>0</v>
      </c>
      <c r="F683" s="195">
        <v>0.73</v>
      </c>
      <c r="H683" s="195" t="str">
        <f t="shared" si="36"/>
        <v>2008</v>
      </c>
      <c r="I683" s="204" t="s">
        <v>710</v>
      </c>
    </row>
    <row r="684" spans="1:9">
      <c r="A684" s="195" t="s">
        <v>148</v>
      </c>
      <c r="B684" s="195">
        <v>0</v>
      </c>
      <c r="C684" s="195">
        <v>0</v>
      </c>
      <c r="D684" s="195">
        <v>0</v>
      </c>
      <c r="E684" s="195">
        <v>0</v>
      </c>
      <c r="F684" s="195">
        <v>0</v>
      </c>
      <c r="H684" s="195" t="str">
        <f t="shared" si="36"/>
        <v>2008</v>
      </c>
      <c r="I684" s="204" t="s">
        <v>710</v>
      </c>
    </row>
    <row r="685" spans="1:9">
      <c r="A685" s="195" t="s">
        <v>149</v>
      </c>
      <c r="B685" s="195">
        <v>229</v>
      </c>
      <c r="C685" s="195">
        <v>0</v>
      </c>
      <c r="D685" s="195">
        <v>0</v>
      </c>
      <c r="E685" s="195">
        <v>0</v>
      </c>
      <c r="F685" s="195">
        <v>0</v>
      </c>
      <c r="H685" s="195" t="str">
        <f t="shared" si="36"/>
        <v>2008</v>
      </c>
      <c r="I685" s="204" t="s">
        <v>710</v>
      </c>
    </row>
    <row r="686" spans="1:9">
      <c r="A686" s="195" t="s">
        <v>19</v>
      </c>
      <c r="B686" s="195">
        <v>110</v>
      </c>
      <c r="C686" s="195">
        <v>2</v>
      </c>
      <c r="D686" s="195">
        <v>3</v>
      </c>
      <c r="E686" s="195">
        <v>3</v>
      </c>
      <c r="F686" s="195">
        <v>6</v>
      </c>
      <c r="H686" s="195" t="str">
        <f t="shared" si="36"/>
        <v>2008</v>
      </c>
      <c r="I686" s="204" t="s">
        <v>710</v>
      </c>
    </row>
    <row r="687" spans="1:9">
      <c r="A687" s="195" t="s">
        <v>150</v>
      </c>
      <c r="B687" s="195">
        <v>38</v>
      </c>
      <c r="C687" s="195">
        <v>0</v>
      </c>
      <c r="D687" s="195">
        <v>220</v>
      </c>
      <c r="E687" s="195">
        <v>0</v>
      </c>
      <c r="F687" s="195">
        <v>2</v>
      </c>
      <c r="H687" s="195" t="str">
        <f t="shared" si="36"/>
        <v>2008</v>
      </c>
      <c r="I687" s="204" t="s">
        <v>710</v>
      </c>
    </row>
    <row r="688" spans="1:9">
      <c r="A688" s="195" t="s">
        <v>151</v>
      </c>
      <c r="B688" s="195">
        <v>29</v>
      </c>
      <c r="C688" s="195">
        <v>0</v>
      </c>
      <c r="D688" s="195">
        <v>69</v>
      </c>
      <c r="E688" s="195">
        <v>0</v>
      </c>
      <c r="F688" s="195">
        <v>5</v>
      </c>
      <c r="H688" s="195" t="str">
        <f t="shared" si="36"/>
        <v>2008</v>
      </c>
      <c r="I688" s="204" t="s">
        <v>710</v>
      </c>
    </row>
    <row r="689" spans="1:9">
      <c r="A689" s="195" t="s">
        <v>152</v>
      </c>
      <c r="B689" s="195">
        <v>106</v>
      </c>
      <c r="C689" s="195">
        <v>1</v>
      </c>
      <c r="D689" s="195">
        <v>242</v>
      </c>
      <c r="E689" s="195">
        <v>0</v>
      </c>
      <c r="F689" s="195">
        <v>50</v>
      </c>
      <c r="H689" s="195" t="str">
        <f t="shared" si="36"/>
        <v>2008</v>
      </c>
      <c r="I689" s="204" t="s">
        <v>710</v>
      </c>
    </row>
    <row r="690" spans="1:9">
      <c r="A690" s="195" t="s">
        <v>709</v>
      </c>
    </row>
    <row r="691" spans="1:9">
      <c r="A691" s="195" t="s">
        <v>25</v>
      </c>
      <c r="B691" s="195">
        <v>113.56</v>
      </c>
      <c r="C691" s="195">
        <v>113.5</v>
      </c>
      <c r="D691" s="195">
        <v>113.56</v>
      </c>
      <c r="E691" s="195">
        <v>113.3</v>
      </c>
      <c r="F691" s="195">
        <v>113.5</v>
      </c>
      <c r="H691" s="195" t="str">
        <f>H673</f>
        <v>2008</v>
      </c>
      <c r="I691" s="204" t="s">
        <v>153</v>
      </c>
    </row>
    <row r="692" spans="1:9">
      <c r="A692" s="195" t="s">
        <v>22</v>
      </c>
      <c r="B692" s="195">
        <v>21.42</v>
      </c>
      <c r="C692" s="195">
        <v>52.45</v>
      </c>
      <c r="D692" s="195">
        <v>51.68</v>
      </c>
      <c r="E692" s="195">
        <v>51.49</v>
      </c>
      <c r="F692" s="195">
        <v>28.6</v>
      </c>
      <c r="H692" s="195" t="str">
        <f t="shared" ref="H692:H707" si="37">H674</f>
        <v>2008</v>
      </c>
      <c r="I692" s="204" t="s">
        <v>153</v>
      </c>
    </row>
    <row r="693" spans="1:9">
      <c r="A693" s="195" t="s">
        <v>15</v>
      </c>
      <c r="B693" s="195">
        <v>47.65</v>
      </c>
      <c r="C693" s="195">
        <v>54.31</v>
      </c>
      <c r="D693" s="195">
        <v>53.35</v>
      </c>
      <c r="E693" s="195">
        <v>40.46</v>
      </c>
      <c r="F693" s="195">
        <v>47.27</v>
      </c>
      <c r="H693" s="195" t="str">
        <f t="shared" si="37"/>
        <v>2008</v>
      </c>
      <c r="I693" s="204" t="s">
        <v>153</v>
      </c>
    </row>
    <row r="694" spans="1:9">
      <c r="A694" s="195" t="s">
        <v>16</v>
      </c>
      <c r="B694" s="195">
        <v>48.67</v>
      </c>
      <c r="C694" s="195">
        <v>46.46</v>
      </c>
      <c r="D694" s="195">
        <v>47.27</v>
      </c>
      <c r="E694" s="195">
        <v>49.4</v>
      </c>
      <c r="F694" s="195">
        <v>45.87</v>
      </c>
      <c r="H694" s="195" t="str">
        <f t="shared" si="37"/>
        <v>2008</v>
      </c>
      <c r="I694" s="204" t="s">
        <v>153</v>
      </c>
    </row>
    <row r="695" spans="1:9">
      <c r="A695" s="195" t="s">
        <v>37</v>
      </c>
      <c r="B695" s="195">
        <v>31.53</v>
      </c>
      <c r="C695" s="195">
        <v>30.88</v>
      </c>
      <c r="D695" s="195">
        <v>30.79</v>
      </c>
      <c r="E695" s="195">
        <v>31.46</v>
      </c>
      <c r="F695" s="195">
        <v>27.76</v>
      </c>
      <c r="H695" s="195" t="str">
        <f t="shared" si="37"/>
        <v>2008</v>
      </c>
      <c r="I695" s="204" t="s">
        <v>153</v>
      </c>
    </row>
    <row r="696" spans="1:9">
      <c r="A696" s="195" t="s">
        <v>36</v>
      </c>
      <c r="B696" s="195">
        <v>36.1</v>
      </c>
      <c r="C696" s="195">
        <v>30.83</v>
      </c>
      <c r="D696" s="195">
        <v>31.34</v>
      </c>
      <c r="E696" s="195">
        <v>32.11</v>
      </c>
      <c r="F696" s="195">
        <v>28.95</v>
      </c>
      <c r="H696" s="195" t="str">
        <f t="shared" si="37"/>
        <v>2008</v>
      </c>
      <c r="I696" s="204" t="s">
        <v>153</v>
      </c>
    </row>
    <row r="697" spans="1:9">
      <c r="A697" s="195" t="s">
        <v>453</v>
      </c>
      <c r="B697" s="195">
        <v>34.31</v>
      </c>
      <c r="C697" s="195">
        <v>34.729999999999997</v>
      </c>
      <c r="D697" s="195">
        <v>33.76</v>
      </c>
      <c r="E697" s="195">
        <v>36.46</v>
      </c>
      <c r="F697" s="195">
        <v>35.97</v>
      </c>
      <c r="H697" s="195" t="str">
        <f t="shared" si="37"/>
        <v>2008</v>
      </c>
      <c r="I697" s="204" t="s">
        <v>153</v>
      </c>
    </row>
    <row r="698" spans="1:9">
      <c r="A698" s="195" t="s">
        <v>456</v>
      </c>
      <c r="B698" s="195">
        <v>28.5</v>
      </c>
      <c r="C698" s="195">
        <v>28.5</v>
      </c>
      <c r="D698" s="195">
        <v>28.5</v>
      </c>
      <c r="E698" s="195">
        <v>28.5</v>
      </c>
      <c r="F698" s="195">
        <v>28.5</v>
      </c>
      <c r="H698" s="195" t="str">
        <f t="shared" si="37"/>
        <v>2008</v>
      </c>
      <c r="I698" s="204" t="s">
        <v>153</v>
      </c>
    </row>
    <row r="699" spans="1:9">
      <c r="A699" s="195" t="s">
        <v>35</v>
      </c>
      <c r="B699" s="195">
        <v>18.84</v>
      </c>
      <c r="C699" s="195">
        <v>19.87</v>
      </c>
      <c r="D699" s="195">
        <v>19.93</v>
      </c>
      <c r="E699" s="195">
        <v>19.059999999999999</v>
      </c>
      <c r="F699" s="195">
        <v>28.5</v>
      </c>
      <c r="H699" s="195" t="str">
        <f t="shared" si="37"/>
        <v>2008</v>
      </c>
      <c r="I699" s="204" t="s">
        <v>153</v>
      </c>
    </row>
    <row r="700" spans="1:9">
      <c r="A700" s="195" t="s">
        <v>31</v>
      </c>
      <c r="B700" s="195">
        <v>32.94</v>
      </c>
      <c r="C700" s="195">
        <v>32.94</v>
      </c>
      <c r="D700" s="195">
        <v>33.58</v>
      </c>
      <c r="E700" s="195">
        <v>33.090000000000003</v>
      </c>
      <c r="F700" s="195">
        <v>33.090000000000003</v>
      </c>
      <c r="H700" s="195" t="str">
        <f t="shared" si="37"/>
        <v>2008</v>
      </c>
      <c r="I700" s="204" t="s">
        <v>153</v>
      </c>
    </row>
    <row r="701" spans="1:9">
      <c r="A701" s="195" t="s">
        <v>458</v>
      </c>
      <c r="B701" s="195">
        <v>47.76</v>
      </c>
      <c r="C701" s="195">
        <v>46.94</v>
      </c>
      <c r="D701" s="195">
        <v>46.48</v>
      </c>
      <c r="E701" s="195">
        <v>48.44</v>
      </c>
      <c r="F701" s="195">
        <v>46.06</v>
      </c>
      <c r="H701" s="195" t="str">
        <f t="shared" si="37"/>
        <v>2008</v>
      </c>
      <c r="I701" s="204" t="s">
        <v>153</v>
      </c>
    </row>
    <row r="702" spans="1:9">
      <c r="A702" s="195" t="s">
        <v>148</v>
      </c>
      <c r="B702" s="195">
        <v>59.99</v>
      </c>
      <c r="C702" s="195">
        <v>57.94</v>
      </c>
      <c r="D702" s="195">
        <v>57.53</v>
      </c>
      <c r="E702" s="195">
        <v>60.17</v>
      </c>
      <c r="F702" s="195">
        <v>57.56</v>
      </c>
      <c r="H702" s="195" t="str">
        <f t="shared" si="37"/>
        <v>2008</v>
      </c>
      <c r="I702" s="204" t="s">
        <v>153</v>
      </c>
    </row>
    <row r="703" spans="1:9">
      <c r="A703" s="195" t="s">
        <v>149</v>
      </c>
      <c r="B703" s="195">
        <v>34.409999999999997</v>
      </c>
      <c r="C703" s="195">
        <v>37.18</v>
      </c>
      <c r="D703" s="195">
        <v>37.700000000000003</v>
      </c>
      <c r="E703" s="195">
        <v>36.729999999999997</v>
      </c>
      <c r="F703" s="195">
        <v>32.450000000000003</v>
      </c>
      <c r="H703" s="195" t="str">
        <f t="shared" si="37"/>
        <v>2008</v>
      </c>
      <c r="I703" s="204" t="s">
        <v>153</v>
      </c>
    </row>
    <row r="704" spans="1:9">
      <c r="A704" s="195" t="s">
        <v>19</v>
      </c>
      <c r="B704" s="195">
        <v>50.9</v>
      </c>
      <c r="C704" s="195">
        <v>49.35</v>
      </c>
      <c r="D704" s="195">
        <v>50.16</v>
      </c>
      <c r="E704" s="195">
        <v>52.29</v>
      </c>
      <c r="F704" s="195">
        <v>49.41</v>
      </c>
      <c r="H704" s="195" t="str">
        <f t="shared" si="37"/>
        <v>2008</v>
      </c>
      <c r="I704" s="204" t="s">
        <v>153</v>
      </c>
    </row>
    <row r="705" spans="1:9">
      <c r="A705" s="195" t="s">
        <v>150</v>
      </c>
      <c r="B705" s="195">
        <v>23.13</v>
      </c>
      <c r="C705" s="195">
        <v>22.43</v>
      </c>
      <c r="D705" s="195">
        <v>22.8</v>
      </c>
      <c r="E705" s="195">
        <v>23.77</v>
      </c>
      <c r="F705" s="195">
        <v>22.46</v>
      </c>
      <c r="H705" s="195" t="str">
        <f t="shared" si="37"/>
        <v>2008</v>
      </c>
      <c r="I705" s="204" t="s">
        <v>153</v>
      </c>
    </row>
    <row r="706" spans="1:9">
      <c r="A706" s="195" t="s">
        <v>151</v>
      </c>
      <c r="B706" s="195">
        <v>28.28</v>
      </c>
      <c r="C706" s="195">
        <v>27.42</v>
      </c>
      <c r="D706" s="195">
        <v>27.87</v>
      </c>
      <c r="E706" s="195">
        <v>29.05</v>
      </c>
      <c r="F706" s="195">
        <v>27.45</v>
      </c>
      <c r="H706" s="195" t="str">
        <f t="shared" si="37"/>
        <v>2008</v>
      </c>
      <c r="I706" s="204" t="s">
        <v>153</v>
      </c>
    </row>
    <row r="707" spans="1:9">
      <c r="A707" s="195" t="s">
        <v>152</v>
      </c>
      <c r="B707" s="195">
        <v>21.21</v>
      </c>
      <c r="C707" s="195">
        <v>20.56</v>
      </c>
      <c r="D707" s="195">
        <v>20.9</v>
      </c>
      <c r="E707" s="195">
        <v>21.79</v>
      </c>
      <c r="F707" s="195">
        <v>20.59</v>
      </c>
      <c r="H707" s="195" t="str">
        <f t="shared" si="37"/>
        <v>2008</v>
      </c>
      <c r="I707" s="204" t="s">
        <v>153</v>
      </c>
    </row>
    <row r="708" spans="1:9">
      <c r="A708" s="195" t="s">
        <v>172</v>
      </c>
    </row>
    <row r="709" spans="1:9">
      <c r="A709" s="195" t="s">
        <v>708</v>
      </c>
    </row>
    <row r="710" spans="1:9">
      <c r="A710" s="195" t="s">
        <v>25</v>
      </c>
      <c r="B710" s="195">
        <v>0</v>
      </c>
      <c r="C710" s="195">
        <v>0</v>
      </c>
      <c r="D710" s="195">
        <v>0</v>
      </c>
      <c r="E710" s="195">
        <v>0</v>
      </c>
      <c r="F710" s="195">
        <v>0</v>
      </c>
      <c r="H710" s="195" t="str">
        <f>RIGHT(A708,4)</f>
        <v>2009</v>
      </c>
      <c r="I710" s="204" t="s">
        <v>710</v>
      </c>
    </row>
    <row r="711" spans="1:9">
      <c r="A711" s="195" t="s">
        <v>22</v>
      </c>
      <c r="B711" s="195">
        <v>178.57</v>
      </c>
      <c r="C711" s="195">
        <v>1</v>
      </c>
      <c r="D711" s="195">
        <v>37.14</v>
      </c>
      <c r="E711" s="195">
        <v>0</v>
      </c>
      <c r="F711" s="195">
        <v>21.14</v>
      </c>
      <c r="H711" s="195" t="str">
        <f>H710</f>
        <v>2009</v>
      </c>
      <c r="I711" s="204" t="s">
        <v>710</v>
      </c>
    </row>
    <row r="712" spans="1:9">
      <c r="A712" s="195" t="s">
        <v>15</v>
      </c>
      <c r="B712" s="195">
        <v>72.430000000000007</v>
      </c>
      <c r="C712" s="195">
        <v>0.85</v>
      </c>
      <c r="D712" s="195">
        <v>9.25</v>
      </c>
      <c r="E712" s="195">
        <v>0.85</v>
      </c>
      <c r="F712" s="195">
        <v>4.8099999999999996</v>
      </c>
      <c r="H712" s="195" t="str">
        <f t="shared" ref="H712:H726" si="38">H711</f>
        <v>2009</v>
      </c>
      <c r="I712" s="204" t="s">
        <v>710</v>
      </c>
    </row>
    <row r="713" spans="1:9">
      <c r="A713" s="195" t="s">
        <v>16</v>
      </c>
      <c r="B713" s="195">
        <v>42.43</v>
      </c>
      <c r="C713" s="195">
        <v>2.0299999999999998</v>
      </c>
      <c r="D713" s="195">
        <v>2.36</v>
      </c>
      <c r="E713" s="195">
        <v>2.84</v>
      </c>
      <c r="F713" s="195">
        <v>5.74</v>
      </c>
      <c r="H713" s="195" t="str">
        <f t="shared" si="38"/>
        <v>2009</v>
      </c>
      <c r="I713" s="204" t="s">
        <v>710</v>
      </c>
    </row>
    <row r="714" spans="1:9">
      <c r="A714" s="195" t="s">
        <v>37</v>
      </c>
      <c r="B714" s="195">
        <v>47</v>
      </c>
      <c r="C714" s="195">
        <v>1.7</v>
      </c>
      <c r="D714" s="195">
        <v>32.26</v>
      </c>
      <c r="E714" s="195">
        <v>0</v>
      </c>
      <c r="F714" s="195">
        <v>8</v>
      </c>
      <c r="H714" s="195" t="str">
        <f t="shared" si="38"/>
        <v>2009</v>
      </c>
      <c r="I714" s="204" t="s">
        <v>710</v>
      </c>
    </row>
    <row r="715" spans="1:9">
      <c r="A715" s="195" t="s">
        <v>36</v>
      </c>
      <c r="B715" s="195">
        <v>158.86000000000001</v>
      </c>
      <c r="C715" s="195">
        <v>1.85</v>
      </c>
      <c r="D715" s="195">
        <v>24.41</v>
      </c>
      <c r="E715" s="195">
        <v>0</v>
      </c>
      <c r="F715" s="195">
        <v>31.71</v>
      </c>
      <c r="H715" s="195" t="str">
        <f t="shared" si="38"/>
        <v>2009</v>
      </c>
      <c r="I715" s="204" t="s">
        <v>710</v>
      </c>
    </row>
    <row r="716" spans="1:9">
      <c r="A716" s="195" t="s">
        <v>453</v>
      </c>
      <c r="B716" s="195">
        <v>55.57</v>
      </c>
      <c r="C716" s="195">
        <v>0</v>
      </c>
      <c r="D716" s="195">
        <v>4.9400000000000004</v>
      </c>
      <c r="E716" s="195">
        <v>0</v>
      </c>
      <c r="F716" s="195">
        <v>16.829999999999998</v>
      </c>
      <c r="H716" s="195" t="str">
        <f t="shared" si="38"/>
        <v>2009</v>
      </c>
      <c r="I716" s="204" t="s">
        <v>710</v>
      </c>
    </row>
    <row r="717" spans="1:9">
      <c r="A717" s="195" t="s">
        <v>456</v>
      </c>
      <c r="B717" s="195">
        <v>68.569999999999993</v>
      </c>
      <c r="C717" s="195">
        <v>77.86</v>
      </c>
      <c r="D717" s="195">
        <v>11.6</v>
      </c>
      <c r="E717" s="195">
        <v>10</v>
      </c>
      <c r="F717" s="195">
        <v>4.1399999999999997</v>
      </c>
      <c r="H717" s="195" t="str">
        <f t="shared" si="38"/>
        <v>2009</v>
      </c>
      <c r="I717" s="204" t="s">
        <v>710</v>
      </c>
    </row>
    <row r="718" spans="1:9">
      <c r="A718" s="195" t="s">
        <v>35</v>
      </c>
      <c r="B718" s="195">
        <v>6.57</v>
      </c>
      <c r="C718" s="195">
        <v>4.1399999999999997</v>
      </c>
      <c r="D718" s="195">
        <v>133.29</v>
      </c>
      <c r="E718" s="195">
        <v>0</v>
      </c>
      <c r="F718" s="195">
        <v>1.5</v>
      </c>
      <c r="H718" s="195" t="str">
        <f t="shared" si="38"/>
        <v>2009</v>
      </c>
      <c r="I718" s="204" t="s">
        <v>710</v>
      </c>
    </row>
    <row r="719" spans="1:9">
      <c r="A719" s="195" t="s">
        <v>31</v>
      </c>
      <c r="B719" s="195">
        <v>38.56</v>
      </c>
      <c r="C719" s="195">
        <v>5.96</v>
      </c>
      <c r="D719" s="195">
        <v>19.28</v>
      </c>
      <c r="E719" s="195">
        <v>0.85</v>
      </c>
      <c r="F719" s="195">
        <v>26.82</v>
      </c>
      <c r="H719" s="195" t="str">
        <f t="shared" si="38"/>
        <v>2009</v>
      </c>
      <c r="I719" s="204" t="s">
        <v>710</v>
      </c>
    </row>
    <row r="720" spans="1:9">
      <c r="A720" s="195" t="s">
        <v>458</v>
      </c>
      <c r="B720" s="195">
        <v>0.54</v>
      </c>
      <c r="C720" s="195">
        <v>0</v>
      </c>
      <c r="D720" s="195">
        <v>0</v>
      </c>
      <c r="E720" s="195">
        <v>0</v>
      </c>
      <c r="F720" s="195">
        <v>0.75</v>
      </c>
      <c r="H720" s="195" t="str">
        <f t="shared" si="38"/>
        <v>2009</v>
      </c>
      <c r="I720" s="204" t="s">
        <v>710</v>
      </c>
    </row>
    <row r="721" spans="1:9">
      <c r="A721" s="195" t="s">
        <v>148</v>
      </c>
      <c r="B721" s="195">
        <v>0</v>
      </c>
      <c r="C721" s="195">
        <v>0.86</v>
      </c>
      <c r="D721" s="195">
        <v>5.14</v>
      </c>
      <c r="E721" s="195">
        <v>0.86</v>
      </c>
      <c r="F721" s="195">
        <v>22.96</v>
      </c>
      <c r="H721" s="195" t="str">
        <f t="shared" si="38"/>
        <v>2009</v>
      </c>
      <c r="I721" s="204" t="s">
        <v>710</v>
      </c>
    </row>
    <row r="722" spans="1:9">
      <c r="A722" s="195" t="s">
        <v>149</v>
      </c>
      <c r="B722" s="195">
        <v>215.86</v>
      </c>
      <c r="C722" s="195">
        <v>0.89</v>
      </c>
      <c r="D722" s="195">
        <v>0</v>
      </c>
      <c r="E722" s="195">
        <v>0.89</v>
      </c>
      <c r="F722" s="195">
        <v>42.85</v>
      </c>
      <c r="H722" s="195" t="str">
        <f t="shared" si="38"/>
        <v>2009</v>
      </c>
      <c r="I722" s="204" t="s">
        <v>710</v>
      </c>
    </row>
    <row r="723" spans="1:9">
      <c r="A723" s="195" t="s">
        <v>19</v>
      </c>
      <c r="B723" s="195">
        <v>110.57</v>
      </c>
      <c r="C723" s="195">
        <v>0</v>
      </c>
      <c r="D723" s="195">
        <v>2.63</v>
      </c>
      <c r="E723" s="195">
        <v>0</v>
      </c>
      <c r="F723" s="195">
        <v>13.99</v>
      </c>
      <c r="H723" s="195" t="str">
        <f t="shared" si="38"/>
        <v>2009</v>
      </c>
      <c r="I723" s="204" t="s">
        <v>710</v>
      </c>
    </row>
    <row r="724" spans="1:9">
      <c r="A724" s="195" t="s">
        <v>150</v>
      </c>
      <c r="B724" s="195">
        <v>15.8</v>
      </c>
      <c r="C724" s="195">
        <v>0</v>
      </c>
      <c r="D724" s="195">
        <v>225.86</v>
      </c>
      <c r="E724" s="195">
        <v>0</v>
      </c>
      <c r="F724" s="195">
        <v>2</v>
      </c>
      <c r="H724" s="195" t="str">
        <f t="shared" si="38"/>
        <v>2009</v>
      </c>
      <c r="I724" s="204" t="s">
        <v>710</v>
      </c>
    </row>
    <row r="725" spans="1:9">
      <c r="A725" s="195" t="s">
        <v>151</v>
      </c>
      <c r="B725" s="195">
        <v>13.79</v>
      </c>
      <c r="C725" s="195">
        <v>1.18</v>
      </c>
      <c r="D725" s="195">
        <v>59.14</v>
      </c>
      <c r="E725" s="195">
        <v>0.77</v>
      </c>
      <c r="F725" s="195">
        <v>10.5</v>
      </c>
      <c r="H725" s="195" t="str">
        <f t="shared" si="38"/>
        <v>2009</v>
      </c>
      <c r="I725" s="204" t="s">
        <v>710</v>
      </c>
    </row>
    <row r="726" spans="1:9">
      <c r="A726" s="195" t="s">
        <v>152</v>
      </c>
      <c r="B726" s="195">
        <v>83.22</v>
      </c>
      <c r="C726" s="195">
        <v>0.78</v>
      </c>
      <c r="D726" s="195">
        <v>234</v>
      </c>
      <c r="E726" s="195">
        <v>0</v>
      </c>
      <c r="F726" s="195">
        <v>45.43</v>
      </c>
      <c r="H726" s="195" t="str">
        <f t="shared" si="38"/>
        <v>2009</v>
      </c>
      <c r="I726" s="204" t="s">
        <v>710</v>
      </c>
    </row>
    <row r="727" spans="1:9">
      <c r="A727" s="195" t="s">
        <v>709</v>
      </c>
    </row>
    <row r="728" spans="1:9">
      <c r="A728" s="195" t="s">
        <v>25</v>
      </c>
      <c r="B728" s="195">
        <v>113.56</v>
      </c>
      <c r="C728" s="195">
        <v>113.5</v>
      </c>
      <c r="D728" s="195">
        <v>113.56</v>
      </c>
      <c r="E728" s="195">
        <v>113.3</v>
      </c>
      <c r="F728" s="195">
        <v>113.5</v>
      </c>
      <c r="H728" s="195" t="str">
        <f>H710</f>
        <v>2009</v>
      </c>
      <c r="I728" s="204" t="s">
        <v>153</v>
      </c>
    </row>
    <row r="729" spans="1:9">
      <c r="A729" s="195" t="s">
        <v>22</v>
      </c>
      <c r="B729" s="195">
        <v>50.1</v>
      </c>
      <c r="C729" s="195">
        <v>50.89</v>
      </c>
      <c r="D729" s="195">
        <v>50.33</v>
      </c>
      <c r="E729" s="195">
        <v>51.26</v>
      </c>
      <c r="F729" s="195">
        <v>30.07</v>
      </c>
      <c r="H729" s="195" t="str">
        <f t="shared" ref="H729:H744" si="39">H711</f>
        <v>2009</v>
      </c>
      <c r="I729" s="204" t="s">
        <v>153</v>
      </c>
    </row>
    <row r="730" spans="1:9">
      <c r="A730" s="195" t="s">
        <v>15</v>
      </c>
      <c r="B730" s="195">
        <v>45.6</v>
      </c>
      <c r="C730" s="195">
        <v>50.83</v>
      </c>
      <c r="D730" s="195">
        <v>49.86</v>
      </c>
      <c r="E730" s="195">
        <v>39.17</v>
      </c>
      <c r="F730" s="195">
        <v>44.8</v>
      </c>
      <c r="H730" s="195" t="str">
        <f t="shared" si="39"/>
        <v>2009</v>
      </c>
      <c r="I730" s="204" t="s">
        <v>153</v>
      </c>
    </row>
    <row r="731" spans="1:9">
      <c r="A731" s="195" t="s">
        <v>16</v>
      </c>
      <c r="B731" s="195">
        <v>46.81</v>
      </c>
      <c r="C731" s="195">
        <v>44.98</v>
      </c>
      <c r="D731" s="195">
        <v>45.46</v>
      </c>
      <c r="E731" s="195">
        <v>46.69</v>
      </c>
      <c r="F731" s="195">
        <v>43.7</v>
      </c>
      <c r="H731" s="195" t="str">
        <f t="shared" si="39"/>
        <v>2009</v>
      </c>
      <c r="I731" s="204" t="s">
        <v>153</v>
      </c>
    </row>
    <row r="732" spans="1:9">
      <c r="A732" s="195" t="s">
        <v>37</v>
      </c>
      <c r="B732" s="195">
        <v>32.909999999999997</v>
      </c>
      <c r="C732" s="195">
        <v>31.91</v>
      </c>
      <c r="D732" s="195">
        <v>32.200000000000003</v>
      </c>
      <c r="E732" s="195">
        <v>32.33</v>
      </c>
      <c r="F732" s="195">
        <v>29.24</v>
      </c>
      <c r="H732" s="195" t="str">
        <f t="shared" si="39"/>
        <v>2009</v>
      </c>
      <c r="I732" s="204" t="s">
        <v>153</v>
      </c>
    </row>
    <row r="733" spans="1:9">
      <c r="A733" s="195" t="s">
        <v>36</v>
      </c>
      <c r="B733" s="195">
        <v>33.25</v>
      </c>
      <c r="C733" s="195">
        <v>31.01</v>
      </c>
      <c r="D733" s="195">
        <v>31.5</v>
      </c>
      <c r="E733" s="195">
        <v>31.46</v>
      </c>
      <c r="F733" s="195">
        <v>29.47</v>
      </c>
      <c r="H733" s="195" t="str">
        <f t="shared" si="39"/>
        <v>2009</v>
      </c>
      <c r="I733" s="204" t="s">
        <v>153</v>
      </c>
    </row>
    <row r="734" spans="1:9">
      <c r="A734" s="195" t="s">
        <v>453</v>
      </c>
      <c r="B734" s="195">
        <v>34.869999999999997</v>
      </c>
      <c r="C734" s="195">
        <v>35.72</v>
      </c>
      <c r="D734" s="195">
        <v>34.75</v>
      </c>
      <c r="E734" s="195">
        <v>35.979999999999997</v>
      </c>
      <c r="F734" s="195">
        <v>35.61</v>
      </c>
      <c r="H734" s="195" t="str">
        <f t="shared" si="39"/>
        <v>2009</v>
      </c>
      <c r="I734" s="204" t="s">
        <v>153</v>
      </c>
    </row>
    <row r="735" spans="1:9">
      <c r="A735" s="195" t="s">
        <v>456</v>
      </c>
      <c r="B735" s="195">
        <v>28.5</v>
      </c>
      <c r="C735" s="195">
        <v>28.5</v>
      </c>
      <c r="D735" s="195">
        <v>28.5</v>
      </c>
      <c r="E735" s="195">
        <v>28.5</v>
      </c>
      <c r="F735" s="195">
        <v>28.5</v>
      </c>
      <c r="H735" s="195" t="str">
        <f t="shared" si="39"/>
        <v>2009</v>
      </c>
      <c r="I735" s="204" t="s">
        <v>153</v>
      </c>
    </row>
    <row r="736" spans="1:9">
      <c r="A736" s="195" t="s">
        <v>35</v>
      </c>
      <c r="B736" s="195">
        <v>22.69</v>
      </c>
      <c r="C736" s="195">
        <v>25.74</v>
      </c>
      <c r="D736" s="195">
        <v>25.79</v>
      </c>
      <c r="E736" s="195">
        <v>24.95</v>
      </c>
      <c r="F736" s="195">
        <v>28.5</v>
      </c>
      <c r="H736" s="195" t="str">
        <f t="shared" si="39"/>
        <v>2009</v>
      </c>
      <c r="I736" s="204" t="s">
        <v>153</v>
      </c>
    </row>
    <row r="737" spans="1:9">
      <c r="A737" s="195" t="s">
        <v>31</v>
      </c>
      <c r="B737" s="195">
        <v>42.04</v>
      </c>
      <c r="C737" s="195">
        <v>42.04</v>
      </c>
      <c r="D737" s="195">
        <v>42.66</v>
      </c>
      <c r="E737" s="195">
        <v>42.17</v>
      </c>
      <c r="F737" s="195">
        <v>42.17</v>
      </c>
      <c r="H737" s="195" t="str">
        <f t="shared" si="39"/>
        <v>2009</v>
      </c>
      <c r="I737" s="204" t="s">
        <v>153</v>
      </c>
    </row>
    <row r="738" spans="1:9">
      <c r="A738" s="195" t="s">
        <v>458</v>
      </c>
      <c r="B738" s="195">
        <v>47.76</v>
      </c>
      <c r="C738" s="195">
        <v>46.94</v>
      </c>
      <c r="D738" s="195">
        <v>46.48</v>
      </c>
      <c r="E738" s="195">
        <v>48.44</v>
      </c>
      <c r="F738" s="195">
        <v>46.06</v>
      </c>
      <c r="H738" s="195" t="str">
        <f t="shared" si="39"/>
        <v>2009</v>
      </c>
      <c r="I738" s="204" t="s">
        <v>153</v>
      </c>
    </row>
    <row r="739" spans="1:9">
      <c r="A739" s="195" t="s">
        <v>148</v>
      </c>
      <c r="B739" s="195">
        <v>59.99</v>
      </c>
      <c r="C739" s="195">
        <v>57.94</v>
      </c>
      <c r="D739" s="195">
        <v>57.53</v>
      </c>
      <c r="E739" s="195">
        <v>60.17</v>
      </c>
      <c r="F739" s="195">
        <v>57.56</v>
      </c>
      <c r="H739" s="195" t="str">
        <f t="shared" si="39"/>
        <v>2009</v>
      </c>
      <c r="I739" s="204" t="s">
        <v>153</v>
      </c>
    </row>
    <row r="740" spans="1:9">
      <c r="A740" s="195" t="s">
        <v>149</v>
      </c>
      <c r="B740" s="195">
        <v>34.409999999999997</v>
      </c>
      <c r="C740" s="195">
        <v>37.18</v>
      </c>
      <c r="D740" s="195">
        <v>37.700000000000003</v>
      </c>
      <c r="E740" s="195">
        <v>36.729999999999997</v>
      </c>
      <c r="F740" s="195">
        <v>32.450000000000003</v>
      </c>
      <c r="H740" s="195" t="str">
        <f t="shared" si="39"/>
        <v>2009</v>
      </c>
      <c r="I740" s="204" t="s">
        <v>153</v>
      </c>
    </row>
    <row r="741" spans="1:9">
      <c r="A741" s="195" t="s">
        <v>19</v>
      </c>
      <c r="B741" s="195">
        <v>48.88</v>
      </c>
      <c r="C741" s="195">
        <v>47.67</v>
      </c>
      <c r="D741" s="195">
        <v>48.15</v>
      </c>
      <c r="E741" s="195">
        <v>49.38</v>
      </c>
      <c r="F741" s="195">
        <v>46.61</v>
      </c>
      <c r="H741" s="195" t="str">
        <f t="shared" si="39"/>
        <v>2009</v>
      </c>
      <c r="I741" s="204" t="s">
        <v>153</v>
      </c>
    </row>
    <row r="742" spans="1:9">
      <c r="A742" s="195" t="s">
        <v>150</v>
      </c>
      <c r="B742" s="195">
        <v>22.22</v>
      </c>
      <c r="C742" s="195">
        <v>21.67</v>
      </c>
      <c r="D742" s="195">
        <v>21.88</v>
      </c>
      <c r="E742" s="195">
        <v>22.44</v>
      </c>
      <c r="F742" s="195">
        <v>21.19</v>
      </c>
      <c r="H742" s="195" t="str">
        <f t="shared" si="39"/>
        <v>2009</v>
      </c>
      <c r="I742" s="204" t="s">
        <v>153</v>
      </c>
    </row>
    <row r="743" spans="1:9">
      <c r="A743" s="195" t="s">
        <v>151</v>
      </c>
      <c r="B743" s="195">
        <v>27.16</v>
      </c>
      <c r="C743" s="195">
        <v>26.48</v>
      </c>
      <c r="D743" s="195">
        <v>26.75</v>
      </c>
      <c r="E743" s="195">
        <v>27.43</v>
      </c>
      <c r="F743" s="195">
        <v>25.9</v>
      </c>
      <c r="H743" s="195" t="str">
        <f t="shared" si="39"/>
        <v>2009</v>
      </c>
      <c r="I743" s="204" t="s">
        <v>153</v>
      </c>
    </row>
    <row r="744" spans="1:9">
      <c r="A744" s="195" t="s">
        <v>152</v>
      </c>
      <c r="B744" s="195">
        <v>20.37</v>
      </c>
      <c r="C744" s="195">
        <v>19.86</v>
      </c>
      <c r="D744" s="195">
        <v>20.059999999999999</v>
      </c>
      <c r="E744" s="195">
        <v>20.57</v>
      </c>
      <c r="F744" s="195">
        <v>19.420000000000002</v>
      </c>
      <c r="H744" s="195" t="str">
        <f t="shared" si="39"/>
        <v>2009</v>
      </c>
      <c r="I744" s="204" t="s">
        <v>153</v>
      </c>
    </row>
    <row r="745" spans="1:9">
      <c r="A745" s="195" t="s">
        <v>173</v>
      </c>
    </row>
    <row r="746" spans="1:9">
      <c r="A746" s="195" t="s">
        <v>708</v>
      </c>
    </row>
    <row r="747" spans="1:9">
      <c r="A747" s="195" t="s">
        <v>25</v>
      </c>
      <c r="B747" s="195">
        <v>0</v>
      </c>
      <c r="C747" s="195">
        <v>0</v>
      </c>
      <c r="D747" s="195">
        <v>0</v>
      </c>
      <c r="E747" s="195">
        <v>0</v>
      </c>
      <c r="F747" s="195">
        <v>0</v>
      </c>
      <c r="H747" s="195" t="str">
        <f>RIGHT(A745,4)</f>
        <v>2010</v>
      </c>
      <c r="I747" s="204" t="s">
        <v>710</v>
      </c>
    </row>
    <row r="748" spans="1:9">
      <c r="A748" s="195" t="s">
        <v>22</v>
      </c>
      <c r="B748" s="195">
        <v>300.14999999999998</v>
      </c>
      <c r="C748" s="195">
        <v>1.01</v>
      </c>
      <c r="D748" s="195">
        <v>28.56</v>
      </c>
      <c r="E748" s="195">
        <v>0</v>
      </c>
      <c r="F748" s="195">
        <v>19.77</v>
      </c>
      <c r="H748" s="195" t="str">
        <f>H747</f>
        <v>2010</v>
      </c>
      <c r="I748" s="204" t="s">
        <v>710</v>
      </c>
    </row>
    <row r="749" spans="1:9">
      <c r="A749" s="195" t="s">
        <v>15</v>
      </c>
      <c r="B749" s="195">
        <v>200.4</v>
      </c>
      <c r="C749" s="195">
        <v>0.87</v>
      </c>
      <c r="D749" s="195">
        <v>8.23</v>
      </c>
      <c r="E749" s="195">
        <v>0.87</v>
      </c>
      <c r="F749" s="195">
        <v>4.91</v>
      </c>
      <c r="H749" s="195" t="str">
        <f t="shared" ref="H749:H763" si="40">H748</f>
        <v>2010</v>
      </c>
      <c r="I749" s="204" t="s">
        <v>710</v>
      </c>
    </row>
    <row r="750" spans="1:9">
      <c r="A750" s="195" t="s">
        <v>16</v>
      </c>
      <c r="B750" s="195">
        <v>20.2</v>
      </c>
      <c r="C750" s="195">
        <v>1.52</v>
      </c>
      <c r="D750" s="195">
        <v>1.77</v>
      </c>
      <c r="E750" s="195">
        <v>2.13</v>
      </c>
      <c r="F750" s="195">
        <v>4.3</v>
      </c>
      <c r="H750" s="195" t="str">
        <f t="shared" si="40"/>
        <v>2010</v>
      </c>
      <c r="I750" s="204" t="s">
        <v>710</v>
      </c>
    </row>
    <row r="751" spans="1:9">
      <c r="A751" s="195" t="s">
        <v>37</v>
      </c>
      <c r="B751" s="195">
        <v>159.16</v>
      </c>
      <c r="C751" s="195">
        <v>1.73</v>
      </c>
      <c r="D751" s="195">
        <v>32.909999999999997</v>
      </c>
      <c r="E751" s="195">
        <v>0</v>
      </c>
      <c r="F751" s="195">
        <v>8.66</v>
      </c>
      <c r="H751" s="195" t="str">
        <f t="shared" si="40"/>
        <v>2010</v>
      </c>
      <c r="I751" s="204" t="s">
        <v>710</v>
      </c>
    </row>
    <row r="752" spans="1:9">
      <c r="A752" s="195" t="s">
        <v>36</v>
      </c>
      <c r="B752" s="195">
        <v>135.79</v>
      </c>
      <c r="C752" s="195">
        <v>1.84</v>
      </c>
      <c r="D752" s="195">
        <v>24.16</v>
      </c>
      <c r="E752" s="195">
        <v>0</v>
      </c>
      <c r="F752" s="195">
        <v>28.14</v>
      </c>
      <c r="H752" s="195" t="str">
        <f t="shared" si="40"/>
        <v>2010</v>
      </c>
      <c r="I752" s="204" t="s">
        <v>710</v>
      </c>
    </row>
    <row r="753" spans="1:9">
      <c r="A753" s="195" t="s">
        <v>453</v>
      </c>
      <c r="B753" s="195">
        <v>99.81</v>
      </c>
      <c r="C753" s="195">
        <v>0</v>
      </c>
      <c r="D753" s="195">
        <v>5.04</v>
      </c>
      <c r="E753" s="195">
        <v>0</v>
      </c>
      <c r="F753" s="195">
        <v>55.38</v>
      </c>
      <c r="H753" s="195" t="str">
        <f t="shared" si="40"/>
        <v>2010</v>
      </c>
      <c r="I753" s="204" t="s">
        <v>710</v>
      </c>
    </row>
    <row r="754" spans="1:9">
      <c r="A754" s="195" t="s">
        <v>456</v>
      </c>
      <c r="B754" s="195">
        <v>75.680000000000007</v>
      </c>
      <c r="C754" s="195">
        <v>86.77</v>
      </c>
      <c r="D754" s="195">
        <v>152.81</v>
      </c>
      <c r="E754" s="195">
        <v>9.18</v>
      </c>
      <c r="F754" s="195">
        <v>1.73</v>
      </c>
      <c r="H754" s="195" t="str">
        <f t="shared" si="40"/>
        <v>2010</v>
      </c>
      <c r="I754" s="204" t="s">
        <v>710</v>
      </c>
    </row>
    <row r="755" spans="1:9">
      <c r="A755" s="195" t="s">
        <v>35</v>
      </c>
      <c r="B755" s="195">
        <v>3.46</v>
      </c>
      <c r="C755" s="195">
        <v>3.98</v>
      </c>
      <c r="D755" s="195">
        <v>254.69</v>
      </c>
      <c r="E755" s="195">
        <v>0</v>
      </c>
      <c r="F755" s="195">
        <v>2.89</v>
      </c>
      <c r="H755" s="195" t="str">
        <f t="shared" si="40"/>
        <v>2010</v>
      </c>
      <c r="I755" s="204" t="s">
        <v>710</v>
      </c>
    </row>
    <row r="756" spans="1:9">
      <c r="A756" s="195" t="s">
        <v>31</v>
      </c>
      <c r="B756" s="195">
        <v>39.17</v>
      </c>
      <c r="C756" s="195">
        <v>6.05</v>
      </c>
      <c r="D756" s="195">
        <v>19.59</v>
      </c>
      <c r="E756" s="195">
        <v>0.86</v>
      </c>
      <c r="F756" s="195">
        <v>27.25</v>
      </c>
      <c r="H756" s="195" t="str">
        <f t="shared" si="40"/>
        <v>2010</v>
      </c>
      <c r="I756" s="204" t="s">
        <v>710</v>
      </c>
    </row>
    <row r="757" spans="1:9">
      <c r="A757" s="195" t="s">
        <v>458</v>
      </c>
      <c r="B757" s="195">
        <v>0.56000000000000005</v>
      </c>
      <c r="C757" s="195">
        <v>0</v>
      </c>
      <c r="D757" s="195">
        <v>0</v>
      </c>
      <c r="E757" s="195">
        <v>0</v>
      </c>
      <c r="F757" s="195">
        <v>0.77</v>
      </c>
      <c r="H757" s="195" t="str">
        <f t="shared" si="40"/>
        <v>2010</v>
      </c>
      <c r="I757" s="204" t="s">
        <v>710</v>
      </c>
    </row>
    <row r="758" spans="1:9">
      <c r="A758" s="195" t="s">
        <v>148</v>
      </c>
      <c r="B758" s="195">
        <v>273.04000000000002</v>
      </c>
      <c r="C758" s="195">
        <v>0.87</v>
      </c>
      <c r="D758" s="195">
        <v>5.24</v>
      </c>
      <c r="E758" s="195">
        <v>0.87</v>
      </c>
      <c r="F758" s="195">
        <v>23.42</v>
      </c>
      <c r="H758" s="195" t="str">
        <f t="shared" si="40"/>
        <v>2010</v>
      </c>
      <c r="I758" s="204" t="s">
        <v>710</v>
      </c>
    </row>
    <row r="759" spans="1:9">
      <c r="A759" s="195" t="s">
        <v>149</v>
      </c>
      <c r="B759" s="195">
        <v>285.27</v>
      </c>
      <c r="C759" s="195">
        <v>0.92</v>
      </c>
      <c r="D759" s="195">
        <v>5.47</v>
      </c>
      <c r="E759" s="195">
        <v>0.92</v>
      </c>
      <c r="F759" s="195">
        <v>44.35</v>
      </c>
      <c r="H759" s="195" t="str">
        <f t="shared" si="40"/>
        <v>2010</v>
      </c>
      <c r="I759" s="204" t="s">
        <v>710</v>
      </c>
    </row>
    <row r="760" spans="1:9">
      <c r="A760" s="195" t="s">
        <v>19</v>
      </c>
      <c r="B760" s="195">
        <v>43.43</v>
      </c>
      <c r="C760" s="195">
        <v>0</v>
      </c>
      <c r="D760" s="195">
        <v>4.79</v>
      </c>
      <c r="E760" s="195">
        <v>0</v>
      </c>
      <c r="F760" s="195">
        <v>14.48</v>
      </c>
      <c r="H760" s="195" t="str">
        <f t="shared" si="40"/>
        <v>2010</v>
      </c>
      <c r="I760" s="204" t="s">
        <v>710</v>
      </c>
    </row>
    <row r="761" spans="1:9">
      <c r="A761" s="195" t="s">
        <v>150</v>
      </c>
      <c r="B761" s="195">
        <v>16.04</v>
      </c>
      <c r="C761" s="195">
        <v>0</v>
      </c>
      <c r="D761" s="195">
        <v>120.88</v>
      </c>
      <c r="E761" s="195">
        <v>0</v>
      </c>
      <c r="F761" s="195">
        <v>24.19</v>
      </c>
      <c r="H761" s="195" t="str">
        <f t="shared" si="40"/>
        <v>2010</v>
      </c>
      <c r="I761" s="204" t="s">
        <v>710</v>
      </c>
    </row>
    <row r="762" spans="1:9">
      <c r="A762" s="195" t="s">
        <v>151</v>
      </c>
      <c r="B762" s="195">
        <v>14</v>
      </c>
      <c r="C762" s="195">
        <v>1.2</v>
      </c>
      <c r="D762" s="195">
        <v>315.05</v>
      </c>
      <c r="E762" s="195">
        <v>0.78</v>
      </c>
      <c r="F762" s="195">
        <v>13.18</v>
      </c>
      <c r="H762" s="195" t="str">
        <f t="shared" si="40"/>
        <v>2010</v>
      </c>
      <c r="I762" s="204" t="s">
        <v>710</v>
      </c>
    </row>
    <row r="763" spans="1:9">
      <c r="A763" s="195" t="s">
        <v>152</v>
      </c>
      <c r="B763" s="195">
        <v>84.47</v>
      </c>
      <c r="C763" s="195">
        <v>0.79</v>
      </c>
      <c r="D763" s="195">
        <v>167.55</v>
      </c>
      <c r="E763" s="195">
        <v>0</v>
      </c>
      <c r="F763" s="195">
        <v>47.36</v>
      </c>
      <c r="H763" s="195" t="str">
        <f t="shared" si="40"/>
        <v>2010</v>
      </c>
      <c r="I763" s="204" t="s">
        <v>710</v>
      </c>
    </row>
    <row r="764" spans="1:9">
      <c r="A764" s="195" t="s">
        <v>709</v>
      </c>
    </row>
    <row r="765" spans="1:9">
      <c r="A765" s="195" t="s">
        <v>25</v>
      </c>
      <c r="B765" s="195">
        <v>113.56</v>
      </c>
      <c r="C765" s="195">
        <v>113.5</v>
      </c>
      <c r="D765" s="195">
        <v>113.56</v>
      </c>
      <c r="E765" s="195">
        <v>113.3</v>
      </c>
      <c r="F765" s="195">
        <v>113.5</v>
      </c>
      <c r="H765" s="195" t="str">
        <f>H747</f>
        <v>2010</v>
      </c>
      <c r="I765" s="204" t="s">
        <v>153</v>
      </c>
    </row>
    <row r="766" spans="1:9">
      <c r="A766" s="195" t="s">
        <v>22</v>
      </c>
      <c r="B766" s="195">
        <v>49.74</v>
      </c>
      <c r="C766" s="195">
        <v>50.63</v>
      </c>
      <c r="D766" s="195">
        <v>49.8</v>
      </c>
      <c r="E766" s="195">
        <v>49.61</v>
      </c>
      <c r="F766" s="195">
        <v>34.799999999999997</v>
      </c>
      <c r="H766" s="195" t="str">
        <f t="shared" ref="H766:H781" si="41">H748</f>
        <v>2010</v>
      </c>
      <c r="I766" s="204" t="s">
        <v>153</v>
      </c>
    </row>
    <row r="767" spans="1:9">
      <c r="A767" s="195" t="s">
        <v>15</v>
      </c>
      <c r="B767" s="195">
        <v>45.48</v>
      </c>
      <c r="C767" s="195">
        <v>49.64</v>
      </c>
      <c r="D767" s="195">
        <v>48.67</v>
      </c>
      <c r="E767" s="195">
        <v>40.82</v>
      </c>
      <c r="F767" s="195">
        <v>46.09</v>
      </c>
      <c r="H767" s="195" t="str">
        <f t="shared" si="41"/>
        <v>2010</v>
      </c>
      <c r="I767" s="204" t="s">
        <v>153</v>
      </c>
    </row>
    <row r="768" spans="1:9">
      <c r="A768" s="195" t="s">
        <v>16</v>
      </c>
      <c r="B768" s="195">
        <v>46.26</v>
      </c>
      <c r="C768" s="195">
        <v>44.59</v>
      </c>
      <c r="D768" s="195">
        <v>44.91</v>
      </c>
      <c r="E768" s="195">
        <v>46.14</v>
      </c>
      <c r="F768" s="195">
        <v>46.25</v>
      </c>
      <c r="H768" s="195" t="str">
        <f t="shared" si="41"/>
        <v>2010</v>
      </c>
      <c r="I768" s="204" t="s">
        <v>153</v>
      </c>
    </row>
    <row r="769" spans="1:9">
      <c r="A769" s="195" t="s">
        <v>37</v>
      </c>
      <c r="B769" s="195">
        <v>34.28</v>
      </c>
      <c r="C769" s="195">
        <v>33.409999999999997</v>
      </c>
      <c r="D769" s="195">
        <v>33.57</v>
      </c>
      <c r="E769" s="195">
        <v>33.47</v>
      </c>
      <c r="F769" s="195">
        <v>32.83</v>
      </c>
      <c r="H769" s="195" t="str">
        <f t="shared" si="41"/>
        <v>2010</v>
      </c>
      <c r="I769" s="204" t="s">
        <v>153</v>
      </c>
    </row>
    <row r="770" spans="1:9">
      <c r="A770" s="195" t="s">
        <v>36</v>
      </c>
      <c r="B770" s="195">
        <v>28.5</v>
      </c>
      <c r="C770" s="195">
        <v>32.93</v>
      </c>
      <c r="D770" s="195">
        <v>33.409999999999997</v>
      </c>
      <c r="E770" s="195">
        <v>32.81</v>
      </c>
      <c r="F770" s="195">
        <v>33.299999999999997</v>
      </c>
      <c r="H770" s="195" t="str">
        <f t="shared" si="41"/>
        <v>2010</v>
      </c>
      <c r="I770" s="204" t="s">
        <v>153</v>
      </c>
    </row>
    <row r="771" spans="1:9">
      <c r="A771" s="195" t="s">
        <v>453</v>
      </c>
      <c r="B771" s="195">
        <v>39.44</v>
      </c>
      <c r="C771" s="195">
        <v>39.67</v>
      </c>
      <c r="D771" s="195">
        <v>38.71</v>
      </c>
      <c r="E771" s="195">
        <v>39.94</v>
      </c>
      <c r="F771" s="195">
        <v>41.74</v>
      </c>
      <c r="H771" s="195" t="str">
        <f t="shared" si="41"/>
        <v>2010</v>
      </c>
      <c r="I771" s="204" t="s">
        <v>153</v>
      </c>
    </row>
    <row r="772" spans="1:9">
      <c r="A772" s="195" t="s">
        <v>456</v>
      </c>
      <c r="B772" s="195">
        <v>28.5</v>
      </c>
      <c r="C772" s="195">
        <v>28.5</v>
      </c>
      <c r="D772" s="195">
        <v>28.5</v>
      </c>
      <c r="E772" s="195">
        <v>28.5</v>
      </c>
      <c r="F772" s="195">
        <v>28.5</v>
      </c>
      <c r="H772" s="195" t="str">
        <f t="shared" si="41"/>
        <v>2010</v>
      </c>
      <c r="I772" s="204" t="s">
        <v>153</v>
      </c>
    </row>
    <row r="773" spans="1:9">
      <c r="A773" s="195" t="s">
        <v>35</v>
      </c>
      <c r="B773" s="195">
        <v>22.98</v>
      </c>
      <c r="C773" s="195">
        <v>27.68</v>
      </c>
      <c r="D773" s="195">
        <v>27.74</v>
      </c>
      <c r="E773" s="195">
        <v>26.9</v>
      </c>
      <c r="F773" s="195">
        <v>28.5</v>
      </c>
      <c r="H773" s="195" t="str">
        <f t="shared" si="41"/>
        <v>2010</v>
      </c>
      <c r="I773" s="204" t="s">
        <v>153</v>
      </c>
    </row>
    <row r="774" spans="1:9">
      <c r="A774" s="195" t="s">
        <v>31</v>
      </c>
      <c r="B774" s="195">
        <v>36.42</v>
      </c>
      <c r="C774" s="195">
        <v>36.42</v>
      </c>
      <c r="D774" s="195">
        <v>37.04</v>
      </c>
      <c r="E774" s="195">
        <v>36.549999999999997</v>
      </c>
      <c r="F774" s="195">
        <v>36.549999999999997</v>
      </c>
      <c r="H774" s="195" t="str">
        <f t="shared" si="41"/>
        <v>2010</v>
      </c>
      <c r="I774" s="204" t="s">
        <v>153</v>
      </c>
    </row>
    <row r="775" spans="1:9">
      <c r="A775" s="195" t="s">
        <v>458</v>
      </c>
      <c r="B775" s="195">
        <v>47.76</v>
      </c>
      <c r="C775" s="195">
        <v>46.94</v>
      </c>
      <c r="D775" s="195">
        <v>46.48</v>
      </c>
      <c r="E775" s="195">
        <v>48.44</v>
      </c>
      <c r="F775" s="195">
        <v>46.06</v>
      </c>
      <c r="H775" s="195" t="str">
        <f t="shared" si="41"/>
        <v>2010</v>
      </c>
      <c r="I775" s="204" t="s">
        <v>153</v>
      </c>
    </row>
    <row r="776" spans="1:9">
      <c r="A776" s="195" t="s">
        <v>148</v>
      </c>
      <c r="B776" s="195">
        <v>59.99</v>
      </c>
      <c r="C776" s="195">
        <v>57.94</v>
      </c>
      <c r="D776" s="195">
        <v>57.53</v>
      </c>
      <c r="E776" s="195">
        <v>60.17</v>
      </c>
      <c r="F776" s="195">
        <v>57.56</v>
      </c>
      <c r="H776" s="195" t="str">
        <f t="shared" si="41"/>
        <v>2010</v>
      </c>
      <c r="I776" s="204" t="s">
        <v>153</v>
      </c>
    </row>
    <row r="777" spans="1:9">
      <c r="A777" s="195" t="s">
        <v>149</v>
      </c>
      <c r="B777" s="195">
        <v>34.409999999999997</v>
      </c>
      <c r="C777" s="195">
        <v>37.18</v>
      </c>
      <c r="D777" s="195">
        <v>37.700000000000003</v>
      </c>
      <c r="E777" s="195">
        <v>36.729999999999997</v>
      </c>
      <c r="F777" s="195">
        <v>32.450000000000003</v>
      </c>
      <c r="H777" s="195" t="str">
        <f t="shared" si="41"/>
        <v>2010</v>
      </c>
      <c r="I777" s="204" t="s">
        <v>153</v>
      </c>
    </row>
    <row r="778" spans="1:9">
      <c r="A778" s="195" t="s">
        <v>19</v>
      </c>
      <c r="B778" s="195">
        <v>49.38</v>
      </c>
      <c r="C778" s="195">
        <v>48.41</v>
      </c>
      <c r="D778" s="195">
        <v>48.64</v>
      </c>
      <c r="E778" s="195">
        <v>49.87</v>
      </c>
      <c r="F778" s="195">
        <v>49.6</v>
      </c>
      <c r="H778" s="195" t="str">
        <f t="shared" si="41"/>
        <v>2010</v>
      </c>
      <c r="I778" s="204" t="s">
        <v>153</v>
      </c>
    </row>
    <row r="779" spans="1:9">
      <c r="A779" s="195" t="s">
        <v>150</v>
      </c>
      <c r="B779" s="195">
        <v>22.44</v>
      </c>
      <c r="C779" s="195">
        <v>22</v>
      </c>
      <c r="D779" s="195">
        <v>22.11</v>
      </c>
      <c r="E779" s="195">
        <v>22.67</v>
      </c>
      <c r="F779" s="195">
        <v>22.55</v>
      </c>
      <c r="H779" s="195" t="str">
        <f t="shared" si="41"/>
        <v>2010</v>
      </c>
      <c r="I779" s="204" t="s">
        <v>153</v>
      </c>
    </row>
    <row r="780" spans="1:9">
      <c r="A780" s="195" t="s">
        <v>151</v>
      </c>
      <c r="B780" s="195">
        <v>27.43</v>
      </c>
      <c r="C780" s="195">
        <v>26.89</v>
      </c>
      <c r="D780" s="195">
        <v>27.02</v>
      </c>
      <c r="E780" s="195">
        <v>27.71</v>
      </c>
      <c r="F780" s="195">
        <v>27.56</v>
      </c>
      <c r="H780" s="195" t="str">
        <f t="shared" si="41"/>
        <v>2010</v>
      </c>
      <c r="I780" s="204" t="s">
        <v>153</v>
      </c>
    </row>
    <row r="781" spans="1:9">
      <c r="A781" s="195" t="s">
        <v>152</v>
      </c>
      <c r="B781" s="195">
        <v>20.57</v>
      </c>
      <c r="C781" s="195">
        <v>20.170000000000002</v>
      </c>
      <c r="D781" s="195">
        <v>20.27</v>
      </c>
      <c r="E781" s="195">
        <v>20.78</v>
      </c>
      <c r="F781" s="195">
        <v>20.67</v>
      </c>
      <c r="H781" s="195" t="str">
        <f t="shared" si="41"/>
        <v>2010</v>
      </c>
      <c r="I781" s="204" t="s">
        <v>153</v>
      </c>
    </row>
    <row r="782" spans="1:9">
      <c r="A782" s="195" t="s">
        <v>174</v>
      </c>
    </row>
    <row r="783" spans="1:9">
      <c r="A783" s="195" t="s">
        <v>708</v>
      </c>
    </row>
    <row r="784" spans="1:9">
      <c r="A784" s="195" t="s">
        <v>25</v>
      </c>
      <c r="B784" s="195">
        <v>0</v>
      </c>
      <c r="C784" s="195">
        <v>0</v>
      </c>
      <c r="D784" s="195">
        <v>0</v>
      </c>
      <c r="E784" s="195">
        <v>0</v>
      </c>
      <c r="F784" s="195">
        <v>0</v>
      </c>
      <c r="H784" s="195" t="str">
        <f>RIGHT(A782,4)</f>
        <v>2011</v>
      </c>
      <c r="I784" s="204" t="s">
        <v>710</v>
      </c>
    </row>
    <row r="785" spans="1:9">
      <c r="A785" s="195" t="s">
        <v>22</v>
      </c>
      <c r="B785" s="195">
        <v>270.14</v>
      </c>
      <c r="C785" s="195">
        <v>1.03</v>
      </c>
      <c r="D785" s="195">
        <v>28.99</v>
      </c>
      <c r="E785" s="195">
        <v>0</v>
      </c>
      <c r="F785" s="195">
        <v>20.07</v>
      </c>
      <c r="H785" s="195" t="str">
        <f>H784</f>
        <v>2011</v>
      </c>
      <c r="I785" s="204" t="s">
        <v>710</v>
      </c>
    </row>
    <row r="786" spans="1:9">
      <c r="A786" s="195" t="s">
        <v>15</v>
      </c>
      <c r="B786" s="195">
        <v>168.7</v>
      </c>
      <c r="C786" s="195">
        <v>0.88</v>
      </c>
      <c r="D786" s="195">
        <v>8.39</v>
      </c>
      <c r="E786" s="195">
        <v>0.88</v>
      </c>
      <c r="F786" s="195">
        <v>5.01</v>
      </c>
      <c r="H786" s="195" t="str">
        <f t="shared" ref="H786:H800" si="42">H785</f>
        <v>2011</v>
      </c>
      <c r="I786" s="204" t="s">
        <v>710</v>
      </c>
    </row>
    <row r="787" spans="1:9">
      <c r="A787" s="195" t="s">
        <v>16</v>
      </c>
      <c r="B787" s="195">
        <v>15.15</v>
      </c>
      <c r="C787" s="195">
        <v>1.1399999999999999</v>
      </c>
      <c r="D787" s="195">
        <v>1.33</v>
      </c>
      <c r="E787" s="195">
        <v>1.59</v>
      </c>
      <c r="F787" s="195">
        <v>3.23</v>
      </c>
      <c r="H787" s="195" t="str">
        <f t="shared" si="42"/>
        <v>2011</v>
      </c>
      <c r="I787" s="204" t="s">
        <v>710</v>
      </c>
    </row>
    <row r="788" spans="1:9">
      <c r="A788" s="195" t="s">
        <v>37</v>
      </c>
      <c r="B788" s="195">
        <v>162.34</v>
      </c>
      <c r="C788" s="195">
        <v>1.77</v>
      </c>
      <c r="D788" s="195">
        <v>33.56</v>
      </c>
      <c r="E788" s="195">
        <v>0</v>
      </c>
      <c r="F788" s="195">
        <v>8.83</v>
      </c>
      <c r="H788" s="195" t="str">
        <f t="shared" si="42"/>
        <v>2011</v>
      </c>
      <c r="I788" s="204" t="s">
        <v>710</v>
      </c>
    </row>
    <row r="789" spans="1:9">
      <c r="A789" s="195" t="s">
        <v>36</v>
      </c>
      <c r="B789" s="195">
        <v>134.43</v>
      </c>
      <c r="C789" s="195">
        <v>1.82</v>
      </c>
      <c r="D789" s="195">
        <v>23.92</v>
      </c>
      <c r="E789" s="195">
        <v>0</v>
      </c>
      <c r="F789" s="195">
        <v>27.86</v>
      </c>
      <c r="H789" s="195" t="str">
        <f t="shared" si="42"/>
        <v>2011</v>
      </c>
      <c r="I789" s="204" t="s">
        <v>710</v>
      </c>
    </row>
    <row r="790" spans="1:9">
      <c r="A790" s="195" t="s">
        <v>453</v>
      </c>
      <c r="B790" s="195">
        <v>81.400000000000006</v>
      </c>
      <c r="C790" s="195">
        <v>0</v>
      </c>
      <c r="D790" s="195">
        <v>5.14</v>
      </c>
      <c r="E790" s="195">
        <v>0</v>
      </c>
      <c r="F790" s="195">
        <v>46.29</v>
      </c>
      <c r="H790" s="195" t="str">
        <f t="shared" si="42"/>
        <v>2011</v>
      </c>
      <c r="I790" s="204" t="s">
        <v>710</v>
      </c>
    </row>
    <row r="791" spans="1:9">
      <c r="A791" s="195" t="s">
        <v>456</v>
      </c>
      <c r="B791" s="195">
        <v>77.2</v>
      </c>
      <c r="C791" s="195">
        <v>88.5</v>
      </c>
      <c r="D791" s="195">
        <v>155.87</v>
      </c>
      <c r="E791" s="195">
        <v>9.36</v>
      </c>
      <c r="F791" s="195">
        <v>1.77</v>
      </c>
      <c r="H791" s="195" t="str">
        <f t="shared" si="42"/>
        <v>2011</v>
      </c>
      <c r="I791" s="204" t="s">
        <v>710</v>
      </c>
    </row>
    <row r="792" spans="1:9">
      <c r="A792" s="195" t="s">
        <v>35</v>
      </c>
      <c r="B792" s="195">
        <v>3.53</v>
      </c>
      <c r="C792" s="195">
        <v>4.0599999999999996</v>
      </c>
      <c r="D792" s="195">
        <v>259.77999999999997</v>
      </c>
      <c r="E792" s="195">
        <v>0</v>
      </c>
      <c r="F792" s="195">
        <v>2.94</v>
      </c>
      <c r="H792" s="195" t="str">
        <f t="shared" si="42"/>
        <v>2011</v>
      </c>
      <c r="I792" s="204" t="s">
        <v>710</v>
      </c>
    </row>
    <row r="793" spans="1:9">
      <c r="A793" s="195" t="s">
        <v>31</v>
      </c>
      <c r="B793" s="195">
        <v>39.799999999999997</v>
      </c>
      <c r="C793" s="195">
        <v>6.15</v>
      </c>
      <c r="D793" s="195">
        <v>19.899999999999999</v>
      </c>
      <c r="E793" s="195">
        <v>0.88</v>
      </c>
      <c r="F793" s="195">
        <v>27.69</v>
      </c>
      <c r="H793" s="195" t="str">
        <f t="shared" si="42"/>
        <v>2011</v>
      </c>
      <c r="I793" s="204" t="s">
        <v>710</v>
      </c>
    </row>
    <row r="794" spans="1:9">
      <c r="A794" s="195" t="s">
        <v>458</v>
      </c>
      <c r="B794" s="195">
        <v>0.57999999999999996</v>
      </c>
      <c r="C794" s="195">
        <v>0</v>
      </c>
      <c r="D794" s="195">
        <v>0</v>
      </c>
      <c r="E794" s="195">
        <v>0</v>
      </c>
      <c r="F794" s="195">
        <v>0.8</v>
      </c>
      <c r="H794" s="195" t="str">
        <f t="shared" si="42"/>
        <v>2011</v>
      </c>
      <c r="I794" s="204" t="s">
        <v>710</v>
      </c>
    </row>
    <row r="795" spans="1:9">
      <c r="A795" s="195" t="s">
        <v>148</v>
      </c>
      <c r="B795" s="195">
        <v>278.51</v>
      </c>
      <c r="C795" s="195">
        <v>0.89</v>
      </c>
      <c r="D795" s="195">
        <v>5.34</v>
      </c>
      <c r="E795" s="195">
        <v>0.89</v>
      </c>
      <c r="F795" s="195">
        <v>23.89</v>
      </c>
      <c r="H795" s="195" t="str">
        <f t="shared" si="42"/>
        <v>2011</v>
      </c>
      <c r="I795" s="204" t="s">
        <v>710</v>
      </c>
    </row>
    <row r="796" spans="1:9">
      <c r="A796" s="195" t="s">
        <v>149</v>
      </c>
      <c r="B796" s="195">
        <v>295.25</v>
      </c>
      <c r="C796" s="195">
        <v>0.95</v>
      </c>
      <c r="D796" s="195">
        <v>5.66</v>
      </c>
      <c r="E796" s="195">
        <v>0.95</v>
      </c>
      <c r="F796" s="195">
        <v>45.9</v>
      </c>
      <c r="H796" s="195" t="str">
        <f t="shared" si="42"/>
        <v>2011</v>
      </c>
      <c r="I796" s="204" t="s">
        <v>710</v>
      </c>
    </row>
    <row r="797" spans="1:9">
      <c r="A797" s="195" t="s">
        <v>19</v>
      </c>
      <c r="B797" s="195">
        <v>44.95</v>
      </c>
      <c r="C797" s="195">
        <v>0</v>
      </c>
      <c r="D797" s="195">
        <v>4.96</v>
      </c>
      <c r="E797" s="195">
        <v>0</v>
      </c>
      <c r="F797" s="195">
        <v>14.98</v>
      </c>
      <c r="H797" s="195" t="str">
        <f t="shared" si="42"/>
        <v>2011</v>
      </c>
      <c r="I797" s="204" t="s">
        <v>710</v>
      </c>
    </row>
    <row r="798" spans="1:9">
      <c r="A798" s="195" t="s">
        <v>150</v>
      </c>
      <c r="B798" s="195">
        <v>16.28</v>
      </c>
      <c r="C798" s="195">
        <v>0</v>
      </c>
      <c r="D798" s="195">
        <v>122.69</v>
      </c>
      <c r="E798" s="195">
        <v>0</v>
      </c>
      <c r="F798" s="195">
        <v>24.56</v>
      </c>
      <c r="H798" s="195" t="str">
        <f t="shared" si="42"/>
        <v>2011</v>
      </c>
      <c r="I798" s="204" t="s">
        <v>710</v>
      </c>
    </row>
    <row r="799" spans="1:9">
      <c r="A799" s="195" t="s">
        <v>151</v>
      </c>
      <c r="B799" s="195">
        <v>14.21</v>
      </c>
      <c r="C799" s="195">
        <v>1.22</v>
      </c>
      <c r="D799" s="195">
        <v>319.77</v>
      </c>
      <c r="E799" s="195">
        <v>0.79</v>
      </c>
      <c r="F799" s="195">
        <v>13.37</v>
      </c>
      <c r="H799" s="195" t="str">
        <f t="shared" si="42"/>
        <v>2011</v>
      </c>
      <c r="I799" s="204" t="s">
        <v>710</v>
      </c>
    </row>
    <row r="800" spans="1:9">
      <c r="A800" s="195" t="s">
        <v>152</v>
      </c>
      <c r="B800" s="195">
        <v>85.74</v>
      </c>
      <c r="C800" s="195">
        <v>0.8</v>
      </c>
      <c r="D800" s="195">
        <v>170.06</v>
      </c>
      <c r="E800" s="195">
        <v>0</v>
      </c>
      <c r="F800" s="195">
        <v>48.07</v>
      </c>
      <c r="H800" s="195" t="str">
        <f t="shared" si="42"/>
        <v>2011</v>
      </c>
      <c r="I800" s="204" t="s">
        <v>710</v>
      </c>
    </row>
    <row r="801" spans="1:9">
      <c r="A801" s="195" t="s">
        <v>709</v>
      </c>
    </row>
    <row r="802" spans="1:9">
      <c r="A802" s="195" t="s">
        <v>25</v>
      </c>
      <c r="B802" s="195">
        <v>113.56</v>
      </c>
      <c r="C802" s="195">
        <v>113.5</v>
      </c>
      <c r="D802" s="195">
        <v>113.56</v>
      </c>
      <c r="E802" s="195">
        <v>113.3</v>
      </c>
      <c r="F802" s="195">
        <v>113.5</v>
      </c>
      <c r="H802" s="195" t="str">
        <f>H784</f>
        <v>2011</v>
      </c>
      <c r="I802" s="204" t="s">
        <v>153</v>
      </c>
    </row>
    <row r="803" spans="1:9">
      <c r="A803" s="195" t="s">
        <v>22</v>
      </c>
      <c r="B803" s="195">
        <v>47.01</v>
      </c>
      <c r="C803" s="195">
        <v>47.96</v>
      </c>
      <c r="D803" s="195">
        <v>47.23</v>
      </c>
      <c r="E803" s="195">
        <v>47.04</v>
      </c>
      <c r="F803" s="195">
        <v>33.479999999999997</v>
      </c>
      <c r="H803" s="195" t="str">
        <f t="shared" ref="H803:H818" si="43">H785</f>
        <v>2011</v>
      </c>
      <c r="I803" s="204" t="s">
        <v>153</v>
      </c>
    </row>
    <row r="804" spans="1:9">
      <c r="A804" s="195" t="s">
        <v>15</v>
      </c>
      <c r="B804" s="195">
        <v>41.91</v>
      </c>
      <c r="C804" s="195">
        <v>43.53</v>
      </c>
      <c r="D804" s="195">
        <v>43.26</v>
      </c>
      <c r="E804" s="195">
        <v>37.93</v>
      </c>
      <c r="F804" s="195">
        <v>42.82</v>
      </c>
      <c r="H804" s="195" t="str">
        <f t="shared" si="43"/>
        <v>2011</v>
      </c>
      <c r="I804" s="204" t="s">
        <v>153</v>
      </c>
    </row>
    <row r="805" spans="1:9">
      <c r="A805" s="195" t="s">
        <v>16</v>
      </c>
      <c r="B805" s="195">
        <v>41.5</v>
      </c>
      <c r="C805" s="195">
        <v>39.53</v>
      </c>
      <c r="D805" s="195">
        <v>40.159999999999997</v>
      </c>
      <c r="E805" s="195">
        <v>41.28</v>
      </c>
      <c r="F805" s="195">
        <v>43.57</v>
      </c>
      <c r="H805" s="195" t="str">
        <f t="shared" si="43"/>
        <v>2011</v>
      </c>
      <c r="I805" s="204" t="s">
        <v>153</v>
      </c>
    </row>
    <row r="806" spans="1:9">
      <c r="A806" s="195" t="s">
        <v>37</v>
      </c>
      <c r="B806" s="195">
        <v>31.91</v>
      </c>
      <c r="C806" s="195">
        <v>30.8</v>
      </c>
      <c r="D806" s="195">
        <v>31.21</v>
      </c>
      <c r="E806" s="195">
        <v>30.4</v>
      </c>
      <c r="F806" s="195">
        <v>31.55</v>
      </c>
      <c r="H806" s="195" t="str">
        <f t="shared" si="43"/>
        <v>2011</v>
      </c>
      <c r="I806" s="204" t="s">
        <v>153</v>
      </c>
    </row>
    <row r="807" spans="1:9">
      <c r="A807" s="195" t="s">
        <v>36</v>
      </c>
      <c r="B807" s="195">
        <v>29.45</v>
      </c>
      <c r="C807" s="195">
        <v>30.26</v>
      </c>
      <c r="D807" s="195">
        <v>30.74</v>
      </c>
      <c r="E807" s="195">
        <v>29.94</v>
      </c>
      <c r="F807" s="195">
        <v>31.79</v>
      </c>
      <c r="H807" s="195" t="str">
        <f t="shared" si="43"/>
        <v>2011</v>
      </c>
      <c r="I807" s="204" t="s">
        <v>153</v>
      </c>
    </row>
    <row r="808" spans="1:9">
      <c r="A808" s="195" t="s">
        <v>453</v>
      </c>
      <c r="B808" s="195">
        <v>37</v>
      </c>
      <c r="C808" s="195">
        <v>37.119999999999997</v>
      </c>
      <c r="D808" s="195">
        <v>36.270000000000003</v>
      </c>
      <c r="E808" s="195">
        <v>37.39</v>
      </c>
      <c r="F808" s="195">
        <v>40.15</v>
      </c>
      <c r="H808" s="195" t="str">
        <f t="shared" si="43"/>
        <v>2011</v>
      </c>
      <c r="I808" s="204" t="s">
        <v>153</v>
      </c>
    </row>
    <row r="809" spans="1:9">
      <c r="A809" s="195" t="s">
        <v>456</v>
      </c>
      <c r="B809" s="195">
        <v>28.5</v>
      </c>
      <c r="C809" s="195">
        <v>28.5</v>
      </c>
      <c r="D809" s="195">
        <v>28.5</v>
      </c>
      <c r="E809" s="195">
        <v>28.5</v>
      </c>
      <c r="F809" s="195">
        <v>28.5</v>
      </c>
      <c r="H809" s="195" t="str">
        <f t="shared" si="43"/>
        <v>2011</v>
      </c>
      <c r="I809" s="204" t="s">
        <v>153</v>
      </c>
    </row>
    <row r="810" spans="1:9">
      <c r="A810" s="195" t="s">
        <v>35</v>
      </c>
      <c r="B810" s="195">
        <v>22.59</v>
      </c>
      <c r="C810" s="195">
        <v>25.09</v>
      </c>
      <c r="D810" s="195">
        <v>25.14</v>
      </c>
      <c r="E810" s="195">
        <v>24.24</v>
      </c>
      <c r="F810" s="195">
        <v>24.77</v>
      </c>
      <c r="H810" s="195" t="str">
        <f t="shared" si="43"/>
        <v>2011</v>
      </c>
      <c r="I810" s="204" t="s">
        <v>153</v>
      </c>
    </row>
    <row r="811" spans="1:9">
      <c r="A811" s="195" t="s">
        <v>31</v>
      </c>
      <c r="B811" s="195">
        <v>40.96</v>
      </c>
      <c r="C811" s="195">
        <v>40.96</v>
      </c>
      <c r="D811" s="195">
        <v>41.56</v>
      </c>
      <c r="E811" s="195">
        <v>41.07</v>
      </c>
      <c r="F811" s="195">
        <v>41.07</v>
      </c>
      <c r="H811" s="195" t="str">
        <f t="shared" si="43"/>
        <v>2011</v>
      </c>
      <c r="I811" s="204" t="s">
        <v>153</v>
      </c>
    </row>
    <row r="812" spans="1:9">
      <c r="A812" s="195" t="s">
        <v>458</v>
      </c>
      <c r="B812" s="195">
        <v>47.76</v>
      </c>
      <c r="C812" s="195">
        <v>46.94</v>
      </c>
      <c r="D812" s="195">
        <v>46.48</v>
      </c>
      <c r="E812" s="195">
        <v>48.44</v>
      </c>
      <c r="F812" s="195">
        <v>46.06</v>
      </c>
      <c r="H812" s="195" t="str">
        <f t="shared" si="43"/>
        <v>2011</v>
      </c>
      <c r="I812" s="204" t="s">
        <v>153</v>
      </c>
    </row>
    <row r="813" spans="1:9">
      <c r="A813" s="195" t="s">
        <v>148</v>
      </c>
      <c r="B813" s="195">
        <v>59.99</v>
      </c>
      <c r="C813" s="195">
        <v>57.94</v>
      </c>
      <c r="D813" s="195">
        <v>57.53</v>
      </c>
      <c r="E813" s="195">
        <v>60.17</v>
      </c>
      <c r="F813" s="195">
        <v>57.56</v>
      </c>
      <c r="H813" s="195" t="str">
        <f t="shared" si="43"/>
        <v>2011</v>
      </c>
      <c r="I813" s="204" t="s">
        <v>153</v>
      </c>
    </row>
    <row r="814" spans="1:9">
      <c r="A814" s="195" t="s">
        <v>149</v>
      </c>
      <c r="B814" s="195">
        <v>31.91</v>
      </c>
      <c r="C814" s="195">
        <v>30.8</v>
      </c>
      <c r="D814" s="195">
        <v>31.21</v>
      </c>
      <c r="E814" s="195">
        <v>30.4</v>
      </c>
      <c r="F814" s="195">
        <v>31.55</v>
      </c>
      <c r="H814" s="195" t="str">
        <f t="shared" si="43"/>
        <v>2011</v>
      </c>
      <c r="I814" s="204" t="s">
        <v>153</v>
      </c>
    </row>
    <row r="815" spans="1:9">
      <c r="A815" s="195" t="s">
        <v>19</v>
      </c>
      <c r="B815" s="195">
        <v>45.53</v>
      </c>
      <c r="C815" s="195">
        <v>45.07</v>
      </c>
      <c r="D815" s="195">
        <v>44.8</v>
      </c>
      <c r="E815" s="195">
        <v>45.91</v>
      </c>
      <c r="F815" s="195">
        <v>47.17</v>
      </c>
      <c r="H815" s="195" t="str">
        <f t="shared" si="43"/>
        <v>2011</v>
      </c>
      <c r="I815" s="204" t="s">
        <v>153</v>
      </c>
    </row>
    <row r="816" spans="1:9">
      <c r="A816" s="195" t="s">
        <v>150</v>
      </c>
      <c r="B816" s="195">
        <v>20.7</v>
      </c>
      <c r="C816" s="195">
        <v>20.49</v>
      </c>
      <c r="D816" s="195">
        <v>20.36</v>
      </c>
      <c r="E816" s="195">
        <v>20.87</v>
      </c>
      <c r="F816" s="195">
        <v>21.44</v>
      </c>
      <c r="H816" s="195" t="str">
        <f t="shared" si="43"/>
        <v>2011</v>
      </c>
      <c r="I816" s="204" t="s">
        <v>153</v>
      </c>
    </row>
    <row r="817" spans="1:9">
      <c r="A817" s="195" t="s">
        <v>151</v>
      </c>
      <c r="B817" s="195">
        <v>25.3</v>
      </c>
      <c r="C817" s="195">
        <v>25.04</v>
      </c>
      <c r="D817" s="195">
        <v>24.89</v>
      </c>
      <c r="E817" s="195">
        <v>25.51</v>
      </c>
      <c r="F817" s="195">
        <v>26.2</v>
      </c>
      <c r="H817" s="195" t="str">
        <f t="shared" si="43"/>
        <v>2011</v>
      </c>
      <c r="I817" s="204" t="s">
        <v>153</v>
      </c>
    </row>
    <row r="818" spans="1:9">
      <c r="A818" s="195" t="s">
        <v>152</v>
      </c>
      <c r="B818" s="195">
        <v>18.97</v>
      </c>
      <c r="C818" s="195">
        <v>18.78</v>
      </c>
      <c r="D818" s="195">
        <v>18.670000000000002</v>
      </c>
      <c r="E818" s="195">
        <v>19.13</v>
      </c>
      <c r="F818" s="195">
        <v>19.649999999999999</v>
      </c>
      <c r="H818" s="195" t="str">
        <f t="shared" si="43"/>
        <v>2011</v>
      </c>
      <c r="I818" s="204" t="s">
        <v>153</v>
      </c>
    </row>
    <row r="819" spans="1:9">
      <c r="A819" s="195" t="s">
        <v>175</v>
      </c>
    </row>
    <row r="820" spans="1:9">
      <c r="A820" s="195" t="s">
        <v>708</v>
      </c>
    </row>
    <row r="821" spans="1:9">
      <c r="A821" s="195" t="s">
        <v>25</v>
      </c>
      <c r="B821" s="195">
        <v>0</v>
      </c>
      <c r="C821" s="195">
        <v>0</v>
      </c>
      <c r="D821" s="195">
        <v>0</v>
      </c>
      <c r="E821" s="195">
        <v>0</v>
      </c>
      <c r="F821" s="195">
        <v>0</v>
      </c>
      <c r="H821" s="195" t="str">
        <f>RIGHT(A819,4)</f>
        <v>2012</v>
      </c>
      <c r="I821" s="204" t="s">
        <v>710</v>
      </c>
    </row>
    <row r="822" spans="1:9">
      <c r="A822" s="195" t="s">
        <v>22</v>
      </c>
      <c r="B822" s="195">
        <v>274.19</v>
      </c>
      <c r="C822" s="195">
        <v>1.04</v>
      </c>
      <c r="D822" s="195">
        <v>29.42</v>
      </c>
      <c r="E822" s="195">
        <v>0</v>
      </c>
      <c r="F822" s="195">
        <v>20.37</v>
      </c>
      <c r="H822" s="195" t="str">
        <f>H821</f>
        <v>2012</v>
      </c>
      <c r="I822" s="204" t="s">
        <v>710</v>
      </c>
    </row>
    <row r="823" spans="1:9">
      <c r="A823" s="195" t="s">
        <v>15</v>
      </c>
      <c r="B823" s="195">
        <v>172.08</v>
      </c>
      <c r="C823" s="195">
        <v>0.9</v>
      </c>
      <c r="D823" s="195">
        <v>8.56</v>
      </c>
      <c r="E823" s="195">
        <v>0.9</v>
      </c>
      <c r="F823" s="195">
        <v>5.1100000000000003</v>
      </c>
      <c r="H823" s="195" t="str">
        <f t="shared" ref="H823:H837" si="44">H822</f>
        <v>2012</v>
      </c>
      <c r="I823" s="204" t="s">
        <v>710</v>
      </c>
    </row>
    <row r="824" spans="1:9">
      <c r="A824" s="195" t="s">
        <v>16</v>
      </c>
      <c r="B824" s="195">
        <v>11.36</v>
      </c>
      <c r="C824" s="195">
        <v>0.85</v>
      </c>
      <c r="D824" s="195">
        <v>1</v>
      </c>
      <c r="E824" s="195">
        <v>1.2</v>
      </c>
      <c r="F824" s="195">
        <v>2.42</v>
      </c>
      <c r="H824" s="195" t="str">
        <f t="shared" si="44"/>
        <v>2012</v>
      </c>
      <c r="I824" s="204" t="s">
        <v>710</v>
      </c>
    </row>
    <row r="825" spans="1:9">
      <c r="A825" s="195" t="s">
        <v>37</v>
      </c>
      <c r="B825" s="195">
        <v>165.59</v>
      </c>
      <c r="C825" s="195">
        <v>1.8</v>
      </c>
      <c r="D825" s="195">
        <v>34.24</v>
      </c>
      <c r="E825" s="195">
        <v>0</v>
      </c>
      <c r="F825" s="195">
        <v>9.01</v>
      </c>
      <c r="H825" s="195" t="str">
        <f t="shared" si="44"/>
        <v>2012</v>
      </c>
      <c r="I825" s="204" t="s">
        <v>710</v>
      </c>
    </row>
    <row r="826" spans="1:9">
      <c r="A826" s="195" t="s">
        <v>36</v>
      </c>
      <c r="B826" s="195">
        <v>133.09</v>
      </c>
      <c r="C826" s="195">
        <v>1.8</v>
      </c>
      <c r="D826" s="195">
        <v>23.68</v>
      </c>
      <c r="E826" s="195">
        <v>0</v>
      </c>
      <c r="F826" s="195">
        <v>27.58</v>
      </c>
      <c r="H826" s="195" t="str">
        <f t="shared" si="44"/>
        <v>2012</v>
      </c>
      <c r="I826" s="204" t="s">
        <v>710</v>
      </c>
    </row>
    <row r="827" spans="1:9">
      <c r="A827" s="195" t="s">
        <v>453</v>
      </c>
      <c r="B827" s="195">
        <v>83.03</v>
      </c>
      <c r="C827" s="195">
        <v>0</v>
      </c>
      <c r="D827" s="195">
        <v>5.25</v>
      </c>
      <c r="E827" s="195">
        <v>0</v>
      </c>
      <c r="F827" s="195">
        <v>47.21</v>
      </c>
      <c r="H827" s="195" t="str">
        <f t="shared" si="44"/>
        <v>2012</v>
      </c>
      <c r="I827" s="204" t="s">
        <v>710</v>
      </c>
    </row>
    <row r="828" spans="1:9">
      <c r="A828" s="195" t="s">
        <v>456</v>
      </c>
      <c r="B828" s="195">
        <v>78.739999999999995</v>
      </c>
      <c r="C828" s="195">
        <v>90.27</v>
      </c>
      <c r="D828" s="195">
        <v>158.99</v>
      </c>
      <c r="E828" s="195">
        <v>9.5500000000000007</v>
      </c>
      <c r="F828" s="195">
        <v>1.8</v>
      </c>
      <c r="H828" s="195" t="str">
        <f t="shared" si="44"/>
        <v>2012</v>
      </c>
      <c r="I828" s="204" t="s">
        <v>710</v>
      </c>
    </row>
    <row r="829" spans="1:9">
      <c r="A829" s="195" t="s">
        <v>35</v>
      </c>
      <c r="B829" s="195">
        <v>3.6</v>
      </c>
      <c r="C829" s="195">
        <v>4.1399999999999997</v>
      </c>
      <c r="D829" s="195">
        <v>264.98</v>
      </c>
      <c r="E829" s="195">
        <v>0</v>
      </c>
      <c r="F829" s="195">
        <v>3</v>
      </c>
      <c r="H829" s="195" t="str">
        <f t="shared" si="44"/>
        <v>2012</v>
      </c>
      <c r="I829" s="204" t="s">
        <v>710</v>
      </c>
    </row>
    <row r="830" spans="1:9">
      <c r="A830" s="195" t="s">
        <v>31</v>
      </c>
      <c r="B830" s="195">
        <v>40.44</v>
      </c>
      <c r="C830" s="195">
        <v>6.25</v>
      </c>
      <c r="D830" s="195">
        <v>20.22</v>
      </c>
      <c r="E830" s="195">
        <v>0.89</v>
      </c>
      <c r="F830" s="195">
        <v>28.13</v>
      </c>
      <c r="H830" s="195" t="str">
        <f t="shared" si="44"/>
        <v>2012</v>
      </c>
      <c r="I830" s="204" t="s">
        <v>710</v>
      </c>
    </row>
    <row r="831" spans="1:9">
      <c r="A831" s="195" t="s">
        <v>458</v>
      </c>
      <c r="B831" s="195">
        <v>0.59</v>
      </c>
      <c r="C831" s="195">
        <v>0</v>
      </c>
      <c r="D831" s="195">
        <v>0</v>
      </c>
      <c r="E831" s="195">
        <v>0</v>
      </c>
      <c r="F831" s="195">
        <v>0.82</v>
      </c>
      <c r="H831" s="195" t="str">
        <f t="shared" si="44"/>
        <v>2012</v>
      </c>
      <c r="I831" s="204" t="s">
        <v>710</v>
      </c>
    </row>
    <row r="832" spans="1:9">
      <c r="A832" s="195" t="s">
        <v>148</v>
      </c>
      <c r="B832" s="195">
        <v>284.08</v>
      </c>
      <c r="C832" s="195">
        <v>0.91</v>
      </c>
      <c r="D832" s="195">
        <v>5.45</v>
      </c>
      <c r="E832" s="195">
        <v>0.91</v>
      </c>
      <c r="F832" s="195">
        <v>24.37</v>
      </c>
      <c r="H832" s="195" t="str">
        <f t="shared" si="44"/>
        <v>2012</v>
      </c>
      <c r="I832" s="204" t="s">
        <v>710</v>
      </c>
    </row>
    <row r="833" spans="1:9">
      <c r="A833" s="195" t="s">
        <v>149</v>
      </c>
      <c r="B833" s="195">
        <v>305.58999999999997</v>
      </c>
      <c r="C833" s="195">
        <v>0.98</v>
      </c>
      <c r="D833" s="195">
        <v>5.86</v>
      </c>
      <c r="E833" s="195">
        <v>0.98</v>
      </c>
      <c r="F833" s="195">
        <v>47.51</v>
      </c>
      <c r="H833" s="195" t="str">
        <f t="shared" si="44"/>
        <v>2012</v>
      </c>
      <c r="I833" s="204" t="s">
        <v>710</v>
      </c>
    </row>
    <row r="834" spans="1:9">
      <c r="A834" s="195" t="s">
        <v>19</v>
      </c>
      <c r="B834" s="195">
        <v>46.52</v>
      </c>
      <c r="C834" s="195">
        <v>0</v>
      </c>
      <c r="D834" s="195">
        <v>5.14</v>
      </c>
      <c r="E834" s="195">
        <v>0</v>
      </c>
      <c r="F834" s="195">
        <v>15.51</v>
      </c>
      <c r="H834" s="195" t="str">
        <f t="shared" si="44"/>
        <v>2012</v>
      </c>
      <c r="I834" s="204" t="s">
        <v>710</v>
      </c>
    </row>
    <row r="835" spans="1:9">
      <c r="A835" s="195" t="s">
        <v>150</v>
      </c>
      <c r="B835" s="195">
        <v>16.53</v>
      </c>
      <c r="C835" s="195">
        <v>0</v>
      </c>
      <c r="D835" s="195">
        <v>124.53</v>
      </c>
      <c r="E835" s="195">
        <v>0</v>
      </c>
      <c r="F835" s="195">
        <v>24.92</v>
      </c>
      <c r="H835" s="195" t="str">
        <f t="shared" si="44"/>
        <v>2012</v>
      </c>
      <c r="I835" s="204" t="s">
        <v>710</v>
      </c>
    </row>
    <row r="836" spans="1:9">
      <c r="A836" s="195" t="s">
        <v>151</v>
      </c>
      <c r="B836" s="195">
        <v>14.42</v>
      </c>
      <c r="C836" s="195">
        <v>1.23</v>
      </c>
      <c r="D836" s="195">
        <v>324.57</v>
      </c>
      <c r="E836" s="195">
        <v>0.8</v>
      </c>
      <c r="F836" s="195">
        <v>13.57</v>
      </c>
      <c r="H836" s="195" t="str">
        <f t="shared" si="44"/>
        <v>2012</v>
      </c>
      <c r="I836" s="204" t="s">
        <v>710</v>
      </c>
    </row>
    <row r="837" spans="1:9">
      <c r="A837" s="195" t="s">
        <v>152</v>
      </c>
      <c r="B837" s="195">
        <v>87.02</v>
      </c>
      <c r="C837" s="195">
        <v>0.81</v>
      </c>
      <c r="D837" s="195">
        <v>172.62</v>
      </c>
      <c r="E837" s="195">
        <v>0</v>
      </c>
      <c r="F837" s="195">
        <v>48.79</v>
      </c>
      <c r="H837" s="195" t="str">
        <f t="shared" si="44"/>
        <v>2012</v>
      </c>
      <c r="I837" s="204" t="s">
        <v>710</v>
      </c>
    </row>
    <row r="838" spans="1:9">
      <c r="A838" s="195" t="s">
        <v>709</v>
      </c>
    </row>
    <row r="839" spans="1:9">
      <c r="A839" s="195" t="s">
        <v>25</v>
      </c>
      <c r="B839" s="195">
        <v>113.56</v>
      </c>
      <c r="C839" s="195">
        <v>113.5</v>
      </c>
      <c r="D839" s="195">
        <v>113.56</v>
      </c>
      <c r="E839" s="195">
        <v>113.3</v>
      </c>
      <c r="F839" s="195">
        <v>113.5</v>
      </c>
      <c r="H839" s="195" t="str">
        <f>H821</f>
        <v>2012</v>
      </c>
      <c r="I839" s="204" t="s">
        <v>153</v>
      </c>
    </row>
    <row r="840" spans="1:9">
      <c r="A840" s="195" t="s">
        <v>22</v>
      </c>
      <c r="B840" s="195">
        <v>45.86</v>
      </c>
      <c r="C840" s="195">
        <v>46.32</v>
      </c>
      <c r="D840" s="195">
        <v>45.74</v>
      </c>
      <c r="E840" s="195">
        <v>45.55</v>
      </c>
      <c r="F840" s="195">
        <v>32.99</v>
      </c>
      <c r="H840" s="195" t="str">
        <f t="shared" ref="H840:H855" si="45">H822</f>
        <v>2012</v>
      </c>
      <c r="I840" s="204" t="s">
        <v>153</v>
      </c>
    </row>
    <row r="841" spans="1:9">
      <c r="A841" s="195" t="s">
        <v>15</v>
      </c>
      <c r="B841" s="195">
        <v>40.21</v>
      </c>
      <c r="C841" s="195">
        <v>39.93</v>
      </c>
      <c r="D841" s="195">
        <v>40.090000000000003</v>
      </c>
      <c r="E841" s="195">
        <v>36.68</v>
      </c>
      <c r="F841" s="195">
        <v>40.18</v>
      </c>
      <c r="H841" s="195" t="str">
        <f t="shared" si="45"/>
        <v>2012</v>
      </c>
      <c r="I841" s="204" t="s">
        <v>153</v>
      </c>
    </row>
    <row r="842" spans="1:9">
      <c r="A842" s="195" t="s">
        <v>16</v>
      </c>
      <c r="B842" s="195">
        <v>37.89</v>
      </c>
      <c r="C842" s="195">
        <v>36.93</v>
      </c>
      <c r="D842" s="195">
        <v>37.57</v>
      </c>
      <c r="E842" s="195">
        <v>38.44</v>
      </c>
      <c r="F842" s="195">
        <v>40.82</v>
      </c>
      <c r="H842" s="195" t="str">
        <f t="shared" si="45"/>
        <v>2012</v>
      </c>
      <c r="I842" s="204" t="s">
        <v>153</v>
      </c>
    </row>
    <row r="843" spans="1:9">
      <c r="A843" s="195" t="s">
        <v>37</v>
      </c>
      <c r="B843" s="195">
        <v>31.35</v>
      </c>
      <c r="C843" s="195">
        <v>30.19</v>
      </c>
      <c r="D843" s="195">
        <v>30.66</v>
      </c>
      <c r="E843" s="195">
        <v>29.78</v>
      </c>
      <c r="F843" s="195">
        <v>31.29</v>
      </c>
      <c r="H843" s="195" t="str">
        <f t="shared" si="45"/>
        <v>2012</v>
      </c>
      <c r="I843" s="204" t="s">
        <v>153</v>
      </c>
    </row>
    <row r="844" spans="1:9">
      <c r="A844" s="195" t="s">
        <v>36</v>
      </c>
      <c r="B844" s="195">
        <v>28.5</v>
      </c>
      <c r="C844" s="195">
        <v>29.65</v>
      </c>
      <c r="D844" s="195">
        <v>30.12</v>
      </c>
      <c r="E844" s="195">
        <v>29.29</v>
      </c>
      <c r="F844" s="195">
        <v>31.27</v>
      </c>
      <c r="H844" s="195" t="str">
        <f t="shared" si="45"/>
        <v>2012</v>
      </c>
      <c r="I844" s="204" t="s">
        <v>153</v>
      </c>
    </row>
    <row r="845" spans="1:9">
      <c r="A845" s="195" t="s">
        <v>453</v>
      </c>
      <c r="B845" s="195">
        <v>37.61</v>
      </c>
      <c r="C845" s="195">
        <v>36.97</v>
      </c>
      <c r="D845" s="195">
        <v>36.56</v>
      </c>
      <c r="E845" s="195">
        <v>37.43</v>
      </c>
      <c r="F845" s="195">
        <v>39.24</v>
      </c>
      <c r="H845" s="195" t="str">
        <f t="shared" si="45"/>
        <v>2012</v>
      </c>
      <c r="I845" s="204" t="s">
        <v>153</v>
      </c>
    </row>
    <row r="846" spans="1:9">
      <c r="A846" s="195" t="s">
        <v>456</v>
      </c>
      <c r="B846" s="195">
        <v>28.5</v>
      </c>
      <c r="C846" s="195">
        <v>28.5</v>
      </c>
      <c r="D846" s="195">
        <v>28.5</v>
      </c>
      <c r="E846" s="195">
        <v>28.5</v>
      </c>
      <c r="F846" s="195">
        <v>28.5</v>
      </c>
      <c r="H846" s="195" t="str">
        <f t="shared" si="45"/>
        <v>2012</v>
      </c>
      <c r="I846" s="204" t="s">
        <v>153</v>
      </c>
    </row>
    <row r="847" spans="1:9">
      <c r="A847" s="195" t="s">
        <v>35</v>
      </c>
      <c r="B847" s="195">
        <v>21.98</v>
      </c>
      <c r="C847" s="195">
        <v>23.98</v>
      </c>
      <c r="D847" s="195">
        <v>24.03</v>
      </c>
      <c r="E847" s="195">
        <v>23.22</v>
      </c>
      <c r="F847" s="195">
        <v>13.4</v>
      </c>
      <c r="H847" s="195" t="str">
        <f t="shared" si="45"/>
        <v>2012</v>
      </c>
      <c r="I847" s="204" t="s">
        <v>153</v>
      </c>
    </row>
    <row r="848" spans="1:9">
      <c r="A848" s="195" t="s">
        <v>31</v>
      </c>
      <c r="B848" s="195">
        <v>40.56</v>
      </c>
      <c r="C848" s="195">
        <v>40.56</v>
      </c>
      <c r="D848" s="195">
        <v>41.16</v>
      </c>
      <c r="E848" s="195">
        <v>40.659999999999997</v>
      </c>
      <c r="F848" s="195">
        <v>40.659999999999997</v>
      </c>
      <c r="H848" s="195" t="str">
        <f t="shared" si="45"/>
        <v>2012</v>
      </c>
      <c r="I848" s="204" t="s">
        <v>153</v>
      </c>
    </row>
    <row r="849" spans="1:9">
      <c r="A849" s="195" t="s">
        <v>458</v>
      </c>
      <c r="B849" s="195">
        <v>47.76</v>
      </c>
      <c r="C849" s="195">
        <v>46.94</v>
      </c>
      <c r="D849" s="195">
        <v>46.48</v>
      </c>
      <c r="E849" s="195">
        <v>48.44</v>
      </c>
      <c r="F849" s="195">
        <v>46.06</v>
      </c>
      <c r="H849" s="195" t="str">
        <f t="shared" si="45"/>
        <v>2012</v>
      </c>
      <c r="I849" s="204" t="s">
        <v>153</v>
      </c>
    </row>
    <row r="850" spans="1:9">
      <c r="A850" s="195" t="s">
        <v>148</v>
      </c>
      <c r="B850" s="195">
        <v>59.99</v>
      </c>
      <c r="C850" s="195">
        <v>57.94</v>
      </c>
      <c r="D850" s="195">
        <v>57.53</v>
      </c>
      <c r="E850" s="195">
        <v>60.17</v>
      </c>
      <c r="F850" s="195">
        <v>57.56</v>
      </c>
      <c r="H850" s="195" t="str">
        <f t="shared" si="45"/>
        <v>2012</v>
      </c>
      <c r="I850" s="204" t="s">
        <v>153</v>
      </c>
    </row>
    <row r="851" spans="1:9">
      <c r="A851" s="195" t="s">
        <v>149</v>
      </c>
      <c r="B851" s="195">
        <v>31.91</v>
      </c>
      <c r="C851" s="195">
        <v>30.8</v>
      </c>
      <c r="D851" s="195">
        <v>31.21</v>
      </c>
      <c r="E851" s="195">
        <v>30.4</v>
      </c>
      <c r="F851" s="195">
        <v>31.55</v>
      </c>
      <c r="H851" s="195" t="str">
        <f t="shared" si="45"/>
        <v>2012</v>
      </c>
      <c r="I851" s="204" t="s">
        <v>153</v>
      </c>
    </row>
    <row r="852" spans="1:9">
      <c r="A852" s="195" t="s">
        <v>19</v>
      </c>
      <c r="B852" s="195">
        <v>43.79</v>
      </c>
      <c r="C852" s="195">
        <v>42.98</v>
      </c>
      <c r="D852" s="195">
        <v>42.73</v>
      </c>
      <c r="E852" s="195">
        <v>43.6</v>
      </c>
      <c r="F852" s="195">
        <v>44.65</v>
      </c>
      <c r="H852" s="195" t="str">
        <f t="shared" si="45"/>
        <v>2012</v>
      </c>
      <c r="I852" s="204" t="s">
        <v>153</v>
      </c>
    </row>
    <row r="853" spans="1:9">
      <c r="A853" s="195" t="s">
        <v>150</v>
      </c>
      <c r="B853" s="195">
        <v>19.899999999999999</v>
      </c>
      <c r="C853" s="195">
        <v>19.54</v>
      </c>
      <c r="D853" s="195">
        <v>19.420000000000002</v>
      </c>
      <c r="E853" s="195">
        <v>19.82</v>
      </c>
      <c r="F853" s="195">
        <v>20.3</v>
      </c>
      <c r="H853" s="195" t="str">
        <f t="shared" si="45"/>
        <v>2012</v>
      </c>
      <c r="I853" s="204" t="s">
        <v>153</v>
      </c>
    </row>
    <row r="854" spans="1:9">
      <c r="A854" s="195" t="s">
        <v>151</v>
      </c>
      <c r="B854" s="195">
        <v>24.33</v>
      </c>
      <c r="C854" s="195">
        <v>23.88</v>
      </c>
      <c r="D854" s="195">
        <v>23.74</v>
      </c>
      <c r="E854" s="195">
        <v>24.22</v>
      </c>
      <c r="F854" s="195">
        <v>24.81</v>
      </c>
      <c r="H854" s="195" t="str">
        <f t="shared" si="45"/>
        <v>2012</v>
      </c>
      <c r="I854" s="204" t="s">
        <v>153</v>
      </c>
    </row>
    <row r="855" spans="1:9">
      <c r="A855" s="195" t="s">
        <v>152</v>
      </c>
      <c r="B855" s="195">
        <v>18.25</v>
      </c>
      <c r="C855" s="195">
        <v>17.91</v>
      </c>
      <c r="D855" s="195">
        <v>17.8</v>
      </c>
      <c r="E855" s="195">
        <v>18.170000000000002</v>
      </c>
      <c r="F855" s="195">
        <v>18.600000000000001</v>
      </c>
      <c r="H855" s="195" t="str">
        <f t="shared" si="45"/>
        <v>2012</v>
      </c>
      <c r="I855" s="204" t="s">
        <v>153</v>
      </c>
    </row>
    <row r="856" spans="1:9">
      <c r="A856" s="195" t="s">
        <v>176</v>
      </c>
    </row>
    <row r="857" spans="1:9">
      <c r="A857" s="195" t="s">
        <v>708</v>
      </c>
    </row>
    <row r="858" spans="1:9">
      <c r="A858" s="195" t="s">
        <v>25</v>
      </c>
      <c r="B858" s="195">
        <v>0</v>
      </c>
      <c r="C858" s="195">
        <v>0</v>
      </c>
      <c r="D858" s="195">
        <v>0</v>
      </c>
      <c r="E858" s="195">
        <v>0</v>
      </c>
      <c r="F858" s="195">
        <v>0</v>
      </c>
      <c r="H858" s="195" t="str">
        <f>RIGHT(A856,4)</f>
        <v>2013</v>
      </c>
      <c r="I858" s="204" t="s">
        <v>710</v>
      </c>
    </row>
    <row r="859" spans="1:9">
      <c r="A859" s="195" t="s">
        <v>22</v>
      </c>
      <c r="B859" s="195">
        <v>278.3</v>
      </c>
      <c r="C859" s="195">
        <v>1.06</v>
      </c>
      <c r="D859" s="195">
        <v>29.86</v>
      </c>
      <c r="E859" s="195">
        <v>0</v>
      </c>
      <c r="F859" s="195">
        <v>20.67</v>
      </c>
      <c r="H859" s="195" t="str">
        <f>H858</f>
        <v>2013</v>
      </c>
      <c r="I859" s="204" t="s">
        <v>710</v>
      </c>
    </row>
    <row r="860" spans="1:9">
      <c r="A860" s="195" t="s">
        <v>15</v>
      </c>
      <c r="B860" s="195">
        <v>175.52</v>
      </c>
      <c r="C860" s="195">
        <v>0.92</v>
      </c>
      <c r="D860" s="195">
        <v>8.73</v>
      </c>
      <c r="E860" s="195">
        <v>0.92</v>
      </c>
      <c r="F860" s="195">
        <v>5.21</v>
      </c>
      <c r="H860" s="195" t="str">
        <f t="shared" ref="H860:H874" si="46">H859</f>
        <v>2013</v>
      </c>
      <c r="I860" s="204" t="s">
        <v>710</v>
      </c>
    </row>
    <row r="861" spans="1:9">
      <c r="A861" s="195" t="s">
        <v>16</v>
      </c>
      <c r="B861" s="195">
        <v>8.52</v>
      </c>
      <c r="C861" s="195">
        <v>0.64</v>
      </c>
      <c r="D861" s="195">
        <v>0.75</v>
      </c>
      <c r="E861" s="195">
        <v>0.9</v>
      </c>
      <c r="F861" s="195">
        <v>1.82</v>
      </c>
      <c r="H861" s="195" t="str">
        <f t="shared" si="46"/>
        <v>2013</v>
      </c>
      <c r="I861" s="204" t="s">
        <v>710</v>
      </c>
    </row>
    <row r="862" spans="1:9">
      <c r="A862" s="195" t="s">
        <v>37</v>
      </c>
      <c r="B862" s="195">
        <v>168.9</v>
      </c>
      <c r="C862" s="195">
        <v>1.84</v>
      </c>
      <c r="D862" s="195">
        <v>34.92</v>
      </c>
      <c r="E862" s="195">
        <v>0</v>
      </c>
      <c r="F862" s="195">
        <v>9.19</v>
      </c>
      <c r="H862" s="195" t="str">
        <f t="shared" si="46"/>
        <v>2013</v>
      </c>
      <c r="I862" s="204" t="s">
        <v>710</v>
      </c>
    </row>
    <row r="863" spans="1:9">
      <c r="A863" s="195" t="s">
        <v>36</v>
      </c>
      <c r="B863" s="195">
        <v>131.76</v>
      </c>
      <c r="C863" s="195">
        <v>1.78</v>
      </c>
      <c r="D863" s="195">
        <v>23.44</v>
      </c>
      <c r="E863" s="195">
        <v>0</v>
      </c>
      <c r="F863" s="195">
        <v>27.3</v>
      </c>
      <c r="H863" s="195" t="str">
        <f t="shared" si="46"/>
        <v>2013</v>
      </c>
      <c r="I863" s="204" t="s">
        <v>710</v>
      </c>
    </row>
    <row r="864" spans="1:9">
      <c r="A864" s="195" t="s">
        <v>453</v>
      </c>
      <c r="B864" s="195">
        <v>84.69</v>
      </c>
      <c r="C864" s="195">
        <v>0</v>
      </c>
      <c r="D864" s="195">
        <v>5.35</v>
      </c>
      <c r="E864" s="195">
        <v>0</v>
      </c>
      <c r="F864" s="195">
        <v>48.16</v>
      </c>
      <c r="H864" s="195" t="str">
        <f t="shared" si="46"/>
        <v>2013</v>
      </c>
      <c r="I864" s="204" t="s">
        <v>710</v>
      </c>
    </row>
    <row r="865" spans="1:9">
      <c r="A865" s="195" t="s">
        <v>456</v>
      </c>
      <c r="B865" s="195">
        <v>80.319999999999993</v>
      </c>
      <c r="C865" s="195">
        <v>92.08</v>
      </c>
      <c r="D865" s="195">
        <v>162.16999999999999</v>
      </c>
      <c r="E865" s="195">
        <v>9.74</v>
      </c>
      <c r="F865" s="195">
        <v>1.84</v>
      </c>
      <c r="H865" s="195" t="str">
        <f t="shared" si="46"/>
        <v>2013</v>
      </c>
      <c r="I865" s="204" t="s">
        <v>710</v>
      </c>
    </row>
    <row r="866" spans="1:9">
      <c r="A866" s="195" t="s">
        <v>35</v>
      </c>
      <c r="B866" s="195">
        <v>3.68</v>
      </c>
      <c r="C866" s="195">
        <v>4.2300000000000004</v>
      </c>
      <c r="D866" s="195">
        <v>270.27999999999997</v>
      </c>
      <c r="E866" s="195">
        <v>0</v>
      </c>
      <c r="F866" s="195">
        <v>3.06</v>
      </c>
      <c r="H866" s="195" t="str">
        <f t="shared" si="46"/>
        <v>2013</v>
      </c>
      <c r="I866" s="204" t="s">
        <v>710</v>
      </c>
    </row>
    <row r="867" spans="1:9">
      <c r="A867" s="195" t="s">
        <v>31</v>
      </c>
      <c r="B867" s="195">
        <v>41.08</v>
      </c>
      <c r="C867" s="195">
        <v>6.35</v>
      </c>
      <c r="D867" s="195">
        <v>20.54</v>
      </c>
      <c r="E867" s="195">
        <v>0.91</v>
      </c>
      <c r="F867" s="195">
        <v>28.58</v>
      </c>
      <c r="H867" s="195" t="str">
        <f t="shared" si="46"/>
        <v>2013</v>
      </c>
      <c r="I867" s="204" t="s">
        <v>710</v>
      </c>
    </row>
    <row r="868" spans="1:9">
      <c r="A868" s="195" t="s">
        <v>458</v>
      </c>
      <c r="B868" s="195">
        <v>0.61</v>
      </c>
      <c r="C868" s="195">
        <v>0</v>
      </c>
      <c r="D868" s="195">
        <v>0</v>
      </c>
      <c r="E868" s="195">
        <v>0</v>
      </c>
      <c r="F868" s="195">
        <v>0.85</v>
      </c>
      <c r="H868" s="195" t="str">
        <f t="shared" si="46"/>
        <v>2013</v>
      </c>
      <c r="I868" s="204" t="s">
        <v>710</v>
      </c>
    </row>
    <row r="869" spans="1:9">
      <c r="A869" s="195" t="s">
        <v>148</v>
      </c>
      <c r="B869" s="195">
        <v>289.76</v>
      </c>
      <c r="C869" s="195">
        <v>0.93</v>
      </c>
      <c r="D869" s="195">
        <v>5.56</v>
      </c>
      <c r="E869" s="195">
        <v>0.93</v>
      </c>
      <c r="F869" s="195">
        <v>24.86</v>
      </c>
      <c r="H869" s="195" t="str">
        <f t="shared" si="46"/>
        <v>2013</v>
      </c>
      <c r="I869" s="204" t="s">
        <v>710</v>
      </c>
    </row>
    <row r="870" spans="1:9">
      <c r="A870" s="195" t="s">
        <v>149</v>
      </c>
      <c r="B870" s="195">
        <v>316.27999999999997</v>
      </c>
      <c r="C870" s="195">
        <v>1.02</v>
      </c>
      <c r="D870" s="195">
        <v>6.06</v>
      </c>
      <c r="E870" s="195">
        <v>1.02</v>
      </c>
      <c r="F870" s="195">
        <v>49.17</v>
      </c>
      <c r="H870" s="195" t="str">
        <f t="shared" si="46"/>
        <v>2013</v>
      </c>
      <c r="I870" s="204" t="s">
        <v>710</v>
      </c>
    </row>
    <row r="871" spans="1:9">
      <c r="A871" s="195" t="s">
        <v>19</v>
      </c>
      <c r="B871" s="195">
        <v>48.15</v>
      </c>
      <c r="C871" s="195">
        <v>0</v>
      </c>
      <c r="D871" s="195">
        <v>5.32</v>
      </c>
      <c r="E871" s="195">
        <v>0</v>
      </c>
      <c r="F871" s="195">
        <v>16.05</v>
      </c>
      <c r="H871" s="195" t="str">
        <f t="shared" si="46"/>
        <v>2013</v>
      </c>
      <c r="I871" s="204" t="s">
        <v>710</v>
      </c>
    </row>
    <row r="872" spans="1:9">
      <c r="A872" s="195" t="s">
        <v>150</v>
      </c>
      <c r="B872" s="195">
        <v>16.77</v>
      </c>
      <c r="C872" s="195">
        <v>0</v>
      </c>
      <c r="D872" s="195">
        <v>126.4</v>
      </c>
      <c r="E872" s="195">
        <v>0</v>
      </c>
      <c r="F872" s="195">
        <v>25.3</v>
      </c>
      <c r="H872" s="195" t="str">
        <f t="shared" si="46"/>
        <v>2013</v>
      </c>
      <c r="I872" s="204" t="s">
        <v>710</v>
      </c>
    </row>
    <row r="873" spans="1:9">
      <c r="A873" s="195" t="s">
        <v>151</v>
      </c>
      <c r="B873" s="195">
        <v>14.64</v>
      </c>
      <c r="C873" s="195">
        <v>1.25</v>
      </c>
      <c r="D873" s="195">
        <v>329.44</v>
      </c>
      <c r="E873" s="195">
        <v>0.81</v>
      </c>
      <c r="F873" s="195">
        <v>13.78</v>
      </c>
      <c r="H873" s="195" t="str">
        <f t="shared" si="46"/>
        <v>2013</v>
      </c>
      <c r="I873" s="204" t="s">
        <v>710</v>
      </c>
    </row>
    <row r="874" spans="1:9">
      <c r="A874" s="195" t="s">
        <v>152</v>
      </c>
      <c r="B874" s="195">
        <v>88.33</v>
      </c>
      <c r="C874" s="195">
        <v>0.82</v>
      </c>
      <c r="D874" s="195">
        <v>175.2</v>
      </c>
      <c r="E874" s="195">
        <v>0</v>
      </c>
      <c r="F874" s="195">
        <v>49.52</v>
      </c>
      <c r="H874" s="195" t="str">
        <f t="shared" si="46"/>
        <v>2013</v>
      </c>
      <c r="I874" s="204" t="s">
        <v>710</v>
      </c>
    </row>
    <row r="875" spans="1:9">
      <c r="A875" s="195" t="s">
        <v>709</v>
      </c>
    </row>
    <row r="876" spans="1:9">
      <c r="A876" s="195" t="s">
        <v>25</v>
      </c>
      <c r="B876" s="195">
        <v>113.56</v>
      </c>
      <c r="C876" s="195">
        <v>113.5</v>
      </c>
      <c r="D876" s="195">
        <v>113.56</v>
      </c>
      <c r="E876" s="195">
        <v>113.3</v>
      </c>
      <c r="F876" s="195">
        <v>113.5</v>
      </c>
      <c r="H876" s="195" t="str">
        <f>H858</f>
        <v>2013</v>
      </c>
      <c r="I876" s="204" t="s">
        <v>153</v>
      </c>
    </row>
    <row r="877" spans="1:9">
      <c r="A877" s="195" t="s">
        <v>22</v>
      </c>
      <c r="B877" s="195">
        <v>44.83</v>
      </c>
      <c r="C877" s="195">
        <v>45.16</v>
      </c>
      <c r="D877" s="195">
        <v>44.58</v>
      </c>
      <c r="E877" s="195">
        <v>44.39</v>
      </c>
      <c r="F877" s="195">
        <v>31.79</v>
      </c>
      <c r="H877" s="195" t="str">
        <f t="shared" ref="H877:H892" si="47">H859</f>
        <v>2013</v>
      </c>
      <c r="I877" s="204" t="s">
        <v>153</v>
      </c>
    </row>
    <row r="878" spans="1:9">
      <c r="A878" s="195" t="s">
        <v>15</v>
      </c>
      <c r="B878" s="195">
        <v>37.14</v>
      </c>
      <c r="C878" s="195">
        <v>36.18</v>
      </c>
      <c r="D878" s="195">
        <v>36.89</v>
      </c>
      <c r="E878" s="195">
        <v>34.99</v>
      </c>
      <c r="F878" s="195">
        <v>37.270000000000003</v>
      </c>
      <c r="H878" s="195" t="str">
        <f t="shared" si="47"/>
        <v>2013</v>
      </c>
      <c r="I878" s="204" t="s">
        <v>153</v>
      </c>
    </row>
    <row r="879" spans="1:9">
      <c r="A879" s="195" t="s">
        <v>16</v>
      </c>
      <c r="B879" s="195">
        <v>37.89</v>
      </c>
      <c r="C879" s="195">
        <v>36.93</v>
      </c>
      <c r="D879" s="195">
        <v>37.57</v>
      </c>
      <c r="E879" s="195">
        <v>38.44</v>
      </c>
      <c r="F879" s="195">
        <v>40.82</v>
      </c>
      <c r="H879" s="195" t="str">
        <f t="shared" si="47"/>
        <v>2013</v>
      </c>
      <c r="I879" s="204" t="s">
        <v>153</v>
      </c>
    </row>
    <row r="880" spans="1:9">
      <c r="A880" s="195" t="s">
        <v>37</v>
      </c>
      <c r="B880" s="195">
        <v>26.39</v>
      </c>
      <c r="C880" s="195">
        <v>28.49</v>
      </c>
      <c r="D880" s="195">
        <v>28.96</v>
      </c>
      <c r="E880" s="195">
        <v>28.09</v>
      </c>
      <c r="F880" s="195">
        <v>29.93</v>
      </c>
      <c r="H880" s="195" t="str">
        <f t="shared" si="47"/>
        <v>2013</v>
      </c>
      <c r="I880" s="204" t="s">
        <v>153</v>
      </c>
    </row>
    <row r="881" spans="1:9">
      <c r="A881" s="195" t="s">
        <v>36</v>
      </c>
      <c r="B881" s="195">
        <v>28.5</v>
      </c>
      <c r="C881" s="195">
        <v>28.14</v>
      </c>
      <c r="D881" s="195">
        <v>28.61</v>
      </c>
      <c r="E881" s="195">
        <v>27.74</v>
      </c>
      <c r="F881" s="195">
        <v>30.11</v>
      </c>
      <c r="H881" s="195" t="str">
        <f t="shared" si="47"/>
        <v>2013</v>
      </c>
      <c r="I881" s="204" t="s">
        <v>153</v>
      </c>
    </row>
    <row r="882" spans="1:9">
      <c r="A882" s="195" t="s">
        <v>453</v>
      </c>
      <c r="B882" s="195">
        <v>35</v>
      </c>
      <c r="C882" s="195">
        <v>34.11</v>
      </c>
      <c r="D882" s="195">
        <v>33.950000000000003</v>
      </c>
      <c r="E882" s="195">
        <v>35.61</v>
      </c>
      <c r="F882" s="195">
        <v>36.450000000000003</v>
      </c>
      <c r="H882" s="195" t="str">
        <f t="shared" si="47"/>
        <v>2013</v>
      </c>
      <c r="I882" s="204" t="s">
        <v>153</v>
      </c>
    </row>
    <row r="883" spans="1:9">
      <c r="A883" s="195" t="s">
        <v>456</v>
      </c>
      <c r="B883" s="195">
        <v>28.5</v>
      </c>
      <c r="C883" s="195">
        <v>28.5</v>
      </c>
      <c r="D883" s="195">
        <v>28.5</v>
      </c>
      <c r="E883" s="195">
        <v>28.5</v>
      </c>
      <c r="F883" s="195">
        <v>28.5</v>
      </c>
      <c r="H883" s="195" t="str">
        <f t="shared" si="47"/>
        <v>2013</v>
      </c>
      <c r="I883" s="204" t="s">
        <v>153</v>
      </c>
    </row>
    <row r="884" spans="1:9">
      <c r="A884" s="195" t="s">
        <v>35</v>
      </c>
      <c r="B884" s="195">
        <v>20.39</v>
      </c>
      <c r="C884" s="195">
        <v>22.78</v>
      </c>
      <c r="D884" s="195">
        <v>22.83</v>
      </c>
      <c r="E884" s="195">
        <v>22.03</v>
      </c>
      <c r="F884" s="195">
        <v>23.75</v>
      </c>
      <c r="H884" s="195" t="str">
        <f t="shared" si="47"/>
        <v>2013</v>
      </c>
      <c r="I884" s="204" t="s">
        <v>153</v>
      </c>
    </row>
    <row r="885" spans="1:9">
      <c r="A885" s="195" t="s">
        <v>31</v>
      </c>
      <c r="B885" s="195">
        <v>30.59</v>
      </c>
      <c r="C885" s="195">
        <v>30.68</v>
      </c>
      <c r="D885" s="195">
        <v>31.56</v>
      </c>
      <c r="E885" s="195">
        <v>31.14</v>
      </c>
      <c r="F885" s="195">
        <v>32.35</v>
      </c>
      <c r="H885" s="195" t="str">
        <f t="shared" si="47"/>
        <v>2013</v>
      </c>
      <c r="I885" s="204" t="s">
        <v>153</v>
      </c>
    </row>
    <row r="886" spans="1:9">
      <c r="A886" s="195" t="s">
        <v>458</v>
      </c>
      <c r="B886" s="195">
        <v>47.76</v>
      </c>
      <c r="C886" s="195">
        <v>46.94</v>
      </c>
      <c r="D886" s="195">
        <v>46.48</v>
      </c>
      <c r="E886" s="195">
        <v>48.44</v>
      </c>
      <c r="F886" s="195">
        <v>46.06</v>
      </c>
      <c r="H886" s="195" t="str">
        <f t="shared" si="47"/>
        <v>2013</v>
      </c>
      <c r="I886" s="204" t="s">
        <v>153</v>
      </c>
    </row>
    <row r="887" spans="1:9">
      <c r="A887" s="195" t="s">
        <v>148</v>
      </c>
      <c r="B887" s="195">
        <v>59.99</v>
      </c>
      <c r="C887" s="195">
        <v>57.94</v>
      </c>
      <c r="D887" s="195">
        <v>57.53</v>
      </c>
      <c r="E887" s="195">
        <v>60.17</v>
      </c>
      <c r="F887" s="195">
        <v>57.56</v>
      </c>
      <c r="H887" s="195" t="str">
        <f t="shared" si="47"/>
        <v>2013</v>
      </c>
      <c r="I887" s="204" t="s">
        <v>153</v>
      </c>
    </row>
    <row r="888" spans="1:9">
      <c r="A888" s="195" t="s">
        <v>149</v>
      </c>
      <c r="B888" s="195">
        <v>31.91</v>
      </c>
      <c r="C888" s="195">
        <v>30.8</v>
      </c>
      <c r="D888" s="195">
        <v>31.21</v>
      </c>
      <c r="E888" s="195">
        <v>30.4</v>
      </c>
      <c r="F888" s="195">
        <v>31.55</v>
      </c>
      <c r="H888" s="195" t="str">
        <f t="shared" si="47"/>
        <v>2013</v>
      </c>
      <c r="I888" s="204" t="s">
        <v>153</v>
      </c>
    </row>
    <row r="889" spans="1:9">
      <c r="A889" s="195" t="s">
        <v>19</v>
      </c>
      <c r="B889" s="195">
        <v>41.37</v>
      </c>
      <c r="C889" s="195">
        <v>41.29</v>
      </c>
      <c r="D889" s="195">
        <v>40.32</v>
      </c>
      <c r="E889" s="195">
        <v>42.23</v>
      </c>
      <c r="F889" s="195">
        <v>42.84</v>
      </c>
      <c r="H889" s="195" t="str">
        <f t="shared" si="47"/>
        <v>2013</v>
      </c>
      <c r="I889" s="204" t="s">
        <v>153</v>
      </c>
    </row>
    <row r="890" spans="1:9">
      <c r="A890" s="195" t="s">
        <v>150</v>
      </c>
      <c r="B890" s="195">
        <v>18.809999999999999</v>
      </c>
      <c r="C890" s="195">
        <v>18.77</v>
      </c>
      <c r="D890" s="195">
        <v>18.329999999999998</v>
      </c>
      <c r="E890" s="195">
        <v>19.190000000000001</v>
      </c>
      <c r="F890" s="195">
        <v>19.47</v>
      </c>
      <c r="H890" s="195" t="str">
        <f t="shared" si="47"/>
        <v>2013</v>
      </c>
      <c r="I890" s="204" t="s">
        <v>153</v>
      </c>
    </row>
    <row r="891" spans="1:9">
      <c r="A891" s="195" t="s">
        <v>151</v>
      </c>
      <c r="B891" s="195">
        <v>22.98</v>
      </c>
      <c r="C891" s="195">
        <v>22.94</v>
      </c>
      <c r="D891" s="195">
        <v>22.4</v>
      </c>
      <c r="E891" s="195">
        <v>23.46</v>
      </c>
      <c r="F891" s="195">
        <v>23.8</v>
      </c>
      <c r="H891" s="195" t="str">
        <f t="shared" si="47"/>
        <v>2013</v>
      </c>
      <c r="I891" s="204" t="s">
        <v>153</v>
      </c>
    </row>
    <row r="892" spans="1:9">
      <c r="A892" s="195" t="s">
        <v>152</v>
      </c>
      <c r="B892" s="195">
        <v>17.239999999999998</v>
      </c>
      <c r="C892" s="195">
        <v>17.2</v>
      </c>
      <c r="D892" s="195">
        <v>16.8</v>
      </c>
      <c r="E892" s="195">
        <v>17.59</v>
      </c>
      <c r="F892" s="195">
        <v>17.850000000000001</v>
      </c>
      <c r="H892" s="195" t="str">
        <f t="shared" si="47"/>
        <v>2013</v>
      </c>
      <c r="I892" s="204" t="s">
        <v>153</v>
      </c>
    </row>
    <row r="893" spans="1:9">
      <c r="A893" s="195" t="s">
        <v>177</v>
      </c>
    </row>
    <row r="894" spans="1:9">
      <c r="A894" s="195" t="s">
        <v>708</v>
      </c>
    </row>
    <row r="895" spans="1:9">
      <c r="A895" s="195" t="s">
        <v>25</v>
      </c>
      <c r="B895" s="195">
        <v>0</v>
      </c>
      <c r="C895" s="195">
        <v>0</v>
      </c>
      <c r="D895" s="195">
        <v>0</v>
      </c>
      <c r="E895" s="195">
        <v>0</v>
      </c>
      <c r="F895" s="195">
        <v>0</v>
      </c>
      <c r="H895" s="195" t="str">
        <f>RIGHT(A893,4)</f>
        <v>2014</v>
      </c>
      <c r="I895" s="204" t="s">
        <v>710</v>
      </c>
    </row>
    <row r="896" spans="1:9">
      <c r="A896" s="195" t="s">
        <v>22</v>
      </c>
      <c r="B896" s="195">
        <v>282.48</v>
      </c>
      <c r="C896" s="195">
        <v>1.08</v>
      </c>
      <c r="D896" s="195">
        <v>30.31</v>
      </c>
      <c r="E896" s="195">
        <v>0</v>
      </c>
      <c r="F896" s="195">
        <v>20.98</v>
      </c>
      <c r="H896" s="195" t="str">
        <f>H895</f>
        <v>2014</v>
      </c>
      <c r="I896" s="204" t="s">
        <v>710</v>
      </c>
    </row>
    <row r="897" spans="1:9">
      <c r="A897" s="195" t="s">
        <v>15</v>
      </c>
      <c r="B897" s="195">
        <v>179.03</v>
      </c>
      <c r="C897" s="195">
        <v>0.94</v>
      </c>
      <c r="D897" s="195">
        <v>8.9</v>
      </c>
      <c r="E897" s="195">
        <v>0.94</v>
      </c>
      <c r="F897" s="195">
        <v>5.31</v>
      </c>
      <c r="H897" s="195" t="str">
        <f t="shared" ref="H897:H911" si="48">H896</f>
        <v>2014</v>
      </c>
      <c r="I897" s="204" t="s">
        <v>710</v>
      </c>
    </row>
    <row r="898" spans="1:9">
      <c r="A898" s="195" t="s">
        <v>16</v>
      </c>
      <c r="B898" s="195">
        <v>6.39</v>
      </c>
      <c r="C898" s="195">
        <v>0.48</v>
      </c>
      <c r="D898" s="195">
        <v>0.56000000000000005</v>
      </c>
      <c r="E898" s="195">
        <v>0.67</v>
      </c>
      <c r="F898" s="195">
        <v>1.36</v>
      </c>
      <c r="H898" s="195" t="str">
        <f t="shared" si="48"/>
        <v>2014</v>
      </c>
      <c r="I898" s="204" t="s">
        <v>710</v>
      </c>
    </row>
    <row r="899" spans="1:9">
      <c r="A899" s="195" t="s">
        <v>37</v>
      </c>
      <c r="B899" s="195">
        <v>172.28</v>
      </c>
      <c r="C899" s="195">
        <v>1.87</v>
      </c>
      <c r="D899" s="195">
        <v>35.619999999999997</v>
      </c>
      <c r="E899" s="195">
        <v>0</v>
      </c>
      <c r="F899" s="195">
        <v>9.3699999999999992</v>
      </c>
      <c r="H899" s="195" t="str">
        <f t="shared" si="48"/>
        <v>2014</v>
      </c>
      <c r="I899" s="204" t="s">
        <v>710</v>
      </c>
    </row>
    <row r="900" spans="1:9">
      <c r="A900" s="195" t="s">
        <v>36</v>
      </c>
      <c r="B900" s="195">
        <v>130.44</v>
      </c>
      <c r="C900" s="195">
        <v>1.76</v>
      </c>
      <c r="D900" s="195">
        <v>23.21</v>
      </c>
      <c r="E900" s="195">
        <v>0</v>
      </c>
      <c r="F900" s="195">
        <v>27.03</v>
      </c>
      <c r="H900" s="195" t="str">
        <f t="shared" si="48"/>
        <v>2014</v>
      </c>
      <c r="I900" s="204" t="s">
        <v>710</v>
      </c>
    </row>
    <row r="901" spans="1:9">
      <c r="A901" s="195" t="s">
        <v>453</v>
      </c>
      <c r="B901" s="195">
        <v>86.38</v>
      </c>
      <c r="C901" s="195">
        <v>0</v>
      </c>
      <c r="D901" s="195">
        <v>5.46</v>
      </c>
      <c r="E901" s="195">
        <v>0</v>
      </c>
      <c r="F901" s="195">
        <v>49.12</v>
      </c>
      <c r="H901" s="195" t="str">
        <f t="shared" si="48"/>
        <v>2014</v>
      </c>
      <c r="I901" s="204" t="s">
        <v>710</v>
      </c>
    </row>
    <row r="902" spans="1:9">
      <c r="A902" s="195" t="s">
        <v>456</v>
      </c>
      <c r="B902" s="195">
        <v>81.92</v>
      </c>
      <c r="C902" s="195">
        <v>93.92</v>
      </c>
      <c r="D902" s="195">
        <v>165.41</v>
      </c>
      <c r="E902" s="195">
        <v>9.94</v>
      </c>
      <c r="F902" s="195">
        <v>1.87</v>
      </c>
      <c r="H902" s="195" t="str">
        <f t="shared" si="48"/>
        <v>2014</v>
      </c>
      <c r="I902" s="204" t="s">
        <v>710</v>
      </c>
    </row>
    <row r="903" spans="1:9">
      <c r="A903" s="195" t="s">
        <v>35</v>
      </c>
      <c r="B903" s="195">
        <v>3.75</v>
      </c>
      <c r="C903" s="195">
        <v>4.3099999999999996</v>
      </c>
      <c r="D903" s="195">
        <v>275.68</v>
      </c>
      <c r="E903" s="195">
        <v>0</v>
      </c>
      <c r="F903" s="195">
        <v>3.12</v>
      </c>
      <c r="H903" s="195" t="str">
        <f t="shared" si="48"/>
        <v>2014</v>
      </c>
      <c r="I903" s="204" t="s">
        <v>710</v>
      </c>
    </row>
    <row r="904" spans="1:9">
      <c r="A904" s="195" t="s">
        <v>31</v>
      </c>
      <c r="B904" s="195">
        <v>41.74</v>
      </c>
      <c r="C904" s="195">
        <v>6.45</v>
      </c>
      <c r="D904" s="195">
        <v>20.87</v>
      </c>
      <c r="E904" s="195">
        <v>0.92</v>
      </c>
      <c r="F904" s="195">
        <v>29.04</v>
      </c>
      <c r="H904" s="195" t="str">
        <f t="shared" si="48"/>
        <v>2014</v>
      </c>
      <c r="I904" s="204" t="s">
        <v>710</v>
      </c>
    </row>
    <row r="905" spans="1:9">
      <c r="A905" s="195" t="s">
        <v>458</v>
      </c>
      <c r="B905" s="195">
        <v>0.63</v>
      </c>
      <c r="C905" s="195">
        <v>0</v>
      </c>
      <c r="D905" s="195">
        <v>0</v>
      </c>
      <c r="E905" s="195">
        <v>0</v>
      </c>
      <c r="F905" s="195">
        <v>0.87</v>
      </c>
      <c r="H905" s="195" t="str">
        <f t="shared" si="48"/>
        <v>2014</v>
      </c>
      <c r="I905" s="204" t="s">
        <v>710</v>
      </c>
    </row>
    <row r="906" spans="1:9">
      <c r="A906" s="195" t="s">
        <v>148</v>
      </c>
      <c r="B906" s="195">
        <v>295.55</v>
      </c>
      <c r="C906" s="195">
        <v>0.95</v>
      </c>
      <c r="D906" s="195">
        <v>5.67</v>
      </c>
      <c r="E906" s="195">
        <v>0.95</v>
      </c>
      <c r="F906" s="195">
        <v>25.35</v>
      </c>
      <c r="H906" s="195" t="str">
        <f t="shared" si="48"/>
        <v>2014</v>
      </c>
      <c r="I906" s="204" t="s">
        <v>710</v>
      </c>
    </row>
    <row r="907" spans="1:9">
      <c r="A907" s="195" t="s">
        <v>149</v>
      </c>
      <c r="B907" s="195">
        <v>327.35000000000002</v>
      </c>
      <c r="C907" s="195">
        <v>1.05</v>
      </c>
      <c r="D907" s="195">
        <v>6.27</v>
      </c>
      <c r="E907" s="195">
        <v>1.05</v>
      </c>
      <c r="F907" s="195">
        <v>50.89</v>
      </c>
      <c r="H907" s="195" t="str">
        <f t="shared" si="48"/>
        <v>2014</v>
      </c>
      <c r="I907" s="204" t="s">
        <v>710</v>
      </c>
    </row>
    <row r="908" spans="1:9">
      <c r="A908" s="195" t="s">
        <v>19</v>
      </c>
      <c r="B908" s="195">
        <v>49.83</v>
      </c>
      <c r="C908" s="195">
        <v>0</v>
      </c>
      <c r="D908" s="195">
        <v>5.5</v>
      </c>
      <c r="E908" s="195">
        <v>0</v>
      </c>
      <c r="F908" s="195">
        <v>16.61</v>
      </c>
      <c r="H908" s="195" t="str">
        <f t="shared" si="48"/>
        <v>2014</v>
      </c>
      <c r="I908" s="204" t="s">
        <v>710</v>
      </c>
    </row>
    <row r="909" spans="1:9">
      <c r="A909" s="195" t="s">
        <v>150</v>
      </c>
      <c r="B909" s="195">
        <v>17.03</v>
      </c>
      <c r="C909" s="195">
        <v>0</v>
      </c>
      <c r="D909" s="195">
        <v>128.29</v>
      </c>
      <c r="E909" s="195">
        <v>0</v>
      </c>
      <c r="F909" s="195">
        <v>25.68</v>
      </c>
      <c r="H909" s="195" t="str">
        <f t="shared" si="48"/>
        <v>2014</v>
      </c>
      <c r="I909" s="204" t="s">
        <v>710</v>
      </c>
    </row>
    <row r="910" spans="1:9">
      <c r="A910" s="195" t="s">
        <v>151</v>
      </c>
      <c r="B910" s="195">
        <v>14.86</v>
      </c>
      <c r="C910" s="195">
        <v>1.27</v>
      </c>
      <c r="D910" s="195">
        <v>334.38</v>
      </c>
      <c r="E910" s="195">
        <v>0.83</v>
      </c>
      <c r="F910" s="195">
        <v>13.98</v>
      </c>
      <c r="H910" s="195" t="str">
        <f t="shared" si="48"/>
        <v>2014</v>
      </c>
      <c r="I910" s="204" t="s">
        <v>710</v>
      </c>
    </row>
    <row r="911" spans="1:9">
      <c r="A911" s="195" t="s">
        <v>152</v>
      </c>
      <c r="B911" s="195">
        <v>89.65</v>
      </c>
      <c r="C911" s="195">
        <v>0.84</v>
      </c>
      <c r="D911" s="195">
        <v>177.83</v>
      </c>
      <c r="E911" s="195">
        <v>0</v>
      </c>
      <c r="F911" s="195">
        <v>50.26</v>
      </c>
      <c r="H911" s="195" t="str">
        <f t="shared" si="48"/>
        <v>2014</v>
      </c>
      <c r="I911" s="204" t="s">
        <v>710</v>
      </c>
    </row>
    <row r="912" spans="1:9">
      <c r="A912" s="195" t="s">
        <v>709</v>
      </c>
    </row>
    <row r="913" spans="1:9">
      <c r="A913" s="195" t="s">
        <v>25</v>
      </c>
      <c r="B913" s="195">
        <v>113.56</v>
      </c>
      <c r="C913" s="195">
        <v>113.5</v>
      </c>
      <c r="D913" s="195">
        <v>113.56</v>
      </c>
      <c r="E913" s="195">
        <v>113.3</v>
      </c>
      <c r="F913" s="195">
        <v>113.5</v>
      </c>
      <c r="H913" s="195" t="str">
        <f>H895</f>
        <v>2014</v>
      </c>
      <c r="I913" s="204" t="s">
        <v>153</v>
      </c>
    </row>
    <row r="914" spans="1:9">
      <c r="A914" s="195" t="s">
        <v>22</v>
      </c>
      <c r="B914" s="195">
        <v>41.71</v>
      </c>
      <c r="C914" s="195">
        <v>42.18</v>
      </c>
      <c r="D914" s="195">
        <v>41.59</v>
      </c>
      <c r="E914" s="195">
        <v>41.4</v>
      </c>
      <c r="F914" s="195">
        <v>31.64</v>
      </c>
      <c r="H914" s="195" t="str">
        <f t="shared" ref="H914:H929" si="49">H896</f>
        <v>2014</v>
      </c>
      <c r="I914" s="204" t="s">
        <v>153</v>
      </c>
    </row>
    <row r="915" spans="1:9">
      <c r="A915" s="195" t="s">
        <v>15</v>
      </c>
      <c r="B915" s="195">
        <v>36.42</v>
      </c>
      <c r="C915" s="195">
        <v>35.46</v>
      </c>
      <c r="D915" s="195">
        <v>36.31</v>
      </c>
      <c r="E915" s="195">
        <v>34.15</v>
      </c>
      <c r="F915" s="195">
        <v>37.44</v>
      </c>
      <c r="H915" s="195" t="str">
        <f t="shared" si="49"/>
        <v>2014</v>
      </c>
      <c r="I915" s="204" t="s">
        <v>153</v>
      </c>
    </row>
    <row r="916" spans="1:9">
      <c r="A916" s="195" t="s">
        <v>16</v>
      </c>
      <c r="B916" s="195">
        <v>113.56</v>
      </c>
      <c r="C916" s="195">
        <v>113.5</v>
      </c>
      <c r="D916" s="195">
        <v>113.56</v>
      </c>
      <c r="E916" s="195">
        <v>113.5</v>
      </c>
      <c r="F916" s="195">
        <v>113.5</v>
      </c>
      <c r="H916" s="195" t="str">
        <f t="shared" si="49"/>
        <v>2014</v>
      </c>
      <c r="I916" s="204" t="s">
        <v>153</v>
      </c>
    </row>
    <row r="917" spans="1:9">
      <c r="A917" s="195" t="s">
        <v>37</v>
      </c>
      <c r="B917" s="195">
        <v>28.19</v>
      </c>
      <c r="C917" s="195">
        <v>28.19</v>
      </c>
      <c r="D917" s="195">
        <v>28.65</v>
      </c>
      <c r="E917" s="195">
        <v>27.46</v>
      </c>
      <c r="F917" s="195">
        <v>30.03</v>
      </c>
      <c r="H917" s="195" t="str">
        <f t="shared" si="49"/>
        <v>2014</v>
      </c>
      <c r="I917" s="204" t="s">
        <v>153</v>
      </c>
    </row>
    <row r="918" spans="1:9">
      <c r="A918" s="195" t="s">
        <v>36</v>
      </c>
      <c r="B918" s="195">
        <v>27.88</v>
      </c>
      <c r="C918" s="195">
        <v>27.88</v>
      </c>
      <c r="D918" s="195">
        <v>28.35</v>
      </c>
      <c r="E918" s="195">
        <v>27.49</v>
      </c>
      <c r="F918" s="195">
        <v>30.14</v>
      </c>
      <c r="H918" s="195" t="str">
        <f t="shared" si="49"/>
        <v>2014</v>
      </c>
      <c r="I918" s="204" t="s">
        <v>153</v>
      </c>
    </row>
    <row r="919" spans="1:9">
      <c r="A919" s="195" t="s">
        <v>453</v>
      </c>
      <c r="B919" s="195">
        <v>34.24</v>
      </c>
      <c r="C919" s="195">
        <v>33.35</v>
      </c>
      <c r="D919" s="195">
        <v>33.200000000000003</v>
      </c>
      <c r="E919" s="195">
        <v>35.92</v>
      </c>
      <c r="F919" s="195">
        <v>35.86</v>
      </c>
      <c r="H919" s="195" t="str">
        <f t="shared" si="49"/>
        <v>2014</v>
      </c>
      <c r="I919" s="204" t="s">
        <v>153</v>
      </c>
    </row>
    <row r="920" spans="1:9">
      <c r="A920" s="195" t="s">
        <v>456</v>
      </c>
      <c r="B920" s="195">
        <v>28.5</v>
      </c>
      <c r="C920" s="195">
        <v>28.5</v>
      </c>
      <c r="D920" s="195">
        <v>28.5</v>
      </c>
      <c r="E920" s="195">
        <v>28.5</v>
      </c>
      <c r="F920" s="195">
        <v>28.5</v>
      </c>
      <c r="H920" s="195" t="str">
        <f t="shared" si="49"/>
        <v>2014</v>
      </c>
      <c r="I920" s="204" t="s">
        <v>153</v>
      </c>
    </row>
    <row r="921" spans="1:9">
      <c r="A921" s="195" t="s">
        <v>35</v>
      </c>
      <c r="B921" s="195">
        <v>20.28</v>
      </c>
      <c r="C921" s="195">
        <v>23</v>
      </c>
      <c r="D921" s="195">
        <v>23.05</v>
      </c>
      <c r="E921" s="195">
        <v>22.25</v>
      </c>
      <c r="F921" s="195">
        <v>20.9</v>
      </c>
      <c r="H921" s="195" t="str">
        <f t="shared" si="49"/>
        <v>2014</v>
      </c>
      <c r="I921" s="204" t="s">
        <v>153</v>
      </c>
    </row>
    <row r="922" spans="1:9">
      <c r="A922" s="195" t="s">
        <v>31</v>
      </c>
      <c r="B922" s="195">
        <v>31.42</v>
      </c>
      <c r="C922" s="195">
        <v>31.42</v>
      </c>
      <c r="D922" s="195">
        <v>32</v>
      </c>
      <c r="E922" s="195">
        <v>31.51</v>
      </c>
      <c r="F922" s="195">
        <v>32.42</v>
      </c>
      <c r="H922" s="195" t="str">
        <f t="shared" si="49"/>
        <v>2014</v>
      </c>
      <c r="I922" s="204" t="s">
        <v>153</v>
      </c>
    </row>
    <row r="923" spans="1:9">
      <c r="A923" s="195" t="s">
        <v>458</v>
      </c>
      <c r="B923" s="195">
        <v>47.76</v>
      </c>
      <c r="C923" s="195">
        <v>46.94</v>
      </c>
      <c r="D923" s="195">
        <v>46.48</v>
      </c>
      <c r="E923" s="195">
        <v>48.44</v>
      </c>
      <c r="F923" s="195">
        <v>46.06</v>
      </c>
      <c r="H923" s="195" t="str">
        <f t="shared" si="49"/>
        <v>2014</v>
      </c>
      <c r="I923" s="204" t="s">
        <v>153</v>
      </c>
    </row>
    <row r="924" spans="1:9">
      <c r="A924" s="195" t="s">
        <v>148</v>
      </c>
      <c r="B924" s="195">
        <v>59.99</v>
      </c>
      <c r="C924" s="195">
        <v>57.94</v>
      </c>
      <c r="D924" s="195">
        <v>57.53</v>
      </c>
      <c r="E924" s="195">
        <v>60.17</v>
      </c>
      <c r="F924" s="195">
        <v>57.56</v>
      </c>
      <c r="H924" s="195" t="str">
        <f t="shared" si="49"/>
        <v>2014</v>
      </c>
      <c r="I924" s="204" t="s">
        <v>153</v>
      </c>
    </row>
    <row r="925" spans="1:9">
      <c r="A925" s="195" t="s">
        <v>149</v>
      </c>
      <c r="B925" s="195">
        <v>31.91</v>
      </c>
      <c r="C925" s="195">
        <v>30.8</v>
      </c>
      <c r="D925" s="195">
        <v>31.21</v>
      </c>
      <c r="E925" s="195">
        <v>30.4</v>
      </c>
      <c r="F925" s="195">
        <v>31.55</v>
      </c>
      <c r="H925" s="195" t="str">
        <f t="shared" si="49"/>
        <v>2014</v>
      </c>
      <c r="I925" s="204" t="s">
        <v>153</v>
      </c>
    </row>
    <row r="926" spans="1:9">
      <c r="A926" s="195" t="s">
        <v>19</v>
      </c>
      <c r="B926" s="195">
        <v>40.409999999999997</v>
      </c>
      <c r="C926" s="195">
        <v>40.33</v>
      </c>
      <c r="D926" s="195">
        <v>39.369999999999997</v>
      </c>
      <c r="E926" s="195">
        <v>42.4</v>
      </c>
      <c r="F926" s="195">
        <v>42.2</v>
      </c>
      <c r="H926" s="195" t="str">
        <f t="shared" si="49"/>
        <v>2014</v>
      </c>
      <c r="I926" s="204" t="s">
        <v>153</v>
      </c>
    </row>
    <row r="927" spans="1:9">
      <c r="A927" s="195" t="s">
        <v>150</v>
      </c>
      <c r="B927" s="195">
        <v>18.37</v>
      </c>
      <c r="C927" s="195">
        <v>18.329999999999998</v>
      </c>
      <c r="D927" s="195">
        <v>17.89</v>
      </c>
      <c r="E927" s="195">
        <v>19.27</v>
      </c>
      <c r="F927" s="195">
        <v>19.18</v>
      </c>
      <c r="H927" s="195" t="str">
        <f t="shared" si="49"/>
        <v>2014</v>
      </c>
      <c r="I927" s="204" t="s">
        <v>153</v>
      </c>
    </row>
    <row r="928" spans="1:9">
      <c r="A928" s="195" t="s">
        <v>151</v>
      </c>
      <c r="B928" s="195">
        <v>22.45</v>
      </c>
      <c r="C928" s="195">
        <v>22.41</v>
      </c>
      <c r="D928" s="195">
        <v>21.87</v>
      </c>
      <c r="E928" s="195">
        <v>23.56</v>
      </c>
      <c r="F928" s="195">
        <v>23.45</v>
      </c>
      <c r="H928" s="195" t="str">
        <f t="shared" si="49"/>
        <v>2014</v>
      </c>
      <c r="I928" s="204" t="s">
        <v>153</v>
      </c>
    </row>
    <row r="929" spans="1:9">
      <c r="A929" s="195" t="s">
        <v>152</v>
      </c>
      <c r="B929" s="195">
        <v>16.84</v>
      </c>
      <c r="C929" s="195">
        <v>16.809999999999999</v>
      </c>
      <c r="D929" s="195">
        <v>16.399999999999999</v>
      </c>
      <c r="E929" s="195">
        <v>17.670000000000002</v>
      </c>
      <c r="F929" s="195">
        <v>17.579999999999998</v>
      </c>
      <c r="H929" s="195" t="str">
        <f t="shared" si="49"/>
        <v>2014</v>
      </c>
      <c r="I929" s="204" t="s">
        <v>153</v>
      </c>
    </row>
    <row r="930" spans="1:9">
      <c r="A930" s="195" t="s">
        <v>178</v>
      </c>
    </row>
    <row r="931" spans="1:9">
      <c r="A931" s="195" t="s">
        <v>708</v>
      </c>
    </row>
    <row r="932" spans="1:9">
      <c r="A932" s="195" t="s">
        <v>25</v>
      </c>
      <c r="B932" s="195">
        <v>0</v>
      </c>
      <c r="C932" s="195">
        <v>0</v>
      </c>
      <c r="D932" s="195">
        <v>0</v>
      </c>
      <c r="E932" s="195">
        <v>0</v>
      </c>
      <c r="F932" s="195">
        <v>0</v>
      </c>
      <c r="H932" s="195" t="str">
        <f>RIGHT(A930,4)</f>
        <v>2015</v>
      </c>
      <c r="I932" s="204" t="s">
        <v>710</v>
      </c>
    </row>
    <row r="933" spans="1:9">
      <c r="A933" s="195" t="s">
        <v>22</v>
      </c>
      <c r="B933" s="195">
        <v>286.70999999999998</v>
      </c>
      <c r="C933" s="195">
        <v>1.0900000000000001</v>
      </c>
      <c r="D933" s="195">
        <v>30.76</v>
      </c>
      <c r="E933" s="195">
        <v>0</v>
      </c>
      <c r="F933" s="195">
        <v>21.3</v>
      </c>
      <c r="H933" s="195" t="str">
        <f>H932</f>
        <v>2015</v>
      </c>
      <c r="I933" s="204" t="s">
        <v>710</v>
      </c>
    </row>
    <row r="934" spans="1:9">
      <c r="A934" s="195" t="s">
        <v>15</v>
      </c>
      <c r="B934" s="195">
        <v>182.61</v>
      </c>
      <c r="C934" s="195">
        <v>0.96</v>
      </c>
      <c r="D934" s="195">
        <v>9.08</v>
      </c>
      <c r="E934" s="195">
        <v>0.96</v>
      </c>
      <c r="F934" s="195">
        <v>5.42</v>
      </c>
      <c r="H934" s="195" t="str">
        <f t="shared" ref="H934:H948" si="50">H933</f>
        <v>2015</v>
      </c>
      <c r="I934" s="204" t="s">
        <v>710</v>
      </c>
    </row>
    <row r="935" spans="1:9">
      <c r="A935" s="195" t="s">
        <v>16</v>
      </c>
      <c r="B935" s="195">
        <v>4.79</v>
      </c>
      <c r="C935" s="195">
        <v>0.36</v>
      </c>
      <c r="D935" s="195">
        <v>0.42</v>
      </c>
      <c r="E935" s="195">
        <v>0.5</v>
      </c>
      <c r="F935" s="195">
        <v>1.02</v>
      </c>
      <c r="H935" s="195" t="str">
        <f t="shared" si="50"/>
        <v>2015</v>
      </c>
      <c r="I935" s="204" t="s">
        <v>710</v>
      </c>
    </row>
    <row r="936" spans="1:9">
      <c r="A936" s="195" t="s">
        <v>37</v>
      </c>
      <c r="B936" s="195">
        <v>175.73</v>
      </c>
      <c r="C936" s="195">
        <v>1.91</v>
      </c>
      <c r="D936" s="195">
        <v>36.33</v>
      </c>
      <c r="E936" s="195">
        <v>0</v>
      </c>
      <c r="F936" s="195">
        <v>9.56</v>
      </c>
      <c r="H936" s="195" t="str">
        <f t="shared" si="50"/>
        <v>2015</v>
      </c>
      <c r="I936" s="204" t="s">
        <v>710</v>
      </c>
    </row>
    <row r="937" spans="1:9">
      <c r="A937" s="195" t="s">
        <v>36</v>
      </c>
      <c r="B937" s="195">
        <v>129.13999999999999</v>
      </c>
      <c r="C937" s="195">
        <v>1.75</v>
      </c>
      <c r="D937" s="195">
        <v>22.98</v>
      </c>
      <c r="E937" s="195">
        <v>0</v>
      </c>
      <c r="F937" s="195">
        <v>26.76</v>
      </c>
      <c r="H937" s="195" t="str">
        <f t="shared" si="50"/>
        <v>2015</v>
      </c>
      <c r="I937" s="204" t="s">
        <v>710</v>
      </c>
    </row>
    <row r="938" spans="1:9">
      <c r="A938" s="195" t="s">
        <v>453</v>
      </c>
      <c r="B938" s="195">
        <v>88.11</v>
      </c>
      <c r="C938" s="195">
        <v>0</v>
      </c>
      <c r="D938" s="195">
        <v>5.57</v>
      </c>
      <c r="E938" s="195">
        <v>0</v>
      </c>
      <c r="F938" s="195">
        <v>50.1</v>
      </c>
      <c r="H938" s="195" t="str">
        <f t="shared" si="50"/>
        <v>2015</v>
      </c>
      <c r="I938" s="204" t="s">
        <v>710</v>
      </c>
    </row>
    <row r="939" spans="1:9">
      <c r="A939" s="195" t="s">
        <v>456</v>
      </c>
      <c r="B939" s="195">
        <v>83.56</v>
      </c>
      <c r="C939" s="195">
        <v>95.8</v>
      </c>
      <c r="D939" s="195">
        <v>168.72</v>
      </c>
      <c r="E939" s="195">
        <v>10.130000000000001</v>
      </c>
      <c r="F939" s="195">
        <v>1.91</v>
      </c>
      <c r="H939" s="195" t="str">
        <f t="shared" si="50"/>
        <v>2015</v>
      </c>
      <c r="I939" s="204" t="s">
        <v>710</v>
      </c>
    </row>
    <row r="940" spans="1:9">
      <c r="A940" s="195" t="s">
        <v>35</v>
      </c>
      <c r="B940" s="195">
        <v>3.82</v>
      </c>
      <c r="C940" s="195">
        <v>4.4000000000000004</v>
      </c>
      <c r="D940" s="195">
        <v>281.2</v>
      </c>
      <c r="E940" s="195">
        <v>0</v>
      </c>
      <c r="F940" s="195">
        <v>3.19</v>
      </c>
      <c r="H940" s="195" t="str">
        <f t="shared" si="50"/>
        <v>2015</v>
      </c>
      <c r="I940" s="204" t="s">
        <v>710</v>
      </c>
    </row>
    <row r="941" spans="1:9">
      <c r="A941" s="195" t="s">
        <v>31</v>
      </c>
      <c r="B941" s="195">
        <v>42.41</v>
      </c>
      <c r="C941" s="195">
        <v>6.55</v>
      </c>
      <c r="D941" s="195">
        <v>21.2</v>
      </c>
      <c r="E941" s="195">
        <v>0.94</v>
      </c>
      <c r="F941" s="195">
        <v>29.5</v>
      </c>
      <c r="H941" s="195" t="str">
        <f t="shared" si="50"/>
        <v>2015</v>
      </c>
      <c r="I941" s="204" t="s">
        <v>710</v>
      </c>
    </row>
    <row r="942" spans="1:9">
      <c r="A942" s="195" t="s">
        <v>458</v>
      </c>
      <c r="B942" s="195">
        <v>0.65</v>
      </c>
      <c r="C942" s="195">
        <v>0</v>
      </c>
      <c r="D942" s="195">
        <v>0</v>
      </c>
      <c r="E942" s="195">
        <v>0</v>
      </c>
      <c r="F942" s="195">
        <v>0.9</v>
      </c>
      <c r="H942" s="195" t="str">
        <f t="shared" si="50"/>
        <v>2015</v>
      </c>
      <c r="I942" s="204" t="s">
        <v>710</v>
      </c>
    </row>
    <row r="943" spans="1:9">
      <c r="A943" s="195" t="s">
        <v>148</v>
      </c>
      <c r="B943" s="195">
        <v>301.45999999999998</v>
      </c>
      <c r="C943" s="195">
        <v>0.97</v>
      </c>
      <c r="D943" s="195">
        <v>5.78</v>
      </c>
      <c r="E943" s="195">
        <v>0.97</v>
      </c>
      <c r="F943" s="195">
        <v>25.86</v>
      </c>
      <c r="H943" s="195" t="str">
        <f t="shared" si="50"/>
        <v>2015</v>
      </c>
      <c r="I943" s="204" t="s">
        <v>710</v>
      </c>
    </row>
    <row r="944" spans="1:9">
      <c r="A944" s="195" t="s">
        <v>149</v>
      </c>
      <c r="B944" s="195">
        <v>338.81</v>
      </c>
      <c r="C944" s="195">
        <v>1.0900000000000001</v>
      </c>
      <c r="D944" s="195">
        <v>6.49</v>
      </c>
      <c r="E944" s="195">
        <v>1.0900000000000001</v>
      </c>
      <c r="F944" s="195">
        <v>52.67</v>
      </c>
      <c r="H944" s="195" t="str">
        <f t="shared" si="50"/>
        <v>2015</v>
      </c>
      <c r="I944" s="204" t="s">
        <v>710</v>
      </c>
    </row>
    <row r="945" spans="1:9">
      <c r="A945" s="195" t="s">
        <v>19</v>
      </c>
      <c r="B945" s="195">
        <v>51.58</v>
      </c>
      <c r="C945" s="195">
        <v>0</v>
      </c>
      <c r="D945" s="195">
        <v>5.69</v>
      </c>
      <c r="E945" s="195">
        <v>0</v>
      </c>
      <c r="F945" s="195">
        <v>17.190000000000001</v>
      </c>
      <c r="H945" s="195" t="str">
        <f t="shared" si="50"/>
        <v>2015</v>
      </c>
      <c r="I945" s="204" t="s">
        <v>710</v>
      </c>
    </row>
    <row r="946" spans="1:9">
      <c r="A946" s="195" t="s">
        <v>150</v>
      </c>
      <c r="B946" s="195">
        <v>17.28</v>
      </c>
      <c r="C946" s="195">
        <v>0</v>
      </c>
      <c r="D946" s="195">
        <v>130.22</v>
      </c>
      <c r="E946" s="195">
        <v>0</v>
      </c>
      <c r="F946" s="195">
        <v>26.06</v>
      </c>
      <c r="H946" s="195" t="str">
        <f t="shared" si="50"/>
        <v>2015</v>
      </c>
      <c r="I946" s="204" t="s">
        <v>710</v>
      </c>
    </row>
    <row r="947" spans="1:9">
      <c r="A947" s="195" t="s">
        <v>151</v>
      </c>
      <c r="B947" s="195">
        <v>15.08</v>
      </c>
      <c r="C947" s="195">
        <v>1.29</v>
      </c>
      <c r="D947" s="195">
        <v>339.39</v>
      </c>
      <c r="E947" s="195">
        <v>0.84</v>
      </c>
      <c r="F947" s="195">
        <v>14.19</v>
      </c>
      <c r="H947" s="195" t="str">
        <f t="shared" si="50"/>
        <v>2015</v>
      </c>
      <c r="I947" s="204" t="s">
        <v>710</v>
      </c>
    </row>
    <row r="948" spans="1:9">
      <c r="A948" s="195" t="s">
        <v>152</v>
      </c>
      <c r="B948" s="195">
        <v>91</v>
      </c>
      <c r="C948" s="195">
        <v>0.85</v>
      </c>
      <c r="D948" s="195">
        <v>180.5</v>
      </c>
      <c r="E948" s="195">
        <v>0</v>
      </c>
      <c r="F948" s="195">
        <v>51.02</v>
      </c>
      <c r="H948" s="195" t="str">
        <f t="shared" si="50"/>
        <v>2015</v>
      </c>
      <c r="I948" s="204" t="s">
        <v>710</v>
      </c>
    </row>
    <row r="949" spans="1:9">
      <c r="A949" s="195" t="s">
        <v>709</v>
      </c>
    </row>
    <row r="950" spans="1:9">
      <c r="A950" s="195" t="s">
        <v>25</v>
      </c>
      <c r="B950" s="195">
        <v>113.56</v>
      </c>
      <c r="C950" s="195">
        <v>113.5</v>
      </c>
      <c r="D950" s="195">
        <v>113.56</v>
      </c>
      <c r="E950" s="195">
        <v>113.3</v>
      </c>
      <c r="F950" s="195">
        <v>113.5</v>
      </c>
      <c r="H950" s="195" t="str">
        <f>H932</f>
        <v>2015</v>
      </c>
      <c r="I950" s="204" t="s">
        <v>153</v>
      </c>
    </row>
    <row r="951" spans="1:9">
      <c r="A951" s="195" t="s">
        <v>22</v>
      </c>
      <c r="B951" s="195">
        <v>43.2</v>
      </c>
      <c r="C951" s="195">
        <v>43.66</v>
      </c>
      <c r="D951" s="195">
        <v>43.07</v>
      </c>
      <c r="E951" s="195">
        <v>42.88</v>
      </c>
      <c r="F951" s="195">
        <v>30.68</v>
      </c>
      <c r="H951" s="195" t="str">
        <f t="shared" ref="H951:H966" si="51">H933</f>
        <v>2015</v>
      </c>
      <c r="I951" s="204" t="s">
        <v>153</v>
      </c>
    </row>
    <row r="952" spans="1:9">
      <c r="A952" s="195" t="s">
        <v>15</v>
      </c>
      <c r="B952" s="195">
        <v>37.53</v>
      </c>
      <c r="C952" s="195">
        <v>36.57</v>
      </c>
      <c r="D952" s="195">
        <v>37.409999999999997</v>
      </c>
      <c r="E952" s="195">
        <v>35.19</v>
      </c>
      <c r="F952" s="195">
        <v>37.53</v>
      </c>
      <c r="H952" s="195" t="str">
        <f t="shared" si="51"/>
        <v>2015</v>
      </c>
      <c r="I952" s="204" t="s">
        <v>153</v>
      </c>
    </row>
    <row r="953" spans="1:9">
      <c r="A953" s="195" t="s">
        <v>16</v>
      </c>
      <c r="B953" s="195">
        <v>113.56</v>
      </c>
      <c r="C953" s="195">
        <v>113.5</v>
      </c>
      <c r="D953" s="195">
        <v>113.56</v>
      </c>
      <c r="E953" s="195">
        <v>113.5</v>
      </c>
      <c r="F953" s="195">
        <v>113.5</v>
      </c>
      <c r="H953" s="195" t="str">
        <f t="shared" si="51"/>
        <v>2015</v>
      </c>
      <c r="I953" s="204" t="s">
        <v>153</v>
      </c>
    </row>
    <row r="954" spans="1:9">
      <c r="A954" s="195" t="s">
        <v>37</v>
      </c>
      <c r="B954" s="195">
        <v>29.19</v>
      </c>
      <c r="C954" s="195">
        <v>29.19</v>
      </c>
      <c r="D954" s="195">
        <v>29.66</v>
      </c>
      <c r="E954" s="195">
        <v>28.46</v>
      </c>
      <c r="F954" s="195">
        <v>29.74</v>
      </c>
      <c r="H954" s="195" t="str">
        <f t="shared" si="51"/>
        <v>2015</v>
      </c>
      <c r="I954" s="204" t="s">
        <v>153</v>
      </c>
    </row>
    <row r="955" spans="1:9">
      <c r="A955" s="195" t="s">
        <v>36</v>
      </c>
      <c r="B955" s="195">
        <v>28.79</v>
      </c>
      <c r="C955" s="195">
        <v>28.79</v>
      </c>
      <c r="D955" s="195">
        <v>29.26</v>
      </c>
      <c r="E955" s="195">
        <v>28.39</v>
      </c>
      <c r="F955" s="195">
        <v>29.74</v>
      </c>
      <c r="H955" s="195" t="str">
        <f t="shared" si="51"/>
        <v>2015</v>
      </c>
      <c r="I955" s="204" t="s">
        <v>153</v>
      </c>
    </row>
    <row r="956" spans="1:9">
      <c r="A956" s="195" t="s">
        <v>453</v>
      </c>
      <c r="B956" s="195">
        <v>35.21</v>
      </c>
      <c r="C956" s="195">
        <v>34.32</v>
      </c>
      <c r="D956" s="195">
        <v>34.159999999999997</v>
      </c>
      <c r="E956" s="195">
        <v>37.049999999999997</v>
      </c>
      <c r="F956" s="195">
        <v>36.26</v>
      </c>
      <c r="H956" s="195" t="str">
        <f t="shared" si="51"/>
        <v>2015</v>
      </c>
      <c r="I956" s="204" t="s">
        <v>153</v>
      </c>
    </row>
    <row r="957" spans="1:9">
      <c r="A957" s="195" t="s">
        <v>456</v>
      </c>
      <c r="B957" s="195">
        <v>28.5</v>
      </c>
      <c r="C957" s="195">
        <v>28.5</v>
      </c>
      <c r="D957" s="195">
        <v>28.5</v>
      </c>
      <c r="E957" s="195">
        <v>28.5</v>
      </c>
      <c r="F957" s="195">
        <v>28.5</v>
      </c>
      <c r="H957" s="195" t="str">
        <f t="shared" si="51"/>
        <v>2015</v>
      </c>
      <c r="I957" s="204" t="s">
        <v>153</v>
      </c>
    </row>
    <row r="958" spans="1:9">
      <c r="A958" s="195" t="s">
        <v>35</v>
      </c>
      <c r="B958" s="195">
        <v>21.68</v>
      </c>
      <c r="C958" s="195">
        <v>21.68</v>
      </c>
      <c r="D958" s="195">
        <v>21.68</v>
      </c>
      <c r="E958" s="195">
        <v>21.68</v>
      </c>
      <c r="F958" s="195">
        <v>21.68</v>
      </c>
      <c r="H958" s="195" t="str">
        <f t="shared" si="51"/>
        <v>2015</v>
      </c>
      <c r="I958" s="204" t="s">
        <v>153</v>
      </c>
    </row>
    <row r="959" spans="1:9">
      <c r="A959" s="195" t="s">
        <v>31</v>
      </c>
      <c r="B959" s="195">
        <v>32.450000000000003</v>
      </c>
      <c r="C959" s="195">
        <v>32.450000000000003</v>
      </c>
      <c r="D959" s="195">
        <v>33.04</v>
      </c>
      <c r="E959" s="195">
        <v>32.549999999999997</v>
      </c>
      <c r="F959" s="195">
        <v>32.549999999999997</v>
      </c>
      <c r="H959" s="195" t="str">
        <f t="shared" si="51"/>
        <v>2015</v>
      </c>
      <c r="I959" s="204" t="s">
        <v>153</v>
      </c>
    </row>
    <row r="960" spans="1:9">
      <c r="A960" s="195" t="s">
        <v>458</v>
      </c>
      <c r="B960" s="195">
        <v>47.76</v>
      </c>
      <c r="C960" s="195">
        <v>46.94</v>
      </c>
      <c r="D960" s="195">
        <v>46.48</v>
      </c>
      <c r="E960" s="195">
        <v>48.44</v>
      </c>
      <c r="F960" s="195">
        <v>46.06</v>
      </c>
      <c r="H960" s="195" t="str">
        <f t="shared" si="51"/>
        <v>2015</v>
      </c>
      <c r="I960" s="204" t="s">
        <v>153</v>
      </c>
    </row>
    <row r="961" spans="1:9">
      <c r="A961" s="195" t="s">
        <v>148</v>
      </c>
      <c r="B961" s="195">
        <v>59.99</v>
      </c>
      <c r="C961" s="195">
        <v>57.94</v>
      </c>
      <c r="D961" s="195">
        <v>57.53</v>
      </c>
      <c r="E961" s="195">
        <v>60.17</v>
      </c>
      <c r="F961" s="195">
        <v>57.56</v>
      </c>
      <c r="H961" s="195" t="str">
        <f t="shared" si="51"/>
        <v>2015</v>
      </c>
      <c r="I961" s="204" t="s">
        <v>153</v>
      </c>
    </row>
    <row r="962" spans="1:9">
      <c r="A962" s="195" t="s">
        <v>149</v>
      </c>
      <c r="B962" s="195">
        <v>31.91</v>
      </c>
      <c r="C962" s="195">
        <v>30.8</v>
      </c>
      <c r="D962" s="195">
        <v>31.21</v>
      </c>
      <c r="E962" s="195">
        <v>30.4</v>
      </c>
      <c r="F962" s="195">
        <v>31.55</v>
      </c>
      <c r="H962" s="195" t="str">
        <f t="shared" si="51"/>
        <v>2015</v>
      </c>
      <c r="I962" s="204" t="s">
        <v>153</v>
      </c>
    </row>
    <row r="963" spans="1:9">
      <c r="A963" s="195" t="s">
        <v>19</v>
      </c>
      <c r="B963" s="195">
        <v>41.43</v>
      </c>
      <c r="C963" s="195">
        <v>41.34</v>
      </c>
      <c r="D963" s="195">
        <v>40.380000000000003</v>
      </c>
      <c r="E963" s="195">
        <v>43.49</v>
      </c>
      <c r="F963" s="195">
        <v>42.21</v>
      </c>
      <c r="H963" s="195" t="str">
        <f t="shared" si="51"/>
        <v>2015</v>
      </c>
      <c r="I963" s="204" t="s">
        <v>153</v>
      </c>
    </row>
    <row r="964" spans="1:9">
      <c r="A964" s="195" t="s">
        <v>150</v>
      </c>
      <c r="B964" s="195">
        <v>18.829999999999998</v>
      </c>
      <c r="C964" s="195">
        <v>18.79</v>
      </c>
      <c r="D964" s="195">
        <v>18.350000000000001</v>
      </c>
      <c r="E964" s="195">
        <v>19.77</v>
      </c>
      <c r="F964" s="195">
        <v>19.190000000000001</v>
      </c>
      <c r="H964" s="195" t="str">
        <f t="shared" si="51"/>
        <v>2015</v>
      </c>
      <c r="I964" s="204" t="s">
        <v>153</v>
      </c>
    </row>
    <row r="965" spans="1:9">
      <c r="A965" s="195" t="s">
        <v>151</v>
      </c>
      <c r="B965" s="195">
        <v>23.01</v>
      </c>
      <c r="C965" s="195">
        <v>22.97</v>
      </c>
      <c r="D965" s="195">
        <v>22.43</v>
      </c>
      <c r="E965" s="195">
        <v>24.16</v>
      </c>
      <c r="F965" s="195">
        <v>23.45</v>
      </c>
      <c r="H965" s="195" t="str">
        <f t="shared" si="51"/>
        <v>2015</v>
      </c>
      <c r="I965" s="204" t="s">
        <v>153</v>
      </c>
    </row>
    <row r="966" spans="1:9">
      <c r="A966" s="195" t="s">
        <v>152</v>
      </c>
      <c r="B966" s="195">
        <v>17.260000000000002</v>
      </c>
      <c r="C966" s="195">
        <v>17.23</v>
      </c>
      <c r="D966" s="195">
        <v>16.82</v>
      </c>
      <c r="E966" s="195">
        <v>18.12</v>
      </c>
      <c r="F966" s="195">
        <v>17.59</v>
      </c>
      <c r="H966" s="195" t="str">
        <f t="shared" si="51"/>
        <v>2015</v>
      </c>
      <c r="I966" s="204" t="s">
        <v>153</v>
      </c>
    </row>
    <row r="967" spans="1:9">
      <c r="A967" s="195" t="s">
        <v>179</v>
      </c>
    </row>
    <row r="968" spans="1:9">
      <c r="A968" s="195" t="s">
        <v>708</v>
      </c>
    </row>
    <row r="969" spans="1:9">
      <c r="A969" s="195" t="s">
        <v>25</v>
      </c>
      <c r="B969" s="195">
        <v>0</v>
      </c>
      <c r="C969" s="195">
        <v>0</v>
      </c>
      <c r="D969" s="195">
        <v>0</v>
      </c>
      <c r="E969" s="195">
        <v>0</v>
      </c>
      <c r="F969" s="195">
        <v>0</v>
      </c>
      <c r="H969" s="195" t="str">
        <f>RIGHT(A967,4)</f>
        <v>2016</v>
      </c>
      <c r="I969" s="204" t="s">
        <v>710</v>
      </c>
    </row>
    <row r="970" spans="1:9">
      <c r="A970" s="195" t="s">
        <v>22</v>
      </c>
      <c r="B970" s="195">
        <v>291.02</v>
      </c>
      <c r="C970" s="195">
        <v>1.1100000000000001</v>
      </c>
      <c r="D970" s="195">
        <v>31.23</v>
      </c>
      <c r="E970" s="195">
        <v>0</v>
      </c>
      <c r="F970" s="195">
        <v>21.62</v>
      </c>
      <c r="H970" s="195" t="str">
        <f>H969</f>
        <v>2016</v>
      </c>
      <c r="I970" s="204" t="s">
        <v>710</v>
      </c>
    </row>
    <row r="971" spans="1:9">
      <c r="A971" s="195" t="s">
        <v>15</v>
      </c>
      <c r="B971" s="195">
        <v>186.26</v>
      </c>
      <c r="C971" s="195">
        <v>0.98</v>
      </c>
      <c r="D971" s="195">
        <v>9.26</v>
      </c>
      <c r="E971" s="195">
        <v>0.98</v>
      </c>
      <c r="F971" s="195">
        <v>5.53</v>
      </c>
      <c r="H971" s="195" t="str">
        <f t="shared" ref="H971:H985" si="52">H970</f>
        <v>2016</v>
      </c>
      <c r="I971" s="204" t="s">
        <v>710</v>
      </c>
    </row>
    <row r="972" spans="1:9">
      <c r="A972" s="195" t="s">
        <v>16</v>
      </c>
      <c r="B972" s="195">
        <v>3.6</v>
      </c>
      <c r="C972" s="195">
        <v>0.27</v>
      </c>
      <c r="D972" s="195">
        <v>0.32</v>
      </c>
      <c r="E972" s="195">
        <v>0.38</v>
      </c>
      <c r="F972" s="195">
        <v>0.77</v>
      </c>
      <c r="H972" s="195" t="str">
        <f t="shared" si="52"/>
        <v>2016</v>
      </c>
      <c r="I972" s="204" t="s">
        <v>710</v>
      </c>
    </row>
    <row r="973" spans="1:9">
      <c r="A973" s="195" t="s">
        <v>37</v>
      </c>
      <c r="B973" s="195">
        <v>179.24</v>
      </c>
      <c r="C973" s="195">
        <v>1.95</v>
      </c>
      <c r="D973" s="195">
        <v>37.06</v>
      </c>
      <c r="E973" s="195">
        <v>0</v>
      </c>
      <c r="F973" s="195">
        <v>9.75</v>
      </c>
      <c r="H973" s="195" t="str">
        <f t="shared" si="52"/>
        <v>2016</v>
      </c>
      <c r="I973" s="204" t="s">
        <v>710</v>
      </c>
    </row>
    <row r="974" spans="1:9">
      <c r="A974" s="195" t="s">
        <v>36</v>
      </c>
      <c r="B974" s="195">
        <v>127.85</v>
      </c>
      <c r="C974" s="195">
        <v>1.73</v>
      </c>
      <c r="D974" s="195">
        <v>22.75</v>
      </c>
      <c r="E974" s="195">
        <v>0</v>
      </c>
      <c r="F974" s="195">
        <v>26.49</v>
      </c>
      <c r="H974" s="195" t="str">
        <f t="shared" si="52"/>
        <v>2016</v>
      </c>
      <c r="I974" s="204" t="s">
        <v>710</v>
      </c>
    </row>
    <row r="975" spans="1:9">
      <c r="A975" s="195" t="s">
        <v>453</v>
      </c>
      <c r="B975" s="195">
        <v>89.87</v>
      </c>
      <c r="C975" s="195">
        <v>0</v>
      </c>
      <c r="D975" s="195">
        <v>5.68</v>
      </c>
      <c r="E975" s="195">
        <v>0</v>
      </c>
      <c r="F975" s="195">
        <v>51.1</v>
      </c>
      <c r="H975" s="195" t="str">
        <f t="shared" si="52"/>
        <v>2016</v>
      </c>
      <c r="I975" s="204" t="s">
        <v>710</v>
      </c>
    </row>
    <row r="976" spans="1:9">
      <c r="A976" s="195" t="s">
        <v>456</v>
      </c>
      <c r="B976" s="195">
        <v>85.23</v>
      </c>
      <c r="C976" s="195">
        <v>97.71</v>
      </c>
      <c r="D976" s="195">
        <v>172.09</v>
      </c>
      <c r="E976" s="195">
        <v>10.34</v>
      </c>
      <c r="F976" s="195">
        <v>1.95</v>
      </c>
      <c r="H976" s="195" t="str">
        <f t="shared" si="52"/>
        <v>2016</v>
      </c>
      <c r="I976" s="204" t="s">
        <v>710</v>
      </c>
    </row>
    <row r="977" spans="1:9">
      <c r="A977" s="195" t="s">
        <v>35</v>
      </c>
      <c r="B977" s="195">
        <v>3.9</v>
      </c>
      <c r="C977" s="195">
        <v>4.49</v>
      </c>
      <c r="D977" s="195">
        <v>286.82</v>
      </c>
      <c r="E977" s="195">
        <v>0</v>
      </c>
      <c r="F977" s="195">
        <v>3.25</v>
      </c>
      <c r="H977" s="195" t="str">
        <f t="shared" si="52"/>
        <v>2016</v>
      </c>
      <c r="I977" s="204" t="s">
        <v>710</v>
      </c>
    </row>
    <row r="978" spans="1:9">
      <c r="A978" s="195" t="s">
        <v>31</v>
      </c>
      <c r="B978" s="195">
        <v>43.09</v>
      </c>
      <c r="C978" s="195">
        <v>6.66</v>
      </c>
      <c r="D978" s="195">
        <v>21.54</v>
      </c>
      <c r="E978" s="195">
        <v>0.95</v>
      </c>
      <c r="F978" s="195">
        <v>29.97</v>
      </c>
      <c r="H978" s="195" t="str">
        <f t="shared" si="52"/>
        <v>2016</v>
      </c>
      <c r="I978" s="204" t="s">
        <v>710</v>
      </c>
    </row>
    <row r="979" spans="1:9">
      <c r="A979" s="195" t="s">
        <v>458</v>
      </c>
      <c r="B979" s="195">
        <v>0.67</v>
      </c>
      <c r="C979" s="195">
        <v>0</v>
      </c>
      <c r="D979" s="195">
        <v>0</v>
      </c>
      <c r="E979" s="195">
        <v>0</v>
      </c>
      <c r="F979" s="195">
        <v>0.93</v>
      </c>
      <c r="H979" s="195" t="str">
        <f t="shared" si="52"/>
        <v>2016</v>
      </c>
      <c r="I979" s="204" t="s">
        <v>710</v>
      </c>
    </row>
    <row r="980" spans="1:9">
      <c r="A980" s="195" t="s">
        <v>148</v>
      </c>
      <c r="B980" s="195">
        <v>307.49</v>
      </c>
      <c r="C980" s="195">
        <v>0.98</v>
      </c>
      <c r="D980" s="195">
        <v>5.9</v>
      </c>
      <c r="E980" s="195">
        <v>0.98</v>
      </c>
      <c r="F980" s="195">
        <v>26.38</v>
      </c>
      <c r="H980" s="195" t="str">
        <f t="shared" si="52"/>
        <v>2016</v>
      </c>
      <c r="I980" s="204" t="s">
        <v>710</v>
      </c>
    </row>
    <row r="981" spans="1:9">
      <c r="A981" s="195" t="s">
        <v>149</v>
      </c>
      <c r="B981" s="195">
        <v>350.67</v>
      </c>
      <c r="C981" s="195">
        <v>1.1299999999999999</v>
      </c>
      <c r="D981" s="195">
        <v>6.72</v>
      </c>
      <c r="E981" s="195">
        <v>1.1299999999999999</v>
      </c>
      <c r="F981" s="195">
        <v>54.52</v>
      </c>
      <c r="H981" s="195" t="str">
        <f t="shared" si="52"/>
        <v>2016</v>
      </c>
      <c r="I981" s="204" t="s">
        <v>710</v>
      </c>
    </row>
    <row r="982" spans="1:9">
      <c r="A982" s="195" t="s">
        <v>19</v>
      </c>
      <c r="B982" s="195">
        <v>53.38</v>
      </c>
      <c r="C982" s="195">
        <v>0</v>
      </c>
      <c r="D982" s="195">
        <v>5.89</v>
      </c>
      <c r="E982" s="195">
        <v>0</v>
      </c>
      <c r="F982" s="195">
        <v>17.79</v>
      </c>
      <c r="H982" s="195" t="str">
        <f t="shared" si="52"/>
        <v>2016</v>
      </c>
      <c r="I982" s="204" t="s">
        <v>710</v>
      </c>
    </row>
    <row r="983" spans="1:9">
      <c r="A983" s="195" t="s">
        <v>150</v>
      </c>
      <c r="B983" s="195">
        <v>17.54</v>
      </c>
      <c r="C983" s="195">
        <v>0</v>
      </c>
      <c r="D983" s="195">
        <v>132.16999999999999</v>
      </c>
      <c r="E983" s="195">
        <v>0</v>
      </c>
      <c r="F983" s="195">
        <v>26.45</v>
      </c>
      <c r="H983" s="195" t="str">
        <f t="shared" si="52"/>
        <v>2016</v>
      </c>
      <c r="I983" s="204" t="s">
        <v>710</v>
      </c>
    </row>
    <row r="984" spans="1:9">
      <c r="A984" s="195" t="s">
        <v>151</v>
      </c>
      <c r="B984" s="195">
        <v>15.3</v>
      </c>
      <c r="C984" s="195">
        <v>1.31</v>
      </c>
      <c r="D984" s="195">
        <v>344.49</v>
      </c>
      <c r="E984" s="195">
        <v>0.85</v>
      </c>
      <c r="F984" s="195">
        <v>14.41</v>
      </c>
      <c r="H984" s="195" t="str">
        <f t="shared" si="52"/>
        <v>2016</v>
      </c>
      <c r="I984" s="204" t="s">
        <v>710</v>
      </c>
    </row>
    <row r="985" spans="1:9">
      <c r="A985" s="195" t="s">
        <v>152</v>
      </c>
      <c r="B985" s="195">
        <v>92.36</v>
      </c>
      <c r="C985" s="195">
        <v>0.86</v>
      </c>
      <c r="D985" s="195">
        <v>183.21</v>
      </c>
      <c r="E985" s="195">
        <v>0</v>
      </c>
      <c r="F985" s="195">
        <v>51.78</v>
      </c>
      <c r="H985" s="195" t="str">
        <f t="shared" si="52"/>
        <v>2016</v>
      </c>
      <c r="I985" s="204" t="s">
        <v>710</v>
      </c>
    </row>
    <row r="986" spans="1:9">
      <c r="A986" s="195" t="s">
        <v>709</v>
      </c>
    </row>
    <row r="987" spans="1:9">
      <c r="A987" s="195" t="s">
        <v>25</v>
      </c>
      <c r="B987" s="195">
        <v>113.56</v>
      </c>
      <c r="C987" s="195">
        <v>113.5</v>
      </c>
      <c r="D987" s="195">
        <v>113.56</v>
      </c>
      <c r="E987" s="195">
        <v>113.3</v>
      </c>
      <c r="F987" s="195">
        <v>113.5</v>
      </c>
      <c r="H987" s="195" t="str">
        <f>H969</f>
        <v>2016</v>
      </c>
      <c r="I987" s="204" t="s">
        <v>153</v>
      </c>
    </row>
    <row r="988" spans="1:9">
      <c r="A988" s="195" t="s">
        <v>22</v>
      </c>
      <c r="B988" s="195">
        <v>43.85</v>
      </c>
      <c r="C988" s="195">
        <v>44.31</v>
      </c>
      <c r="D988" s="195">
        <v>43.72</v>
      </c>
      <c r="E988" s="195">
        <v>43.53</v>
      </c>
      <c r="F988" s="195">
        <v>31.09</v>
      </c>
      <c r="H988" s="195" t="str">
        <f t="shared" ref="H988:H1003" si="53">H970</f>
        <v>2016</v>
      </c>
      <c r="I988" s="204" t="s">
        <v>153</v>
      </c>
    </row>
    <row r="989" spans="1:9">
      <c r="A989" s="195" t="s">
        <v>15</v>
      </c>
      <c r="B989" s="195">
        <v>37.64</v>
      </c>
      <c r="C989" s="195">
        <v>36.68</v>
      </c>
      <c r="D989" s="195">
        <v>37.520000000000003</v>
      </c>
      <c r="E989" s="195">
        <v>33.979999999999997</v>
      </c>
      <c r="F989" s="195">
        <v>38.020000000000003</v>
      </c>
      <c r="H989" s="195" t="str">
        <f t="shared" si="53"/>
        <v>2016</v>
      </c>
      <c r="I989" s="204" t="s">
        <v>153</v>
      </c>
    </row>
    <row r="990" spans="1:9">
      <c r="A990" s="195" t="s">
        <v>16</v>
      </c>
      <c r="B990" s="195">
        <v>113.56</v>
      </c>
      <c r="C990" s="195">
        <v>113.5</v>
      </c>
      <c r="D990" s="195">
        <v>113.56</v>
      </c>
      <c r="E990" s="195">
        <v>113.5</v>
      </c>
      <c r="F990" s="195">
        <v>113.5</v>
      </c>
      <c r="H990" s="195" t="str">
        <f t="shared" si="53"/>
        <v>2016</v>
      </c>
      <c r="I990" s="204" t="s">
        <v>153</v>
      </c>
    </row>
    <row r="991" spans="1:9">
      <c r="A991" s="195" t="s">
        <v>37</v>
      </c>
      <c r="B991" s="195">
        <v>28.95</v>
      </c>
      <c r="C991" s="195">
        <v>28.95</v>
      </c>
      <c r="D991" s="195">
        <v>29.42</v>
      </c>
      <c r="E991" s="195">
        <v>28.2</v>
      </c>
      <c r="F991" s="195">
        <v>29.77</v>
      </c>
      <c r="H991" s="195" t="str">
        <f t="shared" si="53"/>
        <v>2016</v>
      </c>
      <c r="I991" s="204" t="s">
        <v>153</v>
      </c>
    </row>
    <row r="992" spans="1:9">
      <c r="A992" s="195" t="s">
        <v>36</v>
      </c>
      <c r="B992" s="195">
        <v>28.66</v>
      </c>
      <c r="C992" s="195">
        <v>28.66</v>
      </c>
      <c r="D992" s="195">
        <v>29.14</v>
      </c>
      <c r="E992" s="195">
        <v>28.26</v>
      </c>
      <c r="F992" s="195">
        <v>29.87</v>
      </c>
      <c r="H992" s="195" t="str">
        <f t="shared" si="53"/>
        <v>2016</v>
      </c>
      <c r="I992" s="204" t="s">
        <v>153</v>
      </c>
    </row>
    <row r="993" spans="1:9">
      <c r="A993" s="195" t="s">
        <v>453</v>
      </c>
      <c r="B993" s="195">
        <v>35.75</v>
      </c>
      <c r="C993" s="195">
        <v>34.86</v>
      </c>
      <c r="D993" s="195">
        <v>34.69</v>
      </c>
      <c r="E993" s="195">
        <v>36.5</v>
      </c>
      <c r="F993" s="195">
        <v>36.979999999999997</v>
      </c>
      <c r="H993" s="195" t="str">
        <f t="shared" si="53"/>
        <v>2016</v>
      </c>
      <c r="I993" s="204" t="s">
        <v>153</v>
      </c>
    </row>
    <row r="994" spans="1:9">
      <c r="A994" s="195" t="s">
        <v>456</v>
      </c>
      <c r="B994" s="195">
        <v>28.5</v>
      </c>
      <c r="C994" s="195">
        <v>28.5</v>
      </c>
      <c r="D994" s="195">
        <v>28.5</v>
      </c>
      <c r="E994" s="195">
        <v>28.5</v>
      </c>
      <c r="F994" s="195">
        <v>28.5</v>
      </c>
      <c r="H994" s="195" t="str">
        <f t="shared" si="53"/>
        <v>2016</v>
      </c>
      <c r="I994" s="204" t="s">
        <v>153</v>
      </c>
    </row>
    <row r="995" spans="1:9">
      <c r="A995" s="195" t="s">
        <v>35</v>
      </c>
      <c r="B995" s="195">
        <v>20.67</v>
      </c>
      <c r="C995" s="195">
        <v>20.67</v>
      </c>
      <c r="D995" s="195">
        <v>20.67</v>
      </c>
      <c r="E995" s="195">
        <v>20.67</v>
      </c>
      <c r="F995" s="195">
        <v>20.67</v>
      </c>
      <c r="H995" s="195" t="str">
        <f t="shared" si="53"/>
        <v>2016</v>
      </c>
      <c r="I995" s="204" t="s">
        <v>153</v>
      </c>
    </row>
    <row r="996" spans="1:9">
      <c r="A996" s="195" t="s">
        <v>31</v>
      </c>
      <c r="B996" s="195">
        <v>33.17</v>
      </c>
      <c r="C996" s="195">
        <v>33.17</v>
      </c>
      <c r="D996" s="195">
        <v>33.770000000000003</v>
      </c>
      <c r="E996" s="195">
        <v>33.270000000000003</v>
      </c>
      <c r="F996" s="195">
        <v>33.270000000000003</v>
      </c>
      <c r="H996" s="195" t="str">
        <f t="shared" si="53"/>
        <v>2016</v>
      </c>
      <c r="I996" s="204" t="s">
        <v>153</v>
      </c>
    </row>
    <row r="997" spans="1:9">
      <c r="A997" s="195" t="s">
        <v>458</v>
      </c>
      <c r="B997" s="195">
        <v>47.76</v>
      </c>
      <c r="C997" s="195">
        <v>46.94</v>
      </c>
      <c r="D997" s="195">
        <v>46.48</v>
      </c>
      <c r="E997" s="195">
        <v>48.44</v>
      </c>
      <c r="F997" s="195">
        <v>46.06</v>
      </c>
      <c r="H997" s="195" t="str">
        <f t="shared" si="53"/>
        <v>2016</v>
      </c>
      <c r="I997" s="204" t="s">
        <v>153</v>
      </c>
    </row>
    <row r="998" spans="1:9">
      <c r="A998" s="195" t="s">
        <v>148</v>
      </c>
      <c r="B998" s="195">
        <v>59.99</v>
      </c>
      <c r="C998" s="195">
        <v>57.94</v>
      </c>
      <c r="D998" s="195">
        <v>57.53</v>
      </c>
      <c r="E998" s="195">
        <v>60.17</v>
      </c>
      <c r="F998" s="195">
        <v>57.56</v>
      </c>
      <c r="H998" s="195" t="str">
        <f t="shared" si="53"/>
        <v>2016</v>
      </c>
      <c r="I998" s="204" t="s">
        <v>153</v>
      </c>
    </row>
    <row r="999" spans="1:9">
      <c r="A999" s="195" t="s">
        <v>149</v>
      </c>
      <c r="B999" s="195">
        <v>31.91</v>
      </c>
      <c r="C999" s="195">
        <v>30.8</v>
      </c>
      <c r="D999" s="195">
        <v>31.21</v>
      </c>
      <c r="E999" s="195">
        <v>30.4</v>
      </c>
      <c r="F999" s="195">
        <v>31.55</v>
      </c>
      <c r="H999" s="195" t="str">
        <f t="shared" si="53"/>
        <v>2016</v>
      </c>
      <c r="I999" s="204" t="s">
        <v>153</v>
      </c>
    </row>
    <row r="1000" spans="1:9">
      <c r="A1000" s="195" t="s">
        <v>19</v>
      </c>
      <c r="B1000" s="195">
        <v>42.14</v>
      </c>
      <c r="C1000" s="195">
        <v>42.05</v>
      </c>
      <c r="D1000" s="195">
        <v>41.09</v>
      </c>
      <c r="E1000" s="195">
        <v>43.11</v>
      </c>
      <c r="F1000" s="195">
        <v>42.82</v>
      </c>
      <c r="H1000" s="195" t="str">
        <f t="shared" si="53"/>
        <v>2016</v>
      </c>
      <c r="I1000" s="204" t="s">
        <v>153</v>
      </c>
    </row>
    <row r="1001" spans="1:9">
      <c r="A1001" s="195" t="s">
        <v>150</v>
      </c>
      <c r="B1001" s="195">
        <v>19.16</v>
      </c>
      <c r="C1001" s="195">
        <v>19.11</v>
      </c>
      <c r="D1001" s="195">
        <v>18.68</v>
      </c>
      <c r="E1001" s="195">
        <v>19.600000000000001</v>
      </c>
      <c r="F1001" s="195">
        <v>19.46</v>
      </c>
      <c r="H1001" s="195" t="str">
        <f t="shared" si="53"/>
        <v>2016</v>
      </c>
      <c r="I1001" s="204" t="s">
        <v>153</v>
      </c>
    </row>
    <row r="1002" spans="1:9">
      <c r="A1002" s="195" t="s">
        <v>151</v>
      </c>
      <c r="B1002" s="195">
        <v>23.41</v>
      </c>
      <c r="C1002" s="195">
        <v>23.36</v>
      </c>
      <c r="D1002" s="195">
        <v>22.83</v>
      </c>
      <c r="E1002" s="195">
        <v>23.95</v>
      </c>
      <c r="F1002" s="195">
        <v>23.79</v>
      </c>
      <c r="H1002" s="195" t="str">
        <f t="shared" si="53"/>
        <v>2016</v>
      </c>
      <c r="I1002" s="204" t="s">
        <v>153</v>
      </c>
    </row>
    <row r="1003" spans="1:9">
      <c r="A1003" s="195" t="s">
        <v>152</v>
      </c>
      <c r="B1003" s="195">
        <v>17.559999999999999</v>
      </c>
      <c r="C1003" s="195">
        <v>17.52</v>
      </c>
      <c r="D1003" s="195">
        <v>17.12</v>
      </c>
      <c r="E1003" s="195">
        <v>17.96</v>
      </c>
      <c r="F1003" s="195">
        <v>17.84</v>
      </c>
      <c r="H1003" s="195" t="str">
        <f t="shared" si="53"/>
        <v>2016</v>
      </c>
      <c r="I1003" s="204" t="s">
        <v>153</v>
      </c>
    </row>
    <row r="1004" spans="1:9">
      <c r="A1004" s="195" t="s">
        <v>180</v>
      </c>
    </row>
    <row r="1005" spans="1:9">
      <c r="A1005" s="195" t="s">
        <v>708</v>
      </c>
    </row>
    <row r="1006" spans="1:9">
      <c r="A1006" s="195" t="s">
        <v>25</v>
      </c>
      <c r="B1006" s="195">
        <v>0</v>
      </c>
      <c r="C1006" s="195">
        <v>0</v>
      </c>
      <c r="D1006" s="195">
        <v>0</v>
      </c>
      <c r="E1006" s="195">
        <v>0</v>
      </c>
      <c r="F1006" s="195">
        <v>0</v>
      </c>
      <c r="H1006" s="195" t="str">
        <f>RIGHT(A1004,4)</f>
        <v>2017</v>
      </c>
      <c r="I1006" s="204" t="s">
        <v>710</v>
      </c>
    </row>
    <row r="1007" spans="1:9">
      <c r="A1007" s="195" t="s">
        <v>22</v>
      </c>
      <c r="B1007" s="195">
        <v>295.38</v>
      </c>
      <c r="C1007" s="195">
        <v>1.1299999999999999</v>
      </c>
      <c r="D1007" s="195">
        <v>31.69</v>
      </c>
      <c r="E1007" s="195">
        <v>0</v>
      </c>
      <c r="F1007" s="195">
        <v>21.94</v>
      </c>
      <c r="H1007" s="195" t="str">
        <f>H1006</f>
        <v>2017</v>
      </c>
      <c r="I1007" s="204" t="s">
        <v>710</v>
      </c>
    </row>
    <row r="1008" spans="1:9">
      <c r="A1008" s="195" t="s">
        <v>15</v>
      </c>
      <c r="B1008" s="195">
        <v>189.99</v>
      </c>
      <c r="C1008" s="195">
        <v>0.99</v>
      </c>
      <c r="D1008" s="195">
        <v>9.4499999999999993</v>
      </c>
      <c r="E1008" s="195">
        <v>0.99</v>
      </c>
      <c r="F1008" s="195">
        <v>5.64</v>
      </c>
      <c r="H1008" s="195" t="str">
        <f t="shared" ref="H1008:H1022" si="54">H1007</f>
        <v>2017</v>
      </c>
      <c r="I1008" s="204" t="s">
        <v>710</v>
      </c>
    </row>
    <row r="1009" spans="1:9">
      <c r="A1009" s="195" t="s">
        <v>16</v>
      </c>
      <c r="B1009" s="195">
        <v>2.7</v>
      </c>
      <c r="C1009" s="195">
        <v>0.2</v>
      </c>
      <c r="D1009" s="195">
        <v>0.24</v>
      </c>
      <c r="E1009" s="195">
        <v>0.28000000000000003</v>
      </c>
      <c r="F1009" s="195">
        <v>0.56999999999999995</v>
      </c>
      <c r="H1009" s="195" t="str">
        <f t="shared" si="54"/>
        <v>2017</v>
      </c>
      <c r="I1009" s="204" t="s">
        <v>710</v>
      </c>
    </row>
    <row r="1010" spans="1:9">
      <c r="A1010" s="195" t="s">
        <v>37</v>
      </c>
      <c r="B1010" s="195">
        <v>182.83</v>
      </c>
      <c r="C1010" s="195">
        <v>1.99</v>
      </c>
      <c r="D1010" s="195">
        <v>37.799999999999997</v>
      </c>
      <c r="E1010" s="195">
        <v>0</v>
      </c>
      <c r="F1010" s="195">
        <v>9.9499999999999993</v>
      </c>
      <c r="H1010" s="195" t="str">
        <f t="shared" si="54"/>
        <v>2017</v>
      </c>
      <c r="I1010" s="204" t="s">
        <v>710</v>
      </c>
    </row>
    <row r="1011" spans="1:9">
      <c r="A1011" s="195" t="s">
        <v>36</v>
      </c>
      <c r="B1011" s="195">
        <v>126.57</v>
      </c>
      <c r="C1011" s="195">
        <v>1.71</v>
      </c>
      <c r="D1011" s="195">
        <v>22.52</v>
      </c>
      <c r="E1011" s="195">
        <v>0</v>
      </c>
      <c r="F1011" s="195">
        <v>26.23</v>
      </c>
      <c r="H1011" s="195" t="str">
        <f t="shared" si="54"/>
        <v>2017</v>
      </c>
      <c r="I1011" s="204" t="s">
        <v>710</v>
      </c>
    </row>
    <row r="1012" spans="1:9">
      <c r="A1012" s="195" t="s">
        <v>453</v>
      </c>
      <c r="B1012" s="195">
        <v>91.67</v>
      </c>
      <c r="C1012" s="195">
        <v>0</v>
      </c>
      <c r="D1012" s="195">
        <v>5.79</v>
      </c>
      <c r="E1012" s="195">
        <v>0</v>
      </c>
      <c r="F1012" s="195">
        <v>52.13</v>
      </c>
      <c r="H1012" s="195" t="str">
        <f t="shared" si="54"/>
        <v>2017</v>
      </c>
      <c r="I1012" s="204" t="s">
        <v>710</v>
      </c>
    </row>
    <row r="1013" spans="1:9">
      <c r="A1013" s="195" t="s">
        <v>456</v>
      </c>
      <c r="B1013" s="195">
        <v>86.94</v>
      </c>
      <c r="C1013" s="195">
        <v>99.67</v>
      </c>
      <c r="D1013" s="195">
        <v>175.54</v>
      </c>
      <c r="E1013" s="195">
        <v>10.54</v>
      </c>
      <c r="F1013" s="195">
        <v>1.99</v>
      </c>
      <c r="H1013" s="195" t="str">
        <f t="shared" si="54"/>
        <v>2017</v>
      </c>
      <c r="I1013" s="204" t="s">
        <v>710</v>
      </c>
    </row>
    <row r="1014" spans="1:9">
      <c r="A1014" s="195" t="s">
        <v>35</v>
      </c>
      <c r="B1014" s="195">
        <v>3.98</v>
      </c>
      <c r="C1014" s="195">
        <v>4.58</v>
      </c>
      <c r="D1014" s="195">
        <v>292.56</v>
      </c>
      <c r="E1014" s="195">
        <v>0</v>
      </c>
      <c r="F1014" s="195">
        <v>3.32</v>
      </c>
      <c r="H1014" s="195" t="str">
        <f t="shared" si="54"/>
        <v>2017</v>
      </c>
      <c r="I1014" s="204" t="s">
        <v>710</v>
      </c>
    </row>
    <row r="1015" spans="1:9">
      <c r="A1015" s="195" t="s">
        <v>31</v>
      </c>
      <c r="B1015" s="195">
        <v>43.78</v>
      </c>
      <c r="C1015" s="195">
        <v>6.76</v>
      </c>
      <c r="D1015" s="195">
        <v>21.89</v>
      </c>
      <c r="E1015" s="195">
        <v>0.97</v>
      </c>
      <c r="F1015" s="195">
        <v>30.45</v>
      </c>
      <c r="H1015" s="195" t="str">
        <f t="shared" si="54"/>
        <v>2017</v>
      </c>
      <c r="I1015" s="204" t="s">
        <v>710</v>
      </c>
    </row>
    <row r="1016" spans="1:9">
      <c r="A1016" s="195" t="s">
        <v>458</v>
      </c>
      <c r="B1016" s="195">
        <v>0.69</v>
      </c>
      <c r="C1016" s="195">
        <v>0</v>
      </c>
      <c r="D1016" s="195">
        <v>0</v>
      </c>
      <c r="E1016" s="195">
        <v>0</v>
      </c>
      <c r="F1016" s="195">
        <v>0.95</v>
      </c>
      <c r="H1016" s="195" t="str">
        <f t="shared" si="54"/>
        <v>2017</v>
      </c>
      <c r="I1016" s="204" t="s">
        <v>710</v>
      </c>
    </row>
    <row r="1017" spans="1:9">
      <c r="A1017" s="195" t="s">
        <v>148</v>
      </c>
      <c r="B1017" s="195">
        <v>313.64</v>
      </c>
      <c r="C1017" s="195">
        <v>1</v>
      </c>
      <c r="D1017" s="195">
        <v>6.02</v>
      </c>
      <c r="E1017" s="195">
        <v>1</v>
      </c>
      <c r="F1017" s="195">
        <v>26.91</v>
      </c>
      <c r="H1017" s="195" t="str">
        <f t="shared" si="54"/>
        <v>2017</v>
      </c>
      <c r="I1017" s="204" t="s">
        <v>710</v>
      </c>
    </row>
    <row r="1018" spans="1:9">
      <c r="A1018" s="195" t="s">
        <v>149</v>
      </c>
      <c r="B1018" s="195">
        <v>362.94</v>
      </c>
      <c r="C1018" s="195">
        <v>1.17</v>
      </c>
      <c r="D1018" s="195">
        <v>6.96</v>
      </c>
      <c r="E1018" s="195">
        <v>1.17</v>
      </c>
      <c r="F1018" s="195">
        <v>56.42</v>
      </c>
      <c r="H1018" s="195" t="str">
        <f t="shared" si="54"/>
        <v>2017</v>
      </c>
      <c r="I1018" s="204" t="s">
        <v>710</v>
      </c>
    </row>
    <row r="1019" spans="1:9">
      <c r="A1019" s="195" t="s">
        <v>19</v>
      </c>
      <c r="B1019" s="195">
        <v>55.25</v>
      </c>
      <c r="C1019" s="195">
        <v>0</v>
      </c>
      <c r="D1019" s="195">
        <v>6.1</v>
      </c>
      <c r="E1019" s="195">
        <v>0</v>
      </c>
      <c r="F1019" s="195">
        <v>18.420000000000002</v>
      </c>
      <c r="H1019" s="195" t="str">
        <f t="shared" si="54"/>
        <v>2017</v>
      </c>
      <c r="I1019" s="204" t="s">
        <v>710</v>
      </c>
    </row>
    <row r="1020" spans="1:9">
      <c r="A1020" s="195" t="s">
        <v>150</v>
      </c>
      <c r="B1020" s="195">
        <v>17.8</v>
      </c>
      <c r="C1020" s="195">
        <v>0</v>
      </c>
      <c r="D1020" s="195">
        <v>134.15</v>
      </c>
      <c r="E1020" s="195">
        <v>0</v>
      </c>
      <c r="F1020" s="195">
        <v>26.85</v>
      </c>
      <c r="H1020" s="195" t="str">
        <f t="shared" si="54"/>
        <v>2017</v>
      </c>
      <c r="I1020" s="204" t="s">
        <v>710</v>
      </c>
    </row>
    <row r="1021" spans="1:9">
      <c r="A1021" s="195" t="s">
        <v>151</v>
      </c>
      <c r="B1021" s="195">
        <v>15.53</v>
      </c>
      <c r="C1021" s="195">
        <v>1.33</v>
      </c>
      <c r="D1021" s="195">
        <v>349.65</v>
      </c>
      <c r="E1021" s="195">
        <v>0.86</v>
      </c>
      <c r="F1021" s="195">
        <v>14.62</v>
      </c>
      <c r="H1021" s="195" t="str">
        <f t="shared" si="54"/>
        <v>2017</v>
      </c>
      <c r="I1021" s="204" t="s">
        <v>710</v>
      </c>
    </row>
    <row r="1022" spans="1:9">
      <c r="A1022" s="195" t="s">
        <v>152</v>
      </c>
      <c r="B1022" s="195">
        <v>93.75</v>
      </c>
      <c r="C1022" s="195">
        <v>0.88</v>
      </c>
      <c r="D1022" s="195">
        <v>185.96</v>
      </c>
      <c r="E1022" s="195">
        <v>0</v>
      </c>
      <c r="F1022" s="195">
        <v>52.56</v>
      </c>
      <c r="H1022" s="195" t="str">
        <f t="shared" si="54"/>
        <v>2017</v>
      </c>
      <c r="I1022" s="204" t="s">
        <v>710</v>
      </c>
    </row>
    <row r="1023" spans="1:9">
      <c r="A1023" s="195" t="s">
        <v>709</v>
      </c>
    </row>
    <row r="1024" spans="1:9">
      <c r="A1024" s="195" t="s">
        <v>25</v>
      </c>
      <c r="B1024" s="195">
        <v>113.56</v>
      </c>
      <c r="C1024" s="195">
        <v>113.5</v>
      </c>
      <c r="D1024" s="195">
        <v>113.56</v>
      </c>
      <c r="E1024" s="195">
        <v>113.3</v>
      </c>
      <c r="F1024" s="195">
        <v>113.5</v>
      </c>
      <c r="H1024" s="195" t="str">
        <f>H1006</f>
        <v>2017</v>
      </c>
      <c r="I1024" s="204" t="s">
        <v>153</v>
      </c>
    </row>
    <row r="1025" spans="1:9">
      <c r="A1025" s="195" t="s">
        <v>22</v>
      </c>
      <c r="B1025" s="195">
        <v>43.97</v>
      </c>
      <c r="C1025" s="195">
        <v>44.44</v>
      </c>
      <c r="D1025" s="195">
        <v>43.85</v>
      </c>
      <c r="E1025" s="195">
        <v>43.66</v>
      </c>
      <c r="F1025" s="195">
        <v>31.01</v>
      </c>
      <c r="H1025" s="195" t="str">
        <f t="shared" ref="H1025:H1040" si="55">H1007</f>
        <v>2017</v>
      </c>
      <c r="I1025" s="204" t="s">
        <v>153</v>
      </c>
    </row>
    <row r="1026" spans="1:9">
      <c r="A1026" s="195" t="s">
        <v>15</v>
      </c>
      <c r="B1026" s="195">
        <v>38.159999999999997</v>
      </c>
      <c r="C1026" s="195">
        <v>37.200000000000003</v>
      </c>
      <c r="D1026" s="195">
        <v>38.04</v>
      </c>
      <c r="E1026" s="195">
        <v>35.130000000000003</v>
      </c>
      <c r="F1026" s="195">
        <v>38.79</v>
      </c>
      <c r="H1026" s="195" t="str">
        <f t="shared" si="55"/>
        <v>2017</v>
      </c>
      <c r="I1026" s="204" t="s">
        <v>153</v>
      </c>
    </row>
    <row r="1027" spans="1:9">
      <c r="A1027" s="195" t="s">
        <v>16</v>
      </c>
      <c r="B1027" s="195">
        <v>113.56</v>
      </c>
      <c r="C1027" s="195">
        <v>113.5</v>
      </c>
      <c r="D1027" s="195">
        <v>113.56</v>
      </c>
      <c r="E1027" s="195">
        <v>113.5</v>
      </c>
      <c r="F1027" s="195">
        <v>113.5</v>
      </c>
      <c r="H1027" s="195" t="str">
        <f t="shared" si="55"/>
        <v>2017</v>
      </c>
      <c r="I1027" s="204" t="s">
        <v>153</v>
      </c>
    </row>
    <row r="1028" spans="1:9">
      <c r="A1028" s="195" t="s">
        <v>37</v>
      </c>
      <c r="B1028" s="195">
        <v>29.63</v>
      </c>
      <c r="C1028" s="195">
        <v>29.63</v>
      </c>
      <c r="D1028" s="195">
        <v>30.1</v>
      </c>
      <c r="E1028" s="195">
        <v>28.89</v>
      </c>
      <c r="F1028" s="195">
        <v>30.39</v>
      </c>
      <c r="H1028" s="195" t="str">
        <f t="shared" si="55"/>
        <v>2017</v>
      </c>
      <c r="I1028" s="204" t="s">
        <v>153</v>
      </c>
    </row>
    <row r="1029" spans="1:9">
      <c r="A1029" s="195" t="s">
        <v>36</v>
      </c>
      <c r="B1029" s="195">
        <v>29.27</v>
      </c>
      <c r="C1029" s="195">
        <v>29.27</v>
      </c>
      <c r="D1029" s="195">
        <v>29.74</v>
      </c>
      <c r="E1029" s="195">
        <v>28.87</v>
      </c>
      <c r="F1029" s="195">
        <v>30.45</v>
      </c>
      <c r="H1029" s="195" t="str">
        <f t="shared" si="55"/>
        <v>2017</v>
      </c>
      <c r="I1029" s="204" t="s">
        <v>153</v>
      </c>
    </row>
    <row r="1030" spans="1:9">
      <c r="A1030" s="195" t="s">
        <v>453</v>
      </c>
      <c r="B1030" s="195">
        <v>35.89</v>
      </c>
      <c r="C1030" s="195">
        <v>35</v>
      </c>
      <c r="D1030" s="195">
        <v>34.840000000000003</v>
      </c>
      <c r="E1030" s="195">
        <v>36.64</v>
      </c>
      <c r="F1030" s="195">
        <v>37.29</v>
      </c>
      <c r="H1030" s="195" t="str">
        <f t="shared" si="55"/>
        <v>2017</v>
      </c>
      <c r="I1030" s="204" t="s">
        <v>153</v>
      </c>
    </row>
    <row r="1031" spans="1:9">
      <c r="A1031" s="195" t="s">
        <v>456</v>
      </c>
      <c r="B1031" s="195">
        <v>28.5</v>
      </c>
      <c r="C1031" s="195">
        <v>28.5</v>
      </c>
      <c r="D1031" s="195">
        <v>28.5</v>
      </c>
      <c r="E1031" s="195">
        <v>28.5</v>
      </c>
      <c r="F1031" s="195">
        <v>28.5</v>
      </c>
      <c r="H1031" s="195" t="str">
        <f t="shared" si="55"/>
        <v>2017</v>
      </c>
      <c r="I1031" s="204" t="s">
        <v>153</v>
      </c>
    </row>
    <row r="1032" spans="1:9">
      <c r="A1032" s="195" t="s">
        <v>35</v>
      </c>
      <c r="B1032" s="195">
        <v>20.54</v>
      </c>
      <c r="C1032" s="195">
        <v>20.54</v>
      </c>
      <c r="D1032" s="195">
        <v>20.54</v>
      </c>
      <c r="E1032" s="195">
        <v>20.54</v>
      </c>
      <c r="F1032" s="195">
        <v>20.54</v>
      </c>
      <c r="H1032" s="195" t="str">
        <f t="shared" si="55"/>
        <v>2017</v>
      </c>
      <c r="I1032" s="204" t="s">
        <v>153</v>
      </c>
    </row>
    <row r="1033" spans="1:9">
      <c r="A1033" s="195" t="s">
        <v>31</v>
      </c>
      <c r="B1033" s="195">
        <v>33.81</v>
      </c>
      <c r="C1033" s="195">
        <v>33.81</v>
      </c>
      <c r="D1033" s="195">
        <v>34.4</v>
      </c>
      <c r="E1033" s="195">
        <v>33.9</v>
      </c>
      <c r="F1033" s="195">
        <v>33.9</v>
      </c>
      <c r="H1033" s="195" t="str">
        <f t="shared" si="55"/>
        <v>2017</v>
      </c>
      <c r="I1033" s="204" t="s">
        <v>153</v>
      </c>
    </row>
    <row r="1034" spans="1:9">
      <c r="A1034" s="195" t="s">
        <v>458</v>
      </c>
      <c r="B1034" s="195">
        <v>47.76</v>
      </c>
      <c r="C1034" s="195">
        <v>46.94</v>
      </c>
      <c r="D1034" s="195">
        <v>46.48</v>
      </c>
      <c r="E1034" s="195">
        <v>48.44</v>
      </c>
      <c r="F1034" s="195">
        <v>46.06</v>
      </c>
      <c r="H1034" s="195" t="str">
        <f t="shared" si="55"/>
        <v>2017</v>
      </c>
      <c r="I1034" s="204" t="s">
        <v>153</v>
      </c>
    </row>
    <row r="1035" spans="1:9">
      <c r="A1035" s="195" t="s">
        <v>148</v>
      </c>
      <c r="B1035" s="195">
        <v>59.99</v>
      </c>
      <c r="C1035" s="195">
        <v>57.94</v>
      </c>
      <c r="D1035" s="195">
        <v>57.53</v>
      </c>
      <c r="E1035" s="195">
        <v>60.17</v>
      </c>
      <c r="F1035" s="195">
        <v>57.56</v>
      </c>
      <c r="H1035" s="195" t="str">
        <f t="shared" si="55"/>
        <v>2017</v>
      </c>
      <c r="I1035" s="204" t="s">
        <v>153</v>
      </c>
    </row>
    <row r="1036" spans="1:9">
      <c r="A1036" s="195" t="s">
        <v>149</v>
      </c>
      <c r="B1036" s="195">
        <v>31.91</v>
      </c>
      <c r="C1036" s="195">
        <v>30.8</v>
      </c>
      <c r="D1036" s="195">
        <v>31.21</v>
      </c>
      <c r="E1036" s="195">
        <v>30.4</v>
      </c>
      <c r="F1036" s="195">
        <v>31.55</v>
      </c>
      <c r="H1036" s="195" t="str">
        <f t="shared" si="55"/>
        <v>2017</v>
      </c>
      <c r="I1036" s="204" t="s">
        <v>153</v>
      </c>
    </row>
    <row r="1037" spans="1:9">
      <c r="A1037" s="195" t="s">
        <v>19</v>
      </c>
      <c r="B1037" s="195">
        <v>42.19</v>
      </c>
      <c r="C1037" s="195">
        <v>42.1</v>
      </c>
      <c r="D1037" s="195">
        <v>41.14</v>
      </c>
      <c r="E1037" s="195">
        <v>43.16</v>
      </c>
      <c r="F1037" s="195">
        <v>43.09</v>
      </c>
      <c r="H1037" s="195" t="str">
        <f t="shared" si="55"/>
        <v>2017</v>
      </c>
      <c r="I1037" s="204" t="s">
        <v>153</v>
      </c>
    </row>
    <row r="1038" spans="1:9">
      <c r="A1038" s="195" t="s">
        <v>150</v>
      </c>
      <c r="B1038" s="195">
        <v>19.18</v>
      </c>
      <c r="C1038" s="195">
        <v>19.14</v>
      </c>
      <c r="D1038" s="195">
        <v>18.7</v>
      </c>
      <c r="E1038" s="195">
        <v>19.62</v>
      </c>
      <c r="F1038" s="195">
        <v>19.59</v>
      </c>
      <c r="H1038" s="195" t="str">
        <f t="shared" si="55"/>
        <v>2017</v>
      </c>
      <c r="I1038" s="204" t="s">
        <v>153</v>
      </c>
    </row>
    <row r="1039" spans="1:9">
      <c r="A1039" s="195" t="s">
        <v>151</v>
      </c>
      <c r="B1039" s="195">
        <v>23.44</v>
      </c>
      <c r="C1039" s="195">
        <v>23.39</v>
      </c>
      <c r="D1039" s="195">
        <v>22.86</v>
      </c>
      <c r="E1039" s="195">
        <v>23.98</v>
      </c>
      <c r="F1039" s="195">
        <v>23.94</v>
      </c>
      <c r="H1039" s="195" t="str">
        <f t="shared" si="55"/>
        <v>2017</v>
      </c>
      <c r="I1039" s="204" t="s">
        <v>153</v>
      </c>
    </row>
    <row r="1040" spans="1:9">
      <c r="A1040" s="195" t="s">
        <v>152</v>
      </c>
      <c r="B1040" s="195">
        <v>17.579999999999998</v>
      </c>
      <c r="C1040" s="195">
        <v>17.54</v>
      </c>
      <c r="D1040" s="195">
        <v>17.14</v>
      </c>
      <c r="E1040" s="195">
        <v>17.98</v>
      </c>
      <c r="F1040" s="195">
        <v>17.96</v>
      </c>
      <c r="H1040" s="195" t="str">
        <f t="shared" si="55"/>
        <v>2017</v>
      </c>
      <c r="I1040" s="204" t="s">
        <v>153</v>
      </c>
    </row>
    <row r="1041" spans="1:9">
      <c r="A1041" s="195" t="s">
        <v>181</v>
      </c>
    </row>
    <row r="1042" spans="1:9">
      <c r="A1042" s="195" t="s">
        <v>708</v>
      </c>
    </row>
    <row r="1043" spans="1:9">
      <c r="A1043" s="195" t="s">
        <v>25</v>
      </c>
      <c r="B1043" s="195">
        <v>0</v>
      </c>
      <c r="C1043" s="195">
        <v>0</v>
      </c>
      <c r="D1043" s="195">
        <v>0</v>
      </c>
      <c r="E1043" s="195">
        <v>0</v>
      </c>
      <c r="F1043" s="195">
        <v>0</v>
      </c>
      <c r="H1043" s="195" t="str">
        <f>RIGHT(A1041,4)</f>
        <v>2018</v>
      </c>
      <c r="I1043" s="204" t="s">
        <v>710</v>
      </c>
    </row>
    <row r="1044" spans="1:9">
      <c r="A1044" s="195" t="s">
        <v>22</v>
      </c>
      <c r="B1044" s="195">
        <v>299.81</v>
      </c>
      <c r="C1044" s="195">
        <v>1.1399999999999999</v>
      </c>
      <c r="D1044" s="195">
        <v>32.17</v>
      </c>
      <c r="E1044" s="195">
        <v>0</v>
      </c>
      <c r="F1044" s="195">
        <v>22.27</v>
      </c>
      <c r="H1044" s="195" t="str">
        <f>H1043</f>
        <v>2018</v>
      </c>
      <c r="I1044" s="204" t="s">
        <v>710</v>
      </c>
    </row>
    <row r="1045" spans="1:9">
      <c r="A1045" s="195" t="s">
        <v>15</v>
      </c>
      <c r="B1045" s="195">
        <v>193.79</v>
      </c>
      <c r="C1045" s="195">
        <v>1.01</v>
      </c>
      <c r="D1045" s="195">
        <v>9.64</v>
      </c>
      <c r="E1045" s="195">
        <v>1.01</v>
      </c>
      <c r="F1045" s="195">
        <v>5.75</v>
      </c>
      <c r="H1045" s="195" t="str">
        <f t="shared" ref="H1045:H1059" si="56">H1044</f>
        <v>2018</v>
      </c>
      <c r="I1045" s="204" t="s">
        <v>710</v>
      </c>
    </row>
    <row r="1046" spans="1:9">
      <c r="A1046" s="195" t="s">
        <v>16</v>
      </c>
      <c r="B1046" s="195">
        <v>2.02</v>
      </c>
      <c r="C1046" s="195">
        <v>0.15</v>
      </c>
      <c r="D1046" s="195">
        <v>0.18</v>
      </c>
      <c r="E1046" s="195">
        <v>0.21</v>
      </c>
      <c r="F1046" s="195">
        <v>0.43</v>
      </c>
      <c r="H1046" s="195" t="str">
        <f t="shared" si="56"/>
        <v>2018</v>
      </c>
      <c r="I1046" s="204" t="s">
        <v>710</v>
      </c>
    </row>
    <row r="1047" spans="1:9">
      <c r="A1047" s="195" t="s">
        <v>37</v>
      </c>
      <c r="B1047" s="195">
        <v>186.48</v>
      </c>
      <c r="C1047" s="195">
        <v>2.0299999999999998</v>
      </c>
      <c r="D1047" s="195">
        <v>38.549999999999997</v>
      </c>
      <c r="E1047" s="195">
        <v>0</v>
      </c>
      <c r="F1047" s="195">
        <v>10.15</v>
      </c>
      <c r="H1047" s="195" t="str">
        <f t="shared" si="56"/>
        <v>2018</v>
      </c>
      <c r="I1047" s="204" t="s">
        <v>710</v>
      </c>
    </row>
    <row r="1048" spans="1:9">
      <c r="A1048" s="195" t="s">
        <v>36</v>
      </c>
      <c r="B1048" s="195">
        <v>125.3</v>
      </c>
      <c r="C1048" s="195">
        <v>1.69</v>
      </c>
      <c r="D1048" s="195">
        <v>22.29</v>
      </c>
      <c r="E1048" s="195">
        <v>0</v>
      </c>
      <c r="F1048" s="195">
        <v>25.96</v>
      </c>
      <c r="H1048" s="195" t="str">
        <f t="shared" si="56"/>
        <v>2018</v>
      </c>
      <c r="I1048" s="204" t="s">
        <v>710</v>
      </c>
    </row>
    <row r="1049" spans="1:9">
      <c r="A1049" s="195" t="s">
        <v>453</v>
      </c>
      <c r="B1049" s="195">
        <v>93.5</v>
      </c>
      <c r="C1049" s="195">
        <v>0</v>
      </c>
      <c r="D1049" s="195">
        <v>5.91</v>
      </c>
      <c r="E1049" s="195">
        <v>0</v>
      </c>
      <c r="F1049" s="195">
        <v>53.17</v>
      </c>
      <c r="H1049" s="195" t="str">
        <f t="shared" si="56"/>
        <v>2018</v>
      </c>
      <c r="I1049" s="204" t="s">
        <v>710</v>
      </c>
    </row>
    <row r="1050" spans="1:9">
      <c r="A1050" s="195" t="s">
        <v>456</v>
      </c>
      <c r="B1050" s="195">
        <v>88.68</v>
      </c>
      <c r="C1050" s="195">
        <v>101.6</v>
      </c>
      <c r="D1050" s="195">
        <v>179.05</v>
      </c>
      <c r="E1050" s="195">
        <v>10.75</v>
      </c>
      <c r="F1050" s="195">
        <v>2.0299999999999998</v>
      </c>
      <c r="H1050" s="195" t="str">
        <f t="shared" si="56"/>
        <v>2018</v>
      </c>
      <c r="I1050" s="204" t="s">
        <v>710</v>
      </c>
    </row>
    <row r="1051" spans="1:9">
      <c r="A1051" s="195" t="s">
        <v>35</v>
      </c>
      <c r="B1051" s="195">
        <v>4.0599999999999996</v>
      </c>
      <c r="C1051" s="195">
        <v>4.67</v>
      </c>
      <c r="D1051" s="195">
        <v>298.41000000000003</v>
      </c>
      <c r="E1051" s="195">
        <v>0</v>
      </c>
      <c r="F1051" s="195">
        <v>3.38</v>
      </c>
      <c r="H1051" s="195" t="str">
        <f t="shared" si="56"/>
        <v>2018</v>
      </c>
      <c r="I1051" s="204" t="s">
        <v>710</v>
      </c>
    </row>
    <row r="1052" spans="1:9">
      <c r="A1052" s="195" t="s">
        <v>31</v>
      </c>
      <c r="B1052" s="195">
        <v>44.48</v>
      </c>
      <c r="C1052" s="195">
        <v>6.87</v>
      </c>
      <c r="D1052" s="195">
        <v>22.24</v>
      </c>
      <c r="E1052" s="195">
        <v>0.98</v>
      </c>
      <c r="F1052" s="195">
        <v>30.94</v>
      </c>
      <c r="H1052" s="195" t="str">
        <f t="shared" si="56"/>
        <v>2018</v>
      </c>
      <c r="I1052" s="204" t="s">
        <v>710</v>
      </c>
    </row>
    <row r="1053" spans="1:9">
      <c r="A1053" s="195" t="s">
        <v>458</v>
      </c>
      <c r="B1053" s="195">
        <v>0.71</v>
      </c>
      <c r="C1053" s="195">
        <v>0</v>
      </c>
      <c r="D1053" s="195">
        <v>0</v>
      </c>
      <c r="E1053" s="195">
        <v>0</v>
      </c>
      <c r="F1053" s="195">
        <v>0.98</v>
      </c>
      <c r="H1053" s="195" t="str">
        <f t="shared" si="56"/>
        <v>2018</v>
      </c>
      <c r="I1053" s="204" t="s">
        <v>710</v>
      </c>
    </row>
    <row r="1054" spans="1:9">
      <c r="A1054" s="195" t="s">
        <v>148</v>
      </c>
      <c r="B1054" s="195">
        <v>319.92</v>
      </c>
      <c r="C1054" s="195">
        <v>1.02</v>
      </c>
      <c r="D1054" s="195">
        <v>6.14</v>
      </c>
      <c r="E1054" s="195">
        <v>1.02</v>
      </c>
      <c r="F1054" s="195">
        <v>27.44</v>
      </c>
      <c r="H1054" s="195" t="str">
        <f t="shared" si="56"/>
        <v>2018</v>
      </c>
      <c r="I1054" s="204" t="s">
        <v>710</v>
      </c>
    </row>
    <row r="1055" spans="1:9">
      <c r="A1055" s="195" t="s">
        <v>149</v>
      </c>
      <c r="B1055" s="195">
        <v>375.64</v>
      </c>
      <c r="C1055" s="195">
        <v>1.21</v>
      </c>
      <c r="D1055" s="195">
        <v>7.2</v>
      </c>
      <c r="E1055" s="195">
        <v>1.21</v>
      </c>
      <c r="F1055" s="195">
        <v>58.4</v>
      </c>
      <c r="H1055" s="195" t="str">
        <f t="shared" si="56"/>
        <v>2018</v>
      </c>
      <c r="I1055" s="204" t="s">
        <v>710</v>
      </c>
    </row>
    <row r="1056" spans="1:9">
      <c r="A1056" s="195" t="s">
        <v>19</v>
      </c>
      <c r="B1056" s="195">
        <v>57.18</v>
      </c>
      <c r="C1056" s="195">
        <v>0</v>
      </c>
      <c r="D1056" s="195">
        <v>6.31</v>
      </c>
      <c r="E1056" s="195">
        <v>0</v>
      </c>
      <c r="F1056" s="195">
        <v>19.059999999999999</v>
      </c>
      <c r="H1056" s="195" t="str">
        <f t="shared" si="56"/>
        <v>2018</v>
      </c>
      <c r="I1056" s="204" t="s">
        <v>710</v>
      </c>
    </row>
    <row r="1057" spans="1:9">
      <c r="A1057" s="195" t="s">
        <v>150</v>
      </c>
      <c r="B1057" s="195">
        <v>18.07</v>
      </c>
      <c r="C1057" s="195">
        <v>0</v>
      </c>
      <c r="D1057" s="195">
        <v>136.16999999999999</v>
      </c>
      <c r="E1057" s="195">
        <v>0</v>
      </c>
      <c r="F1057" s="195">
        <v>27.25</v>
      </c>
      <c r="H1057" s="195" t="str">
        <f t="shared" si="56"/>
        <v>2018</v>
      </c>
      <c r="I1057" s="204" t="s">
        <v>710</v>
      </c>
    </row>
    <row r="1058" spans="1:9">
      <c r="A1058" s="195" t="s">
        <v>151</v>
      </c>
      <c r="B1058" s="195">
        <v>15.77</v>
      </c>
      <c r="C1058" s="195">
        <v>1.35</v>
      </c>
      <c r="D1058" s="195">
        <v>354.9</v>
      </c>
      <c r="E1058" s="195">
        <v>0.88</v>
      </c>
      <c r="F1058" s="195">
        <v>14.84</v>
      </c>
      <c r="H1058" s="195" t="str">
        <f t="shared" si="56"/>
        <v>2018</v>
      </c>
      <c r="I1058" s="204" t="s">
        <v>710</v>
      </c>
    </row>
    <row r="1059" spans="1:9">
      <c r="A1059" s="195" t="s">
        <v>152</v>
      </c>
      <c r="B1059" s="195">
        <v>95.16</v>
      </c>
      <c r="C1059" s="195">
        <v>0.89</v>
      </c>
      <c r="D1059" s="195">
        <v>188.74</v>
      </c>
      <c r="E1059" s="195">
        <v>0</v>
      </c>
      <c r="F1059" s="195">
        <v>53.35</v>
      </c>
      <c r="H1059" s="195" t="str">
        <f t="shared" si="56"/>
        <v>2018</v>
      </c>
      <c r="I1059" s="204" t="s">
        <v>710</v>
      </c>
    </row>
    <row r="1060" spans="1:9">
      <c r="A1060" s="195" t="s">
        <v>709</v>
      </c>
    </row>
    <row r="1061" spans="1:9">
      <c r="A1061" s="195" t="s">
        <v>25</v>
      </c>
      <c r="B1061" s="195">
        <v>113.56</v>
      </c>
      <c r="C1061" s="195">
        <v>113.5</v>
      </c>
      <c r="D1061" s="195">
        <v>113.56</v>
      </c>
      <c r="E1061" s="195">
        <v>113.3</v>
      </c>
      <c r="F1061" s="195">
        <v>113.5</v>
      </c>
      <c r="H1061" s="195" t="str">
        <f>H1043</f>
        <v>2018</v>
      </c>
      <c r="I1061" s="204" t="s">
        <v>153</v>
      </c>
    </row>
    <row r="1062" spans="1:9">
      <c r="A1062" s="195" t="s">
        <v>22</v>
      </c>
      <c r="B1062" s="195">
        <v>44.7</v>
      </c>
      <c r="C1062" s="195">
        <v>45.17</v>
      </c>
      <c r="D1062" s="195">
        <v>44.58</v>
      </c>
      <c r="E1062" s="195">
        <v>44.39</v>
      </c>
      <c r="F1062" s="195">
        <v>30.62</v>
      </c>
      <c r="H1062" s="195" t="str">
        <f t="shared" ref="H1062:H1077" si="57">H1044</f>
        <v>2018</v>
      </c>
      <c r="I1062" s="204" t="s">
        <v>153</v>
      </c>
    </row>
    <row r="1063" spans="1:9">
      <c r="A1063" s="195" t="s">
        <v>15</v>
      </c>
      <c r="B1063" s="195">
        <v>38.9</v>
      </c>
      <c r="C1063" s="195">
        <v>37.93</v>
      </c>
      <c r="D1063" s="195">
        <v>38.78</v>
      </c>
      <c r="E1063" s="195">
        <v>35.26</v>
      </c>
      <c r="F1063" s="195">
        <v>39</v>
      </c>
      <c r="H1063" s="195" t="str">
        <f t="shared" si="57"/>
        <v>2018</v>
      </c>
      <c r="I1063" s="204" t="s">
        <v>153</v>
      </c>
    </row>
    <row r="1064" spans="1:9">
      <c r="A1064" s="195" t="s">
        <v>16</v>
      </c>
      <c r="B1064" s="195">
        <v>113.56</v>
      </c>
      <c r="C1064" s="195">
        <v>113.5</v>
      </c>
      <c r="D1064" s="195">
        <v>113.56</v>
      </c>
      <c r="E1064" s="195">
        <v>113.5</v>
      </c>
      <c r="F1064" s="195">
        <v>113.5</v>
      </c>
      <c r="H1064" s="195" t="str">
        <f t="shared" si="57"/>
        <v>2018</v>
      </c>
      <c r="I1064" s="204" t="s">
        <v>153</v>
      </c>
    </row>
    <row r="1065" spans="1:9">
      <c r="A1065" s="195" t="s">
        <v>37</v>
      </c>
      <c r="B1065" s="195">
        <v>30.25</v>
      </c>
      <c r="C1065" s="195">
        <v>30.25</v>
      </c>
      <c r="D1065" s="195">
        <v>30.72</v>
      </c>
      <c r="E1065" s="195">
        <v>29.51</v>
      </c>
      <c r="F1065" s="195">
        <v>30.22</v>
      </c>
      <c r="H1065" s="195" t="str">
        <f t="shared" si="57"/>
        <v>2018</v>
      </c>
      <c r="I1065" s="204" t="s">
        <v>153</v>
      </c>
    </row>
    <row r="1066" spans="1:9">
      <c r="A1066" s="195" t="s">
        <v>36</v>
      </c>
      <c r="B1066" s="195">
        <v>29.95</v>
      </c>
      <c r="C1066" s="195">
        <v>29.95</v>
      </c>
      <c r="D1066" s="195">
        <v>30.42</v>
      </c>
      <c r="E1066" s="195">
        <v>29.55</v>
      </c>
      <c r="F1066" s="195">
        <v>30.32</v>
      </c>
      <c r="H1066" s="195" t="str">
        <f t="shared" si="57"/>
        <v>2018</v>
      </c>
      <c r="I1066" s="204" t="s">
        <v>153</v>
      </c>
    </row>
    <row r="1067" spans="1:9">
      <c r="A1067" s="195" t="s">
        <v>453</v>
      </c>
      <c r="B1067" s="195">
        <v>36.17</v>
      </c>
      <c r="C1067" s="195">
        <v>35.51</v>
      </c>
      <c r="D1067" s="195">
        <v>35.119999999999997</v>
      </c>
      <c r="E1067" s="195">
        <v>36.909999999999997</v>
      </c>
      <c r="F1067" s="195">
        <v>37.840000000000003</v>
      </c>
      <c r="H1067" s="195" t="str">
        <f t="shared" si="57"/>
        <v>2018</v>
      </c>
      <c r="I1067" s="204" t="s">
        <v>153</v>
      </c>
    </row>
    <row r="1068" spans="1:9">
      <c r="A1068" s="195" t="s">
        <v>456</v>
      </c>
      <c r="B1068" s="195">
        <v>28.5</v>
      </c>
      <c r="C1068" s="195">
        <v>28.5</v>
      </c>
      <c r="D1068" s="195">
        <v>28.5</v>
      </c>
      <c r="E1068" s="195">
        <v>28.5</v>
      </c>
      <c r="F1068" s="195">
        <v>28.5</v>
      </c>
      <c r="H1068" s="195" t="str">
        <f t="shared" si="57"/>
        <v>2018</v>
      </c>
      <c r="I1068" s="204" t="s">
        <v>153</v>
      </c>
    </row>
    <row r="1069" spans="1:9">
      <c r="A1069" s="195" t="s">
        <v>35</v>
      </c>
      <c r="B1069" s="195">
        <v>21.34</v>
      </c>
      <c r="C1069" s="195">
        <v>21.34</v>
      </c>
      <c r="D1069" s="195">
        <v>21.34</v>
      </c>
      <c r="E1069" s="195">
        <v>21.34</v>
      </c>
      <c r="F1069" s="195">
        <v>21.34</v>
      </c>
      <c r="H1069" s="195" t="str">
        <f t="shared" si="57"/>
        <v>2018</v>
      </c>
      <c r="I1069" s="204" t="s">
        <v>153</v>
      </c>
    </row>
    <row r="1070" spans="1:9">
      <c r="A1070" s="195" t="s">
        <v>31</v>
      </c>
      <c r="B1070" s="195">
        <v>34.39</v>
      </c>
      <c r="C1070" s="195">
        <v>34.39</v>
      </c>
      <c r="D1070" s="195">
        <v>34.979999999999997</v>
      </c>
      <c r="E1070" s="195">
        <v>34.49</v>
      </c>
      <c r="F1070" s="195">
        <v>34.49</v>
      </c>
      <c r="H1070" s="195" t="str">
        <f t="shared" si="57"/>
        <v>2018</v>
      </c>
      <c r="I1070" s="204" t="s">
        <v>153</v>
      </c>
    </row>
    <row r="1071" spans="1:9">
      <c r="A1071" s="195" t="s">
        <v>458</v>
      </c>
      <c r="B1071" s="195">
        <v>47.76</v>
      </c>
      <c r="C1071" s="195">
        <v>46.94</v>
      </c>
      <c r="D1071" s="195">
        <v>46.48</v>
      </c>
      <c r="E1071" s="195">
        <v>48.44</v>
      </c>
      <c r="F1071" s="195">
        <v>46.06</v>
      </c>
      <c r="H1071" s="195" t="str">
        <f t="shared" si="57"/>
        <v>2018</v>
      </c>
      <c r="I1071" s="204" t="s">
        <v>153</v>
      </c>
    </row>
    <row r="1072" spans="1:9">
      <c r="A1072" s="195" t="s">
        <v>148</v>
      </c>
      <c r="B1072" s="195">
        <v>59.99</v>
      </c>
      <c r="C1072" s="195">
        <v>57.94</v>
      </c>
      <c r="D1072" s="195">
        <v>57.53</v>
      </c>
      <c r="E1072" s="195">
        <v>60.17</v>
      </c>
      <c r="F1072" s="195">
        <v>57.56</v>
      </c>
      <c r="H1072" s="195" t="str">
        <f t="shared" si="57"/>
        <v>2018</v>
      </c>
      <c r="I1072" s="204" t="s">
        <v>153</v>
      </c>
    </row>
    <row r="1073" spans="1:9">
      <c r="A1073" s="195" t="s">
        <v>149</v>
      </c>
      <c r="B1073" s="195">
        <v>31.91</v>
      </c>
      <c r="C1073" s="195">
        <v>30.8</v>
      </c>
      <c r="D1073" s="195">
        <v>31.21</v>
      </c>
      <c r="E1073" s="195">
        <v>30.4</v>
      </c>
      <c r="F1073" s="195">
        <v>31.55</v>
      </c>
      <c r="H1073" s="195" t="str">
        <f t="shared" si="57"/>
        <v>2018</v>
      </c>
      <c r="I1073" s="204" t="s">
        <v>153</v>
      </c>
    </row>
    <row r="1074" spans="1:9">
      <c r="A1074" s="195" t="s">
        <v>19</v>
      </c>
      <c r="B1074" s="195">
        <v>43.03</v>
      </c>
      <c r="C1074" s="195">
        <v>42.94</v>
      </c>
      <c r="D1074" s="195">
        <v>41.97</v>
      </c>
      <c r="E1074" s="195">
        <v>43.77</v>
      </c>
      <c r="F1074" s="195">
        <v>43.57</v>
      </c>
      <c r="H1074" s="195" t="str">
        <f t="shared" si="57"/>
        <v>2018</v>
      </c>
      <c r="I1074" s="204" t="s">
        <v>153</v>
      </c>
    </row>
    <row r="1075" spans="1:9">
      <c r="A1075" s="195" t="s">
        <v>150</v>
      </c>
      <c r="B1075" s="195">
        <v>19.559999999999999</v>
      </c>
      <c r="C1075" s="195">
        <v>19.52</v>
      </c>
      <c r="D1075" s="195">
        <v>19.079999999999998</v>
      </c>
      <c r="E1075" s="195">
        <v>19.899999999999999</v>
      </c>
      <c r="F1075" s="195">
        <v>19.809999999999999</v>
      </c>
      <c r="H1075" s="195" t="str">
        <f t="shared" si="57"/>
        <v>2018</v>
      </c>
      <c r="I1075" s="204" t="s">
        <v>153</v>
      </c>
    </row>
    <row r="1076" spans="1:9">
      <c r="A1076" s="195" t="s">
        <v>151</v>
      </c>
      <c r="B1076" s="195">
        <v>23.91</v>
      </c>
      <c r="C1076" s="195">
        <v>23.85</v>
      </c>
      <c r="D1076" s="195">
        <v>23.32</v>
      </c>
      <c r="E1076" s="195">
        <v>24.32</v>
      </c>
      <c r="F1076" s="195">
        <v>24.21</v>
      </c>
      <c r="H1076" s="195" t="str">
        <f t="shared" si="57"/>
        <v>2018</v>
      </c>
      <c r="I1076" s="204" t="s">
        <v>153</v>
      </c>
    </row>
    <row r="1077" spans="1:9">
      <c r="A1077" s="195" t="s">
        <v>152</v>
      </c>
      <c r="B1077" s="195">
        <v>17.93</v>
      </c>
      <c r="C1077" s="195">
        <v>17.89</v>
      </c>
      <c r="D1077" s="195">
        <v>17.489999999999998</v>
      </c>
      <c r="E1077" s="195">
        <v>18.239999999999998</v>
      </c>
      <c r="F1077" s="195">
        <v>18.16</v>
      </c>
      <c r="H1077" s="195" t="str">
        <f t="shared" si="57"/>
        <v>2018</v>
      </c>
      <c r="I1077" s="204" t="s">
        <v>153</v>
      </c>
    </row>
    <row r="1078" spans="1:9">
      <c r="A1078" s="195" t="s">
        <v>182</v>
      </c>
    </row>
    <row r="1079" spans="1:9">
      <c r="A1079" s="195" t="s">
        <v>708</v>
      </c>
    </row>
    <row r="1080" spans="1:9">
      <c r="A1080" s="195" t="s">
        <v>25</v>
      </c>
      <c r="B1080" s="195">
        <v>0</v>
      </c>
      <c r="C1080" s="195">
        <v>0</v>
      </c>
      <c r="D1080" s="195">
        <v>0</v>
      </c>
      <c r="E1080" s="195">
        <v>0</v>
      </c>
      <c r="F1080" s="195">
        <v>0</v>
      </c>
      <c r="H1080" s="195" t="str">
        <f>RIGHT(A1078,4)</f>
        <v>2019</v>
      </c>
      <c r="I1080" s="204" t="s">
        <v>710</v>
      </c>
    </row>
    <row r="1081" spans="1:9">
      <c r="A1081" s="195" t="s">
        <v>22</v>
      </c>
      <c r="B1081" s="195">
        <v>304.31</v>
      </c>
      <c r="C1081" s="195">
        <v>1.1599999999999999</v>
      </c>
      <c r="D1081" s="195">
        <v>32.65</v>
      </c>
      <c r="E1081" s="195">
        <v>0</v>
      </c>
      <c r="F1081" s="195">
        <v>22.61</v>
      </c>
      <c r="H1081" s="195" t="str">
        <f>H1080</f>
        <v>2019</v>
      </c>
      <c r="I1081" s="204" t="s">
        <v>710</v>
      </c>
    </row>
    <row r="1082" spans="1:9">
      <c r="A1082" s="195" t="s">
        <v>15</v>
      </c>
      <c r="B1082" s="195">
        <v>197.66</v>
      </c>
      <c r="C1082" s="195">
        <v>1.03</v>
      </c>
      <c r="D1082" s="195">
        <v>9.83</v>
      </c>
      <c r="E1082" s="195">
        <v>1.03</v>
      </c>
      <c r="F1082" s="195">
        <v>5.86</v>
      </c>
      <c r="H1082" s="195" t="str">
        <f t="shared" ref="H1082:H1096" si="58">H1081</f>
        <v>2019</v>
      </c>
      <c r="I1082" s="204" t="s">
        <v>710</v>
      </c>
    </row>
    <row r="1083" spans="1:9">
      <c r="A1083" s="195" t="s">
        <v>16</v>
      </c>
      <c r="B1083" s="195">
        <v>1.52</v>
      </c>
      <c r="C1083" s="195">
        <v>0.11</v>
      </c>
      <c r="D1083" s="195">
        <v>0.13</v>
      </c>
      <c r="E1083" s="195">
        <v>0.16</v>
      </c>
      <c r="F1083" s="195">
        <v>0.32</v>
      </c>
      <c r="H1083" s="195" t="str">
        <f t="shared" si="58"/>
        <v>2019</v>
      </c>
      <c r="I1083" s="204" t="s">
        <v>710</v>
      </c>
    </row>
    <row r="1084" spans="1:9">
      <c r="A1084" s="195" t="s">
        <v>37</v>
      </c>
      <c r="B1084" s="195">
        <v>190.21</v>
      </c>
      <c r="C1084" s="195">
        <v>2.0699999999999998</v>
      </c>
      <c r="D1084" s="195">
        <v>39.33</v>
      </c>
      <c r="E1084" s="195">
        <v>0</v>
      </c>
      <c r="F1084" s="195">
        <v>10.35</v>
      </c>
      <c r="H1084" s="195" t="str">
        <f t="shared" si="58"/>
        <v>2019</v>
      </c>
      <c r="I1084" s="204" t="s">
        <v>710</v>
      </c>
    </row>
    <row r="1085" spans="1:9">
      <c r="A1085" s="195" t="s">
        <v>36</v>
      </c>
      <c r="B1085" s="195">
        <v>124.05</v>
      </c>
      <c r="C1085" s="195">
        <v>1.68</v>
      </c>
      <c r="D1085" s="195">
        <v>22.07</v>
      </c>
      <c r="E1085" s="195">
        <v>0</v>
      </c>
      <c r="F1085" s="195">
        <v>25.7</v>
      </c>
      <c r="H1085" s="195" t="str">
        <f t="shared" si="58"/>
        <v>2019</v>
      </c>
      <c r="I1085" s="204" t="s">
        <v>710</v>
      </c>
    </row>
    <row r="1086" spans="1:9">
      <c r="A1086" s="195" t="s">
        <v>453</v>
      </c>
      <c r="B1086" s="195">
        <v>95.38</v>
      </c>
      <c r="C1086" s="195">
        <v>0</v>
      </c>
      <c r="D1086" s="195">
        <v>6.03</v>
      </c>
      <c r="E1086" s="195">
        <v>0</v>
      </c>
      <c r="F1086" s="195">
        <v>54.23</v>
      </c>
      <c r="H1086" s="195" t="str">
        <f t="shared" si="58"/>
        <v>2019</v>
      </c>
      <c r="I1086" s="204" t="s">
        <v>710</v>
      </c>
    </row>
    <row r="1087" spans="1:9">
      <c r="A1087" s="195" t="s">
        <v>456</v>
      </c>
      <c r="B1087" s="195">
        <v>90.45</v>
      </c>
      <c r="C1087" s="195">
        <v>103.7</v>
      </c>
      <c r="D1087" s="195">
        <v>182.63</v>
      </c>
      <c r="E1087" s="195">
        <v>10.97</v>
      </c>
      <c r="F1087" s="195">
        <v>2.0699999999999998</v>
      </c>
      <c r="H1087" s="195" t="str">
        <f t="shared" si="58"/>
        <v>2019</v>
      </c>
      <c r="I1087" s="204" t="s">
        <v>710</v>
      </c>
    </row>
    <row r="1088" spans="1:9">
      <c r="A1088" s="195" t="s">
        <v>35</v>
      </c>
      <c r="B1088" s="195">
        <v>4.1399999999999997</v>
      </c>
      <c r="C1088" s="195">
        <v>4.76</v>
      </c>
      <c r="D1088" s="195">
        <v>304.38</v>
      </c>
      <c r="E1088" s="195">
        <v>0</v>
      </c>
      <c r="F1088" s="195">
        <v>3.45</v>
      </c>
      <c r="H1088" s="195" t="str">
        <f t="shared" si="58"/>
        <v>2019</v>
      </c>
      <c r="I1088" s="204" t="s">
        <v>710</v>
      </c>
    </row>
    <row r="1089" spans="1:9">
      <c r="A1089" s="195" t="s">
        <v>31</v>
      </c>
      <c r="B1089" s="195">
        <v>45.19</v>
      </c>
      <c r="C1089" s="195">
        <v>6.98</v>
      </c>
      <c r="D1089" s="195">
        <v>22.59</v>
      </c>
      <c r="E1089" s="195">
        <v>1</v>
      </c>
      <c r="F1089" s="195">
        <v>31.44</v>
      </c>
      <c r="H1089" s="195" t="str">
        <f t="shared" si="58"/>
        <v>2019</v>
      </c>
      <c r="I1089" s="204" t="s">
        <v>710</v>
      </c>
    </row>
    <row r="1090" spans="1:9">
      <c r="A1090" s="195" t="s">
        <v>458</v>
      </c>
      <c r="B1090" s="195">
        <v>0.73</v>
      </c>
      <c r="C1090" s="195">
        <v>0</v>
      </c>
      <c r="D1090" s="195">
        <v>0</v>
      </c>
      <c r="E1090" s="195">
        <v>0</v>
      </c>
      <c r="F1090" s="195">
        <v>1.01</v>
      </c>
      <c r="H1090" s="195" t="str">
        <f t="shared" si="58"/>
        <v>2019</v>
      </c>
      <c r="I1090" s="204" t="s">
        <v>710</v>
      </c>
    </row>
    <row r="1091" spans="1:9">
      <c r="A1091" s="195" t="s">
        <v>148</v>
      </c>
      <c r="B1091" s="195">
        <v>326.31</v>
      </c>
      <c r="C1091" s="195">
        <v>1.05</v>
      </c>
      <c r="D1091" s="195">
        <v>6.26</v>
      </c>
      <c r="E1091" s="195">
        <v>1.05</v>
      </c>
      <c r="F1091" s="195">
        <v>27.99</v>
      </c>
      <c r="H1091" s="195" t="str">
        <f t="shared" si="58"/>
        <v>2019</v>
      </c>
      <c r="I1091" s="204" t="s">
        <v>710</v>
      </c>
    </row>
    <row r="1092" spans="1:9">
      <c r="A1092" s="195" t="s">
        <v>149</v>
      </c>
      <c r="B1092" s="195">
        <v>388.79</v>
      </c>
      <c r="C1092" s="195">
        <v>1.25</v>
      </c>
      <c r="D1092" s="195">
        <v>7.45</v>
      </c>
      <c r="E1092" s="195">
        <v>1.25</v>
      </c>
      <c r="F1092" s="195">
        <v>60.44</v>
      </c>
      <c r="H1092" s="195" t="str">
        <f t="shared" si="58"/>
        <v>2019</v>
      </c>
      <c r="I1092" s="204" t="s">
        <v>710</v>
      </c>
    </row>
    <row r="1093" spans="1:9">
      <c r="A1093" s="195" t="s">
        <v>19</v>
      </c>
      <c r="B1093" s="195">
        <v>59.19</v>
      </c>
      <c r="C1093" s="195">
        <v>0</v>
      </c>
      <c r="D1093" s="195">
        <v>6.54</v>
      </c>
      <c r="E1093" s="195">
        <v>0</v>
      </c>
      <c r="F1093" s="195">
        <v>19.73</v>
      </c>
      <c r="H1093" s="195" t="str">
        <f t="shared" si="58"/>
        <v>2019</v>
      </c>
      <c r="I1093" s="204" t="s">
        <v>710</v>
      </c>
    </row>
    <row r="1094" spans="1:9">
      <c r="A1094" s="195" t="s">
        <v>150</v>
      </c>
      <c r="B1094" s="195">
        <v>18.34</v>
      </c>
      <c r="C1094" s="195">
        <v>0</v>
      </c>
      <c r="D1094" s="195">
        <v>138.21</v>
      </c>
      <c r="E1094" s="195">
        <v>0</v>
      </c>
      <c r="F1094" s="195">
        <v>27.66</v>
      </c>
      <c r="H1094" s="195" t="str">
        <f t="shared" si="58"/>
        <v>2019</v>
      </c>
      <c r="I1094" s="204" t="s">
        <v>710</v>
      </c>
    </row>
    <row r="1095" spans="1:9">
      <c r="A1095" s="195" t="s">
        <v>151</v>
      </c>
      <c r="B1095" s="195">
        <v>16</v>
      </c>
      <c r="C1095" s="195">
        <v>1.37</v>
      </c>
      <c r="D1095" s="195">
        <v>360.22</v>
      </c>
      <c r="E1095" s="195">
        <v>0.89</v>
      </c>
      <c r="F1095" s="195">
        <v>15.06</v>
      </c>
      <c r="H1095" s="195" t="str">
        <f t="shared" si="58"/>
        <v>2019</v>
      </c>
      <c r="I1095" s="204" t="s">
        <v>710</v>
      </c>
    </row>
    <row r="1096" spans="1:9">
      <c r="A1096" s="195" t="s">
        <v>152</v>
      </c>
      <c r="B1096" s="195">
        <v>96.58</v>
      </c>
      <c r="C1096" s="195">
        <v>0.9</v>
      </c>
      <c r="D1096" s="195">
        <v>191.58</v>
      </c>
      <c r="E1096" s="195">
        <v>0</v>
      </c>
      <c r="F1096" s="195">
        <v>54.15</v>
      </c>
      <c r="H1096" s="195" t="str">
        <f t="shared" si="58"/>
        <v>2019</v>
      </c>
      <c r="I1096" s="204" t="s">
        <v>710</v>
      </c>
    </row>
    <row r="1097" spans="1:9">
      <c r="A1097" s="195" t="s">
        <v>709</v>
      </c>
    </row>
    <row r="1098" spans="1:9">
      <c r="A1098" s="195" t="s">
        <v>25</v>
      </c>
      <c r="B1098" s="195">
        <v>113.56</v>
      </c>
      <c r="C1098" s="195">
        <v>113.5</v>
      </c>
      <c r="D1098" s="195">
        <v>113.56</v>
      </c>
      <c r="E1098" s="195">
        <v>113.3</v>
      </c>
      <c r="F1098" s="195">
        <v>113.5</v>
      </c>
      <c r="H1098" s="195" t="str">
        <f>H1080</f>
        <v>2019</v>
      </c>
      <c r="I1098" s="204" t="s">
        <v>153</v>
      </c>
    </row>
    <row r="1099" spans="1:9">
      <c r="A1099" s="195" t="s">
        <v>22</v>
      </c>
      <c r="B1099" s="195">
        <v>46.78</v>
      </c>
      <c r="C1099" s="195">
        <v>47.24</v>
      </c>
      <c r="D1099" s="195">
        <v>46.65</v>
      </c>
      <c r="E1099" s="195">
        <v>46.46</v>
      </c>
      <c r="F1099" s="195">
        <v>31.36</v>
      </c>
      <c r="H1099" s="195" t="str">
        <f t="shared" ref="H1099:H1114" si="59">H1081</f>
        <v>2019</v>
      </c>
      <c r="I1099" s="204" t="s">
        <v>153</v>
      </c>
    </row>
    <row r="1100" spans="1:9">
      <c r="A1100" s="195" t="s">
        <v>15</v>
      </c>
      <c r="B1100" s="195">
        <v>40.25</v>
      </c>
      <c r="C1100" s="195">
        <v>39.28</v>
      </c>
      <c r="D1100" s="195">
        <v>40.57</v>
      </c>
      <c r="E1100" s="195">
        <v>36.979999999999997</v>
      </c>
      <c r="F1100" s="195">
        <v>39.79</v>
      </c>
      <c r="H1100" s="195" t="str">
        <f t="shared" si="59"/>
        <v>2019</v>
      </c>
      <c r="I1100" s="204" t="s">
        <v>153</v>
      </c>
    </row>
    <row r="1101" spans="1:9">
      <c r="A1101" s="195" t="s">
        <v>16</v>
      </c>
      <c r="B1101" s="195">
        <v>113.56</v>
      </c>
      <c r="C1101" s="195">
        <v>113.5</v>
      </c>
      <c r="D1101" s="195">
        <v>113.56</v>
      </c>
      <c r="E1101" s="195">
        <v>113.5</v>
      </c>
      <c r="F1101" s="195">
        <v>113.5</v>
      </c>
      <c r="H1101" s="195" t="str">
        <f t="shared" si="59"/>
        <v>2019</v>
      </c>
      <c r="I1101" s="204" t="s">
        <v>153</v>
      </c>
    </row>
    <row r="1102" spans="1:9">
      <c r="A1102" s="195" t="s">
        <v>37</v>
      </c>
      <c r="B1102" s="195">
        <v>31.73</v>
      </c>
      <c r="C1102" s="195">
        <v>31.73</v>
      </c>
      <c r="D1102" s="195">
        <v>32.22</v>
      </c>
      <c r="E1102" s="195">
        <v>30.98</v>
      </c>
      <c r="F1102" s="195">
        <v>30.42</v>
      </c>
      <c r="H1102" s="195" t="str">
        <f t="shared" si="59"/>
        <v>2019</v>
      </c>
      <c r="I1102" s="204" t="s">
        <v>153</v>
      </c>
    </row>
    <row r="1103" spans="1:9">
      <c r="A1103" s="195" t="s">
        <v>36</v>
      </c>
      <c r="B1103" s="195">
        <v>31.42</v>
      </c>
      <c r="C1103" s="195">
        <v>31.42</v>
      </c>
      <c r="D1103" s="195">
        <v>31.78</v>
      </c>
      <c r="E1103" s="195">
        <v>30.88</v>
      </c>
      <c r="F1103" s="195">
        <v>30.53</v>
      </c>
      <c r="H1103" s="195" t="str">
        <f t="shared" si="59"/>
        <v>2019</v>
      </c>
      <c r="I1103" s="204" t="s">
        <v>153</v>
      </c>
    </row>
    <row r="1104" spans="1:9">
      <c r="A1104" s="195" t="s">
        <v>453</v>
      </c>
      <c r="B1104" s="195">
        <v>37.96</v>
      </c>
      <c r="C1104" s="195">
        <v>37.29</v>
      </c>
      <c r="D1104" s="195">
        <v>36.880000000000003</v>
      </c>
      <c r="E1104" s="195">
        <v>39.04</v>
      </c>
      <c r="F1104" s="195">
        <v>39.270000000000003</v>
      </c>
      <c r="H1104" s="195" t="str">
        <f t="shared" si="59"/>
        <v>2019</v>
      </c>
      <c r="I1104" s="204" t="s">
        <v>153</v>
      </c>
    </row>
    <row r="1105" spans="1:9">
      <c r="A1105" s="195" t="s">
        <v>456</v>
      </c>
      <c r="B1105" s="195">
        <v>28.5</v>
      </c>
      <c r="C1105" s="195">
        <v>28.5</v>
      </c>
      <c r="D1105" s="195">
        <v>28.5</v>
      </c>
      <c r="E1105" s="195">
        <v>28.5</v>
      </c>
      <c r="F1105" s="195">
        <v>28.5</v>
      </c>
      <c r="H1105" s="195" t="str">
        <f t="shared" si="59"/>
        <v>2019</v>
      </c>
      <c r="I1105" s="204" t="s">
        <v>153</v>
      </c>
    </row>
    <row r="1106" spans="1:9">
      <c r="A1106" s="195" t="s">
        <v>35</v>
      </c>
      <c r="B1106" s="195">
        <v>22.45</v>
      </c>
      <c r="C1106" s="195">
        <v>22.45</v>
      </c>
      <c r="D1106" s="195">
        <v>22.45</v>
      </c>
      <c r="E1106" s="195">
        <v>22.45</v>
      </c>
      <c r="F1106" s="195">
        <v>22.45</v>
      </c>
      <c r="H1106" s="195" t="str">
        <f t="shared" si="59"/>
        <v>2019</v>
      </c>
      <c r="I1106" s="204" t="s">
        <v>153</v>
      </c>
    </row>
    <row r="1107" spans="1:9">
      <c r="A1107" s="195" t="s">
        <v>31</v>
      </c>
      <c r="B1107" s="195">
        <v>40.79</v>
      </c>
      <c r="C1107" s="195">
        <v>40.79</v>
      </c>
      <c r="D1107" s="195">
        <v>41.4</v>
      </c>
      <c r="E1107" s="195">
        <v>40.9</v>
      </c>
      <c r="F1107" s="195">
        <v>40.9</v>
      </c>
      <c r="H1107" s="195" t="str">
        <f t="shared" si="59"/>
        <v>2019</v>
      </c>
      <c r="I1107" s="204" t="s">
        <v>153</v>
      </c>
    </row>
    <row r="1108" spans="1:9">
      <c r="A1108" s="195" t="s">
        <v>458</v>
      </c>
      <c r="B1108" s="195">
        <v>47.76</v>
      </c>
      <c r="C1108" s="195">
        <v>46.94</v>
      </c>
      <c r="D1108" s="195">
        <v>46.48</v>
      </c>
      <c r="E1108" s="195">
        <v>48.44</v>
      </c>
      <c r="F1108" s="195">
        <v>46.06</v>
      </c>
      <c r="H1108" s="195" t="str">
        <f t="shared" si="59"/>
        <v>2019</v>
      </c>
      <c r="I1108" s="204" t="s">
        <v>153</v>
      </c>
    </row>
    <row r="1109" spans="1:9">
      <c r="A1109" s="195" t="s">
        <v>148</v>
      </c>
      <c r="B1109" s="195">
        <v>59.99</v>
      </c>
      <c r="C1109" s="195">
        <v>57.94</v>
      </c>
      <c r="D1109" s="195">
        <v>57.53</v>
      </c>
      <c r="E1109" s="195">
        <v>60.17</v>
      </c>
      <c r="F1109" s="195">
        <v>57.56</v>
      </c>
      <c r="H1109" s="195" t="str">
        <f t="shared" si="59"/>
        <v>2019</v>
      </c>
      <c r="I1109" s="204" t="s">
        <v>153</v>
      </c>
    </row>
    <row r="1110" spans="1:9">
      <c r="A1110" s="195" t="s">
        <v>149</v>
      </c>
      <c r="B1110" s="195">
        <v>31.91</v>
      </c>
      <c r="C1110" s="195">
        <v>30.8</v>
      </c>
      <c r="D1110" s="195">
        <v>31.21</v>
      </c>
      <c r="E1110" s="195">
        <v>30.4</v>
      </c>
      <c r="F1110" s="195">
        <v>31.55</v>
      </c>
      <c r="H1110" s="195" t="str">
        <f t="shared" si="59"/>
        <v>2019</v>
      </c>
      <c r="I1110" s="204" t="s">
        <v>153</v>
      </c>
    </row>
    <row r="1111" spans="1:9">
      <c r="A1111" s="195" t="s">
        <v>19</v>
      </c>
      <c r="B1111" s="195">
        <v>45.96</v>
      </c>
      <c r="C1111" s="195">
        <v>45.85</v>
      </c>
      <c r="D1111" s="195">
        <v>44.88</v>
      </c>
      <c r="E1111" s="195">
        <v>47.04</v>
      </c>
      <c r="F1111" s="195">
        <v>46.13</v>
      </c>
      <c r="H1111" s="195" t="str">
        <f t="shared" si="59"/>
        <v>2019</v>
      </c>
      <c r="I1111" s="204" t="s">
        <v>153</v>
      </c>
    </row>
    <row r="1112" spans="1:9">
      <c r="A1112" s="195" t="s">
        <v>150</v>
      </c>
      <c r="B1112" s="195">
        <v>20.89</v>
      </c>
      <c r="C1112" s="195">
        <v>20.84</v>
      </c>
      <c r="D1112" s="195">
        <v>20.399999999999999</v>
      </c>
      <c r="E1112" s="195">
        <v>21.38</v>
      </c>
      <c r="F1112" s="195">
        <v>20.97</v>
      </c>
      <c r="H1112" s="195" t="str">
        <f t="shared" si="59"/>
        <v>2019</v>
      </c>
      <c r="I1112" s="204" t="s">
        <v>153</v>
      </c>
    </row>
    <row r="1113" spans="1:9">
      <c r="A1113" s="195" t="s">
        <v>151</v>
      </c>
      <c r="B1113" s="195">
        <v>25.53</v>
      </c>
      <c r="C1113" s="195">
        <v>25.47</v>
      </c>
      <c r="D1113" s="195">
        <v>24.93</v>
      </c>
      <c r="E1113" s="195">
        <v>26.13</v>
      </c>
      <c r="F1113" s="195">
        <v>25.63</v>
      </c>
      <c r="H1113" s="195" t="str">
        <f t="shared" si="59"/>
        <v>2019</v>
      </c>
      <c r="I1113" s="204" t="s">
        <v>153</v>
      </c>
    </row>
    <row r="1114" spans="1:9">
      <c r="A1114" s="195" t="s">
        <v>152</v>
      </c>
      <c r="B1114" s="195">
        <v>19.149999999999999</v>
      </c>
      <c r="C1114" s="195">
        <v>19.100000000000001</v>
      </c>
      <c r="D1114" s="195">
        <v>18.7</v>
      </c>
      <c r="E1114" s="195">
        <v>19.600000000000001</v>
      </c>
      <c r="F1114" s="195">
        <v>19.22</v>
      </c>
      <c r="H1114" s="195" t="str">
        <f t="shared" si="59"/>
        <v>2019</v>
      </c>
      <c r="I1114" s="204" t="s">
        <v>153</v>
      </c>
    </row>
    <row r="1115" spans="1:9">
      <c r="A1115" s="195" t="s">
        <v>183</v>
      </c>
    </row>
    <row r="1116" spans="1:9">
      <c r="A1116" s="195" t="s">
        <v>708</v>
      </c>
    </row>
    <row r="1117" spans="1:9">
      <c r="A1117" s="195" t="s">
        <v>25</v>
      </c>
      <c r="B1117" s="195">
        <v>0</v>
      </c>
      <c r="C1117" s="195">
        <v>0</v>
      </c>
      <c r="D1117" s="195">
        <v>0</v>
      </c>
      <c r="E1117" s="195">
        <v>0</v>
      </c>
      <c r="F1117" s="195">
        <v>0</v>
      </c>
      <c r="H1117" s="195" t="str">
        <f>RIGHT(A1115,4)</f>
        <v>2020</v>
      </c>
      <c r="I1117" s="204" t="s">
        <v>710</v>
      </c>
    </row>
    <row r="1118" spans="1:9">
      <c r="A1118" s="195" t="s">
        <v>22</v>
      </c>
      <c r="B1118" s="195">
        <v>308.87</v>
      </c>
      <c r="C1118" s="195">
        <v>1.18</v>
      </c>
      <c r="D1118" s="195">
        <v>33.14</v>
      </c>
      <c r="E1118" s="195">
        <v>0</v>
      </c>
      <c r="F1118" s="195">
        <v>22.94</v>
      </c>
      <c r="H1118" s="195" t="str">
        <f>H1117</f>
        <v>2020</v>
      </c>
      <c r="I1118" s="204" t="s">
        <v>710</v>
      </c>
    </row>
    <row r="1119" spans="1:9">
      <c r="A1119" s="195" t="s">
        <v>15</v>
      </c>
      <c r="B1119" s="195">
        <v>201.62</v>
      </c>
      <c r="C1119" s="195">
        <v>1.06</v>
      </c>
      <c r="D1119" s="195">
        <v>10.029999999999999</v>
      </c>
      <c r="E1119" s="195">
        <v>1.06</v>
      </c>
      <c r="F1119" s="195">
        <v>5.98</v>
      </c>
      <c r="H1119" s="195" t="str">
        <f t="shared" ref="H1119:H1133" si="60">H1118</f>
        <v>2020</v>
      </c>
      <c r="I1119" s="204" t="s">
        <v>710</v>
      </c>
    </row>
    <row r="1120" spans="1:9">
      <c r="A1120" s="195" t="s">
        <v>16</v>
      </c>
      <c r="B1120" s="195">
        <v>1.1399999999999999</v>
      </c>
      <c r="C1120" s="195">
        <v>0.09</v>
      </c>
      <c r="D1120" s="195">
        <v>0.1</v>
      </c>
      <c r="E1120" s="195">
        <v>0.12</v>
      </c>
      <c r="F1120" s="195">
        <v>0.24</v>
      </c>
      <c r="H1120" s="195" t="str">
        <f t="shared" si="60"/>
        <v>2020</v>
      </c>
      <c r="I1120" s="204" t="s">
        <v>710</v>
      </c>
    </row>
    <row r="1121" spans="1:9">
      <c r="A1121" s="195" t="s">
        <v>37</v>
      </c>
      <c r="B1121" s="195">
        <v>194.02</v>
      </c>
      <c r="C1121" s="195">
        <v>2.11</v>
      </c>
      <c r="D1121" s="195">
        <v>40.11</v>
      </c>
      <c r="E1121" s="195">
        <v>0</v>
      </c>
      <c r="F1121" s="195">
        <v>10.56</v>
      </c>
      <c r="H1121" s="195" t="str">
        <f t="shared" si="60"/>
        <v>2020</v>
      </c>
      <c r="I1121" s="204" t="s">
        <v>710</v>
      </c>
    </row>
    <row r="1122" spans="1:9">
      <c r="A1122" s="195" t="s">
        <v>36</v>
      </c>
      <c r="B1122" s="195">
        <v>122.81</v>
      </c>
      <c r="C1122" s="195">
        <v>1.66</v>
      </c>
      <c r="D1122" s="195">
        <v>21.85</v>
      </c>
      <c r="E1122" s="195">
        <v>0</v>
      </c>
      <c r="F1122" s="195">
        <v>25.45</v>
      </c>
      <c r="H1122" s="195" t="str">
        <f t="shared" si="60"/>
        <v>2020</v>
      </c>
      <c r="I1122" s="204" t="s">
        <v>710</v>
      </c>
    </row>
    <row r="1123" spans="1:9">
      <c r="A1123" s="195" t="s">
        <v>453</v>
      </c>
      <c r="B1123" s="195">
        <v>97.28</v>
      </c>
      <c r="C1123" s="195">
        <v>0</v>
      </c>
      <c r="D1123" s="195">
        <v>6.15</v>
      </c>
      <c r="E1123" s="195">
        <v>0</v>
      </c>
      <c r="F1123" s="195">
        <v>55.32</v>
      </c>
      <c r="H1123" s="195" t="str">
        <f t="shared" si="60"/>
        <v>2020</v>
      </c>
      <c r="I1123" s="204" t="s">
        <v>710</v>
      </c>
    </row>
    <row r="1124" spans="1:9">
      <c r="A1124" s="195" t="s">
        <v>456</v>
      </c>
      <c r="B1124" s="195">
        <v>92.26</v>
      </c>
      <c r="C1124" s="195">
        <v>105.7</v>
      </c>
      <c r="D1124" s="195">
        <v>186.28</v>
      </c>
      <c r="E1124" s="195">
        <v>11.19</v>
      </c>
      <c r="F1124" s="195">
        <v>2.11</v>
      </c>
      <c r="H1124" s="195" t="str">
        <f t="shared" si="60"/>
        <v>2020</v>
      </c>
      <c r="I1124" s="204" t="s">
        <v>710</v>
      </c>
    </row>
    <row r="1125" spans="1:9">
      <c r="A1125" s="195" t="s">
        <v>35</v>
      </c>
      <c r="B1125" s="195">
        <v>4.22</v>
      </c>
      <c r="C1125" s="195">
        <v>4.8600000000000003</v>
      </c>
      <c r="D1125" s="195">
        <v>310.47000000000003</v>
      </c>
      <c r="E1125" s="195">
        <v>0</v>
      </c>
      <c r="F1125" s="195">
        <v>3.52</v>
      </c>
      <c r="H1125" s="195" t="str">
        <f t="shared" si="60"/>
        <v>2020</v>
      </c>
      <c r="I1125" s="204" t="s">
        <v>710</v>
      </c>
    </row>
    <row r="1126" spans="1:9">
      <c r="A1126" s="195" t="s">
        <v>31</v>
      </c>
      <c r="B1126" s="195">
        <v>45.91</v>
      </c>
      <c r="C1126" s="195">
        <v>7.09</v>
      </c>
      <c r="D1126" s="195">
        <v>22.96</v>
      </c>
      <c r="E1126" s="195">
        <v>1.01</v>
      </c>
      <c r="F1126" s="195">
        <v>31.94</v>
      </c>
      <c r="H1126" s="195" t="str">
        <f t="shared" si="60"/>
        <v>2020</v>
      </c>
      <c r="I1126" s="204" t="s">
        <v>710</v>
      </c>
    </row>
    <row r="1127" spans="1:9">
      <c r="A1127" s="195" t="s">
        <v>458</v>
      </c>
      <c r="B1127" s="195">
        <v>0.75</v>
      </c>
      <c r="C1127" s="195">
        <v>0</v>
      </c>
      <c r="D1127" s="195">
        <v>0</v>
      </c>
      <c r="E1127" s="195">
        <v>0</v>
      </c>
      <c r="F1127" s="195">
        <v>1.04</v>
      </c>
      <c r="H1127" s="195" t="str">
        <f t="shared" si="60"/>
        <v>2020</v>
      </c>
      <c r="I1127" s="204" t="s">
        <v>710</v>
      </c>
    </row>
    <row r="1128" spans="1:9">
      <c r="A1128" s="195" t="s">
        <v>148</v>
      </c>
      <c r="B1128" s="195">
        <v>332.84</v>
      </c>
      <c r="C1128" s="195">
        <v>1.07</v>
      </c>
      <c r="D1128" s="195">
        <v>6.39</v>
      </c>
      <c r="E1128" s="195">
        <v>1.07</v>
      </c>
      <c r="F1128" s="195">
        <v>28.55</v>
      </c>
      <c r="H1128" s="195" t="str">
        <f t="shared" si="60"/>
        <v>2020</v>
      </c>
      <c r="I1128" s="204" t="s">
        <v>710</v>
      </c>
    </row>
    <row r="1129" spans="1:9">
      <c r="A1129" s="195" t="s">
        <v>149</v>
      </c>
      <c r="B1129" s="195">
        <v>402.4</v>
      </c>
      <c r="C1129" s="195">
        <v>1.29</v>
      </c>
      <c r="D1129" s="195">
        <v>7.71</v>
      </c>
      <c r="E1129" s="195">
        <v>1.29</v>
      </c>
      <c r="F1129" s="195">
        <v>62.56</v>
      </c>
      <c r="H1129" s="195" t="str">
        <f t="shared" si="60"/>
        <v>2020</v>
      </c>
      <c r="I1129" s="204" t="s">
        <v>710</v>
      </c>
    </row>
    <row r="1130" spans="1:9">
      <c r="A1130" s="195" t="s">
        <v>19</v>
      </c>
      <c r="B1130" s="195">
        <v>61.26</v>
      </c>
      <c r="C1130" s="195">
        <v>0</v>
      </c>
      <c r="D1130" s="195">
        <v>6.76</v>
      </c>
      <c r="E1130" s="195">
        <v>0</v>
      </c>
      <c r="F1130" s="195">
        <v>20.420000000000002</v>
      </c>
      <c r="H1130" s="195" t="str">
        <f t="shared" si="60"/>
        <v>2020</v>
      </c>
      <c r="I1130" s="204" t="s">
        <v>710</v>
      </c>
    </row>
    <row r="1131" spans="1:9">
      <c r="A1131" s="195" t="s">
        <v>150</v>
      </c>
      <c r="B1131" s="195">
        <v>18.62</v>
      </c>
      <c r="C1131" s="195">
        <v>0</v>
      </c>
      <c r="D1131" s="195">
        <v>140.28</v>
      </c>
      <c r="E1131" s="195">
        <v>0</v>
      </c>
      <c r="F1131" s="195">
        <v>28.08</v>
      </c>
      <c r="H1131" s="195" t="str">
        <f t="shared" si="60"/>
        <v>2020</v>
      </c>
      <c r="I1131" s="204" t="s">
        <v>710</v>
      </c>
    </row>
    <row r="1132" spans="1:9">
      <c r="A1132" s="195" t="s">
        <v>151</v>
      </c>
      <c r="B1132" s="195">
        <v>16.239999999999998</v>
      </c>
      <c r="C1132" s="195">
        <v>1.39</v>
      </c>
      <c r="D1132" s="195">
        <v>365.62</v>
      </c>
      <c r="E1132" s="195">
        <v>0.9</v>
      </c>
      <c r="F1132" s="195">
        <v>15.29</v>
      </c>
      <c r="H1132" s="195" t="str">
        <f t="shared" si="60"/>
        <v>2020</v>
      </c>
      <c r="I1132" s="204" t="s">
        <v>710</v>
      </c>
    </row>
    <row r="1133" spans="1:9">
      <c r="A1133" s="195" t="s">
        <v>152</v>
      </c>
      <c r="B1133" s="195">
        <v>98.03</v>
      </c>
      <c r="C1133" s="195">
        <v>0.92</v>
      </c>
      <c r="D1133" s="195">
        <v>194.45</v>
      </c>
      <c r="E1133" s="195">
        <v>0</v>
      </c>
      <c r="F1133" s="195">
        <v>54.96</v>
      </c>
      <c r="H1133" s="195" t="str">
        <f t="shared" si="60"/>
        <v>2020</v>
      </c>
      <c r="I1133" s="204" t="s">
        <v>710</v>
      </c>
    </row>
    <row r="1134" spans="1:9">
      <c r="A1134" s="195" t="s">
        <v>709</v>
      </c>
    </row>
    <row r="1135" spans="1:9">
      <c r="A1135" s="195" t="s">
        <v>25</v>
      </c>
      <c r="B1135" s="195">
        <v>113.56</v>
      </c>
      <c r="C1135" s="195">
        <v>113.5</v>
      </c>
      <c r="D1135" s="195">
        <v>113.56</v>
      </c>
      <c r="E1135" s="195">
        <v>113.3</v>
      </c>
      <c r="F1135" s="195">
        <v>113.5</v>
      </c>
      <c r="H1135" s="195" t="str">
        <f>H1117</f>
        <v>2020</v>
      </c>
      <c r="I1135" s="204" t="s">
        <v>153</v>
      </c>
    </row>
    <row r="1136" spans="1:9">
      <c r="A1136" s="195" t="s">
        <v>22</v>
      </c>
      <c r="B1136" s="195">
        <v>46.77</v>
      </c>
      <c r="C1136" s="195">
        <v>47.23</v>
      </c>
      <c r="D1136" s="195">
        <v>46.65</v>
      </c>
      <c r="E1136" s="195">
        <v>46.46</v>
      </c>
      <c r="F1136" s="195">
        <v>30.65</v>
      </c>
      <c r="H1136" s="195" t="str">
        <f t="shared" ref="H1136:H1151" si="61">H1118</f>
        <v>2020</v>
      </c>
      <c r="I1136" s="204" t="s">
        <v>153</v>
      </c>
    </row>
    <row r="1137" spans="1:9">
      <c r="A1137" s="195" t="s">
        <v>15</v>
      </c>
      <c r="B1137" s="195">
        <v>40.57</v>
      </c>
      <c r="C1137" s="195">
        <v>39.6</v>
      </c>
      <c r="D1137" s="195">
        <v>41.05</v>
      </c>
      <c r="E1137" s="195">
        <v>37.42</v>
      </c>
      <c r="F1137" s="195">
        <v>40.35</v>
      </c>
      <c r="H1137" s="195" t="str">
        <f t="shared" si="61"/>
        <v>2020</v>
      </c>
      <c r="I1137" s="204" t="s">
        <v>153</v>
      </c>
    </row>
    <row r="1138" spans="1:9">
      <c r="A1138" s="195" t="s">
        <v>16</v>
      </c>
      <c r="B1138" s="195">
        <v>113.56</v>
      </c>
      <c r="C1138" s="195">
        <v>113.5</v>
      </c>
      <c r="D1138" s="195">
        <v>113.56</v>
      </c>
      <c r="E1138" s="195">
        <v>113.5</v>
      </c>
      <c r="F1138" s="195">
        <v>113.5</v>
      </c>
      <c r="H1138" s="195" t="str">
        <f t="shared" si="61"/>
        <v>2020</v>
      </c>
      <c r="I1138" s="204" t="s">
        <v>153</v>
      </c>
    </row>
    <row r="1139" spans="1:9">
      <c r="A1139" s="195" t="s">
        <v>37</v>
      </c>
      <c r="B1139" s="195">
        <v>32.119999999999997</v>
      </c>
      <c r="C1139" s="195">
        <v>32.119999999999997</v>
      </c>
      <c r="D1139" s="195">
        <v>32.6</v>
      </c>
      <c r="E1139" s="195">
        <v>31.37</v>
      </c>
      <c r="F1139" s="195">
        <v>30.83</v>
      </c>
      <c r="H1139" s="195" t="str">
        <f t="shared" si="61"/>
        <v>2020</v>
      </c>
      <c r="I1139" s="204" t="s">
        <v>153</v>
      </c>
    </row>
    <row r="1140" spans="1:9">
      <c r="A1140" s="195" t="s">
        <v>36</v>
      </c>
      <c r="B1140" s="195">
        <v>31.8</v>
      </c>
      <c r="C1140" s="195">
        <v>31.8</v>
      </c>
      <c r="D1140" s="195">
        <v>32.28</v>
      </c>
      <c r="E1140" s="195">
        <v>31.39</v>
      </c>
      <c r="F1140" s="195">
        <v>30.96</v>
      </c>
      <c r="H1140" s="195" t="str">
        <f t="shared" si="61"/>
        <v>2020</v>
      </c>
      <c r="I1140" s="204" t="s">
        <v>153</v>
      </c>
    </row>
    <row r="1141" spans="1:9">
      <c r="A1141" s="195" t="s">
        <v>453</v>
      </c>
      <c r="B1141" s="195">
        <v>38.340000000000003</v>
      </c>
      <c r="C1141" s="195">
        <v>37.68</v>
      </c>
      <c r="D1141" s="195">
        <v>37.28</v>
      </c>
      <c r="E1141" s="195">
        <v>38.42</v>
      </c>
      <c r="F1141" s="195">
        <v>38.729999999999997</v>
      </c>
      <c r="H1141" s="195" t="str">
        <f t="shared" si="61"/>
        <v>2020</v>
      </c>
      <c r="I1141" s="204" t="s">
        <v>153</v>
      </c>
    </row>
    <row r="1142" spans="1:9">
      <c r="A1142" s="195" t="s">
        <v>456</v>
      </c>
      <c r="B1142" s="195">
        <v>28.5</v>
      </c>
      <c r="C1142" s="195">
        <v>28.5</v>
      </c>
      <c r="D1142" s="195">
        <v>28.5</v>
      </c>
      <c r="E1142" s="195">
        <v>28.5</v>
      </c>
      <c r="F1142" s="195">
        <v>28.5</v>
      </c>
      <c r="H1142" s="195" t="str">
        <f t="shared" si="61"/>
        <v>2020</v>
      </c>
      <c r="I1142" s="204" t="s">
        <v>153</v>
      </c>
    </row>
    <row r="1143" spans="1:9">
      <c r="A1143" s="195" t="s">
        <v>35</v>
      </c>
      <c r="B1143" s="195">
        <v>22.5</v>
      </c>
      <c r="C1143" s="195">
        <v>24.85</v>
      </c>
      <c r="D1143" s="195">
        <v>24.91</v>
      </c>
      <c r="E1143" s="195">
        <v>24.09</v>
      </c>
      <c r="F1143" s="195">
        <v>11.24</v>
      </c>
      <c r="H1143" s="195" t="str">
        <f t="shared" si="61"/>
        <v>2020</v>
      </c>
      <c r="I1143" s="204" t="s">
        <v>153</v>
      </c>
    </row>
    <row r="1144" spans="1:9">
      <c r="A1144" s="195" t="s">
        <v>31</v>
      </c>
      <c r="B1144" s="195">
        <v>41.16</v>
      </c>
      <c r="C1144" s="195">
        <v>41.16</v>
      </c>
      <c r="D1144" s="195">
        <v>41.76</v>
      </c>
      <c r="E1144" s="195">
        <v>41.27</v>
      </c>
      <c r="F1144" s="195">
        <v>41.27</v>
      </c>
      <c r="H1144" s="195" t="str">
        <f t="shared" si="61"/>
        <v>2020</v>
      </c>
      <c r="I1144" s="204" t="s">
        <v>153</v>
      </c>
    </row>
    <row r="1145" spans="1:9">
      <c r="A1145" s="195" t="s">
        <v>458</v>
      </c>
      <c r="B1145" s="195">
        <v>47.76</v>
      </c>
      <c r="C1145" s="195">
        <v>46.94</v>
      </c>
      <c r="D1145" s="195">
        <v>46.48</v>
      </c>
      <c r="E1145" s="195">
        <v>48.44</v>
      </c>
      <c r="F1145" s="195">
        <v>46.06</v>
      </c>
      <c r="H1145" s="195" t="str">
        <f t="shared" si="61"/>
        <v>2020</v>
      </c>
      <c r="I1145" s="204" t="s">
        <v>153</v>
      </c>
    </row>
    <row r="1146" spans="1:9">
      <c r="A1146" s="195" t="s">
        <v>148</v>
      </c>
      <c r="B1146" s="195">
        <v>59.99</v>
      </c>
      <c r="C1146" s="195">
        <v>57.94</v>
      </c>
      <c r="D1146" s="195">
        <v>57.53</v>
      </c>
      <c r="E1146" s="195">
        <v>60.17</v>
      </c>
      <c r="F1146" s="195">
        <v>57.56</v>
      </c>
      <c r="H1146" s="195" t="str">
        <f t="shared" si="61"/>
        <v>2020</v>
      </c>
      <c r="I1146" s="204" t="s">
        <v>153</v>
      </c>
    </row>
    <row r="1147" spans="1:9">
      <c r="A1147" s="195" t="s">
        <v>149</v>
      </c>
      <c r="B1147" s="195">
        <v>31.91</v>
      </c>
      <c r="C1147" s="195">
        <v>30.8</v>
      </c>
      <c r="D1147" s="195">
        <v>31.21</v>
      </c>
      <c r="E1147" s="195">
        <v>30.4</v>
      </c>
      <c r="F1147" s="195">
        <v>31.55</v>
      </c>
      <c r="H1147" s="195" t="str">
        <f t="shared" si="61"/>
        <v>2020</v>
      </c>
      <c r="I1147" s="204" t="s">
        <v>153</v>
      </c>
    </row>
    <row r="1148" spans="1:9">
      <c r="A1148" s="195" t="s">
        <v>19</v>
      </c>
      <c r="B1148" s="195">
        <v>44.81</v>
      </c>
      <c r="C1148" s="195">
        <v>44.71</v>
      </c>
      <c r="D1148" s="195">
        <v>43.75</v>
      </c>
      <c r="E1148" s="195">
        <v>44.76</v>
      </c>
      <c r="F1148" s="195">
        <v>44.43</v>
      </c>
      <c r="H1148" s="195" t="str">
        <f t="shared" si="61"/>
        <v>2020</v>
      </c>
      <c r="I1148" s="204" t="s">
        <v>153</v>
      </c>
    </row>
    <row r="1149" spans="1:9">
      <c r="A1149" s="195" t="s">
        <v>150</v>
      </c>
      <c r="B1149" s="195">
        <v>20.37</v>
      </c>
      <c r="C1149" s="195">
        <v>20.32</v>
      </c>
      <c r="D1149" s="195">
        <v>19.88</v>
      </c>
      <c r="E1149" s="195">
        <v>20.350000000000001</v>
      </c>
      <c r="F1149" s="195">
        <v>20.2</v>
      </c>
      <c r="H1149" s="195" t="str">
        <f t="shared" si="61"/>
        <v>2020</v>
      </c>
      <c r="I1149" s="204" t="s">
        <v>153</v>
      </c>
    </row>
    <row r="1150" spans="1:9">
      <c r="A1150" s="195" t="s">
        <v>151</v>
      </c>
      <c r="B1150" s="195">
        <v>24.9</v>
      </c>
      <c r="C1150" s="195">
        <v>24.84</v>
      </c>
      <c r="D1150" s="195">
        <v>24.3</v>
      </c>
      <c r="E1150" s="195">
        <v>24.87</v>
      </c>
      <c r="F1150" s="195">
        <v>24.68</v>
      </c>
      <c r="H1150" s="195" t="str">
        <f t="shared" si="61"/>
        <v>2020</v>
      </c>
      <c r="I1150" s="204" t="s">
        <v>153</v>
      </c>
    </row>
    <row r="1151" spans="1:9">
      <c r="A1151" s="195" t="s">
        <v>152</v>
      </c>
      <c r="B1151" s="195">
        <v>18.670000000000002</v>
      </c>
      <c r="C1151" s="195">
        <v>18.63</v>
      </c>
      <c r="D1151" s="195">
        <v>18.23</v>
      </c>
      <c r="E1151" s="195">
        <v>18.649999999999999</v>
      </c>
      <c r="F1151" s="195">
        <v>18.510000000000002</v>
      </c>
      <c r="H1151" s="195" t="str">
        <f t="shared" si="61"/>
        <v>2020</v>
      </c>
      <c r="I1151" s="204" t="s">
        <v>153</v>
      </c>
    </row>
    <row r="1154" spans="9:9">
      <c r="I1154" s="204"/>
    </row>
    <row r="1155" spans="9:9">
      <c r="I1155" s="204"/>
    </row>
    <row r="1156" spans="9:9">
      <c r="I1156" s="204"/>
    </row>
    <row r="1157" spans="9:9">
      <c r="I1157" s="204"/>
    </row>
    <row r="1158" spans="9:9">
      <c r="I1158" s="204"/>
    </row>
    <row r="1159" spans="9:9">
      <c r="I1159" s="204"/>
    </row>
    <row r="1160" spans="9:9">
      <c r="I1160" s="204"/>
    </row>
    <row r="1161" spans="9:9">
      <c r="I1161" s="204"/>
    </row>
    <row r="1162" spans="9:9">
      <c r="I1162" s="204"/>
    </row>
    <row r="1163" spans="9:9">
      <c r="I1163" s="204"/>
    </row>
    <row r="1164" spans="9:9">
      <c r="I1164" s="204"/>
    </row>
    <row r="1165" spans="9:9">
      <c r="I1165" s="204"/>
    </row>
    <row r="1166" spans="9:9">
      <c r="I1166" s="204"/>
    </row>
    <row r="1167" spans="9:9">
      <c r="I1167" s="204"/>
    </row>
    <row r="1168" spans="9:9">
      <c r="I1168" s="204"/>
    </row>
    <row r="1169" spans="9:9">
      <c r="I1169" s="204"/>
    </row>
    <row r="1170" spans="9:9">
      <c r="I1170" s="204"/>
    </row>
    <row r="1172" spans="9:9">
      <c r="I1172" s="204"/>
    </row>
    <row r="1173" spans="9:9">
      <c r="I1173" s="204"/>
    </row>
    <row r="1174" spans="9:9">
      <c r="I1174" s="204"/>
    </row>
    <row r="1175" spans="9:9">
      <c r="I1175" s="204"/>
    </row>
    <row r="1176" spans="9:9">
      <c r="I1176" s="204"/>
    </row>
    <row r="1177" spans="9:9">
      <c r="I1177" s="204"/>
    </row>
    <row r="1178" spans="9:9">
      <c r="I1178" s="204"/>
    </row>
    <row r="1179" spans="9:9">
      <c r="I1179" s="204"/>
    </row>
    <row r="1180" spans="9:9">
      <c r="I1180" s="204"/>
    </row>
    <row r="1181" spans="9:9">
      <c r="I1181" s="204"/>
    </row>
    <row r="1182" spans="9:9">
      <c r="I1182" s="204"/>
    </row>
    <row r="1183" spans="9:9">
      <c r="I1183" s="204"/>
    </row>
    <row r="1184" spans="9:9">
      <c r="I1184" s="204"/>
    </row>
    <row r="1185" spans="9:9">
      <c r="I1185" s="204"/>
    </row>
    <row r="1186" spans="9:9">
      <c r="I1186" s="204"/>
    </row>
    <row r="1187" spans="9:9">
      <c r="I1187" s="204"/>
    </row>
    <row r="1188" spans="9:9">
      <c r="I1188" s="204"/>
    </row>
  </sheetData>
  <phoneticPr fontId="17" type="noConversion"/>
  <pageMargins left="0.75" right="0.75" top="1" bottom="1" header="0.5" footer="0.5"/>
  <pageSetup orientation="portrait" r:id="rId1"/>
  <headerFooter alignWithMargins="0"/>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20"/>
  <dimension ref="A1:AL1264"/>
  <sheetViews>
    <sheetView showFormulas="1" topLeftCell="B1" zoomScale="80" workbookViewId="0">
      <pane ySplit="11" topLeftCell="A299" activePane="bottomLeft" state="frozen"/>
      <selection activeCell="K53" sqref="K53"/>
      <selection pane="bottomLeft" activeCell="I336" sqref="I336"/>
    </sheetView>
  </sheetViews>
  <sheetFormatPr defaultColWidth="9.140625" defaultRowHeight="12.75"/>
  <cols>
    <col min="1" max="1" width="50.5703125" style="195" bestFit="1" customWidth="1"/>
    <col min="2" max="2" width="5.28515625" style="195" bestFit="1" customWidth="1"/>
    <col min="3" max="3" width="10.5703125" style="195" bestFit="1" customWidth="1"/>
    <col min="4" max="4" width="6.42578125" style="195" bestFit="1" customWidth="1"/>
    <col min="5" max="5" width="12.140625" style="195" bestFit="1" customWidth="1"/>
    <col min="6" max="6" width="68.42578125" style="195" bestFit="1" customWidth="1"/>
    <col min="7" max="7" width="25" style="195" bestFit="1" customWidth="1"/>
    <col min="8" max="8" width="8.5703125" style="195" bestFit="1" customWidth="1"/>
    <col min="9" max="9" width="9.5703125" style="195" bestFit="1" customWidth="1"/>
    <col min="10" max="10" width="23.7109375" style="195" bestFit="1" customWidth="1"/>
    <col min="11" max="11" width="9.5703125" style="195" bestFit="1" customWidth="1"/>
    <col min="12" max="22" width="7.42578125" style="195" bestFit="1" customWidth="1"/>
    <col min="23" max="23" width="2.7109375" style="195" customWidth="1"/>
    <col min="24" max="27" width="10.85546875" style="195" bestFit="1" customWidth="1"/>
    <col min="28" max="32" width="14.85546875" style="195" bestFit="1" customWidth="1"/>
    <col min="33" max="35" width="12.42578125" style="195" bestFit="1" customWidth="1"/>
    <col min="36" max="38" width="10.140625" style="195" customWidth="1"/>
    <col min="39" max="16384" width="9.140625" style="195"/>
  </cols>
  <sheetData>
    <row r="1" spans="1:38" ht="15.75">
      <c r="A1" s="237" t="s">
        <v>2459</v>
      </c>
    </row>
    <row r="2" spans="1:38">
      <c r="A2" s="202"/>
    </row>
    <row r="3" spans="1:38">
      <c r="A3" s="202" t="s">
        <v>714</v>
      </c>
    </row>
    <row r="4" spans="1:38">
      <c r="A4" s="202"/>
      <c r="C4" s="205" t="s">
        <v>153</v>
      </c>
      <c r="E4" s="205" t="s">
        <v>710</v>
      </c>
      <c r="G4" s="195" t="s">
        <v>990</v>
      </c>
      <c r="J4" s="195">
        <v>1.05</v>
      </c>
      <c r="K4" s="195">
        <v>1.1000000000000001</v>
      </c>
    </row>
    <row r="5" spans="1:38">
      <c r="A5" s="238" t="s">
        <v>715</v>
      </c>
      <c r="B5" s="195">
        <v>1</v>
      </c>
      <c r="C5" s="219">
        <v>0.95</v>
      </c>
      <c r="D5" s="195">
        <v>1</v>
      </c>
      <c r="E5" s="216">
        <v>0.8</v>
      </c>
      <c r="J5" s="201" t="s">
        <v>993</v>
      </c>
    </row>
    <row r="6" spans="1:38">
      <c r="A6" s="202"/>
      <c r="B6" s="195">
        <v>2</v>
      </c>
      <c r="C6" s="219">
        <v>0.98</v>
      </c>
      <c r="D6" s="195">
        <v>2</v>
      </c>
      <c r="E6" s="216">
        <v>0.9</v>
      </c>
    </row>
    <row r="7" spans="1:38">
      <c r="A7" s="202"/>
      <c r="B7" s="195">
        <v>3</v>
      </c>
      <c r="C7" s="219">
        <v>1</v>
      </c>
      <c r="D7" s="195">
        <v>3</v>
      </c>
      <c r="E7" s="216">
        <v>1</v>
      </c>
      <c r="AB7" s="219">
        <f>SUM(AB13:AB347)</f>
        <v>434785944.92819041</v>
      </c>
      <c r="AC7" s="219">
        <f t="shared" ref="AC7:AF7" si="0">SUM(AC13:AC347)</f>
        <v>434784788.86869693</v>
      </c>
      <c r="AD7" s="219">
        <f t="shared" si="0"/>
        <v>434784754.91640419</v>
      </c>
      <c r="AE7" s="219">
        <f t="shared" si="0"/>
        <v>434784921.09896559</v>
      </c>
      <c r="AF7" s="219">
        <f t="shared" si="0"/>
        <v>147385066.07735282</v>
      </c>
    </row>
    <row r="8" spans="1:38">
      <c r="A8" s="202"/>
      <c r="B8" s="195">
        <v>4</v>
      </c>
      <c r="C8" s="219">
        <v>1.0900000000000001</v>
      </c>
      <c r="D8" s="195">
        <v>4</v>
      </c>
      <c r="E8" s="216">
        <v>1.2</v>
      </c>
    </row>
    <row r="9" spans="1:38">
      <c r="A9" s="202"/>
      <c r="B9" s="195">
        <v>5</v>
      </c>
      <c r="C9" s="219">
        <v>1.3</v>
      </c>
      <c r="D9" s="195">
        <v>5</v>
      </c>
      <c r="E9" s="219">
        <v>2</v>
      </c>
    </row>
    <row r="10" spans="1:38">
      <c r="A10" s="202"/>
      <c r="H10" s="439" t="s">
        <v>716</v>
      </c>
      <c r="I10" s="439"/>
      <c r="J10" s="439"/>
      <c r="K10" s="439"/>
      <c r="L10" s="439" t="s">
        <v>711</v>
      </c>
      <c r="M10" s="439"/>
      <c r="N10" s="439"/>
      <c r="O10" s="439"/>
      <c r="P10" s="439"/>
      <c r="Q10" s="439"/>
      <c r="R10" s="439"/>
      <c r="S10" s="439"/>
      <c r="T10" s="439"/>
      <c r="U10" s="439"/>
      <c r="V10" s="439"/>
      <c r="X10" s="439" t="s">
        <v>712</v>
      </c>
      <c r="Y10" s="439"/>
      <c r="Z10" s="439"/>
      <c r="AA10" s="439"/>
      <c r="AB10" s="439" t="s">
        <v>137</v>
      </c>
      <c r="AC10" s="439"/>
      <c r="AD10" s="439"/>
      <c r="AE10" s="439"/>
      <c r="AF10" s="439"/>
      <c r="AG10" s="439"/>
      <c r="AH10" s="439"/>
      <c r="AI10" s="439"/>
      <c r="AJ10" s="439"/>
      <c r="AK10" s="439"/>
      <c r="AL10" s="439"/>
    </row>
    <row r="11" spans="1:38" s="202" customFormat="1">
      <c r="A11" s="202" t="s">
        <v>588</v>
      </c>
      <c r="B11" s="202" t="s">
        <v>133</v>
      </c>
      <c r="C11" s="202" t="s">
        <v>134</v>
      </c>
      <c r="D11" s="202" t="s">
        <v>56</v>
      </c>
      <c r="E11" s="202" t="s">
        <v>135</v>
      </c>
      <c r="F11" s="202" t="s">
        <v>13</v>
      </c>
      <c r="G11" s="202" t="s">
        <v>133</v>
      </c>
      <c r="H11" s="202">
        <v>2005</v>
      </c>
      <c r="I11" s="202">
        <v>2010</v>
      </c>
      <c r="J11" s="202">
        <v>2015</v>
      </c>
      <c r="K11" s="202">
        <v>2020</v>
      </c>
      <c r="L11" s="202">
        <v>2005</v>
      </c>
      <c r="M11" s="202">
        <v>2010</v>
      </c>
      <c r="N11" s="202">
        <v>2015</v>
      </c>
      <c r="O11" s="202">
        <v>2020</v>
      </c>
      <c r="P11" s="202">
        <v>2025</v>
      </c>
      <c r="Q11" s="202">
        <v>2030</v>
      </c>
      <c r="R11" s="202">
        <v>2035</v>
      </c>
      <c r="S11" s="202">
        <v>2040</v>
      </c>
      <c r="T11" s="202">
        <v>2045</v>
      </c>
      <c r="U11" s="202">
        <v>2050</v>
      </c>
      <c r="V11" s="202">
        <v>2055</v>
      </c>
      <c r="X11" s="202">
        <v>2005</v>
      </c>
      <c r="Y11" s="202">
        <v>2010</v>
      </c>
      <c r="Z11" s="202">
        <v>2015</v>
      </c>
      <c r="AA11" s="202">
        <v>2020</v>
      </c>
      <c r="AB11" s="202">
        <v>2005</v>
      </c>
      <c r="AC11" s="202">
        <v>2010</v>
      </c>
      <c r="AD11" s="202">
        <v>2015</v>
      </c>
      <c r="AE11" s="202">
        <v>2020</v>
      </c>
      <c r="AF11" s="202">
        <v>2005</v>
      </c>
      <c r="AG11" s="202">
        <v>2010</v>
      </c>
      <c r="AH11" s="202">
        <v>2015</v>
      </c>
      <c r="AI11" s="202">
        <v>2020</v>
      </c>
    </row>
    <row r="12" spans="1:38" s="202" customFormat="1">
      <c r="A12" s="202" t="s">
        <v>713</v>
      </c>
    </row>
    <row r="13" spans="1:38">
      <c r="A13" s="195" t="str">
        <f>'Agg prdcrv'!$A$6</f>
        <v>Reformulated Mogas</v>
      </c>
      <c r="B13" s="195" t="str">
        <f>VLOOKUP($A13,Types!$A$2:$C$13,2,FALSE)</f>
        <v>GSR</v>
      </c>
      <c r="C13" s="195">
        <v>3</v>
      </c>
      <c r="D13" s="195">
        <v>1</v>
      </c>
      <c r="E13" s="195" t="str">
        <f t="shared" ref="E13:E72" si="1">CONCATENATE("IMP",G13,RIGHT(C13,1))</f>
        <v>IMPGSRP13</v>
      </c>
      <c r="F13" s="195" t="str">
        <f>CONCATENATE("Imported ",VLOOKUP($A13,Types!$A$2:$C$13,3,FALSE),", PADD ",D13,", Step ",RIGHT(C13,1))</f>
        <v>Imported Reformulated Gasoline, PADD 1, Step 3</v>
      </c>
      <c r="G13" s="195" t="str">
        <f>CONCATENATE(VLOOKUP($A13,Types!$A$2:$C$13,2,FALSE),"P",D13)</f>
        <v>GSRP1</v>
      </c>
      <c r="H13" s="239">
        <f>SUMIFS('Agg prdcrv NYC'!$L$6:$L$100,'Agg prdcrv NYC'!$A$6:$A$100,'Imp Refined NYC'!$A13,'Agg prdcrv NYC'!$B$6:$B$100,H$11)*K4</f>
        <v>67.914000000000001</v>
      </c>
      <c r="I13" s="239">
        <f>SUMIFS('Agg prdcrv NYC'!$L$6:$L$100,'Agg prdcrv NYC'!$A$6:$A$100,'Imp Refined NYC'!$A13,'Agg prdcrv NYC'!$B$6:$B$100,I$11)*K4</f>
        <v>124.91600000000001</v>
      </c>
      <c r="J13" s="239">
        <f t="array" ref="J13">SUMIFS('Agg prdcrv NYC'!$L$6:$L$100,'Agg prdcrv NYC'!$A$6:$A$100,'Imp Refined NYC'!$A13,'Agg prdcrv NYC'!$B$6:$B$100,J$11)</f>
        <v>113.56</v>
      </c>
      <c r="K13" s="239">
        <f t="array" ref="K13">SUMIFS('Agg prdcrv NYC'!$L$6:$L$100,'Agg prdcrv NYC'!$A$6:$A$100,'Imp Refined NYC'!$A13,'Agg prdcrv NYC'!$B$6:$B$100,K$11)</f>
        <v>113.56</v>
      </c>
      <c r="L13" s="240">
        <f>H13*Conv!$J$20/10^6/VLOOKUP($B13,Types!$B$2:$D$13,3,FALSE)/Conv!$I$5</f>
        <v>19.179618591634092</v>
      </c>
      <c r="M13" s="240">
        <f>I13*Conv!$J$20/10^6/VLOOKUP($B13,Types!$B$2:$D$13,3,FALSE)/Conv!$I$5</f>
        <v>35.277575109588071</v>
      </c>
      <c r="N13" s="240">
        <f>M13*'Imported Price Trends'!$K$19</f>
        <v>37.985018152106186</v>
      </c>
      <c r="O13" s="240">
        <f>N13*'Imported Price Trends'!$L$19</f>
        <v>37.623853886216779</v>
      </c>
      <c r="P13" s="240">
        <f>O13*'Imported Price Trends'!$M$19</f>
        <v>40.598780908185098</v>
      </c>
      <c r="Q13" s="240">
        <f>P13*'Imported Price Trends'!$N$19</f>
        <v>42.930871321015509</v>
      </c>
      <c r="R13" s="240">
        <f>Q13*'Imported Price Trends'!$O$19</f>
        <v>46.124243061183712</v>
      </c>
      <c r="S13" s="240">
        <f>R13*'Imported Price Trends'!$O$19</f>
        <v>49.55515069934598</v>
      </c>
      <c r="T13" s="240">
        <f>S13*'Imported Price Trends'!$O$19</f>
        <v>53.241263115741368</v>
      </c>
      <c r="U13" s="240">
        <f>T13*'Imported Price Trends'!$O$19</f>
        <v>57.201563473340691</v>
      </c>
      <c r="V13" s="240">
        <f>U13*'Imported Price Trends'!$O$19</f>
        <v>61.456446979508556</v>
      </c>
      <c r="W13" s="219"/>
      <c r="X13" s="195">
        <f t="array" ref="X13">SUMIFS('Agg prdcrv NYC'!$D$6:$D$100,'Agg prdcrv NYC'!$A$6:$A$100,'Imp Refined NYC'!$A13,'Agg prdcrv NYC'!$B$6:$B$100,X$11)</f>
        <v>999999</v>
      </c>
      <c r="Y13" s="195">
        <f t="array" ref="Y13">SUMIFS('Agg prdcrv NYC'!$D$6:$D$100,'Agg prdcrv NYC'!$A$6:$A$100,'Imp Refined NYC'!$A13,'Agg prdcrv NYC'!$B$6:$B$100,Y$11)</f>
        <v>999999</v>
      </c>
      <c r="Z13" s="195">
        <f t="array" ref="Z13">SUMIFS('Agg prdcrv NYC'!$D$6:$D$100,'Agg prdcrv NYC'!$A$6:$A$100,'Imp Refined NYC'!$A13,'Agg prdcrv NYC'!$B$6:$B$100,Z$11)</f>
        <v>999999</v>
      </c>
      <c r="AA13" s="195">
        <f t="array" ref="AA13">SUMIFS('Agg prdcrv NYC'!$D$6:$D$100,'Agg prdcrv NYC'!$A$6:$A$100,'Imp Refined NYC'!$A13,'Agg prdcrv NYC'!$B$6:$B$100,AA$11)</f>
        <v>999999</v>
      </c>
      <c r="AB13" s="219">
        <f>X13*VLOOKUP($B13,Types!$B$2:$D$13,3,FALSE)*Conv!$I$5*1000*365</f>
        <v>1983239.5327584841</v>
      </c>
      <c r="AC13" s="219">
        <f>Y13*VLOOKUP($B13,Types!$B$2:$D$13,3,FALSE)*Conv!$I$5*1000*365</f>
        <v>1983239.5327584841</v>
      </c>
      <c r="AD13" s="219">
        <f>Z13*VLOOKUP($B13,Types!$B$2:$D$13,3,FALSE)*Conv!$I$5*1000*365</f>
        <v>1983239.5327584841</v>
      </c>
      <c r="AE13" s="219">
        <f>AA13*VLOOKUP($B13,Types!$B$2:$D$13,3,FALSE)*Conv!$I$5*1000*365</f>
        <v>1983239.5327584841</v>
      </c>
      <c r="AF13" s="219">
        <f>AB13-AB15</f>
        <v>198323.95327584841</v>
      </c>
      <c r="AG13" s="219">
        <f t="shared" ref="AG13:AI13" si="2">AC13-AC15</f>
        <v>198323.95327584841</v>
      </c>
      <c r="AH13" s="219">
        <f t="shared" si="2"/>
        <v>198323.95327584841</v>
      </c>
      <c r="AI13" s="219">
        <f t="shared" si="2"/>
        <v>198323.95327584841</v>
      </c>
      <c r="AJ13" s="219"/>
      <c r="AK13" s="219"/>
      <c r="AL13" s="219"/>
    </row>
    <row r="14" spans="1:38">
      <c r="A14" s="195" t="str">
        <f>A13</f>
        <v>Reformulated Mogas</v>
      </c>
      <c r="B14" s="195" t="str">
        <f>VLOOKUP($A14,Types!$A$2:$C$13,2,FALSE)</f>
        <v>GSR</v>
      </c>
      <c r="C14" s="195">
        <v>1</v>
      </c>
      <c r="D14" s="195">
        <v>1</v>
      </c>
      <c r="E14" s="195" t="str">
        <f t="shared" si="1"/>
        <v>IMPGSRP11</v>
      </c>
      <c r="F14" s="195" t="str">
        <f>CONCATENATE("Imported ",VLOOKUP($A14,Types!$A$2:$C$13,3,FALSE),", PADD ",D14,", Step ",RIGHT(C14,1))</f>
        <v>Imported Reformulated Gasoline, PADD 1, Step 1</v>
      </c>
      <c r="G14" s="195" t="str">
        <f>CONCATENATE(VLOOKUP($A14,Types!$A$2:$C$13,2,FALSE),"P",D14)</f>
        <v>GSRP1</v>
      </c>
      <c r="H14" s="239">
        <f>H13*$C$5</f>
        <v>64.518299999999996</v>
      </c>
      <c r="I14" s="239">
        <f t="shared" ref="I14:K14" si="3">I13*$C$5</f>
        <v>118.67020000000001</v>
      </c>
      <c r="J14" s="239">
        <f t="shared" si="3"/>
        <v>107.88199999999999</v>
      </c>
      <c r="K14" s="239">
        <f t="shared" si="3"/>
        <v>107.88199999999999</v>
      </c>
      <c r="L14" s="240">
        <f>H14*Conv!$J$20/10^6/VLOOKUP($B14,Types!$B$2:$D$13,3,FALSE)/Conv!$I$5</f>
        <v>18.220637662052386</v>
      </c>
      <c r="M14" s="240">
        <f>I14*Conv!$J$20/10^6/VLOOKUP($B14,Types!$B$2:$D$13,3,FALSE)/Conv!$I$5</f>
        <v>33.51369635410866</v>
      </c>
      <c r="N14" s="240">
        <f>M14*'Imported Price Trends'!$K$19</f>
        <v>36.085767244500872</v>
      </c>
      <c r="O14" s="240">
        <f>N14*'Imported Price Trends'!$L$19</f>
        <v>35.742661191905938</v>
      </c>
      <c r="P14" s="240">
        <f>O14*'Imported Price Trends'!$M$19</f>
        <v>38.568841862775841</v>
      </c>
      <c r="Q14" s="240">
        <f>P14*'Imported Price Trends'!$N$19</f>
        <v>40.784327754964728</v>
      </c>
      <c r="R14" s="240">
        <f>Q14*'Imported Price Trends'!$O$19</f>
        <v>43.81803090812452</v>
      </c>
      <c r="S14" s="240">
        <f>R14*'Imported Price Trends'!$O$19</f>
        <v>47.07739316437867</v>
      </c>
      <c r="T14" s="240">
        <f>S14*'Imported Price Trends'!$O$19</f>
        <v>50.579199959954288</v>
      </c>
      <c r="U14" s="240">
        <f>T14*'Imported Price Trends'!$O$19</f>
        <v>54.341485299673643</v>
      </c>
      <c r="V14" s="240">
        <f>U14*'Imported Price Trends'!$O$19</f>
        <v>58.383624630533113</v>
      </c>
      <c r="W14" s="219"/>
      <c r="X14" s="195">
        <f>X13*$E$5</f>
        <v>799999.20000000007</v>
      </c>
      <c r="Y14" s="195">
        <f t="shared" ref="Y14:AA14" si="4">Y13*$E$5</f>
        <v>799999.20000000007</v>
      </c>
      <c r="Z14" s="195">
        <f t="shared" si="4"/>
        <v>799999.20000000007</v>
      </c>
      <c r="AA14" s="195">
        <f t="shared" si="4"/>
        <v>799999.20000000007</v>
      </c>
      <c r="AB14" s="219">
        <f>X14*VLOOKUP($B14,Types!$B$2:$D$13,3,FALSE)*Conv!$I$5*1000*365</f>
        <v>1586591.6262067873</v>
      </c>
      <c r="AC14" s="219">
        <f>Y14*VLOOKUP($B14,Types!$B$2:$D$13,3,FALSE)*Conv!$I$5*1000*365</f>
        <v>1586591.6262067873</v>
      </c>
      <c r="AD14" s="219">
        <f>Z14*VLOOKUP($B14,Types!$B$2:$D$13,3,FALSE)*Conv!$I$5*1000*365</f>
        <v>1586591.6262067873</v>
      </c>
      <c r="AE14" s="219">
        <f>AA14*VLOOKUP($B14,Types!$B$2:$D$13,3,FALSE)*Conv!$I$5*1000*365</f>
        <v>1586591.6262067873</v>
      </c>
      <c r="AF14" s="219">
        <f>AB14</f>
        <v>1586591.6262067873</v>
      </c>
      <c r="AG14" s="219">
        <f t="shared" ref="AG14:AI14" si="5">AC14</f>
        <v>1586591.6262067873</v>
      </c>
      <c r="AH14" s="219">
        <f t="shared" si="5"/>
        <v>1586591.6262067873</v>
      </c>
      <c r="AI14" s="219">
        <f t="shared" si="5"/>
        <v>1586591.6262067873</v>
      </c>
      <c r="AJ14" s="219"/>
      <c r="AK14" s="219"/>
      <c r="AL14" s="219"/>
    </row>
    <row r="15" spans="1:38">
      <c r="A15" s="195" t="str">
        <f>A14</f>
        <v>Reformulated Mogas</v>
      </c>
      <c r="B15" s="195" t="str">
        <f>VLOOKUP($A15,Types!$A$2:$C$13,2,FALSE)</f>
        <v>GSR</v>
      </c>
      <c r="C15" s="195">
        <v>2</v>
      </c>
      <c r="D15" s="195">
        <v>1</v>
      </c>
      <c r="E15" s="195" t="str">
        <f t="shared" si="1"/>
        <v>IMPGSRP12</v>
      </c>
      <c r="F15" s="195" t="str">
        <f>CONCATENATE("Imported ",VLOOKUP($A15,Types!$A$2:$C$13,3,FALSE),", PADD ",D15,", Step ",RIGHT(C15,1))</f>
        <v>Imported Reformulated Gasoline, PADD 1, Step 2</v>
      </c>
      <c r="G15" s="195" t="str">
        <f>CONCATENATE(VLOOKUP($A15,Types!$A$2:$C$13,2,FALSE),"P",D15)</f>
        <v>GSRP1</v>
      </c>
      <c r="H15" s="239">
        <f>H13*$C$6</f>
        <v>66.555719999999994</v>
      </c>
      <c r="I15" s="239">
        <f t="shared" ref="I15:K15" si="6">I13*$C$6</f>
        <v>122.41768</v>
      </c>
      <c r="J15" s="239">
        <f t="shared" si="6"/>
        <v>111.28879999999999</v>
      </c>
      <c r="K15" s="239">
        <f t="shared" si="6"/>
        <v>111.28879999999999</v>
      </c>
      <c r="L15" s="240">
        <f>H15*Conv!$J$20/10^6/VLOOKUP($B15,Types!$B$2:$D$13,3,FALSE)/Conv!$I$5</f>
        <v>18.796026219801405</v>
      </c>
      <c r="M15" s="240">
        <f>I15*Conv!$J$20/10^6/VLOOKUP($B15,Types!$B$2:$D$13,3,FALSE)/Conv!$I$5</f>
        <v>34.572023607396304</v>
      </c>
      <c r="N15" s="240">
        <f>M15*'Imported Price Trends'!$K$19</f>
        <v>37.225317789064057</v>
      </c>
      <c r="O15" s="240">
        <f>N15*'Imported Price Trends'!$L$19</f>
        <v>36.871376808492435</v>
      </c>
      <c r="P15" s="240">
        <f>O15*'Imported Price Trends'!$M$19</f>
        <v>39.786805290021391</v>
      </c>
      <c r="Q15" s="240">
        <f>P15*'Imported Price Trends'!$N$19</f>
        <v>42.072253894595192</v>
      </c>
      <c r="R15" s="240">
        <f>Q15*'Imported Price Trends'!$O$19</f>
        <v>45.201758199960032</v>
      </c>
      <c r="S15" s="240">
        <f>R15*'Imported Price Trends'!$O$19</f>
        <v>48.56404768535905</v>
      </c>
      <c r="T15" s="240">
        <f>S15*'Imported Price Trends'!$O$19</f>
        <v>52.176437853426528</v>
      </c>
      <c r="U15" s="240">
        <f>T15*'Imported Price Trends'!$O$19</f>
        <v>56.057532203873862</v>
      </c>
      <c r="V15" s="240">
        <f>U15*'Imported Price Trends'!$O$19</f>
        <v>60.227318039918366</v>
      </c>
      <c r="W15" s="219"/>
      <c r="X15" s="195">
        <f>X13*$E$6</f>
        <v>899999.1</v>
      </c>
      <c r="Y15" s="195">
        <f t="shared" ref="Y15:AA15" si="7">Y13*$E$6</f>
        <v>899999.1</v>
      </c>
      <c r="Z15" s="195">
        <f t="shared" si="7"/>
        <v>899999.1</v>
      </c>
      <c r="AA15" s="195">
        <f t="shared" si="7"/>
        <v>899999.1</v>
      </c>
      <c r="AB15" s="219">
        <f>X15*VLOOKUP($B15,Types!$B$2:$D$13,3,FALSE)*Conv!$I$5*1000*365</f>
        <v>1784915.5794826357</v>
      </c>
      <c r="AC15" s="219">
        <f>Y15*VLOOKUP($B15,Types!$B$2:$D$13,3,FALSE)*Conv!$I$5*1000*365</f>
        <v>1784915.5794826357</v>
      </c>
      <c r="AD15" s="219">
        <f>Z15*VLOOKUP($B15,Types!$B$2:$D$13,3,FALSE)*Conv!$I$5*1000*365</f>
        <v>1784915.5794826357</v>
      </c>
      <c r="AE15" s="219">
        <f>AA15*VLOOKUP($B15,Types!$B$2:$D$13,3,FALSE)*Conv!$I$5*1000*365</f>
        <v>1784915.5794826357</v>
      </c>
      <c r="AF15" s="219">
        <f>AB15-AF14</f>
        <v>198323.95327584841</v>
      </c>
      <c r="AG15" s="219">
        <f t="shared" ref="AG15:AI15" si="8">AC15-AG14</f>
        <v>198323.95327584841</v>
      </c>
      <c r="AH15" s="219">
        <f t="shared" si="8"/>
        <v>198323.95327584841</v>
      </c>
      <c r="AI15" s="219">
        <f t="shared" si="8"/>
        <v>198323.95327584841</v>
      </c>
      <c r="AJ15" s="219"/>
      <c r="AK15" s="219"/>
      <c r="AL15" s="219"/>
    </row>
    <row r="16" spans="1:38">
      <c r="A16" s="195" t="str">
        <f>A15</f>
        <v>Reformulated Mogas</v>
      </c>
      <c r="B16" s="195" t="str">
        <f>VLOOKUP($A16,Types!$A$2:$C$13,2,FALSE)</f>
        <v>GSR</v>
      </c>
      <c r="C16" s="195">
        <v>4</v>
      </c>
      <c r="D16" s="195">
        <v>1</v>
      </c>
      <c r="E16" s="195" t="str">
        <f t="shared" si="1"/>
        <v>IMPGSRP14</v>
      </c>
      <c r="F16" s="195" t="str">
        <f>CONCATENATE("Imported ",VLOOKUP($A16,Types!$A$2:$C$13,3,FALSE),", PADD ",D16,", Step ",RIGHT(C16,1))</f>
        <v>Imported Reformulated Gasoline, PADD 1, Step 4</v>
      </c>
      <c r="G16" s="195" t="str">
        <f>CONCATENATE(VLOOKUP($A16,Types!$A$2:$C$13,2,FALSE),"P",D16)</f>
        <v>GSRP1</v>
      </c>
      <c r="H16" s="239">
        <f>H13*$C$8</f>
        <v>74.026260000000008</v>
      </c>
      <c r="I16" s="239">
        <f t="shared" ref="I16:K16" si="9">I13*$C$8</f>
        <v>136.15844000000001</v>
      </c>
      <c r="J16" s="239">
        <f t="shared" si="9"/>
        <v>123.78040000000001</v>
      </c>
      <c r="K16" s="239">
        <f t="shared" si="9"/>
        <v>123.78040000000001</v>
      </c>
      <c r="L16" s="240">
        <f>H16*Conv!$J$20/10^6/VLOOKUP($B16,Types!$B$2:$D$13,3,FALSE)/Conv!$I$5</f>
        <v>20.905784264881159</v>
      </c>
      <c r="M16" s="240">
        <f>I16*Conv!$J$20/10^6/VLOOKUP($B16,Types!$B$2:$D$13,3,FALSE)/Conv!$I$5</f>
        <v>38.452556869451001</v>
      </c>
      <c r="N16" s="240">
        <f>M16*'Imported Price Trends'!$K$19</f>
        <v>41.403669785795749</v>
      </c>
      <c r="O16" s="240">
        <f>N16*'Imported Price Trends'!$L$19</f>
        <v>41.010000735976298</v>
      </c>
      <c r="P16" s="240">
        <f>O16*'Imported Price Trends'!$M$19</f>
        <v>44.25267118992177</v>
      </c>
      <c r="Q16" s="240">
        <f>P16*'Imported Price Trends'!$N$19</f>
        <v>46.794649739906916</v>
      </c>
      <c r="R16" s="240">
        <f>Q16*'Imported Price Trends'!$O$19</f>
        <v>50.275424936690257</v>
      </c>
      <c r="S16" s="240">
        <f>R16*'Imported Price Trends'!$O$19</f>
        <v>54.015114262287128</v>
      </c>
      <c r="T16" s="240">
        <f>S16*'Imported Price Trends'!$O$19</f>
        <v>58.032976796158103</v>
      </c>
      <c r="U16" s="240">
        <f>T16*'Imported Price Trends'!$O$19</f>
        <v>62.349704185941363</v>
      </c>
      <c r="V16" s="240">
        <f>U16*'Imported Price Trends'!$O$19</f>
        <v>66.987527207664328</v>
      </c>
      <c r="W16" s="219"/>
      <c r="X16" s="195">
        <f>X13*$E$8</f>
        <v>1199998.8</v>
      </c>
      <c r="Y16" s="195">
        <f t="shared" ref="Y16:AA16" si="10">Y13*$E$8</f>
        <v>1199998.8</v>
      </c>
      <c r="Z16" s="195">
        <f t="shared" si="10"/>
        <v>1199998.8</v>
      </c>
      <c r="AA16" s="195">
        <f t="shared" si="10"/>
        <v>1199998.8</v>
      </c>
      <c r="AB16" s="219">
        <f>X16*VLOOKUP($B16,Types!$B$2:$D$13,3,FALSE)*Conv!$I$5*1000*365</f>
        <v>2379887.439310181</v>
      </c>
      <c r="AC16" s="219">
        <f>Y16*VLOOKUP($B16,Types!$B$2:$D$13,3,FALSE)*Conv!$I$5*1000*365</f>
        <v>2379887.439310181</v>
      </c>
      <c r="AD16" s="219">
        <f>Z16*VLOOKUP($B16,Types!$B$2:$D$13,3,FALSE)*Conv!$I$5*1000*365</f>
        <v>2379887.439310181</v>
      </c>
      <c r="AE16" s="219">
        <f>AA16*VLOOKUP($B16,Types!$B$2:$D$13,3,FALSE)*Conv!$I$5*1000*365</f>
        <v>2379887.439310181</v>
      </c>
      <c r="AF16" s="219">
        <f>AB16-AB13</f>
        <v>396647.90655169683</v>
      </c>
      <c r="AG16" s="219">
        <f t="shared" ref="AG16:AI16" si="11">AC16-AC13</f>
        <v>396647.90655169683</v>
      </c>
      <c r="AH16" s="219">
        <f t="shared" si="11"/>
        <v>396647.90655169683</v>
      </c>
      <c r="AI16" s="219">
        <f t="shared" si="11"/>
        <v>396647.90655169683</v>
      </c>
      <c r="AJ16" s="219"/>
      <c r="AK16" s="219"/>
      <c r="AL16" s="219"/>
    </row>
    <row r="17" spans="1:38">
      <c r="A17" s="195" t="str">
        <f>A16</f>
        <v>Reformulated Mogas</v>
      </c>
      <c r="B17" s="195" t="str">
        <f>VLOOKUP($A17,Types!$A$2:$C$13,2,FALSE)</f>
        <v>GSR</v>
      </c>
      <c r="C17" s="195">
        <v>5</v>
      </c>
      <c r="D17" s="195">
        <v>1</v>
      </c>
      <c r="E17" s="195" t="str">
        <f t="shared" si="1"/>
        <v>IMPGSRP15</v>
      </c>
      <c r="F17" s="195" t="str">
        <f>CONCATENATE("Imported ",VLOOKUP($A17,Types!$A$2:$C$13,3,FALSE),", PADD ",D17,", Step ",RIGHT(C17,1))</f>
        <v>Imported Reformulated Gasoline, PADD 1, Step 5</v>
      </c>
      <c r="G17" s="195" t="str">
        <f>CONCATENATE(VLOOKUP($A17,Types!$A$2:$C$13,2,FALSE),"P",D17)</f>
        <v>GSRP1</v>
      </c>
      <c r="H17" s="239">
        <f>H13*$C$9</f>
        <v>88.288200000000003</v>
      </c>
      <c r="I17" s="239">
        <f t="shared" ref="I17:K17" si="12">I13*$C$9</f>
        <v>162.39080000000001</v>
      </c>
      <c r="J17" s="239">
        <f t="shared" si="12"/>
        <v>147.62800000000001</v>
      </c>
      <c r="K17" s="239">
        <f t="shared" si="12"/>
        <v>147.62800000000001</v>
      </c>
      <c r="L17" s="240">
        <f>H17*Conv!$J$20/10^6/VLOOKUP($B17,Types!$B$2:$D$13,3,FALSE)/Conv!$I$5</f>
        <v>24.933504169124316</v>
      </c>
      <c r="M17" s="240">
        <f>I17*Conv!$J$20/10^6/VLOOKUP($B17,Types!$B$2:$D$13,3,FALSE)/Conv!$I$5</f>
        <v>45.860847642464492</v>
      </c>
      <c r="N17" s="240">
        <f>M17*'Imported Price Trends'!$K$19</f>
        <v>49.380523597738048</v>
      </c>
      <c r="O17" s="240">
        <f>N17*'Imported Price Trends'!$L$19</f>
        <v>48.911010052081821</v>
      </c>
      <c r="P17" s="240">
        <f>O17*'Imported Price Trends'!$M$19</f>
        <v>52.778415180640636</v>
      </c>
      <c r="Q17" s="240">
        <f>P17*'Imported Price Trends'!$N$19</f>
        <v>55.810132717320165</v>
      </c>
      <c r="R17" s="240">
        <f>Q17*'Imported Price Trends'!$O$19</f>
        <v>59.961515979538831</v>
      </c>
      <c r="S17" s="240">
        <f>R17*'Imported Price Trends'!$O$19</f>
        <v>64.421695909149776</v>
      </c>
      <c r="T17" s="240">
        <f>S17*'Imported Price Trends'!$O$19</f>
        <v>69.213642050463775</v>
      </c>
      <c r="U17" s="240">
        <f>T17*'Imported Price Trends'!$O$19</f>
        <v>74.362032515342889</v>
      </c>
      <c r="V17" s="240">
        <f>U17*'Imported Price Trends'!$O$19</f>
        <v>79.893381073361112</v>
      </c>
      <c r="W17" s="219"/>
      <c r="X17" s="195">
        <f>X13*$E$9</f>
        <v>1999998</v>
      </c>
      <c r="Y17" s="195">
        <f t="shared" ref="Y17:AA17" si="13">Y13*$E$9</f>
        <v>1999998</v>
      </c>
      <c r="Z17" s="195">
        <f t="shared" si="13"/>
        <v>1999998</v>
      </c>
      <c r="AA17" s="195">
        <f t="shared" si="13"/>
        <v>1999998</v>
      </c>
      <c r="AB17" s="219">
        <f>X17*VLOOKUP($B17,Types!$B$2:$D$13,3,FALSE)*Conv!$I$5*1000*365</f>
        <v>3966479.0655169683</v>
      </c>
      <c r="AC17" s="219">
        <f>Y17*VLOOKUP($B17,Types!$B$2:$D$13,3,FALSE)*Conv!$I$5*1000*365</f>
        <v>3966479.0655169683</v>
      </c>
      <c r="AD17" s="219">
        <f>Z17*VLOOKUP($B17,Types!$B$2:$D$13,3,FALSE)*Conv!$I$5*1000*365</f>
        <v>3966479.0655169683</v>
      </c>
      <c r="AE17" s="219">
        <f>AA17*VLOOKUP($B17,Types!$B$2:$D$13,3,FALSE)*Conv!$I$5*1000*365</f>
        <v>3966479.0655169683</v>
      </c>
      <c r="AF17" s="219">
        <f>AB17-AB16</f>
        <v>1586591.6262067873</v>
      </c>
      <c r="AG17" s="219">
        <f t="shared" ref="AG17:AI17" si="14">AC17-AC16</f>
        <v>1586591.6262067873</v>
      </c>
      <c r="AH17" s="219">
        <f t="shared" si="14"/>
        <v>1586591.6262067873</v>
      </c>
      <c r="AI17" s="219">
        <f t="shared" si="14"/>
        <v>1586591.6262067873</v>
      </c>
      <c r="AJ17" s="219"/>
      <c r="AK17" s="219"/>
      <c r="AL17" s="219"/>
    </row>
    <row r="18" spans="1:38">
      <c r="A18" s="195" t="str">
        <f>'Agg prdcrv'!$A$7</f>
        <v>Conventional Mogas</v>
      </c>
      <c r="B18" s="195" t="str">
        <f>VLOOKUP($A18,Types!$A$2:$C$13,2,FALSE)</f>
        <v>GSC</v>
      </c>
      <c r="C18" s="195">
        <v>3</v>
      </c>
      <c r="D18" s="195">
        <v>1</v>
      </c>
      <c r="E18" s="195" t="str">
        <f t="shared" si="1"/>
        <v>IMPGSCP13</v>
      </c>
      <c r="F18" s="195" t="str">
        <f>CONCATENATE("Imported ",VLOOKUP($A18,Types!$A$2:$C$13,3,FALSE),", PADD ",D18,", Step ",RIGHT(C18,1))</f>
        <v>Imported Conventional Gasoline, PADD 1, Step 3</v>
      </c>
      <c r="G18" s="195" t="str">
        <f>CONCATENATE(VLOOKUP($A18,Types!$A$2:$C$13,2,FALSE),"P",D18)</f>
        <v>GSCP1</v>
      </c>
      <c r="H18" s="239">
        <f>SUMIFS('Agg prdcrv NYC'!$L$6:$L$100,'Agg prdcrv NYC'!$A$6:$A$100,'Imp Refined NYC'!$A18,'Agg prdcrv NYC'!$B$6:$B$100,H$11)*K4</f>
        <v>65.75800000000001</v>
      </c>
      <c r="I18" s="239">
        <f>SUMIFS('Agg prdcrv NYC'!$L$6:$L$100,'Agg prdcrv NYC'!$A$6:$A$100,'Imp Refined NYC'!$A18,'Agg prdcrv NYC'!$B$6:$B$100,I$11)*K4</f>
        <v>54.714000000000006</v>
      </c>
      <c r="J18" s="239">
        <f t="array" ref="J18">SUMIFS('Agg prdcrv NYC'!$L$6:$L$100,'Agg prdcrv NYC'!$A$6:$A$100,'Imp Refined NYC'!$A18,'Agg prdcrv NYC'!$B$6:$B$100,J$11)</f>
        <v>43.2</v>
      </c>
      <c r="K18" s="239">
        <f t="array" ref="K18">SUMIFS('Agg prdcrv NYC'!$L$6:$L$100,'Agg prdcrv NYC'!$A$6:$A$100,'Imp Refined NYC'!$A18,'Agg prdcrv NYC'!$B$6:$B$100,K$11)</f>
        <v>46.77</v>
      </c>
      <c r="L18" s="240">
        <f>H18*Conv!$J$20/10^6/VLOOKUP($B18,Types!$B$2:$D$13,3,FALSE)/Conv!$I$5</f>
        <v>18.206609618575779</v>
      </c>
      <c r="M18" s="240">
        <f>I18*Conv!$J$20/10^6/VLOOKUP($B18,Types!$B$2:$D$13,3,FALSE)/Conv!$I$5</f>
        <v>15.148825065706914</v>
      </c>
      <c r="N18" s="240">
        <f>M18*'Imported Price Trends'!$K$19</f>
        <v>16.311449789743712</v>
      </c>
      <c r="O18" s="240">
        <f>N18*'Imported Price Trends'!$L$19</f>
        <v>16.156359360003375</v>
      </c>
      <c r="P18" s="240">
        <f>O18*'Imported Price Trends'!$M$19</f>
        <v>17.433846514351291</v>
      </c>
      <c r="Q18" s="240">
        <f>P18*'Imported Price Trends'!$N$19</f>
        <v>18.43528807011679</v>
      </c>
      <c r="R18" s="240">
        <f>Q18*'Imported Price Trends'!$O$19</f>
        <v>19.806579314237258</v>
      </c>
      <c r="S18" s="240">
        <f>R18*'Imported Price Trends'!$O$19</f>
        <v>21.279872744005672</v>
      </c>
      <c r="T18" s="240">
        <f>S18*'Imported Price Trends'!$O$19</f>
        <v>22.862755694294599</v>
      </c>
      <c r="U18" s="240">
        <f>T18*'Imported Price Trends'!$O$19</f>
        <v>24.563379876613268</v>
      </c>
      <c r="V18" s="240">
        <f>U18*'Imported Price Trends'!$O$19</f>
        <v>26.390503359723084</v>
      </c>
      <c r="W18" s="219"/>
      <c r="X18" s="195">
        <f t="array" ref="X18">SUMIFS('Agg prdcrv NYC'!$D$6:$D$100,'Agg prdcrv NYC'!$A$6:$A$100,'Imp Refined NYC'!$A18,'Agg prdcrv NYC'!$B$6:$B$100,X$11)</f>
        <v>999999</v>
      </c>
      <c r="Y18" s="195">
        <f t="array" ref="Y18">SUMIFS('Agg prdcrv NYC'!$D$6:$D$100,'Agg prdcrv NYC'!$A$6:$A$100,'Imp Refined NYC'!$A18,'Agg prdcrv NYC'!$B$6:$B$100,Y$11)</f>
        <v>999999</v>
      </c>
      <c r="Z18" s="195">
        <f t="array" ref="Z18">SUMIFS('Agg prdcrv NYC'!$D$6:$D$100,'Agg prdcrv NYC'!$A$6:$A$100,'Imp Refined NYC'!$A18,'Agg prdcrv NYC'!$B$6:$B$100,Z$11)</f>
        <v>999999</v>
      </c>
      <c r="AA18" s="195">
        <f t="array" ref="AA18">SUMIFS('Agg prdcrv NYC'!$D$6:$D$100,'Agg prdcrv NYC'!$A$6:$A$100,'Imp Refined NYC'!$A18,'Agg prdcrv NYC'!$B$6:$B$100,AA$11)</f>
        <v>999999</v>
      </c>
      <c r="AB18" s="219">
        <f>X18*VLOOKUP($B18,Types!$B$2:$D$13,3,FALSE)*Conv!$I$5*1000*365</f>
        <v>2022904.3234136538</v>
      </c>
      <c r="AC18" s="219">
        <f>Y18*VLOOKUP($B18,Types!$B$2:$D$13,3,FALSE)*Conv!$I$5*1000*365</f>
        <v>2022904.3234136538</v>
      </c>
      <c r="AD18" s="219">
        <f>Z18*VLOOKUP($B18,Types!$B$2:$D$13,3,FALSE)*Conv!$I$5*1000*365</f>
        <v>2022904.3234136538</v>
      </c>
      <c r="AE18" s="219">
        <f>AA18*VLOOKUP($B18,Types!$B$2:$D$13,3,FALSE)*Conv!$I$5*1000*365</f>
        <v>2022904.3234136538</v>
      </c>
      <c r="AF18" s="219">
        <f>AB18-AB20</f>
        <v>202290.43234136514</v>
      </c>
      <c r="AG18" s="219">
        <f t="shared" ref="AG18:AI18" si="15">AC18-AC20</f>
        <v>202290.43234136514</v>
      </c>
      <c r="AH18" s="219">
        <f t="shared" si="15"/>
        <v>202290.43234136514</v>
      </c>
      <c r="AI18" s="219">
        <f t="shared" si="15"/>
        <v>202290.43234136514</v>
      </c>
      <c r="AJ18" s="219"/>
      <c r="AK18" s="219"/>
      <c r="AL18" s="219"/>
    </row>
    <row r="19" spans="1:38">
      <c r="A19" s="195" t="str">
        <f>A18</f>
        <v>Conventional Mogas</v>
      </c>
      <c r="B19" s="195" t="str">
        <f>VLOOKUP($A19,Types!$A$2:$C$13,2,FALSE)</f>
        <v>GSC</v>
      </c>
      <c r="C19" s="195">
        <v>1</v>
      </c>
      <c r="D19" s="195">
        <v>1</v>
      </c>
      <c r="E19" s="195" t="str">
        <f t="shared" si="1"/>
        <v>IMPGSCP11</v>
      </c>
      <c r="F19" s="195" t="str">
        <f>CONCATENATE("Imported ",VLOOKUP($A19,Types!$A$2:$C$13,3,FALSE),", PADD ",D19,", Step ",RIGHT(C19,1))</f>
        <v>Imported Conventional Gasoline, PADD 1, Step 1</v>
      </c>
      <c r="G19" s="195" t="str">
        <f>CONCATENATE(VLOOKUP($A19,Types!$A$2:$C$13,2,FALSE),"P",D19)</f>
        <v>GSCP1</v>
      </c>
      <c r="H19" s="239">
        <f>H18*$C$5</f>
        <v>62.470100000000009</v>
      </c>
      <c r="I19" s="239">
        <f t="shared" ref="I19:K19" si="16">I18*$C$5</f>
        <v>51.978300000000004</v>
      </c>
      <c r="J19" s="239">
        <f t="shared" si="16"/>
        <v>41.04</v>
      </c>
      <c r="K19" s="239">
        <f t="shared" si="16"/>
        <v>44.4315</v>
      </c>
      <c r="L19" s="240">
        <f>H19*Conv!$J$20/10^6/VLOOKUP($B19,Types!$B$2:$D$13,3,FALSE)/Conv!$I$5</f>
        <v>17.296279137646994</v>
      </c>
      <c r="M19" s="240">
        <f>I19*Conv!$J$20/10^6/VLOOKUP($B19,Types!$B$2:$D$13,3,FALSE)/Conv!$I$5</f>
        <v>14.391383812421568</v>
      </c>
      <c r="N19" s="240">
        <f>M19*'Imported Price Trends'!$K$19</f>
        <v>15.495877300256526</v>
      </c>
      <c r="O19" s="240">
        <f>N19*'Imported Price Trends'!$L$19</f>
        <v>15.348541392003204</v>
      </c>
      <c r="P19" s="240">
        <f>O19*'Imported Price Trends'!$M$19</f>
        <v>16.562154188633723</v>
      </c>
      <c r="Q19" s="240">
        <f>P19*'Imported Price Trends'!$N$19</f>
        <v>17.513523666610947</v>
      </c>
      <c r="R19" s="240">
        <f>Q19*'Imported Price Trends'!$O$19</f>
        <v>18.81625034852539</v>
      </c>
      <c r="S19" s="240">
        <f>R19*'Imported Price Trends'!$O$19</f>
        <v>20.215879106805382</v>
      </c>
      <c r="T19" s="240">
        <f>S19*'Imported Price Trends'!$O$19</f>
        <v>21.71961790957986</v>
      </c>
      <c r="U19" s="240">
        <f>T19*'Imported Price Trends'!$O$19</f>
        <v>23.335210882782597</v>
      </c>
      <c r="V19" s="240">
        <f>U19*'Imported Price Trends'!$O$19</f>
        <v>25.07097819173692</v>
      </c>
      <c r="W19" s="219"/>
      <c r="X19" s="195">
        <f>X18*$E$5</f>
        <v>799999.20000000007</v>
      </c>
      <c r="Y19" s="195">
        <f t="shared" ref="Y19:AA19" si="17">Y18*$E$5</f>
        <v>799999.20000000007</v>
      </c>
      <c r="Z19" s="195">
        <f t="shared" si="17"/>
        <v>799999.20000000007</v>
      </c>
      <c r="AA19" s="195">
        <f t="shared" si="17"/>
        <v>799999.20000000007</v>
      </c>
      <c r="AB19" s="219">
        <f>X19*VLOOKUP($B19,Types!$B$2:$D$13,3,FALSE)*Conv!$I$5*1000*365</f>
        <v>1618323.4587309228</v>
      </c>
      <c r="AC19" s="219">
        <f>Y19*VLOOKUP($B19,Types!$B$2:$D$13,3,FALSE)*Conv!$I$5*1000*365</f>
        <v>1618323.4587309228</v>
      </c>
      <c r="AD19" s="219">
        <f>Z19*VLOOKUP($B19,Types!$B$2:$D$13,3,FALSE)*Conv!$I$5*1000*365</f>
        <v>1618323.4587309228</v>
      </c>
      <c r="AE19" s="219">
        <f>AA19*VLOOKUP($B19,Types!$B$2:$D$13,3,FALSE)*Conv!$I$5*1000*365</f>
        <v>1618323.4587309228</v>
      </c>
      <c r="AF19" s="219">
        <f>AB19</f>
        <v>1618323.4587309228</v>
      </c>
      <c r="AG19" s="219">
        <f t="shared" ref="AG19:AI19" si="18">AC19</f>
        <v>1618323.4587309228</v>
      </c>
      <c r="AH19" s="219">
        <f t="shared" si="18"/>
        <v>1618323.4587309228</v>
      </c>
      <c r="AI19" s="219">
        <f t="shared" si="18"/>
        <v>1618323.4587309228</v>
      </c>
      <c r="AJ19" s="219"/>
      <c r="AK19" s="219"/>
      <c r="AL19" s="219"/>
    </row>
    <row r="20" spans="1:38">
      <c r="A20" s="195" t="str">
        <f>A19</f>
        <v>Conventional Mogas</v>
      </c>
      <c r="B20" s="195" t="str">
        <f>VLOOKUP($A20,Types!$A$2:$C$13,2,FALSE)</f>
        <v>GSC</v>
      </c>
      <c r="C20" s="195">
        <v>2</v>
      </c>
      <c r="D20" s="195">
        <v>1</v>
      </c>
      <c r="E20" s="195" t="str">
        <f t="shared" si="1"/>
        <v>IMPGSCP12</v>
      </c>
      <c r="F20" s="195" t="str">
        <f>CONCATENATE("Imported ",VLOOKUP($A20,Types!$A$2:$C$13,3,FALSE),", PADD ",D20,", Step ",RIGHT(C20,1))</f>
        <v>Imported Conventional Gasoline, PADD 1, Step 2</v>
      </c>
      <c r="G20" s="195" t="str">
        <f>CONCATENATE(VLOOKUP($A20,Types!$A$2:$C$13,2,FALSE),"P",D20)</f>
        <v>GSCP1</v>
      </c>
      <c r="H20" s="239">
        <f>H18*$C$6</f>
        <v>64.442840000000004</v>
      </c>
      <c r="I20" s="239">
        <f t="shared" ref="I20:K20" si="19">I18*$C$6</f>
        <v>53.619720000000008</v>
      </c>
      <c r="J20" s="239">
        <f t="shared" si="19"/>
        <v>42.335999999999999</v>
      </c>
      <c r="K20" s="239">
        <f t="shared" si="19"/>
        <v>45.834600000000002</v>
      </c>
      <c r="L20" s="240">
        <f>H20*Conv!$J$20/10^6/VLOOKUP($B20,Types!$B$2:$D$13,3,FALSE)/Conv!$I$5</f>
        <v>17.842477426204262</v>
      </c>
      <c r="M20" s="240">
        <f>I20*Conv!$J$20/10^6/VLOOKUP($B20,Types!$B$2:$D$13,3,FALSE)/Conv!$I$5</f>
        <v>14.845848564392778</v>
      </c>
      <c r="N20" s="240">
        <f>M20*'Imported Price Trends'!$K$19</f>
        <v>15.985220793948841</v>
      </c>
      <c r="O20" s="240">
        <f>N20*'Imported Price Trends'!$L$19</f>
        <v>15.83323217280331</v>
      </c>
      <c r="P20" s="240">
        <f>O20*'Imported Price Trends'!$M$19</f>
        <v>17.085169584064268</v>
      </c>
      <c r="Q20" s="240">
        <f>P20*'Imported Price Trends'!$N$19</f>
        <v>18.066582308714455</v>
      </c>
      <c r="R20" s="240">
        <f>Q20*'Imported Price Trends'!$O$19</f>
        <v>19.410447727952512</v>
      </c>
      <c r="S20" s="240">
        <f>R20*'Imported Price Trends'!$O$19</f>
        <v>20.854275289125557</v>
      </c>
      <c r="T20" s="240">
        <f>S20*'Imported Price Trends'!$O$19</f>
        <v>22.405500580408706</v>
      </c>
      <c r="U20" s="240">
        <f>T20*'Imported Price Trends'!$O$19</f>
        <v>24.072112279081001</v>
      </c>
      <c r="V20" s="240">
        <f>U20*'Imported Price Trends'!$O$19</f>
        <v>25.862693292528618</v>
      </c>
      <c r="W20" s="219"/>
      <c r="X20" s="195">
        <f>X18*$E$6</f>
        <v>899999.1</v>
      </c>
      <c r="Y20" s="195">
        <f t="shared" ref="Y20:AA20" si="20">Y18*$E$6</f>
        <v>899999.1</v>
      </c>
      <c r="Z20" s="195">
        <f t="shared" si="20"/>
        <v>899999.1</v>
      </c>
      <c r="AA20" s="195">
        <f t="shared" si="20"/>
        <v>899999.1</v>
      </c>
      <c r="AB20" s="219">
        <f>X20*VLOOKUP($B20,Types!$B$2:$D$13,3,FALSE)*Conv!$I$5*1000*365</f>
        <v>1820613.8910722886</v>
      </c>
      <c r="AC20" s="219">
        <f>Y20*VLOOKUP($B20,Types!$B$2:$D$13,3,FALSE)*Conv!$I$5*1000*365</f>
        <v>1820613.8910722886</v>
      </c>
      <c r="AD20" s="219">
        <f>Z20*VLOOKUP($B20,Types!$B$2:$D$13,3,FALSE)*Conv!$I$5*1000*365</f>
        <v>1820613.8910722886</v>
      </c>
      <c r="AE20" s="219">
        <f>AA20*VLOOKUP($B20,Types!$B$2:$D$13,3,FALSE)*Conv!$I$5*1000*365</f>
        <v>1820613.8910722886</v>
      </c>
      <c r="AF20" s="219">
        <f>AB20-AF19</f>
        <v>202290.43234136584</v>
      </c>
      <c r="AG20" s="219">
        <f t="shared" ref="AG20:AI20" si="21">AC20-AG19</f>
        <v>202290.43234136584</v>
      </c>
      <c r="AH20" s="219">
        <f t="shared" si="21"/>
        <v>202290.43234136584</v>
      </c>
      <c r="AI20" s="219">
        <f t="shared" si="21"/>
        <v>202290.43234136584</v>
      </c>
      <c r="AJ20" s="219"/>
      <c r="AK20" s="219"/>
      <c r="AL20" s="219"/>
    </row>
    <row r="21" spans="1:38">
      <c r="A21" s="195" t="str">
        <f>A20</f>
        <v>Conventional Mogas</v>
      </c>
      <c r="B21" s="195" t="str">
        <f>VLOOKUP($A21,Types!$A$2:$C$13,2,FALSE)</f>
        <v>GSC</v>
      </c>
      <c r="C21" s="195">
        <v>4</v>
      </c>
      <c r="D21" s="195">
        <v>1</v>
      </c>
      <c r="E21" s="195" t="str">
        <f t="shared" si="1"/>
        <v>IMPGSCP14</v>
      </c>
      <c r="F21" s="195" t="str">
        <f>CONCATENATE("Imported ",VLOOKUP($A21,Types!$A$2:$C$13,3,FALSE),", PADD ",D21,", Step ",RIGHT(C21,1))</f>
        <v>Imported Conventional Gasoline, PADD 1, Step 4</v>
      </c>
      <c r="G21" s="195" t="str">
        <f>CONCATENATE(VLOOKUP($A21,Types!$A$2:$C$13,2,FALSE),"P",D21)</f>
        <v>GSCP1</v>
      </c>
      <c r="H21" s="239">
        <f>H18*$C$8</f>
        <v>71.676220000000015</v>
      </c>
      <c r="I21" s="239">
        <f t="shared" ref="I21:K21" si="22">I18*$C$8</f>
        <v>59.63826000000001</v>
      </c>
      <c r="J21" s="239">
        <f t="shared" si="22"/>
        <v>47.088000000000008</v>
      </c>
      <c r="K21" s="239">
        <f t="shared" si="22"/>
        <v>50.979300000000009</v>
      </c>
      <c r="L21" s="240">
        <f>H21*Conv!$J$20/10^6/VLOOKUP($B21,Types!$B$2:$D$13,3,FALSE)/Conv!$I$5</f>
        <v>19.845204484247603</v>
      </c>
      <c r="M21" s="240">
        <f>I21*Conv!$J$20/10^6/VLOOKUP($B21,Types!$B$2:$D$13,3,FALSE)/Conv!$I$5</f>
        <v>16.512219321620538</v>
      </c>
      <c r="N21" s="240">
        <f>M21*'Imported Price Trends'!$K$19</f>
        <v>17.779480270820649</v>
      </c>
      <c r="O21" s="240">
        <f>N21*'Imported Price Trends'!$L$19</f>
        <v>17.61043170240368</v>
      </c>
      <c r="P21" s="240">
        <f>O21*'Imported Price Trends'!$M$19</f>
        <v>19.00289270064291</v>
      </c>
      <c r="Q21" s="240">
        <f>P21*'Imported Price Trends'!$N$19</f>
        <v>20.094463996427304</v>
      </c>
      <c r="R21" s="240">
        <f>Q21*'Imported Price Trends'!$O$19</f>
        <v>21.589171452518613</v>
      </c>
      <c r="S21" s="240">
        <f>R21*'Imported Price Trends'!$O$19</f>
        <v>23.195061290966184</v>
      </c>
      <c r="T21" s="240">
        <f>S21*'Imported Price Trends'!$O$19</f>
        <v>24.920403706781112</v>
      </c>
      <c r="U21" s="240">
        <f>T21*'Imported Price Trends'!$O$19</f>
        <v>26.774084065508461</v>
      </c>
      <c r="V21" s="240">
        <f>U21*'Imported Price Trends'!$O$19</f>
        <v>28.765648662098158</v>
      </c>
      <c r="W21" s="219"/>
      <c r="X21" s="195">
        <f>X18*$E$8</f>
        <v>1199998.8</v>
      </c>
      <c r="Y21" s="195">
        <f t="shared" ref="Y21:AA21" si="23">Y18*$E$8</f>
        <v>1199998.8</v>
      </c>
      <c r="Z21" s="195">
        <f t="shared" si="23"/>
        <v>1199998.8</v>
      </c>
      <c r="AA21" s="195">
        <f t="shared" si="23"/>
        <v>1199998.8</v>
      </c>
      <c r="AB21" s="219">
        <f>X21*VLOOKUP($B21,Types!$B$2:$D$13,3,FALSE)*Conv!$I$5*1000*365</f>
        <v>2427485.1880963845</v>
      </c>
      <c r="AC21" s="219">
        <f>Y21*VLOOKUP($B21,Types!$B$2:$D$13,3,FALSE)*Conv!$I$5*1000*365</f>
        <v>2427485.1880963845</v>
      </c>
      <c r="AD21" s="219">
        <f>Z21*VLOOKUP($B21,Types!$B$2:$D$13,3,FALSE)*Conv!$I$5*1000*365</f>
        <v>2427485.1880963845</v>
      </c>
      <c r="AE21" s="219">
        <f>AA21*VLOOKUP($B21,Types!$B$2:$D$13,3,FALSE)*Conv!$I$5*1000*365</f>
        <v>2427485.1880963845</v>
      </c>
      <c r="AF21" s="219">
        <f>AB21-AB18</f>
        <v>404580.86468273075</v>
      </c>
      <c r="AG21" s="219">
        <f t="shared" ref="AG21:AI21" si="24">AC21-AC18</f>
        <v>404580.86468273075</v>
      </c>
      <c r="AH21" s="219">
        <f t="shared" si="24"/>
        <v>404580.86468273075</v>
      </c>
      <c r="AI21" s="219">
        <f t="shared" si="24"/>
        <v>404580.86468273075</v>
      </c>
      <c r="AJ21" s="219"/>
      <c r="AK21" s="219"/>
      <c r="AL21" s="219"/>
    </row>
    <row r="22" spans="1:38">
      <c r="A22" s="195" t="str">
        <f>A21</f>
        <v>Conventional Mogas</v>
      </c>
      <c r="B22" s="195" t="str">
        <f>VLOOKUP($A22,Types!$A$2:$C$13,2,FALSE)</f>
        <v>GSC</v>
      </c>
      <c r="C22" s="195">
        <v>5</v>
      </c>
      <c r="D22" s="195">
        <v>1</v>
      </c>
      <c r="E22" s="195" t="str">
        <f t="shared" si="1"/>
        <v>IMPGSCP15</v>
      </c>
      <c r="F22" s="195" t="str">
        <f>CONCATENATE("Imported ",VLOOKUP($A22,Types!$A$2:$C$13,3,FALSE),", PADD ",D22,", Step ",RIGHT(C22,1))</f>
        <v>Imported Conventional Gasoline, PADD 1, Step 5</v>
      </c>
      <c r="G22" s="195" t="str">
        <f>CONCATENATE(VLOOKUP($A22,Types!$A$2:$C$13,2,FALSE),"P",D22)</f>
        <v>GSCP1</v>
      </c>
      <c r="H22" s="239">
        <f>H18*$C$9</f>
        <v>85.485400000000013</v>
      </c>
      <c r="I22" s="239">
        <f t="shared" ref="I22:K22" si="25">I18*$C$9</f>
        <v>71.128200000000007</v>
      </c>
      <c r="J22" s="239">
        <f t="shared" si="25"/>
        <v>56.160000000000004</v>
      </c>
      <c r="K22" s="239">
        <f t="shared" si="25"/>
        <v>60.801000000000009</v>
      </c>
      <c r="L22" s="240">
        <f>H22*Conv!$J$20/10^6/VLOOKUP($B22,Types!$B$2:$D$13,3,FALSE)/Conv!$I$5</f>
        <v>23.668592504148517</v>
      </c>
      <c r="M22" s="240">
        <f>I22*Conv!$J$20/10^6/VLOOKUP($B22,Types!$B$2:$D$13,3,FALSE)/Conv!$I$5</f>
        <v>19.693472585418988</v>
      </c>
      <c r="N22" s="240">
        <f>M22*'Imported Price Trends'!$K$19</f>
        <v>21.204884726666826</v>
      </c>
      <c r="O22" s="240">
        <f>N22*'Imported Price Trends'!$L$19</f>
        <v>21.003267168004385</v>
      </c>
      <c r="P22" s="240">
        <f>O22*'Imported Price Trends'!$M$19</f>
        <v>22.664000468656674</v>
      </c>
      <c r="Q22" s="240">
        <f>P22*'Imported Price Trends'!$N$19</f>
        <v>23.965874491151823</v>
      </c>
      <c r="R22" s="240">
        <f>Q22*'Imported Price Trends'!$O$19</f>
        <v>25.748553108508428</v>
      </c>
      <c r="S22" s="240">
        <f>R22*'Imported Price Trends'!$O$19</f>
        <v>27.663834567207367</v>
      </c>
      <c r="T22" s="240">
        <f>S22*'Imported Price Trends'!$O$19</f>
        <v>29.721582402582971</v>
      </c>
      <c r="U22" s="240">
        <f>T22*'Imported Price Trends'!$O$19</f>
        <v>31.932393839597243</v>
      </c>
      <c r="V22" s="240">
        <f>U22*'Imported Price Trends'!$O$19</f>
        <v>34.307654367640005</v>
      </c>
      <c r="W22" s="219"/>
      <c r="X22" s="195">
        <f>X18*$E$9</f>
        <v>1999998</v>
      </c>
      <c r="Y22" s="195">
        <f t="shared" ref="Y22:AA22" si="26">Y18*$E$9</f>
        <v>1999998</v>
      </c>
      <c r="Z22" s="195">
        <f t="shared" si="26"/>
        <v>1999998</v>
      </c>
      <c r="AA22" s="195">
        <f t="shared" si="26"/>
        <v>1999998</v>
      </c>
      <c r="AB22" s="219">
        <f>X22*VLOOKUP($B22,Types!$B$2:$D$13,3,FALSE)*Conv!$I$5*1000*365</f>
        <v>4045808.6468273075</v>
      </c>
      <c r="AC22" s="219">
        <f>Y22*VLOOKUP($B22,Types!$B$2:$D$13,3,FALSE)*Conv!$I$5*1000*365</f>
        <v>4045808.6468273075</v>
      </c>
      <c r="AD22" s="219">
        <f>Z22*VLOOKUP($B22,Types!$B$2:$D$13,3,FALSE)*Conv!$I$5*1000*365</f>
        <v>4045808.6468273075</v>
      </c>
      <c r="AE22" s="219">
        <f>AA22*VLOOKUP($B22,Types!$B$2:$D$13,3,FALSE)*Conv!$I$5*1000*365</f>
        <v>4045808.6468273075</v>
      </c>
      <c r="AF22" s="219">
        <f>AB22-AB21</f>
        <v>1618323.458730923</v>
      </c>
      <c r="AG22" s="219">
        <f t="shared" ref="AG22:AI22" si="27">AC22-AC21</f>
        <v>1618323.458730923</v>
      </c>
      <c r="AH22" s="219">
        <f t="shared" si="27"/>
        <v>1618323.458730923</v>
      </c>
      <c r="AI22" s="219">
        <f t="shared" si="27"/>
        <v>1618323.458730923</v>
      </c>
      <c r="AJ22" s="219"/>
      <c r="AK22" s="219"/>
      <c r="AL22" s="219"/>
    </row>
    <row r="23" spans="1:38">
      <c r="A23" s="195" t="str">
        <f>'Agg prdcrv'!$A$8</f>
        <v>Heating No. 2</v>
      </c>
      <c r="B23" s="195" t="str">
        <f>VLOOKUP($A23,Types!$A$2:$C$13,2,FALSE)</f>
        <v>DSH</v>
      </c>
      <c r="C23" s="195">
        <v>3</v>
      </c>
      <c r="D23" s="195">
        <v>1</v>
      </c>
      <c r="E23" s="195" t="str">
        <f t="shared" si="1"/>
        <v>IMPDSHP13</v>
      </c>
      <c r="F23" s="195" t="str">
        <f>CONCATENATE("Imported ",VLOOKUP($A23,Types!$A$2:$C$13,3,FALSE),", PADD ",D23,", Step ",RIGHT(C23,1))</f>
        <v>Imported Distillate-Heating Oil No. 2, PADD 1, Step 3</v>
      </c>
      <c r="G23" s="195" t="str">
        <f>CONCATENATE(VLOOKUP($A23,Types!$A$2:$C$13,2,FALSE),"P",D23)</f>
        <v>DSHP1</v>
      </c>
      <c r="H23" s="239">
        <f>SUMIFS('Agg prdcrv NYC'!$L$6:$L$100,'Agg prdcrv NYC'!$A$6:$A$100,'Imp Refined NYC'!$A23,'Agg prdcrv NYC'!$B$6:$B$100,H$11)*K4</f>
        <v>55.913000000000004</v>
      </c>
      <c r="I23" s="239">
        <f>SUMIFS('Agg prdcrv NYC'!$L$6:$L$100,'Agg prdcrv NYC'!$A$6:$A$100,'Imp Refined NYC'!$A23,'Agg prdcrv NYC'!$B$6:$B$100,I$11)*K4</f>
        <v>50.027999999999999</v>
      </c>
      <c r="J23" s="239">
        <f t="array" ref="J23">SUMIFS('Agg prdcrv NYC'!$L$6:$L$100,'Agg prdcrv NYC'!$A$6:$A$100,'Imp Refined NYC'!$A23,'Agg prdcrv NYC'!$B$6:$B$100,J$11)</f>
        <v>37.53</v>
      </c>
      <c r="K23" s="239">
        <f t="array" ref="K23">SUMIFS('Agg prdcrv NYC'!$L$6:$L$100,'Agg prdcrv NYC'!$A$6:$A$100,'Imp Refined NYC'!$A23,'Agg prdcrv NYC'!$B$6:$B$100,K$11)</f>
        <v>40.57</v>
      </c>
      <c r="L23" s="240">
        <f>H23*Conv!$J$20/10^6/VLOOKUP($B23,Types!$B$2:$D$13,3,FALSE)/Conv!$I$5</f>
        <v>13.960621426460175</v>
      </c>
      <c r="M23" s="240">
        <f>I23*Conv!$J$20/10^6/VLOOKUP($B23,Types!$B$2:$D$13,3,FALSE)/Conv!$I$5</f>
        <v>12.491226883246286</v>
      </c>
      <c r="N23" s="240">
        <f>M23*'Imported Price Trends'!$K$19</f>
        <v>13.449889297329523</v>
      </c>
      <c r="O23" s="240">
        <f>N23*'Imported Price Trends'!$L$19</f>
        <v>13.322006789154536</v>
      </c>
      <c r="P23" s="240">
        <f>O23*'Imported Price Trends'!$M$19</f>
        <v>14.375381015616226</v>
      </c>
      <c r="Q23" s="240">
        <f>P23*'Imported Price Trends'!$N$19</f>
        <v>15.201137048121723</v>
      </c>
      <c r="R23" s="240">
        <f>Q23*'Imported Price Trends'!$O$19</f>
        <v>16.331859066431495</v>
      </c>
      <c r="S23" s="240">
        <f>R23*'Imported Price Trends'!$O$19</f>
        <v>17.546688758966106</v>
      </c>
      <c r="T23" s="240">
        <f>S23*'Imported Price Trends'!$O$19</f>
        <v>18.85188239450688</v>
      </c>
      <c r="U23" s="240">
        <f>T23*'Imported Price Trends'!$O$19</f>
        <v>20.254161608395631</v>
      </c>
      <c r="V23" s="240">
        <f>U23*'Imported Price Trends'!$O$19</f>
        <v>21.760748018380482</v>
      </c>
      <c r="W23" s="219"/>
      <c r="X23" s="195">
        <f t="array" ref="X23">SUMIFS('Agg prdcrv NYC'!$D$6:$D$100,'Agg prdcrv NYC'!$A$6:$A$100,'Imp Refined NYC'!$A23,'Agg prdcrv NYC'!$B$6:$B$100,X$11)</f>
        <v>999999</v>
      </c>
      <c r="Y23" s="195">
        <f t="array" ref="Y23">SUMIFS('Agg prdcrv NYC'!$D$6:$D$100,'Agg prdcrv NYC'!$A$6:$A$100,'Imp Refined NYC'!$A23,'Agg prdcrv NYC'!$B$6:$B$100,Y$11)</f>
        <v>999999</v>
      </c>
      <c r="Z23" s="195">
        <f t="array" ref="Z23">SUMIFS('Agg prdcrv NYC'!$D$6:$D$100,'Agg prdcrv NYC'!$A$6:$A$100,'Imp Refined NYC'!$A23,'Agg prdcrv NYC'!$B$6:$B$100,Z$11)</f>
        <v>999999</v>
      </c>
      <c r="AA23" s="195">
        <f t="array" ref="AA23">SUMIFS('Agg prdcrv NYC'!$D$6:$D$100,'Agg prdcrv NYC'!$A$6:$A$100,'Imp Refined NYC'!$A23,'Agg prdcrv NYC'!$B$6:$B$100,AA$11)</f>
        <v>999999</v>
      </c>
      <c r="AB23" s="219">
        <f>X23*VLOOKUP($B23,Types!$B$2:$D$13,3,FALSE)*Conv!$I$5*1000*365</f>
        <v>2243178.6948190616</v>
      </c>
      <c r="AC23" s="219">
        <f>Y23*VLOOKUP($B23,Types!$B$2:$D$13,3,FALSE)*Conv!$I$5*1000*365</f>
        <v>2243178.6948190616</v>
      </c>
      <c r="AD23" s="219">
        <f>Z23*VLOOKUP($B23,Types!$B$2:$D$13,3,FALSE)*Conv!$I$5*1000*365</f>
        <v>2243178.6948190616</v>
      </c>
      <c r="AE23" s="219">
        <f>AA23*VLOOKUP($B23,Types!$B$2:$D$13,3,FALSE)*Conv!$I$5*1000*365</f>
        <v>2243178.6948190616</v>
      </c>
      <c r="AF23" s="219">
        <f>AB23-AB25</f>
        <v>224317.86948190606</v>
      </c>
      <c r="AG23" s="219">
        <f t="shared" ref="AG23:AI23" si="28">AC23-AC25</f>
        <v>224317.86948190606</v>
      </c>
      <c r="AH23" s="219">
        <f t="shared" si="28"/>
        <v>224317.86948190606</v>
      </c>
      <c r="AI23" s="219">
        <f t="shared" si="28"/>
        <v>224317.86948190606</v>
      </c>
      <c r="AJ23" s="219"/>
      <c r="AK23" s="219"/>
      <c r="AL23" s="219"/>
    </row>
    <row r="24" spans="1:38">
      <c r="A24" s="195" t="str">
        <f>A23</f>
        <v>Heating No. 2</v>
      </c>
      <c r="B24" s="195" t="str">
        <f>VLOOKUP($A24,Types!$A$2:$C$13,2,FALSE)</f>
        <v>DSH</v>
      </c>
      <c r="C24" s="195">
        <v>1</v>
      </c>
      <c r="D24" s="195">
        <v>1</v>
      </c>
      <c r="E24" s="195" t="str">
        <f t="shared" si="1"/>
        <v>IMPDSHP11</v>
      </c>
      <c r="F24" s="195" t="str">
        <f>CONCATENATE("Imported ",VLOOKUP($A24,Types!$A$2:$C$13,3,FALSE),", PADD ",D24,", Step ",RIGHT(C24,1))</f>
        <v>Imported Distillate-Heating Oil No. 2, PADD 1, Step 1</v>
      </c>
      <c r="G24" s="195" t="str">
        <f>CONCATENATE(VLOOKUP($A24,Types!$A$2:$C$13,2,FALSE),"P",D24)</f>
        <v>DSHP1</v>
      </c>
      <c r="H24" s="239">
        <f>H23*$C$5</f>
        <v>53.117350000000002</v>
      </c>
      <c r="I24" s="239">
        <f t="shared" ref="I24:K24" si="29">I23*$C$5</f>
        <v>47.526599999999995</v>
      </c>
      <c r="J24" s="239">
        <f t="shared" si="29"/>
        <v>35.653500000000001</v>
      </c>
      <c r="K24" s="239">
        <f t="shared" si="29"/>
        <v>38.541499999999999</v>
      </c>
      <c r="L24" s="240">
        <f>H24*Conv!$J$20/10^6/VLOOKUP($B24,Types!$B$2:$D$13,3,FALSE)/Conv!$I$5</f>
        <v>13.262590355137165</v>
      </c>
      <c r="M24" s="240">
        <f>I24*Conv!$J$20/10^6/VLOOKUP($B24,Types!$B$2:$D$13,3,FALSE)/Conv!$I$5</f>
        <v>11.86666553908397</v>
      </c>
      <c r="N24" s="240">
        <f>M24*'Imported Price Trends'!$K$19</f>
        <v>12.777394832463045</v>
      </c>
      <c r="O24" s="240">
        <f>N24*'Imported Price Trends'!$L$19</f>
        <v>12.655906449696806</v>
      </c>
      <c r="P24" s="240">
        <f>O24*'Imported Price Trends'!$M$19</f>
        <v>13.656611964835411</v>
      </c>
      <c r="Q24" s="240">
        <f>P24*'Imported Price Trends'!$N$19</f>
        <v>14.441080195715633</v>
      </c>
      <c r="R24" s="240">
        <f>Q24*'Imported Price Trends'!$O$19</f>
        <v>15.515266113109918</v>
      </c>
      <c r="S24" s="240">
        <f>R24*'Imported Price Trends'!$O$19</f>
        <v>16.669354321017799</v>
      </c>
      <c r="T24" s="240">
        <f>S24*'Imported Price Trends'!$O$19</f>
        <v>17.909288274781535</v>
      </c>
      <c r="U24" s="240">
        <f>T24*'Imported Price Trends'!$O$19</f>
        <v>19.241453527975846</v>
      </c>
      <c r="V24" s="240">
        <f>U24*'Imported Price Trends'!$O$19</f>
        <v>20.672710617461455</v>
      </c>
      <c r="W24" s="219"/>
      <c r="X24" s="195">
        <f>X23*$E$5</f>
        <v>799999.20000000007</v>
      </c>
      <c r="Y24" s="195">
        <f t="shared" ref="Y24:AA24" si="30">Y23*$E$5</f>
        <v>799999.20000000007</v>
      </c>
      <c r="Z24" s="195">
        <f t="shared" si="30"/>
        <v>799999.20000000007</v>
      </c>
      <c r="AA24" s="195">
        <f t="shared" si="30"/>
        <v>799999.20000000007</v>
      </c>
      <c r="AB24" s="219">
        <f>X24*VLOOKUP($B24,Types!$B$2:$D$13,3,FALSE)*Conv!$I$5*1000*365</f>
        <v>1794542.9558552499</v>
      </c>
      <c r="AC24" s="219">
        <f>Y24*VLOOKUP($B24,Types!$B$2:$D$13,3,FALSE)*Conv!$I$5*1000*365</f>
        <v>1794542.9558552499</v>
      </c>
      <c r="AD24" s="219">
        <f>Z24*VLOOKUP($B24,Types!$B$2:$D$13,3,FALSE)*Conv!$I$5*1000*365</f>
        <v>1794542.9558552499</v>
      </c>
      <c r="AE24" s="219">
        <f>AA24*VLOOKUP($B24,Types!$B$2:$D$13,3,FALSE)*Conv!$I$5*1000*365</f>
        <v>1794542.9558552499</v>
      </c>
      <c r="AF24" s="219">
        <f>AB24</f>
        <v>1794542.9558552499</v>
      </c>
      <c r="AG24" s="219">
        <f t="shared" ref="AG24:AI24" si="31">AC24</f>
        <v>1794542.9558552499</v>
      </c>
      <c r="AH24" s="219">
        <f t="shared" si="31"/>
        <v>1794542.9558552499</v>
      </c>
      <c r="AI24" s="219">
        <f t="shared" si="31"/>
        <v>1794542.9558552499</v>
      </c>
      <c r="AJ24" s="219"/>
      <c r="AK24" s="219"/>
      <c r="AL24" s="219"/>
    </row>
    <row r="25" spans="1:38">
      <c r="A25" s="195" t="str">
        <f>A24</f>
        <v>Heating No. 2</v>
      </c>
      <c r="B25" s="195" t="str">
        <f>VLOOKUP($A25,Types!$A$2:$C$13,2,FALSE)</f>
        <v>DSH</v>
      </c>
      <c r="C25" s="195">
        <v>2</v>
      </c>
      <c r="D25" s="195">
        <v>1</v>
      </c>
      <c r="E25" s="195" t="str">
        <f t="shared" si="1"/>
        <v>IMPDSHP12</v>
      </c>
      <c r="F25" s="195" t="str">
        <f>CONCATENATE("Imported ",VLOOKUP($A25,Types!$A$2:$C$13,3,FALSE),", PADD ",D25,", Step ",RIGHT(C25,1))</f>
        <v>Imported Distillate-Heating Oil No. 2, PADD 1, Step 2</v>
      </c>
      <c r="G25" s="195" t="str">
        <f>CONCATENATE(VLOOKUP($A25,Types!$A$2:$C$13,2,FALSE),"P",D25)</f>
        <v>DSHP1</v>
      </c>
      <c r="H25" s="239">
        <f>H23*$C$6</f>
        <v>54.794740000000004</v>
      </c>
      <c r="I25" s="239">
        <f t="shared" ref="I25:K25" si="32">I23*$C$6</f>
        <v>49.027439999999999</v>
      </c>
      <c r="J25" s="239">
        <f t="shared" si="32"/>
        <v>36.779400000000003</v>
      </c>
      <c r="K25" s="239">
        <f t="shared" si="32"/>
        <v>39.758600000000001</v>
      </c>
      <c r="L25" s="240">
        <f>H25*Conv!$J$20/10^6/VLOOKUP($B25,Types!$B$2:$D$13,3,FALSE)/Conv!$I$5</f>
        <v>13.681408997930971</v>
      </c>
      <c r="M25" s="240">
        <f>I25*Conv!$J$20/10^6/VLOOKUP($B25,Types!$B$2:$D$13,3,FALSE)/Conv!$I$5</f>
        <v>12.24140234558136</v>
      </c>
      <c r="N25" s="240">
        <f>M25*'Imported Price Trends'!$K$19</f>
        <v>13.180891511382933</v>
      </c>
      <c r="O25" s="240">
        <f>N25*'Imported Price Trends'!$L$19</f>
        <v>13.055566653371445</v>
      </c>
      <c r="P25" s="240">
        <f>O25*'Imported Price Trends'!$M$19</f>
        <v>14.087873395303902</v>
      </c>
      <c r="Q25" s="240">
        <f>P25*'Imported Price Trends'!$N$19</f>
        <v>14.89711430715929</v>
      </c>
      <c r="R25" s="240">
        <f>Q25*'Imported Price Trends'!$O$19</f>
        <v>16.005221885102866</v>
      </c>
      <c r="S25" s="240">
        <f>R25*'Imported Price Trends'!$O$19</f>
        <v>17.195754983786784</v>
      </c>
      <c r="T25" s="240">
        <f>S25*'Imported Price Trends'!$O$19</f>
        <v>18.474844746616743</v>
      </c>
      <c r="U25" s="240">
        <f>T25*'Imported Price Trends'!$O$19</f>
        <v>19.84907837622772</v>
      </c>
      <c r="V25" s="240">
        <f>U25*'Imported Price Trends'!$O$19</f>
        <v>21.325533058012873</v>
      </c>
      <c r="W25" s="219"/>
      <c r="X25" s="195">
        <f>X23*$E$6</f>
        <v>899999.1</v>
      </c>
      <c r="Y25" s="195">
        <f t="shared" ref="Y25:AA25" si="33">Y23*$E$6</f>
        <v>899999.1</v>
      </c>
      <c r="Z25" s="195">
        <f t="shared" si="33"/>
        <v>899999.1</v>
      </c>
      <c r="AA25" s="195">
        <f t="shared" si="33"/>
        <v>899999.1</v>
      </c>
      <c r="AB25" s="219">
        <f>X25*VLOOKUP($B25,Types!$B$2:$D$13,3,FALSE)*Conv!$I$5*1000*365</f>
        <v>2018860.8253371555</v>
      </c>
      <c r="AC25" s="219">
        <f>Y25*VLOOKUP($B25,Types!$B$2:$D$13,3,FALSE)*Conv!$I$5*1000*365</f>
        <v>2018860.8253371555</v>
      </c>
      <c r="AD25" s="219">
        <f>Z25*VLOOKUP($B25,Types!$B$2:$D$13,3,FALSE)*Conv!$I$5*1000*365</f>
        <v>2018860.8253371555</v>
      </c>
      <c r="AE25" s="219">
        <f>AA25*VLOOKUP($B25,Types!$B$2:$D$13,3,FALSE)*Conv!$I$5*1000*365</f>
        <v>2018860.8253371555</v>
      </c>
      <c r="AF25" s="219">
        <f>AB25-AF24</f>
        <v>224317.8694819056</v>
      </c>
      <c r="AG25" s="219">
        <f t="shared" ref="AG25:AI25" si="34">AC25-AG24</f>
        <v>224317.8694819056</v>
      </c>
      <c r="AH25" s="219">
        <f t="shared" si="34"/>
        <v>224317.8694819056</v>
      </c>
      <c r="AI25" s="219">
        <f t="shared" si="34"/>
        <v>224317.8694819056</v>
      </c>
      <c r="AJ25" s="219"/>
      <c r="AK25" s="219"/>
      <c r="AL25" s="219"/>
    </row>
    <row r="26" spans="1:38">
      <c r="A26" s="195" t="str">
        <f>A25</f>
        <v>Heating No. 2</v>
      </c>
      <c r="B26" s="195" t="str">
        <f>VLOOKUP($A26,Types!$A$2:$C$13,2,FALSE)</f>
        <v>DSH</v>
      </c>
      <c r="C26" s="195">
        <v>4</v>
      </c>
      <c r="D26" s="195">
        <v>1</v>
      </c>
      <c r="E26" s="195" t="str">
        <f t="shared" si="1"/>
        <v>IMPDSHP14</v>
      </c>
      <c r="F26" s="195" t="str">
        <f>CONCATENATE("Imported ",VLOOKUP($A26,Types!$A$2:$C$13,3,FALSE),", PADD ",D26,", Step ",RIGHT(C26,1))</f>
        <v>Imported Distillate-Heating Oil No. 2, PADD 1, Step 4</v>
      </c>
      <c r="G26" s="195" t="str">
        <f>CONCATENATE(VLOOKUP($A26,Types!$A$2:$C$13,2,FALSE),"P",D26)</f>
        <v>DSHP1</v>
      </c>
      <c r="H26" s="239">
        <f>H23*$C$8</f>
        <v>60.945170000000012</v>
      </c>
      <c r="I26" s="239">
        <f t="shared" ref="I26:K26" si="35">I23*$C$8</f>
        <v>54.530520000000003</v>
      </c>
      <c r="J26" s="239">
        <f t="shared" si="35"/>
        <v>40.907700000000006</v>
      </c>
      <c r="K26" s="239">
        <f t="shared" si="35"/>
        <v>44.221300000000006</v>
      </c>
      <c r="L26" s="240">
        <f>H26*Conv!$J$20/10^6/VLOOKUP($B26,Types!$B$2:$D$13,3,FALSE)/Conv!$I$5</f>
        <v>15.217077354841594</v>
      </c>
      <c r="M26" s="240">
        <f>I26*Conv!$J$20/10^6/VLOOKUP($B26,Types!$B$2:$D$13,3,FALSE)/Conv!$I$5</f>
        <v>13.615437302738453</v>
      </c>
      <c r="N26" s="240">
        <f>M26*'Imported Price Trends'!$K$19</f>
        <v>14.660379334089182</v>
      </c>
      <c r="O26" s="240">
        <f>N26*'Imported Price Trends'!$L$19</f>
        <v>14.520987400178445</v>
      </c>
      <c r="P26" s="240">
        <f>O26*'Imported Price Trends'!$M$19</f>
        <v>15.669165307021688</v>
      </c>
      <c r="Q26" s="240">
        <f>P26*'Imported Price Trends'!$N$19</f>
        <v>16.569239382452679</v>
      </c>
      <c r="R26" s="240">
        <f>Q26*'Imported Price Trends'!$O$19</f>
        <v>17.801726382410333</v>
      </c>
      <c r="S26" s="240">
        <f>R26*'Imported Price Trends'!$O$19</f>
        <v>19.125890747273058</v>
      </c>
      <c r="T26" s="240">
        <f>S26*'Imported Price Trends'!$O$19</f>
        <v>20.548551810012501</v>
      </c>
      <c r="U26" s="240">
        <f>T26*'Imported Price Trends'!$O$19</f>
        <v>22.077036153151241</v>
      </c>
      <c r="V26" s="240">
        <f>U26*'Imported Price Trends'!$O$19</f>
        <v>23.719215340034729</v>
      </c>
      <c r="W26" s="219"/>
      <c r="X26" s="195">
        <f>X23*$E$8</f>
        <v>1199998.8</v>
      </c>
      <c r="Y26" s="195">
        <f t="shared" ref="Y26:AA26" si="36">Y23*$E$8</f>
        <v>1199998.8</v>
      </c>
      <c r="Z26" s="195">
        <f t="shared" si="36"/>
        <v>1199998.8</v>
      </c>
      <c r="AA26" s="195">
        <f t="shared" si="36"/>
        <v>1199998.8</v>
      </c>
      <c r="AB26" s="219">
        <f>X26*VLOOKUP($B26,Types!$B$2:$D$13,3,FALSE)*Conv!$I$5*1000*365</f>
        <v>2691814.4337828746</v>
      </c>
      <c r="AC26" s="219">
        <f>Y26*VLOOKUP($B26,Types!$B$2:$D$13,3,FALSE)*Conv!$I$5*1000*365</f>
        <v>2691814.4337828746</v>
      </c>
      <c r="AD26" s="219">
        <f>Z26*VLOOKUP($B26,Types!$B$2:$D$13,3,FALSE)*Conv!$I$5*1000*365</f>
        <v>2691814.4337828746</v>
      </c>
      <c r="AE26" s="219">
        <f>AA26*VLOOKUP($B26,Types!$B$2:$D$13,3,FALSE)*Conv!$I$5*1000*365</f>
        <v>2691814.4337828746</v>
      </c>
      <c r="AF26" s="219">
        <f>AB26-AB23</f>
        <v>448635.73896381306</v>
      </c>
      <c r="AG26" s="219">
        <f t="shared" ref="AG26:AI26" si="37">AC26-AC23</f>
        <v>448635.73896381306</v>
      </c>
      <c r="AH26" s="219">
        <f t="shared" si="37"/>
        <v>448635.73896381306</v>
      </c>
      <c r="AI26" s="219">
        <f t="shared" si="37"/>
        <v>448635.73896381306</v>
      </c>
      <c r="AJ26" s="219"/>
      <c r="AK26" s="219"/>
      <c r="AL26" s="219"/>
    </row>
    <row r="27" spans="1:38">
      <c r="A27" s="195" t="str">
        <f>A26</f>
        <v>Heating No. 2</v>
      </c>
      <c r="B27" s="195" t="str">
        <f>VLOOKUP($A27,Types!$A$2:$C$13,2,FALSE)</f>
        <v>DSH</v>
      </c>
      <c r="C27" s="195">
        <v>5</v>
      </c>
      <c r="D27" s="195">
        <v>1</v>
      </c>
      <c r="E27" s="195" t="str">
        <f t="shared" si="1"/>
        <v>IMPDSHP15</v>
      </c>
      <c r="F27" s="195" t="str">
        <f>CONCATENATE("Imported ",VLOOKUP($A27,Types!$A$2:$C$13,3,FALSE),", PADD ",D27,", Step ",RIGHT(C27,1))</f>
        <v>Imported Distillate-Heating Oil No. 2, PADD 1, Step 5</v>
      </c>
      <c r="G27" s="195" t="str">
        <f>CONCATENATE(VLOOKUP($A27,Types!$A$2:$C$13,2,FALSE),"P",D27)</f>
        <v>DSHP1</v>
      </c>
      <c r="H27" s="239">
        <f>H23*$C$9</f>
        <v>72.686900000000009</v>
      </c>
      <c r="I27" s="239">
        <f t="shared" ref="I27:K27" si="38">I23*$C$9</f>
        <v>65.0364</v>
      </c>
      <c r="J27" s="239">
        <f t="shared" si="38"/>
        <v>48.789000000000001</v>
      </c>
      <c r="K27" s="239">
        <f t="shared" si="38"/>
        <v>52.741</v>
      </c>
      <c r="L27" s="240">
        <f>H27*Conv!$J$20/10^6/VLOOKUP($B27,Types!$B$2:$D$13,3,FALSE)/Conv!$I$5</f>
        <v>18.148807854398228</v>
      </c>
      <c r="M27" s="240">
        <f>I27*Conv!$J$20/10^6/VLOOKUP($B27,Types!$B$2:$D$13,3,FALSE)/Conv!$I$5</f>
        <v>16.238594948220172</v>
      </c>
      <c r="N27" s="240">
        <f>M27*'Imported Price Trends'!$K$19</f>
        <v>17.484856086528382</v>
      </c>
      <c r="O27" s="240">
        <f>N27*'Imported Price Trends'!$L$19</f>
        <v>17.318608825900895</v>
      </c>
      <c r="P27" s="240">
        <f>O27*'Imported Price Trends'!$M$19</f>
        <v>18.687995320301091</v>
      </c>
      <c r="Q27" s="240">
        <f>P27*'Imported Price Trends'!$N$19</f>
        <v>19.761478162558237</v>
      </c>
      <c r="R27" s="240">
        <f>Q27*'Imported Price Trends'!$O$19</f>
        <v>21.231416786360942</v>
      </c>
      <c r="S27" s="240">
        <f>R27*'Imported Price Trends'!$O$19</f>
        <v>22.810695386655937</v>
      </c>
      <c r="T27" s="240">
        <f>S27*'Imported Price Trends'!$O$19</f>
        <v>24.507447112858944</v>
      </c>
      <c r="U27" s="240">
        <f>T27*'Imported Price Trends'!$O$19</f>
        <v>26.33041009091432</v>
      </c>
      <c r="V27" s="240">
        <f>U27*'Imported Price Trends'!$O$19</f>
        <v>28.288972423894627</v>
      </c>
      <c r="W27" s="219"/>
      <c r="X27" s="195">
        <f>X23*$E$9</f>
        <v>1999998</v>
      </c>
      <c r="Y27" s="195">
        <f t="shared" ref="Y27:AA27" si="39">Y23*$E$9</f>
        <v>1999998</v>
      </c>
      <c r="Z27" s="195">
        <f t="shared" si="39"/>
        <v>1999998</v>
      </c>
      <c r="AA27" s="195">
        <f t="shared" si="39"/>
        <v>1999998</v>
      </c>
      <c r="AB27" s="219">
        <f>X27*VLOOKUP($B27,Types!$B$2:$D$13,3,FALSE)*Conv!$I$5*1000*365</f>
        <v>4486357.3896381231</v>
      </c>
      <c r="AC27" s="219">
        <f>Y27*VLOOKUP($B27,Types!$B$2:$D$13,3,FALSE)*Conv!$I$5*1000*365</f>
        <v>4486357.3896381231</v>
      </c>
      <c r="AD27" s="219">
        <f>Z27*VLOOKUP($B27,Types!$B$2:$D$13,3,FALSE)*Conv!$I$5*1000*365</f>
        <v>4486357.3896381231</v>
      </c>
      <c r="AE27" s="219">
        <f>AA27*VLOOKUP($B27,Types!$B$2:$D$13,3,FALSE)*Conv!$I$5*1000*365</f>
        <v>4486357.3896381231</v>
      </c>
      <c r="AF27" s="219">
        <f>AB27-AB26</f>
        <v>1794542.9558552485</v>
      </c>
      <c r="AG27" s="219">
        <f t="shared" ref="AG27:AI27" si="40">AC27-AC26</f>
        <v>1794542.9558552485</v>
      </c>
      <c r="AH27" s="219">
        <f t="shared" si="40"/>
        <v>1794542.9558552485</v>
      </c>
      <c r="AI27" s="219">
        <f t="shared" si="40"/>
        <v>1794542.9558552485</v>
      </c>
      <c r="AJ27" s="219"/>
      <c r="AK27" s="219"/>
      <c r="AL27" s="219"/>
    </row>
    <row r="28" spans="1:38">
      <c r="A28" s="195" t="str">
        <f>'Agg prdcrv'!$A$9</f>
        <v>LS Diesel (500 ppm)</v>
      </c>
      <c r="B28" s="195" t="str">
        <f>VLOOKUP($A28,Types!$A$2:$C$13,2,FALSE)</f>
        <v>DSL</v>
      </c>
      <c r="C28" s="195">
        <v>3</v>
      </c>
      <c r="D28" s="195">
        <v>1</v>
      </c>
      <c r="E28" s="195" t="str">
        <f t="shared" si="1"/>
        <v>IMPDSLP13</v>
      </c>
      <c r="F28" s="195" t="str">
        <f>CONCATENATE("Imported ",VLOOKUP($A28,Types!$A$2:$C$13,3,FALSE),", PADD ",D28,", Step ",RIGHT(C28,1))</f>
        <v>Imported Distillate-Low Sulfur Highway Diesel (500 ppm), PADD 1, Step 3</v>
      </c>
      <c r="G28" s="195" t="str">
        <f>CONCATENATE(VLOOKUP($A28,Types!$A$2:$C$13,2,FALSE),"P",D28)</f>
        <v>DSLP1</v>
      </c>
      <c r="H28" s="239">
        <f>SUMIFS('Agg prdcrv NYC'!$L$6:$L$100,'Agg prdcrv NYC'!$A$6:$A$100,'Imp Refined NYC'!$A28,'Agg prdcrv NYC'!$B$6:$B$100,H$11)*K4</f>
        <v>57.574000000000005</v>
      </c>
      <c r="I28" s="239">
        <f>SUMIFS('Agg prdcrv NYC'!$L$6:$L$100,'Agg prdcrv NYC'!$A$6:$A$100,'Imp Refined NYC'!$A28,'Agg prdcrv NYC'!$B$6:$B$100,I$11)*K4</f>
        <v>50.886000000000003</v>
      </c>
      <c r="J28" s="239">
        <f t="array" ref="J28">SUMIFS('Agg prdcrv NYC'!$L$6:$L$100,'Agg prdcrv NYC'!$A$6:$A$100,'Imp Refined NYC'!$A28,'Agg prdcrv NYC'!$B$6:$B$100,J$11)</f>
        <v>113.56</v>
      </c>
      <c r="K28" s="239">
        <f t="array" ref="K28">SUMIFS('Agg prdcrv NYC'!$L$6:$L$100,'Agg prdcrv NYC'!$A$6:$A$100,'Imp Refined NYC'!$A28,'Agg prdcrv NYC'!$B$6:$B$100,K$11)</f>
        <v>113.56</v>
      </c>
      <c r="L28" s="240">
        <f>H28*Conv!$J$20/10^6/VLOOKUP($B28,Types!$B$2:$D$13,3,FALSE)/Conv!$I$5</f>
        <v>14.375347736787832</v>
      </c>
      <c r="M28" s="240">
        <f>I28*Conv!$J$20/10^6/VLOOKUP($B28,Types!$B$2:$D$13,3,FALSE)/Conv!$I$5</f>
        <v>12.705456368051301</v>
      </c>
      <c r="N28" s="240">
        <f>M28*'Imported Price Trends'!$K$19</f>
        <v>13.680560221953908</v>
      </c>
      <c r="O28" s="240">
        <f>N28*'Imported Price Trends'!$L$19</f>
        <v>13.550484478150588</v>
      </c>
      <c r="P28" s="240">
        <f>O28*'Imported Price Trends'!$M$19</f>
        <v>14.621924489498825</v>
      </c>
      <c r="Q28" s="240">
        <f>P28*'Imported Price Trends'!$N$19</f>
        <v>15.461842564778165</v>
      </c>
      <c r="R28" s="240">
        <f>Q28*'Imported Price Trends'!$O$19</f>
        <v>16.611956913217259</v>
      </c>
      <c r="S28" s="240">
        <f>R28*'Imported Price Trends'!$O$19</f>
        <v>17.847621415782147</v>
      </c>
      <c r="T28" s="240">
        <f>S28*'Imported Price Trends'!$O$19</f>
        <v>19.175199638739848</v>
      </c>
      <c r="U28" s="240">
        <f>T28*'Imported Price Trends'!$O$19</f>
        <v>20.601528496138563</v>
      </c>
      <c r="V28" s="240">
        <f>U28*'Imported Price Trends'!$O$19</f>
        <v>22.133953459328961</v>
      </c>
      <c r="W28" s="219"/>
      <c r="X28" s="195">
        <f t="array" ref="X28">SUMIFS('Agg prdcrv NYC'!$D$6:$D$100,'Agg prdcrv NYC'!$A$6:$A$100,'Imp Refined NYC'!$A28,'Agg prdcrv NYC'!$B$6:$B$100,X$11)</f>
        <v>999999</v>
      </c>
      <c r="Y28" s="195">
        <f t="array" ref="Y28">SUMIFS('Agg prdcrv NYC'!$D$6:$D$100,'Agg prdcrv NYC'!$A$6:$A$100,'Imp Refined NYC'!$A28,'Agg prdcrv NYC'!$B$6:$B$100,Y$11)</f>
        <v>999999</v>
      </c>
      <c r="Z28" s="195">
        <f t="array" ref="Z28">SUMIFS('Agg prdcrv NYC'!$D$6:$D$100,'Agg prdcrv NYC'!$A$6:$A$100,'Imp Refined NYC'!$A28,'Agg prdcrv NYC'!$B$6:$B$100,Z$11)</f>
        <v>999999</v>
      </c>
      <c r="AA28" s="195">
        <f t="array" ref="AA28">SUMIFS('Agg prdcrv NYC'!$D$6:$D$100,'Agg prdcrv NYC'!$A$6:$A$100,'Imp Refined NYC'!$A28,'Agg prdcrv NYC'!$B$6:$B$100,AA$11)</f>
        <v>999999</v>
      </c>
      <c r="AB28" s="219">
        <f>X28*VLOOKUP($B28,Types!$B$2:$D$13,3,FALSE)*Conv!$I$5*1000*365</f>
        <v>2243178.6948190616</v>
      </c>
      <c r="AC28" s="219">
        <f>Y28*VLOOKUP($B28,Types!$B$2:$D$13,3,FALSE)*Conv!$I$5*1000*365</f>
        <v>2243178.6948190616</v>
      </c>
      <c r="AD28" s="219">
        <f>Z28*VLOOKUP($B28,Types!$B$2:$D$13,3,FALSE)*Conv!$I$5*1000*365</f>
        <v>2243178.6948190616</v>
      </c>
      <c r="AE28" s="219">
        <f>AA28*VLOOKUP($B28,Types!$B$2:$D$13,3,FALSE)*Conv!$I$5*1000*365</f>
        <v>2243178.6948190616</v>
      </c>
      <c r="AF28" s="219">
        <f>AB28-AB30</f>
        <v>224317.86948190606</v>
      </c>
      <c r="AG28" s="219">
        <f t="shared" ref="AG28:AI28" si="41">AC28-AC30</f>
        <v>224317.86948190606</v>
      </c>
      <c r="AH28" s="219">
        <f t="shared" si="41"/>
        <v>224317.86948190606</v>
      </c>
      <c r="AI28" s="219">
        <f t="shared" si="41"/>
        <v>224317.86948190606</v>
      </c>
      <c r="AJ28" s="219"/>
      <c r="AK28" s="219"/>
      <c r="AL28" s="219"/>
    </row>
    <row r="29" spans="1:38">
      <c r="A29" s="195" t="str">
        <f>A28</f>
        <v>LS Diesel (500 ppm)</v>
      </c>
      <c r="B29" s="195" t="str">
        <f>VLOOKUP($A29,Types!$A$2:$C$13,2,FALSE)</f>
        <v>DSL</v>
      </c>
      <c r="C29" s="195">
        <v>1</v>
      </c>
      <c r="D29" s="195">
        <v>1</v>
      </c>
      <c r="E29" s="195" t="str">
        <f t="shared" si="1"/>
        <v>IMPDSLP11</v>
      </c>
      <c r="F29" s="195" t="str">
        <f>CONCATENATE("Imported ",VLOOKUP($A29,Types!$A$2:$C$13,3,FALSE),", PADD ",D29,", Step ",RIGHT(C29,1))</f>
        <v>Imported Distillate-Low Sulfur Highway Diesel (500 ppm), PADD 1, Step 1</v>
      </c>
      <c r="G29" s="195" t="str">
        <f>CONCATENATE(VLOOKUP($A29,Types!$A$2:$C$13,2,FALSE),"P",D29)</f>
        <v>DSLP1</v>
      </c>
      <c r="H29" s="239">
        <f>H28*$C$5</f>
        <v>54.695300000000003</v>
      </c>
      <c r="I29" s="239">
        <f t="shared" ref="I29:K29" si="42">I28*$C$5</f>
        <v>48.341700000000003</v>
      </c>
      <c r="J29" s="239">
        <f t="shared" si="42"/>
        <v>107.88199999999999</v>
      </c>
      <c r="K29" s="239">
        <f t="shared" si="42"/>
        <v>107.88199999999999</v>
      </c>
      <c r="L29" s="240">
        <f>H29*Conv!$J$20/10^6/VLOOKUP($B29,Types!$B$2:$D$13,3,FALSE)/Conv!$I$5</f>
        <v>13.656580349948442</v>
      </c>
      <c r="M29" s="240">
        <f>I29*Conv!$J$20/10^6/VLOOKUP($B29,Types!$B$2:$D$13,3,FALSE)/Conv!$I$5</f>
        <v>12.070183549648739</v>
      </c>
      <c r="N29" s="240">
        <f>M29*'Imported Price Trends'!$K$19</f>
        <v>12.996532210856216</v>
      </c>
      <c r="O29" s="240">
        <f>N29*'Imported Price Trends'!$L$19</f>
        <v>12.872960254243063</v>
      </c>
      <c r="P29" s="240">
        <f>O29*'Imported Price Trends'!$M$19</f>
        <v>13.890828265023888</v>
      </c>
      <c r="Q29" s="240">
        <f>P29*'Imported Price Trends'!$N$19</f>
        <v>14.68875043653926</v>
      </c>
      <c r="R29" s="240">
        <f>Q29*'Imported Price Trends'!$O$19</f>
        <v>15.781359067556401</v>
      </c>
      <c r="S29" s="240">
        <f>R29*'Imported Price Trends'!$O$19</f>
        <v>16.955240344993044</v>
      </c>
      <c r="T29" s="240">
        <f>S29*'Imported Price Trends'!$O$19</f>
        <v>18.216439656802862</v>
      </c>
      <c r="U29" s="240">
        <f>T29*'Imported Price Trends'!$O$19</f>
        <v>19.571452071331642</v>
      </c>
      <c r="V29" s="240">
        <f>U29*'Imported Price Trends'!$O$19</f>
        <v>21.02725578636252</v>
      </c>
      <c r="W29" s="219"/>
      <c r="X29" s="195">
        <f>X28*$E$5</f>
        <v>799999.20000000007</v>
      </c>
      <c r="Y29" s="195">
        <f t="shared" ref="Y29:AA29" si="43">Y28*$E$5</f>
        <v>799999.20000000007</v>
      </c>
      <c r="Z29" s="195">
        <f t="shared" si="43"/>
        <v>799999.20000000007</v>
      </c>
      <c r="AA29" s="195">
        <f t="shared" si="43"/>
        <v>799999.20000000007</v>
      </c>
      <c r="AB29" s="219">
        <f>X29*VLOOKUP($B29,Types!$B$2:$D$13,3,FALSE)*Conv!$I$5*1000*365</f>
        <v>1794542.9558552499</v>
      </c>
      <c r="AC29" s="219">
        <f>Y29*VLOOKUP($B29,Types!$B$2:$D$13,3,FALSE)*Conv!$I$5*1000*365</f>
        <v>1794542.9558552499</v>
      </c>
      <c r="AD29" s="219">
        <f>Z29*VLOOKUP($B29,Types!$B$2:$D$13,3,FALSE)*Conv!$I$5*1000*365</f>
        <v>1794542.9558552499</v>
      </c>
      <c r="AE29" s="219">
        <f>AA29*VLOOKUP($B29,Types!$B$2:$D$13,3,FALSE)*Conv!$I$5*1000*365</f>
        <v>1794542.9558552499</v>
      </c>
      <c r="AF29" s="219">
        <f>AB29</f>
        <v>1794542.9558552499</v>
      </c>
      <c r="AG29" s="219">
        <f t="shared" ref="AG29:AI29" si="44">AC29</f>
        <v>1794542.9558552499</v>
      </c>
      <c r="AH29" s="219">
        <f t="shared" si="44"/>
        <v>1794542.9558552499</v>
      </c>
      <c r="AI29" s="219">
        <f t="shared" si="44"/>
        <v>1794542.9558552499</v>
      </c>
      <c r="AJ29" s="219"/>
      <c r="AK29" s="219"/>
      <c r="AL29" s="219"/>
    </row>
    <row r="30" spans="1:38">
      <c r="A30" s="195" t="str">
        <f>A29</f>
        <v>LS Diesel (500 ppm)</v>
      </c>
      <c r="B30" s="195" t="str">
        <f>VLOOKUP($A30,Types!$A$2:$C$13,2,FALSE)</f>
        <v>DSL</v>
      </c>
      <c r="C30" s="195">
        <v>2</v>
      </c>
      <c r="D30" s="195">
        <v>1</v>
      </c>
      <c r="E30" s="195" t="str">
        <f t="shared" si="1"/>
        <v>IMPDSLP12</v>
      </c>
      <c r="F30" s="195" t="str">
        <f>CONCATENATE("Imported ",VLOOKUP($A30,Types!$A$2:$C$13,3,FALSE),", PADD ",D30,", Step ",RIGHT(C30,1))</f>
        <v>Imported Distillate-Low Sulfur Highway Diesel (500 ppm), PADD 1, Step 2</v>
      </c>
      <c r="G30" s="195" t="str">
        <f>CONCATENATE(VLOOKUP($A30,Types!$A$2:$C$13,2,FALSE),"P",D30)</f>
        <v>DSLP1</v>
      </c>
      <c r="H30" s="239">
        <f>H28*$C$6</f>
        <v>56.422520000000006</v>
      </c>
      <c r="I30" s="239">
        <f t="shared" ref="I30:K30" si="45">I28*$C$6</f>
        <v>49.868279999999999</v>
      </c>
      <c r="J30" s="239">
        <f t="shared" si="45"/>
        <v>111.28879999999999</v>
      </c>
      <c r="K30" s="239">
        <f t="shared" si="45"/>
        <v>111.28879999999999</v>
      </c>
      <c r="L30" s="240">
        <f>H30*Conv!$J$20/10^6/VLOOKUP($B30,Types!$B$2:$D$13,3,FALSE)/Conv!$I$5</f>
        <v>14.08784078205208</v>
      </c>
      <c r="M30" s="240">
        <f>I30*Conv!$J$20/10^6/VLOOKUP($B30,Types!$B$2:$D$13,3,FALSE)/Conv!$I$5</f>
        <v>12.451347240690277</v>
      </c>
      <c r="N30" s="240">
        <f>M30*'Imported Price Trends'!$K$19</f>
        <v>13.406949017514831</v>
      </c>
      <c r="O30" s="240">
        <f>N30*'Imported Price Trends'!$L$19</f>
        <v>13.279474788587578</v>
      </c>
      <c r="P30" s="240">
        <f>O30*'Imported Price Trends'!$M$19</f>
        <v>14.329485999708849</v>
      </c>
      <c r="Q30" s="240">
        <f>P30*'Imported Price Trends'!$N$19</f>
        <v>15.1526057134826</v>
      </c>
      <c r="R30" s="240">
        <f>Q30*'Imported Price Trends'!$O$19</f>
        <v>16.279717774952914</v>
      </c>
      <c r="S30" s="240">
        <f>R30*'Imported Price Trends'!$O$19</f>
        <v>17.490668987466503</v>
      </c>
      <c r="T30" s="240">
        <f>S30*'Imported Price Trends'!$O$19</f>
        <v>18.791695645965049</v>
      </c>
      <c r="U30" s="240">
        <f>T30*'Imported Price Trends'!$O$19</f>
        <v>20.18949792621579</v>
      </c>
      <c r="V30" s="240">
        <f>U30*'Imported Price Trends'!$O$19</f>
        <v>21.691274390142379</v>
      </c>
      <c r="W30" s="219"/>
      <c r="X30" s="195">
        <f>X28*$E$6</f>
        <v>899999.1</v>
      </c>
      <c r="Y30" s="195">
        <f t="shared" ref="Y30:AA30" si="46">Y28*$E$6</f>
        <v>899999.1</v>
      </c>
      <c r="Z30" s="195">
        <f t="shared" si="46"/>
        <v>899999.1</v>
      </c>
      <c r="AA30" s="195">
        <f t="shared" si="46"/>
        <v>899999.1</v>
      </c>
      <c r="AB30" s="219">
        <f>X30*VLOOKUP($B30,Types!$B$2:$D$13,3,FALSE)*Conv!$I$5*1000*365</f>
        <v>2018860.8253371555</v>
      </c>
      <c r="AC30" s="219">
        <f>Y30*VLOOKUP($B30,Types!$B$2:$D$13,3,FALSE)*Conv!$I$5*1000*365</f>
        <v>2018860.8253371555</v>
      </c>
      <c r="AD30" s="219">
        <f>Z30*VLOOKUP($B30,Types!$B$2:$D$13,3,FALSE)*Conv!$I$5*1000*365</f>
        <v>2018860.8253371555</v>
      </c>
      <c r="AE30" s="219">
        <f>AA30*VLOOKUP($B30,Types!$B$2:$D$13,3,FALSE)*Conv!$I$5*1000*365</f>
        <v>2018860.8253371555</v>
      </c>
      <c r="AF30" s="219">
        <f>AB30-AF29</f>
        <v>224317.8694819056</v>
      </c>
      <c r="AG30" s="219">
        <f t="shared" ref="AG30:AI30" si="47">AC30-AG29</f>
        <v>224317.8694819056</v>
      </c>
      <c r="AH30" s="219">
        <f t="shared" si="47"/>
        <v>224317.8694819056</v>
      </c>
      <c r="AI30" s="219">
        <f t="shared" si="47"/>
        <v>224317.8694819056</v>
      </c>
      <c r="AJ30" s="219"/>
      <c r="AK30" s="219"/>
      <c r="AL30" s="219"/>
    </row>
    <row r="31" spans="1:38">
      <c r="A31" s="195" t="str">
        <f>A30</f>
        <v>LS Diesel (500 ppm)</v>
      </c>
      <c r="B31" s="195" t="str">
        <f>VLOOKUP($A31,Types!$A$2:$C$13,2,FALSE)</f>
        <v>DSL</v>
      </c>
      <c r="C31" s="195">
        <v>4</v>
      </c>
      <c r="D31" s="195">
        <v>1</v>
      </c>
      <c r="E31" s="195" t="str">
        <f t="shared" si="1"/>
        <v>IMPDSLP14</v>
      </c>
      <c r="F31" s="195" t="str">
        <f>CONCATENATE("Imported ",VLOOKUP($A31,Types!$A$2:$C$13,3,FALSE),", PADD ",D31,", Step ",RIGHT(C31,1))</f>
        <v>Imported Distillate-Low Sulfur Highway Diesel (500 ppm), PADD 1, Step 4</v>
      </c>
      <c r="G31" s="195" t="str">
        <f>CONCATENATE(VLOOKUP($A31,Types!$A$2:$C$13,2,FALSE),"P",D31)</f>
        <v>DSLP1</v>
      </c>
      <c r="H31" s="239">
        <f>H28*$C$8</f>
        <v>62.755660000000013</v>
      </c>
      <c r="I31" s="239">
        <f t="shared" ref="I31:K31" si="48">I28*$C$8</f>
        <v>55.465740000000004</v>
      </c>
      <c r="J31" s="239">
        <f t="shared" si="48"/>
        <v>123.78040000000001</v>
      </c>
      <c r="K31" s="239">
        <f t="shared" si="48"/>
        <v>123.78040000000001</v>
      </c>
      <c r="L31" s="240">
        <f>H31*Conv!$J$20/10^6/VLOOKUP($B31,Types!$B$2:$D$13,3,FALSE)/Conv!$I$5</f>
        <v>15.669129033098741</v>
      </c>
      <c r="M31" s="240">
        <f>I31*Conv!$J$20/10^6/VLOOKUP($B31,Types!$B$2:$D$13,3,FALSE)/Conv!$I$5</f>
        <v>13.848947441175921</v>
      </c>
      <c r="N31" s="240">
        <f>M31*'Imported Price Trends'!$K$19</f>
        <v>14.911810641929764</v>
      </c>
      <c r="O31" s="240">
        <f>N31*'Imported Price Trends'!$L$19</f>
        <v>14.770028081184146</v>
      </c>
      <c r="P31" s="240">
        <f>O31*'Imported Price Trends'!$M$19</f>
        <v>15.937897693553724</v>
      </c>
      <c r="Q31" s="240">
        <f>P31*'Imported Price Trends'!$N$19</f>
        <v>16.853408395608202</v>
      </c>
      <c r="R31" s="240">
        <f>Q31*'Imported Price Trends'!$O$19</f>
        <v>18.107033035406818</v>
      </c>
      <c r="S31" s="240">
        <f>R31*'Imported Price Trends'!$O$19</f>
        <v>19.453907343202545</v>
      </c>
      <c r="T31" s="240">
        <f>S31*'Imported Price Trends'!$O$19</f>
        <v>20.900967606226441</v>
      </c>
      <c r="U31" s="240">
        <f>T31*'Imported Price Trends'!$O$19</f>
        <v>22.455666060791042</v>
      </c>
      <c r="V31" s="240">
        <f>U31*'Imported Price Trends'!$O$19</f>
        <v>24.126009270668575</v>
      </c>
      <c r="W31" s="219"/>
      <c r="X31" s="195">
        <f>X28*$E$8</f>
        <v>1199998.8</v>
      </c>
      <c r="Y31" s="195">
        <f t="shared" ref="Y31:AA31" si="49">Y28*$E$8</f>
        <v>1199998.8</v>
      </c>
      <c r="Z31" s="195">
        <f t="shared" si="49"/>
        <v>1199998.8</v>
      </c>
      <c r="AA31" s="195">
        <f t="shared" si="49"/>
        <v>1199998.8</v>
      </c>
      <c r="AB31" s="219">
        <f>X31*VLOOKUP($B31,Types!$B$2:$D$13,3,FALSE)*Conv!$I$5*1000*365</f>
        <v>2691814.4337828746</v>
      </c>
      <c r="AC31" s="219">
        <f>Y31*VLOOKUP($B31,Types!$B$2:$D$13,3,FALSE)*Conv!$I$5*1000*365</f>
        <v>2691814.4337828746</v>
      </c>
      <c r="AD31" s="219">
        <f>Z31*VLOOKUP($B31,Types!$B$2:$D$13,3,FALSE)*Conv!$I$5*1000*365</f>
        <v>2691814.4337828746</v>
      </c>
      <c r="AE31" s="219">
        <f>AA31*VLOOKUP($B31,Types!$B$2:$D$13,3,FALSE)*Conv!$I$5*1000*365</f>
        <v>2691814.4337828746</v>
      </c>
      <c r="AF31" s="219">
        <f>AB31-AB28</f>
        <v>448635.73896381306</v>
      </c>
      <c r="AG31" s="219">
        <f t="shared" ref="AG31:AI31" si="50">AC31-AC28</f>
        <v>448635.73896381306</v>
      </c>
      <c r="AH31" s="219">
        <f t="shared" si="50"/>
        <v>448635.73896381306</v>
      </c>
      <c r="AI31" s="219">
        <f t="shared" si="50"/>
        <v>448635.73896381306</v>
      </c>
      <c r="AJ31" s="219"/>
      <c r="AK31" s="219"/>
      <c r="AL31" s="219"/>
    </row>
    <row r="32" spans="1:38">
      <c r="A32" s="195" t="str">
        <f>A31</f>
        <v>LS Diesel (500 ppm)</v>
      </c>
      <c r="B32" s="195" t="str">
        <f>VLOOKUP($A32,Types!$A$2:$C$13,2,FALSE)</f>
        <v>DSL</v>
      </c>
      <c r="C32" s="195">
        <v>5</v>
      </c>
      <c r="D32" s="195">
        <v>1</v>
      </c>
      <c r="E32" s="195" t="str">
        <f t="shared" si="1"/>
        <v>IMPDSLP15</v>
      </c>
      <c r="F32" s="195" t="str">
        <f>CONCATENATE("Imported ",VLOOKUP($A32,Types!$A$2:$C$13,3,FALSE),", PADD ",D32,", Step ",RIGHT(C32,1))</f>
        <v>Imported Distillate-Low Sulfur Highway Diesel (500 ppm), PADD 1, Step 5</v>
      </c>
      <c r="G32" s="195" t="str">
        <f>CONCATENATE(VLOOKUP($A32,Types!$A$2:$C$13,2,FALSE),"P",D32)</f>
        <v>DSLP1</v>
      </c>
      <c r="H32" s="239">
        <f>H28*$C$9</f>
        <v>74.84620000000001</v>
      </c>
      <c r="I32" s="239">
        <f t="shared" ref="I32:K32" si="51">I28*$C$9</f>
        <v>66.151800000000009</v>
      </c>
      <c r="J32" s="239">
        <f t="shared" si="51"/>
        <v>147.62800000000001</v>
      </c>
      <c r="K32" s="239">
        <f t="shared" si="51"/>
        <v>147.62800000000001</v>
      </c>
      <c r="L32" s="240">
        <f>H32*Conv!$J$20/10^6/VLOOKUP($B32,Types!$B$2:$D$13,3,FALSE)/Conv!$I$5</f>
        <v>18.687952057824187</v>
      </c>
      <c r="M32" s="240">
        <f>I32*Conv!$J$20/10^6/VLOOKUP($B32,Types!$B$2:$D$13,3,FALSE)/Conv!$I$5</f>
        <v>16.517093278466696</v>
      </c>
      <c r="N32" s="240">
        <f>M32*'Imported Price Trends'!$K$19</f>
        <v>17.784728288540084</v>
      </c>
      <c r="O32" s="240">
        <f>N32*'Imported Price Trends'!$L$19</f>
        <v>17.615629821595768</v>
      </c>
      <c r="P32" s="240">
        <f>O32*'Imported Price Trends'!$M$19</f>
        <v>19.008501836348476</v>
      </c>
      <c r="Q32" s="240">
        <f>P32*'Imported Price Trends'!$N$19</f>
        <v>20.100395334211616</v>
      </c>
      <c r="R32" s="240">
        <f>Q32*'Imported Price Trends'!$O$19</f>
        <v>21.595543987182442</v>
      </c>
      <c r="S32" s="240">
        <f>R32*'Imported Price Trends'!$O$19</f>
        <v>23.201907840516796</v>
      </c>
      <c r="T32" s="240">
        <f>S32*'Imported Price Trends'!$O$19</f>
        <v>24.927759530361808</v>
      </c>
      <c r="U32" s="240">
        <f>T32*'Imported Price Trends'!$O$19</f>
        <v>26.781987044980138</v>
      </c>
      <c r="V32" s="240">
        <f>U32*'Imported Price Trends'!$O$19</f>
        <v>28.774139497127653</v>
      </c>
      <c r="W32" s="219"/>
      <c r="X32" s="195">
        <f>X28*$E$9</f>
        <v>1999998</v>
      </c>
      <c r="Y32" s="195">
        <f t="shared" ref="Y32:AA32" si="52">Y28*$E$9</f>
        <v>1999998</v>
      </c>
      <c r="Z32" s="195">
        <f t="shared" si="52"/>
        <v>1999998</v>
      </c>
      <c r="AA32" s="195">
        <f t="shared" si="52"/>
        <v>1999998</v>
      </c>
      <c r="AB32" s="219">
        <f>X32*VLOOKUP($B32,Types!$B$2:$D$13,3,FALSE)*Conv!$I$5*1000*365</f>
        <v>4486357.3896381231</v>
      </c>
      <c r="AC32" s="219">
        <f>Y32*VLOOKUP($B32,Types!$B$2:$D$13,3,FALSE)*Conv!$I$5*1000*365</f>
        <v>4486357.3896381231</v>
      </c>
      <c r="AD32" s="219">
        <f>Z32*VLOOKUP($B32,Types!$B$2:$D$13,3,FALSE)*Conv!$I$5*1000*365</f>
        <v>4486357.3896381231</v>
      </c>
      <c r="AE32" s="219">
        <f>AA32*VLOOKUP($B32,Types!$B$2:$D$13,3,FALSE)*Conv!$I$5*1000*365</f>
        <v>4486357.3896381231</v>
      </c>
      <c r="AF32" s="219">
        <f>AB32-AB31</f>
        <v>1794542.9558552485</v>
      </c>
      <c r="AG32" s="219">
        <f t="shared" ref="AG32:AI32" si="53">AC32-AC31</f>
        <v>1794542.9558552485</v>
      </c>
      <c r="AH32" s="219">
        <f t="shared" si="53"/>
        <v>1794542.9558552485</v>
      </c>
      <c r="AI32" s="219">
        <f t="shared" si="53"/>
        <v>1794542.9558552485</v>
      </c>
      <c r="AJ32" s="219"/>
      <c r="AK32" s="219"/>
      <c r="AL32" s="219"/>
    </row>
    <row r="33" spans="1:38">
      <c r="A33" s="195" t="str">
        <f>'Agg prdcrv'!$A$10</f>
        <v>Low Sulfur Fuel Oil</v>
      </c>
      <c r="B33" s="195" t="str">
        <f>VLOOKUP($A33,Types!$A$2:$C$13,2,FALSE)</f>
        <v>RFL</v>
      </c>
      <c r="C33" s="195">
        <v>3</v>
      </c>
      <c r="D33" s="195">
        <v>1</v>
      </c>
      <c r="E33" s="195" t="str">
        <f t="shared" si="1"/>
        <v>IMPRFLP13</v>
      </c>
      <c r="F33" s="195" t="str">
        <f>CONCATENATE("Imported ",VLOOKUP($A33,Types!$A$2:$C$13,3,FALSE),", PADD ",D33,", Step ",RIGHT(C33,1))</f>
        <v>Imported Low Sulfur Residual Fuel Oil, PADD 1, Step 3</v>
      </c>
      <c r="G33" s="195" t="str">
        <f>CONCATENATE(VLOOKUP($A33,Types!$A$2:$C$13,2,FALSE),"P",D33)</f>
        <v>RFLP1</v>
      </c>
      <c r="H33" s="239">
        <f>SUMIFS('Agg prdcrv NYC'!$L$6:$L$100,'Agg prdcrv NYC'!$A$6:$A$100,'Imp Refined NYC'!$A33,'Agg prdcrv NYC'!$B$6:$B$100,H$11)*K4</f>
        <v>39.93</v>
      </c>
      <c r="I33" s="239">
        <f>SUMIFS('Agg prdcrv NYC'!$L$6:$L$100,'Agg prdcrv NYC'!$A$6:$A$100,'Imp Refined NYC'!$A33,'Agg prdcrv NYC'!$B$6:$B$100,I$11)*K4</f>
        <v>37.708000000000006</v>
      </c>
      <c r="J33" s="239">
        <f t="array" ref="J33">SUMIFS('Agg prdcrv NYC'!$L$6:$L$100,'Agg prdcrv NYC'!$A$6:$A$100,'Imp Refined NYC'!$A33,'Agg prdcrv NYC'!$B$6:$B$100,J$11)</f>
        <v>29.19</v>
      </c>
      <c r="K33" s="239">
        <f t="array" ref="K33">SUMIFS('Agg prdcrv NYC'!$L$6:$L$100,'Agg prdcrv NYC'!$A$6:$A$100,'Imp Refined NYC'!$A33,'Agg prdcrv NYC'!$B$6:$B$100,K$11)</f>
        <v>32.119999999999997</v>
      </c>
      <c r="L33" s="240">
        <f>H33*Conv!$J$20/10^6/VLOOKUP($B33,Types!$B$2:$D$13,3,FALSE)/Conv!$I$5</f>
        <v>9.2372720649261009</v>
      </c>
      <c r="M33" s="240">
        <f>I33*Conv!$J$20/10^6/VLOOKUP($B33,Types!$B$2:$D$13,3,FALSE)/Conv!$I$5</f>
        <v>8.7232420491919225</v>
      </c>
      <c r="N33" s="240">
        <f>M33*'Imported Price Trends'!$K$19</f>
        <v>9.3927234668040729</v>
      </c>
      <c r="O33" s="240">
        <f>N33*'Imported Price Trends'!$L$19</f>
        <v>9.3034167811522082</v>
      </c>
      <c r="P33" s="240">
        <f>O33*'Imported Price Trends'!$M$19</f>
        <v>10.039040145589697</v>
      </c>
      <c r="Q33" s="240">
        <f>P33*'Imported Price Trends'!$N$19</f>
        <v>10.615706458070751</v>
      </c>
      <c r="R33" s="240">
        <f>Q33*'Imported Price Trends'!$O$19</f>
        <v>11.405345614276964</v>
      </c>
      <c r="S33" s="240">
        <f>R33*'Imported Price Trends'!$O$19</f>
        <v>12.25372132273025</v>
      </c>
      <c r="T33" s="240">
        <f>S33*'Imported Price Trends'!$O$19</f>
        <v>13.165202645606362</v>
      </c>
      <c r="U33" s="240">
        <f>T33*'Imported Price Trends'!$O$19</f>
        <v>14.144483633585912</v>
      </c>
      <c r="V33" s="240">
        <f>U33*'Imported Price Trends'!$O$19</f>
        <v>15.196607499813011</v>
      </c>
      <c r="W33" s="219"/>
      <c r="X33" s="195">
        <f t="array" ref="X33">SUMIFS('Agg prdcrv NYC'!$D$6:$D$100,'Agg prdcrv NYC'!$A$6:$A$100,'Imp Refined NYC'!$A33,'Agg prdcrv NYC'!$B$6:$B$100,X$11)</f>
        <v>999999</v>
      </c>
      <c r="Y33" s="195">
        <f t="array" ref="Y33">SUMIFS('Agg prdcrv NYC'!$D$6:$D$100,'Agg prdcrv NYC'!$A$6:$A$100,'Imp Refined NYC'!$A33,'Agg prdcrv NYC'!$B$6:$B$100,Y$11)</f>
        <v>999999</v>
      </c>
      <c r="Z33" s="195">
        <f t="array" ref="Z33">SUMIFS('Agg prdcrv NYC'!$D$6:$D$100,'Agg prdcrv NYC'!$A$6:$A$100,'Imp Refined NYC'!$A33,'Agg prdcrv NYC'!$B$6:$B$100,Z$11)</f>
        <v>999999</v>
      </c>
      <c r="AA33" s="195">
        <f t="array" ref="AA33">SUMIFS('Agg prdcrv NYC'!$D$6:$D$100,'Agg prdcrv NYC'!$A$6:$A$100,'Imp Refined NYC'!$A33,'Agg prdcrv NYC'!$B$6:$B$100,AA$11)</f>
        <v>999999</v>
      </c>
      <c r="AB33" s="219">
        <f>X33*VLOOKUP($B33,Types!$B$2:$D$13,3,FALSE)*Conv!$I$5*1000*365</f>
        <v>2421092.6101849684</v>
      </c>
      <c r="AC33" s="219">
        <f>Y33*VLOOKUP($B33,Types!$B$2:$D$13,3,FALSE)*Conv!$I$5*1000*365</f>
        <v>2421092.6101849684</v>
      </c>
      <c r="AD33" s="219">
        <f>Z33*VLOOKUP($B33,Types!$B$2:$D$13,3,FALSE)*Conv!$I$5*1000*365</f>
        <v>2421092.6101849684</v>
      </c>
      <c r="AE33" s="219">
        <f>AA33*VLOOKUP($B33,Types!$B$2:$D$13,3,FALSE)*Conv!$I$5*1000*365</f>
        <v>2421092.6101849684</v>
      </c>
      <c r="AF33" s="219">
        <f>AB33-AB35</f>
        <v>242109.26101849694</v>
      </c>
      <c r="AG33" s="219">
        <f t="shared" ref="AG33:AI33" si="54">AC33-AC35</f>
        <v>242109.26101849694</v>
      </c>
      <c r="AH33" s="219">
        <f t="shared" si="54"/>
        <v>242109.26101849694</v>
      </c>
      <c r="AI33" s="219">
        <f t="shared" si="54"/>
        <v>242109.26101849694</v>
      </c>
      <c r="AJ33" s="219"/>
      <c r="AK33" s="219"/>
      <c r="AL33" s="219"/>
    </row>
    <row r="34" spans="1:38">
      <c r="A34" s="195" t="str">
        <f>A33</f>
        <v>Low Sulfur Fuel Oil</v>
      </c>
      <c r="B34" s="195" t="str">
        <f>VLOOKUP($A34,Types!$A$2:$C$13,2,FALSE)</f>
        <v>RFL</v>
      </c>
      <c r="C34" s="195">
        <v>1</v>
      </c>
      <c r="D34" s="195">
        <v>1</v>
      </c>
      <c r="E34" s="195" t="str">
        <f t="shared" si="1"/>
        <v>IMPRFLP11</v>
      </c>
      <c r="F34" s="195" t="str">
        <f>CONCATENATE("Imported ",VLOOKUP($A34,Types!$A$2:$C$13,3,FALSE),", PADD ",D34,", Step ",RIGHT(C34,1))</f>
        <v>Imported Low Sulfur Residual Fuel Oil, PADD 1, Step 1</v>
      </c>
      <c r="G34" s="195" t="str">
        <f>CONCATENATE(VLOOKUP($A34,Types!$A$2:$C$13,2,FALSE),"P",D34)</f>
        <v>RFLP1</v>
      </c>
      <c r="H34" s="239">
        <f>H33*$C$5</f>
        <v>37.933499999999995</v>
      </c>
      <c r="I34" s="239">
        <f t="shared" ref="I34:K34" si="55">I33*$C$5</f>
        <v>35.822600000000001</v>
      </c>
      <c r="J34" s="239">
        <f t="shared" si="55"/>
        <v>27.730499999999999</v>
      </c>
      <c r="K34" s="239">
        <f t="shared" si="55"/>
        <v>30.513999999999996</v>
      </c>
      <c r="L34" s="240">
        <f>H34*Conv!$J$20/10^6/VLOOKUP($B34,Types!$B$2:$D$13,3,FALSE)/Conv!$I$5</f>
        <v>8.7754084616797936</v>
      </c>
      <c r="M34" s="240">
        <f>I34*Conv!$J$20/10^6/VLOOKUP($B34,Types!$B$2:$D$13,3,FALSE)/Conv!$I$5</f>
        <v>8.2870799467323266</v>
      </c>
      <c r="N34" s="240">
        <f>M34*'Imported Price Trends'!$K$19</f>
        <v>8.9230872934638708</v>
      </c>
      <c r="O34" s="240">
        <f>N34*'Imported Price Trends'!$L$19</f>
        <v>8.8382459420946002</v>
      </c>
      <c r="P34" s="240">
        <f>O34*'Imported Price Trends'!$M$19</f>
        <v>9.5370881383102137</v>
      </c>
      <c r="Q34" s="240">
        <f>P34*'Imported Price Trends'!$N$19</f>
        <v>10.084921135167216</v>
      </c>
      <c r="R34" s="240">
        <f>Q34*'Imported Price Trends'!$O$19</f>
        <v>10.83507833356312</v>
      </c>
      <c r="S34" s="240">
        <f>R34*'Imported Price Trends'!$O$19</f>
        <v>11.641035256593742</v>
      </c>
      <c r="T34" s="240">
        <f>S34*'Imported Price Trends'!$O$19</f>
        <v>12.506942513326049</v>
      </c>
      <c r="U34" s="240">
        <f>T34*'Imported Price Trends'!$O$19</f>
        <v>13.437259451906622</v>
      </c>
      <c r="V34" s="240">
        <f>U34*'Imported Price Trends'!$O$19</f>
        <v>14.436777124822365</v>
      </c>
      <c r="W34" s="219"/>
      <c r="X34" s="195">
        <f>X33*$E$5</f>
        <v>799999.20000000007</v>
      </c>
      <c r="Y34" s="195">
        <f t="shared" ref="Y34:AA34" si="56">Y33*$E$5</f>
        <v>799999.20000000007</v>
      </c>
      <c r="Z34" s="195">
        <f t="shared" si="56"/>
        <v>799999.20000000007</v>
      </c>
      <c r="AA34" s="195">
        <f t="shared" si="56"/>
        <v>799999.20000000007</v>
      </c>
      <c r="AB34" s="219">
        <f>X34*VLOOKUP($B34,Types!$B$2:$D$13,3,FALSE)*Conv!$I$5*1000*365</f>
        <v>1936874.088147975</v>
      </c>
      <c r="AC34" s="219">
        <f>Y34*VLOOKUP($B34,Types!$B$2:$D$13,3,FALSE)*Conv!$I$5*1000*365</f>
        <v>1936874.088147975</v>
      </c>
      <c r="AD34" s="219">
        <f>Z34*VLOOKUP($B34,Types!$B$2:$D$13,3,FALSE)*Conv!$I$5*1000*365</f>
        <v>1936874.088147975</v>
      </c>
      <c r="AE34" s="219">
        <f>AA34*VLOOKUP($B34,Types!$B$2:$D$13,3,FALSE)*Conv!$I$5*1000*365</f>
        <v>1936874.088147975</v>
      </c>
      <c r="AF34" s="219">
        <f>AB34</f>
        <v>1936874.088147975</v>
      </c>
      <c r="AG34" s="219">
        <f t="shared" ref="AG34:AI34" si="57">AC34</f>
        <v>1936874.088147975</v>
      </c>
      <c r="AH34" s="219">
        <f t="shared" si="57"/>
        <v>1936874.088147975</v>
      </c>
      <c r="AI34" s="219">
        <f t="shared" si="57"/>
        <v>1936874.088147975</v>
      </c>
      <c r="AJ34" s="219"/>
      <c r="AK34" s="219"/>
      <c r="AL34" s="219"/>
    </row>
    <row r="35" spans="1:38">
      <c r="A35" s="195" t="str">
        <f>A34</f>
        <v>Low Sulfur Fuel Oil</v>
      </c>
      <c r="B35" s="195" t="str">
        <f>VLOOKUP($A35,Types!$A$2:$C$13,2,FALSE)</f>
        <v>RFL</v>
      </c>
      <c r="C35" s="195">
        <v>2</v>
      </c>
      <c r="D35" s="195">
        <v>1</v>
      </c>
      <c r="E35" s="195" t="str">
        <f t="shared" si="1"/>
        <v>IMPRFLP12</v>
      </c>
      <c r="F35" s="195" t="str">
        <f>CONCATENATE("Imported ",VLOOKUP($A35,Types!$A$2:$C$13,3,FALSE),", PADD ",D35,", Step ",RIGHT(C35,1))</f>
        <v>Imported Low Sulfur Residual Fuel Oil, PADD 1, Step 2</v>
      </c>
      <c r="G35" s="195" t="str">
        <f>CONCATENATE(VLOOKUP($A35,Types!$A$2:$C$13,2,FALSE),"P",D35)</f>
        <v>RFLP1</v>
      </c>
      <c r="H35" s="239">
        <f>H33*$C$6</f>
        <v>39.131399999999999</v>
      </c>
      <c r="I35" s="239">
        <f t="shared" ref="I35:K35" si="58">I33*$C$6</f>
        <v>36.953840000000007</v>
      </c>
      <c r="J35" s="239">
        <f t="shared" si="58"/>
        <v>28.606200000000001</v>
      </c>
      <c r="K35" s="239">
        <f t="shared" si="58"/>
        <v>31.477599999999995</v>
      </c>
      <c r="L35" s="240">
        <f>H35*Conv!$J$20/10^6/VLOOKUP($B35,Types!$B$2:$D$13,3,FALSE)/Conv!$I$5</f>
        <v>9.0525266236275801</v>
      </c>
      <c r="M35" s="240">
        <f>I35*Conv!$J$20/10^6/VLOOKUP($B35,Types!$B$2:$D$13,3,FALSE)/Conv!$I$5</f>
        <v>8.5487772082080831</v>
      </c>
      <c r="N35" s="240">
        <f>M35*'Imported Price Trends'!$K$19</f>
        <v>9.2048689974679903</v>
      </c>
      <c r="O35" s="240">
        <f>N35*'Imported Price Trends'!$L$19</f>
        <v>9.1173484455291636</v>
      </c>
      <c r="P35" s="240">
        <f>O35*'Imported Price Trends'!$M$19</f>
        <v>9.838259342677901</v>
      </c>
      <c r="Q35" s="240">
        <f>P35*'Imported Price Trends'!$N$19</f>
        <v>10.403392328909334</v>
      </c>
      <c r="R35" s="240">
        <f>Q35*'Imported Price Trends'!$O$19</f>
        <v>11.177238701991422</v>
      </c>
      <c r="S35" s="240">
        <f>R35*'Imported Price Trends'!$O$19</f>
        <v>12.008646896275643</v>
      </c>
      <c r="T35" s="240">
        <f>S35*'Imported Price Trends'!$O$19</f>
        <v>12.901898592694231</v>
      </c>
      <c r="U35" s="240">
        <f>T35*'Imported Price Trends'!$O$19</f>
        <v>13.86159396091419</v>
      </c>
      <c r="V35" s="240">
        <f>U35*'Imported Price Trends'!$O$19</f>
        <v>14.892675349816747</v>
      </c>
      <c r="W35" s="219"/>
      <c r="X35" s="195">
        <f>X33*$E$6</f>
        <v>899999.1</v>
      </c>
      <c r="Y35" s="195">
        <f t="shared" ref="Y35:AA35" si="59">Y33*$E$6</f>
        <v>899999.1</v>
      </c>
      <c r="Z35" s="195">
        <f t="shared" si="59"/>
        <v>899999.1</v>
      </c>
      <c r="AA35" s="195">
        <f t="shared" si="59"/>
        <v>899999.1</v>
      </c>
      <c r="AB35" s="219">
        <f>X35*VLOOKUP($B35,Types!$B$2:$D$13,3,FALSE)*Conv!$I$5*1000*365</f>
        <v>2178983.3491664715</v>
      </c>
      <c r="AC35" s="219">
        <f>Y35*VLOOKUP($B35,Types!$B$2:$D$13,3,FALSE)*Conv!$I$5*1000*365</f>
        <v>2178983.3491664715</v>
      </c>
      <c r="AD35" s="219">
        <f>Z35*VLOOKUP($B35,Types!$B$2:$D$13,3,FALSE)*Conv!$I$5*1000*365</f>
        <v>2178983.3491664715</v>
      </c>
      <c r="AE35" s="219">
        <f>AA35*VLOOKUP($B35,Types!$B$2:$D$13,3,FALSE)*Conv!$I$5*1000*365</f>
        <v>2178983.3491664715</v>
      </c>
      <c r="AF35" s="219">
        <f>AB35-AF34</f>
        <v>242109.26101849647</v>
      </c>
      <c r="AG35" s="219">
        <f t="shared" ref="AG35:AI35" si="60">AC35-AG34</f>
        <v>242109.26101849647</v>
      </c>
      <c r="AH35" s="219">
        <f t="shared" si="60"/>
        <v>242109.26101849647</v>
      </c>
      <c r="AI35" s="219">
        <f t="shared" si="60"/>
        <v>242109.26101849647</v>
      </c>
      <c r="AJ35" s="219"/>
      <c r="AK35" s="219"/>
      <c r="AL35" s="219"/>
    </row>
    <row r="36" spans="1:38">
      <c r="A36" s="195" t="str">
        <f>A35</f>
        <v>Low Sulfur Fuel Oil</v>
      </c>
      <c r="B36" s="195" t="str">
        <f>VLOOKUP($A36,Types!$A$2:$C$13,2,FALSE)</f>
        <v>RFL</v>
      </c>
      <c r="C36" s="195">
        <v>4</v>
      </c>
      <c r="D36" s="195">
        <v>1</v>
      </c>
      <c r="E36" s="195" t="str">
        <f t="shared" si="1"/>
        <v>IMPRFLP14</v>
      </c>
      <c r="F36" s="195" t="str">
        <f>CONCATENATE("Imported ",VLOOKUP($A36,Types!$A$2:$C$13,3,FALSE),", PADD ",D36,", Step ",RIGHT(C36,1))</f>
        <v>Imported Low Sulfur Residual Fuel Oil, PADD 1, Step 4</v>
      </c>
      <c r="G36" s="195" t="str">
        <f>CONCATENATE(VLOOKUP($A36,Types!$A$2:$C$13,2,FALSE),"P",D36)</f>
        <v>RFLP1</v>
      </c>
      <c r="H36" s="239">
        <f>H33*$C$8</f>
        <v>43.523700000000005</v>
      </c>
      <c r="I36" s="239">
        <f t="shared" ref="I36:K36" si="61">I33*$C$8</f>
        <v>41.101720000000007</v>
      </c>
      <c r="J36" s="239">
        <f t="shared" si="61"/>
        <v>31.817100000000003</v>
      </c>
      <c r="K36" s="239">
        <f t="shared" si="61"/>
        <v>35.010800000000003</v>
      </c>
      <c r="L36" s="240">
        <f>H36*Conv!$J$20/10^6/VLOOKUP($B36,Types!$B$2:$D$13,3,FALSE)/Conv!$I$5</f>
        <v>10.068626550769451</v>
      </c>
      <c r="M36" s="240">
        <f>I36*Conv!$J$20/10^6/VLOOKUP($B36,Types!$B$2:$D$13,3,FALSE)/Conv!$I$5</f>
        <v>9.5083338336191972</v>
      </c>
      <c r="N36" s="240">
        <f>M36*'Imported Price Trends'!$K$19</f>
        <v>10.238068578816442</v>
      </c>
      <c r="O36" s="240">
        <f>N36*'Imported Price Trends'!$L$19</f>
        <v>10.140724291455911</v>
      </c>
      <c r="P36" s="240">
        <f>O36*'Imported Price Trends'!$M$19</f>
        <v>10.942553758692773</v>
      </c>
      <c r="Q36" s="240">
        <f>P36*'Imported Price Trends'!$N$19</f>
        <v>11.571120039297123</v>
      </c>
      <c r="R36" s="240">
        <f>Q36*'Imported Price Trends'!$O$19</f>
        <v>12.431826719561895</v>
      </c>
      <c r="S36" s="240">
        <f>R36*'Imported Price Trends'!$O$19</f>
        <v>13.356556241775978</v>
      </c>
      <c r="T36" s="240">
        <f>S36*'Imported Price Trends'!$O$19</f>
        <v>14.35007088371094</v>
      </c>
      <c r="U36" s="240">
        <f>T36*'Imported Price Trends'!$O$19</f>
        <v>15.417487160608649</v>
      </c>
      <c r="V36" s="240">
        <f>U36*'Imported Price Trends'!$O$19</f>
        <v>16.564302174796186</v>
      </c>
      <c r="W36" s="219"/>
      <c r="X36" s="195">
        <f>X33*$E$8</f>
        <v>1199998.8</v>
      </c>
      <c r="Y36" s="195">
        <f t="shared" ref="Y36:AA36" si="62">Y33*$E$8</f>
        <v>1199998.8</v>
      </c>
      <c r="Z36" s="195">
        <f t="shared" si="62"/>
        <v>1199998.8</v>
      </c>
      <c r="AA36" s="195">
        <f t="shared" si="62"/>
        <v>1199998.8</v>
      </c>
      <c r="AB36" s="219">
        <f>X36*VLOOKUP($B36,Types!$B$2:$D$13,3,FALSE)*Conv!$I$5*1000*365</f>
        <v>2905311.1322219619</v>
      </c>
      <c r="AC36" s="219">
        <f>Y36*VLOOKUP($B36,Types!$B$2:$D$13,3,FALSE)*Conv!$I$5*1000*365</f>
        <v>2905311.1322219619</v>
      </c>
      <c r="AD36" s="219">
        <f>Z36*VLOOKUP($B36,Types!$B$2:$D$13,3,FALSE)*Conv!$I$5*1000*365</f>
        <v>2905311.1322219619</v>
      </c>
      <c r="AE36" s="219">
        <f>AA36*VLOOKUP($B36,Types!$B$2:$D$13,3,FALSE)*Conv!$I$5*1000*365</f>
        <v>2905311.1322219619</v>
      </c>
      <c r="AF36" s="219">
        <f>AB36-AB33</f>
        <v>484218.52203699341</v>
      </c>
      <c r="AG36" s="219">
        <f t="shared" ref="AG36:AI36" si="63">AC36-AC33</f>
        <v>484218.52203699341</v>
      </c>
      <c r="AH36" s="219">
        <f t="shared" si="63"/>
        <v>484218.52203699341</v>
      </c>
      <c r="AI36" s="219">
        <f t="shared" si="63"/>
        <v>484218.52203699341</v>
      </c>
      <c r="AJ36" s="219"/>
      <c r="AK36" s="219"/>
      <c r="AL36" s="219"/>
    </row>
    <row r="37" spans="1:38">
      <c r="A37" s="195" t="str">
        <f>A36</f>
        <v>Low Sulfur Fuel Oil</v>
      </c>
      <c r="B37" s="195" t="str">
        <f>VLOOKUP($A37,Types!$A$2:$C$13,2,FALSE)</f>
        <v>RFL</v>
      </c>
      <c r="C37" s="195">
        <v>5</v>
      </c>
      <c r="D37" s="195">
        <v>1</v>
      </c>
      <c r="E37" s="195" t="str">
        <f t="shared" si="1"/>
        <v>IMPRFLP15</v>
      </c>
      <c r="F37" s="195" t="str">
        <f>CONCATENATE("Imported ",VLOOKUP($A37,Types!$A$2:$C$13,3,FALSE),", PADD ",D37,", Step ",RIGHT(C37,1))</f>
        <v>Imported Low Sulfur Residual Fuel Oil, PADD 1, Step 5</v>
      </c>
      <c r="G37" s="195" t="str">
        <f>CONCATENATE(VLOOKUP($A37,Types!$A$2:$C$13,2,FALSE),"P",D37)</f>
        <v>RFLP1</v>
      </c>
      <c r="H37" s="239">
        <f>H33*$C$9</f>
        <v>51.908999999999999</v>
      </c>
      <c r="I37" s="239">
        <f t="shared" ref="I37:K37" si="64">I33*$C$9</f>
        <v>49.020400000000009</v>
      </c>
      <c r="J37" s="239">
        <f t="shared" si="64"/>
        <v>37.947000000000003</v>
      </c>
      <c r="K37" s="239">
        <f t="shared" si="64"/>
        <v>41.756</v>
      </c>
      <c r="L37" s="240">
        <f>H37*Conv!$J$20/10^6/VLOOKUP($B37,Types!$B$2:$D$13,3,FALSE)/Conv!$I$5</f>
        <v>12.008453684403932</v>
      </c>
      <c r="M37" s="240">
        <f>I37*Conv!$J$20/10^6/VLOOKUP($B37,Types!$B$2:$D$13,3,FALSE)/Conv!$I$5</f>
        <v>11.340214663949503</v>
      </c>
      <c r="N37" s="240">
        <f>M37*'Imported Price Trends'!$K$19</f>
        <v>12.2105405068453</v>
      </c>
      <c r="O37" s="240">
        <f>N37*'Imported Price Trends'!$L$19</f>
        <v>12.094441815497877</v>
      </c>
      <c r="P37" s="240">
        <f>O37*'Imported Price Trends'!$M$19</f>
        <v>13.050752189266612</v>
      </c>
      <c r="Q37" s="240">
        <f>P37*'Imported Price Trends'!$N$19</f>
        <v>13.800418395491983</v>
      </c>
      <c r="R37" s="240">
        <f>Q37*'Imported Price Trends'!$O$19</f>
        <v>14.826949298560061</v>
      </c>
      <c r="S37" s="240">
        <f>R37*'Imported Price Trends'!$O$19</f>
        <v>15.929837719549335</v>
      </c>
      <c r="T37" s="240">
        <f>S37*'Imported Price Trends'!$O$19</f>
        <v>17.114763439288279</v>
      </c>
      <c r="U37" s="240">
        <f>T37*'Imported Price Trends'!$O$19</f>
        <v>18.387828723661695</v>
      </c>
      <c r="V37" s="240">
        <f>U37*'Imported Price Trends'!$O$19</f>
        <v>19.755589749756925</v>
      </c>
      <c r="W37" s="219"/>
      <c r="X37" s="195">
        <f>X33*$E$9</f>
        <v>1999998</v>
      </c>
      <c r="Y37" s="195">
        <f t="shared" ref="Y37:AA37" si="65">Y33*$E$9</f>
        <v>1999998</v>
      </c>
      <c r="Z37" s="195">
        <f t="shared" si="65"/>
        <v>1999998</v>
      </c>
      <c r="AA37" s="195">
        <f t="shared" si="65"/>
        <v>1999998</v>
      </c>
      <c r="AB37" s="219">
        <f>X37*VLOOKUP($B37,Types!$B$2:$D$13,3,FALSE)*Conv!$I$5*1000*365</f>
        <v>4842185.2203699369</v>
      </c>
      <c r="AC37" s="219">
        <f>Y37*VLOOKUP($B37,Types!$B$2:$D$13,3,FALSE)*Conv!$I$5*1000*365</f>
        <v>4842185.2203699369</v>
      </c>
      <c r="AD37" s="219">
        <f>Z37*VLOOKUP($B37,Types!$B$2:$D$13,3,FALSE)*Conv!$I$5*1000*365</f>
        <v>4842185.2203699369</v>
      </c>
      <c r="AE37" s="219">
        <f>AA37*VLOOKUP($B37,Types!$B$2:$D$13,3,FALSE)*Conv!$I$5*1000*365</f>
        <v>4842185.2203699369</v>
      </c>
      <c r="AF37" s="219">
        <f>AB37-AB36</f>
        <v>1936874.088147975</v>
      </c>
      <c r="AG37" s="219">
        <f t="shared" ref="AG37:AI37" si="66">AC37-AC36</f>
        <v>1936874.088147975</v>
      </c>
      <c r="AH37" s="219">
        <f t="shared" si="66"/>
        <v>1936874.088147975</v>
      </c>
      <c r="AI37" s="219">
        <f t="shared" si="66"/>
        <v>1936874.088147975</v>
      </c>
      <c r="AJ37" s="219"/>
      <c r="AK37" s="219"/>
      <c r="AL37" s="219"/>
    </row>
    <row r="38" spans="1:38">
      <c r="A38" s="195" t="str">
        <f>'Agg prdcrv'!$A$11</f>
        <v>High Sulfur Fuel Oil</v>
      </c>
      <c r="B38" s="195" t="str">
        <f>VLOOKUP($A38,Types!$A$2:$C$13,2,FALSE)</f>
        <v>RFH</v>
      </c>
      <c r="C38" s="195">
        <v>3</v>
      </c>
      <c r="D38" s="195">
        <v>1</v>
      </c>
      <c r="E38" s="195" t="str">
        <f t="shared" si="1"/>
        <v>IMPRFHP13</v>
      </c>
      <c r="F38" s="195" t="str">
        <f>CONCATENATE("Imported ",VLOOKUP($A38,Types!$A$2:$C$13,3,FALSE),", PADD ",D38,", Step ",RIGHT(C38,1))</f>
        <v>Imported High Sulfur Residual Fuel Oil, PADD 1, Step 3</v>
      </c>
      <c r="G38" s="195" t="str">
        <f>CONCATENATE(VLOOKUP($A38,Types!$A$2:$C$13,2,FALSE),"P",D38)</f>
        <v>RFHP1</v>
      </c>
      <c r="H38" s="239">
        <f>SUMIFS('Agg prdcrv NYC'!$L$6:$L$100,'Agg prdcrv NYC'!$A$6:$A$100,'Imp Refined NYC'!$A38,'Agg prdcrv NYC'!$B$6:$B$100,H$11)*K4</f>
        <v>38.269000000000005</v>
      </c>
      <c r="I38" s="239">
        <f>SUMIFS('Agg prdcrv NYC'!$L$6:$L$100,'Agg prdcrv NYC'!$A$6:$A$100,'Imp Refined NYC'!$A38,'Agg prdcrv NYC'!$B$6:$B$100,I$11)*K4</f>
        <v>31.35</v>
      </c>
      <c r="J38" s="239">
        <f t="array" ref="J38">SUMIFS('Agg prdcrv NYC'!$L$6:$L$100,'Agg prdcrv NYC'!$A$6:$A$100,'Imp Refined NYC'!$A38,'Agg prdcrv NYC'!$B$6:$B$100,J$11)</f>
        <v>28.79</v>
      </c>
      <c r="K38" s="239">
        <f t="array" ref="K38">SUMIFS('Agg prdcrv NYC'!$L$6:$L$100,'Agg prdcrv NYC'!$A$6:$A$100,'Imp Refined NYC'!$A38,'Agg prdcrv NYC'!$B$6:$B$100,K$11)</f>
        <v>31.8</v>
      </c>
      <c r="L38" s="240">
        <f>H38*Conv!$J$20/10^6/VLOOKUP($B38,Types!$B$2:$D$13,3,FALSE)/Conv!$I$5</f>
        <v>8.8530219046495624</v>
      </c>
      <c r="M38" s="240">
        <f>I38*Conv!$J$20/10^6/VLOOKUP($B38,Types!$B$2:$D$13,3,FALSE)/Conv!$I$5</f>
        <v>7.2524036873386741</v>
      </c>
      <c r="N38" s="240">
        <f>M38*'Imported Price Trends'!$K$19</f>
        <v>7.8090028822612618</v>
      </c>
      <c r="O38" s="240">
        <f>N38*'Imported Price Trends'!$L$19</f>
        <v>7.7347543250536157</v>
      </c>
      <c r="P38" s="240">
        <f>O38*'Imported Price Trends'!$M$19</f>
        <v>8.3463431782178041</v>
      </c>
      <c r="Q38" s="240">
        <f>P38*'Imported Price Trends'!$N$19</f>
        <v>8.8257769560973269</v>
      </c>
      <c r="R38" s="240">
        <f>Q38*'Imported Price Trends'!$O$19</f>
        <v>9.482273920854535</v>
      </c>
      <c r="S38" s="240">
        <f>R38*'Imported Price Trends'!$O$19</f>
        <v>10.187603783483434</v>
      </c>
      <c r="T38" s="240">
        <f>S38*'Imported Price Trends'!$O$19</f>
        <v>10.945398932315673</v>
      </c>
      <c r="U38" s="240">
        <f>T38*'Imported Price Trends'!$O$19</f>
        <v>11.759561947409523</v>
      </c>
      <c r="V38" s="240">
        <f>U38*'Imported Price Trends'!$O$19</f>
        <v>12.634285698502648</v>
      </c>
      <c r="W38" s="219"/>
      <c r="X38" s="195">
        <f t="array" ref="X38">SUMIFS('Agg prdcrv NYC'!$D$6:$D$100,'Agg prdcrv NYC'!$A$6:$A$100,'Imp Refined NYC'!$A38,'Agg prdcrv NYC'!$B$6:$B$100,X$11)</f>
        <v>999999</v>
      </c>
      <c r="Y38" s="195">
        <f t="array" ref="Y38">SUMIFS('Agg prdcrv NYC'!$D$6:$D$100,'Agg prdcrv NYC'!$A$6:$A$100,'Imp Refined NYC'!$A38,'Agg prdcrv NYC'!$B$6:$B$100,Y$11)</f>
        <v>999999</v>
      </c>
      <c r="Z38" s="195">
        <f t="array" ref="Z38">SUMIFS('Agg prdcrv NYC'!$D$6:$D$100,'Agg prdcrv NYC'!$A$6:$A$100,'Imp Refined NYC'!$A38,'Agg prdcrv NYC'!$B$6:$B$100,Z$11)</f>
        <v>999999</v>
      </c>
      <c r="AA38" s="195">
        <f t="array" ref="AA38">SUMIFS('Agg prdcrv NYC'!$D$6:$D$100,'Agg prdcrv NYC'!$A$6:$A$100,'Imp Refined NYC'!$A38,'Agg prdcrv NYC'!$B$6:$B$100,AA$11)</f>
        <v>999999</v>
      </c>
      <c r="AB38" s="219">
        <f>X38*VLOOKUP($B38,Types!$B$2:$D$13,3,FALSE)*Conv!$I$5*1000*365</f>
        <v>2421092.6101849684</v>
      </c>
      <c r="AC38" s="219">
        <f>Y38*VLOOKUP($B38,Types!$B$2:$D$13,3,FALSE)*Conv!$I$5*1000*365</f>
        <v>2421092.6101849684</v>
      </c>
      <c r="AD38" s="219">
        <f>Z38*VLOOKUP($B38,Types!$B$2:$D$13,3,FALSE)*Conv!$I$5*1000*365</f>
        <v>2421092.6101849684</v>
      </c>
      <c r="AE38" s="219">
        <f>AA38*VLOOKUP($B38,Types!$B$2:$D$13,3,FALSE)*Conv!$I$5*1000*365</f>
        <v>2421092.6101849684</v>
      </c>
      <c r="AF38" s="219">
        <f>AB38-AB40</f>
        <v>242109.26101849694</v>
      </c>
      <c r="AG38" s="219">
        <f t="shared" ref="AG38:AI38" si="67">AC38-AC40</f>
        <v>242109.26101849694</v>
      </c>
      <c r="AH38" s="219">
        <f t="shared" si="67"/>
        <v>242109.26101849694</v>
      </c>
      <c r="AI38" s="219">
        <f t="shared" si="67"/>
        <v>242109.26101849694</v>
      </c>
      <c r="AJ38" s="219"/>
      <c r="AK38" s="219"/>
      <c r="AL38" s="219"/>
    </row>
    <row r="39" spans="1:38">
      <c r="A39" s="195" t="str">
        <f>A38</f>
        <v>High Sulfur Fuel Oil</v>
      </c>
      <c r="B39" s="195" t="str">
        <f>VLOOKUP($A39,Types!$A$2:$C$13,2,FALSE)</f>
        <v>RFH</v>
      </c>
      <c r="C39" s="195">
        <v>1</v>
      </c>
      <c r="D39" s="195">
        <v>1</v>
      </c>
      <c r="E39" s="195" t="str">
        <f t="shared" si="1"/>
        <v>IMPRFHP11</v>
      </c>
      <c r="F39" s="195" t="str">
        <f>CONCATENATE("Imported ",VLOOKUP($A39,Types!$A$2:$C$13,3,FALSE),", PADD ",D39,", Step ",RIGHT(C39,1))</f>
        <v>Imported High Sulfur Residual Fuel Oil, PADD 1, Step 1</v>
      </c>
      <c r="G39" s="195" t="str">
        <f>CONCATENATE(VLOOKUP($A39,Types!$A$2:$C$13,2,FALSE),"P",D39)</f>
        <v>RFHP1</v>
      </c>
      <c r="H39" s="239">
        <f>H38*$C$5</f>
        <v>36.355550000000001</v>
      </c>
      <c r="I39" s="239">
        <f t="shared" ref="I39:K39" si="68">I38*$C$5</f>
        <v>29.782499999999999</v>
      </c>
      <c r="J39" s="239">
        <f t="shared" si="68"/>
        <v>27.350499999999997</v>
      </c>
      <c r="K39" s="239">
        <f t="shared" si="68"/>
        <v>30.21</v>
      </c>
      <c r="L39" s="240">
        <f>H39*Conv!$J$20/10^6/VLOOKUP($B39,Types!$B$2:$D$13,3,FALSE)/Conv!$I$5</f>
        <v>8.410370809417083</v>
      </c>
      <c r="M39" s="240">
        <f>I39*Conv!$J$20/10^6/VLOOKUP($B39,Types!$B$2:$D$13,3,FALSE)/Conv!$I$5</f>
        <v>6.8897835029717411</v>
      </c>
      <c r="N39" s="240">
        <f>M39*'Imported Price Trends'!$K$19</f>
        <v>7.4185527381481995</v>
      </c>
      <c r="O39" s="240">
        <f>N39*'Imported Price Trends'!$L$19</f>
        <v>7.3480166088009353</v>
      </c>
      <c r="P39" s="240">
        <f>O39*'Imported Price Trends'!$M$19</f>
        <v>7.9290260193069155</v>
      </c>
      <c r="Q39" s="240">
        <f>P39*'Imported Price Trends'!$N$19</f>
        <v>8.3844881082924623</v>
      </c>
      <c r="R39" s="240">
        <f>Q39*'Imported Price Trends'!$O$19</f>
        <v>9.0081602248118102</v>
      </c>
      <c r="S39" s="240">
        <f>R39*'Imported Price Trends'!$O$19</f>
        <v>9.678223594309264</v>
      </c>
      <c r="T39" s="240">
        <f>S39*'Imported Price Trends'!$O$19</f>
        <v>10.398128985699891</v>
      </c>
      <c r="U39" s="240">
        <f>T39*'Imported Price Trends'!$O$19</f>
        <v>11.171583850039049</v>
      </c>
      <c r="V39" s="240">
        <f>U39*'Imported Price Trends'!$O$19</f>
        <v>12.002571413577517</v>
      </c>
      <c r="W39" s="219"/>
      <c r="X39" s="195">
        <f>X38*$E$5</f>
        <v>799999.20000000007</v>
      </c>
      <c r="Y39" s="195">
        <f t="shared" ref="Y39:AA39" si="69">Y38*$E$5</f>
        <v>799999.20000000007</v>
      </c>
      <c r="Z39" s="195">
        <f t="shared" si="69"/>
        <v>799999.20000000007</v>
      </c>
      <c r="AA39" s="195">
        <f t="shared" si="69"/>
        <v>799999.20000000007</v>
      </c>
      <c r="AB39" s="219">
        <f>X39*VLOOKUP($B39,Types!$B$2:$D$13,3,FALSE)*Conv!$I$5*1000*365</f>
        <v>1936874.088147975</v>
      </c>
      <c r="AC39" s="219">
        <f>Y39*VLOOKUP($B39,Types!$B$2:$D$13,3,FALSE)*Conv!$I$5*1000*365</f>
        <v>1936874.088147975</v>
      </c>
      <c r="AD39" s="219">
        <f>Z39*VLOOKUP($B39,Types!$B$2:$D$13,3,FALSE)*Conv!$I$5*1000*365</f>
        <v>1936874.088147975</v>
      </c>
      <c r="AE39" s="219">
        <f>AA39*VLOOKUP($B39,Types!$B$2:$D$13,3,FALSE)*Conv!$I$5*1000*365</f>
        <v>1936874.088147975</v>
      </c>
      <c r="AF39" s="219">
        <f>AB39</f>
        <v>1936874.088147975</v>
      </c>
      <c r="AG39" s="219">
        <f t="shared" ref="AG39:AI39" si="70">AC39</f>
        <v>1936874.088147975</v>
      </c>
      <c r="AH39" s="219">
        <f t="shared" si="70"/>
        <v>1936874.088147975</v>
      </c>
      <c r="AI39" s="219">
        <f t="shared" si="70"/>
        <v>1936874.088147975</v>
      </c>
      <c r="AJ39" s="219"/>
      <c r="AK39" s="219"/>
      <c r="AL39" s="219"/>
    </row>
    <row r="40" spans="1:38">
      <c r="A40" s="195" t="str">
        <f>A39</f>
        <v>High Sulfur Fuel Oil</v>
      </c>
      <c r="B40" s="195" t="str">
        <f>VLOOKUP($A40,Types!$A$2:$C$13,2,FALSE)</f>
        <v>RFH</v>
      </c>
      <c r="C40" s="195">
        <v>2</v>
      </c>
      <c r="D40" s="195">
        <v>1</v>
      </c>
      <c r="E40" s="195" t="str">
        <f t="shared" si="1"/>
        <v>IMPRFHP12</v>
      </c>
      <c r="F40" s="195" t="str">
        <f>CONCATENATE("Imported ",VLOOKUP($A40,Types!$A$2:$C$13,3,FALSE),", PADD ",D40,", Step ",RIGHT(C40,1))</f>
        <v>Imported High Sulfur Residual Fuel Oil, PADD 1, Step 2</v>
      </c>
      <c r="G40" s="195" t="str">
        <f>CONCATENATE(VLOOKUP($A40,Types!$A$2:$C$13,2,FALSE),"P",D40)</f>
        <v>RFHP1</v>
      </c>
      <c r="H40" s="239">
        <f>H38*$C$6</f>
        <v>37.503620000000005</v>
      </c>
      <c r="I40" s="239">
        <f t="shared" ref="I40:K40" si="71">I38*$C$6</f>
        <v>30.723000000000003</v>
      </c>
      <c r="J40" s="239">
        <f t="shared" si="71"/>
        <v>28.214199999999998</v>
      </c>
      <c r="K40" s="239">
        <f t="shared" si="71"/>
        <v>31.164000000000001</v>
      </c>
      <c r="L40" s="240">
        <f>H40*Conv!$J$20/10^6/VLOOKUP($B40,Types!$B$2:$D$13,3,FALSE)/Conv!$I$5</f>
        <v>8.6759614665565721</v>
      </c>
      <c r="M40" s="240">
        <f>I40*Conv!$J$20/10^6/VLOOKUP($B40,Types!$B$2:$D$13,3,FALSE)/Conv!$I$5</f>
        <v>7.1073556135919027</v>
      </c>
      <c r="N40" s="240">
        <f>M40*'Imported Price Trends'!$K$19</f>
        <v>7.652822824616039</v>
      </c>
      <c r="O40" s="240">
        <f>N40*'Imported Price Trends'!$L$19</f>
        <v>7.5800592385525452</v>
      </c>
      <c r="P40" s="240">
        <f>O40*'Imported Price Trends'!$M$19</f>
        <v>8.1794163146534515</v>
      </c>
      <c r="Q40" s="240">
        <f>P40*'Imported Price Trends'!$N$19</f>
        <v>8.649261416975385</v>
      </c>
      <c r="R40" s="240">
        <f>Q40*'Imported Price Trends'!$O$19</f>
        <v>9.292628442437449</v>
      </c>
      <c r="S40" s="240">
        <f>R40*'Imported Price Trends'!$O$19</f>
        <v>9.9838517078137698</v>
      </c>
      <c r="T40" s="240">
        <f>S40*'Imported Price Trends'!$O$19</f>
        <v>10.726490953669364</v>
      </c>
      <c r="U40" s="240">
        <f>T40*'Imported Price Trends'!$O$19</f>
        <v>11.524370708461337</v>
      </c>
      <c r="V40" s="240">
        <f>U40*'Imported Price Trends'!$O$19</f>
        <v>12.381599984532599</v>
      </c>
      <c r="W40" s="219"/>
      <c r="X40" s="195">
        <f>X38*$E$6</f>
        <v>899999.1</v>
      </c>
      <c r="Y40" s="195">
        <f t="shared" ref="Y40:AA40" si="72">Y38*$E$6</f>
        <v>899999.1</v>
      </c>
      <c r="Z40" s="195">
        <f t="shared" si="72"/>
        <v>899999.1</v>
      </c>
      <c r="AA40" s="195">
        <f t="shared" si="72"/>
        <v>899999.1</v>
      </c>
      <c r="AB40" s="219">
        <f>X40*VLOOKUP($B40,Types!$B$2:$D$13,3,FALSE)*Conv!$I$5*1000*365</f>
        <v>2178983.3491664715</v>
      </c>
      <c r="AC40" s="219">
        <f>Y40*VLOOKUP($B40,Types!$B$2:$D$13,3,FALSE)*Conv!$I$5*1000*365</f>
        <v>2178983.3491664715</v>
      </c>
      <c r="AD40" s="219">
        <f>Z40*VLOOKUP($B40,Types!$B$2:$D$13,3,FALSE)*Conv!$I$5*1000*365</f>
        <v>2178983.3491664715</v>
      </c>
      <c r="AE40" s="219">
        <f>AA40*VLOOKUP($B40,Types!$B$2:$D$13,3,FALSE)*Conv!$I$5*1000*365</f>
        <v>2178983.3491664715</v>
      </c>
      <c r="AF40" s="219">
        <f>AB40-AF39</f>
        <v>242109.26101849647</v>
      </c>
      <c r="AG40" s="219">
        <f t="shared" ref="AG40:AI40" si="73">AC40-AG39</f>
        <v>242109.26101849647</v>
      </c>
      <c r="AH40" s="219">
        <f t="shared" si="73"/>
        <v>242109.26101849647</v>
      </c>
      <c r="AI40" s="219">
        <f t="shared" si="73"/>
        <v>242109.26101849647</v>
      </c>
      <c r="AJ40" s="219"/>
      <c r="AK40" s="219"/>
      <c r="AL40" s="219"/>
    </row>
    <row r="41" spans="1:38">
      <c r="A41" s="195" t="str">
        <f>A40</f>
        <v>High Sulfur Fuel Oil</v>
      </c>
      <c r="B41" s="195" t="str">
        <f>VLOOKUP($A41,Types!$A$2:$C$13,2,FALSE)</f>
        <v>RFH</v>
      </c>
      <c r="C41" s="195">
        <v>4</v>
      </c>
      <c r="D41" s="195">
        <v>1</v>
      </c>
      <c r="E41" s="195" t="str">
        <f t="shared" si="1"/>
        <v>IMPRFHP14</v>
      </c>
      <c r="F41" s="195" t="str">
        <f>CONCATENATE("Imported ",VLOOKUP($A41,Types!$A$2:$C$13,3,FALSE),", PADD ",D41,", Step ",RIGHT(C41,1))</f>
        <v>Imported High Sulfur Residual Fuel Oil, PADD 1, Step 4</v>
      </c>
      <c r="G41" s="195" t="str">
        <f>CONCATENATE(VLOOKUP($A41,Types!$A$2:$C$13,2,FALSE),"P",D41)</f>
        <v>RFHP1</v>
      </c>
      <c r="H41" s="239">
        <f>H38*$C$8</f>
        <v>41.713210000000011</v>
      </c>
      <c r="I41" s="239">
        <f t="shared" ref="I41:K41" si="74">I38*$C$8</f>
        <v>34.171500000000002</v>
      </c>
      <c r="J41" s="239">
        <f t="shared" si="74"/>
        <v>31.3811</v>
      </c>
      <c r="K41" s="239">
        <f t="shared" si="74"/>
        <v>34.662000000000006</v>
      </c>
      <c r="L41" s="240">
        <f>H41*Conv!$J$20/10^6/VLOOKUP($B41,Types!$B$2:$D$13,3,FALSE)/Conv!$I$5</f>
        <v>9.6497938760680242</v>
      </c>
      <c r="M41" s="240">
        <f>I41*Conv!$J$20/10^6/VLOOKUP($B41,Types!$B$2:$D$13,3,FALSE)/Conv!$I$5</f>
        <v>7.9051200191991562</v>
      </c>
      <c r="N41" s="240">
        <f>M41*'Imported Price Trends'!$K$19</f>
        <v>8.511813141664776</v>
      </c>
      <c r="O41" s="240">
        <f>N41*'Imported Price Trends'!$L$19</f>
        <v>8.4308822143084416</v>
      </c>
      <c r="P41" s="240">
        <f>O41*'Imported Price Trends'!$M$19</f>
        <v>9.0975140642574086</v>
      </c>
      <c r="Q41" s="240">
        <f>P41*'Imported Price Trends'!$N$19</f>
        <v>9.6200968821460879</v>
      </c>
      <c r="R41" s="240">
        <f>Q41*'Imported Price Trends'!$O$19</f>
        <v>10.335678573731444</v>
      </c>
      <c r="S41" s="240">
        <f>R41*'Imported Price Trends'!$O$19</f>
        <v>11.104488123996944</v>
      </c>
      <c r="T41" s="240">
        <f>S41*'Imported Price Trends'!$O$19</f>
        <v>11.930484836224085</v>
      </c>
      <c r="U41" s="240">
        <f>T41*'Imported Price Trends'!$O$19</f>
        <v>12.817922522676382</v>
      </c>
      <c r="V41" s="240">
        <f>U41*'Imported Price Trends'!$O$19</f>
        <v>13.771371411367888</v>
      </c>
      <c r="W41" s="219"/>
      <c r="X41" s="195">
        <f>X38*$E$8</f>
        <v>1199998.8</v>
      </c>
      <c r="Y41" s="195">
        <f t="shared" ref="Y41:AA41" si="75">Y38*$E$8</f>
        <v>1199998.8</v>
      </c>
      <c r="Z41" s="195">
        <f t="shared" si="75"/>
        <v>1199998.8</v>
      </c>
      <c r="AA41" s="195">
        <f t="shared" si="75"/>
        <v>1199998.8</v>
      </c>
      <c r="AB41" s="219">
        <f>X41*VLOOKUP($B41,Types!$B$2:$D$13,3,FALSE)*Conv!$I$5*1000*365</f>
        <v>2905311.1322219619</v>
      </c>
      <c r="AC41" s="219">
        <f>Y41*VLOOKUP($B41,Types!$B$2:$D$13,3,FALSE)*Conv!$I$5*1000*365</f>
        <v>2905311.1322219619</v>
      </c>
      <c r="AD41" s="219">
        <f>Z41*VLOOKUP($B41,Types!$B$2:$D$13,3,FALSE)*Conv!$I$5*1000*365</f>
        <v>2905311.1322219619</v>
      </c>
      <c r="AE41" s="219">
        <f>AA41*VLOOKUP($B41,Types!$B$2:$D$13,3,FALSE)*Conv!$I$5*1000*365</f>
        <v>2905311.1322219619</v>
      </c>
      <c r="AF41" s="219">
        <f>AB41-AB38</f>
        <v>484218.52203699341</v>
      </c>
      <c r="AG41" s="219">
        <f t="shared" ref="AG41:AI41" si="76">AC41-AC38</f>
        <v>484218.52203699341</v>
      </c>
      <c r="AH41" s="219">
        <f t="shared" si="76"/>
        <v>484218.52203699341</v>
      </c>
      <c r="AI41" s="219">
        <f t="shared" si="76"/>
        <v>484218.52203699341</v>
      </c>
      <c r="AJ41" s="219"/>
      <c r="AK41" s="219"/>
      <c r="AL41" s="219"/>
    </row>
    <row r="42" spans="1:38">
      <c r="A42" s="195" t="str">
        <f>A41</f>
        <v>High Sulfur Fuel Oil</v>
      </c>
      <c r="B42" s="195" t="str">
        <f>VLOOKUP($A42,Types!$A$2:$C$13,2,FALSE)</f>
        <v>RFH</v>
      </c>
      <c r="C42" s="195">
        <v>5</v>
      </c>
      <c r="D42" s="195">
        <v>1</v>
      </c>
      <c r="E42" s="195" t="str">
        <f t="shared" si="1"/>
        <v>IMPRFHP15</v>
      </c>
      <c r="F42" s="195" t="str">
        <f>CONCATENATE("Imported ",VLOOKUP($A42,Types!$A$2:$C$13,3,FALSE),", PADD ",D42,", Step ",RIGHT(C42,1))</f>
        <v>Imported High Sulfur Residual Fuel Oil, PADD 1, Step 5</v>
      </c>
      <c r="G42" s="195" t="str">
        <f>CONCATENATE(VLOOKUP($A42,Types!$A$2:$C$13,2,FALSE),"P",D42)</f>
        <v>RFHP1</v>
      </c>
      <c r="H42" s="239">
        <f>H38*$C$9</f>
        <v>49.749700000000011</v>
      </c>
      <c r="I42" s="239">
        <f t="shared" ref="I42:K42" si="77">I38*$C$9</f>
        <v>40.755000000000003</v>
      </c>
      <c r="J42" s="239">
        <f t="shared" si="77"/>
        <v>37.427</v>
      </c>
      <c r="K42" s="239">
        <f t="shared" si="77"/>
        <v>41.34</v>
      </c>
      <c r="L42" s="240">
        <f>H42*Conv!$J$20/10^6/VLOOKUP($B42,Types!$B$2:$D$13,3,FALSE)/Conv!$I$5</f>
        <v>11.508928476044431</v>
      </c>
      <c r="M42" s="240">
        <f>I42*Conv!$J$20/10^6/VLOOKUP($B42,Types!$B$2:$D$13,3,FALSE)/Conv!$I$5</f>
        <v>9.4281247935402774</v>
      </c>
      <c r="N42" s="240">
        <f>M42*'Imported Price Trends'!$K$19</f>
        <v>10.151703746939642</v>
      </c>
      <c r="O42" s="240">
        <f>N42*'Imported Price Trends'!$L$19</f>
        <v>10.055180622569701</v>
      </c>
      <c r="P42" s="240">
        <f>O42*'Imported Price Trends'!$M$19</f>
        <v>10.850246131683146</v>
      </c>
      <c r="Q42" s="240">
        <f>P42*'Imported Price Trends'!$N$19</f>
        <v>11.473510042926526</v>
      </c>
      <c r="R42" s="240">
        <f>Q42*'Imported Price Trends'!$O$19</f>
        <v>12.326956097110896</v>
      </c>
      <c r="S42" s="240">
        <f>R42*'Imported Price Trends'!$O$19</f>
        <v>13.243884918528465</v>
      </c>
      <c r="T42" s="240">
        <f>S42*'Imported Price Trends'!$O$19</f>
        <v>14.229018612010377</v>
      </c>
      <c r="U42" s="240">
        <f>T42*'Imported Price Trends'!$O$19</f>
        <v>15.287430531632381</v>
      </c>
      <c r="V42" s="240">
        <f>U42*'Imported Price Trends'!$O$19</f>
        <v>16.424571408053442</v>
      </c>
      <c r="W42" s="219"/>
      <c r="X42" s="195">
        <f>X38*$E$9</f>
        <v>1999998</v>
      </c>
      <c r="Y42" s="195">
        <f t="shared" ref="Y42:AA42" si="78">Y38*$E$9</f>
        <v>1999998</v>
      </c>
      <c r="Z42" s="195">
        <f t="shared" si="78"/>
        <v>1999998</v>
      </c>
      <c r="AA42" s="195">
        <f t="shared" si="78"/>
        <v>1999998</v>
      </c>
      <c r="AB42" s="219">
        <f>X42*VLOOKUP($B42,Types!$B$2:$D$13,3,FALSE)*Conv!$I$5*1000*365</f>
        <v>4842185.2203699369</v>
      </c>
      <c r="AC42" s="219">
        <f>Y42*VLOOKUP($B42,Types!$B$2:$D$13,3,FALSE)*Conv!$I$5*1000*365</f>
        <v>4842185.2203699369</v>
      </c>
      <c r="AD42" s="219">
        <f>Z42*VLOOKUP($B42,Types!$B$2:$D$13,3,FALSE)*Conv!$I$5*1000*365</f>
        <v>4842185.2203699369</v>
      </c>
      <c r="AE42" s="219">
        <f>AA42*VLOOKUP($B42,Types!$B$2:$D$13,3,FALSE)*Conv!$I$5*1000*365</f>
        <v>4842185.2203699369</v>
      </c>
      <c r="AF42" s="219">
        <f>AB42-AB41</f>
        <v>1936874.088147975</v>
      </c>
      <c r="AG42" s="219">
        <f t="shared" ref="AG42:AI42" si="79">AC42-AC41</f>
        <v>1936874.088147975</v>
      </c>
      <c r="AH42" s="219">
        <f t="shared" si="79"/>
        <v>1936874.088147975</v>
      </c>
      <c r="AI42" s="219">
        <f t="shared" si="79"/>
        <v>1936874.088147975</v>
      </c>
      <c r="AJ42" s="219"/>
      <c r="AK42" s="219"/>
      <c r="AL42" s="219"/>
    </row>
    <row r="43" spans="1:38">
      <c r="A43" s="195" t="str">
        <f>'Agg prdcrv'!$A$12</f>
        <v>Jet Fuel</v>
      </c>
      <c r="B43" s="195" t="str">
        <f>VLOOKUP($A43,Types!$A$2:$C$13,2,FALSE)</f>
        <v>JTF</v>
      </c>
      <c r="C43" s="195">
        <v>3</v>
      </c>
      <c r="D43" s="195">
        <v>1</v>
      </c>
      <c r="E43" s="195" t="str">
        <f t="shared" si="1"/>
        <v>IMPJTFP13</v>
      </c>
      <c r="F43" s="195" t="str">
        <f>CONCATENATE("Imported ",VLOOKUP($A43,Types!$A$2:$C$13,3,FALSE),", PADD ",D43,", Step ",RIGHT(C43,1))</f>
        <v>Imported Jet Fuel, PADD 1, Step 3</v>
      </c>
      <c r="G43" s="195" t="str">
        <f>CONCATENATE(VLOOKUP($A43,Types!$A$2:$C$13,2,FALSE),"P",D43)</f>
        <v>JTFP1</v>
      </c>
      <c r="H43" s="239">
        <f>SUMIFS('Agg prdcrv NYC'!$L$6:$L$100,'Agg prdcrv NYC'!$A$6:$A$100,'Imp Refined NYC'!$A43,'Agg prdcrv NYC'!$B$6:$B$100,H$11)*K4</f>
        <v>48.422000000000004</v>
      </c>
      <c r="I43" s="239">
        <f>SUMIFS('Agg prdcrv NYC'!$L$6:$L$100,'Agg prdcrv NYC'!$A$6:$A$100,'Imp Refined NYC'!$A43,'Agg prdcrv NYC'!$B$6:$B$100,I$11)*K4</f>
        <v>43.384</v>
      </c>
      <c r="J43" s="239">
        <f t="array" ref="J43">SUMIFS('Agg prdcrv NYC'!$L$6:$L$100,'Agg prdcrv NYC'!$A$6:$A$100,'Imp Refined NYC'!$A43,'Agg prdcrv NYC'!$B$6:$B$100,J$11)</f>
        <v>35.21</v>
      </c>
      <c r="K43" s="239">
        <f t="array" ref="K43">SUMIFS('Agg prdcrv NYC'!$L$6:$L$100,'Agg prdcrv NYC'!$A$6:$A$100,'Imp Refined NYC'!$A43,'Agg prdcrv NYC'!$B$6:$B$100,K$11)</f>
        <v>38.340000000000003</v>
      </c>
      <c r="L43" s="240">
        <f>H43*Conv!$J$20/10^6/VLOOKUP($B43,Types!$B$2:$D$13,3,FALSE)/Conv!$I$5</f>
        <v>12.420742253539832</v>
      </c>
      <c r="M43" s="240">
        <f>I43*Conv!$J$20/10^6/VLOOKUP($B43,Types!$B$2:$D$13,3,FALSE)/Conv!$I$5</f>
        <v>11.128443309395978</v>
      </c>
      <c r="N43" s="240">
        <f>M43*'Imported Price Trends'!$K$19</f>
        <v>11.982516366245413</v>
      </c>
      <c r="O43" s="240">
        <f>N43*'Imported Price Trends'!$L$19</f>
        <v>11.868585744714753</v>
      </c>
      <c r="P43" s="240">
        <f>O43*'Imported Price Trends'!$M$19</f>
        <v>12.807037625568853</v>
      </c>
      <c r="Q43" s="240">
        <f>P43*'Imported Price Trends'!$N$19</f>
        <v>13.542704288341133</v>
      </c>
      <c r="R43" s="240">
        <f>Q43*'Imported Price Trends'!$O$19</f>
        <v>14.55006537441052</v>
      </c>
      <c r="S43" s="240">
        <f>R43*'Imported Price Trends'!$O$19</f>
        <v>15.632358049926228</v>
      </c>
      <c r="T43" s="240">
        <f>S43*'Imported Price Trends'!$O$19</f>
        <v>16.795156029393013</v>
      </c>
      <c r="U43" s="240">
        <f>T43*'Imported Price Trends'!$O$19</f>
        <v>18.044447622730061</v>
      </c>
      <c r="V43" s="240">
        <f>U43*'Imported Price Trends'!$O$19</f>
        <v>19.386666574553757</v>
      </c>
      <c r="W43" s="219"/>
      <c r="X43" s="195">
        <f t="array" ref="X43">SUMIFS('Agg prdcrv NYC'!$D$6:$D$100,'Agg prdcrv NYC'!$A$6:$A$100,'Imp Refined NYC'!$A43,'Agg prdcrv NYC'!$B$6:$B$100,X$11)</f>
        <v>999999</v>
      </c>
      <c r="Y43" s="195">
        <f t="array" ref="Y43">SUMIFS('Agg prdcrv NYC'!$D$6:$D$100,'Agg prdcrv NYC'!$A$6:$A$100,'Imp Refined NYC'!$A43,'Agg prdcrv NYC'!$B$6:$B$100,Y$11)</f>
        <v>999999</v>
      </c>
      <c r="Z43" s="195">
        <f t="array" ref="Z43">SUMIFS('Agg prdcrv NYC'!$D$6:$D$100,'Agg prdcrv NYC'!$A$6:$A$100,'Imp Refined NYC'!$A43,'Agg prdcrv NYC'!$B$6:$B$100,Z$11)</f>
        <v>999999</v>
      </c>
      <c r="AA43" s="195">
        <f t="array" ref="AA43">SUMIFS('Agg prdcrv NYC'!$D$6:$D$100,'Agg prdcrv NYC'!$A$6:$A$100,'Imp Refined NYC'!$A43,'Agg prdcrv NYC'!$B$6:$B$100,AA$11)</f>
        <v>999999</v>
      </c>
      <c r="AB43" s="219">
        <f>X43*VLOOKUP($B43,Types!$B$2:$D$13,3,FALSE)*Conv!$I$5*1000*365</f>
        <v>2183488.9613088551</v>
      </c>
      <c r="AC43" s="219">
        <f>Y43*VLOOKUP($B43,Types!$B$2:$D$13,3,FALSE)*Conv!$I$5*1000*365</f>
        <v>2183488.9613088551</v>
      </c>
      <c r="AD43" s="219">
        <f>Z43*VLOOKUP($B43,Types!$B$2:$D$13,3,FALSE)*Conv!$I$5*1000*365</f>
        <v>2183488.9613088551</v>
      </c>
      <c r="AE43" s="219">
        <f>AA43*VLOOKUP($B43,Types!$B$2:$D$13,3,FALSE)*Conv!$I$5*1000*365</f>
        <v>2183488.9613088551</v>
      </c>
      <c r="AF43" s="219">
        <f>AB43-AB45</f>
        <v>218348.8961308857</v>
      </c>
      <c r="AG43" s="219">
        <f t="shared" ref="AG43:AI43" si="80">AC43-AC45</f>
        <v>218348.8961308857</v>
      </c>
      <c r="AH43" s="219">
        <f t="shared" si="80"/>
        <v>218348.8961308857</v>
      </c>
      <c r="AI43" s="219">
        <f t="shared" si="80"/>
        <v>218348.8961308857</v>
      </c>
      <c r="AJ43" s="219"/>
      <c r="AK43" s="219"/>
      <c r="AL43" s="219"/>
    </row>
    <row r="44" spans="1:38">
      <c r="A44" s="195" t="str">
        <f>A43</f>
        <v>Jet Fuel</v>
      </c>
      <c r="B44" s="195" t="str">
        <f>VLOOKUP($A44,Types!$A$2:$C$13,2,FALSE)</f>
        <v>JTF</v>
      </c>
      <c r="C44" s="195">
        <v>1</v>
      </c>
      <c r="D44" s="195">
        <v>1</v>
      </c>
      <c r="E44" s="195" t="str">
        <f t="shared" si="1"/>
        <v>IMPJTFP11</v>
      </c>
      <c r="F44" s="195" t="str">
        <f>CONCATENATE("Imported ",VLOOKUP($A44,Types!$A$2:$C$13,3,FALSE),", PADD ",D44,", Step ",RIGHT(C44,1))</f>
        <v>Imported Jet Fuel, PADD 1, Step 1</v>
      </c>
      <c r="G44" s="195" t="str">
        <f>CONCATENATE(VLOOKUP($A44,Types!$A$2:$C$13,2,FALSE),"P",D44)</f>
        <v>JTFP1</v>
      </c>
      <c r="H44" s="239">
        <f>H43*$C$5</f>
        <v>46.000900000000001</v>
      </c>
      <c r="I44" s="239">
        <f t="shared" ref="I44:K44" si="81">I43*$C$5</f>
        <v>41.214799999999997</v>
      </c>
      <c r="J44" s="239">
        <f t="shared" si="81"/>
        <v>33.4495</v>
      </c>
      <c r="K44" s="239">
        <f t="shared" si="81"/>
        <v>36.423000000000002</v>
      </c>
      <c r="L44" s="240">
        <f>H44*Conv!$J$20/10^6/VLOOKUP($B44,Types!$B$2:$D$13,3,FALSE)/Conv!$I$5</f>
        <v>11.799705140862839</v>
      </c>
      <c r="M44" s="240">
        <f>I44*Conv!$J$20/10^6/VLOOKUP($B44,Types!$B$2:$D$13,3,FALSE)/Conv!$I$5</f>
        <v>10.572021143926175</v>
      </c>
      <c r="N44" s="240">
        <f>M44*'Imported Price Trends'!$K$19</f>
        <v>11.383390547933139</v>
      </c>
      <c r="O44" s="240">
        <f>N44*'Imported Price Trends'!$L$19</f>
        <v>11.275156457479014</v>
      </c>
      <c r="P44" s="240">
        <f>O44*'Imported Price Trends'!$M$19</f>
        <v>12.166685744290408</v>
      </c>
      <c r="Q44" s="240">
        <f>P44*'Imported Price Trends'!$N$19</f>
        <v>12.865569073924073</v>
      </c>
      <c r="R44" s="240">
        <f>Q44*'Imported Price Trends'!$O$19</f>
        <v>13.822562105689991</v>
      </c>
      <c r="S44" s="240">
        <f>R44*'Imported Price Trends'!$O$19</f>
        <v>14.850740147429914</v>
      </c>
      <c r="T44" s="240">
        <f>S44*'Imported Price Trends'!$O$19</f>
        <v>15.955398227923359</v>
      </c>
      <c r="U44" s="240">
        <f>T44*'Imported Price Trends'!$O$19</f>
        <v>17.142225241593554</v>
      </c>
      <c r="V44" s="240">
        <f>U44*'Imported Price Trends'!$O$19</f>
        <v>18.417333245826068</v>
      </c>
      <c r="W44" s="219"/>
      <c r="X44" s="195">
        <f>X43*$E$5</f>
        <v>799999.20000000007</v>
      </c>
      <c r="Y44" s="195">
        <f t="shared" ref="Y44:AA44" si="82">Y43*$E$5</f>
        <v>799999.20000000007</v>
      </c>
      <c r="Z44" s="195">
        <f t="shared" si="82"/>
        <v>799999.20000000007</v>
      </c>
      <c r="AA44" s="195">
        <f t="shared" si="82"/>
        <v>799999.20000000007</v>
      </c>
      <c r="AB44" s="219">
        <f>X44*VLOOKUP($B44,Types!$B$2:$D$13,3,FALSE)*Conv!$I$5*1000*365</f>
        <v>1746791.1690470844</v>
      </c>
      <c r="AC44" s="219">
        <f>Y44*VLOOKUP($B44,Types!$B$2:$D$13,3,FALSE)*Conv!$I$5*1000*365</f>
        <v>1746791.1690470844</v>
      </c>
      <c r="AD44" s="219">
        <f>Z44*VLOOKUP($B44,Types!$B$2:$D$13,3,FALSE)*Conv!$I$5*1000*365</f>
        <v>1746791.1690470844</v>
      </c>
      <c r="AE44" s="219">
        <f>AA44*VLOOKUP($B44,Types!$B$2:$D$13,3,FALSE)*Conv!$I$5*1000*365</f>
        <v>1746791.1690470844</v>
      </c>
      <c r="AF44" s="219">
        <f>AB44</f>
        <v>1746791.1690470844</v>
      </c>
      <c r="AG44" s="219">
        <f t="shared" ref="AG44:AI44" si="83">AC44</f>
        <v>1746791.1690470844</v>
      </c>
      <c r="AH44" s="219">
        <f t="shared" si="83"/>
        <v>1746791.1690470844</v>
      </c>
      <c r="AI44" s="219">
        <f t="shared" si="83"/>
        <v>1746791.1690470844</v>
      </c>
      <c r="AJ44" s="219"/>
      <c r="AK44" s="219"/>
      <c r="AL44" s="219"/>
    </row>
    <row r="45" spans="1:38">
      <c r="A45" s="195" t="str">
        <f>A44</f>
        <v>Jet Fuel</v>
      </c>
      <c r="B45" s="195" t="str">
        <f>VLOOKUP($A45,Types!$A$2:$C$13,2,FALSE)</f>
        <v>JTF</v>
      </c>
      <c r="C45" s="195">
        <v>2</v>
      </c>
      <c r="D45" s="195">
        <v>1</v>
      </c>
      <c r="E45" s="195" t="str">
        <f t="shared" si="1"/>
        <v>IMPJTFP12</v>
      </c>
      <c r="F45" s="195" t="str">
        <f>CONCATENATE("Imported ",VLOOKUP($A45,Types!$A$2:$C$13,3,FALSE),", PADD ",D45,", Step ",RIGHT(C45,1))</f>
        <v>Imported Jet Fuel, PADD 1, Step 2</v>
      </c>
      <c r="G45" s="195" t="str">
        <f>CONCATENATE(VLOOKUP($A45,Types!$A$2:$C$13,2,FALSE),"P",D45)</f>
        <v>JTFP1</v>
      </c>
      <c r="H45" s="239">
        <f>H43*$C$6</f>
        <v>47.453560000000003</v>
      </c>
      <c r="I45" s="239">
        <f t="shared" ref="I45:K45" si="84">I43*$C$6</f>
        <v>42.51632</v>
      </c>
      <c r="J45" s="239">
        <f t="shared" si="84"/>
        <v>34.505800000000001</v>
      </c>
      <c r="K45" s="239">
        <f t="shared" si="84"/>
        <v>37.5732</v>
      </c>
      <c r="L45" s="240">
        <f>H45*Conv!$J$20/10^6/VLOOKUP($B45,Types!$B$2:$D$13,3,FALSE)/Conv!$I$5</f>
        <v>12.172327408469036</v>
      </c>
      <c r="M45" s="240">
        <f>I45*Conv!$J$20/10^6/VLOOKUP($B45,Types!$B$2:$D$13,3,FALSE)/Conv!$I$5</f>
        <v>10.905874443208058</v>
      </c>
      <c r="N45" s="240">
        <f>M45*'Imported Price Trends'!$K$19</f>
        <v>11.742866038920504</v>
      </c>
      <c r="O45" s="240">
        <f>N45*'Imported Price Trends'!$L$19</f>
        <v>11.631214029820457</v>
      </c>
      <c r="P45" s="240">
        <f>O45*'Imported Price Trends'!$M$19</f>
        <v>12.550896873057473</v>
      </c>
      <c r="Q45" s="240">
        <f>P45*'Imported Price Trends'!$N$19</f>
        <v>13.271850202574306</v>
      </c>
      <c r="R45" s="240">
        <f>Q45*'Imported Price Trends'!$O$19</f>
        <v>14.259064066922306</v>
      </c>
      <c r="S45" s="240">
        <f>R45*'Imported Price Trends'!$O$19</f>
        <v>15.3197108889277</v>
      </c>
      <c r="T45" s="240">
        <f>S45*'Imported Price Trends'!$O$19</f>
        <v>16.459252908805148</v>
      </c>
      <c r="U45" s="240">
        <f>T45*'Imported Price Trends'!$O$19</f>
        <v>17.683558670275456</v>
      </c>
      <c r="V45" s="240">
        <f>U45*'Imported Price Trends'!$O$19</f>
        <v>18.99893324306268</v>
      </c>
      <c r="W45" s="219"/>
      <c r="X45" s="195">
        <f>X43*$E$6</f>
        <v>899999.1</v>
      </c>
      <c r="Y45" s="195">
        <f t="shared" ref="Y45:AA45" si="85">Y43*$E$6</f>
        <v>899999.1</v>
      </c>
      <c r="Z45" s="195">
        <f t="shared" si="85"/>
        <v>899999.1</v>
      </c>
      <c r="AA45" s="195">
        <f t="shared" si="85"/>
        <v>899999.1</v>
      </c>
      <c r="AB45" s="219">
        <f>X45*VLOOKUP($B45,Types!$B$2:$D$13,3,FALSE)*Conv!$I$5*1000*365</f>
        <v>1965140.0651779694</v>
      </c>
      <c r="AC45" s="219">
        <f>Y45*VLOOKUP($B45,Types!$B$2:$D$13,3,FALSE)*Conv!$I$5*1000*365</f>
        <v>1965140.0651779694</v>
      </c>
      <c r="AD45" s="219">
        <f>Z45*VLOOKUP($B45,Types!$B$2:$D$13,3,FALSE)*Conv!$I$5*1000*365</f>
        <v>1965140.0651779694</v>
      </c>
      <c r="AE45" s="219">
        <f>AA45*VLOOKUP($B45,Types!$B$2:$D$13,3,FALSE)*Conv!$I$5*1000*365</f>
        <v>1965140.0651779694</v>
      </c>
      <c r="AF45" s="219">
        <f>AB45-AF44</f>
        <v>218348.896130885</v>
      </c>
      <c r="AG45" s="219">
        <f t="shared" ref="AG45:AI45" si="86">AC45-AG44</f>
        <v>218348.896130885</v>
      </c>
      <c r="AH45" s="219">
        <f t="shared" si="86"/>
        <v>218348.896130885</v>
      </c>
      <c r="AI45" s="219">
        <f t="shared" si="86"/>
        <v>218348.896130885</v>
      </c>
      <c r="AJ45" s="219"/>
      <c r="AK45" s="219"/>
      <c r="AL45" s="219"/>
    </row>
    <row r="46" spans="1:38">
      <c r="A46" s="195" t="str">
        <f>A45</f>
        <v>Jet Fuel</v>
      </c>
      <c r="B46" s="195" t="str">
        <f>VLOOKUP($A46,Types!$A$2:$C$13,2,FALSE)</f>
        <v>JTF</v>
      </c>
      <c r="C46" s="195">
        <v>4</v>
      </c>
      <c r="D46" s="195">
        <v>1</v>
      </c>
      <c r="E46" s="195" t="str">
        <f t="shared" si="1"/>
        <v>IMPJTFP14</v>
      </c>
      <c r="F46" s="195" t="str">
        <f>CONCATENATE("Imported ",VLOOKUP($A46,Types!$A$2:$C$13,3,FALSE),", PADD ",D46,", Step ",RIGHT(C46,1))</f>
        <v>Imported Jet Fuel, PADD 1, Step 4</v>
      </c>
      <c r="G46" s="195" t="str">
        <f>CONCATENATE(VLOOKUP($A46,Types!$A$2:$C$13,2,FALSE),"P",D46)</f>
        <v>JTFP1</v>
      </c>
      <c r="H46" s="239">
        <f>H43*$C$8</f>
        <v>52.779980000000009</v>
      </c>
      <c r="I46" s="239">
        <f t="shared" ref="I46:K46" si="87">I43*$C$8</f>
        <v>47.288560000000004</v>
      </c>
      <c r="J46" s="239">
        <f t="shared" si="87"/>
        <v>38.378900000000002</v>
      </c>
      <c r="K46" s="239">
        <f t="shared" si="87"/>
        <v>41.790600000000005</v>
      </c>
      <c r="L46" s="240">
        <f>H46*Conv!$J$20/10^6/VLOOKUP($B46,Types!$B$2:$D$13,3,FALSE)/Conv!$I$5</f>
        <v>13.538609056358418</v>
      </c>
      <c r="M46" s="240">
        <f>I46*Conv!$J$20/10^6/VLOOKUP($B46,Types!$B$2:$D$13,3,FALSE)/Conv!$I$5</f>
        <v>12.130003207241614</v>
      </c>
      <c r="N46" s="240">
        <f>M46*'Imported Price Trends'!$K$19</f>
        <v>13.060942839207499</v>
      </c>
      <c r="O46" s="240">
        <f>N46*'Imported Price Trends'!$L$19</f>
        <v>12.93675846173908</v>
      </c>
      <c r="P46" s="240">
        <f>O46*'Imported Price Trends'!$M$19</f>
        <v>13.959671011870048</v>
      </c>
      <c r="Q46" s="240">
        <f>P46*'Imported Price Trends'!$N$19</f>
        <v>14.761547674291833</v>
      </c>
      <c r="R46" s="240">
        <f>Q46*'Imported Price Trends'!$O$19</f>
        <v>15.859571258107465</v>
      </c>
      <c r="S46" s="240">
        <f>R46*'Imported Price Trends'!$O$19</f>
        <v>17.039270274419586</v>
      </c>
      <c r="T46" s="240">
        <f>S46*'Imported Price Trends'!$O$19</f>
        <v>18.306720072038381</v>
      </c>
      <c r="U46" s="240">
        <f>T46*'Imported Price Trends'!$O$19</f>
        <v>19.668447908775764</v>
      </c>
      <c r="V46" s="240">
        <f>U46*'Imported Price Trends'!$O$19</f>
        <v>21.131466566263594</v>
      </c>
      <c r="W46" s="219"/>
      <c r="X46" s="195">
        <f>X43*$E$8</f>
        <v>1199998.8</v>
      </c>
      <c r="Y46" s="195">
        <f t="shared" ref="Y46:AA46" si="88">Y43*$E$8</f>
        <v>1199998.8</v>
      </c>
      <c r="Z46" s="195">
        <f t="shared" si="88"/>
        <v>1199998.8</v>
      </c>
      <c r="AA46" s="195">
        <f t="shared" si="88"/>
        <v>1199998.8</v>
      </c>
      <c r="AB46" s="219">
        <f>X46*VLOOKUP($B46,Types!$B$2:$D$13,3,FALSE)*Conv!$I$5*1000*365</f>
        <v>2620186.753570626</v>
      </c>
      <c r="AC46" s="219">
        <f>Y46*VLOOKUP($B46,Types!$B$2:$D$13,3,FALSE)*Conv!$I$5*1000*365</f>
        <v>2620186.753570626</v>
      </c>
      <c r="AD46" s="219">
        <f>Z46*VLOOKUP($B46,Types!$B$2:$D$13,3,FALSE)*Conv!$I$5*1000*365</f>
        <v>2620186.753570626</v>
      </c>
      <c r="AE46" s="219">
        <f>AA46*VLOOKUP($B46,Types!$B$2:$D$13,3,FALSE)*Conv!$I$5*1000*365</f>
        <v>2620186.753570626</v>
      </c>
      <c r="AF46" s="219">
        <f>AB46-AB43</f>
        <v>436697.79226177093</v>
      </c>
      <c r="AG46" s="219">
        <f t="shared" ref="AG46:AI46" si="89">AC46-AC43</f>
        <v>436697.79226177093</v>
      </c>
      <c r="AH46" s="219">
        <f t="shared" si="89"/>
        <v>436697.79226177093</v>
      </c>
      <c r="AI46" s="219">
        <f t="shared" si="89"/>
        <v>436697.79226177093</v>
      </c>
      <c r="AJ46" s="219"/>
      <c r="AK46" s="219"/>
      <c r="AL46" s="219"/>
    </row>
    <row r="47" spans="1:38">
      <c r="A47" s="195" t="str">
        <f>A46</f>
        <v>Jet Fuel</v>
      </c>
      <c r="B47" s="195" t="str">
        <f>VLOOKUP($A47,Types!$A$2:$C$13,2,FALSE)</f>
        <v>JTF</v>
      </c>
      <c r="C47" s="195">
        <v>5</v>
      </c>
      <c r="D47" s="195">
        <v>1</v>
      </c>
      <c r="E47" s="195" t="str">
        <f t="shared" si="1"/>
        <v>IMPJTFP15</v>
      </c>
      <c r="F47" s="195" t="str">
        <f>CONCATENATE("Imported ",VLOOKUP($A47,Types!$A$2:$C$13,3,FALSE),", PADD ",D47,", Step ",RIGHT(C47,1))</f>
        <v>Imported Jet Fuel, PADD 1, Step 5</v>
      </c>
      <c r="G47" s="195" t="str">
        <f>CONCATENATE(VLOOKUP($A47,Types!$A$2:$C$13,2,FALSE),"P",D47)</f>
        <v>JTFP1</v>
      </c>
      <c r="H47" s="239">
        <f>H43*$C$9</f>
        <v>62.948600000000006</v>
      </c>
      <c r="I47" s="239">
        <f t="shared" ref="I47:K47" si="90">I43*$C$9</f>
        <v>56.3992</v>
      </c>
      <c r="J47" s="239">
        <f t="shared" si="90"/>
        <v>45.773000000000003</v>
      </c>
      <c r="K47" s="239">
        <f t="shared" si="90"/>
        <v>49.842000000000006</v>
      </c>
      <c r="L47" s="240">
        <f>H47*Conv!$J$20/10^6/VLOOKUP($B47,Types!$B$2:$D$13,3,FALSE)/Conv!$I$5</f>
        <v>16.146964929601779</v>
      </c>
      <c r="M47" s="240">
        <f>I47*Conv!$J$20/10^6/VLOOKUP($B47,Types!$B$2:$D$13,3,FALSE)/Conv!$I$5</f>
        <v>14.466976302214771</v>
      </c>
      <c r="N47" s="240">
        <f>M47*'Imported Price Trends'!$K$19</f>
        <v>15.577271276119037</v>
      </c>
      <c r="O47" s="240">
        <f>N47*'Imported Price Trends'!$L$19</f>
        <v>15.42916146812918</v>
      </c>
      <c r="P47" s="240">
        <f>O47*'Imported Price Trends'!$M$19</f>
        <v>16.649148913239507</v>
      </c>
      <c r="Q47" s="240">
        <f>P47*'Imported Price Trends'!$N$19</f>
        <v>17.605515574843469</v>
      </c>
      <c r="R47" s="240">
        <f>Q47*'Imported Price Trends'!$O$19</f>
        <v>18.915084986733675</v>
      </c>
      <c r="S47" s="240">
        <f>R47*'Imported Price Trends'!$O$19</f>
        <v>20.322065464904096</v>
      </c>
      <c r="T47" s="240">
        <f>S47*'Imported Price Trends'!$O$19</f>
        <v>21.833702838210915</v>
      </c>
      <c r="U47" s="240">
        <f>T47*'Imported Price Trends'!$O$19</f>
        <v>23.457781909549077</v>
      </c>
      <c r="V47" s="240">
        <f>U47*'Imported Price Trends'!$O$19</f>
        <v>25.202666546919883</v>
      </c>
      <c r="W47" s="219"/>
      <c r="X47" s="195">
        <f>X43*$E$9</f>
        <v>1999998</v>
      </c>
      <c r="Y47" s="195">
        <f t="shared" ref="Y47:AA47" si="91">Y43*$E$9</f>
        <v>1999998</v>
      </c>
      <c r="Z47" s="195">
        <f t="shared" si="91"/>
        <v>1999998</v>
      </c>
      <c r="AA47" s="195">
        <f t="shared" si="91"/>
        <v>1999998</v>
      </c>
      <c r="AB47" s="219">
        <f>X47*VLOOKUP($B47,Types!$B$2:$D$13,3,FALSE)*Conv!$I$5*1000*365</f>
        <v>4366977.9226177102</v>
      </c>
      <c r="AC47" s="219">
        <f>Y47*VLOOKUP($B47,Types!$B$2:$D$13,3,FALSE)*Conv!$I$5*1000*365</f>
        <v>4366977.9226177102</v>
      </c>
      <c r="AD47" s="219">
        <f>Z47*VLOOKUP($B47,Types!$B$2:$D$13,3,FALSE)*Conv!$I$5*1000*365</f>
        <v>4366977.9226177102</v>
      </c>
      <c r="AE47" s="219">
        <f>AA47*VLOOKUP($B47,Types!$B$2:$D$13,3,FALSE)*Conv!$I$5*1000*365</f>
        <v>4366977.9226177102</v>
      </c>
      <c r="AF47" s="219">
        <f>AB47-AB46</f>
        <v>1746791.1690470842</v>
      </c>
      <c r="AG47" s="219">
        <f t="shared" ref="AG47:AI47" si="92">AC47-AC46</f>
        <v>1746791.1690470842</v>
      </c>
      <c r="AH47" s="219">
        <f t="shared" si="92"/>
        <v>1746791.1690470842</v>
      </c>
      <c r="AI47" s="219">
        <f t="shared" si="92"/>
        <v>1746791.1690470842</v>
      </c>
      <c r="AJ47" s="219"/>
      <c r="AK47" s="219"/>
      <c r="AL47" s="219"/>
    </row>
    <row r="48" spans="1:38">
      <c r="A48" s="195" t="str">
        <f>'Agg prdcrv'!$A$13</f>
        <v>LPG</v>
      </c>
      <c r="B48" s="195" t="str">
        <f>VLOOKUP($A48,Types!$A$2:$C$13,2,FALSE)</f>
        <v>LPG</v>
      </c>
      <c r="C48" s="195">
        <v>3</v>
      </c>
      <c r="D48" s="195">
        <v>1</v>
      </c>
      <c r="E48" s="195" t="str">
        <f t="shared" si="1"/>
        <v>IMPLPGP13</v>
      </c>
      <c r="F48" s="195" t="str">
        <f>CONCATENATE("Imported ",VLOOKUP($A48,Types!$A$2:$C$13,3,FALSE),", PADD ",D48,", Step ",RIGHT(C48,1))</f>
        <v>Imported LPG, PADD 1, Step 3</v>
      </c>
      <c r="G48" s="195" t="str">
        <f>CONCATENATE(VLOOKUP($A48,Types!$A$2:$C$13,2,FALSE),"P",D48)</f>
        <v>LPGP1</v>
      </c>
      <c r="H48" s="239">
        <f>SUMIFS('Agg prdcrv NYC'!$L$6:$L$100,'Agg prdcrv NYC'!$A$6:$A$100,'Imp Refined NYC'!$A48,'Agg prdcrv NYC'!$B$6:$B$100,H$11)*K4</f>
        <v>31.691000000000003</v>
      </c>
      <c r="I48" s="239">
        <f>SUMIFS('Agg prdcrv NYC'!$L$6:$L$100,'Agg prdcrv NYC'!$A$6:$A$100,'Imp Refined NYC'!$A48,'Agg prdcrv NYC'!$B$6:$B$100,I$11)*K4</f>
        <v>31.35</v>
      </c>
      <c r="J48" s="239">
        <f t="array" ref="J48">SUMIFS('Agg prdcrv NYC'!$L$6:$L$100,'Agg prdcrv NYC'!$A$6:$A$100,'Imp Refined NYC'!$A48,'Agg prdcrv NYC'!$B$6:$B$100,J$11)</f>
        <v>28.5</v>
      </c>
      <c r="K48" s="239">
        <f t="array" ref="K48">SUMIFS('Agg prdcrv NYC'!$L$6:$L$100,'Agg prdcrv NYC'!$A$6:$A$100,'Imp Refined NYC'!$A48,'Agg prdcrv NYC'!$B$6:$B$100,K$11)</f>
        <v>28.5</v>
      </c>
      <c r="L48" s="240">
        <f>H48*Conv!$J$20/10^6/VLOOKUP($B48,Types!$B$2:$D$13,3,FALSE)/Conv!$I$5</f>
        <v>12.958059311858628</v>
      </c>
      <c r="M48" s="240">
        <f>I48*Conv!$J$20/10^6/VLOOKUP($B48,Types!$B$2:$D$13,3,FALSE)/Conv!$I$5</f>
        <v>12.818628614646682</v>
      </c>
      <c r="N48" s="240">
        <f>M48*'Imported Price Trends'!$K$19</f>
        <v>13.80241808287224</v>
      </c>
      <c r="O48" s="240">
        <f>N48*'Imported Price Trends'!$L$19</f>
        <v>13.671183705822909</v>
      </c>
      <c r="P48" s="240">
        <f>O48*'Imported Price Trends'!$M$19</f>
        <v>14.7521674336394</v>
      </c>
      <c r="Q48" s="240">
        <f>P48*'Imported Price Trends'!$N$19</f>
        <v>15.599566973006439</v>
      </c>
      <c r="R48" s="240">
        <f>Q48*'Imported Price Trends'!$O$19</f>
        <v>16.759925819626783</v>
      </c>
      <c r="S48" s="240">
        <f>R48*'Imported Price Trends'!$O$19</f>
        <v>18.006596847557031</v>
      </c>
      <c r="T48" s="240">
        <f>S48*'Imported Price Trends'!$O$19</f>
        <v>19.346000305726356</v>
      </c>
      <c r="U48" s="240">
        <f>T48*'Imported Price Trends'!$O$19</f>
        <v>20.785034007130641</v>
      </c>
      <c r="V48" s="240">
        <f>U48*'Imported Price Trends'!$O$19</f>
        <v>22.331108851978119</v>
      </c>
      <c r="W48" s="219"/>
      <c r="X48" s="195">
        <f t="array" ref="X48">SUMIFS('Agg prdcrv NYC'!$D$6:$D$100,'Agg prdcrv NYC'!$A$6:$A$100,'Imp Refined NYC'!$A48,'Agg prdcrv NYC'!$B$6:$B$100,X$11)</f>
        <v>999999</v>
      </c>
      <c r="Y48" s="195">
        <f t="array" ref="Y48">SUMIFS('Agg prdcrv NYC'!$D$6:$D$100,'Agg prdcrv NYC'!$A$6:$A$100,'Imp Refined NYC'!$A48,'Agg prdcrv NYC'!$B$6:$B$100,Y$11)</f>
        <v>999999</v>
      </c>
      <c r="Z48" s="195">
        <f t="array" ref="Z48">SUMIFS('Agg prdcrv NYC'!$D$6:$D$100,'Agg prdcrv NYC'!$A$6:$A$100,'Imp Refined NYC'!$A48,'Agg prdcrv NYC'!$B$6:$B$100,Z$11)</f>
        <v>999999</v>
      </c>
      <c r="AA48" s="195">
        <f t="array" ref="AA48">SUMIFS('Agg prdcrv NYC'!$D$6:$D$100,'Agg prdcrv NYC'!$A$6:$A$100,'Imp Refined NYC'!$A48,'Agg prdcrv NYC'!$B$6:$B$100,AA$11)</f>
        <v>999999</v>
      </c>
      <c r="AB48" s="219">
        <f>X48*VLOOKUP($B48,Types!$B$2:$D$13,3,FALSE)*Conv!$I$5*1000*365</f>
        <v>1369783.1102955197</v>
      </c>
      <c r="AC48" s="219">
        <f>Y48*VLOOKUP($B48,Types!$B$2:$D$13,3,FALSE)*Conv!$I$5*1000*365</f>
        <v>1369783.1102955197</v>
      </c>
      <c r="AD48" s="219">
        <f>Z48*VLOOKUP($B48,Types!$B$2:$D$13,3,FALSE)*Conv!$I$5*1000*365</f>
        <v>1369783.1102955197</v>
      </c>
      <c r="AE48" s="219">
        <f>AA48*VLOOKUP($B48,Types!$B$2:$D$13,3,FALSE)*Conv!$I$5*1000*365</f>
        <v>1369783.1102955197</v>
      </c>
      <c r="AF48" s="219">
        <f>AB48-AB50</f>
        <v>136978.31102955202</v>
      </c>
      <c r="AG48" s="219">
        <f t="shared" ref="AG48:AI48" si="93">AC48-AC50</f>
        <v>136978.31102955202</v>
      </c>
      <c r="AH48" s="219">
        <f t="shared" si="93"/>
        <v>136978.31102955202</v>
      </c>
      <c r="AI48" s="219">
        <f t="shared" si="93"/>
        <v>136978.31102955202</v>
      </c>
      <c r="AJ48" s="219"/>
      <c r="AK48" s="219"/>
      <c r="AL48" s="219"/>
    </row>
    <row r="49" spans="1:38">
      <c r="A49" s="195" t="str">
        <f>A48</f>
        <v>LPG</v>
      </c>
      <c r="B49" s="195" t="str">
        <f>VLOOKUP($A49,Types!$A$2:$C$13,2,FALSE)</f>
        <v>LPG</v>
      </c>
      <c r="C49" s="195">
        <v>1</v>
      </c>
      <c r="D49" s="195">
        <v>1</v>
      </c>
      <c r="E49" s="195" t="str">
        <f t="shared" si="1"/>
        <v>IMPLPGP11</v>
      </c>
      <c r="F49" s="195" t="str">
        <f>CONCATENATE("Imported ",VLOOKUP($A49,Types!$A$2:$C$13,3,FALSE),", PADD ",D49,", Step ",RIGHT(C49,1))</f>
        <v>Imported LPG, PADD 1, Step 1</v>
      </c>
      <c r="G49" s="195" t="str">
        <f>CONCATENATE(VLOOKUP($A49,Types!$A$2:$C$13,2,FALSE),"P",D49)</f>
        <v>LPGP1</v>
      </c>
      <c r="H49" s="239">
        <f>H48*$C$5</f>
        <v>30.106450000000002</v>
      </c>
      <c r="I49" s="239">
        <f t="shared" ref="I49:K49" si="94">I48*$C$5</f>
        <v>29.782499999999999</v>
      </c>
      <c r="J49" s="239">
        <f t="shared" si="94"/>
        <v>27.074999999999999</v>
      </c>
      <c r="K49" s="239">
        <f t="shared" si="94"/>
        <v>27.074999999999999</v>
      </c>
      <c r="L49" s="240">
        <f>H49*Conv!$J$20/10^6/VLOOKUP($B49,Types!$B$2:$D$13,3,FALSE)/Conv!$I$5</f>
        <v>12.310156346265698</v>
      </c>
      <c r="M49" s="240">
        <f>I49*Conv!$J$20/10^6/VLOOKUP($B49,Types!$B$2:$D$13,3,FALSE)/Conv!$I$5</f>
        <v>12.177697183914349</v>
      </c>
      <c r="N49" s="240">
        <f>M49*'Imported Price Trends'!$K$19</f>
        <v>13.112297178728628</v>
      </c>
      <c r="O49" s="240">
        <f>N49*'Imported Price Trends'!$L$19</f>
        <v>12.987624520531762</v>
      </c>
      <c r="P49" s="240">
        <f>O49*'Imported Price Trends'!$M$19</f>
        <v>14.014559061957428</v>
      </c>
      <c r="Q49" s="240">
        <f>P49*'Imported Price Trends'!$N$19</f>
        <v>14.819588624356115</v>
      </c>
      <c r="R49" s="240">
        <f>Q49*'Imported Price Trends'!$O$19</f>
        <v>15.921929528645443</v>
      </c>
      <c r="S49" s="240">
        <f>R49*'Imported Price Trends'!$O$19</f>
        <v>17.106267005179177</v>
      </c>
      <c r="T49" s="240">
        <f>S49*'Imported Price Trends'!$O$19</f>
        <v>18.378700290440037</v>
      </c>
      <c r="U49" s="240">
        <f>T49*'Imported Price Trends'!$O$19</f>
        <v>19.745782306774107</v>
      </c>
      <c r="V49" s="240">
        <f>U49*'Imported Price Trends'!$O$19</f>
        <v>21.21455340937921</v>
      </c>
      <c r="W49" s="219"/>
      <c r="X49" s="195">
        <f>X48*$E$5</f>
        <v>799999.20000000007</v>
      </c>
      <c r="Y49" s="195">
        <f t="shared" ref="Y49:AA49" si="95">Y48*$E$5</f>
        <v>799999.20000000007</v>
      </c>
      <c r="Z49" s="195">
        <f t="shared" si="95"/>
        <v>799999.20000000007</v>
      </c>
      <c r="AA49" s="195">
        <f t="shared" si="95"/>
        <v>799999.20000000007</v>
      </c>
      <c r="AB49" s="219">
        <f>X49*VLOOKUP($B49,Types!$B$2:$D$13,3,FALSE)*Conv!$I$5*1000*365</f>
        <v>1095826.4882364159</v>
      </c>
      <c r="AC49" s="219">
        <f>Y49*VLOOKUP($B49,Types!$B$2:$D$13,3,FALSE)*Conv!$I$5*1000*365</f>
        <v>1095826.4882364159</v>
      </c>
      <c r="AD49" s="219">
        <f>Z49*VLOOKUP($B49,Types!$B$2:$D$13,3,FALSE)*Conv!$I$5*1000*365</f>
        <v>1095826.4882364159</v>
      </c>
      <c r="AE49" s="219">
        <f>AA49*VLOOKUP($B49,Types!$B$2:$D$13,3,FALSE)*Conv!$I$5*1000*365</f>
        <v>1095826.4882364159</v>
      </c>
      <c r="AF49" s="219">
        <f>AB49</f>
        <v>1095826.4882364159</v>
      </c>
      <c r="AG49" s="219">
        <f t="shared" ref="AG49:AI49" si="96">AC49</f>
        <v>1095826.4882364159</v>
      </c>
      <c r="AH49" s="219">
        <f t="shared" si="96"/>
        <v>1095826.4882364159</v>
      </c>
      <c r="AI49" s="219">
        <f t="shared" si="96"/>
        <v>1095826.4882364159</v>
      </c>
      <c r="AJ49" s="219"/>
      <c r="AK49" s="219"/>
      <c r="AL49" s="219"/>
    </row>
    <row r="50" spans="1:38">
      <c r="A50" s="195" t="str">
        <f>A49</f>
        <v>LPG</v>
      </c>
      <c r="B50" s="195" t="str">
        <f>VLOOKUP($A50,Types!$A$2:$C$13,2,FALSE)</f>
        <v>LPG</v>
      </c>
      <c r="C50" s="195">
        <v>2</v>
      </c>
      <c r="D50" s="195">
        <v>1</v>
      </c>
      <c r="E50" s="195" t="str">
        <f t="shared" si="1"/>
        <v>IMPLPGP12</v>
      </c>
      <c r="F50" s="195" t="str">
        <f>CONCATENATE("Imported ",VLOOKUP($A50,Types!$A$2:$C$13,3,FALSE),", PADD ",D50,", Step ",RIGHT(C50,1))</f>
        <v>Imported LPG, PADD 1, Step 2</v>
      </c>
      <c r="G50" s="195" t="str">
        <f>CONCATENATE(VLOOKUP($A50,Types!$A$2:$C$13,2,FALSE),"P",D50)</f>
        <v>LPGP1</v>
      </c>
      <c r="H50" s="239">
        <f>H48*$C$6</f>
        <v>31.057180000000002</v>
      </c>
      <c r="I50" s="239">
        <f t="shared" ref="I50:K50" si="97">I48*$C$6</f>
        <v>30.723000000000003</v>
      </c>
      <c r="J50" s="239">
        <f t="shared" si="97"/>
        <v>27.93</v>
      </c>
      <c r="K50" s="239">
        <f t="shared" si="97"/>
        <v>27.93</v>
      </c>
      <c r="L50" s="240">
        <f>H50*Conv!$J$20/10^6/VLOOKUP($B50,Types!$B$2:$D$13,3,FALSE)/Conv!$I$5</f>
        <v>12.698898125621454</v>
      </c>
      <c r="M50" s="240">
        <f>I50*Conv!$J$20/10^6/VLOOKUP($B50,Types!$B$2:$D$13,3,FALSE)/Conv!$I$5</f>
        <v>12.56225604235375</v>
      </c>
      <c r="N50" s="240">
        <f>M50*'Imported Price Trends'!$K$19</f>
        <v>13.526369721214797</v>
      </c>
      <c r="O50" s="240">
        <f>N50*'Imported Price Trends'!$L$19</f>
        <v>13.397760031706452</v>
      </c>
      <c r="P50" s="240">
        <f>O50*'Imported Price Trends'!$M$19</f>
        <v>14.457124084966614</v>
      </c>
      <c r="Q50" s="240">
        <f>P50*'Imported Price Trends'!$N$19</f>
        <v>15.287575633546313</v>
      </c>
      <c r="R50" s="240">
        <f>Q50*'Imported Price Trends'!$O$19</f>
        <v>16.424727303234249</v>
      </c>
      <c r="S50" s="240">
        <f>R50*'Imported Price Trends'!$O$19</f>
        <v>17.646464910605893</v>
      </c>
      <c r="T50" s="240">
        <f>S50*'Imported Price Trends'!$O$19</f>
        <v>18.959080299611831</v>
      </c>
      <c r="U50" s="240">
        <f>T50*'Imported Price Trends'!$O$19</f>
        <v>20.369333326988031</v>
      </c>
      <c r="V50" s="240">
        <f>U50*'Imported Price Trends'!$O$19</f>
        <v>21.884486674938557</v>
      </c>
      <c r="W50" s="219"/>
      <c r="X50" s="195">
        <f>X48*$E$6</f>
        <v>899999.1</v>
      </c>
      <c r="Y50" s="195">
        <f t="shared" ref="Y50:AA50" si="98">Y48*$E$6</f>
        <v>899999.1</v>
      </c>
      <c r="Z50" s="195">
        <f t="shared" si="98"/>
        <v>899999.1</v>
      </c>
      <c r="AA50" s="195">
        <f t="shared" si="98"/>
        <v>899999.1</v>
      </c>
      <c r="AB50" s="219">
        <f>X50*VLOOKUP($B50,Types!$B$2:$D$13,3,FALSE)*Conv!$I$5*1000*365</f>
        <v>1232804.7992659677</v>
      </c>
      <c r="AC50" s="219">
        <f>Y50*VLOOKUP($B50,Types!$B$2:$D$13,3,FALSE)*Conv!$I$5*1000*365</f>
        <v>1232804.7992659677</v>
      </c>
      <c r="AD50" s="219">
        <f>Z50*VLOOKUP($B50,Types!$B$2:$D$13,3,FALSE)*Conv!$I$5*1000*365</f>
        <v>1232804.7992659677</v>
      </c>
      <c r="AE50" s="219">
        <f>AA50*VLOOKUP($B50,Types!$B$2:$D$13,3,FALSE)*Conv!$I$5*1000*365</f>
        <v>1232804.7992659677</v>
      </c>
      <c r="AF50" s="219">
        <f>AB50-AF49</f>
        <v>136978.31102955178</v>
      </c>
      <c r="AG50" s="219">
        <f t="shared" ref="AG50:AI50" si="99">AC50-AG49</f>
        <v>136978.31102955178</v>
      </c>
      <c r="AH50" s="219">
        <f t="shared" si="99"/>
        <v>136978.31102955178</v>
      </c>
      <c r="AI50" s="219">
        <f t="shared" si="99"/>
        <v>136978.31102955178</v>
      </c>
      <c r="AJ50" s="219"/>
      <c r="AK50" s="219"/>
      <c r="AL50" s="219"/>
    </row>
    <row r="51" spans="1:38">
      <c r="A51" s="195" t="str">
        <f>A50</f>
        <v>LPG</v>
      </c>
      <c r="B51" s="195" t="str">
        <f>VLOOKUP($A51,Types!$A$2:$C$13,2,FALSE)</f>
        <v>LPG</v>
      </c>
      <c r="C51" s="195">
        <v>4</v>
      </c>
      <c r="D51" s="195">
        <v>1</v>
      </c>
      <c r="E51" s="195" t="str">
        <f t="shared" si="1"/>
        <v>IMPLPGP14</v>
      </c>
      <c r="F51" s="195" t="str">
        <f>CONCATENATE("Imported ",VLOOKUP($A51,Types!$A$2:$C$13,3,FALSE),", PADD ",D51,", Step ",RIGHT(C51,1))</f>
        <v>Imported LPG, PADD 1, Step 4</v>
      </c>
      <c r="G51" s="195" t="str">
        <f>CONCATENATE(VLOOKUP($A51,Types!$A$2:$C$13,2,FALSE),"P",D51)</f>
        <v>LPGP1</v>
      </c>
      <c r="H51" s="239">
        <f>H48*$C$8</f>
        <v>34.543190000000003</v>
      </c>
      <c r="I51" s="239">
        <f t="shared" ref="I51:K51" si="100">I48*$C$8</f>
        <v>34.171500000000002</v>
      </c>
      <c r="J51" s="239">
        <f t="shared" si="100"/>
        <v>31.065000000000001</v>
      </c>
      <c r="K51" s="239">
        <f t="shared" si="100"/>
        <v>31.065000000000001</v>
      </c>
      <c r="L51" s="240">
        <f>H51*Conv!$J$20/10^6/VLOOKUP($B51,Types!$B$2:$D$13,3,FALSE)/Conv!$I$5</f>
        <v>14.124284649925904</v>
      </c>
      <c r="M51" s="240">
        <f>I51*Conv!$J$20/10^6/VLOOKUP($B51,Types!$B$2:$D$13,3,FALSE)/Conv!$I$5</f>
        <v>13.972305189964885</v>
      </c>
      <c r="N51" s="240">
        <f>M51*'Imported Price Trends'!$K$19</f>
        <v>15.044635710330743</v>
      </c>
      <c r="O51" s="240">
        <f>N51*'Imported Price Trends'!$L$19</f>
        <v>14.901590239346971</v>
      </c>
      <c r="P51" s="240">
        <f>O51*'Imported Price Trends'!$M$19</f>
        <v>16.079862502666945</v>
      </c>
      <c r="Q51" s="240">
        <f>P51*'Imported Price Trends'!$N$19</f>
        <v>17.003528000577017</v>
      </c>
      <c r="R51" s="240">
        <f>Q51*'Imported Price Trends'!$O$19</f>
        <v>18.268319143393192</v>
      </c>
      <c r="S51" s="240">
        <f>R51*'Imported Price Trends'!$O$19</f>
        <v>19.627190563837161</v>
      </c>
      <c r="T51" s="240">
        <f>S51*'Imported Price Trends'!$O$19</f>
        <v>21.087140333241724</v>
      </c>
      <c r="U51" s="240">
        <f>T51*'Imported Price Trends'!$O$19</f>
        <v>22.655687067772394</v>
      </c>
      <c r="V51" s="240">
        <f>U51*'Imported Price Trends'!$O$19</f>
        <v>24.340908648656143</v>
      </c>
      <c r="W51" s="219"/>
      <c r="X51" s="195">
        <f>X48*$E$8</f>
        <v>1199998.8</v>
      </c>
      <c r="Y51" s="195">
        <f t="shared" ref="Y51:AA51" si="101">Y48*$E$8</f>
        <v>1199998.8</v>
      </c>
      <c r="Z51" s="195">
        <f t="shared" si="101"/>
        <v>1199998.8</v>
      </c>
      <c r="AA51" s="195">
        <f t="shared" si="101"/>
        <v>1199998.8</v>
      </c>
      <c r="AB51" s="219">
        <f>X51*VLOOKUP($B51,Types!$B$2:$D$13,3,FALSE)*Conv!$I$5*1000*365</f>
        <v>1643739.7323546242</v>
      </c>
      <c r="AC51" s="219">
        <f>Y51*VLOOKUP($B51,Types!$B$2:$D$13,3,FALSE)*Conv!$I$5*1000*365</f>
        <v>1643739.7323546242</v>
      </c>
      <c r="AD51" s="219">
        <f>Z51*VLOOKUP($B51,Types!$B$2:$D$13,3,FALSE)*Conv!$I$5*1000*365</f>
        <v>1643739.7323546242</v>
      </c>
      <c r="AE51" s="219">
        <f>AA51*VLOOKUP($B51,Types!$B$2:$D$13,3,FALSE)*Conv!$I$5*1000*365</f>
        <v>1643739.7323546242</v>
      </c>
      <c r="AF51" s="219">
        <f>AB51-AB48</f>
        <v>273956.6220591045</v>
      </c>
      <c r="AG51" s="219">
        <f t="shared" ref="AG51:AI51" si="102">AC51-AC48</f>
        <v>273956.6220591045</v>
      </c>
      <c r="AH51" s="219">
        <f t="shared" si="102"/>
        <v>273956.6220591045</v>
      </c>
      <c r="AI51" s="219">
        <f t="shared" si="102"/>
        <v>273956.6220591045</v>
      </c>
      <c r="AJ51" s="219"/>
      <c r="AK51" s="219"/>
      <c r="AL51" s="219"/>
    </row>
    <row r="52" spans="1:38">
      <c r="A52" s="195" t="str">
        <f>A51</f>
        <v>LPG</v>
      </c>
      <c r="B52" s="195" t="str">
        <f>VLOOKUP($A52,Types!$A$2:$C$13,2,FALSE)</f>
        <v>LPG</v>
      </c>
      <c r="C52" s="195">
        <v>5</v>
      </c>
      <c r="D52" s="195">
        <v>1</v>
      </c>
      <c r="E52" s="195" t="str">
        <f t="shared" si="1"/>
        <v>IMPLPGP15</v>
      </c>
      <c r="F52" s="195" t="str">
        <f>CONCATENATE("Imported ",VLOOKUP($A52,Types!$A$2:$C$13,3,FALSE),", PADD ",D52,", Step ",RIGHT(C52,1))</f>
        <v>Imported LPG, PADD 1, Step 5</v>
      </c>
      <c r="G52" s="195" t="str">
        <f>CONCATENATE(VLOOKUP($A52,Types!$A$2:$C$13,2,FALSE),"P",D52)</f>
        <v>LPGP1</v>
      </c>
      <c r="H52" s="239">
        <f>H48*$C$9</f>
        <v>41.198300000000003</v>
      </c>
      <c r="I52" s="239">
        <f t="shared" ref="I52:K52" si="103">I48*$C$9</f>
        <v>40.755000000000003</v>
      </c>
      <c r="J52" s="239">
        <f t="shared" si="103"/>
        <v>37.050000000000004</v>
      </c>
      <c r="K52" s="239">
        <f t="shared" si="103"/>
        <v>37.050000000000004</v>
      </c>
      <c r="L52" s="240">
        <f>H52*Conv!$J$20/10^6/VLOOKUP($B52,Types!$B$2:$D$13,3,FALSE)/Conv!$I$5</f>
        <v>16.845477105416219</v>
      </c>
      <c r="M52" s="240">
        <f>I52*Conv!$J$20/10^6/VLOOKUP($B52,Types!$B$2:$D$13,3,FALSE)/Conv!$I$5</f>
        <v>16.664217199040689</v>
      </c>
      <c r="N52" s="240">
        <f>M52*'Imported Price Trends'!$K$19</f>
        <v>17.943143507733915</v>
      </c>
      <c r="O52" s="240">
        <f>N52*'Imported Price Trends'!$L$19</f>
        <v>17.772538817569782</v>
      </c>
      <c r="P52" s="240">
        <f>O52*'Imported Price Trends'!$M$19</f>
        <v>19.177817663731219</v>
      </c>
      <c r="Q52" s="240">
        <f>P52*'Imported Price Trends'!$N$19</f>
        <v>20.279437064908372</v>
      </c>
      <c r="R52" s="240">
        <f>Q52*'Imported Price Trends'!$O$19</f>
        <v>21.787903565514821</v>
      </c>
      <c r="S52" s="240">
        <f>R52*'Imported Price Trends'!$O$19</f>
        <v>23.408575901824143</v>
      </c>
      <c r="T52" s="240">
        <f>S52*'Imported Price Trends'!$O$19</f>
        <v>25.149800397444267</v>
      </c>
      <c r="U52" s="240">
        <f>T52*'Imported Price Trends'!$O$19</f>
        <v>27.020544209269836</v>
      </c>
      <c r="V52" s="240">
        <f>U52*'Imported Price Trends'!$O$19</f>
        <v>29.030441507571556</v>
      </c>
      <c r="W52" s="219"/>
      <c r="X52" s="195">
        <f>X48*$E$9</f>
        <v>1999998</v>
      </c>
      <c r="Y52" s="195">
        <f t="shared" ref="Y52:AA52" si="104">Y48*$E$9</f>
        <v>1999998</v>
      </c>
      <c r="Z52" s="195">
        <f t="shared" si="104"/>
        <v>1999998</v>
      </c>
      <c r="AA52" s="195">
        <f t="shared" si="104"/>
        <v>1999998</v>
      </c>
      <c r="AB52" s="219">
        <f>X52*VLOOKUP($B52,Types!$B$2:$D$13,3,FALSE)*Conv!$I$5*1000*365</f>
        <v>2739566.2205910394</v>
      </c>
      <c r="AC52" s="219">
        <f>Y52*VLOOKUP($B52,Types!$B$2:$D$13,3,FALSE)*Conv!$I$5*1000*365</f>
        <v>2739566.2205910394</v>
      </c>
      <c r="AD52" s="219">
        <f>Z52*VLOOKUP($B52,Types!$B$2:$D$13,3,FALSE)*Conv!$I$5*1000*365</f>
        <v>2739566.2205910394</v>
      </c>
      <c r="AE52" s="219">
        <f>AA52*VLOOKUP($B52,Types!$B$2:$D$13,3,FALSE)*Conv!$I$5*1000*365</f>
        <v>2739566.2205910394</v>
      </c>
      <c r="AF52" s="219">
        <f>AB52-AB51</f>
        <v>1095826.4882364152</v>
      </c>
      <c r="AG52" s="219">
        <f t="shared" ref="AG52:AI52" si="105">AC52-AC51</f>
        <v>1095826.4882364152</v>
      </c>
      <c r="AH52" s="219">
        <f t="shared" si="105"/>
        <v>1095826.4882364152</v>
      </c>
      <c r="AI52" s="219">
        <f t="shared" si="105"/>
        <v>1095826.4882364152</v>
      </c>
      <c r="AJ52" s="219"/>
      <c r="AK52" s="219"/>
      <c r="AL52" s="219"/>
    </row>
    <row r="53" spans="1:38">
      <c r="A53" s="195" t="str">
        <f>'Agg prdcrv'!$A$14</f>
        <v>Petchem. Feedstocks</v>
      </c>
      <c r="B53" s="195" t="str">
        <f>VLOOKUP($A53,Types!$A$2:$C$13,2,FALSE)</f>
        <v>PFS</v>
      </c>
      <c r="C53" s="195">
        <v>3</v>
      </c>
      <c r="D53" s="195">
        <v>1</v>
      </c>
      <c r="E53" s="195" t="str">
        <f t="shared" si="1"/>
        <v>IMPPFSP13</v>
      </c>
      <c r="F53" s="195" t="str">
        <f>CONCATENATE("Imported ",VLOOKUP($A53,Types!$A$2:$C$13,3,FALSE),", PADD ",D53,", Step ",RIGHT(C53,1))</f>
        <v>Imported Petrochemical Feedstocks, PADD 1, Step 3</v>
      </c>
      <c r="G53" s="195" t="str">
        <f>CONCATENATE(VLOOKUP($A53,Types!$A$2:$C$13,2,FALSE),"P",D53)</f>
        <v>PFSP1</v>
      </c>
      <c r="H53" s="239">
        <f>SUMIFS('Agg prdcrv NYC'!$L$6:$L$100,'Agg prdcrv NYC'!$A$6:$A$100,'Imp Refined NYC'!$A53,'Agg prdcrv NYC'!$B$6:$B$100,H$11)*K4</f>
        <v>41.228000000000002</v>
      </c>
      <c r="I53" s="239">
        <f>SUMIFS('Agg prdcrv NYC'!$L$6:$L$100,'Agg prdcrv NYC'!$A$6:$A$100,'Imp Refined NYC'!$A53,'Agg prdcrv NYC'!$B$6:$B$100,I$11)*K4</f>
        <v>25.278000000000002</v>
      </c>
      <c r="J53" s="239">
        <f t="array" ref="J53">SUMIFS('Agg prdcrv NYC'!$L$6:$L$100,'Agg prdcrv NYC'!$A$6:$A$100,'Imp Refined NYC'!$A53,'Agg prdcrv NYC'!$B$6:$B$100,J$11)</f>
        <v>21.68</v>
      </c>
      <c r="K53" s="239">
        <f t="array" ref="K53">SUMIFS('Agg prdcrv NYC'!$L$6:$L$100,'Agg prdcrv NYC'!$A$6:$A$100,'Imp Refined NYC'!$A53,'Agg prdcrv NYC'!$B$6:$B$100,K$11)</f>
        <v>22.5</v>
      </c>
      <c r="L53" s="240">
        <f>H53*Conv!$J$20/10^6/VLOOKUP($B53,Types!$B$2:$D$13,3,FALSE)/Conv!$I$5</f>
        <v>10.536383437662659</v>
      </c>
      <c r="M53" s="240">
        <f>I53*Conv!$J$20/10^6/VLOOKUP($B53,Types!$B$2:$D$13,3,FALSE)/Conv!$I$5</f>
        <v>6.4601411792285983</v>
      </c>
      <c r="N53" s="240">
        <f>M53*'Imported Price Trends'!$K$19</f>
        <v>6.9559367160548682</v>
      </c>
      <c r="O53" s="240">
        <f>N53*'Imported Price Trends'!$L$19</f>
        <v>6.8897991728906867</v>
      </c>
      <c r="P53" s="240">
        <f>O53*'Imported Price Trends'!$M$19</f>
        <v>7.4345772224056059</v>
      </c>
      <c r="Q53" s="240">
        <f>P53*'Imported Price Trends'!$N$19</f>
        <v>7.8616369979941858</v>
      </c>
      <c r="R53" s="240">
        <f>Q53*'Imported Price Trends'!$O$19</f>
        <v>8.4464173355077641</v>
      </c>
      <c r="S53" s="240">
        <f>R53*'Imported Price Trends'!$O$19</f>
        <v>9.0746959982721442</v>
      </c>
      <c r="T53" s="240">
        <f>S53*'Imported Price Trends'!$O$19</f>
        <v>9.7497085675445039</v>
      </c>
      <c r="U53" s="240">
        <f>T53*'Imported Price Trends'!$O$19</f>
        <v>10.474931300194505</v>
      </c>
      <c r="V53" s="240">
        <f>U53*'Imported Price Trends'!$O$19</f>
        <v>11.254099031129188</v>
      </c>
      <c r="W53" s="219"/>
      <c r="X53" s="195">
        <f t="array" ref="X53">SUMIFS('Agg prdcrv NYC'!$D$6:$D$100,'Agg prdcrv NYC'!$A$6:$A$100,'Imp Refined NYC'!$A53,'Agg prdcrv NYC'!$B$6:$B$100,X$11)</f>
        <v>999999</v>
      </c>
      <c r="Y53" s="195">
        <f t="array" ref="Y53">SUMIFS('Agg prdcrv NYC'!$D$6:$D$100,'Agg prdcrv NYC'!$A$6:$A$100,'Imp Refined NYC'!$A53,'Agg prdcrv NYC'!$B$6:$B$100,Y$11)</f>
        <v>999999</v>
      </c>
      <c r="Z53" s="195">
        <f t="array" ref="Z53">SUMIFS('Agg prdcrv NYC'!$D$6:$D$100,'Agg prdcrv NYC'!$A$6:$A$100,'Imp Refined NYC'!$A53,'Agg prdcrv NYC'!$B$6:$B$100,Z$11)</f>
        <v>999999</v>
      </c>
      <c r="AA53" s="195">
        <f t="array" ref="AA53">SUMIFS('Agg prdcrv NYC'!$D$6:$D$100,'Agg prdcrv NYC'!$A$6:$A$100,'Imp Refined NYC'!$A53,'Agg prdcrv NYC'!$B$6:$B$100,AA$11)</f>
        <v>999999</v>
      </c>
      <c r="AB53" s="219">
        <f>X53*VLOOKUP($B53,Types!$B$2:$D$13,3,FALSE)*Conv!$I$5*1000*365</f>
        <v>2191575.9574618507</v>
      </c>
      <c r="AC53" s="219">
        <f>Y53*VLOOKUP($B53,Types!$B$2:$D$13,3,FALSE)*Conv!$I$5*1000*365</f>
        <v>2191575.9574618507</v>
      </c>
      <c r="AD53" s="219">
        <f>Z53*VLOOKUP($B53,Types!$B$2:$D$13,3,FALSE)*Conv!$I$5*1000*365</f>
        <v>2191575.9574618507</v>
      </c>
      <c r="AE53" s="219">
        <f>AA53*VLOOKUP($B53,Types!$B$2:$D$13,3,FALSE)*Conv!$I$5*1000*365</f>
        <v>2191575.9574618507</v>
      </c>
      <c r="AF53" s="219">
        <f>AB53-AB55</f>
        <v>219157.59574618516</v>
      </c>
      <c r="AG53" s="219">
        <f t="shared" ref="AG53:AI53" si="106">AC53-AC55</f>
        <v>219157.59574618516</v>
      </c>
      <c r="AH53" s="219">
        <f t="shared" si="106"/>
        <v>219157.59574618516</v>
      </c>
      <c r="AI53" s="219">
        <f t="shared" si="106"/>
        <v>219157.59574618516</v>
      </c>
      <c r="AJ53" s="219"/>
      <c r="AK53" s="219"/>
      <c r="AL53" s="219"/>
    </row>
    <row r="54" spans="1:38">
      <c r="A54" s="195" t="str">
        <f>A53</f>
        <v>Petchem. Feedstocks</v>
      </c>
      <c r="B54" s="195" t="str">
        <f>VLOOKUP($A54,Types!$A$2:$C$13,2,FALSE)</f>
        <v>PFS</v>
      </c>
      <c r="C54" s="195">
        <v>1</v>
      </c>
      <c r="D54" s="195">
        <v>1</v>
      </c>
      <c r="E54" s="195" t="str">
        <f t="shared" si="1"/>
        <v>IMPPFSP11</v>
      </c>
      <c r="F54" s="195" t="str">
        <f>CONCATENATE("Imported ",VLOOKUP($A54,Types!$A$2:$C$13,3,FALSE),", PADD ",D54,", Step ",RIGHT(C54,1))</f>
        <v>Imported Petrochemical Feedstocks, PADD 1, Step 1</v>
      </c>
      <c r="G54" s="195" t="str">
        <f>CONCATENATE(VLOOKUP($A54,Types!$A$2:$C$13,2,FALSE),"P",D54)</f>
        <v>PFSP1</v>
      </c>
      <c r="H54" s="239">
        <f>H53*$C$5</f>
        <v>39.166600000000003</v>
      </c>
      <c r="I54" s="239">
        <f t="shared" ref="I54:K54" si="107">I53*$C$5</f>
        <v>24.014100000000003</v>
      </c>
      <c r="J54" s="239">
        <f t="shared" si="107"/>
        <v>20.596</v>
      </c>
      <c r="K54" s="239">
        <f t="shared" si="107"/>
        <v>21.375</v>
      </c>
      <c r="L54" s="240">
        <f>H54*Conv!$J$20/10^6/VLOOKUP($B54,Types!$B$2:$D$13,3,FALSE)/Conv!$I$5</f>
        <v>10.009564265779526</v>
      </c>
      <c r="M54" s="240">
        <f>I54*Conv!$J$20/10^6/VLOOKUP($B54,Types!$B$2:$D$13,3,FALSE)/Conv!$I$5</f>
        <v>6.1371341202671683</v>
      </c>
      <c r="N54" s="240">
        <f>M54*'Imported Price Trends'!$K$19</f>
        <v>6.6081398802521241</v>
      </c>
      <c r="O54" s="240">
        <f>N54*'Imported Price Trends'!$L$19</f>
        <v>6.545309214246152</v>
      </c>
      <c r="P54" s="240">
        <f>O54*'Imported Price Trends'!$M$19</f>
        <v>7.062848361285325</v>
      </c>
      <c r="Q54" s="240">
        <f>P54*'Imported Price Trends'!$N$19</f>
        <v>7.4685551480944756</v>
      </c>
      <c r="R54" s="240">
        <f>Q54*'Imported Price Trends'!$O$19</f>
        <v>8.0240964687323739</v>
      </c>
      <c r="S54" s="240">
        <f>R54*'Imported Price Trends'!$O$19</f>
        <v>8.6209611983585344</v>
      </c>
      <c r="T54" s="240">
        <f>S54*'Imported Price Trends'!$O$19</f>
        <v>9.2622231391672756</v>
      </c>
      <c r="U54" s="240">
        <f>T54*'Imported Price Trends'!$O$19</f>
        <v>9.9511847351847766</v>
      </c>
      <c r="V54" s="240">
        <f>U54*'Imported Price Trends'!$O$19</f>
        <v>10.691394079572724</v>
      </c>
      <c r="W54" s="219"/>
      <c r="X54" s="195">
        <f>X53*$E$5</f>
        <v>799999.20000000007</v>
      </c>
      <c r="Y54" s="195">
        <f t="shared" ref="Y54:AA54" si="108">Y53*$E$5</f>
        <v>799999.20000000007</v>
      </c>
      <c r="Z54" s="195">
        <f t="shared" si="108"/>
        <v>799999.20000000007</v>
      </c>
      <c r="AA54" s="195">
        <f t="shared" si="108"/>
        <v>799999.20000000007</v>
      </c>
      <c r="AB54" s="219">
        <f>X54*VLOOKUP($B54,Types!$B$2:$D$13,3,FALSE)*Conv!$I$5*1000*365</f>
        <v>1753260.7659694806</v>
      </c>
      <c r="AC54" s="219">
        <f>Y54*VLOOKUP($B54,Types!$B$2:$D$13,3,FALSE)*Conv!$I$5*1000*365</f>
        <v>1753260.7659694806</v>
      </c>
      <c r="AD54" s="219">
        <f>Z54*VLOOKUP($B54,Types!$B$2:$D$13,3,FALSE)*Conv!$I$5*1000*365</f>
        <v>1753260.7659694806</v>
      </c>
      <c r="AE54" s="219">
        <f>AA54*VLOOKUP($B54,Types!$B$2:$D$13,3,FALSE)*Conv!$I$5*1000*365</f>
        <v>1753260.7659694806</v>
      </c>
      <c r="AF54" s="219">
        <f>AB54</f>
        <v>1753260.7659694806</v>
      </c>
      <c r="AG54" s="219">
        <f t="shared" ref="AG54:AI54" si="109">AC54</f>
        <v>1753260.7659694806</v>
      </c>
      <c r="AH54" s="219">
        <f t="shared" si="109"/>
        <v>1753260.7659694806</v>
      </c>
      <c r="AI54" s="219">
        <f t="shared" si="109"/>
        <v>1753260.7659694806</v>
      </c>
      <c r="AJ54" s="219"/>
      <c r="AK54" s="219"/>
      <c r="AL54" s="219"/>
    </row>
    <row r="55" spans="1:38">
      <c r="A55" s="195" t="str">
        <f>A54</f>
        <v>Petchem. Feedstocks</v>
      </c>
      <c r="B55" s="195" t="str">
        <f>VLOOKUP($A55,Types!$A$2:$C$13,2,FALSE)</f>
        <v>PFS</v>
      </c>
      <c r="C55" s="195">
        <v>2</v>
      </c>
      <c r="D55" s="195">
        <v>1</v>
      </c>
      <c r="E55" s="195" t="str">
        <f t="shared" si="1"/>
        <v>IMPPFSP12</v>
      </c>
      <c r="F55" s="195" t="str">
        <f>CONCATENATE("Imported ",VLOOKUP($A55,Types!$A$2:$C$13,3,FALSE),", PADD ",D55,", Step ",RIGHT(C55,1))</f>
        <v>Imported Petrochemical Feedstocks, PADD 1, Step 2</v>
      </c>
      <c r="G55" s="195" t="str">
        <f>CONCATENATE(VLOOKUP($A55,Types!$A$2:$C$13,2,FALSE),"P",D55)</f>
        <v>PFSP1</v>
      </c>
      <c r="H55" s="239">
        <f>H53*$C$6</f>
        <v>40.403440000000003</v>
      </c>
      <c r="I55" s="239">
        <f t="shared" ref="I55:K55" si="110">I53*$C$6</f>
        <v>24.772440000000003</v>
      </c>
      <c r="J55" s="239">
        <f t="shared" si="110"/>
        <v>21.246399999999998</v>
      </c>
      <c r="K55" s="239">
        <f t="shared" si="110"/>
        <v>22.05</v>
      </c>
      <c r="L55" s="240">
        <f>H55*Conv!$J$20/10^6/VLOOKUP($B55,Types!$B$2:$D$13,3,FALSE)/Conv!$I$5</f>
        <v>10.325655768909405</v>
      </c>
      <c r="M55" s="240">
        <f>I55*Conv!$J$20/10^6/VLOOKUP($B55,Types!$B$2:$D$13,3,FALSE)/Conv!$I$5</f>
        <v>6.3309383556440268</v>
      </c>
      <c r="N55" s="240">
        <f>M55*'Imported Price Trends'!$K$19</f>
        <v>6.8168179817337711</v>
      </c>
      <c r="O55" s="240">
        <f>N55*'Imported Price Trends'!$L$19</f>
        <v>6.752003189432874</v>
      </c>
      <c r="P55" s="240">
        <f>O55*'Imported Price Trends'!$M$19</f>
        <v>7.285885677957495</v>
      </c>
      <c r="Q55" s="240">
        <f>P55*'Imported Price Trends'!$N$19</f>
        <v>7.7044042580343035</v>
      </c>
      <c r="R55" s="240">
        <f>Q55*'Imported Price Trends'!$O$19</f>
        <v>8.2774889887976091</v>
      </c>
      <c r="S55" s="240">
        <f>R55*'Imported Price Trends'!$O$19</f>
        <v>8.8932020783067021</v>
      </c>
      <c r="T55" s="240">
        <f>S55*'Imported Price Trends'!$O$19</f>
        <v>9.5547143961936154</v>
      </c>
      <c r="U55" s="240">
        <f>T55*'Imported Price Trends'!$O$19</f>
        <v>10.265432674190617</v>
      </c>
      <c r="V55" s="240">
        <f>U55*'Imported Price Trends'!$O$19</f>
        <v>11.029017050506607</v>
      </c>
      <c r="W55" s="219"/>
      <c r="X55" s="195">
        <f>X53*$E$6</f>
        <v>899999.1</v>
      </c>
      <c r="Y55" s="195">
        <f t="shared" ref="Y55:AA55" si="111">Y53*$E$6</f>
        <v>899999.1</v>
      </c>
      <c r="Z55" s="195">
        <f t="shared" si="111"/>
        <v>899999.1</v>
      </c>
      <c r="AA55" s="195">
        <f t="shared" si="111"/>
        <v>899999.1</v>
      </c>
      <c r="AB55" s="219">
        <f>X55*VLOOKUP($B55,Types!$B$2:$D$13,3,FALSE)*Conv!$I$5*1000*365</f>
        <v>1972418.3617156656</v>
      </c>
      <c r="AC55" s="219">
        <f>Y55*VLOOKUP($B55,Types!$B$2:$D$13,3,FALSE)*Conv!$I$5*1000*365</f>
        <v>1972418.3617156656</v>
      </c>
      <c r="AD55" s="219">
        <f>Z55*VLOOKUP($B55,Types!$B$2:$D$13,3,FALSE)*Conv!$I$5*1000*365</f>
        <v>1972418.3617156656</v>
      </c>
      <c r="AE55" s="219">
        <f>AA55*VLOOKUP($B55,Types!$B$2:$D$13,3,FALSE)*Conv!$I$5*1000*365</f>
        <v>1972418.3617156656</v>
      </c>
      <c r="AF55" s="219">
        <f>AB55-AF54</f>
        <v>219157.59574618493</v>
      </c>
      <c r="AG55" s="219">
        <f t="shared" ref="AG55:AI55" si="112">AC55-AG54</f>
        <v>219157.59574618493</v>
      </c>
      <c r="AH55" s="219">
        <f t="shared" si="112"/>
        <v>219157.59574618493</v>
      </c>
      <c r="AI55" s="219">
        <f t="shared" si="112"/>
        <v>219157.59574618493</v>
      </c>
      <c r="AJ55" s="219"/>
      <c r="AK55" s="219"/>
      <c r="AL55" s="219"/>
    </row>
    <row r="56" spans="1:38">
      <c r="A56" s="195" t="str">
        <f>A55</f>
        <v>Petchem. Feedstocks</v>
      </c>
      <c r="B56" s="195" t="str">
        <f>VLOOKUP($A56,Types!$A$2:$C$13,2,FALSE)</f>
        <v>PFS</v>
      </c>
      <c r="C56" s="195">
        <v>4</v>
      </c>
      <c r="D56" s="195">
        <v>1</v>
      </c>
      <c r="E56" s="195" t="str">
        <f t="shared" si="1"/>
        <v>IMPPFSP14</v>
      </c>
      <c r="F56" s="195" t="str">
        <f>CONCATENATE("Imported ",VLOOKUP($A56,Types!$A$2:$C$13,3,FALSE),", PADD ",D56,", Step ",RIGHT(C56,1))</f>
        <v>Imported Petrochemical Feedstocks, PADD 1, Step 4</v>
      </c>
      <c r="G56" s="195" t="str">
        <f>CONCATENATE(VLOOKUP($A56,Types!$A$2:$C$13,2,FALSE),"P",D56)</f>
        <v>PFSP1</v>
      </c>
      <c r="H56" s="239">
        <f>H53*$C$8</f>
        <v>44.938520000000004</v>
      </c>
      <c r="I56" s="239">
        <f t="shared" ref="I56:K56" si="113">I53*$C$8</f>
        <v>27.553020000000004</v>
      </c>
      <c r="J56" s="239">
        <f t="shared" si="113"/>
        <v>23.6312</v>
      </c>
      <c r="K56" s="239">
        <f t="shared" si="113"/>
        <v>24.525000000000002</v>
      </c>
      <c r="L56" s="240">
        <f>H56*Conv!$J$20/10^6/VLOOKUP($B56,Types!$B$2:$D$13,3,FALSE)/Conv!$I$5</f>
        <v>11.484657947052298</v>
      </c>
      <c r="M56" s="240">
        <f>I56*Conv!$J$20/10^6/VLOOKUP($B56,Types!$B$2:$D$13,3,FALSE)/Conv!$I$5</f>
        <v>7.041553885359173</v>
      </c>
      <c r="N56" s="240">
        <f>M56*'Imported Price Trends'!$K$19</f>
        <v>7.5819710204998065</v>
      </c>
      <c r="O56" s="240">
        <f>N56*'Imported Price Trends'!$L$19</f>
        <v>7.5098810984508493</v>
      </c>
      <c r="P56" s="240">
        <f>O56*'Imported Price Trends'!$M$19</f>
        <v>8.1036891724221114</v>
      </c>
      <c r="Q56" s="240">
        <f>P56*'Imported Price Trends'!$N$19</f>
        <v>8.5691843278136641</v>
      </c>
      <c r="R56" s="240">
        <f>Q56*'Imported Price Trends'!$O$19</f>
        <v>9.2065948957034642</v>
      </c>
      <c r="S56" s="240">
        <f>R56*'Imported Price Trends'!$O$19</f>
        <v>9.8914186381166385</v>
      </c>
      <c r="T56" s="240">
        <f>S56*'Imported Price Trends'!$O$19</f>
        <v>10.627182338623511</v>
      </c>
      <c r="U56" s="240">
        <f>T56*'Imported Price Trends'!$O$19</f>
        <v>11.417675117212012</v>
      </c>
      <c r="V56" s="240">
        <f>U56*'Imported Price Trends'!$O$19</f>
        <v>12.266967943930815</v>
      </c>
      <c r="W56" s="219"/>
      <c r="X56" s="195">
        <f>X53*$E$8</f>
        <v>1199998.8</v>
      </c>
      <c r="Y56" s="195">
        <f t="shared" ref="Y56:AA56" si="114">Y53*$E$8</f>
        <v>1199998.8</v>
      </c>
      <c r="Z56" s="195">
        <f t="shared" si="114"/>
        <v>1199998.8</v>
      </c>
      <c r="AA56" s="195">
        <f t="shared" si="114"/>
        <v>1199998.8</v>
      </c>
      <c r="AB56" s="219">
        <f>X56*VLOOKUP($B56,Types!$B$2:$D$13,3,FALSE)*Conv!$I$5*1000*365</f>
        <v>2629891.1489542215</v>
      </c>
      <c r="AC56" s="219">
        <f>Y56*VLOOKUP($B56,Types!$B$2:$D$13,3,FALSE)*Conv!$I$5*1000*365</f>
        <v>2629891.1489542215</v>
      </c>
      <c r="AD56" s="219">
        <f>Z56*VLOOKUP($B56,Types!$B$2:$D$13,3,FALSE)*Conv!$I$5*1000*365</f>
        <v>2629891.1489542215</v>
      </c>
      <c r="AE56" s="219">
        <f>AA56*VLOOKUP($B56,Types!$B$2:$D$13,3,FALSE)*Conv!$I$5*1000*365</f>
        <v>2629891.1489542215</v>
      </c>
      <c r="AF56" s="219">
        <f>AB56-AB53</f>
        <v>438315.1914923708</v>
      </c>
      <c r="AG56" s="219">
        <f t="shared" ref="AG56:AI56" si="115">AC56-AC53</f>
        <v>438315.1914923708</v>
      </c>
      <c r="AH56" s="219">
        <f t="shared" si="115"/>
        <v>438315.1914923708</v>
      </c>
      <c r="AI56" s="219">
        <f t="shared" si="115"/>
        <v>438315.1914923708</v>
      </c>
      <c r="AJ56" s="219"/>
      <c r="AK56" s="219"/>
      <c r="AL56" s="219"/>
    </row>
    <row r="57" spans="1:38">
      <c r="A57" s="195" t="str">
        <f>A56</f>
        <v>Petchem. Feedstocks</v>
      </c>
      <c r="B57" s="195" t="str">
        <f>VLOOKUP($A57,Types!$A$2:$C$13,2,FALSE)</f>
        <v>PFS</v>
      </c>
      <c r="C57" s="195">
        <v>5</v>
      </c>
      <c r="D57" s="195">
        <v>1</v>
      </c>
      <c r="E57" s="195" t="str">
        <f t="shared" si="1"/>
        <v>IMPPFSP15</v>
      </c>
      <c r="F57" s="195" t="str">
        <f>CONCATENATE("Imported ",VLOOKUP($A57,Types!$A$2:$C$13,3,FALSE),", PADD ",D57,", Step ",RIGHT(C57,1))</f>
        <v>Imported Petrochemical Feedstocks, PADD 1, Step 5</v>
      </c>
      <c r="G57" s="195" t="str">
        <f>CONCATENATE(VLOOKUP($A57,Types!$A$2:$C$13,2,FALSE),"P",D57)</f>
        <v>PFSP1</v>
      </c>
      <c r="H57" s="239">
        <f>H53*$C$9</f>
        <v>53.596400000000003</v>
      </c>
      <c r="I57" s="239">
        <f t="shared" ref="I57:K57" si="116">I53*$C$9</f>
        <v>32.861400000000003</v>
      </c>
      <c r="J57" s="239">
        <f t="shared" si="116"/>
        <v>28.184000000000001</v>
      </c>
      <c r="K57" s="239">
        <f t="shared" si="116"/>
        <v>29.25</v>
      </c>
      <c r="L57" s="240">
        <f>H57*Conv!$J$20/10^6/VLOOKUP($B57,Types!$B$2:$D$13,3,FALSE)/Conv!$I$5</f>
        <v>13.697298468961455</v>
      </c>
      <c r="M57" s="240">
        <f>I57*Conv!$J$20/10^6/VLOOKUP($B57,Types!$B$2:$D$13,3,FALSE)/Conv!$I$5</f>
        <v>8.3981835329971783</v>
      </c>
      <c r="N57" s="240">
        <f>M57*'Imported Price Trends'!$K$19</f>
        <v>9.0427177308713294</v>
      </c>
      <c r="O57" s="240">
        <f>N57*'Imported Price Trends'!$L$19</f>
        <v>8.9567389247578948</v>
      </c>
      <c r="P57" s="240">
        <f>O57*'Imported Price Trends'!$M$19</f>
        <v>9.6649503891272897</v>
      </c>
      <c r="Q57" s="240">
        <f>P57*'Imported Price Trends'!$N$19</f>
        <v>10.220128097392443</v>
      </c>
      <c r="R57" s="240">
        <f>Q57*'Imported Price Trends'!$O$19</f>
        <v>10.980342536160094</v>
      </c>
      <c r="S57" s="240">
        <f>R57*'Imported Price Trends'!$O$19</f>
        <v>11.797104797753789</v>
      </c>
      <c r="T57" s="240">
        <f>S57*'Imported Price Trends'!$O$19</f>
        <v>12.674621137807858</v>
      </c>
      <c r="U57" s="240">
        <f>T57*'Imported Price Trends'!$O$19</f>
        <v>13.617410690252859</v>
      </c>
      <c r="V57" s="240">
        <f>U57*'Imported Price Trends'!$O$19</f>
        <v>14.630328740467947</v>
      </c>
      <c r="W57" s="219"/>
      <c r="X57" s="195">
        <f>X53*$E$9</f>
        <v>1999998</v>
      </c>
      <c r="Y57" s="195">
        <f t="shared" ref="Y57:AA57" si="117">Y53*$E$9</f>
        <v>1999998</v>
      </c>
      <c r="Z57" s="195">
        <f t="shared" si="117"/>
        <v>1999998</v>
      </c>
      <c r="AA57" s="195">
        <f t="shared" si="117"/>
        <v>1999998</v>
      </c>
      <c r="AB57" s="219">
        <f>X57*VLOOKUP($B57,Types!$B$2:$D$13,3,FALSE)*Conv!$I$5*1000*365</f>
        <v>4383151.9149237014</v>
      </c>
      <c r="AC57" s="219">
        <f>Y57*VLOOKUP($B57,Types!$B$2:$D$13,3,FALSE)*Conv!$I$5*1000*365</f>
        <v>4383151.9149237014</v>
      </c>
      <c r="AD57" s="219">
        <f>Z57*VLOOKUP($B57,Types!$B$2:$D$13,3,FALSE)*Conv!$I$5*1000*365</f>
        <v>4383151.9149237014</v>
      </c>
      <c r="AE57" s="219">
        <f>AA57*VLOOKUP($B57,Types!$B$2:$D$13,3,FALSE)*Conv!$I$5*1000*365</f>
        <v>4383151.9149237014</v>
      </c>
      <c r="AF57" s="219">
        <f>AB57-AB56</f>
        <v>1753260.7659694799</v>
      </c>
      <c r="AG57" s="219">
        <f t="shared" ref="AG57:AI57" si="118">AC57-AC56</f>
        <v>1753260.7659694799</v>
      </c>
      <c r="AH57" s="219">
        <f t="shared" si="118"/>
        <v>1753260.7659694799</v>
      </c>
      <c r="AI57" s="219">
        <f t="shared" si="118"/>
        <v>1753260.7659694799</v>
      </c>
      <c r="AJ57" s="219"/>
      <c r="AK57" s="219"/>
      <c r="AL57" s="219"/>
    </row>
    <row r="58" spans="1:38">
      <c r="A58" s="195" t="str">
        <f>'Agg prdcrv'!$A$15</f>
        <v>Other Refined Prod.</v>
      </c>
      <c r="B58" s="195" t="str">
        <f>VLOOKUP($A58,Types!$A$2:$C$13,2,FALSE)</f>
        <v>KER</v>
      </c>
      <c r="C58" s="195">
        <v>3</v>
      </c>
      <c r="D58" s="195">
        <v>1</v>
      </c>
      <c r="E58" s="195" t="str">
        <f t="shared" si="1"/>
        <v>IMPKERP13</v>
      </c>
      <c r="F58" s="195" t="str">
        <f>CONCATENATE("Imported ",VLOOKUP($A58,Types!$A$2:$C$13,3,FALSE),", PADD ",D58,", Step ",RIGHT(C58,1))</f>
        <v>Imported Kerosene and Other Refined Products, PADD 1, Step 3</v>
      </c>
      <c r="G58" s="195" t="str">
        <f>CONCATENATE(VLOOKUP($A58,Types!$A$2:$C$13,2,FALSE),"P",D58)</f>
        <v>KERP1</v>
      </c>
      <c r="H58" s="239">
        <f>SUMIFS('Agg prdcrv NYC'!$L$6:$L$100,'Agg prdcrv NYC'!$A$6:$A$100,'Imp Refined NYC'!$A58,'Agg prdcrv NYC'!$B$6:$B$100,H$11)*K4</f>
        <v>65.923000000000002</v>
      </c>
      <c r="I58" s="239">
        <f>SUMIFS('Agg prdcrv NYC'!$L$6:$L$100,'Agg prdcrv NYC'!$A$6:$A$100,'Imp Refined NYC'!$A58,'Agg prdcrv NYC'!$B$6:$B$100,I$11)*K4</f>
        <v>40.062000000000005</v>
      </c>
      <c r="J58" s="239">
        <f t="array" ref="J58">SUMIFS('Agg prdcrv NYC'!$L$6:$L$100,'Agg prdcrv NYC'!$A$6:$A$100,'Imp Refined NYC'!$A58,'Agg prdcrv NYC'!$B$6:$B$100,J$11)</f>
        <v>32.450000000000003</v>
      </c>
      <c r="K58" s="239">
        <f t="array" ref="K58">SUMIFS('Agg prdcrv NYC'!$L$6:$L$100,'Agg prdcrv NYC'!$A$6:$A$100,'Imp Refined NYC'!$A58,'Agg prdcrv NYC'!$B$6:$B$100,K$11)</f>
        <v>41.16</v>
      </c>
      <c r="L58" s="240">
        <f>H58*Conv!$J$20/10^6/VLOOKUP($B58,Types!$B$2:$D$13,3,FALSE)/Conv!$I$5</f>
        <v>16.909929197061381</v>
      </c>
      <c r="M58" s="240">
        <f>I58*Conv!$J$20/10^6/VLOOKUP($B58,Types!$B$2:$D$13,3,FALSE)/Conv!$I$5</f>
        <v>10.276316058017279</v>
      </c>
      <c r="N58" s="240">
        <f>M58*'Imported Price Trends'!$K$19</f>
        <v>11.064991025828041</v>
      </c>
      <c r="O58" s="240">
        <f>N58*'Imported Price Trends'!$L$19</f>
        <v>10.959784300773615</v>
      </c>
      <c r="P58" s="240">
        <f>O58*'Imported Price Trends'!$M$19</f>
        <v>11.82637703659274</v>
      </c>
      <c r="Q58" s="240">
        <f>P58*'Imported Price Trends'!$N$19</f>
        <v>12.505712225694323</v>
      </c>
      <c r="R58" s="240">
        <f>Q58*'Imported Price Trends'!$O$19</f>
        <v>13.43593765050789</v>
      </c>
      <c r="S58" s="240">
        <f>R58*'Imported Price Trends'!$O$19</f>
        <v>14.435357002492729</v>
      </c>
      <c r="T58" s="240">
        <f>S58*'Imported Price Trends'!$O$19</f>
        <v>15.509117205641317</v>
      </c>
      <c r="U58" s="240">
        <f>T58*'Imported Price Trends'!$O$19</f>
        <v>16.662748032957122</v>
      </c>
      <c r="V58" s="240">
        <f>U58*'Imported Price Trends'!$O$19</f>
        <v>17.902190584311562</v>
      </c>
      <c r="W58" s="219"/>
      <c r="X58" s="195">
        <f t="array" ref="X58">SUMIFS('Agg prdcrv NYC'!$D$6:$D$100,'Agg prdcrv NYC'!$A$6:$A$100,'Imp Refined NYC'!$A58,'Agg prdcrv NYC'!$B$6:$B$100,X$11)</f>
        <v>999999</v>
      </c>
      <c r="Y58" s="195">
        <f t="array" ref="Y58">SUMIFS('Agg prdcrv NYC'!$D$6:$D$100,'Agg prdcrv NYC'!$A$6:$A$100,'Imp Refined NYC'!$A58,'Agg prdcrv NYC'!$B$6:$B$100,Y$11)</f>
        <v>999999</v>
      </c>
      <c r="Z58" s="195">
        <f t="array" ref="Z58">SUMIFS('Agg prdcrv NYC'!$D$6:$D$100,'Agg prdcrv NYC'!$A$6:$A$100,'Imp Refined NYC'!$A58,'Agg prdcrv NYC'!$B$6:$B$100,Z$11)</f>
        <v>999999</v>
      </c>
      <c r="AA58" s="195">
        <f t="array" ref="AA58">SUMIFS('Agg prdcrv NYC'!$D$6:$D$100,'Agg prdcrv NYC'!$A$6:$A$100,'Imp Refined NYC'!$A58,'Agg prdcrv NYC'!$B$6:$B$100,AA$11)</f>
        <v>999999</v>
      </c>
      <c r="AB58" s="219">
        <f>X58*VLOOKUP($B58,Types!$B$2:$D$13,3,FALSE)*Conv!$I$5*1000*365</f>
        <v>2183488.9613088551</v>
      </c>
      <c r="AC58" s="219">
        <f>Y58*VLOOKUP($B58,Types!$B$2:$D$13,3,FALSE)*Conv!$I$5*1000*365</f>
        <v>2183488.9613088551</v>
      </c>
      <c r="AD58" s="219">
        <f>Z58*VLOOKUP($B58,Types!$B$2:$D$13,3,FALSE)*Conv!$I$5*1000*365</f>
        <v>2183488.9613088551</v>
      </c>
      <c r="AE58" s="219">
        <f>AA58*VLOOKUP($B58,Types!$B$2:$D$13,3,FALSE)*Conv!$I$5*1000*365</f>
        <v>2183488.9613088551</v>
      </c>
      <c r="AF58" s="219">
        <f>AB58-AB60</f>
        <v>218348.8961308857</v>
      </c>
      <c r="AG58" s="219">
        <f t="shared" ref="AG58:AI58" si="119">AC58-AC60</f>
        <v>218348.8961308857</v>
      </c>
      <c r="AH58" s="219">
        <f t="shared" si="119"/>
        <v>218348.8961308857</v>
      </c>
      <c r="AI58" s="219">
        <f t="shared" si="119"/>
        <v>218348.8961308857</v>
      </c>
      <c r="AJ58" s="219"/>
      <c r="AK58" s="219"/>
      <c r="AL58" s="219"/>
    </row>
    <row r="59" spans="1:38">
      <c r="A59" s="195" t="str">
        <f>A58</f>
        <v>Other Refined Prod.</v>
      </c>
      <c r="B59" s="195" t="str">
        <f>VLOOKUP($A59,Types!$A$2:$C$13,2,FALSE)</f>
        <v>KER</v>
      </c>
      <c r="C59" s="195">
        <v>1</v>
      </c>
      <c r="D59" s="195">
        <v>1</v>
      </c>
      <c r="E59" s="195" t="str">
        <f t="shared" si="1"/>
        <v>IMPKERP11</v>
      </c>
      <c r="F59" s="195" t="str">
        <f>CONCATENATE("Imported ",VLOOKUP($A59,Types!$A$2:$C$13,3,FALSE),", PADD ",D59,", Step ",RIGHT(C59,1))</f>
        <v>Imported Kerosene and Other Refined Products, PADD 1, Step 1</v>
      </c>
      <c r="G59" s="195" t="str">
        <f>CONCATENATE(VLOOKUP($A59,Types!$A$2:$C$13,2,FALSE),"P",D59)</f>
        <v>KERP1</v>
      </c>
      <c r="H59" s="239">
        <f>H58*$C$5</f>
        <v>62.626849999999997</v>
      </c>
      <c r="I59" s="239">
        <f t="shared" ref="I59:K59" si="120">I58*$C$5</f>
        <v>38.058900000000001</v>
      </c>
      <c r="J59" s="239">
        <f t="shared" si="120"/>
        <v>30.827500000000001</v>
      </c>
      <c r="K59" s="239">
        <f t="shared" si="120"/>
        <v>39.101999999999997</v>
      </c>
      <c r="L59" s="240">
        <f>H59*Conv!$J$20/10^6/VLOOKUP($B59,Types!$B$2:$D$13,3,FALSE)/Conv!$I$5</f>
        <v>16.064432737208314</v>
      </c>
      <c r="M59" s="240">
        <f>I59*Conv!$J$20/10^6/VLOOKUP($B59,Types!$B$2:$D$13,3,FALSE)/Conv!$I$5</f>
        <v>9.7625002551164162</v>
      </c>
      <c r="N59" s="240">
        <f>M59*'Imported Price Trends'!$K$19</f>
        <v>10.51174147453664</v>
      </c>
      <c r="O59" s="240">
        <f>N59*'Imported Price Trends'!$L$19</f>
        <v>10.411795085734934</v>
      </c>
      <c r="P59" s="240">
        <f>O59*'Imported Price Trends'!$M$19</f>
        <v>11.235058184763101</v>
      </c>
      <c r="Q59" s="240">
        <f>P59*'Imported Price Trends'!$N$19</f>
        <v>11.880426614409604</v>
      </c>
      <c r="R59" s="240">
        <f>Q59*'Imported Price Trends'!$O$19</f>
        <v>12.764140767982493</v>
      </c>
      <c r="S59" s="240">
        <f>R59*'Imported Price Trends'!$O$19</f>
        <v>13.71358915236809</v>
      </c>
      <c r="T59" s="240">
        <f>S59*'Imported Price Trends'!$O$19</f>
        <v>14.733661345359248</v>
      </c>
      <c r="U59" s="240">
        <f>T59*'Imported Price Trends'!$O$19</f>
        <v>15.829610631309261</v>
      </c>
      <c r="V59" s="240">
        <f>U59*'Imported Price Trends'!$O$19</f>
        <v>17.007081055095977</v>
      </c>
      <c r="W59" s="219"/>
      <c r="X59" s="195">
        <f>X58*$E$5</f>
        <v>799999.20000000007</v>
      </c>
      <c r="Y59" s="195">
        <f t="shared" ref="Y59:AA59" si="121">Y58*$E$5</f>
        <v>799999.20000000007</v>
      </c>
      <c r="Z59" s="195">
        <f t="shared" si="121"/>
        <v>799999.20000000007</v>
      </c>
      <c r="AA59" s="195">
        <f t="shared" si="121"/>
        <v>799999.20000000007</v>
      </c>
      <c r="AB59" s="219">
        <f>X59*VLOOKUP($B59,Types!$B$2:$D$13,3,FALSE)*Conv!$I$5*1000*365</f>
        <v>1746791.1690470844</v>
      </c>
      <c r="AC59" s="219">
        <f>Y59*VLOOKUP($B59,Types!$B$2:$D$13,3,FALSE)*Conv!$I$5*1000*365</f>
        <v>1746791.1690470844</v>
      </c>
      <c r="AD59" s="219">
        <f>Z59*VLOOKUP($B59,Types!$B$2:$D$13,3,FALSE)*Conv!$I$5*1000*365</f>
        <v>1746791.1690470844</v>
      </c>
      <c r="AE59" s="219">
        <f>AA59*VLOOKUP($B59,Types!$B$2:$D$13,3,FALSE)*Conv!$I$5*1000*365</f>
        <v>1746791.1690470844</v>
      </c>
      <c r="AF59" s="219">
        <f>AB59</f>
        <v>1746791.1690470844</v>
      </c>
      <c r="AG59" s="219">
        <f t="shared" ref="AG59:AI59" si="122">AC59</f>
        <v>1746791.1690470844</v>
      </c>
      <c r="AH59" s="219">
        <f t="shared" si="122"/>
        <v>1746791.1690470844</v>
      </c>
      <c r="AI59" s="219">
        <f t="shared" si="122"/>
        <v>1746791.1690470844</v>
      </c>
      <c r="AJ59" s="219"/>
      <c r="AK59" s="219"/>
      <c r="AL59" s="219"/>
    </row>
    <row r="60" spans="1:38">
      <c r="A60" s="195" t="str">
        <f>A59</f>
        <v>Other Refined Prod.</v>
      </c>
      <c r="B60" s="195" t="str">
        <f>VLOOKUP($A60,Types!$A$2:$C$13,2,FALSE)</f>
        <v>KER</v>
      </c>
      <c r="C60" s="195">
        <v>2</v>
      </c>
      <c r="D60" s="195">
        <v>1</v>
      </c>
      <c r="E60" s="195" t="str">
        <f t="shared" si="1"/>
        <v>IMPKERP12</v>
      </c>
      <c r="F60" s="195" t="str">
        <f>CONCATENATE("Imported ",VLOOKUP($A60,Types!$A$2:$C$13,3,FALSE),", PADD ",D60,", Step ",RIGHT(C60,1))</f>
        <v>Imported Kerosene and Other Refined Products, PADD 1, Step 2</v>
      </c>
      <c r="G60" s="195" t="str">
        <f>CONCATENATE(VLOOKUP($A60,Types!$A$2:$C$13,2,FALSE),"P",D60)</f>
        <v>KERP1</v>
      </c>
      <c r="H60" s="239">
        <f>H58*$C$6</f>
        <v>64.60454</v>
      </c>
      <c r="I60" s="239">
        <f t="shared" ref="I60:K60" si="123">I58*$C$6</f>
        <v>39.260760000000005</v>
      </c>
      <c r="J60" s="239">
        <f t="shared" si="123"/>
        <v>31.801000000000002</v>
      </c>
      <c r="K60" s="239">
        <f t="shared" si="123"/>
        <v>40.336799999999997</v>
      </c>
      <c r="L60" s="240">
        <f>H60*Conv!$J$20/10^6/VLOOKUP($B60,Types!$B$2:$D$13,3,FALSE)/Conv!$I$5</f>
        <v>16.571730613120152</v>
      </c>
      <c r="M60" s="240">
        <f>I60*Conv!$J$20/10^6/VLOOKUP($B60,Types!$B$2:$D$13,3,FALSE)/Conv!$I$5</f>
        <v>10.070789736856934</v>
      </c>
      <c r="N60" s="240">
        <f>M60*'Imported Price Trends'!$K$19</f>
        <v>10.843691205311481</v>
      </c>
      <c r="O60" s="240">
        <f>N60*'Imported Price Trends'!$L$19</f>
        <v>10.740588614758142</v>
      </c>
      <c r="P60" s="240">
        <f>O60*'Imported Price Trends'!$M$19</f>
        <v>11.589849495860884</v>
      </c>
      <c r="Q60" s="240">
        <f>P60*'Imported Price Trends'!$N$19</f>
        <v>12.255597981180435</v>
      </c>
      <c r="R60" s="240">
        <f>Q60*'Imported Price Trends'!$O$19</f>
        <v>13.167218897497731</v>
      </c>
      <c r="S60" s="240">
        <f>R60*'Imported Price Trends'!$O$19</f>
        <v>14.146649862442874</v>
      </c>
      <c r="T60" s="240">
        <f>S60*'Imported Price Trends'!$O$19</f>
        <v>15.198934861528489</v>
      </c>
      <c r="U60" s="240">
        <f>T60*'Imported Price Trends'!$O$19</f>
        <v>16.329493072297975</v>
      </c>
      <c r="V60" s="240">
        <f>U60*'Imported Price Trends'!$O$19</f>
        <v>17.544146772625325</v>
      </c>
      <c r="W60" s="219"/>
      <c r="X60" s="195">
        <f>X58*$E$6</f>
        <v>899999.1</v>
      </c>
      <c r="Y60" s="195">
        <f t="shared" ref="Y60:AA60" si="124">Y58*$E$6</f>
        <v>899999.1</v>
      </c>
      <c r="Z60" s="195">
        <f t="shared" si="124"/>
        <v>899999.1</v>
      </c>
      <c r="AA60" s="195">
        <f t="shared" si="124"/>
        <v>899999.1</v>
      </c>
      <c r="AB60" s="219">
        <f>X60*VLOOKUP($B60,Types!$B$2:$D$13,3,FALSE)*Conv!$I$5*1000*365</f>
        <v>1965140.0651779694</v>
      </c>
      <c r="AC60" s="219">
        <f>Y60*VLOOKUP($B60,Types!$B$2:$D$13,3,FALSE)*Conv!$I$5*1000*365</f>
        <v>1965140.0651779694</v>
      </c>
      <c r="AD60" s="219">
        <f>Z60*VLOOKUP($B60,Types!$B$2:$D$13,3,FALSE)*Conv!$I$5*1000*365</f>
        <v>1965140.0651779694</v>
      </c>
      <c r="AE60" s="219">
        <f>AA60*VLOOKUP($B60,Types!$B$2:$D$13,3,FALSE)*Conv!$I$5*1000*365</f>
        <v>1965140.0651779694</v>
      </c>
      <c r="AF60" s="219">
        <f>AB60-AF59</f>
        <v>218348.896130885</v>
      </c>
      <c r="AG60" s="219">
        <f t="shared" ref="AG60:AI60" si="125">AC60-AG59</f>
        <v>218348.896130885</v>
      </c>
      <c r="AH60" s="219">
        <f t="shared" si="125"/>
        <v>218348.896130885</v>
      </c>
      <c r="AI60" s="219">
        <f t="shared" si="125"/>
        <v>218348.896130885</v>
      </c>
      <c r="AJ60" s="219"/>
      <c r="AK60" s="219"/>
      <c r="AL60" s="219"/>
    </row>
    <row r="61" spans="1:38">
      <c r="A61" s="195" t="str">
        <f>A60</f>
        <v>Other Refined Prod.</v>
      </c>
      <c r="B61" s="195" t="str">
        <f>VLOOKUP($A61,Types!$A$2:$C$13,2,FALSE)</f>
        <v>KER</v>
      </c>
      <c r="C61" s="195">
        <v>4</v>
      </c>
      <c r="D61" s="195">
        <v>1</v>
      </c>
      <c r="E61" s="195" t="str">
        <f t="shared" si="1"/>
        <v>IMPKERP14</v>
      </c>
      <c r="F61" s="195" t="str">
        <f>CONCATENATE("Imported ",VLOOKUP($A61,Types!$A$2:$C$13,3,FALSE),", PADD ",D61,", Step ",RIGHT(C61,1))</f>
        <v>Imported Kerosene and Other Refined Products, PADD 1, Step 4</v>
      </c>
      <c r="G61" s="195" t="str">
        <f>CONCATENATE(VLOOKUP($A61,Types!$A$2:$C$13,2,FALSE),"P",D61)</f>
        <v>KERP1</v>
      </c>
      <c r="H61" s="239">
        <f>H58*$C$8</f>
        <v>71.856070000000003</v>
      </c>
      <c r="I61" s="239">
        <f t="shared" ref="I61:K61" si="126">I58*$C$8</f>
        <v>43.667580000000008</v>
      </c>
      <c r="J61" s="239">
        <f t="shared" si="126"/>
        <v>35.370500000000007</v>
      </c>
      <c r="K61" s="239">
        <f t="shared" si="126"/>
        <v>44.864399999999996</v>
      </c>
      <c r="L61" s="240">
        <f>H61*Conv!$J$20/10^6/VLOOKUP($B61,Types!$B$2:$D$13,3,FALSE)/Conv!$I$5</f>
        <v>18.431822824796907</v>
      </c>
      <c r="M61" s="240">
        <f>I61*Conv!$J$20/10^6/VLOOKUP($B61,Types!$B$2:$D$13,3,FALSE)/Conv!$I$5</f>
        <v>11.201184503238837</v>
      </c>
      <c r="N61" s="240">
        <f>M61*'Imported Price Trends'!$K$19</f>
        <v>12.060840218152567</v>
      </c>
      <c r="O61" s="240">
        <f>N61*'Imported Price Trends'!$L$19</f>
        <v>11.946164887843242</v>
      </c>
      <c r="P61" s="240">
        <f>O61*'Imported Price Trends'!$M$19</f>
        <v>12.890750969886088</v>
      </c>
      <c r="Q61" s="240">
        <f>P61*'Imported Price Trends'!$N$19</f>
        <v>13.631226326006812</v>
      </c>
      <c r="R61" s="240">
        <f>Q61*'Imported Price Trends'!$O$19</f>
        <v>14.645172039053602</v>
      </c>
      <c r="S61" s="240">
        <f>R61*'Imported Price Trends'!$O$19</f>
        <v>15.734539132717076</v>
      </c>
      <c r="T61" s="240">
        <f>S61*'Imported Price Trends'!$O$19</f>
        <v>16.904937754149035</v>
      </c>
      <c r="U61" s="240">
        <f>T61*'Imported Price Trends'!$O$19</f>
        <v>18.162395355923262</v>
      </c>
      <c r="V61" s="240">
        <f>U61*'Imported Price Trends'!$O$19</f>
        <v>19.513387736899602</v>
      </c>
      <c r="W61" s="219"/>
      <c r="X61" s="195">
        <f>X58*$E$8</f>
        <v>1199998.8</v>
      </c>
      <c r="Y61" s="195">
        <f t="shared" ref="Y61:AA61" si="127">Y58*$E$8</f>
        <v>1199998.8</v>
      </c>
      <c r="Z61" s="195">
        <f t="shared" si="127"/>
        <v>1199998.8</v>
      </c>
      <c r="AA61" s="195">
        <f t="shared" si="127"/>
        <v>1199998.8</v>
      </c>
      <c r="AB61" s="219">
        <f>X61*VLOOKUP($B61,Types!$B$2:$D$13,3,FALSE)*Conv!$I$5*1000*365</f>
        <v>2620186.753570626</v>
      </c>
      <c r="AC61" s="219">
        <f>Y61*VLOOKUP($B61,Types!$B$2:$D$13,3,FALSE)*Conv!$I$5*1000*365</f>
        <v>2620186.753570626</v>
      </c>
      <c r="AD61" s="219">
        <f>Z61*VLOOKUP($B61,Types!$B$2:$D$13,3,FALSE)*Conv!$I$5*1000*365</f>
        <v>2620186.753570626</v>
      </c>
      <c r="AE61" s="219">
        <f>AA61*VLOOKUP($B61,Types!$B$2:$D$13,3,FALSE)*Conv!$I$5*1000*365</f>
        <v>2620186.753570626</v>
      </c>
      <c r="AF61" s="219">
        <f>AB61-AB58</f>
        <v>436697.79226177093</v>
      </c>
      <c r="AG61" s="219">
        <f t="shared" ref="AG61:AI61" si="128">AC61-AC58</f>
        <v>436697.79226177093</v>
      </c>
      <c r="AH61" s="219">
        <f t="shared" si="128"/>
        <v>436697.79226177093</v>
      </c>
      <c r="AI61" s="219">
        <f t="shared" si="128"/>
        <v>436697.79226177093</v>
      </c>
      <c r="AJ61" s="219"/>
      <c r="AK61" s="219"/>
      <c r="AL61" s="219"/>
    </row>
    <row r="62" spans="1:38">
      <c r="A62" s="195" t="str">
        <f>A61</f>
        <v>Other Refined Prod.</v>
      </c>
      <c r="B62" s="195" t="str">
        <f>VLOOKUP($A62,Types!$A$2:$C$13,2,FALSE)</f>
        <v>KER</v>
      </c>
      <c r="C62" s="195">
        <v>5</v>
      </c>
      <c r="D62" s="195">
        <v>1</v>
      </c>
      <c r="E62" s="195" t="str">
        <f t="shared" si="1"/>
        <v>IMPKERP15</v>
      </c>
      <c r="F62" s="195" t="str">
        <f>CONCATENATE("Imported ",VLOOKUP($A62,Types!$A$2:$C$13,3,FALSE),", PADD ",D62,", Step ",RIGHT(C62,1))</f>
        <v>Imported Kerosene and Other Refined Products, PADD 1, Step 5</v>
      </c>
      <c r="G62" s="195" t="str">
        <f>CONCATENATE(VLOOKUP($A62,Types!$A$2:$C$13,2,FALSE),"P",D62)</f>
        <v>KERP1</v>
      </c>
      <c r="H62" s="239">
        <f>H58*$C$9</f>
        <v>85.6999</v>
      </c>
      <c r="I62" s="239">
        <f t="shared" ref="I62:K62" si="129">I58*$C$9</f>
        <v>52.080600000000011</v>
      </c>
      <c r="J62" s="239">
        <f t="shared" si="129"/>
        <v>42.185000000000002</v>
      </c>
      <c r="K62" s="239">
        <f t="shared" si="129"/>
        <v>53.507999999999996</v>
      </c>
      <c r="L62" s="240">
        <f>H62*Conv!$J$20/10^6/VLOOKUP($B62,Types!$B$2:$D$13,3,FALSE)/Conv!$I$5</f>
        <v>21.982907956179794</v>
      </c>
      <c r="M62" s="240">
        <f>I62*Conv!$J$20/10^6/VLOOKUP($B62,Types!$B$2:$D$13,3,FALSE)/Conv!$I$5</f>
        <v>13.359210875422464</v>
      </c>
      <c r="N62" s="240">
        <f>M62*'Imported Price Trends'!$K$19</f>
        <v>14.384488333576455</v>
      </c>
      <c r="O62" s="240">
        <f>N62*'Imported Price Trends'!$L$19</f>
        <v>14.2477195910057</v>
      </c>
      <c r="P62" s="240">
        <f>O62*'Imported Price Trends'!$M$19</f>
        <v>15.374290147570562</v>
      </c>
      <c r="Q62" s="240">
        <f>P62*'Imported Price Trends'!$N$19</f>
        <v>16.257425893402619</v>
      </c>
      <c r="R62" s="240">
        <f>Q62*'Imported Price Trends'!$O$19</f>
        <v>17.466718945660258</v>
      </c>
      <c r="S62" s="240">
        <f>R62*'Imported Price Trends'!$O$19</f>
        <v>18.765964103240549</v>
      </c>
      <c r="T62" s="240">
        <f>S62*'Imported Price Trends'!$O$19</f>
        <v>20.161852367333712</v>
      </c>
      <c r="U62" s="240">
        <f>T62*'Imported Price Trends'!$O$19</f>
        <v>21.661572442844257</v>
      </c>
      <c r="V62" s="240">
        <f>U62*'Imported Price Trends'!$O$19</f>
        <v>23.272847759605028</v>
      </c>
      <c r="W62" s="219"/>
      <c r="X62" s="195">
        <f>X58*$E$9</f>
        <v>1999998</v>
      </c>
      <c r="Y62" s="195">
        <f t="shared" ref="Y62:AA62" si="130">Y58*$E$9</f>
        <v>1999998</v>
      </c>
      <c r="Z62" s="195">
        <f t="shared" si="130"/>
        <v>1999998</v>
      </c>
      <c r="AA62" s="195">
        <f t="shared" si="130"/>
        <v>1999998</v>
      </c>
      <c r="AB62" s="219">
        <f>X62*VLOOKUP($B62,Types!$B$2:$D$13,3,FALSE)*Conv!$I$5*1000*365</f>
        <v>4366977.9226177102</v>
      </c>
      <c r="AC62" s="219">
        <f>Y62*VLOOKUP($B62,Types!$B$2:$D$13,3,FALSE)*Conv!$I$5*1000*365</f>
        <v>4366977.9226177102</v>
      </c>
      <c r="AD62" s="219">
        <f>Z62*VLOOKUP($B62,Types!$B$2:$D$13,3,FALSE)*Conv!$I$5*1000*365</f>
        <v>4366977.9226177102</v>
      </c>
      <c r="AE62" s="219">
        <f>AA62*VLOOKUP($B62,Types!$B$2:$D$13,3,FALSE)*Conv!$I$5*1000*365</f>
        <v>4366977.9226177102</v>
      </c>
      <c r="AF62" s="219">
        <f>AB62-AB61</f>
        <v>1746791.1690470842</v>
      </c>
      <c r="AG62" s="219">
        <f t="shared" ref="AG62:AI62" si="131">AC62-AC61</f>
        <v>1746791.1690470842</v>
      </c>
      <c r="AH62" s="219">
        <f t="shared" si="131"/>
        <v>1746791.1690470842</v>
      </c>
      <c r="AI62" s="219">
        <f t="shared" si="131"/>
        <v>1746791.1690470842</v>
      </c>
      <c r="AJ62" s="219"/>
      <c r="AK62" s="219"/>
      <c r="AL62" s="219"/>
    </row>
    <row r="63" spans="1:38">
      <c r="A63" s="195" t="str">
        <f>'Agg prdcrv'!$A$16</f>
        <v>Methanol</v>
      </c>
      <c r="B63" s="195" t="str">
        <f>VLOOKUP($A63,Types!$A$2:$C$13,2,FALSE)</f>
        <v>MTH</v>
      </c>
      <c r="C63" s="195">
        <v>3</v>
      </c>
      <c r="D63" s="195">
        <v>1</v>
      </c>
      <c r="E63" s="195" t="str">
        <f t="shared" si="1"/>
        <v>IMPMTHP13</v>
      </c>
      <c r="F63" s="195" t="str">
        <f>CONCATENATE("Imported ",VLOOKUP($A63,Types!$A$2:$C$13,3,FALSE),", PADD ",D63,", Step ",RIGHT(C63,1))</f>
        <v>Imported Methanol, PADD 1, Step 3</v>
      </c>
      <c r="G63" s="195" t="str">
        <f>CONCATENATE(VLOOKUP($A63,Types!$A$2:$C$13,2,FALSE),"P",D63)</f>
        <v>MTHP1</v>
      </c>
      <c r="H63" s="239">
        <f>SUMIFS('Agg prdcrv NYC'!$L$6:$L$100,'Agg prdcrv NYC'!$A$6:$A$100,'Imp Refined NYC'!$A63,'Agg prdcrv NYC'!$B$6:$B$100,H$11)*K4</f>
        <v>53.108000000000004</v>
      </c>
      <c r="I63" s="239">
        <f>SUMIFS('Agg prdcrv NYC'!$L$6:$L$100,'Agg prdcrv NYC'!$A$6:$A$100,'Imp Refined NYC'!$A63,'Agg prdcrv NYC'!$B$6:$B$100,I$11)*K4</f>
        <v>52.536000000000001</v>
      </c>
      <c r="J63" s="239">
        <f t="array" ref="J63">SUMIFS('Agg prdcrv NYC'!$L$6:$L$100,'Agg prdcrv NYC'!$A$6:$A$100,'Imp Refined NYC'!$A63,'Agg prdcrv NYC'!$B$6:$B$100,J$11)</f>
        <v>47.76</v>
      </c>
      <c r="K63" s="239">
        <f t="array" ref="K63">SUMIFS('Agg prdcrv NYC'!$L$6:$L$100,'Agg prdcrv NYC'!$A$6:$A$100,'Imp Refined NYC'!$A63,'Agg prdcrv NYC'!$B$6:$B$100,K$11)</f>
        <v>47.76</v>
      </c>
      <c r="L63" s="240">
        <f>H63*Conv!$J$20/10^6/VLOOKUP($B63,Types!$B$2:$D$13,3,FALSE)/Conv!$I$5</f>
        <v>28.120354613666684</v>
      </c>
      <c r="M63" s="240">
        <f>I63*Conv!$J$20/10^6/VLOOKUP($B63,Types!$B$2:$D$13,3,FALSE)/Conv!$I$5</f>
        <v>27.817484182864966</v>
      </c>
      <c r="N63" s="240">
        <f>M63*'Imported Price Trends'!$K$19</f>
        <v>29.952388687420495</v>
      </c>
      <c r="O63" s="240">
        <f>N63*'Imported Price Trends'!$L$19</f>
        <v>29.667599236258244</v>
      </c>
      <c r="P63" s="240">
        <f>O63*'Imported Price Trends'!$M$19</f>
        <v>32.01342332200413</v>
      </c>
      <c r="Q63" s="240">
        <f>P63*'Imported Price Trends'!$N$19</f>
        <v>33.852350401611965</v>
      </c>
      <c r="R63" s="240">
        <f>Q63*'Imported Price Trends'!$O$19</f>
        <v>36.3704250594133</v>
      </c>
      <c r="S63" s="240">
        <f>R63*'Imported Price Trends'!$O$19</f>
        <v>39.075804288597055</v>
      </c>
      <c r="T63" s="240">
        <f>S63*'Imported Price Trends'!$O$19</f>
        <v>41.982420560288361</v>
      </c>
      <c r="U63" s="240">
        <f>T63*'Imported Price Trends'!$O$19</f>
        <v>45.105242699131225</v>
      </c>
      <c r="V63" s="240">
        <f>U63*'Imported Price Trends'!$O$19</f>
        <v>48.460352971452309</v>
      </c>
      <c r="W63" s="219"/>
      <c r="X63" s="195">
        <f t="array" ref="X63">SUMIFS('Agg prdcrv NYC'!$D$6:$D$100,'Agg prdcrv NYC'!$A$6:$A$100,'Imp Refined NYC'!$A63,'Agg prdcrv NYC'!$B$6:$B$100,X$11)</f>
        <v>999999</v>
      </c>
      <c r="Y63" s="195">
        <f t="array" ref="Y63">SUMIFS('Agg prdcrv NYC'!$D$6:$D$100,'Agg prdcrv NYC'!$A$6:$A$100,'Imp Refined NYC'!$A63,'Agg prdcrv NYC'!$B$6:$B$100,Y$11)</f>
        <v>999999</v>
      </c>
      <c r="Z63" s="195">
        <f t="array" ref="Z63">SUMIFS('Agg prdcrv NYC'!$D$6:$D$100,'Agg prdcrv NYC'!$A$6:$A$100,'Imp Refined NYC'!$A63,'Agg prdcrv NYC'!$B$6:$B$100,Z$11)</f>
        <v>999999</v>
      </c>
      <c r="AA63" s="195">
        <f t="array" ref="AA63">SUMIFS('Agg prdcrv NYC'!$D$6:$D$100,'Agg prdcrv NYC'!$A$6:$A$100,'Imp Refined NYC'!$A63,'Agg prdcrv NYC'!$B$6:$B$100,AA$11)</f>
        <v>999999</v>
      </c>
      <c r="AB63" s="219">
        <f>X63*VLOOKUP($B63,Types!$B$2:$D$13,3,FALSE)*Conv!$I$5*1000*365</f>
        <v>1057779.0968118452</v>
      </c>
      <c r="AC63" s="219">
        <f>Y63*VLOOKUP($B63,Types!$B$2:$D$13,3,FALSE)*Conv!$I$5*1000*365</f>
        <v>1057779.0968118452</v>
      </c>
      <c r="AD63" s="219">
        <f>Z63*VLOOKUP($B63,Types!$B$2:$D$13,3,FALSE)*Conv!$I$5*1000*365</f>
        <v>1057779.0968118452</v>
      </c>
      <c r="AE63" s="219">
        <f>AA63*VLOOKUP($B63,Types!$B$2:$D$13,3,FALSE)*Conv!$I$5*1000*365</f>
        <v>1057779.0968118452</v>
      </c>
      <c r="AF63" s="219">
        <f>AB63-AB65</f>
        <v>105777.90968118445</v>
      </c>
      <c r="AG63" s="219">
        <f t="shared" ref="AG63:AI63" si="132">AC63-AC65</f>
        <v>105777.90968118445</v>
      </c>
      <c r="AH63" s="219">
        <f t="shared" si="132"/>
        <v>105777.90968118445</v>
      </c>
      <c r="AI63" s="219">
        <f t="shared" si="132"/>
        <v>105777.90968118445</v>
      </c>
      <c r="AJ63" s="219"/>
      <c r="AK63" s="219"/>
      <c r="AL63" s="219"/>
    </row>
    <row r="64" spans="1:38">
      <c r="A64" s="195" t="str">
        <f>A63</f>
        <v>Methanol</v>
      </c>
      <c r="B64" s="195" t="str">
        <f>VLOOKUP($A64,Types!$A$2:$C$13,2,FALSE)</f>
        <v>MTH</v>
      </c>
      <c r="C64" s="195">
        <v>1</v>
      </c>
      <c r="D64" s="195">
        <v>1</v>
      </c>
      <c r="E64" s="195" t="str">
        <f t="shared" si="1"/>
        <v>IMPMTHP11</v>
      </c>
      <c r="F64" s="195" t="str">
        <f>CONCATENATE("Imported ",VLOOKUP($A64,Types!$A$2:$C$13,3,FALSE),", PADD ",D64,", Step ",RIGHT(C64,1))</f>
        <v>Imported Methanol, PADD 1, Step 1</v>
      </c>
      <c r="G64" s="195" t="str">
        <f>CONCATENATE(VLOOKUP($A64,Types!$A$2:$C$13,2,FALSE),"P",D64)</f>
        <v>MTHP1</v>
      </c>
      <c r="H64" s="239">
        <f>H63*$C$5</f>
        <v>50.452600000000004</v>
      </c>
      <c r="I64" s="239">
        <f t="shared" ref="I64:K64" si="133">I63*$C$5</f>
        <v>49.909199999999998</v>
      </c>
      <c r="J64" s="239">
        <f t="shared" si="133"/>
        <v>45.371999999999993</v>
      </c>
      <c r="K64" s="239">
        <f t="shared" si="133"/>
        <v>45.371999999999993</v>
      </c>
      <c r="L64" s="240">
        <f>H64*Conv!$J$20/10^6/VLOOKUP($B64,Types!$B$2:$D$13,3,FALSE)/Conv!$I$5</f>
        <v>26.714336882983346</v>
      </c>
      <c r="M64" s="240">
        <f>I64*Conv!$J$20/10^6/VLOOKUP($B64,Types!$B$2:$D$13,3,FALSE)/Conv!$I$5</f>
        <v>26.426609973721717</v>
      </c>
      <c r="N64" s="240">
        <f>M64*'Imported Price Trends'!$K$19</f>
        <v>28.45476925304947</v>
      </c>
      <c r="O64" s="240">
        <f>N64*'Imported Price Trends'!$L$19</f>
        <v>28.184219274445333</v>
      </c>
      <c r="P64" s="240">
        <f>O64*'Imported Price Trends'!$M$19</f>
        <v>30.412752155903927</v>
      </c>
      <c r="Q64" s="240">
        <f>P64*'Imported Price Trends'!$N$19</f>
        <v>32.159732881531376</v>
      </c>
      <c r="R64" s="240">
        <f>Q64*'Imported Price Trends'!$O$19</f>
        <v>34.551903806442645</v>
      </c>
      <c r="S64" s="240">
        <f>R64*'Imported Price Trends'!$O$19</f>
        <v>37.122014074167211</v>
      </c>
      <c r="T64" s="240">
        <f>S64*'Imported Price Trends'!$O$19</f>
        <v>39.883299532273952</v>
      </c>
      <c r="U64" s="240">
        <f>T64*'Imported Price Trends'!$O$19</f>
        <v>42.849980564174672</v>
      </c>
      <c r="V64" s="240">
        <f>U64*'Imported Price Trends'!$O$19</f>
        <v>46.037335322879706</v>
      </c>
      <c r="W64" s="219"/>
      <c r="X64" s="195">
        <f>X63*$E$5</f>
        <v>799999.20000000007</v>
      </c>
      <c r="Y64" s="195">
        <f t="shared" ref="Y64:AA64" si="134">Y63*$E$5</f>
        <v>799999.20000000007</v>
      </c>
      <c r="Z64" s="195">
        <f t="shared" si="134"/>
        <v>799999.20000000007</v>
      </c>
      <c r="AA64" s="195">
        <f t="shared" si="134"/>
        <v>799999.20000000007</v>
      </c>
      <c r="AB64" s="219">
        <f>X64*VLOOKUP($B64,Types!$B$2:$D$13,3,FALSE)*Conv!$I$5*1000*365</f>
        <v>846223.27744947642</v>
      </c>
      <c r="AC64" s="219">
        <f>Y64*VLOOKUP($B64,Types!$B$2:$D$13,3,FALSE)*Conv!$I$5*1000*365</f>
        <v>846223.27744947642</v>
      </c>
      <c r="AD64" s="219">
        <f>Z64*VLOOKUP($B64,Types!$B$2:$D$13,3,FALSE)*Conv!$I$5*1000*365</f>
        <v>846223.27744947642</v>
      </c>
      <c r="AE64" s="219">
        <f>AA64*VLOOKUP($B64,Types!$B$2:$D$13,3,FALSE)*Conv!$I$5*1000*365</f>
        <v>846223.27744947642</v>
      </c>
      <c r="AF64" s="219">
        <f>AB64</f>
        <v>846223.27744947642</v>
      </c>
      <c r="AG64" s="219">
        <f t="shared" ref="AG64:AI64" si="135">AC64</f>
        <v>846223.27744947642</v>
      </c>
      <c r="AH64" s="219">
        <f t="shared" si="135"/>
        <v>846223.27744947642</v>
      </c>
      <c r="AI64" s="219">
        <f t="shared" si="135"/>
        <v>846223.27744947642</v>
      </c>
      <c r="AJ64" s="219"/>
      <c r="AK64" s="219"/>
      <c r="AL64" s="219"/>
    </row>
    <row r="65" spans="1:38">
      <c r="A65" s="195" t="str">
        <f>A64</f>
        <v>Methanol</v>
      </c>
      <c r="B65" s="195" t="str">
        <f>VLOOKUP($A65,Types!$A$2:$C$13,2,FALSE)</f>
        <v>MTH</v>
      </c>
      <c r="C65" s="195">
        <v>2</v>
      </c>
      <c r="D65" s="195">
        <v>1</v>
      </c>
      <c r="E65" s="195" t="str">
        <f t="shared" si="1"/>
        <v>IMPMTHP12</v>
      </c>
      <c r="F65" s="195" t="str">
        <f>CONCATENATE("Imported ",VLOOKUP($A65,Types!$A$2:$C$13,3,FALSE),", PADD ",D65,", Step ",RIGHT(C65,1))</f>
        <v>Imported Methanol, PADD 1, Step 2</v>
      </c>
      <c r="G65" s="195" t="str">
        <f>CONCATENATE(VLOOKUP($A65,Types!$A$2:$C$13,2,FALSE),"P",D65)</f>
        <v>MTHP1</v>
      </c>
      <c r="H65" s="239">
        <f>H63*$C$6</f>
        <v>52.045840000000005</v>
      </c>
      <c r="I65" s="239">
        <f t="shared" ref="I65:K65" si="136">I63*$C$6</f>
        <v>51.485280000000003</v>
      </c>
      <c r="J65" s="239">
        <f t="shared" si="136"/>
        <v>46.8048</v>
      </c>
      <c r="K65" s="239">
        <f t="shared" si="136"/>
        <v>46.8048</v>
      </c>
      <c r="L65" s="240">
        <f>H65*Conv!$J$20/10^6/VLOOKUP($B65,Types!$B$2:$D$13,3,FALSE)/Conv!$I$5</f>
        <v>27.557947521393341</v>
      </c>
      <c r="M65" s="240">
        <f>I65*Conv!$J$20/10^6/VLOOKUP($B65,Types!$B$2:$D$13,3,FALSE)/Conv!$I$5</f>
        <v>27.261134499207664</v>
      </c>
      <c r="N65" s="240">
        <f>M65*'Imported Price Trends'!$K$19</f>
        <v>29.353340913672081</v>
      </c>
      <c r="O65" s="240">
        <f>N65*'Imported Price Trends'!$L$19</f>
        <v>29.074247251533077</v>
      </c>
      <c r="P65" s="240">
        <f>O65*'Imported Price Trends'!$M$19</f>
        <v>31.373154855564046</v>
      </c>
      <c r="Q65" s="240">
        <f>P65*'Imported Price Trends'!$N$19</f>
        <v>33.175303393579725</v>
      </c>
      <c r="R65" s="240">
        <f>Q65*'Imported Price Trends'!$O$19</f>
        <v>35.643016558225035</v>
      </c>
      <c r="S65" s="240">
        <f>R65*'Imported Price Trends'!$O$19</f>
        <v>38.294288202825115</v>
      </c>
      <c r="T65" s="240">
        <f>S65*'Imported Price Trends'!$O$19</f>
        <v>41.142772149082596</v>
      </c>
      <c r="U65" s="240">
        <f>T65*'Imported Price Trends'!$O$19</f>
        <v>44.203137845148603</v>
      </c>
      <c r="V65" s="240">
        <f>U65*'Imported Price Trends'!$O$19</f>
        <v>47.491145912023271</v>
      </c>
      <c r="W65" s="219"/>
      <c r="X65" s="195">
        <f>X63*$E$6</f>
        <v>899999.1</v>
      </c>
      <c r="Y65" s="195">
        <f t="shared" ref="Y65:AA65" si="137">Y63*$E$6</f>
        <v>899999.1</v>
      </c>
      <c r="Z65" s="195">
        <f t="shared" si="137"/>
        <v>899999.1</v>
      </c>
      <c r="AA65" s="195">
        <f t="shared" si="137"/>
        <v>899999.1</v>
      </c>
      <c r="AB65" s="219">
        <f>X65*VLOOKUP($B65,Types!$B$2:$D$13,3,FALSE)*Conv!$I$5*1000*365</f>
        <v>952001.18713066075</v>
      </c>
      <c r="AC65" s="219">
        <f>Y65*VLOOKUP($B65,Types!$B$2:$D$13,3,FALSE)*Conv!$I$5*1000*365</f>
        <v>952001.18713066075</v>
      </c>
      <c r="AD65" s="219">
        <f>Z65*VLOOKUP($B65,Types!$B$2:$D$13,3,FALSE)*Conv!$I$5*1000*365</f>
        <v>952001.18713066075</v>
      </c>
      <c r="AE65" s="219">
        <f>AA65*VLOOKUP($B65,Types!$B$2:$D$13,3,FALSE)*Conv!$I$5*1000*365</f>
        <v>952001.18713066075</v>
      </c>
      <c r="AF65" s="219">
        <f>AB65-AF64</f>
        <v>105777.90968118433</v>
      </c>
      <c r="AG65" s="219">
        <f t="shared" ref="AG65:AI65" si="138">AC65-AG64</f>
        <v>105777.90968118433</v>
      </c>
      <c r="AH65" s="219">
        <f t="shared" si="138"/>
        <v>105777.90968118433</v>
      </c>
      <c r="AI65" s="219">
        <f t="shared" si="138"/>
        <v>105777.90968118433</v>
      </c>
      <c r="AJ65" s="219"/>
      <c r="AK65" s="219"/>
      <c r="AL65" s="219"/>
    </row>
    <row r="66" spans="1:38">
      <c r="A66" s="195" t="str">
        <f>A65</f>
        <v>Methanol</v>
      </c>
      <c r="B66" s="195" t="str">
        <f>VLOOKUP($A66,Types!$A$2:$C$13,2,FALSE)</f>
        <v>MTH</v>
      </c>
      <c r="C66" s="195">
        <v>4</v>
      </c>
      <c r="D66" s="195">
        <v>1</v>
      </c>
      <c r="E66" s="195" t="str">
        <f t="shared" si="1"/>
        <v>IMPMTHP14</v>
      </c>
      <c r="F66" s="195" t="str">
        <f>CONCATENATE("Imported ",VLOOKUP($A66,Types!$A$2:$C$13,3,FALSE),", PADD ",D66,", Step ",RIGHT(C66,1))</f>
        <v>Imported Methanol, PADD 1, Step 4</v>
      </c>
      <c r="G66" s="195" t="str">
        <f>CONCATENATE(VLOOKUP($A66,Types!$A$2:$C$13,2,FALSE),"P",D66)</f>
        <v>MTHP1</v>
      </c>
      <c r="H66" s="239">
        <f>H63*$C$8</f>
        <v>57.887720000000009</v>
      </c>
      <c r="I66" s="239">
        <f t="shared" ref="I66:K66" si="139">I63*$C$8</f>
        <v>57.264240000000008</v>
      </c>
      <c r="J66" s="239">
        <f t="shared" si="139"/>
        <v>52.058399999999999</v>
      </c>
      <c r="K66" s="239">
        <f t="shared" si="139"/>
        <v>52.058399999999999</v>
      </c>
      <c r="L66" s="240">
        <f>H66*Conv!$J$20/10^6/VLOOKUP($B66,Types!$B$2:$D$13,3,FALSE)/Conv!$I$5</f>
        <v>30.651186528896687</v>
      </c>
      <c r="M66" s="240">
        <f>I66*Conv!$J$20/10^6/VLOOKUP($B66,Types!$B$2:$D$13,3,FALSE)/Conv!$I$5</f>
        <v>30.321057759322819</v>
      </c>
      <c r="N66" s="240">
        <f>M66*'Imported Price Trends'!$K$19</f>
        <v>32.648103669288346</v>
      </c>
      <c r="O66" s="240">
        <f>N66*'Imported Price Trends'!$L$19</f>
        <v>32.337683167521497</v>
      </c>
      <c r="P66" s="240">
        <f>O66*'Imported Price Trends'!$M$19</f>
        <v>34.894631420984517</v>
      </c>
      <c r="Q66" s="240">
        <f>P66*'Imported Price Trends'!$N$19</f>
        <v>36.899061937757061</v>
      </c>
      <c r="R66" s="240">
        <f>Q66*'Imported Price Trends'!$O$19</f>
        <v>39.64376331476052</v>
      </c>
      <c r="S66" s="240">
        <f>R66*'Imported Price Trends'!$O$19</f>
        <v>42.592626674570816</v>
      </c>
      <c r="T66" s="240">
        <f>S66*'Imported Price Trends'!$O$19</f>
        <v>45.760838410714342</v>
      </c>
      <c r="U66" s="240">
        <f>T66*'Imported Price Trends'!$O$19</f>
        <v>49.164714542053062</v>
      </c>
      <c r="V66" s="240">
        <f>U66*'Imported Price Trends'!$O$19</f>
        <v>52.821784738883046</v>
      </c>
      <c r="W66" s="219"/>
      <c r="X66" s="195">
        <f>X63*$E$8</f>
        <v>1199998.8</v>
      </c>
      <c r="Y66" s="195">
        <f t="shared" ref="Y66:AA66" si="140">Y63*$E$8</f>
        <v>1199998.8</v>
      </c>
      <c r="Z66" s="195">
        <f t="shared" si="140"/>
        <v>1199998.8</v>
      </c>
      <c r="AA66" s="195">
        <f t="shared" si="140"/>
        <v>1199998.8</v>
      </c>
      <c r="AB66" s="219">
        <f>X66*VLOOKUP($B66,Types!$B$2:$D$13,3,FALSE)*Conv!$I$5*1000*365</f>
        <v>1269334.9161742146</v>
      </c>
      <c r="AC66" s="219">
        <f>Y66*VLOOKUP($B66,Types!$B$2:$D$13,3,FALSE)*Conv!$I$5*1000*365</f>
        <v>1269334.9161742146</v>
      </c>
      <c r="AD66" s="219">
        <f>Z66*VLOOKUP($B66,Types!$B$2:$D$13,3,FALSE)*Conv!$I$5*1000*365</f>
        <v>1269334.9161742146</v>
      </c>
      <c r="AE66" s="219">
        <f>AA66*VLOOKUP($B66,Types!$B$2:$D$13,3,FALSE)*Conv!$I$5*1000*365</f>
        <v>1269334.9161742146</v>
      </c>
      <c r="AF66" s="219">
        <f>AB66-AB63</f>
        <v>211555.81936236937</v>
      </c>
      <c r="AG66" s="219">
        <f t="shared" ref="AG66:AI66" si="141">AC66-AC63</f>
        <v>211555.81936236937</v>
      </c>
      <c r="AH66" s="219">
        <f t="shared" si="141"/>
        <v>211555.81936236937</v>
      </c>
      <c r="AI66" s="219">
        <f t="shared" si="141"/>
        <v>211555.81936236937</v>
      </c>
      <c r="AJ66" s="219"/>
      <c r="AK66" s="219"/>
      <c r="AL66" s="219"/>
    </row>
    <row r="67" spans="1:38">
      <c r="A67" s="195" t="str">
        <f>A66</f>
        <v>Methanol</v>
      </c>
      <c r="B67" s="195" t="str">
        <f>VLOOKUP($A67,Types!$A$2:$C$13,2,FALSE)</f>
        <v>MTH</v>
      </c>
      <c r="C67" s="195">
        <v>5</v>
      </c>
      <c r="D67" s="195">
        <v>1</v>
      </c>
      <c r="E67" s="195" t="str">
        <f t="shared" si="1"/>
        <v>IMPMTHP15</v>
      </c>
      <c r="F67" s="195" t="str">
        <f>CONCATENATE("Imported ",VLOOKUP($A67,Types!$A$2:$C$13,3,FALSE),", PADD ",D67,", Step ",RIGHT(C67,1))</f>
        <v>Imported Methanol, PADD 1, Step 5</v>
      </c>
      <c r="G67" s="195" t="str">
        <f>CONCATENATE(VLOOKUP($A67,Types!$A$2:$C$13,2,FALSE),"P",D67)</f>
        <v>MTHP1</v>
      </c>
      <c r="H67" s="239">
        <f>H63*$C$9</f>
        <v>69.040400000000005</v>
      </c>
      <c r="I67" s="239">
        <f t="shared" ref="I67:K67" si="142">I63*$C$9</f>
        <v>68.296800000000005</v>
      </c>
      <c r="J67" s="239">
        <f t="shared" si="142"/>
        <v>62.088000000000001</v>
      </c>
      <c r="K67" s="239">
        <f t="shared" si="142"/>
        <v>62.088000000000001</v>
      </c>
      <c r="L67" s="240">
        <f>H67*Conv!$J$20/10^6/VLOOKUP($B67,Types!$B$2:$D$13,3,FALSE)/Conv!$I$5</f>
        <v>36.556460997766685</v>
      </c>
      <c r="M67" s="240">
        <f>I67*Conv!$J$20/10^6/VLOOKUP($B67,Types!$B$2:$D$13,3,FALSE)/Conv!$I$5</f>
        <v>36.162729437724451</v>
      </c>
      <c r="N67" s="240">
        <f>M67*'Imported Price Trends'!$K$19</f>
        <v>38.938105293646636</v>
      </c>
      <c r="O67" s="240">
        <f>N67*'Imported Price Trends'!$L$19</f>
        <v>38.567879007135716</v>
      </c>
      <c r="P67" s="240">
        <f>O67*'Imported Price Trends'!$M$19</f>
        <v>41.617450318605371</v>
      </c>
      <c r="Q67" s="240">
        <f>P67*'Imported Price Trends'!$N$19</f>
        <v>44.00805552209556</v>
      </c>
      <c r="R67" s="240">
        <f>Q67*'Imported Price Trends'!$O$19</f>
        <v>47.281552577237299</v>
      </c>
      <c r="S67" s="240">
        <f>R67*'Imported Price Trends'!$O$19</f>
        <v>50.798545575176178</v>
      </c>
      <c r="T67" s="240">
        <f>S67*'Imported Price Trends'!$O$19</f>
        <v>54.577146728374878</v>
      </c>
      <c r="U67" s="240">
        <f>T67*'Imported Price Trends'!$O$19</f>
        <v>58.636815508870598</v>
      </c>
      <c r="V67" s="240">
        <f>U67*'Imported Price Trends'!$O$19</f>
        <v>62.998458862888008</v>
      </c>
      <c r="W67" s="219"/>
      <c r="X67" s="195">
        <f>X63*$E$9</f>
        <v>1999998</v>
      </c>
      <c r="Y67" s="195">
        <f t="shared" ref="Y67:AA67" si="143">Y63*$E$9</f>
        <v>1999998</v>
      </c>
      <c r="Z67" s="195">
        <f t="shared" si="143"/>
        <v>1999998</v>
      </c>
      <c r="AA67" s="195">
        <f t="shared" si="143"/>
        <v>1999998</v>
      </c>
      <c r="AB67" s="219">
        <f>X67*VLOOKUP($B67,Types!$B$2:$D$13,3,FALSE)*Conv!$I$5*1000*365</f>
        <v>2115558.1936236904</v>
      </c>
      <c r="AC67" s="219">
        <f>Y67*VLOOKUP($B67,Types!$B$2:$D$13,3,FALSE)*Conv!$I$5*1000*365</f>
        <v>2115558.1936236904</v>
      </c>
      <c r="AD67" s="219">
        <f>Z67*VLOOKUP($B67,Types!$B$2:$D$13,3,FALSE)*Conv!$I$5*1000*365</f>
        <v>2115558.1936236904</v>
      </c>
      <c r="AE67" s="219">
        <f>AA67*VLOOKUP($B67,Types!$B$2:$D$13,3,FALSE)*Conv!$I$5*1000*365</f>
        <v>2115558.1936236904</v>
      </c>
      <c r="AF67" s="219">
        <f>AB67-AB66</f>
        <v>846223.27744947583</v>
      </c>
      <c r="AG67" s="219">
        <f t="shared" ref="AG67:AI67" si="144">AC67-AC66</f>
        <v>846223.27744947583</v>
      </c>
      <c r="AH67" s="219">
        <f t="shared" si="144"/>
        <v>846223.27744947583</v>
      </c>
      <c r="AI67" s="219">
        <f t="shared" si="144"/>
        <v>846223.27744947583</v>
      </c>
      <c r="AJ67" s="219"/>
      <c r="AK67" s="219"/>
      <c r="AL67" s="219"/>
    </row>
    <row r="68" spans="1:38">
      <c r="A68" s="195" t="str">
        <f>'Agg prdcrv'!$A$19</f>
        <v>ULS Diesel (15 ppm)</v>
      </c>
      <c r="B68" s="195" t="str">
        <f>VLOOKUP($A68,Types!$A$2:$C$13,2,FALSE)</f>
        <v>DSU</v>
      </c>
      <c r="C68" s="195">
        <v>3</v>
      </c>
      <c r="D68" s="195">
        <v>1</v>
      </c>
      <c r="E68" s="195" t="str">
        <f t="shared" si="1"/>
        <v>IMPDSUP13</v>
      </c>
      <c r="F68" s="195" t="str">
        <f>CONCATENATE("Imported ",VLOOKUP($A68,Types!$A$2:$C$13,3,FALSE),", PADD ",D68,", Step ",RIGHT(C68,1))</f>
        <v>Imported Distillate-Ultralow Sulfur Highway Diesel (15 ppm), PADD 1, Step 3</v>
      </c>
      <c r="G68" s="195" t="str">
        <f>CONCATENATE(VLOOKUP($A68,Types!$A$2:$C$13,2,FALSE),"P",D68)</f>
        <v>DSUP1</v>
      </c>
      <c r="H68" s="239">
        <f>SUMIFS('Agg prdcrv NYC'!$L$6:$L$100,'Agg prdcrv NYC'!$A$6:$A$100,'Imp Refined NYC'!$A68,'Agg prdcrv NYC'!$B$6:$B$100,H$11)*K4</f>
        <v>63.283000000000008</v>
      </c>
      <c r="I68" s="239">
        <f>SUMIFS('Agg prdcrv NYC'!$L$6:$L$100,'Agg prdcrv NYC'!$A$6:$A$100,'Imp Refined NYC'!$A68,'Agg prdcrv NYC'!$B$6:$B$100,I$11)*K4</f>
        <v>54.318000000000005</v>
      </c>
      <c r="J68" s="239">
        <f t="array" ref="J68">SUMIFS('Agg prdcrv NYC'!$L$6:$L$100,'Agg prdcrv NYC'!$A$6:$A$100,'Imp Refined NYC'!$A68,'Agg prdcrv NYC'!$B$6:$B$100,J$11)</f>
        <v>41.43</v>
      </c>
      <c r="K68" s="239">
        <f t="array" ref="K68">SUMIFS('Agg prdcrv NYC'!$L$6:$L$100,'Agg prdcrv NYC'!$A$6:$A$100,'Imp Refined NYC'!$A68,'Agg prdcrv NYC'!$B$6:$B$100,K$11)</f>
        <v>44.81</v>
      </c>
      <c r="L68" s="240">
        <f>H68*Conv!$J$20/10^6/VLOOKUP($B68,Types!$B$2:$D$13,3,FALSE)/Conv!$I$5</f>
        <v>15.80079777029813</v>
      </c>
      <c r="M68" s="240">
        <f>I68*Conv!$J$20/10^6/VLOOKUP($B68,Types!$B$2:$D$13,3,FALSE)/Conv!$I$5</f>
        <v>13.562374307271364</v>
      </c>
      <c r="N68" s="240">
        <f>M68*'Imported Price Trends'!$K$19</f>
        <v>14.603243920451449</v>
      </c>
      <c r="O68" s="240">
        <f>N68*'Imported Price Trends'!$L$19</f>
        <v>14.464395234134805</v>
      </c>
      <c r="P68" s="240">
        <f>O68*'Imported Price Trends'!$M$19</f>
        <v>15.608098385029226</v>
      </c>
      <c r="Q68" s="240">
        <f>P68*'Imported Price Trends'!$N$19</f>
        <v>16.50466463140393</v>
      </c>
      <c r="R68" s="240">
        <f>Q68*'Imported Price Trends'!$O$19</f>
        <v>17.732348300360318</v>
      </c>
      <c r="S68" s="240">
        <f>R68*'Imported Price Trends'!$O$19</f>
        <v>19.051352043046315</v>
      </c>
      <c r="T68" s="240">
        <f>S68*'Imported Price Trends'!$O$19</f>
        <v>20.468468615671721</v>
      </c>
      <c r="U68" s="240">
        <f>T68*'Imported Price Trends'!$O$19</f>
        <v>21.990996047110301</v>
      </c>
      <c r="V68" s="240">
        <f>U68*'Imported Price Trends'!$O$19</f>
        <v>23.626775223122877</v>
      </c>
      <c r="W68" s="219"/>
      <c r="X68" s="195">
        <f t="array" ref="X68">SUMIFS('Agg prdcrv NYC'!$D$6:$D$100,'Agg prdcrv NYC'!$A$6:$A$100,'Imp Refined NYC'!$A68,'Agg prdcrv NYC'!$B$6:$B$100,X$11)</f>
        <v>999999</v>
      </c>
      <c r="Y68" s="195">
        <f t="array" ref="Y68">SUMIFS('Agg prdcrv NYC'!$D$6:$D$100,'Agg prdcrv NYC'!$A$6:$A$100,'Imp Refined NYC'!$A68,'Agg prdcrv NYC'!$B$6:$B$100,Y$11)</f>
        <v>999999</v>
      </c>
      <c r="Z68" s="195">
        <f t="array" ref="Z68">SUMIFS('Agg prdcrv NYC'!$D$6:$D$100,'Agg prdcrv NYC'!$A$6:$A$100,'Imp Refined NYC'!$A68,'Agg prdcrv NYC'!$B$6:$B$100,Z$11)</f>
        <v>999999</v>
      </c>
      <c r="AA68" s="195">
        <f t="array" ref="AA68">SUMIFS('Agg prdcrv NYC'!$D$6:$D$100,'Agg prdcrv NYC'!$A$6:$A$100,'Imp Refined NYC'!$A68,'Agg prdcrv NYC'!$B$6:$B$100,AA$11)</f>
        <v>999999</v>
      </c>
      <c r="AB68" s="219">
        <f>X68*VLOOKUP($B68,Types!$B$2:$D$13,3,FALSE)*Conv!$I$5*1000*365</f>
        <v>2243178.6948190616</v>
      </c>
      <c r="AC68" s="219">
        <f>Y68*VLOOKUP($B68,Types!$B$2:$D$13,3,FALSE)*Conv!$I$5*1000*365</f>
        <v>2243178.6948190616</v>
      </c>
      <c r="AD68" s="219">
        <f>Z68*VLOOKUP($B68,Types!$B$2:$D$13,3,FALSE)*Conv!$I$5*1000*365</f>
        <v>2243178.6948190616</v>
      </c>
      <c r="AE68" s="219">
        <f>AA68*VLOOKUP($B68,Types!$B$2:$D$13,3,FALSE)*Conv!$I$5*1000*365</f>
        <v>2243178.6948190616</v>
      </c>
      <c r="AF68" s="219">
        <f>AB68-AB70</f>
        <v>224317.86948190606</v>
      </c>
      <c r="AG68" s="219">
        <f t="shared" ref="AG68:AI68" si="145">AC68-AC70</f>
        <v>224317.86948190606</v>
      </c>
      <c r="AH68" s="219">
        <f t="shared" si="145"/>
        <v>224317.86948190606</v>
      </c>
      <c r="AI68" s="219">
        <f t="shared" si="145"/>
        <v>224317.86948190606</v>
      </c>
      <c r="AJ68" s="219"/>
      <c r="AK68" s="219"/>
      <c r="AL68" s="219"/>
    </row>
    <row r="69" spans="1:38">
      <c r="A69" s="195" t="str">
        <f>A68</f>
        <v>ULS Diesel (15 ppm)</v>
      </c>
      <c r="B69" s="195" t="str">
        <f>VLOOKUP($A69,Types!$A$2:$C$13,2,FALSE)</f>
        <v>DSU</v>
      </c>
      <c r="C69" s="195">
        <v>1</v>
      </c>
      <c r="D69" s="195">
        <v>1</v>
      </c>
      <c r="E69" s="195" t="str">
        <f t="shared" si="1"/>
        <v>IMPDSUP11</v>
      </c>
      <c r="F69" s="195" t="str">
        <f>CONCATENATE("Imported ",VLOOKUP($A69,Types!$A$2:$C$13,3,FALSE),", PADD ",D69,", Step ",RIGHT(C69,1))</f>
        <v>Imported Distillate-Ultralow Sulfur Highway Diesel (15 ppm), PADD 1, Step 1</v>
      </c>
      <c r="G69" s="195" t="str">
        <f>CONCATENATE(VLOOKUP($A69,Types!$A$2:$C$13,2,FALSE),"P",D69)</f>
        <v>DSUP1</v>
      </c>
      <c r="H69" s="239">
        <f>H68*$C$5</f>
        <v>60.118850000000002</v>
      </c>
      <c r="I69" s="239">
        <f t="shared" ref="I69:K69" si="146">I68*$C$5</f>
        <v>51.6021</v>
      </c>
      <c r="J69" s="239">
        <f t="shared" si="146"/>
        <v>39.358499999999999</v>
      </c>
      <c r="K69" s="239">
        <f t="shared" si="146"/>
        <v>42.569499999999998</v>
      </c>
      <c r="L69" s="240">
        <f>H69*Conv!$J$20/10^6/VLOOKUP($B69,Types!$B$2:$D$13,3,FALSE)/Conv!$I$5</f>
        <v>15.010757881783222</v>
      </c>
      <c r="M69" s="240">
        <f>I69*Conv!$J$20/10^6/VLOOKUP($B69,Types!$B$2:$D$13,3,FALSE)/Conv!$I$5</f>
        <v>12.884255591907797</v>
      </c>
      <c r="N69" s="240">
        <f>M69*'Imported Price Trends'!$K$19</f>
        <v>13.873081724428879</v>
      </c>
      <c r="O69" s="240">
        <f>N69*'Imported Price Trends'!$L$19</f>
        <v>13.741175472428068</v>
      </c>
      <c r="P69" s="240">
        <f>O69*'Imported Price Trends'!$M$19</f>
        <v>14.827693465777768</v>
      </c>
      <c r="Q69" s="240">
        <f>P69*'Imported Price Trends'!$N$19</f>
        <v>15.679431399833737</v>
      </c>
      <c r="R69" s="240">
        <f>Q69*'Imported Price Trends'!$O$19</f>
        <v>16.845730885342306</v>
      </c>
      <c r="S69" s="240">
        <f>R69*'Imported Price Trends'!$O$19</f>
        <v>18.098784440894001</v>
      </c>
      <c r="T69" s="240">
        <f>S69*'Imported Price Trends'!$O$19</f>
        <v>19.445045184888137</v>
      </c>
      <c r="U69" s="240">
        <f>T69*'Imported Price Trends'!$O$19</f>
        <v>20.891446244754786</v>
      </c>
      <c r="V69" s="240">
        <f>U69*'Imported Price Trends'!$O$19</f>
        <v>22.445436461966732</v>
      </c>
      <c r="W69" s="219"/>
      <c r="X69" s="195">
        <f>X68*$E$5</f>
        <v>799999.20000000007</v>
      </c>
      <c r="Y69" s="195">
        <f t="shared" ref="Y69:AA69" si="147">Y68*$E$5</f>
        <v>799999.20000000007</v>
      </c>
      <c r="Z69" s="195">
        <f t="shared" si="147"/>
        <v>799999.20000000007</v>
      </c>
      <c r="AA69" s="195">
        <f t="shared" si="147"/>
        <v>799999.20000000007</v>
      </c>
      <c r="AB69" s="219">
        <f>X69*VLOOKUP($B69,Types!$B$2:$D$13,3,FALSE)*Conv!$I$5*1000*365</f>
        <v>1794542.9558552499</v>
      </c>
      <c r="AC69" s="219">
        <f>Y69*VLOOKUP($B69,Types!$B$2:$D$13,3,FALSE)*Conv!$I$5*1000*365</f>
        <v>1794542.9558552499</v>
      </c>
      <c r="AD69" s="219">
        <f>Z69*VLOOKUP($B69,Types!$B$2:$D$13,3,FALSE)*Conv!$I$5*1000*365</f>
        <v>1794542.9558552499</v>
      </c>
      <c r="AE69" s="219">
        <f>AA69*VLOOKUP($B69,Types!$B$2:$D$13,3,FALSE)*Conv!$I$5*1000*365</f>
        <v>1794542.9558552499</v>
      </c>
      <c r="AF69" s="219">
        <f>AB69</f>
        <v>1794542.9558552499</v>
      </c>
      <c r="AG69" s="219">
        <f t="shared" ref="AG69:AI69" si="148">AC69</f>
        <v>1794542.9558552499</v>
      </c>
      <c r="AH69" s="219">
        <f t="shared" si="148"/>
        <v>1794542.9558552499</v>
      </c>
      <c r="AI69" s="219">
        <f t="shared" si="148"/>
        <v>1794542.9558552499</v>
      </c>
      <c r="AJ69" s="219"/>
      <c r="AK69" s="219"/>
      <c r="AL69" s="219"/>
    </row>
    <row r="70" spans="1:38">
      <c r="A70" s="195" t="str">
        <f>A69</f>
        <v>ULS Diesel (15 ppm)</v>
      </c>
      <c r="B70" s="195" t="str">
        <f>VLOOKUP($A70,Types!$A$2:$C$13,2,FALSE)</f>
        <v>DSU</v>
      </c>
      <c r="C70" s="195">
        <v>2</v>
      </c>
      <c r="D70" s="195">
        <v>1</v>
      </c>
      <c r="E70" s="195" t="str">
        <f t="shared" si="1"/>
        <v>IMPDSUP12</v>
      </c>
      <c r="F70" s="195" t="str">
        <f>CONCATENATE("Imported ",VLOOKUP($A70,Types!$A$2:$C$13,3,FALSE),", PADD ",D70,", Step ",RIGHT(C70,1))</f>
        <v>Imported Distillate-Ultralow Sulfur Highway Diesel (15 ppm), PADD 1, Step 2</v>
      </c>
      <c r="G70" s="195" t="str">
        <f>CONCATENATE(VLOOKUP($A70,Types!$A$2:$C$13,2,FALSE),"P",D70)</f>
        <v>DSUP1</v>
      </c>
      <c r="H70" s="239">
        <f>H68*$C$6</f>
        <v>62.017340000000004</v>
      </c>
      <c r="I70" s="239">
        <f t="shared" ref="I70:K70" si="149">I68*$C$6</f>
        <v>53.231640000000006</v>
      </c>
      <c r="J70" s="239">
        <f t="shared" si="149"/>
        <v>40.601399999999998</v>
      </c>
      <c r="K70" s="239">
        <f t="shared" si="149"/>
        <v>43.913800000000002</v>
      </c>
      <c r="L70" s="240">
        <f>H70*Conv!$J$20/10^6/VLOOKUP($B70,Types!$B$2:$D$13,3,FALSE)/Conv!$I$5</f>
        <v>15.484781814892168</v>
      </c>
      <c r="M70" s="240">
        <f>I70*Conv!$J$20/10^6/VLOOKUP($B70,Types!$B$2:$D$13,3,FALSE)/Conv!$I$5</f>
        <v>13.291126821125939</v>
      </c>
      <c r="N70" s="240">
        <f>M70*'Imported Price Trends'!$K$19</f>
        <v>14.311179042042422</v>
      </c>
      <c r="O70" s="240">
        <f>N70*'Imported Price Trends'!$L$19</f>
        <v>14.175107329452112</v>
      </c>
      <c r="P70" s="240">
        <f>O70*'Imported Price Trends'!$M$19</f>
        <v>15.295936417328646</v>
      </c>
      <c r="Q70" s="240">
        <f>P70*'Imported Price Trends'!$N$19</f>
        <v>16.174571338775856</v>
      </c>
      <c r="R70" s="240">
        <f>Q70*'Imported Price Trends'!$O$19</f>
        <v>17.377701334353116</v>
      </c>
      <c r="S70" s="240">
        <f>R70*'Imported Price Trends'!$O$19</f>
        <v>18.67032500218539</v>
      </c>
      <c r="T70" s="240">
        <f>S70*'Imported Price Trends'!$O$19</f>
        <v>20.05909924335829</v>
      </c>
      <c r="U70" s="240">
        <f>T70*'Imported Price Trends'!$O$19</f>
        <v>21.551176126168098</v>
      </c>
      <c r="V70" s="240">
        <f>U70*'Imported Price Trends'!$O$19</f>
        <v>23.154239718660424</v>
      </c>
      <c r="W70" s="219"/>
      <c r="X70" s="195">
        <f>X68*$E$6</f>
        <v>899999.1</v>
      </c>
      <c r="Y70" s="195">
        <f t="shared" ref="Y70:AA70" si="150">Y68*$E$6</f>
        <v>899999.1</v>
      </c>
      <c r="Z70" s="195">
        <f t="shared" si="150"/>
        <v>899999.1</v>
      </c>
      <c r="AA70" s="195">
        <f t="shared" si="150"/>
        <v>899999.1</v>
      </c>
      <c r="AB70" s="219">
        <f>X70*VLOOKUP($B70,Types!$B$2:$D$13,3,FALSE)*Conv!$I$5*1000*365</f>
        <v>2018860.8253371555</v>
      </c>
      <c r="AC70" s="219">
        <f>Y70*VLOOKUP($B70,Types!$B$2:$D$13,3,FALSE)*Conv!$I$5*1000*365</f>
        <v>2018860.8253371555</v>
      </c>
      <c r="AD70" s="219">
        <f>Z70*VLOOKUP($B70,Types!$B$2:$D$13,3,FALSE)*Conv!$I$5*1000*365</f>
        <v>2018860.8253371555</v>
      </c>
      <c r="AE70" s="219">
        <f>AA70*VLOOKUP($B70,Types!$B$2:$D$13,3,FALSE)*Conv!$I$5*1000*365</f>
        <v>2018860.8253371555</v>
      </c>
      <c r="AF70" s="219">
        <f>AB70-AF69</f>
        <v>224317.8694819056</v>
      </c>
      <c r="AG70" s="219">
        <f t="shared" ref="AG70:AI70" si="151">AC70-AG69</f>
        <v>224317.8694819056</v>
      </c>
      <c r="AH70" s="219">
        <f t="shared" si="151"/>
        <v>224317.8694819056</v>
      </c>
      <c r="AI70" s="219">
        <f t="shared" si="151"/>
        <v>224317.8694819056</v>
      </c>
      <c r="AJ70" s="219"/>
      <c r="AK70" s="219"/>
      <c r="AL70" s="219"/>
    </row>
    <row r="71" spans="1:38">
      <c r="A71" s="195" t="str">
        <f>A70</f>
        <v>ULS Diesel (15 ppm)</v>
      </c>
      <c r="B71" s="195" t="str">
        <f>VLOOKUP($A71,Types!$A$2:$C$13,2,FALSE)</f>
        <v>DSU</v>
      </c>
      <c r="C71" s="195">
        <v>4</v>
      </c>
      <c r="D71" s="195">
        <v>1</v>
      </c>
      <c r="E71" s="195" t="str">
        <f t="shared" si="1"/>
        <v>IMPDSUP14</v>
      </c>
      <c r="F71" s="195" t="str">
        <f>CONCATENATE("Imported ",VLOOKUP($A71,Types!$A$2:$C$13,3,FALSE),", PADD ",D71,", Step ",RIGHT(C71,1))</f>
        <v>Imported Distillate-Ultralow Sulfur Highway Diesel (15 ppm), PADD 1, Step 4</v>
      </c>
      <c r="G71" s="195" t="str">
        <f>CONCATENATE(VLOOKUP($A71,Types!$A$2:$C$13,2,FALSE),"P",D71)</f>
        <v>DSUP1</v>
      </c>
      <c r="H71" s="239">
        <f>H68*$C$8</f>
        <v>68.978470000000016</v>
      </c>
      <c r="I71" s="239">
        <f t="shared" ref="I71:K71" si="152">I68*$C$8</f>
        <v>59.206620000000008</v>
      </c>
      <c r="J71" s="239">
        <f t="shared" si="152"/>
        <v>45.158700000000003</v>
      </c>
      <c r="K71" s="239">
        <f t="shared" si="152"/>
        <v>48.842900000000007</v>
      </c>
      <c r="L71" s="240">
        <f>H71*Conv!$J$20/10^6/VLOOKUP($B71,Types!$B$2:$D$13,3,FALSE)/Conv!$I$5</f>
        <v>17.222869569624965</v>
      </c>
      <c r="M71" s="240">
        <f>I71*Conv!$J$20/10^6/VLOOKUP($B71,Types!$B$2:$D$13,3,FALSE)/Conv!$I$5</f>
        <v>14.782987994925788</v>
      </c>
      <c r="N71" s="240">
        <f>M71*'Imported Price Trends'!$K$19</f>
        <v>15.917535873292081</v>
      </c>
      <c r="O71" s="240">
        <f>N71*'Imported Price Trends'!$L$19</f>
        <v>15.766190805206941</v>
      </c>
      <c r="P71" s="240">
        <f>O71*'Imported Price Trends'!$M$19</f>
        <v>17.012827239681862</v>
      </c>
      <c r="Q71" s="240">
        <f>P71*'Imported Price Trends'!$N$19</f>
        <v>17.990084448230288</v>
      </c>
      <c r="R71" s="240">
        <f>Q71*'Imported Price Trends'!$O$19</f>
        <v>19.328259647392752</v>
      </c>
      <c r="S71" s="240">
        <f>R71*'Imported Price Trends'!$O$19</f>
        <v>20.765973726920485</v>
      </c>
      <c r="T71" s="240">
        <f>S71*'Imported Price Trends'!$O$19</f>
        <v>22.310630791082179</v>
      </c>
      <c r="U71" s="240">
        <f>T71*'Imported Price Trends'!$O$19</f>
        <v>23.970185691350228</v>
      </c>
      <c r="V71" s="240">
        <f>U71*'Imported Price Trends'!$O$19</f>
        <v>25.753184993203934</v>
      </c>
      <c r="W71" s="219"/>
      <c r="X71" s="195">
        <f>X68*$E$8</f>
        <v>1199998.8</v>
      </c>
      <c r="Y71" s="195">
        <f t="shared" ref="Y71:AA71" si="153">Y68*$E$8</f>
        <v>1199998.8</v>
      </c>
      <c r="Z71" s="195">
        <f t="shared" si="153"/>
        <v>1199998.8</v>
      </c>
      <c r="AA71" s="195">
        <f t="shared" si="153"/>
        <v>1199998.8</v>
      </c>
      <c r="AB71" s="219">
        <f>X71*VLOOKUP($B71,Types!$B$2:$D$13,3,FALSE)*Conv!$I$5*1000*365</f>
        <v>2691814.4337828746</v>
      </c>
      <c r="AC71" s="219">
        <f>Y71*VLOOKUP($B71,Types!$B$2:$D$13,3,FALSE)*Conv!$I$5*1000*365</f>
        <v>2691814.4337828746</v>
      </c>
      <c r="AD71" s="219">
        <f>Z71*VLOOKUP($B71,Types!$B$2:$D$13,3,FALSE)*Conv!$I$5*1000*365</f>
        <v>2691814.4337828746</v>
      </c>
      <c r="AE71" s="219">
        <f>AA71*VLOOKUP($B71,Types!$B$2:$D$13,3,FALSE)*Conv!$I$5*1000*365</f>
        <v>2691814.4337828746</v>
      </c>
      <c r="AF71" s="219">
        <f>AB71-AB68</f>
        <v>448635.73896381306</v>
      </c>
      <c r="AG71" s="219">
        <f t="shared" ref="AG71:AI71" si="154">AC71-AC68</f>
        <v>448635.73896381306</v>
      </c>
      <c r="AH71" s="219">
        <f t="shared" si="154"/>
        <v>448635.73896381306</v>
      </c>
      <c r="AI71" s="219">
        <f t="shared" si="154"/>
        <v>448635.73896381306</v>
      </c>
      <c r="AJ71" s="219"/>
      <c r="AK71" s="219"/>
      <c r="AL71" s="219"/>
    </row>
    <row r="72" spans="1:38">
      <c r="A72" s="195" t="str">
        <f>A71</f>
        <v>ULS Diesel (15 ppm)</v>
      </c>
      <c r="B72" s="195" t="str">
        <f>VLOOKUP($A72,Types!$A$2:$C$13,2,FALSE)</f>
        <v>DSU</v>
      </c>
      <c r="C72" s="195">
        <v>5</v>
      </c>
      <c r="D72" s="195">
        <v>1</v>
      </c>
      <c r="E72" s="195" t="str">
        <f t="shared" si="1"/>
        <v>IMPDSUP15</v>
      </c>
      <c r="F72" s="195" t="str">
        <f>CONCATENATE("Imported ",VLOOKUP($A72,Types!$A$2:$C$13,3,FALSE),", PADD ",D72,", Step ",RIGHT(C72,1))</f>
        <v>Imported Distillate-Ultralow Sulfur Highway Diesel (15 ppm), PADD 1, Step 5</v>
      </c>
      <c r="G72" s="195" t="str">
        <f>CONCATENATE(VLOOKUP($A72,Types!$A$2:$C$13,2,FALSE),"P",D72)</f>
        <v>DSUP1</v>
      </c>
      <c r="H72" s="239">
        <f>H68*$C$9</f>
        <v>82.267900000000012</v>
      </c>
      <c r="I72" s="239">
        <f t="shared" ref="I72:K72" si="155">I68*$C$9</f>
        <v>70.613400000000013</v>
      </c>
      <c r="J72" s="239">
        <f t="shared" si="155"/>
        <v>53.859000000000002</v>
      </c>
      <c r="K72" s="239">
        <f t="shared" si="155"/>
        <v>58.253000000000007</v>
      </c>
      <c r="L72" s="240">
        <f>H72*Conv!$J$20/10^6/VLOOKUP($B72,Types!$B$2:$D$13,3,FALSE)/Conv!$I$5</f>
        <v>20.54103710138757</v>
      </c>
      <c r="M72" s="240">
        <f>I72*Conv!$J$20/10^6/VLOOKUP($B72,Types!$B$2:$D$13,3,FALSE)/Conv!$I$5</f>
        <v>17.631086599452779</v>
      </c>
      <c r="N72" s="240">
        <f>M72*'Imported Price Trends'!$K$19</f>
        <v>18.984217096586889</v>
      </c>
      <c r="O72" s="240">
        <f>N72*'Imported Price Trends'!$L$19</f>
        <v>18.803713804375253</v>
      </c>
      <c r="P72" s="240">
        <f>O72*'Imported Price Trends'!$M$19</f>
        <v>20.290527900537999</v>
      </c>
      <c r="Q72" s="240">
        <f>P72*'Imported Price Trends'!$N$19</f>
        <v>21.456064020825114</v>
      </c>
      <c r="R72" s="240">
        <f>Q72*'Imported Price Trends'!$O$19</f>
        <v>23.052052790468419</v>
      </c>
      <c r="S72" s="240">
        <f>R72*'Imported Price Trends'!$O$19</f>
        <v>24.766757655960213</v>
      </c>
      <c r="T72" s="240">
        <f>S72*'Imported Price Trends'!$O$19</f>
        <v>26.60900920037324</v>
      </c>
      <c r="U72" s="240">
        <f>T72*'Imported Price Trends'!$O$19</f>
        <v>28.588294861243391</v>
      </c>
      <c r="V72" s="240">
        <f>U72*'Imported Price Trends'!$O$19</f>
        <v>30.714807790059741</v>
      </c>
      <c r="W72" s="219"/>
      <c r="X72" s="195">
        <f>X68*$E$9</f>
        <v>1999998</v>
      </c>
      <c r="Y72" s="195">
        <f t="shared" ref="Y72:AA72" si="156">Y68*$E$9</f>
        <v>1999998</v>
      </c>
      <c r="Z72" s="195">
        <f t="shared" si="156"/>
        <v>1999998</v>
      </c>
      <c r="AA72" s="195">
        <f t="shared" si="156"/>
        <v>1999998</v>
      </c>
      <c r="AB72" s="219">
        <f>X72*VLOOKUP($B72,Types!$B$2:$D$13,3,FALSE)*Conv!$I$5*1000*365</f>
        <v>4486357.3896381231</v>
      </c>
      <c r="AC72" s="219">
        <f>Y72*VLOOKUP($B72,Types!$B$2:$D$13,3,FALSE)*Conv!$I$5*1000*365</f>
        <v>4486357.3896381231</v>
      </c>
      <c r="AD72" s="219">
        <f>Z72*VLOOKUP($B72,Types!$B$2:$D$13,3,FALSE)*Conv!$I$5*1000*365</f>
        <v>4486357.3896381231</v>
      </c>
      <c r="AE72" s="219">
        <f>AA72*VLOOKUP($B72,Types!$B$2:$D$13,3,FALSE)*Conv!$I$5*1000*365</f>
        <v>4486357.3896381231</v>
      </c>
      <c r="AF72" s="219">
        <f>AB72-AB71</f>
        <v>1794542.9558552485</v>
      </c>
      <c r="AG72" s="219">
        <f t="shared" ref="AG72:AI72" si="157">AC72-AC71</f>
        <v>1794542.9558552485</v>
      </c>
      <c r="AH72" s="219">
        <f t="shared" si="157"/>
        <v>1794542.9558552485</v>
      </c>
      <c r="AI72" s="219">
        <f t="shared" si="157"/>
        <v>1794542.9558552485</v>
      </c>
      <c r="AJ72" s="219"/>
      <c r="AK72" s="219"/>
      <c r="AL72" s="219"/>
    </row>
    <row r="73" spans="1:38">
      <c r="A73" s="195" t="s">
        <v>588</v>
      </c>
      <c r="H73" s="239"/>
      <c r="I73" s="239"/>
      <c r="J73" s="239"/>
      <c r="K73" s="239"/>
      <c r="L73" s="240"/>
      <c r="M73" s="240"/>
      <c r="N73" s="240"/>
      <c r="O73" s="240"/>
      <c r="P73" s="240"/>
      <c r="Q73" s="240"/>
      <c r="R73" s="240"/>
      <c r="S73" s="240"/>
      <c r="T73" s="240"/>
      <c r="U73" s="240"/>
      <c r="V73" s="240"/>
      <c r="W73" s="219"/>
      <c r="AB73" s="219"/>
      <c r="AC73" s="219"/>
      <c r="AD73" s="219"/>
      <c r="AE73" s="219"/>
      <c r="AF73" s="219"/>
      <c r="AG73" s="219"/>
      <c r="AH73" s="219"/>
      <c r="AI73" s="219"/>
      <c r="AJ73" s="219"/>
      <c r="AK73" s="219"/>
      <c r="AL73" s="219"/>
    </row>
    <row r="74" spans="1:38" s="202" customFormat="1">
      <c r="A74" s="202" t="s">
        <v>725</v>
      </c>
      <c r="H74" s="241"/>
      <c r="I74" s="241"/>
      <c r="J74" s="241"/>
      <c r="K74" s="241"/>
      <c r="L74" s="242"/>
      <c r="M74" s="242"/>
      <c r="N74" s="242"/>
      <c r="O74" s="242"/>
      <c r="P74" s="242"/>
      <c r="Q74" s="242"/>
      <c r="R74" s="242"/>
      <c r="S74" s="242"/>
      <c r="T74" s="242"/>
      <c r="U74" s="242"/>
      <c r="V74" s="242"/>
    </row>
    <row r="75" spans="1:38">
      <c r="A75" s="195" t="str">
        <f>'Agg prdcrv'!$A$6</f>
        <v>Reformulated Mogas</v>
      </c>
      <c r="B75" s="195" t="str">
        <f>VLOOKUP($A75,Types!$A$2:$C$13,2,FALSE)</f>
        <v>GSR</v>
      </c>
      <c r="C75" s="195">
        <v>3</v>
      </c>
      <c r="D75" s="195">
        <v>2</v>
      </c>
      <c r="E75" s="195" t="str">
        <f t="shared" ref="E75:E118" si="158">CONCATENATE("IMP",G75,RIGHT(C75,1))</f>
        <v>IMPGSRP23</v>
      </c>
      <c r="F75" s="195" t="str">
        <f>CONCATENATE("Imported ",VLOOKUP($A75,Types!$A$2:$C$13,3,FALSE),", PADD ",D75,", Step ",RIGHT(C75,1))</f>
        <v>Imported Reformulated Gasoline, PADD 2, Step 3</v>
      </c>
      <c r="G75" s="195" t="str">
        <f>CONCATENATE(VLOOKUP($A75,Types!$A$2:$C$13,2,FALSE),"P",D75)</f>
        <v>GSRP2</v>
      </c>
      <c r="H75" s="239">
        <f>SUMIFS('Agg prdcrv NYC'!$M$6:$M$100,'Agg prdcrv NYC'!$A$6:$A$100,'Imp Refined NYC'!$A75,'Agg prdcrv NYC'!$B$6:$B$100,H$11)*K4</f>
        <v>69.311000000000007</v>
      </c>
      <c r="I75" s="239">
        <f>SUMIFS('Agg prdcrv NYC'!$M$6:$M$100,'Agg prdcrv NYC'!$A$6:$A$100,'Imp Refined NYC'!$A75,'Agg prdcrv NYC'!$B$6:$B$100,I$11)*K4</f>
        <v>124.85000000000001</v>
      </c>
      <c r="J75" s="239">
        <f t="array" ref="J75">SUMIFS('Agg prdcrv NYC'!$M$6:$M$100,'Agg prdcrv NYC'!$A$6:$A$100,'Imp Refined NYC'!$A75,'Agg prdcrv NYC'!$B$6:$B$100,J$11)</f>
        <v>113.5</v>
      </c>
      <c r="K75" s="239">
        <f t="array" ref="K75">SUMIFS('Agg prdcrv NYC'!$M$6:$M$100,'Agg prdcrv NYC'!$A$6:$A$100,'Imp Refined NYC'!$A75,'Agg prdcrv NYC'!$B$6:$B$100,K$11)</f>
        <v>113.5</v>
      </c>
      <c r="L75" s="240">
        <f>H75*Conv!$J$20/10^6/VLOOKUP($B75,Types!$B$2:$D$13,3,FALSE)/Conv!$I$5</f>
        <v>19.574145893405639</v>
      </c>
      <c r="M75" s="240">
        <f>I75*Conv!$J$20/10^6/VLOOKUP($B75,Types!$B$2:$D$13,3,FALSE)/Conv!$I$5</f>
        <v>35.258936024465008</v>
      </c>
      <c r="N75" s="240">
        <f>M75*'Imported Price Trends'!$K$19</f>
        <v>37.964948575766577</v>
      </c>
      <c r="O75" s="240">
        <f>N75*'Imported Price Trends'!$L$19</f>
        <v>37.603975132842592</v>
      </c>
      <c r="P75" s="240">
        <f>O75*'Imported Price Trends'!$M$19</f>
        <v>40.577330337081797</v>
      </c>
      <c r="Q75" s="240">
        <f>P75*'Imported Price Trends'!$N$19</f>
        <v>42.908188578154814</v>
      </c>
      <c r="R75" s="240">
        <f>Q75*'Imported Price Trends'!$O$19</f>
        <v>46.099873084222892</v>
      </c>
      <c r="S75" s="240">
        <f>R75*'Imported Price Trends'!$O$19</f>
        <v>49.528967984992676</v>
      </c>
      <c r="T75" s="240">
        <f>S75*'Imported Price Trends'!$O$19</f>
        <v>53.213132825261049</v>
      </c>
      <c r="U75" s="240">
        <f>T75*'Imported Price Trends'!$O$19</f>
        <v>57.171340738148714</v>
      </c>
      <c r="V75" s="240">
        <f>U75*'Imported Price Trends'!$O$19</f>
        <v>61.423976155109372</v>
      </c>
      <c r="W75" s="219"/>
      <c r="X75" s="195">
        <f t="array" ref="X75">SUMIFS('Agg prdcrv NYC'!$E$6:$E$100,'Agg prdcrv NYC'!$A$6:$A$100,'Imp Refined NYC'!$A75,'Agg prdcrv NYC'!$B$6:$B$100,X$11)</f>
        <v>999999</v>
      </c>
      <c r="Y75" s="195">
        <f t="array" ref="Y75">SUMIFS('Agg prdcrv NYC'!$E$6:$E$100,'Agg prdcrv NYC'!$A$6:$A$100,'Imp Refined NYC'!$A75,'Agg prdcrv NYC'!$B$6:$B$100,Y$11)</f>
        <v>999999</v>
      </c>
      <c r="Z75" s="195">
        <f t="array" ref="Z75">SUMIFS('Agg prdcrv NYC'!$E$6:$E$100,'Agg prdcrv NYC'!$A$6:$A$100,'Imp Refined NYC'!$A75,'Agg prdcrv NYC'!$B$6:$B$100,Z$11)</f>
        <v>999999</v>
      </c>
      <c r="AA75" s="195">
        <f t="array" ref="AA75">SUMIFS('Agg prdcrv NYC'!$E$6:$E$100,'Agg prdcrv NYC'!$A$6:$A$100,'Imp Refined NYC'!$A75,'Agg prdcrv NYC'!$B$6:$B$100,AA$11)</f>
        <v>999999</v>
      </c>
      <c r="AB75" s="219">
        <f>X75*VLOOKUP($B75,Types!$B$2:$D$13,3,FALSE)*Conv!$I$5*1000*365</f>
        <v>1983239.5327584841</v>
      </c>
      <c r="AC75" s="219">
        <f>Y75*VLOOKUP($B75,Types!$B$2:$D$13,3,FALSE)*Conv!$I$5*1000*365</f>
        <v>1983239.5327584841</v>
      </c>
      <c r="AD75" s="219">
        <f>Z75*VLOOKUP($B75,Types!$B$2:$D$13,3,FALSE)*Conv!$I$5*1000*365</f>
        <v>1983239.5327584841</v>
      </c>
      <c r="AE75" s="219">
        <f>AA75*VLOOKUP($B75,Types!$B$2:$D$13,3,FALSE)*Conv!$I$5*1000*365</f>
        <v>1983239.5327584841</v>
      </c>
      <c r="AF75" s="219">
        <f>AB75-AB77</f>
        <v>198323.95327584841</v>
      </c>
      <c r="AG75" s="219">
        <f t="shared" ref="AG75:AI75" si="159">AC75-AC77</f>
        <v>198323.95327584841</v>
      </c>
      <c r="AH75" s="219">
        <f t="shared" si="159"/>
        <v>198323.95327584841</v>
      </c>
      <c r="AI75" s="219">
        <f t="shared" si="159"/>
        <v>198323.95327584841</v>
      </c>
      <c r="AJ75" s="219"/>
      <c r="AK75" s="219"/>
      <c r="AL75" s="219"/>
    </row>
    <row r="76" spans="1:38">
      <c r="A76" s="195" t="str">
        <f>A75</f>
        <v>Reformulated Mogas</v>
      </c>
      <c r="B76" s="195" t="str">
        <f>VLOOKUP($A76,Types!$A$2:$C$13,2,FALSE)</f>
        <v>GSR</v>
      </c>
      <c r="C76" s="195">
        <v>1</v>
      </c>
      <c r="D76" s="195">
        <v>2</v>
      </c>
      <c r="E76" s="195" t="str">
        <f t="shared" si="158"/>
        <v>IMPGSRP21</v>
      </c>
      <c r="F76" s="195" t="str">
        <f>CONCATENATE("Imported ",VLOOKUP($A76,Types!$A$2:$C$13,3,FALSE),", PADD ",D76,", Step ",RIGHT(C76,1))</f>
        <v>Imported Reformulated Gasoline, PADD 2, Step 1</v>
      </c>
      <c r="G76" s="195" t="str">
        <f>CONCATENATE(VLOOKUP($A76,Types!$A$2:$C$13,2,FALSE),"P",D76)</f>
        <v>GSRP2</v>
      </c>
      <c r="H76" s="239">
        <f>H75*$C$5</f>
        <v>65.84545</v>
      </c>
      <c r="I76" s="239">
        <f t="shared" ref="I76:K76" si="160">I75*$C$5</f>
        <v>118.6075</v>
      </c>
      <c r="J76" s="239">
        <f t="shared" si="160"/>
        <v>107.82499999999999</v>
      </c>
      <c r="K76" s="239">
        <f t="shared" si="160"/>
        <v>107.82499999999999</v>
      </c>
      <c r="L76" s="240">
        <f>H76*Conv!$J$20/10^6/VLOOKUP($B76,Types!$B$2:$D$13,3,FALSE)/Conv!$I$5</f>
        <v>18.595438598735356</v>
      </c>
      <c r="M76" s="240">
        <f>I76*Conv!$J$20/10^6/VLOOKUP($B76,Types!$B$2:$D$13,3,FALSE)/Conv!$I$5</f>
        <v>33.495989223241757</v>
      </c>
      <c r="N76" s="240">
        <f>M76*'Imported Price Trends'!$K$19</f>
        <v>36.066701146978247</v>
      </c>
      <c r="O76" s="240">
        <f>N76*'Imported Price Trends'!$L$19</f>
        <v>35.723776376200462</v>
      </c>
      <c r="P76" s="240">
        <f>O76*'Imported Price Trends'!$M$19</f>
        <v>38.54846382022771</v>
      </c>
      <c r="Q76" s="240">
        <f>P76*'Imported Price Trends'!$N$19</f>
        <v>40.762779149247073</v>
      </c>
      <c r="R76" s="240">
        <f>Q76*'Imported Price Trends'!$O$19</f>
        <v>43.794879430011747</v>
      </c>
      <c r="S76" s="240">
        <f>R76*'Imported Price Trends'!$O$19</f>
        <v>47.052519585743042</v>
      </c>
      <c r="T76" s="240">
        <f>S76*'Imported Price Trends'!$O$19</f>
        <v>50.552476183997996</v>
      </c>
      <c r="U76" s="240">
        <f>T76*'Imported Price Trends'!$O$19</f>
        <v>54.312773701241277</v>
      </c>
      <c r="V76" s="240">
        <f>U76*'Imported Price Trends'!$O$19</f>
        <v>58.3527773473539</v>
      </c>
      <c r="W76" s="219"/>
      <c r="X76" s="195">
        <f>X75*$E$5</f>
        <v>799999.20000000007</v>
      </c>
      <c r="Y76" s="195">
        <f t="shared" ref="Y76:AA76" si="161">Y75*$E$5</f>
        <v>799999.20000000007</v>
      </c>
      <c r="Z76" s="195">
        <f t="shared" si="161"/>
        <v>799999.20000000007</v>
      </c>
      <c r="AA76" s="195">
        <f t="shared" si="161"/>
        <v>799999.20000000007</v>
      </c>
      <c r="AB76" s="219">
        <f>X76*VLOOKUP($B76,Types!$B$2:$D$13,3,FALSE)*Conv!$I$5*1000*365</f>
        <v>1586591.6262067873</v>
      </c>
      <c r="AC76" s="219">
        <f>Y76*VLOOKUP($B76,Types!$B$2:$D$13,3,FALSE)*Conv!$I$5*1000*365</f>
        <v>1586591.6262067873</v>
      </c>
      <c r="AD76" s="219">
        <f>Z76*VLOOKUP($B76,Types!$B$2:$D$13,3,FALSE)*Conv!$I$5*1000*365</f>
        <v>1586591.6262067873</v>
      </c>
      <c r="AE76" s="219">
        <f>AA76*VLOOKUP($B76,Types!$B$2:$D$13,3,FALSE)*Conv!$I$5*1000*365</f>
        <v>1586591.6262067873</v>
      </c>
      <c r="AF76" s="219">
        <f>AB76</f>
        <v>1586591.6262067873</v>
      </c>
      <c r="AG76" s="219">
        <f t="shared" ref="AG76:AI76" si="162">AC76</f>
        <v>1586591.6262067873</v>
      </c>
      <c r="AH76" s="219">
        <f t="shared" si="162"/>
        <v>1586591.6262067873</v>
      </c>
      <c r="AI76" s="219">
        <f t="shared" si="162"/>
        <v>1586591.6262067873</v>
      </c>
      <c r="AJ76" s="219"/>
      <c r="AK76" s="219"/>
      <c r="AL76" s="219"/>
    </row>
    <row r="77" spans="1:38">
      <c r="A77" s="195" t="str">
        <f t="shared" ref="A77:A79" si="163">A76</f>
        <v>Reformulated Mogas</v>
      </c>
      <c r="B77" s="195" t="str">
        <f>VLOOKUP($A77,Types!$A$2:$C$13,2,FALSE)</f>
        <v>GSR</v>
      </c>
      <c r="C77" s="195">
        <v>2</v>
      </c>
      <c r="D77" s="195">
        <v>2</v>
      </c>
      <c r="E77" s="195" t="str">
        <f t="shared" si="158"/>
        <v>IMPGSRP22</v>
      </c>
      <c r="F77" s="195" t="str">
        <f>CONCATENATE("Imported ",VLOOKUP($A77,Types!$A$2:$C$13,3,FALSE),", PADD ",D77,", Step ",RIGHT(C77,1))</f>
        <v>Imported Reformulated Gasoline, PADD 2, Step 2</v>
      </c>
      <c r="G77" s="195" t="str">
        <f>CONCATENATE(VLOOKUP($A77,Types!$A$2:$C$13,2,FALSE),"P",D77)</f>
        <v>GSRP2</v>
      </c>
      <c r="H77" s="239">
        <f>H75*$C$6</f>
        <v>67.924780000000013</v>
      </c>
      <c r="I77" s="239">
        <f t="shared" ref="I77:K77" si="164">I75*$C$6</f>
        <v>122.35300000000001</v>
      </c>
      <c r="J77" s="239">
        <f t="shared" si="164"/>
        <v>111.23</v>
      </c>
      <c r="K77" s="239">
        <f t="shared" si="164"/>
        <v>111.23</v>
      </c>
      <c r="L77" s="240">
        <f>H77*Conv!$J$20/10^6/VLOOKUP($B77,Types!$B$2:$D$13,3,FALSE)/Conv!$I$5</f>
        <v>19.182662975537529</v>
      </c>
      <c r="M77" s="240">
        <f>I77*Conv!$J$20/10^6/VLOOKUP($B77,Types!$B$2:$D$13,3,FALSE)/Conv!$I$5</f>
        <v>34.553757303975701</v>
      </c>
      <c r="N77" s="240">
        <f>M77*'Imported Price Trends'!$K$19</f>
        <v>37.205649604251242</v>
      </c>
      <c r="O77" s="240">
        <f>N77*'Imported Price Trends'!$L$19</f>
        <v>36.851895630185737</v>
      </c>
      <c r="P77" s="240">
        <f>O77*'Imported Price Trends'!$M$19</f>
        <v>39.765783730340161</v>
      </c>
      <c r="Q77" s="240">
        <f>P77*'Imported Price Trends'!$N$19</f>
        <v>42.050024806591715</v>
      </c>
      <c r="R77" s="240">
        <f>Q77*'Imported Price Trends'!$O$19</f>
        <v>45.17787562253843</v>
      </c>
      <c r="S77" s="240">
        <f>R77*'Imported Price Trends'!$O$19</f>
        <v>48.538388625292818</v>
      </c>
      <c r="T77" s="240">
        <f>S77*'Imported Price Trends'!$O$19</f>
        <v>52.148870168755828</v>
      </c>
      <c r="U77" s="240">
        <f>T77*'Imported Price Trends'!$O$19</f>
        <v>56.027913923385739</v>
      </c>
      <c r="V77" s="240">
        <f>U77*'Imported Price Trends'!$O$19</f>
        <v>60.195496632007185</v>
      </c>
      <c r="W77" s="219"/>
      <c r="X77" s="195">
        <f>X75*$E$6</f>
        <v>899999.1</v>
      </c>
      <c r="Y77" s="195">
        <f t="shared" ref="Y77:AA77" si="165">Y75*$E$6</f>
        <v>899999.1</v>
      </c>
      <c r="Z77" s="195">
        <f t="shared" si="165"/>
        <v>899999.1</v>
      </c>
      <c r="AA77" s="195">
        <f t="shared" si="165"/>
        <v>899999.1</v>
      </c>
      <c r="AB77" s="219">
        <f>X77*VLOOKUP($B77,Types!$B$2:$D$13,3,FALSE)*Conv!$I$5*1000*365</f>
        <v>1784915.5794826357</v>
      </c>
      <c r="AC77" s="219">
        <f>Y77*VLOOKUP($B77,Types!$B$2:$D$13,3,FALSE)*Conv!$I$5*1000*365</f>
        <v>1784915.5794826357</v>
      </c>
      <c r="AD77" s="219">
        <f>Z77*VLOOKUP($B77,Types!$B$2:$D$13,3,FALSE)*Conv!$I$5*1000*365</f>
        <v>1784915.5794826357</v>
      </c>
      <c r="AE77" s="219">
        <f>AA77*VLOOKUP($B77,Types!$B$2:$D$13,3,FALSE)*Conv!$I$5*1000*365</f>
        <v>1784915.5794826357</v>
      </c>
      <c r="AF77" s="219">
        <f>AB77-AF76</f>
        <v>198323.95327584841</v>
      </c>
      <c r="AG77" s="219">
        <f t="shared" ref="AG77:AI77" si="166">AC77-AG76</f>
        <v>198323.95327584841</v>
      </c>
      <c r="AH77" s="219">
        <f t="shared" si="166"/>
        <v>198323.95327584841</v>
      </c>
      <c r="AI77" s="219">
        <f t="shared" si="166"/>
        <v>198323.95327584841</v>
      </c>
      <c r="AJ77" s="219"/>
      <c r="AK77" s="219"/>
      <c r="AL77" s="219"/>
    </row>
    <row r="78" spans="1:38">
      <c r="A78" s="195" t="str">
        <f t="shared" si="163"/>
        <v>Reformulated Mogas</v>
      </c>
      <c r="B78" s="195" t="str">
        <f>VLOOKUP($A78,Types!$A$2:$C$13,2,FALSE)</f>
        <v>GSR</v>
      </c>
      <c r="C78" s="195">
        <v>4</v>
      </c>
      <c r="D78" s="195">
        <v>2</v>
      </c>
      <c r="E78" s="195" t="str">
        <f t="shared" si="158"/>
        <v>IMPGSRP24</v>
      </c>
      <c r="F78" s="195" t="str">
        <f>CONCATENATE("Imported ",VLOOKUP($A78,Types!$A$2:$C$13,3,FALSE),", PADD ",D78,", Step ",RIGHT(C78,1))</f>
        <v>Imported Reformulated Gasoline, PADD 2, Step 4</v>
      </c>
      <c r="G78" s="195" t="str">
        <f>CONCATENATE(VLOOKUP($A78,Types!$A$2:$C$13,2,FALSE),"P",D78)</f>
        <v>GSRP2</v>
      </c>
      <c r="H78" s="239">
        <f>H75*$C$8</f>
        <v>75.548990000000018</v>
      </c>
      <c r="I78" s="239">
        <f t="shared" ref="I78:K78" si="167">I75*$C$8</f>
        <v>136.08650000000003</v>
      </c>
      <c r="J78" s="239">
        <f t="shared" si="167"/>
        <v>123.715</v>
      </c>
      <c r="K78" s="239">
        <f t="shared" si="167"/>
        <v>123.715</v>
      </c>
      <c r="L78" s="240">
        <f>H78*Conv!$J$20/10^6/VLOOKUP($B78,Types!$B$2:$D$13,3,FALSE)/Conv!$I$5</f>
        <v>21.335819023812149</v>
      </c>
      <c r="M78" s="240">
        <f>I78*Conv!$J$20/10^6/VLOOKUP($B78,Types!$B$2:$D$13,3,FALSE)/Conv!$I$5</f>
        <v>38.432240266666867</v>
      </c>
      <c r="N78" s="240">
        <f>M78*'Imported Price Trends'!$K$19</f>
        <v>41.381793947585578</v>
      </c>
      <c r="O78" s="240">
        <f>N78*'Imported Price Trends'!$L$19</f>
        <v>40.988332894798432</v>
      </c>
      <c r="P78" s="240">
        <f>O78*'Imported Price Trends'!$M$19</f>
        <v>44.229290067419171</v>
      </c>
      <c r="Q78" s="240">
        <f>P78*'Imported Price Trends'!$N$19</f>
        <v>46.769925550188759</v>
      </c>
      <c r="R78" s="240">
        <f>Q78*'Imported Price Trends'!$O$19</f>
        <v>50.24886166180297</v>
      </c>
      <c r="S78" s="240">
        <f>R78*'Imported Price Trends'!$O$19</f>
        <v>53.986575103642039</v>
      </c>
      <c r="T78" s="240">
        <f>S78*'Imported Price Trends'!$O$19</f>
        <v>58.002314779534572</v>
      </c>
      <c r="U78" s="240">
        <f>T78*'Imported Price Trends'!$O$19</f>
        <v>62.316761404582124</v>
      </c>
      <c r="V78" s="240">
        <f>U78*'Imported Price Trends'!$O$19</f>
        <v>66.952134009069241</v>
      </c>
      <c r="W78" s="219"/>
      <c r="X78" s="195">
        <f>X75*$E$8</f>
        <v>1199998.8</v>
      </c>
      <c r="Y78" s="195">
        <f t="shared" ref="Y78:AA78" si="168">Y75*$E$8</f>
        <v>1199998.8</v>
      </c>
      <c r="Z78" s="195">
        <f t="shared" si="168"/>
        <v>1199998.8</v>
      </c>
      <c r="AA78" s="195">
        <f t="shared" si="168"/>
        <v>1199998.8</v>
      </c>
      <c r="AB78" s="219">
        <f>X78*VLOOKUP($B78,Types!$B$2:$D$13,3,FALSE)*Conv!$I$5*1000*365</f>
        <v>2379887.439310181</v>
      </c>
      <c r="AC78" s="219">
        <f>Y78*VLOOKUP($B78,Types!$B$2:$D$13,3,FALSE)*Conv!$I$5*1000*365</f>
        <v>2379887.439310181</v>
      </c>
      <c r="AD78" s="219">
        <f>Z78*VLOOKUP($B78,Types!$B$2:$D$13,3,FALSE)*Conv!$I$5*1000*365</f>
        <v>2379887.439310181</v>
      </c>
      <c r="AE78" s="219">
        <f>AA78*VLOOKUP($B78,Types!$B$2:$D$13,3,FALSE)*Conv!$I$5*1000*365</f>
        <v>2379887.439310181</v>
      </c>
      <c r="AF78" s="219">
        <f>AB78-AB75</f>
        <v>396647.90655169683</v>
      </c>
      <c r="AG78" s="219">
        <f t="shared" ref="AG78:AI78" si="169">AC78-AC75</f>
        <v>396647.90655169683</v>
      </c>
      <c r="AH78" s="219">
        <f t="shared" si="169"/>
        <v>396647.90655169683</v>
      </c>
      <c r="AI78" s="219">
        <f t="shared" si="169"/>
        <v>396647.90655169683</v>
      </c>
      <c r="AJ78" s="219"/>
      <c r="AK78" s="219"/>
      <c r="AL78" s="219"/>
    </row>
    <row r="79" spans="1:38">
      <c r="A79" s="195" t="str">
        <f t="shared" si="163"/>
        <v>Reformulated Mogas</v>
      </c>
      <c r="B79" s="195" t="str">
        <f>VLOOKUP($A79,Types!$A$2:$C$13,2,FALSE)</f>
        <v>GSR</v>
      </c>
      <c r="C79" s="195">
        <v>5</v>
      </c>
      <c r="D79" s="195">
        <v>2</v>
      </c>
      <c r="E79" s="195" t="str">
        <f t="shared" si="158"/>
        <v>IMPGSRP25</v>
      </c>
      <c r="F79" s="195" t="str">
        <f>CONCATENATE("Imported ",VLOOKUP($A79,Types!$A$2:$C$13,3,FALSE),", PADD ",D79,", Step ",RIGHT(C79,1))</f>
        <v>Imported Reformulated Gasoline, PADD 2, Step 5</v>
      </c>
      <c r="G79" s="195" t="str">
        <f>CONCATENATE(VLOOKUP($A79,Types!$A$2:$C$13,2,FALSE),"P",D79)</f>
        <v>GSRP2</v>
      </c>
      <c r="H79" s="239">
        <f>H75*$C$9</f>
        <v>90.104300000000009</v>
      </c>
      <c r="I79" s="239">
        <f t="shared" ref="I79:K79" si="170">I75*$C$9</f>
        <v>162.30500000000001</v>
      </c>
      <c r="J79" s="239">
        <f t="shared" si="170"/>
        <v>147.55000000000001</v>
      </c>
      <c r="K79" s="239">
        <f t="shared" si="170"/>
        <v>147.55000000000001</v>
      </c>
      <c r="L79" s="240">
        <f>H79*Conv!$J$20/10^6/VLOOKUP($B79,Types!$B$2:$D$13,3,FALSE)/Conv!$I$5</f>
        <v>25.446389661427329</v>
      </c>
      <c r="M79" s="240">
        <f>I79*Conv!$J$20/10^6/VLOOKUP($B79,Types!$B$2:$D$13,3,FALSE)/Conv!$I$5</f>
        <v>45.836616831804506</v>
      </c>
      <c r="N79" s="240">
        <f>M79*'Imported Price Trends'!$K$19</f>
        <v>49.354433148496547</v>
      </c>
      <c r="O79" s="240">
        <f>N79*'Imported Price Trends'!$L$19</f>
        <v>48.885167672695367</v>
      </c>
      <c r="P79" s="240">
        <f>O79*'Imported Price Trends'!$M$19</f>
        <v>52.750529438206335</v>
      </c>
      <c r="Q79" s="240">
        <f>P79*'Imported Price Trends'!$N$19</f>
        <v>55.780645151601256</v>
      </c>
      <c r="R79" s="240">
        <f>Q79*'Imported Price Trends'!$O$19</f>
        <v>59.929835009489757</v>
      </c>
      <c r="S79" s="240">
        <f>R79*'Imported Price Trends'!$O$19</f>
        <v>64.387658380490478</v>
      </c>
      <c r="T79" s="240">
        <f>S79*'Imported Price Trends'!$O$19</f>
        <v>69.177072672839373</v>
      </c>
      <c r="U79" s="240">
        <f>T79*'Imported Price Trends'!$O$19</f>
        <v>74.322742959593327</v>
      </c>
      <c r="V79" s="240">
        <f>U79*'Imported Price Trends'!$O$19</f>
        <v>79.851169001642191</v>
      </c>
      <c r="W79" s="219"/>
      <c r="X79" s="195">
        <f>X75*$E$9</f>
        <v>1999998</v>
      </c>
      <c r="Y79" s="195">
        <f t="shared" ref="Y79:AA79" si="171">Y75*$E$9</f>
        <v>1999998</v>
      </c>
      <c r="Z79" s="195">
        <f t="shared" si="171"/>
        <v>1999998</v>
      </c>
      <c r="AA79" s="195">
        <f t="shared" si="171"/>
        <v>1999998</v>
      </c>
      <c r="AB79" s="219">
        <f>X79*VLOOKUP($B79,Types!$B$2:$D$13,3,FALSE)*Conv!$I$5*1000*365</f>
        <v>3966479.0655169683</v>
      </c>
      <c r="AC79" s="219">
        <f>Y79*VLOOKUP($B79,Types!$B$2:$D$13,3,FALSE)*Conv!$I$5*1000*365</f>
        <v>3966479.0655169683</v>
      </c>
      <c r="AD79" s="219">
        <f>Z79*VLOOKUP($B79,Types!$B$2:$D$13,3,FALSE)*Conv!$I$5*1000*365</f>
        <v>3966479.0655169683</v>
      </c>
      <c r="AE79" s="219">
        <f>AA79*VLOOKUP($B79,Types!$B$2:$D$13,3,FALSE)*Conv!$I$5*1000*365</f>
        <v>3966479.0655169683</v>
      </c>
      <c r="AF79" s="219">
        <f>AB79-AB78</f>
        <v>1586591.6262067873</v>
      </c>
      <c r="AG79" s="219">
        <f t="shared" ref="AG79:AI79" si="172">AC79-AC78</f>
        <v>1586591.6262067873</v>
      </c>
      <c r="AH79" s="219">
        <f t="shared" si="172"/>
        <v>1586591.6262067873</v>
      </c>
      <c r="AI79" s="219">
        <f t="shared" si="172"/>
        <v>1586591.6262067873</v>
      </c>
      <c r="AJ79" s="219"/>
      <c r="AK79" s="219"/>
      <c r="AL79" s="219"/>
    </row>
    <row r="80" spans="1:38">
      <c r="A80" s="195" t="str">
        <f>'Agg prdcrv'!$A$7</f>
        <v>Conventional Mogas</v>
      </c>
      <c r="B80" s="195" t="str">
        <f>VLOOKUP($A80,Types!$A$2:$C$13,2,FALSE)</f>
        <v>GSC</v>
      </c>
      <c r="C80" s="195">
        <v>3</v>
      </c>
      <c r="D80" s="195">
        <v>2</v>
      </c>
      <c r="E80" s="195" t="str">
        <f t="shared" si="158"/>
        <v>IMPGSCP23</v>
      </c>
      <c r="F80" s="195" t="str">
        <f>CONCATENATE("Imported ",VLOOKUP($A80,Types!$A$2:$C$13,3,FALSE),", PADD ",D80,", Step ",RIGHT(C80,1))</f>
        <v>Imported Conventional Gasoline, PADD 2, Step 3</v>
      </c>
      <c r="G80" s="195" t="str">
        <f>CONCATENATE(VLOOKUP($A80,Types!$A$2:$C$13,2,FALSE),"P",D80)</f>
        <v>GSCP2</v>
      </c>
      <c r="H80" s="239">
        <f>SUMIFS('Agg prdcrv NYC'!$M$6:$M$100,'Agg prdcrv NYC'!$A$6:$A$100,'Imp Refined NYC'!$A80,'Agg prdcrv NYC'!$B$6:$B$100,H$11)*K4</f>
        <v>67.155000000000001</v>
      </c>
      <c r="I80" s="239">
        <f>SUMIFS('Agg prdcrv NYC'!$M$6:$M$100,'Agg prdcrv NYC'!$A$6:$A$100,'Imp Refined NYC'!$A80,'Agg prdcrv NYC'!$B$6:$B$100,I$11)*K4</f>
        <v>55.693000000000005</v>
      </c>
      <c r="J80" s="239">
        <f t="array" ref="J80">SUMIFS('Agg prdcrv NYC'!$M$6:$M$100,'Agg prdcrv NYC'!$A$6:$A$100,'Imp Refined NYC'!$A80,'Agg prdcrv NYC'!$B$6:$B$100,J$11)</f>
        <v>43.66</v>
      </c>
      <c r="K80" s="239">
        <f t="array" ref="K80">SUMIFS('Agg prdcrv NYC'!$M$6:$M$100,'Agg prdcrv NYC'!$A$6:$A$100,'Imp Refined NYC'!$A80,'Agg prdcrv NYC'!$B$6:$B$100,K$11)</f>
        <v>47.23</v>
      </c>
      <c r="L80" s="240">
        <f>H80*Conv!$J$20/10^6/VLOOKUP($B80,Types!$B$2:$D$13,3,FALSE)/Conv!$I$5</f>
        <v>18.593401090900823</v>
      </c>
      <c r="M80" s="240">
        <f>I80*Conv!$J$20/10^6/VLOOKUP($B80,Types!$B$2:$D$13,3,FALSE)/Conv!$I$5</f>
        <v>15.419883656548874</v>
      </c>
      <c r="N80" s="240">
        <f>M80*'Imported Price Trends'!$K$19</f>
        <v>16.60331127572827</v>
      </c>
      <c r="O80" s="240">
        <f>N80*'Imported Price Trends'!$L$19</f>
        <v>16.4454458061313</v>
      </c>
      <c r="P80" s="240">
        <f>O80*'Imported Price Trends'!$M$19</f>
        <v>17.74579109412155</v>
      </c>
      <c r="Q80" s="240">
        <f>P80*'Imported Price Trends'!$N$19</f>
        <v>18.765151487535444</v>
      </c>
      <c r="R80" s="240">
        <f>Q80*'Imported Price Trends'!$O$19</f>
        <v>20.16097930598778</v>
      </c>
      <c r="S80" s="240">
        <f>R80*'Imported Price Trends'!$O$19</f>
        <v>21.660634439666403</v>
      </c>
      <c r="T80" s="240">
        <f>S80*'Imported Price Trends'!$O$19</f>
        <v>23.271839983959293</v>
      </c>
      <c r="U80" s="240">
        <f>T80*'Imported Price Trends'!$O$19</f>
        <v>25.002893509306986</v>
      </c>
      <c r="V80" s="240">
        <f>U80*'Imported Price Trends'!$O$19</f>
        <v>26.862709792979079</v>
      </c>
      <c r="W80" s="219"/>
      <c r="X80" s="195">
        <f t="array" ref="X80">SUMIFS('Agg prdcrv NYC'!$E$6:$E$100,'Agg prdcrv NYC'!$A$6:$A$100,'Imp Refined NYC'!$A80,'Agg prdcrv NYC'!$B$6:$B$100,X$11)</f>
        <v>999999</v>
      </c>
      <c r="Y80" s="195">
        <f t="array" ref="Y80">SUMIFS('Agg prdcrv NYC'!$E$6:$E$100,'Agg prdcrv NYC'!$A$6:$A$100,'Imp Refined NYC'!$A80,'Agg prdcrv NYC'!$B$6:$B$100,Y$11)</f>
        <v>999999</v>
      </c>
      <c r="Z80" s="195">
        <f t="array" ref="Z80">SUMIFS('Agg prdcrv NYC'!$E$6:$E$100,'Agg prdcrv NYC'!$A$6:$A$100,'Imp Refined NYC'!$A80,'Agg prdcrv NYC'!$B$6:$B$100,Z$11)</f>
        <v>999999</v>
      </c>
      <c r="AA80" s="195">
        <f t="array" ref="AA80">SUMIFS('Agg prdcrv NYC'!$E$6:$E$100,'Agg prdcrv NYC'!$A$6:$A$100,'Imp Refined NYC'!$A80,'Agg prdcrv NYC'!$B$6:$B$100,AA$11)</f>
        <v>999999</v>
      </c>
      <c r="AB80" s="219">
        <f>X80*VLOOKUP($B80,Types!$B$2:$D$13,3,FALSE)*Conv!$I$5*1000*365</f>
        <v>2022904.3234136538</v>
      </c>
      <c r="AC80" s="219">
        <f>Y80*VLOOKUP($B80,Types!$B$2:$D$13,3,FALSE)*Conv!$I$5*1000*365</f>
        <v>2022904.3234136538</v>
      </c>
      <c r="AD80" s="219">
        <f>Z80*VLOOKUP($B80,Types!$B$2:$D$13,3,FALSE)*Conv!$I$5*1000*365</f>
        <v>2022904.3234136538</v>
      </c>
      <c r="AE80" s="219">
        <f>AA80*VLOOKUP($B80,Types!$B$2:$D$13,3,FALSE)*Conv!$I$5*1000*365</f>
        <v>2022904.3234136538</v>
      </c>
      <c r="AF80" s="219">
        <f>AB80-AB82</f>
        <v>202290.43234136514</v>
      </c>
      <c r="AG80" s="219">
        <f t="shared" ref="AG80:AI80" si="173">AC80-AC82</f>
        <v>202290.43234136514</v>
      </c>
      <c r="AH80" s="219">
        <f t="shared" si="173"/>
        <v>202290.43234136514</v>
      </c>
      <c r="AI80" s="219">
        <f t="shared" si="173"/>
        <v>202290.43234136514</v>
      </c>
      <c r="AJ80" s="219"/>
      <c r="AK80" s="219"/>
      <c r="AL80" s="219"/>
    </row>
    <row r="81" spans="1:38">
      <c r="A81" s="195" t="str">
        <f>A80</f>
        <v>Conventional Mogas</v>
      </c>
      <c r="B81" s="195" t="str">
        <f>VLOOKUP($A81,Types!$A$2:$C$13,2,FALSE)</f>
        <v>GSC</v>
      </c>
      <c r="C81" s="195">
        <v>1</v>
      </c>
      <c r="D81" s="195">
        <v>2</v>
      </c>
      <c r="E81" s="195" t="str">
        <f t="shared" si="158"/>
        <v>IMPGSCP21</v>
      </c>
      <c r="F81" s="195" t="str">
        <f>CONCATENATE("Imported ",VLOOKUP($A81,Types!$A$2:$C$13,3,FALSE),", PADD ",D81,", Step ",RIGHT(C81,1))</f>
        <v>Imported Conventional Gasoline, PADD 2, Step 1</v>
      </c>
      <c r="G81" s="195" t="str">
        <f>CONCATENATE(VLOOKUP($A81,Types!$A$2:$C$13,2,FALSE),"P",D81)</f>
        <v>GSCP2</v>
      </c>
      <c r="H81" s="239">
        <f>H80*$C$5</f>
        <v>63.797249999999998</v>
      </c>
      <c r="I81" s="239">
        <f t="shared" ref="I81:K81" si="174">I80*$C$5</f>
        <v>52.908350000000006</v>
      </c>
      <c r="J81" s="239">
        <f t="shared" si="174"/>
        <v>41.476999999999997</v>
      </c>
      <c r="K81" s="239">
        <f t="shared" si="174"/>
        <v>44.868499999999997</v>
      </c>
      <c r="L81" s="240">
        <f>H81*Conv!$J$20/10^6/VLOOKUP($B81,Types!$B$2:$D$13,3,FALSE)/Conv!$I$5</f>
        <v>17.663731036355784</v>
      </c>
      <c r="M81" s="240">
        <f>I81*Conv!$J$20/10^6/VLOOKUP($B81,Types!$B$2:$D$13,3,FALSE)/Conv!$I$5</f>
        <v>14.648889473721432</v>
      </c>
      <c r="N81" s="240">
        <f>M81*'Imported Price Trends'!$K$19</f>
        <v>15.773145711941858</v>
      </c>
      <c r="O81" s="240">
        <f>N81*'Imported Price Trends'!$L$19</f>
        <v>15.623173515824735</v>
      </c>
      <c r="P81" s="240">
        <f>O81*'Imported Price Trends'!$M$19</f>
        <v>16.858501539415471</v>
      </c>
      <c r="Q81" s="240">
        <f>P81*'Imported Price Trends'!$N$19</f>
        <v>17.826893913158671</v>
      </c>
      <c r="R81" s="240">
        <f>Q81*'Imported Price Trends'!$O$19</f>
        <v>19.152930340688389</v>
      </c>
      <c r="S81" s="240">
        <f>R81*'Imported Price Trends'!$O$19</f>
        <v>20.577602717683082</v>
      </c>
      <c r="T81" s="240">
        <f>S81*'Imported Price Trends'!$O$19</f>
        <v>22.108247984761327</v>
      </c>
      <c r="U81" s="240">
        <f>T81*'Imported Price Trends'!$O$19</f>
        <v>23.752748833841636</v>
      </c>
      <c r="V81" s="240">
        <f>U81*'Imported Price Trends'!$O$19</f>
        <v>25.519574303330124</v>
      </c>
      <c r="W81" s="219"/>
      <c r="X81" s="195">
        <f>X80*$E$5</f>
        <v>799999.20000000007</v>
      </c>
      <c r="Y81" s="195">
        <f t="shared" ref="Y81:AA81" si="175">Y80*$E$5</f>
        <v>799999.20000000007</v>
      </c>
      <c r="Z81" s="195">
        <f t="shared" si="175"/>
        <v>799999.20000000007</v>
      </c>
      <c r="AA81" s="195">
        <f t="shared" si="175"/>
        <v>799999.20000000007</v>
      </c>
      <c r="AB81" s="219">
        <f>X81*VLOOKUP($B81,Types!$B$2:$D$13,3,FALSE)*Conv!$I$5*1000*365</f>
        <v>1618323.4587309228</v>
      </c>
      <c r="AC81" s="219">
        <f>Y81*VLOOKUP($B81,Types!$B$2:$D$13,3,FALSE)*Conv!$I$5*1000*365</f>
        <v>1618323.4587309228</v>
      </c>
      <c r="AD81" s="219">
        <f>Z81*VLOOKUP($B81,Types!$B$2:$D$13,3,FALSE)*Conv!$I$5*1000*365</f>
        <v>1618323.4587309228</v>
      </c>
      <c r="AE81" s="219">
        <f>AA81*VLOOKUP($B81,Types!$B$2:$D$13,3,FALSE)*Conv!$I$5*1000*365</f>
        <v>1618323.4587309228</v>
      </c>
      <c r="AF81" s="219">
        <f>AB81</f>
        <v>1618323.4587309228</v>
      </c>
      <c r="AG81" s="219">
        <f t="shared" ref="AG81:AI81" si="176">AC81</f>
        <v>1618323.4587309228</v>
      </c>
      <c r="AH81" s="219">
        <f t="shared" si="176"/>
        <v>1618323.4587309228</v>
      </c>
      <c r="AI81" s="219">
        <f t="shared" si="176"/>
        <v>1618323.4587309228</v>
      </c>
      <c r="AJ81" s="219"/>
      <c r="AK81" s="219"/>
      <c r="AL81" s="219"/>
    </row>
    <row r="82" spans="1:38">
      <c r="A82" s="195" t="str">
        <f t="shared" ref="A82:A84" si="177">A81</f>
        <v>Conventional Mogas</v>
      </c>
      <c r="B82" s="195" t="str">
        <f>VLOOKUP($A82,Types!$A$2:$C$13,2,FALSE)</f>
        <v>GSC</v>
      </c>
      <c r="C82" s="195">
        <v>2</v>
      </c>
      <c r="D82" s="195">
        <v>2</v>
      </c>
      <c r="E82" s="195" t="str">
        <f t="shared" si="158"/>
        <v>IMPGSCP22</v>
      </c>
      <c r="F82" s="195" t="str">
        <f>CONCATENATE("Imported ",VLOOKUP($A82,Types!$A$2:$C$13,3,FALSE),", PADD ",D82,", Step ",RIGHT(C82,1))</f>
        <v>Imported Conventional Gasoline, PADD 2, Step 2</v>
      </c>
      <c r="G82" s="195" t="str">
        <f>CONCATENATE(VLOOKUP($A82,Types!$A$2:$C$13,2,FALSE),"P",D82)</f>
        <v>GSCP2</v>
      </c>
      <c r="H82" s="239">
        <f>H80*$C$6</f>
        <v>65.811899999999994</v>
      </c>
      <c r="I82" s="239">
        <f t="shared" ref="I82:K82" si="178">I80*$C$6</f>
        <v>54.579140000000002</v>
      </c>
      <c r="J82" s="239">
        <f t="shared" si="178"/>
        <v>42.786799999999992</v>
      </c>
      <c r="K82" s="239">
        <f t="shared" si="178"/>
        <v>46.285399999999996</v>
      </c>
      <c r="L82" s="240">
        <f>H82*Conv!$J$20/10^6/VLOOKUP($B82,Types!$B$2:$D$13,3,FALSE)/Conv!$I$5</f>
        <v>18.22153306908281</v>
      </c>
      <c r="M82" s="240">
        <f>I82*Conv!$J$20/10^6/VLOOKUP($B82,Types!$B$2:$D$13,3,FALSE)/Conv!$I$5</f>
        <v>15.111485983417895</v>
      </c>
      <c r="N82" s="240">
        <f>M82*'Imported Price Trends'!$K$19</f>
        <v>16.2712450502137</v>
      </c>
      <c r="O82" s="240">
        <f>N82*'Imported Price Trends'!$L$19</f>
        <v>16.116536890008668</v>
      </c>
      <c r="P82" s="240">
        <f>O82*'Imported Price Trends'!$M$19</f>
        <v>17.390875272239111</v>
      </c>
      <c r="Q82" s="240">
        <f>P82*'Imported Price Trends'!$N$19</f>
        <v>18.38984845778473</v>
      </c>
      <c r="R82" s="240">
        <f>Q82*'Imported Price Trends'!$O$19</f>
        <v>19.757759719868019</v>
      </c>
      <c r="S82" s="240">
        <f>R82*'Imported Price Trends'!$O$19</f>
        <v>21.22742175087307</v>
      </c>
      <c r="T82" s="240">
        <f>S82*'Imported Price Trends'!$O$19</f>
        <v>22.8064031842801</v>
      </c>
      <c r="U82" s="240">
        <f>T82*'Imported Price Trends'!$O$19</f>
        <v>24.502835639120839</v>
      </c>
      <c r="V82" s="240">
        <f>U82*'Imported Price Trends'!$O$19</f>
        <v>26.32545559711949</v>
      </c>
      <c r="W82" s="219"/>
      <c r="X82" s="195">
        <f>X80*$E$6</f>
        <v>899999.1</v>
      </c>
      <c r="Y82" s="195">
        <f t="shared" ref="Y82:AA82" si="179">Y80*$E$6</f>
        <v>899999.1</v>
      </c>
      <c r="Z82" s="195">
        <f t="shared" si="179"/>
        <v>899999.1</v>
      </c>
      <c r="AA82" s="195">
        <f t="shared" si="179"/>
        <v>899999.1</v>
      </c>
      <c r="AB82" s="219">
        <f>X82*VLOOKUP($B82,Types!$B$2:$D$13,3,FALSE)*Conv!$I$5*1000*365</f>
        <v>1820613.8910722886</v>
      </c>
      <c r="AC82" s="219">
        <f>Y82*VLOOKUP($B82,Types!$B$2:$D$13,3,FALSE)*Conv!$I$5*1000*365</f>
        <v>1820613.8910722886</v>
      </c>
      <c r="AD82" s="219">
        <f>Z82*VLOOKUP($B82,Types!$B$2:$D$13,3,FALSE)*Conv!$I$5*1000*365</f>
        <v>1820613.8910722886</v>
      </c>
      <c r="AE82" s="219">
        <f>AA82*VLOOKUP($B82,Types!$B$2:$D$13,3,FALSE)*Conv!$I$5*1000*365</f>
        <v>1820613.8910722886</v>
      </c>
      <c r="AF82" s="219">
        <f>AB82-AF81</f>
        <v>202290.43234136584</v>
      </c>
      <c r="AG82" s="219">
        <f t="shared" ref="AG82:AI82" si="180">AC82-AG81</f>
        <v>202290.43234136584</v>
      </c>
      <c r="AH82" s="219">
        <f t="shared" si="180"/>
        <v>202290.43234136584</v>
      </c>
      <c r="AI82" s="219">
        <f t="shared" si="180"/>
        <v>202290.43234136584</v>
      </c>
      <c r="AJ82" s="219"/>
      <c r="AK82" s="219"/>
      <c r="AL82" s="219"/>
    </row>
    <row r="83" spans="1:38">
      <c r="A83" s="195" t="str">
        <f t="shared" si="177"/>
        <v>Conventional Mogas</v>
      </c>
      <c r="B83" s="195" t="str">
        <f>VLOOKUP($A83,Types!$A$2:$C$13,2,FALSE)</f>
        <v>GSC</v>
      </c>
      <c r="C83" s="195">
        <v>4</v>
      </c>
      <c r="D83" s="195">
        <v>2</v>
      </c>
      <c r="E83" s="195" t="str">
        <f t="shared" si="158"/>
        <v>IMPGSCP24</v>
      </c>
      <c r="F83" s="195" t="str">
        <f>CONCATENATE("Imported ",VLOOKUP($A83,Types!$A$2:$C$13,3,FALSE),", PADD ",D83,", Step ",RIGHT(C83,1))</f>
        <v>Imported Conventional Gasoline, PADD 2, Step 4</v>
      </c>
      <c r="G83" s="195" t="str">
        <f>CONCATENATE(VLOOKUP($A83,Types!$A$2:$C$13,2,FALSE),"P",D83)</f>
        <v>GSCP2</v>
      </c>
      <c r="H83" s="239">
        <f>H80*$C$8</f>
        <v>73.198950000000011</v>
      </c>
      <c r="I83" s="239">
        <f t="shared" ref="I83:K83" si="181">I80*$C$8</f>
        <v>60.705370000000009</v>
      </c>
      <c r="J83" s="239">
        <f t="shared" si="181"/>
        <v>47.589399999999998</v>
      </c>
      <c r="K83" s="239">
        <f t="shared" si="181"/>
        <v>51.480699999999999</v>
      </c>
      <c r="L83" s="240">
        <f>H83*Conv!$J$20/10^6/VLOOKUP($B83,Types!$B$2:$D$13,3,FALSE)/Conv!$I$5</f>
        <v>20.266807189081902</v>
      </c>
      <c r="M83" s="240">
        <f>I83*Conv!$J$20/10^6/VLOOKUP($B83,Types!$B$2:$D$13,3,FALSE)/Conv!$I$5</f>
        <v>16.807673185638272</v>
      </c>
      <c r="N83" s="240">
        <f>M83*'Imported Price Trends'!$K$19</f>
        <v>18.097609290543812</v>
      </c>
      <c r="O83" s="240">
        <f>N83*'Imported Price Trends'!$L$19</f>
        <v>17.925535928683114</v>
      </c>
      <c r="P83" s="240">
        <f>O83*'Imported Price Trends'!$M$19</f>
        <v>19.342912292592487</v>
      </c>
      <c r="Q83" s="240">
        <f>P83*'Imported Price Trends'!$N$19</f>
        <v>20.454015121413633</v>
      </c>
      <c r="R83" s="240">
        <f>Q83*'Imported Price Trends'!$O$19</f>
        <v>21.975467443526679</v>
      </c>
      <c r="S83" s="240">
        <f>R83*'Imported Price Trends'!$O$19</f>
        <v>23.610091539236379</v>
      </c>
      <c r="T83" s="240">
        <f>S83*'Imported Price Trends'!$O$19</f>
        <v>25.366305582515629</v>
      </c>
      <c r="U83" s="240">
        <f>T83*'Imported Price Trends'!$O$19</f>
        <v>27.253153925144613</v>
      </c>
      <c r="V83" s="240">
        <f>U83*'Imported Price Trends'!$O$19</f>
        <v>29.280353674347193</v>
      </c>
      <c r="W83" s="219"/>
      <c r="X83" s="195">
        <f>X80*$E$8</f>
        <v>1199998.8</v>
      </c>
      <c r="Y83" s="195">
        <f t="shared" ref="Y83:AA83" si="182">Y80*$E$8</f>
        <v>1199998.8</v>
      </c>
      <c r="Z83" s="195">
        <f t="shared" si="182"/>
        <v>1199998.8</v>
      </c>
      <c r="AA83" s="195">
        <f t="shared" si="182"/>
        <v>1199998.8</v>
      </c>
      <c r="AB83" s="219">
        <f>X83*VLOOKUP($B83,Types!$B$2:$D$13,3,FALSE)*Conv!$I$5*1000*365</f>
        <v>2427485.1880963845</v>
      </c>
      <c r="AC83" s="219">
        <f>Y83*VLOOKUP($B83,Types!$B$2:$D$13,3,FALSE)*Conv!$I$5*1000*365</f>
        <v>2427485.1880963845</v>
      </c>
      <c r="AD83" s="219">
        <f>Z83*VLOOKUP($B83,Types!$B$2:$D$13,3,FALSE)*Conv!$I$5*1000*365</f>
        <v>2427485.1880963845</v>
      </c>
      <c r="AE83" s="219">
        <f>AA83*VLOOKUP($B83,Types!$B$2:$D$13,3,FALSE)*Conv!$I$5*1000*365</f>
        <v>2427485.1880963845</v>
      </c>
      <c r="AF83" s="219">
        <f>AB83-AB80</f>
        <v>404580.86468273075</v>
      </c>
      <c r="AG83" s="219">
        <f t="shared" ref="AG83:AI83" si="183">AC83-AC80</f>
        <v>404580.86468273075</v>
      </c>
      <c r="AH83" s="219">
        <f t="shared" si="183"/>
        <v>404580.86468273075</v>
      </c>
      <c r="AI83" s="219">
        <f t="shared" si="183"/>
        <v>404580.86468273075</v>
      </c>
      <c r="AJ83" s="219"/>
      <c r="AK83" s="219"/>
      <c r="AL83" s="219"/>
    </row>
    <row r="84" spans="1:38">
      <c r="A84" s="195" t="str">
        <f t="shared" si="177"/>
        <v>Conventional Mogas</v>
      </c>
      <c r="B84" s="195" t="str">
        <f>VLOOKUP($A84,Types!$A$2:$C$13,2,FALSE)</f>
        <v>GSC</v>
      </c>
      <c r="C84" s="195">
        <v>5</v>
      </c>
      <c r="D84" s="195">
        <v>2</v>
      </c>
      <c r="E84" s="195" t="str">
        <f t="shared" si="158"/>
        <v>IMPGSCP25</v>
      </c>
      <c r="F84" s="195" t="str">
        <f>CONCATENATE("Imported ",VLOOKUP($A84,Types!$A$2:$C$13,3,FALSE),", PADD ",D84,", Step ",RIGHT(C84,1))</f>
        <v>Imported Conventional Gasoline, PADD 2, Step 5</v>
      </c>
      <c r="G84" s="195" t="str">
        <f>CONCATENATE(VLOOKUP($A84,Types!$A$2:$C$13,2,FALSE),"P",D84)</f>
        <v>GSCP2</v>
      </c>
      <c r="H84" s="239">
        <f>H80*$C$9</f>
        <v>87.301500000000004</v>
      </c>
      <c r="I84" s="239">
        <f t="shared" ref="I84:K84" si="184">I80*$C$9</f>
        <v>72.400900000000007</v>
      </c>
      <c r="J84" s="239">
        <f t="shared" si="184"/>
        <v>56.757999999999996</v>
      </c>
      <c r="K84" s="239">
        <f t="shared" si="184"/>
        <v>61.399000000000001</v>
      </c>
      <c r="L84" s="240">
        <f>H84*Conv!$J$20/10^6/VLOOKUP($B84,Types!$B$2:$D$13,3,FALSE)/Conv!$I$5</f>
        <v>24.171421418171075</v>
      </c>
      <c r="M84" s="240">
        <f>I84*Conv!$J$20/10^6/VLOOKUP($B84,Types!$B$2:$D$13,3,FALSE)/Conv!$I$5</f>
        <v>20.045848753513535</v>
      </c>
      <c r="N84" s="240">
        <f>M84*'Imported Price Trends'!$K$19</f>
        <v>21.584304658446747</v>
      </c>
      <c r="O84" s="240">
        <f>N84*'Imported Price Trends'!$L$19</f>
        <v>21.379079547970687</v>
      </c>
      <c r="P84" s="240">
        <f>O84*'Imported Price Trends'!$M$19</f>
        <v>23.069528422358012</v>
      </c>
      <c r="Q84" s="240">
        <f>P84*'Imported Price Trends'!$N$19</f>
        <v>24.394696933796077</v>
      </c>
      <c r="R84" s="240">
        <f>Q84*'Imported Price Trends'!$O$19</f>
        <v>26.209273097784113</v>
      </c>
      <c r="S84" s="240">
        <f>R84*'Imported Price Trends'!$O$19</f>
        <v>28.158824771566323</v>
      </c>
      <c r="T84" s="240">
        <f>S84*'Imported Price Trends'!$O$19</f>
        <v>30.253391979147079</v>
      </c>
      <c r="U84" s="240">
        <f>T84*'Imported Price Trends'!$O$19</f>
        <v>32.503761562099079</v>
      </c>
      <c r="V84" s="240">
        <f>U84*'Imported Price Trends'!$O$19</f>
        <v>34.921522730872802</v>
      </c>
      <c r="W84" s="219"/>
      <c r="X84" s="195">
        <f>X80*$E$9</f>
        <v>1999998</v>
      </c>
      <c r="Y84" s="195">
        <f t="shared" ref="Y84:AA84" si="185">Y80*$E$9</f>
        <v>1999998</v>
      </c>
      <c r="Z84" s="195">
        <f t="shared" si="185"/>
        <v>1999998</v>
      </c>
      <c r="AA84" s="195">
        <f t="shared" si="185"/>
        <v>1999998</v>
      </c>
      <c r="AB84" s="219">
        <f>X84*VLOOKUP($B84,Types!$B$2:$D$13,3,FALSE)*Conv!$I$5*1000*365</f>
        <v>4045808.6468273075</v>
      </c>
      <c r="AC84" s="219">
        <f>Y84*VLOOKUP($B84,Types!$B$2:$D$13,3,FALSE)*Conv!$I$5*1000*365</f>
        <v>4045808.6468273075</v>
      </c>
      <c r="AD84" s="219">
        <f>Z84*VLOOKUP($B84,Types!$B$2:$D$13,3,FALSE)*Conv!$I$5*1000*365</f>
        <v>4045808.6468273075</v>
      </c>
      <c r="AE84" s="219">
        <f>AA84*VLOOKUP($B84,Types!$B$2:$D$13,3,FALSE)*Conv!$I$5*1000*365</f>
        <v>4045808.6468273075</v>
      </c>
      <c r="AF84" s="219">
        <f>AB84-AB83</f>
        <v>1618323.458730923</v>
      </c>
      <c r="AG84" s="219">
        <f t="shared" ref="AG84:AI84" si="186">AC84-AC83</f>
        <v>1618323.458730923</v>
      </c>
      <c r="AH84" s="219">
        <f t="shared" si="186"/>
        <v>1618323.458730923</v>
      </c>
      <c r="AI84" s="219">
        <f t="shared" si="186"/>
        <v>1618323.458730923</v>
      </c>
      <c r="AJ84" s="219"/>
      <c r="AK84" s="219"/>
      <c r="AL84" s="219"/>
    </row>
    <row r="85" spans="1:38">
      <c r="A85" s="195" t="str">
        <f>'Agg prdcrv'!$A$8</f>
        <v>Heating No. 2</v>
      </c>
      <c r="B85" s="195" t="str">
        <f>VLOOKUP($A85,Types!$A$2:$C$13,2,FALSE)</f>
        <v>DSH</v>
      </c>
      <c r="C85" s="195">
        <v>3</v>
      </c>
      <c r="D85" s="195">
        <v>2</v>
      </c>
      <c r="E85" s="195" t="str">
        <f t="shared" si="158"/>
        <v>IMPDSHP23</v>
      </c>
      <c r="F85" s="195" t="str">
        <f>CONCATENATE("Imported ",VLOOKUP($A85,Types!$A$2:$C$13,3,FALSE),", PADD ",D85,", Step ",RIGHT(C85,1))</f>
        <v>Imported Distillate-Heating Oil No. 2, PADD 2, Step 3</v>
      </c>
      <c r="G85" s="195" t="str">
        <f>CONCATENATE(VLOOKUP($A85,Types!$A$2:$C$13,2,FALSE),"P",D85)</f>
        <v>DSHP2</v>
      </c>
      <c r="H85" s="239">
        <f>SUMIFS('Agg prdcrv NYC'!$M$6:$M$100,'Agg prdcrv NYC'!$A$6:$A$100,'Imp Refined NYC'!$A85,'Agg prdcrv NYC'!$B$6:$B$100,H$11)*K4</f>
        <v>57.310000000000009</v>
      </c>
      <c r="I85" s="239">
        <f>SUMIFS('Agg prdcrv NYC'!$M$6:$M$100,'Agg prdcrv NYC'!$A$6:$A$100,'Imp Refined NYC'!$A85,'Agg prdcrv NYC'!$B$6:$B$100,I$11)*K4</f>
        <v>54.604000000000006</v>
      </c>
      <c r="J85" s="239">
        <f t="array" ref="J85">SUMIFS('Agg prdcrv NYC'!$M$6:$M$100,'Agg prdcrv NYC'!$A$6:$A$100,'Imp Refined NYC'!$A85,'Agg prdcrv NYC'!$B$6:$B$100,J$11)</f>
        <v>36.57</v>
      </c>
      <c r="K85" s="239">
        <f t="array" ref="K85">SUMIFS('Agg prdcrv NYC'!$M$6:$M$100,'Agg prdcrv NYC'!$A$6:$A$100,'Imp Refined NYC'!$A85,'Agg prdcrv NYC'!$B$6:$B$100,K$11)</f>
        <v>39.6</v>
      </c>
      <c r="L85" s="240">
        <f>H85*Conv!$J$20/10^6/VLOOKUP($B85,Types!$B$2:$D$13,3,FALSE)/Conv!$I$5</f>
        <v>14.309430972232446</v>
      </c>
      <c r="M85" s="240">
        <f>I85*Conv!$J$20/10^6/VLOOKUP($B85,Types!$B$2:$D$13,3,FALSE)/Conv!$I$5</f>
        <v>13.633784135539704</v>
      </c>
      <c r="N85" s="240">
        <f>M85*'Imported Price Trends'!$K$19</f>
        <v>14.680134228659579</v>
      </c>
      <c r="O85" s="240">
        <f>N85*'Imported Price Trends'!$L$19</f>
        <v>14.540554463800159</v>
      </c>
      <c r="P85" s="240">
        <f>O85*'Imported Price Trends'!$M$19</f>
        <v>15.690279542990096</v>
      </c>
      <c r="Q85" s="240">
        <f>P85*'Imported Price Trends'!$N$19</f>
        <v>16.591566470289411</v>
      </c>
      <c r="R85" s="240">
        <f>Q85*'Imported Price Trends'!$O$19</f>
        <v>17.825714249288907</v>
      </c>
      <c r="S85" s="240">
        <f>R85*'Imported Price Trends'!$O$19</f>
        <v>19.15166292865166</v>
      </c>
      <c r="T85" s="240">
        <f>S85*'Imported Price Trends'!$O$19</f>
        <v>20.576241030416043</v>
      </c>
      <c r="U85" s="240">
        <f>T85*'Imported Price Trends'!$O$19</f>
        <v>22.106785009691276</v>
      </c>
      <c r="V85" s="240">
        <f>U85*'Imported Price Trends'!$O$19</f>
        <v>23.751177036772368</v>
      </c>
      <c r="W85" s="219"/>
      <c r="X85" s="195">
        <f t="array" ref="X85">SUMIFS('Agg prdcrv NYC'!$E$6:$E$100,'Agg prdcrv NYC'!$A$6:$A$100,'Imp Refined NYC'!$A85,'Agg prdcrv NYC'!$B$6:$B$100,X$11)</f>
        <v>999999</v>
      </c>
      <c r="Y85" s="195">
        <f t="array" ref="Y85">SUMIFS('Agg prdcrv NYC'!$E$6:$E$100,'Agg prdcrv NYC'!$A$6:$A$100,'Imp Refined NYC'!$A85,'Agg prdcrv NYC'!$B$6:$B$100,Y$11)</f>
        <v>999999</v>
      </c>
      <c r="Z85" s="195">
        <f t="array" ref="Z85">SUMIFS('Agg prdcrv NYC'!$E$6:$E$100,'Agg prdcrv NYC'!$A$6:$A$100,'Imp Refined NYC'!$A85,'Agg prdcrv NYC'!$B$6:$B$100,Z$11)</f>
        <v>999999</v>
      </c>
      <c r="AA85" s="195">
        <f t="array" ref="AA85">SUMIFS('Agg prdcrv NYC'!$E$6:$E$100,'Agg prdcrv NYC'!$A$6:$A$100,'Imp Refined NYC'!$A85,'Agg prdcrv NYC'!$B$6:$B$100,AA$11)</f>
        <v>999999</v>
      </c>
      <c r="AB85" s="219">
        <f>X85*VLOOKUP($B85,Types!$B$2:$D$13,3,FALSE)*Conv!$I$5*1000*365</f>
        <v>2243178.6948190616</v>
      </c>
      <c r="AC85" s="219">
        <f>Y85*VLOOKUP($B85,Types!$B$2:$D$13,3,FALSE)*Conv!$I$5*1000*365</f>
        <v>2243178.6948190616</v>
      </c>
      <c r="AD85" s="219">
        <f>Z85*VLOOKUP($B85,Types!$B$2:$D$13,3,FALSE)*Conv!$I$5*1000*365</f>
        <v>2243178.6948190616</v>
      </c>
      <c r="AE85" s="219">
        <f>AA85*VLOOKUP($B85,Types!$B$2:$D$13,3,FALSE)*Conv!$I$5*1000*365</f>
        <v>2243178.6948190616</v>
      </c>
      <c r="AF85" s="219">
        <f>AB85-AB87</f>
        <v>224317.86948190606</v>
      </c>
      <c r="AG85" s="219">
        <f t="shared" ref="AG85:AI85" si="187">AC85-AC87</f>
        <v>224317.86948190606</v>
      </c>
      <c r="AH85" s="219">
        <f t="shared" si="187"/>
        <v>224317.86948190606</v>
      </c>
      <c r="AI85" s="219">
        <f t="shared" si="187"/>
        <v>224317.86948190606</v>
      </c>
      <c r="AJ85" s="219"/>
      <c r="AK85" s="219"/>
      <c r="AL85" s="219"/>
    </row>
    <row r="86" spans="1:38">
      <c r="A86" s="195" t="str">
        <f>A85</f>
        <v>Heating No. 2</v>
      </c>
      <c r="B86" s="195" t="str">
        <f>VLOOKUP($A86,Types!$A$2:$C$13,2,FALSE)</f>
        <v>DSH</v>
      </c>
      <c r="C86" s="195">
        <v>1</v>
      </c>
      <c r="D86" s="195">
        <v>2</v>
      </c>
      <c r="E86" s="195" t="str">
        <f t="shared" si="158"/>
        <v>IMPDSHP21</v>
      </c>
      <c r="F86" s="195" t="str">
        <f>CONCATENATE("Imported ",VLOOKUP($A86,Types!$A$2:$C$13,3,FALSE),", PADD ",D86,", Step ",RIGHT(C86,1))</f>
        <v>Imported Distillate-Heating Oil No. 2, PADD 2, Step 1</v>
      </c>
      <c r="G86" s="195" t="str">
        <f>CONCATENATE(VLOOKUP($A86,Types!$A$2:$C$13,2,FALSE),"P",D86)</f>
        <v>DSHP2</v>
      </c>
      <c r="H86" s="239">
        <f>H85*$C$5</f>
        <v>54.444500000000005</v>
      </c>
      <c r="I86" s="239">
        <f t="shared" ref="I86:K86" si="188">I85*$C$5</f>
        <v>51.873800000000003</v>
      </c>
      <c r="J86" s="239">
        <f t="shared" si="188"/>
        <v>34.741500000000002</v>
      </c>
      <c r="K86" s="239">
        <f t="shared" si="188"/>
        <v>37.619999999999997</v>
      </c>
      <c r="L86" s="240">
        <f>H86*Conv!$J$20/10^6/VLOOKUP($B86,Types!$B$2:$D$13,3,FALSE)/Conv!$I$5</f>
        <v>13.593959423620824</v>
      </c>
      <c r="M86" s="240">
        <f>I86*Conv!$J$20/10^6/VLOOKUP($B86,Types!$B$2:$D$13,3,FALSE)/Conv!$I$5</f>
        <v>12.952094928762721</v>
      </c>
      <c r="N86" s="240">
        <f>M86*'Imported Price Trends'!$K$19</f>
        <v>13.946127517226602</v>
      </c>
      <c r="O86" s="240">
        <f>N86*'Imported Price Trends'!$L$19</f>
        <v>13.813526740610152</v>
      </c>
      <c r="P86" s="240">
        <f>O86*'Imported Price Trends'!$M$19</f>
        <v>14.905765565840593</v>
      </c>
      <c r="Q86" s="240">
        <f>P86*'Imported Price Trends'!$N$19</f>
        <v>15.761988146774943</v>
      </c>
      <c r="R86" s="240">
        <f>Q86*'Imported Price Trends'!$O$19</f>
        <v>16.934428536824466</v>
      </c>
      <c r="S86" s="240">
        <f>R86*'Imported Price Trends'!$O$19</f>
        <v>18.194079782219085</v>
      </c>
      <c r="T86" s="240">
        <f>S86*'Imported Price Trends'!$O$19</f>
        <v>19.547428978895248</v>
      </c>
      <c r="U86" s="240">
        <f>T86*'Imported Price Trends'!$O$19</f>
        <v>21.001445759206721</v>
      </c>
      <c r="V86" s="240">
        <f>U86*'Imported Price Trends'!$O$19</f>
        <v>22.563618184933759</v>
      </c>
      <c r="W86" s="219"/>
      <c r="X86" s="195">
        <f>X85*$E$5</f>
        <v>799999.20000000007</v>
      </c>
      <c r="Y86" s="195">
        <f t="shared" ref="Y86:AA86" si="189">Y85*$E$5</f>
        <v>799999.20000000007</v>
      </c>
      <c r="Z86" s="195">
        <f t="shared" si="189"/>
        <v>799999.20000000007</v>
      </c>
      <c r="AA86" s="195">
        <f t="shared" si="189"/>
        <v>799999.20000000007</v>
      </c>
      <c r="AB86" s="219">
        <f>X86*VLOOKUP($B86,Types!$B$2:$D$13,3,FALSE)*Conv!$I$5*1000*365</f>
        <v>1794542.9558552499</v>
      </c>
      <c r="AC86" s="219">
        <f>Y86*VLOOKUP($B86,Types!$B$2:$D$13,3,FALSE)*Conv!$I$5*1000*365</f>
        <v>1794542.9558552499</v>
      </c>
      <c r="AD86" s="219">
        <f>Z86*VLOOKUP($B86,Types!$B$2:$D$13,3,FALSE)*Conv!$I$5*1000*365</f>
        <v>1794542.9558552499</v>
      </c>
      <c r="AE86" s="219">
        <f>AA86*VLOOKUP($B86,Types!$B$2:$D$13,3,FALSE)*Conv!$I$5*1000*365</f>
        <v>1794542.9558552499</v>
      </c>
      <c r="AF86" s="219">
        <f>AB86</f>
        <v>1794542.9558552499</v>
      </c>
      <c r="AG86" s="219">
        <f t="shared" ref="AG86:AI86" si="190">AC86</f>
        <v>1794542.9558552499</v>
      </c>
      <c r="AH86" s="219">
        <f t="shared" si="190"/>
        <v>1794542.9558552499</v>
      </c>
      <c r="AI86" s="219">
        <f t="shared" si="190"/>
        <v>1794542.9558552499</v>
      </c>
      <c r="AJ86" s="219"/>
      <c r="AK86" s="219"/>
      <c r="AL86" s="219"/>
    </row>
    <row r="87" spans="1:38">
      <c r="A87" s="195" t="str">
        <f t="shared" ref="A87:A89" si="191">A86</f>
        <v>Heating No. 2</v>
      </c>
      <c r="B87" s="195" t="str">
        <f>VLOOKUP($A87,Types!$A$2:$C$13,2,FALSE)</f>
        <v>DSH</v>
      </c>
      <c r="C87" s="195">
        <v>2</v>
      </c>
      <c r="D87" s="195">
        <v>2</v>
      </c>
      <c r="E87" s="195" t="str">
        <f t="shared" si="158"/>
        <v>IMPDSHP22</v>
      </c>
      <c r="F87" s="195" t="str">
        <f>CONCATENATE("Imported ",VLOOKUP($A87,Types!$A$2:$C$13,3,FALSE),", PADD ",D87,", Step ",RIGHT(C87,1))</f>
        <v>Imported Distillate-Heating Oil No. 2, PADD 2, Step 2</v>
      </c>
      <c r="G87" s="195" t="str">
        <f>CONCATENATE(VLOOKUP($A87,Types!$A$2:$C$13,2,FALSE),"P",D87)</f>
        <v>DSHP2</v>
      </c>
      <c r="H87" s="239">
        <f>H85*$C$6</f>
        <v>56.163800000000009</v>
      </c>
      <c r="I87" s="239">
        <f t="shared" ref="I87:K87" si="192">I85*$C$6</f>
        <v>53.511920000000003</v>
      </c>
      <c r="J87" s="239">
        <f t="shared" si="192"/>
        <v>35.8386</v>
      </c>
      <c r="K87" s="239">
        <f t="shared" si="192"/>
        <v>38.808</v>
      </c>
      <c r="L87" s="240">
        <f>H87*Conv!$J$20/10^6/VLOOKUP($B87,Types!$B$2:$D$13,3,FALSE)/Conv!$I$5</f>
        <v>14.023242352787797</v>
      </c>
      <c r="M87" s="240">
        <f>I87*Conv!$J$20/10^6/VLOOKUP($B87,Types!$B$2:$D$13,3,FALSE)/Conv!$I$5</f>
        <v>13.361108452828908</v>
      </c>
      <c r="N87" s="240">
        <f>M87*'Imported Price Trends'!$K$19</f>
        <v>14.386531544086386</v>
      </c>
      <c r="O87" s="240">
        <f>N87*'Imported Price Trends'!$L$19</f>
        <v>14.249743374524154</v>
      </c>
      <c r="P87" s="240">
        <f>O87*'Imported Price Trends'!$M$19</f>
        <v>15.376473952130292</v>
      </c>
      <c r="Q87" s="240">
        <f>P87*'Imported Price Trends'!$N$19</f>
        <v>16.25973514088362</v>
      </c>
      <c r="R87" s="240">
        <f>Q87*'Imported Price Trends'!$O$19</f>
        <v>17.469199964303126</v>
      </c>
      <c r="S87" s="240">
        <f>R87*'Imported Price Trends'!$O$19</f>
        <v>18.768629670078624</v>
      </c>
      <c r="T87" s="240">
        <f>S87*'Imported Price Trends'!$O$19</f>
        <v>20.164716209807718</v>
      </c>
      <c r="U87" s="240">
        <f>T87*'Imported Price Trends'!$O$19</f>
        <v>21.664649309497445</v>
      </c>
      <c r="V87" s="240">
        <f>U87*'Imported Price Trends'!$O$19</f>
        <v>23.276153496036915</v>
      </c>
      <c r="W87" s="219"/>
      <c r="X87" s="195">
        <f>X85*$E$6</f>
        <v>899999.1</v>
      </c>
      <c r="Y87" s="195">
        <f t="shared" ref="Y87:AA87" si="193">Y85*$E$6</f>
        <v>899999.1</v>
      </c>
      <c r="Z87" s="195">
        <f t="shared" si="193"/>
        <v>899999.1</v>
      </c>
      <c r="AA87" s="195">
        <f t="shared" si="193"/>
        <v>899999.1</v>
      </c>
      <c r="AB87" s="219">
        <f>X87*VLOOKUP($B87,Types!$B$2:$D$13,3,FALSE)*Conv!$I$5*1000*365</f>
        <v>2018860.8253371555</v>
      </c>
      <c r="AC87" s="219">
        <f>Y87*VLOOKUP($B87,Types!$B$2:$D$13,3,FALSE)*Conv!$I$5*1000*365</f>
        <v>2018860.8253371555</v>
      </c>
      <c r="AD87" s="219">
        <f>Z87*VLOOKUP($B87,Types!$B$2:$D$13,3,FALSE)*Conv!$I$5*1000*365</f>
        <v>2018860.8253371555</v>
      </c>
      <c r="AE87" s="219">
        <f>AA87*VLOOKUP($B87,Types!$B$2:$D$13,3,FALSE)*Conv!$I$5*1000*365</f>
        <v>2018860.8253371555</v>
      </c>
      <c r="AF87" s="219">
        <f>AB87-AF86</f>
        <v>224317.8694819056</v>
      </c>
      <c r="AG87" s="219">
        <f t="shared" ref="AG87:AI87" si="194">AC87-AG86</f>
        <v>224317.8694819056</v>
      </c>
      <c r="AH87" s="219">
        <f t="shared" si="194"/>
        <v>224317.8694819056</v>
      </c>
      <c r="AI87" s="219">
        <f t="shared" si="194"/>
        <v>224317.8694819056</v>
      </c>
      <c r="AJ87" s="219"/>
      <c r="AK87" s="219"/>
      <c r="AL87" s="219"/>
    </row>
    <row r="88" spans="1:38">
      <c r="A88" s="195" t="str">
        <f t="shared" si="191"/>
        <v>Heating No. 2</v>
      </c>
      <c r="B88" s="195" t="str">
        <f>VLOOKUP($A88,Types!$A$2:$C$13,2,FALSE)</f>
        <v>DSH</v>
      </c>
      <c r="C88" s="195">
        <v>4</v>
      </c>
      <c r="D88" s="195">
        <v>2</v>
      </c>
      <c r="E88" s="195" t="str">
        <f t="shared" si="158"/>
        <v>IMPDSHP24</v>
      </c>
      <c r="F88" s="195" t="str">
        <f>CONCATENATE("Imported ",VLOOKUP($A88,Types!$A$2:$C$13,3,FALSE),", PADD ",D88,", Step ",RIGHT(C88,1))</f>
        <v>Imported Distillate-Heating Oil No. 2, PADD 2, Step 4</v>
      </c>
      <c r="G88" s="195" t="str">
        <f>CONCATENATE(VLOOKUP($A88,Types!$A$2:$C$13,2,FALSE),"P",D88)</f>
        <v>DSHP2</v>
      </c>
      <c r="H88" s="239">
        <f>H85*$C$8</f>
        <v>62.467900000000014</v>
      </c>
      <c r="I88" s="239">
        <f t="shared" ref="I88:K88" si="195">I85*$C$8</f>
        <v>59.518360000000008</v>
      </c>
      <c r="J88" s="239">
        <f t="shared" si="195"/>
        <v>39.8613</v>
      </c>
      <c r="K88" s="239">
        <f t="shared" si="195"/>
        <v>43.164000000000001</v>
      </c>
      <c r="L88" s="240">
        <f>H88*Conv!$J$20/10^6/VLOOKUP($B88,Types!$B$2:$D$13,3,FALSE)/Conv!$I$5</f>
        <v>15.597279759733366</v>
      </c>
      <c r="M88" s="240">
        <f>I88*Conv!$J$20/10^6/VLOOKUP($B88,Types!$B$2:$D$13,3,FALSE)/Conv!$I$5</f>
        <v>14.860824707738278</v>
      </c>
      <c r="N88" s="240">
        <f>M88*'Imported Price Trends'!$K$19</f>
        <v>16.00134630923894</v>
      </c>
      <c r="O88" s="240">
        <f>N88*'Imported Price Trends'!$L$19</f>
        <v>15.849204365542173</v>
      </c>
      <c r="P88" s="240">
        <f>O88*'Imported Price Trends'!$M$19</f>
        <v>17.102404701859204</v>
      </c>
      <c r="Q88" s="240">
        <f>P88*'Imported Price Trends'!$N$19</f>
        <v>18.084807452615458</v>
      </c>
      <c r="R88" s="240">
        <f>Q88*'Imported Price Trends'!$O$19</f>
        <v>19.430028531724911</v>
      </c>
      <c r="S88" s="240">
        <f>R88*'Imported Price Trends'!$O$19</f>
        <v>20.875312592230312</v>
      </c>
      <c r="T88" s="240">
        <f>S88*'Imported Price Trends'!$O$19</f>
        <v>22.42810272315349</v>
      </c>
      <c r="U88" s="240">
        <f>T88*'Imported Price Trends'!$O$19</f>
        <v>24.096395660563495</v>
      </c>
      <c r="V88" s="240">
        <f>U88*'Imported Price Trends'!$O$19</f>
        <v>25.888782970081884</v>
      </c>
      <c r="W88" s="219"/>
      <c r="X88" s="195">
        <f>X85*$E$8</f>
        <v>1199998.8</v>
      </c>
      <c r="Y88" s="195">
        <f t="shared" ref="Y88:AA88" si="196">Y85*$E$8</f>
        <v>1199998.8</v>
      </c>
      <c r="Z88" s="195">
        <f t="shared" si="196"/>
        <v>1199998.8</v>
      </c>
      <c r="AA88" s="195">
        <f t="shared" si="196"/>
        <v>1199998.8</v>
      </c>
      <c r="AB88" s="219">
        <f>X88*VLOOKUP($B88,Types!$B$2:$D$13,3,FALSE)*Conv!$I$5*1000*365</f>
        <v>2691814.4337828746</v>
      </c>
      <c r="AC88" s="219">
        <f>Y88*VLOOKUP($B88,Types!$B$2:$D$13,3,FALSE)*Conv!$I$5*1000*365</f>
        <v>2691814.4337828746</v>
      </c>
      <c r="AD88" s="219">
        <f>Z88*VLOOKUP($B88,Types!$B$2:$D$13,3,FALSE)*Conv!$I$5*1000*365</f>
        <v>2691814.4337828746</v>
      </c>
      <c r="AE88" s="219">
        <f>AA88*VLOOKUP($B88,Types!$B$2:$D$13,3,FALSE)*Conv!$I$5*1000*365</f>
        <v>2691814.4337828746</v>
      </c>
      <c r="AF88" s="219">
        <f>AB88-AB85</f>
        <v>448635.73896381306</v>
      </c>
      <c r="AG88" s="219">
        <f t="shared" ref="AG88:AI88" si="197">AC88-AC85</f>
        <v>448635.73896381306</v>
      </c>
      <c r="AH88" s="219">
        <f t="shared" si="197"/>
        <v>448635.73896381306</v>
      </c>
      <c r="AI88" s="219">
        <f t="shared" si="197"/>
        <v>448635.73896381306</v>
      </c>
      <c r="AJ88" s="219"/>
      <c r="AK88" s="219"/>
      <c r="AL88" s="219"/>
    </row>
    <row r="89" spans="1:38">
      <c r="A89" s="195" t="str">
        <f t="shared" si="191"/>
        <v>Heating No. 2</v>
      </c>
      <c r="B89" s="195" t="str">
        <f>VLOOKUP($A89,Types!$A$2:$C$13,2,FALSE)</f>
        <v>DSH</v>
      </c>
      <c r="C89" s="195">
        <v>5</v>
      </c>
      <c r="D89" s="195">
        <v>2</v>
      </c>
      <c r="E89" s="195" t="str">
        <f t="shared" si="158"/>
        <v>IMPDSHP25</v>
      </c>
      <c r="F89" s="195" t="str">
        <f>CONCATENATE("Imported ",VLOOKUP($A89,Types!$A$2:$C$13,3,FALSE),", PADD ",D89,", Step ",RIGHT(C89,1))</f>
        <v>Imported Distillate-Heating Oil No. 2, PADD 2, Step 5</v>
      </c>
      <c r="G89" s="195" t="str">
        <f>CONCATENATE(VLOOKUP($A89,Types!$A$2:$C$13,2,FALSE),"P",D89)</f>
        <v>DSHP2</v>
      </c>
      <c r="H89" s="239">
        <f>H85*$C$9</f>
        <v>74.503000000000014</v>
      </c>
      <c r="I89" s="239">
        <f t="shared" ref="I89:K89" si="198">I85*$C$9</f>
        <v>70.985200000000006</v>
      </c>
      <c r="J89" s="239">
        <f t="shared" si="198"/>
        <v>47.541000000000004</v>
      </c>
      <c r="K89" s="239">
        <f t="shared" si="198"/>
        <v>51.480000000000004</v>
      </c>
      <c r="L89" s="240">
        <f>H89*Conv!$J$20/10^6/VLOOKUP($B89,Types!$B$2:$D$13,3,FALSE)/Conv!$I$5</f>
        <v>18.602260263902181</v>
      </c>
      <c r="M89" s="240">
        <f>I89*Conv!$J$20/10^6/VLOOKUP($B89,Types!$B$2:$D$13,3,FALSE)/Conv!$I$5</f>
        <v>17.723919376201614</v>
      </c>
      <c r="N89" s="240">
        <f>M89*'Imported Price Trends'!$K$19</f>
        <v>19.08417449725745</v>
      </c>
      <c r="O89" s="240">
        <f>N89*'Imported Price Trends'!$L$19</f>
        <v>18.902720802940205</v>
      </c>
      <c r="P89" s="240">
        <f>O89*'Imported Price Trends'!$M$19</f>
        <v>20.397363405887123</v>
      </c>
      <c r="Q89" s="240">
        <f>P89*'Imported Price Trends'!$N$19</f>
        <v>21.569036411376235</v>
      </c>
      <c r="R89" s="240">
        <f>Q89*'Imported Price Trends'!$O$19</f>
        <v>23.173428524075582</v>
      </c>
      <c r="S89" s="240">
        <f>R89*'Imported Price Trends'!$O$19</f>
        <v>24.897161807247162</v>
      </c>
      <c r="T89" s="240">
        <f>S89*'Imported Price Trends'!$O$19</f>
        <v>26.749113339540859</v>
      </c>
      <c r="U89" s="240">
        <f>T89*'Imported Price Trends'!$O$19</f>
        <v>28.738820512598661</v>
      </c>
      <c r="V89" s="240">
        <f>U89*'Imported Price Trends'!$O$19</f>
        <v>30.876530147804079</v>
      </c>
      <c r="W89" s="219"/>
      <c r="X89" s="195">
        <f>X85*$E$9</f>
        <v>1999998</v>
      </c>
      <c r="Y89" s="195">
        <f t="shared" ref="Y89:AA89" si="199">Y85*$E$9</f>
        <v>1999998</v>
      </c>
      <c r="Z89" s="195">
        <f t="shared" si="199"/>
        <v>1999998</v>
      </c>
      <c r="AA89" s="195">
        <f t="shared" si="199"/>
        <v>1999998</v>
      </c>
      <c r="AB89" s="219">
        <f>X89*VLOOKUP($B89,Types!$B$2:$D$13,3,FALSE)*Conv!$I$5*1000*365</f>
        <v>4486357.3896381231</v>
      </c>
      <c r="AC89" s="219">
        <f>Y89*VLOOKUP($B89,Types!$B$2:$D$13,3,FALSE)*Conv!$I$5*1000*365</f>
        <v>4486357.3896381231</v>
      </c>
      <c r="AD89" s="219">
        <f>Z89*VLOOKUP($B89,Types!$B$2:$D$13,3,FALSE)*Conv!$I$5*1000*365</f>
        <v>4486357.3896381231</v>
      </c>
      <c r="AE89" s="219">
        <f>AA89*VLOOKUP($B89,Types!$B$2:$D$13,3,FALSE)*Conv!$I$5*1000*365</f>
        <v>4486357.3896381231</v>
      </c>
      <c r="AF89" s="219">
        <f>AB89-AB88</f>
        <v>1794542.9558552485</v>
      </c>
      <c r="AG89" s="219">
        <f t="shared" ref="AG89:AI89" si="200">AC89-AC88</f>
        <v>1794542.9558552485</v>
      </c>
      <c r="AH89" s="219">
        <f t="shared" si="200"/>
        <v>1794542.9558552485</v>
      </c>
      <c r="AI89" s="219">
        <f t="shared" si="200"/>
        <v>1794542.9558552485</v>
      </c>
      <c r="AJ89" s="219"/>
      <c r="AK89" s="219"/>
      <c r="AL89" s="219"/>
    </row>
    <row r="90" spans="1:38">
      <c r="A90" s="195" t="str">
        <f>'Agg prdcrv'!$A$9</f>
        <v>LS Diesel (500 ppm)</v>
      </c>
      <c r="B90" s="195" t="str">
        <f>VLOOKUP($A90,Types!$A$2:$C$13,2,FALSE)</f>
        <v>DSL</v>
      </c>
      <c r="C90" s="195">
        <v>3</v>
      </c>
      <c r="D90" s="195">
        <v>2</v>
      </c>
      <c r="E90" s="195" t="str">
        <f t="shared" si="158"/>
        <v>IMPDSLP23</v>
      </c>
      <c r="F90" s="195" t="str">
        <f>CONCATENATE("Imported ",VLOOKUP($A90,Types!$A$2:$C$13,3,FALSE),", PADD ",D90,", Step ",RIGHT(C90,1))</f>
        <v>Imported Distillate-Low Sulfur Highway Diesel (500 ppm), PADD 2, Step 3</v>
      </c>
      <c r="G90" s="195" t="str">
        <f>CONCATENATE(VLOOKUP($A90,Types!$A$2:$C$13,2,FALSE),"P",D90)</f>
        <v>DSLP2</v>
      </c>
      <c r="H90" s="239">
        <f>SUMIFS('Agg prdcrv NYC'!$M$6:$M$100,'Agg prdcrv NYC'!$A$6:$A$100,'Imp Refined NYC'!$A90,'Agg prdcrv NYC'!$B$6:$B$100,H$11)*K4</f>
        <v>55.495000000000005</v>
      </c>
      <c r="I90" s="239">
        <f>SUMIFS('Agg prdcrv NYC'!$M$6:$M$100,'Agg prdcrv NYC'!$A$6:$A$100,'Imp Refined NYC'!$A90,'Agg prdcrv NYC'!$B$6:$B$100,I$11)*K4</f>
        <v>49.049000000000007</v>
      </c>
      <c r="J90" s="239">
        <f t="array" ref="J90">SUMIFS('Agg prdcrv NYC'!$M$6:$M$100,'Agg prdcrv NYC'!$A$6:$A$100,'Imp Refined NYC'!$A90,'Agg prdcrv NYC'!$B$6:$B$100,J$11)</f>
        <v>113.5</v>
      </c>
      <c r="K90" s="239">
        <f t="array" ref="K90">SUMIFS('Agg prdcrv NYC'!$M$6:$M$100,'Agg prdcrv NYC'!$A$6:$A$100,'Imp Refined NYC'!$A90,'Agg prdcrv NYC'!$B$6:$B$100,K$11)</f>
        <v>113.5</v>
      </c>
      <c r="L90" s="240">
        <f>H90*Conv!$J$20/10^6/VLOOKUP($B90,Types!$B$2:$D$13,3,FALSE)/Conv!$I$5</f>
        <v>13.856253215914144</v>
      </c>
      <c r="M90" s="240">
        <f>I90*Conv!$J$20/10^6/VLOOKUP($B90,Types!$B$2:$D$13,3,FALSE)/Conv!$I$5</f>
        <v>12.246785548020053</v>
      </c>
      <c r="N90" s="240">
        <f>M90*'Imported Price Trends'!$K$19</f>
        <v>13.186687857694011</v>
      </c>
      <c r="O90" s="240">
        <f>N90*'Imported Price Trends'!$L$19</f>
        <v>13.061307887607759</v>
      </c>
      <c r="P90" s="240">
        <f>O90*'Imported Price Trends'!$M$19</f>
        <v>14.094068590288646</v>
      </c>
      <c r="Q90" s="240">
        <f>P90*'Imported Price Trends'!$N$19</f>
        <v>14.90366536885989</v>
      </c>
      <c r="R90" s="240">
        <f>Q90*'Imported Price Trends'!$O$19</f>
        <v>16.012260241252871</v>
      </c>
      <c r="S90" s="240">
        <f>R90*'Imported Price Trends'!$O$19</f>
        <v>17.203316881317036</v>
      </c>
      <c r="T90" s="240">
        <f>S90*'Imported Price Trends'!$O$19</f>
        <v>18.48296912865132</v>
      </c>
      <c r="U90" s="240">
        <f>T90*'Imported Price Trends'!$O$19</f>
        <v>19.857807082637674</v>
      </c>
      <c r="V90" s="240">
        <f>U90*'Imported Price Trends'!$O$19</f>
        <v>21.334911040887992</v>
      </c>
      <c r="W90" s="219"/>
      <c r="X90" s="195">
        <f t="array" ref="X90">SUMIFS('Agg prdcrv NYC'!$E$6:$E$100,'Agg prdcrv NYC'!$A$6:$A$100,'Imp Refined NYC'!$A90,'Agg prdcrv NYC'!$B$6:$B$100,X$11)</f>
        <v>999999</v>
      </c>
      <c r="Y90" s="195">
        <f t="array" ref="Y90">SUMIFS('Agg prdcrv NYC'!$E$6:$E$100,'Agg prdcrv NYC'!$A$6:$A$100,'Imp Refined NYC'!$A90,'Agg prdcrv NYC'!$B$6:$B$100,Y$11)</f>
        <v>999999</v>
      </c>
      <c r="Z90" s="195">
        <f t="array" ref="Z90">SUMIFS('Agg prdcrv NYC'!$E$6:$E$100,'Agg prdcrv NYC'!$A$6:$A$100,'Imp Refined NYC'!$A90,'Agg prdcrv NYC'!$B$6:$B$100,Z$11)</f>
        <v>999999</v>
      </c>
      <c r="AA90" s="195">
        <f t="array" ref="AA90">SUMIFS('Agg prdcrv NYC'!$E$6:$E$100,'Agg prdcrv NYC'!$A$6:$A$100,'Imp Refined NYC'!$A90,'Agg prdcrv NYC'!$B$6:$B$100,AA$11)</f>
        <v>999999</v>
      </c>
      <c r="AB90" s="219">
        <f>X90*VLOOKUP($B90,Types!$B$2:$D$13,3,FALSE)*Conv!$I$5*1000*365</f>
        <v>2243178.6948190616</v>
      </c>
      <c r="AC90" s="219">
        <f>Y90*VLOOKUP($B90,Types!$B$2:$D$13,3,FALSE)*Conv!$I$5*1000*365</f>
        <v>2243178.6948190616</v>
      </c>
      <c r="AD90" s="219">
        <f>Z90*VLOOKUP($B90,Types!$B$2:$D$13,3,FALSE)*Conv!$I$5*1000*365</f>
        <v>2243178.6948190616</v>
      </c>
      <c r="AE90" s="219">
        <f>AA90*VLOOKUP($B90,Types!$B$2:$D$13,3,FALSE)*Conv!$I$5*1000*365</f>
        <v>2243178.6948190616</v>
      </c>
      <c r="AF90" s="219">
        <f>AB90-AB92</f>
        <v>224317.86948190606</v>
      </c>
      <c r="AG90" s="219">
        <f t="shared" ref="AG90:AI90" si="201">AC90-AC92</f>
        <v>224317.86948190606</v>
      </c>
      <c r="AH90" s="219">
        <f t="shared" si="201"/>
        <v>224317.86948190606</v>
      </c>
      <c r="AI90" s="219">
        <f t="shared" si="201"/>
        <v>224317.86948190606</v>
      </c>
      <c r="AJ90" s="219"/>
      <c r="AK90" s="219"/>
      <c r="AL90" s="219"/>
    </row>
    <row r="91" spans="1:38">
      <c r="A91" s="195" t="str">
        <f>A90</f>
        <v>LS Diesel (500 ppm)</v>
      </c>
      <c r="B91" s="195" t="str">
        <f>VLOOKUP($A91,Types!$A$2:$C$13,2,FALSE)</f>
        <v>DSL</v>
      </c>
      <c r="C91" s="195">
        <v>1</v>
      </c>
      <c r="D91" s="195">
        <v>2</v>
      </c>
      <c r="E91" s="195" t="str">
        <f t="shared" si="158"/>
        <v>IMPDSLP21</v>
      </c>
      <c r="F91" s="195" t="str">
        <f>CONCATENATE("Imported ",VLOOKUP($A91,Types!$A$2:$C$13,3,FALSE),", PADD ",D91,", Step ",RIGHT(C91,1))</f>
        <v>Imported Distillate-Low Sulfur Highway Diesel (500 ppm), PADD 2, Step 1</v>
      </c>
      <c r="G91" s="195" t="str">
        <f>CONCATENATE(VLOOKUP($A91,Types!$A$2:$C$13,2,FALSE),"P",D91)</f>
        <v>DSLP2</v>
      </c>
      <c r="H91" s="239">
        <f>H90*$C$5</f>
        <v>52.72025</v>
      </c>
      <c r="I91" s="239">
        <f t="shared" ref="I91:K91" si="202">I90*$C$5</f>
        <v>46.596550000000001</v>
      </c>
      <c r="J91" s="239">
        <f t="shared" si="202"/>
        <v>107.82499999999999</v>
      </c>
      <c r="K91" s="239">
        <f t="shared" si="202"/>
        <v>107.82499999999999</v>
      </c>
      <c r="L91" s="240">
        <f>H91*Conv!$J$20/10^6/VLOOKUP($B91,Types!$B$2:$D$13,3,FALSE)/Conv!$I$5</f>
        <v>13.163440555118434</v>
      </c>
      <c r="M91" s="240">
        <f>I91*Conv!$J$20/10^6/VLOOKUP($B91,Types!$B$2:$D$13,3,FALSE)/Conv!$I$5</f>
        <v>11.634446270619048</v>
      </c>
      <c r="N91" s="240">
        <f>M91*'Imported Price Trends'!$K$19</f>
        <v>12.527353464809307</v>
      </c>
      <c r="O91" s="240">
        <f>N91*'Imported Price Trends'!$L$19</f>
        <v>12.408242493227368</v>
      </c>
      <c r="P91" s="240">
        <f>O91*'Imported Price Trends'!$M$19</f>
        <v>13.389365160774211</v>
      </c>
      <c r="Q91" s="240">
        <f>P91*'Imported Price Trends'!$N$19</f>
        <v>14.158482100416892</v>
      </c>
      <c r="R91" s="240">
        <f>Q91*'Imported Price Trends'!$O$19</f>
        <v>15.211647229190223</v>
      </c>
      <c r="S91" s="240">
        <f>R91*'Imported Price Trends'!$O$19</f>
        <v>16.343151037251182</v>
      </c>
      <c r="T91" s="240">
        <f>S91*'Imported Price Trends'!$O$19</f>
        <v>17.558820672218751</v>
      </c>
      <c r="U91" s="240">
        <f>T91*'Imported Price Trends'!$O$19</f>
        <v>18.864916728505786</v>
      </c>
      <c r="V91" s="240">
        <f>U91*'Imported Price Trends'!$O$19</f>
        <v>20.268165488843589</v>
      </c>
      <c r="W91" s="219"/>
      <c r="X91" s="195">
        <f>X90*$E$5</f>
        <v>799999.20000000007</v>
      </c>
      <c r="Y91" s="195">
        <f t="shared" ref="Y91:AA91" si="203">Y90*$E$5</f>
        <v>799999.20000000007</v>
      </c>
      <c r="Z91" s="195">
        <f t="shared" si="203"/>
        <v>799999.20000000007</v>
      </c>
      <c r="AA91" s="195">
        <f t="shared" si="203"/>
        <v>799999.20000000007</v>
      </c>
      <c r="AB91" s="219">
        <f>X91*VLOOKUP($B91,Types!$B$2:$D$13,3,FALSE)*Conv!$I$5*1000*365</f>
        <v>1794542.9558552499</v>
      </c>
      <c r="AC91" s="219">
        <f>Y91*VLOOKUP($B91,Types!$B$2:$D$13,3,FALSE)*Conv!$I$5*1000*365</f>
        <v>1794542.9558552499</v>
      </c>
      <c r="AD91" s="219">
        <f>Z91*VLOOKUP($B91,Types!$B$2:$D$13,3,FALSE)*Conv!$I$5*1000*365</f>
        <v>1794542.9558552499</v>
      </c>
      <c r="AE91" s="219">
        <f>AA91*VLOOKUP($B91,Types!$B$2:$D$13,3,FALSE)*Conv!$I$5*1000*365</f>
        <v>1794542.9558552499</v>
      </c>
      <c r="AF91" s="219">
        <f>AB91</f>
        <v>1794542.9558552499</v>
      </c>
      <c r="AG91" s="219">
        <f t="shared" ref="AG91:AI91" si="204">AC91</f>
        <v>1794542.9558552499</v>
      </c>
      <c r="AH91" s="219">
        <f t="shared" si="204"/>
        <v>1794542.9558552499</v>
      </c>
      <c r="AI91" s="219">
        <f t="shared" si="204"/>
        <v>1794542.9558552499</v>
      </c>
      <c r="AJ91" s="219"/>
      <c r="AK91" s="219"/>
      <c r="AL91" s="219"/>
    </row>
    <row r="92" spans="1:38">
      <c r="A92" s="195" t="str">
        <f t="shared" ref="A92:A94" si="205">A91</f>
        <v>LS Diesel (500 ppm)</v>
      </c>
      <c r="B92" s="195" t="str">
        <f>VLOOKUP($A92,Types!$A$2:$C$13,2,FALSE)</f>
        <v>DSL</v>
      </c>
      <c r="C92" s="195">
        <v>2</v>
      </c>
      <c r="D92" s="195">
        <v>2</v>
      </c>
      <c r="E92" s="195" t="str">
        <f t="shared" si="158"/>
        <v>IMPDSLP22</v>
      </c>
      <c r="F92" s="195" t="str">
        <f>CONCATENATE("Imported ",VLOOKUP($A92,Types!$A$2:$C$13,3,FALSE),", PADD ",D92,", Step ",RIGHT(C92,1))</f>
        <v>Imported Distillate-Low Sulfur Highway Diesel (500 ppm), PADD 2, Step 2</v>
      </c>
      <c r="G92" s="195" t="str">
        <f>CONCATENATE(VLOOKUP($A92,Types!$A$2:$C$13,2,FALSE),"P",D92)</f>
        <v>DSLP2</v>
      </c>
      <c r="H92" s="239">
        <f>H90*$C$6</f>
        <v>54.385100000000001</v>
      </c>
      <c r="I92" s="239">
        <f t="shared" ref="I92:K92" si="206">I90*$C$6</f>
        <v>48.068020000000004</v>
      </c>
      <c r="J92" s="239">
        <f t="shared" si="206"/>
        <v>111.23</v>
      </c>
      <c r="K92" s="239">
        <f t="shared" si="206"/>
        <v>111.23</v>
      </c>
      <c r="L92" s="240">
        <f>H92*Conv!$J$20/10^6/VLOOKUP($B92,Types!$B$2:$D$13,3,FALSE)/Conv!$I$5</f>
        <v>13.57912815159586</v>
      </c>
      <c r="M92" s="240">
        <f>I92*Conv!$J$20/10^6/VLOOKUP($B92,Types!$B$2:$D$13,3,FALSE)/Conv!$I$5</f>
        <v>12.001849837059652</v>
      </c>
      <c r="N92" s="240">
        <f>M92*'Imported Price Trends'!$K$19</f>
        <v>12.92295410054013</v>
      </c>
      <c r="O92" s="240">
        <f>N92*'Imported Price Trends'!$L$19</f>
        <v>12.800081729855602</v>
      </c>
      <c r="P92" s="240">
        <f>O92*'Imported Price Trends'!$M$19</f>
        <v>13.812187218482872</v>
      </c>
      <c r="Q92" s="240">
        <f>P92*'Imported Price Trends'!$N$19</f>
        <v>14.605592061482691</v>
      </c>
      <c r="R92" s="240">
        <f>Q92*'Imported Price Trends'!$O$19</f>
        <v>15.692015036427811</v>
      </c>
      <c r="S92" s="240">
        <f>R92*'Imported Price Trends'!$O$19</f>
        <v>16.859250543690695</v>
      </c>
      <c r="T92" s="240">
        <f>S92*'Imported Price Trends'!$O$19</f>
        <v>18.113309746078293</v>
      </c>
      <c r="U92" s="240">
        <f>T92*'Imported Price Trends'!$O$19</f>
        <v>19.46065094098492</v>
      </c>
      <c r="V92" s="240">
        <f>U92*'Imported Price Trends'!$O$19</f>
        <v>20.908212820070233</v>
      </c>
      <c r="W92" s="219"/>
      <c r="X92" s="195">
        <f>X90*$E$6</f>
        <v>899999.1</v>
      </c>
      <c r="Y92" s="195">
        <f t="shared" ref="Y92:AA92" si="207">Y90*$E$6</f>
        <v>899999.1</v>
      </c>
      <c r="Z92" s="195">
        <f t="shared" si="207"/>
        <v>899999.1</v>
      </c>
      <c r="AA92" s="195">
        <f t="shared" si="207"/>
        <v>899999.1</v>
      </c>
      <c r="AB92" s="219">
        <f>X92*VLOOKUP($B92,Types!$B$2:$D$13,3,FALSE)*Conv!$I$5*1000*365</f>
        <v>2018860.8253371555</v>
      </c>
      <c r="AC92" s="219">
        <f>Y92*VLOOKUP($B92,Types!$B$2:$D$13,3,FALSE)*Conv!$I$5*1000*365</f>
        <v>2018860.8253371555</v>
      </c>
      <c r="AD92" s="219">
        <f>Z92*VLOOKUP($B92,Types!$B$2:$D$13,3,FALSE)*Conv!$I$5*1000*365</f>
        <v>2018860.8253371555</v>
      </c>
      <c r="AE92" s="219">
        <f>AA92*VLOOKUP($B92,Types!$B$2:$D$13,3,FALSE)*Conv!$I$5*1000*365</f>
        <v>2018860.8253371555</v>
      </c>
      <c r="AF92" s="219">
        <f>AB92-AF91</f>
        <v>224317.8694819056</v>
      </c>
      <c r="AG92" s="219">
        <f t="shared" ref="AG92:AI92" si="208">AC92-AG91</f>
        <v>224317.8694819056</v>
      </c>
      <c r="AH92" s="219">
        <f t="shared" si="208"/>
        <v>224317.8694819056</v>
      </c>
      <c r="AI92" s="219">
        <f t="shared" si="208"/>
        <v>224317.8694819056</v>
      </c>
      <c r="AJ92" s="219"/>
      <c r="AK92" s="219"/>
      <c r="AL92" s="219"/>
    </row>
    <row r="93" spans="1:38">
      <c r="A93" s="195" t="str">
        <f t="shared" si="205"/>
        <v>LS Diesel (500 ppm)</v>
      </c>
      <c r="B93" s="195" t="str">
        <f>VLOOKUP($A93,Types!$A$2:$C$13,2,FALSE)</f>
        <v>DSL</v>
      </c>
      <c r="C93" s="195">
        <v>4</v>
      </c>
      <c r="D93" s="195">
        <v>2</v>
      </c>
      <c r="E93" s="195" t="str">
        <f t="shared" si="158"/>
        <v>IMPDSLP24</v>
      </c>
      <c r="F93" s="195" t="str">
        <f>CONCATENATE("Imported ",VLOOKUP($A93,Types!$A$2:$C$13,3,FALSE),", PADD ",D93,", Step ",RIGHT(C93,1))</f>
        <v>Imported Distillate-Low Sulfur Highway Diesel (500 ppm), PADD 2, Step 4</v>
      </c>
      <c r="G93" s="195" t="str">
        <f>CONCATENATE(VLOOKUP($A93,Types!$A$2:$C$13,2,FALSE),"P",D93)</f>
        <v>DSLP2</v>
      </c>
      <c r="H93" s="239">
        <f>H90*$C$8</f>
        <v>60.489550000000008</v>
      </c>
      <c r="I93" s="239">
        <f t="shared" ref="I93:K93" si="209">I90*$C$8</f>
        <v>53.46341000000001</v>
      </c>
      <c r="J93" s="239">
        <f t="shared" si="209"/>
        <v>123.715</v>
      </c>
      <c r="K93" s="239">
        <f t="shared" si="209"/>
        <v>123.715</v>
      </c>
      <c r="L93" s="240">
        <f>H93*Conv!$J$20/10^6/VLOOKUP($B93,Types!$B$2:$D$13,3,FALSE)/Conv!$I$5</f>
        <v>15.103316005346416</v>
      </c>
      <c r="M93" s="240">
        <f>I93*Conv!$J$20/10^6/VLOOKUP($B93,Types!$B$2:$D$13,3,FALSE)/Conv!$I$5</f>
        <v>13.34899624734186</v>
      </c>
      <c r="N93" s="240">
        <f>M93*'Imported Price Trends'!$K$19</f>
        <v>14.373489764886473</v>
      </c>
      <c r="O93" s="240">
        <f>N93*'Imported Price Trends'!$L$19</f>
        <v>14.236825597492459</v>
      </c>
      <c r="P93" s="240">
        <f>O93*'Imported Price Trends'!$M$19</f>
        <v>15.362534763414626</v>
      </c>
      <c r="Q93" s="240">
        <f>P93*'Imported Price Trends'!$N$19</f>
        <v>16.244995252057283</v>
      </c>
      <c r="R93" s="240">
        <f>Q93*'Imported Price Trends'!$O$19</f>
        <v>17.453363662965632</v>
      </c>
      <c r="S93" s="240">
        <f>R93*'Imported Price Trends'!$O$19</f>
        <v>18.751615400635572</v>
      </c>
      <c r="T93" s="240">
        <f>S93*'Imported Price Trends'!$O$19</f>
        <v>20.146436350229941</v>
      </c>
      <c r="U93" s="240">
        <f>T93*'Imported Price Trends'!$O$19</f>
        <v>21.645009720075066</v>
      </c>
      <c r="V93" s="240">
        <f>U93*'Imported Price Trends'!$O$19</f>
        <v>23.255053034567915</v>
      </c>
      <c r="W93" s="219"/>
      <c r="X93" s="195">
        <f>X90*$E$8</f>
        <v>1199998.8</v>
      </c>
      <c r="Y93" s="195">
        <f t="shared" ref="Y93:AA93" si="210">Y90*$E$8</f>
        <v>1199998.8</v>
      </c>
      <c r="Z93" s="195">
        <f t="shared" si="210"/>
        <v>1199998.8</v>
      </c>
      <c r="AA93" s="195">
        <f t="shared" si="210"/>
        <v>1199998.8</v>
      </c>
      <c r="AB93" s="219">
        <f>X93*VLOOKUP($B93,Types!$B$2:$D$13,3,FALSE)*Conv!$I$5*1000*365</f>
        <v>2691814.4337828746</v>
      </c>
      <c r="AC93" s="219">
        <f>Y93*VLOOKUP($B93,Types!$B$2:$D$13,3,FALSE)*Conv!$I$5*1000*365</f>
        <v>2691814.4337828746</v>
      </c>
      <c r="AD93" s="219">
        <f>Z93*VLOOKUP($B93,Types!$B$2:$D$13,3,FALSE)*Conv!$I$5*1000*365</f>
        <v>2691814.4337828746</v>
      </c>
      <c r="AE93" s="219">
        <f>AA93*VLOOKUP($B93,Types!$B$2:$D$13,3,FALSE)*Conv!$I$5*1000*365</f>
        <v>2691814.4337828746</v>
      </c>
      <c r="AF93" s="219">
        <f>AB93-AB90</f>
        <v>448635.73896381306</v>
      </c>
      <c r="AG93" s="219">
        <f t="shared" ref="AG93:AI93" si="211">AC93-AC90</f>
        <v>448635.73896381306</v>
      </c>
      <c r="AH93" s="219">
        <f t="shared" si="211"/>
        <v>448635.73896381306</v>
      </c>
      <c r="AI93" s="219">
        <f t="shared" si="211"/>
        <v>448635.73896381306</v>
      </c>
      <c r="AJ93" s="219"/>
      <c r="AK93" s="219"/>
      <c r="AL93" s="219"/>
    </row>
    <row r="94" spans="1:38">
      <c r="A94" s="195" t="str">
        <f t="shared" si="205"/>
        <v>LS Diesel (500 ppm)</v>
      </c>
      <c r="B94" s="195" t="str">
        <f>VLOOKUP($A94,Types!$A$2:$C$13,2,FALSE)</f>
        <v>DSL</v>
      </c>
      <c r="C94" s="195">
        <v>5</v>
      </c>
      <c r="D94" s="195">
        <v>2</v>
      </c>
      <c r="E94" s="195" t="str">
        <f t="shared" si="158"/>
        <v>IMPDSLP25</v>
      </c>
      <c r="F94" s="195" t="str">
        <f>CONCATENATE("Imported ",VLOOKUP($A94,Types!$A$2:$C$13,3,FALSE),", PADD ",D94,", Step ",RIGHT(C94,1))</f>
        <v>Imported Distillate-Low Sulfur Highway Diesel (500 ppm), PADD 2, Step 5</v>
      </c>
      <c r="G94" s="195" t="str">
        <f>CONCATENATE(VLOOKUP($A94,Types!$A$2:$C$13,2,FALSE),"P",D94)</f>
        <v>DSLP2</v>
      </c>
      <c r="H94" s="239">
        <f>H90*$C$9</f>
        <v>72.143500000000003</v>
      </c>
      <c r="I94" s="239">
        <f t="shared" ref="I94:K94" si="212">I90*$C$9</f>
        <v>63.763700000000014</v>
      </c>
      <c r="J94" s="239">
        <f t="shared" si="212"/>
        <v>147.55000000000001</v>
      </c>
      <c r="K94" s="239">
        <f t="shared" si="212"/>
        <v>147.55000000000001</v>
      </c>
      <c r="L94" s="240">
        <f>H94*Conv!$J$20/10^6/VLOOKUP($B94,Types!$B$2:$D$13,3,FALSE)/Conv!$I$5</f>
        <v>18.013129180688384</v>
      </c>
      <c r="M94" s="240">
        <f>I94*Conv!$J$20/10^6/VLOOKUP($B94,Types!$B$2:$D$13,3,FALSE)/Conv!$I$5</f>
        <v>15.920821212426068</v>
      </c>
      <c r="N94" s="240">
        <f>M94*'Imported Price Trends'!$K$19</f>
        <v>17.142694215002212</v>
      </c>
      <c r="O94" s="240">
        <f>N94*'Imported Price Trends'!$L$19</f>
        <v>16.979700253890083</v>
      </c>
      <c r="P94" s="240">
        <f>O94*'Imported Price Trends'!$M$19</f>
        <v>18.322289167375239</v>
      </c>
      <c r="Q94" s="240">
        <f>P94*'Imported Price Trends'!$N$19</f>
        <v>19.374764979517856</v>
      </c>
      <c r="R94" s="240">
        <f>Q94*'Imported Price Trends'!$O$19</f>
        <v>20.815938313628731</v>
      </c>
      <c r="S94" s="240">
        <f>R94*'Imported Price Trends'!$O$19</f>
        <v>22.364311945712146</v>
      </c>
      <c r="T94" s="240">
        <f>S94*'Imported Price Trends'!$O$19</f>
        <v>24.027859867246715</v>
      </c>
      <c r="U94" s="240">
        <f>T94*'Imported Price Trends'!$O$19</f>
        <v>25.815149207428977</v>
      </c>
      <c r="V94" s="240">
        <f>U94*'Imported Price Trends'!$O$19</f>
        <v>27.735384353154391</v>
      </c>
      <c r="W94" s="219"/>
      <c r="X94" s="195">
        <f>X90*$E$9</f>
        <v>1999998</v>
      </c>
      <c r="Y94" s="195">
        <f t="shared" ref="Y94:AA94" si="213">Y90*$E$9</f>
        <v>1999998</v>
      </c>
      <c r="Z94" s="195">
        <f t="shared" si="213"/>
        <v>1999998</v>
      </c>
      <c r="AA94" s="195">
        <f t="shared" si="213"/>
        <v>1999998</v>
      </c>
      <c r="AB94" s="219">
        <f>X94*VLOOKUP($B94,Types!$B$2:$D$13,3,FALSE)*Conv!$I$5*1000*365</f>
        <v>4486357.3896381231</v>
      </c>
      <c r="AC94" s="219">
        <f>Y94*VLOOKUP($B94,Types!$B$2:$D$13,3,FALSE)*Conv!$I$5*1000*365</f>
        <v>4486357.3896381231</v>
      </c>
      <c r="AD94" s="219">
        <f>Z94*VLOOKUP($B94,Types!$B$2:$D$13,3,FALSE)*Conv!$I$5*1000*365</f>
        <v>4486357.3896381231</v>
      </c>
      <c r="AE94" s="219">
        <f>AA94*VLOOKUP($B94,Types!$B$2:$D$13,3,FALSE)*Conv!$I$5*1000*365</f>
        <v>4486357.3896381231</v>
      </c>
      <c r="AF94" s="219">
        <f>AB94-AB93</f>
        <v>1794542.9558552485</v>
      </c>
      <c r="AG94" s="219">
        <f t="shared" ref="AG94:AI94" si="214">AC94-AC93</f>
        <v>1794542.9558552485</v>
      </c>
      <c r="AH94" s="219">
        <f t="shared" si="214"/>
        <v>1794542.9558552485</v>
      </c>
      <c r="AI94" s="219">
        <f t="shared" si="214"/>
        <v>1794542.9558552485</v>
      </c>
      <c r="AJ94" s="219"/>
      <c r="AK94" s="219"/>
      <c r="AL94" s="219"/>
    </row>
    <row r="95" spans="1:38">
      <c r="A95" s="195" t="str">
        <f>'Agg prdcrv'!$A$10</f>
        <v>Low Sulfur Fuel Oil</v>
      </c>
      <c r="B95" s="195" t="str">
        <f>VLOOKUP($A95,Types!$A$2:$C$13,2,FALSE)</f>
        <v>RFL</v>
      </c>
      <c r="C95" s="195">
        <v>3</v>
      </c>
      <c r="D95" s="195">
        <v>2</v>
      </c>
      <c r="E95" s="195" t="str">
        <f t="shared" si="158"/>
        <v>IMPRFLP23</v>
      </c>
      <c r="F95" s="195" t="str">
        <f>CONCATENATE("Imported ",VLOOKUP($A95,Types!$A$2:$C$13,3,FALSE),", PADD ",D95,", Step ",RIGHT(C95,1))</f>
        <v>Imported Low Sulfur Residual Fuel Oil, PADD 2, Step 3</v>
      </c>
      <c r="G95" s="195" t="str">
        <f>CONCATENATE(VLOOKUP($A95,Types!$A$2:$C$13,2,FALSE),"P",D95)</f>
        <v>RFLP2</v>
      </c>
      <c r="H95" s="239">
        <f>SUMIFS('Agg prdcrv NYC'!$M$6:$M$100,'Agg prdcrv NYC'!$A$6:$A$100,'Imp Refined NYC'!$A95,'Agg prdcrv NYC'!$B$6:$B$100,H$11)*K4</f>
        <v>43.120000000000005</v>
      </c>
      <c r="I95" s="239">
        <f>SUMIFS('Agg prdcrv NYC'!$M$6:$M$100,'Agg prdcrv NYC'!$A$6:$A$100,'Imp Refined NYC'!$A95,'Agg prdcrv NYC'!$B$6:$B$100,I$11)*K4</f>
        <v>36.750999999999998</v>
      </c>
      <c r="J95" s="239">
        <f t="array" ref="J95">SUMIFS('Agg prdcrv NYC'!$M$6:$M$100,'Agg prdcrv NYC'!$A$6:$A$100,'Imp Refined NYC'!$A95,'Agg prdcrv NYC'!$B$6:$B$100,J$11)</f>
        <v>29.19</v>
      </c>
      <c r="K95" s="239">
        <f t="array" ref="K95">SUMIFS('Agg prdcrv NYC'!$M$6:$M$100,'Agg prdcrv NYC'!$A$6:$A$100,'Imp Refined NYC'!$A95,'Agg prdcrv NYC'!$B$6:$B$100,K$11)</f>
        <v>32.119999999999997</v>
      </c>
      <c r="L95" s="240">
        <f>H95*Conv!$J$20/10^6/VLOOKUP($B95,Types!$B$2:$D$13,3,FALSE)/Conv!$I$5</f>
        <v>9.9752359489009166</v>
      </c>
      <c r="M95" s="240">
        <f>I95*Conv!$J$20/10^6/VLOOKUP($B95,Types!$B$2:$D$13,3,FALSE)/Conv!$I$5</f>
        <v>8.5018528839994776</v>
      </c>
      <c r="N95" s="240">
        <f>M95*'Imported Price Trends'!$K$19</f>
        <v>9.1543433788192541</v>
      </c>
      <c r="O95" s="240">
        <f>N95*'Imported Price Trends'!$L$19</f>
        <v>9.0673032280716228</v>
      </c>
      <c r="P95" s="240">
        <f>O95*'Imported Price Trends'!$M$19</f>
        <v>9.7842570380440979</v>
      </c>
      <c r="Q95" s="240">
        <f>P95*'Imported Price Trends'!$N$19</f>
        <v>10.346288003621462</v>
      </c>
      <c r="R95" s="240">
        <f>Q95*'Imported Price Trends'!$O$19</f>
        <v>11.115886726166666</v>
      </c>
      <c r="S95" s="240">
        <f>R95*'Imported Price Trends'!$O$19</f>
        <v>11.942731312497596</v>
      </c>
      <c r="T95" s="240">
        <f>S95*'Imported Price Trends'!$O$19</f>
        <v>12.831079941356723</v>
      </c>
      <c r="U95" s="240">
        <f>T95*'Imported Price Trends'!$O$19</f>
        <v>13.785507532033408</v>
      </c>
      <c r="V95" s="240">
        <f>U95*'Imported Price Trends'!$O$19</f>
        <v>14.810929304806086</v>
      </c>
      <c r="W95" s="219"/>
      <c r="X95" s="195">
        <f t="array" ref="X95">SUMIFS('Agg prdcrv NYC'!$E$6:$E$100,'Agg prdcrv NYC'!$A$6:$A$100,'Imp Refined NYC'!$A95,'Agg prdcrv NYC'!$B$6:$B$100,X$11)</f>
        <v>999999</v>
      </c>
      <c r="Y95" s="195">
        <f t="array" ref="Y95">SUMIFS('Agg prdcrv NYC'!$E$6:$E$100,'Agg prdcrv NYC'!$A$6:$A$100,'Imp Refined NYC'!$A95,'Agg prdcrv NYC'!$B$6:$B$100,Y$11)</f>
        <v>999999</v>
      </c>
      <c r="Z95" s="195">
        <f t="array" ref="Z95">SUMIFS('Agg prdcrv NYC'!$E$6:$E$100,'Agg prdcrv NYC'!$A$6:$A$100,'Imp Refined NYC'!$A95,'Agg prdcrv NYC'!$B$6:$B$100,Z$11)</f>
        <v>999999</v>
      </c>
      <c r="AA95" s="195">
        <f t="array" ref="AA95">SUMIFS('Agg prdcrv NYC'!$E$6:$E$100,'Agg prdcrv NYC'!$A$6:$A$100,'Imp Refined NYC'!$A95,'Agg prdcrv NYC'!$B$6:$B$100,AA$11)</f>
        <v>999999</v>
      </c>
      <c r="AB95" s="219">
        <f>X95*VLOOKUP($B95,Types!$B$2:$D$13,3,FALSE)*Conv!$I$5*1000*365</f>
        <v>2421092.6101849684</v>
      </c>
      <c r="AC95" s="219">
        <f>Y95*VLOOKUP($B95,Types!$B$2:$D$13,3,FALSE)*Conv!$I$5*1000*365</f>
        <v>2421092.6101849684</v>
      </c>
      <c r="AD95" s="219">
        <f>Z95*VLOOKUP($B95,Types!$B$2:$D$13,3,FALSE)*Conv!$I$5*1000*365</f>
        <v>2421092.6101849684</v>
      </c>
      <c r="AE95" s="219">
        <f>AA95*VLOOKUP($B95,Types!$B$2:$D$13,3,FALSE)*Conv!$I$5*1000*365</f>
        <v>2421092.6101849684</v>
      </c>
      <c r="AF95" s="219">
        <f>AB95-AB97</f>
        <v>242109.26101849694</v>
      </c>
      <c r="AG95" s="219">
        <f t="shared" ref="AG95:AI95" si="215">AC95-AC97</f>
        <v>242109.26101849694</v>
      </c>
      <c r="AH95" s="219">
        <f t="shared" si="215"/>
        <v>242109.26101849694</v>
      </c>
      <c r="AI95" s="219">
        <f t="shared" si="215"/>
        <v>242109.26101849694</v>
      </c>
      <c r="AJ95" s="219"/>
      <c r="AK95" s="219"/>
      <c r="AL95" s="219"/>
    </row>
    <row r="96" spans="1:38">
      <c r="A96" s="195" t="str">
        <f>A95</f>
        <v>Low Sulfur Fuel Oil</v>
      </c>
      <c r="B96" s="195" t="str">
        <f>VLOOKUP($A96,Types!$A$2:$C$13,2,FALSE)</f>
        <v>RFL</v>
      </c>
      <c r="C96" s="195">
        <v>1</v>
      </c>
      <c r="D96" s="195">
        <v>2</v>
      </c>
      <c r="E96" s="195" t="str">
        <f t="shared" si="158"/>
        <v>IMPRFLP21</v>
      </c>
      <c r="F96" s="195" t="str">
        <f>CONCATENATE("Imported ",VLOOKUP($A96,Types!$A$2:$C$13,3,FALSE),", PADD ",D96,", Step ",RIGHT(C96,1))</f>
        <v>Imported Low Sulfur Residual Fuel Oil, PADD 2, Step 1</v>
      </c>
      <c r="G96" s="195" t="str">
        <f>CONCATENATE(VLOOKUP($A96,Types!$A$2:$C$13,2,FALSE),"P",D96)</f>
        <v>RFLP2</v>
      </c>
      <c r="H96" s="239">
        <f>H95*$C$5</f>
        <v>40.964000000000006</v>
      </c>
      <c r="I96" s="239">
        <f t="shared" ref="I96:K96" si="216">I95*$C$5</f>
        <v>34.913449999999997</v>
      </c>
      <c r="J96" s="239">
        <f t="shared" si="216"/>
        <v>27.730499999999999</v>
      </c>
      <c r="K96" s="239">
        <f t="shared" si="216"/>
        <v>30.513999999999996</v>
      </c>
      <c r="L96" s="240">
        <f>H96*Conv!$J$20/10^6/VLOOKUP($B96,Types!$B$2:$D$13,3,FALSE)/Conv!$I$5</f>
        <v>9.4764741514558697</v>
      </c>
      <c r="M96" s="240">
        <f>I96*Conv!$J$20/10^6/VLOOKUP($B96,Types!$B$2:$D$13,3,FALSE)/Conv!$I$5</f>
        <v>8.0767602397995031</v>
      </c>
      <c r="N96" s="240">
        <f>M96*'Imported Price Trends'!$K$19</f>
        <v>8.6966262098782909</v>
      </c>
      <c r="O96" s="240">
        <f>N96*'Imported Price Trends'!$L$19</f>
        <v>8.6139380666680427</v>
      </c>
      <c r="P96" s="240">
        <f>O96*'Imported Price Trends'!$M$19</f>
        <v>9.2950441861418955</v>
      </c>
      <c r="Q96" s="240">
        <f>P96*'Imported Price Trends'!$N$19</f>
        <v>9.8289736034403905</v>
      </c>
      <c r="R96" s="240">
        <f>Q96*'Imported Price Trends'!$O$19</f>
        <v>10.560092389858335</v>
      </c>
      <c r="S96" s="240">
        <f>R96*'Imported Price Trends'!$O$19</f>
        <v>11.345594746872719</v>
      </c>
      <c r="T96" s="240">
        <f>S96*'Imported Price Trends'!$O$19</f>
        <v>12.189525944288889</v>
      </c>
      <c r="U96" s="240">
        <f>T96*'Imported Price Trends'!$O$19</f>
        <v>13.096232155431739</v>
      </c>
      <c r="V96" s="240">
        <f>U96*'Imported Price Trends'!$O$19</f>
        <v>14.070382839565783</v>
      </c>
      <c r="W96" s="219"/>
      <c r="X96" s="195">
        <f>X95*$E$5</f>
        <v>799999.20000000007</v>
      </c>
      <c r="Y96" s="195">
        <f t="shared" ref="Y96:AA96" si="217">Y95*$E$5</f>
        <v>799999.20000000007</v>
      </c>
      <c r="Z96" s="195">
        <f t="shared" si="217"/>
        <v>799999.20000000007</v>
      </c>
      <c r="AA96" s="195">
        <f t="shared" si="217"/>
        <v>799999.20000000007</v>
      </c>
      <c r="AB96" s="219">
        <f>X96*VLOOKUP($B96,Types!$B$2:$D$13,3,FALSE)*Conv!$I$5*1000*365</f>
        <v>1936874.088147975</v>
      </c>
      <c r="AC96" s="219">
        <f>Y96*VLOOKUP($B96,Types!$B$2:$D$13,3,FALSE)*Conv!$I$5*1000*365</f>
        <v>1936874.088147975</v>
      </c>
      <c r="AD96" s="219">
        <f>Z96*VLOOKUP($B96,Types!$B$2:$D$13,3,FALSE)*Conv!$I$5*1000*365</f>
        <v>1936874.088147975</v>
      </c>
      <c r="AE96" s="219">
        <f>AA96*VLOOKUP($B96,Types!$B$2:$D$13,3,FALSE)*Conv!$I$5*1000*365</f>
        <v>1936874.088147975</v>
      </c>
      <c r="AF96" s="219">
        <f>AB96</f>
        <v>1936874.088147975</v>
      </c>
      <c r="AG96" s="219">
        <f t="shared" ref="AG96:AI96" si="218">AC96</f>
        <v>1936874.088147975</v>
      </c>
      <c r="AH96" s="219">
        <f t="shared" si="218"/>
        <v>1936874.088147975</v>
      </c>
      <c r="AI96" s="219">
        <f t="shared" si="218"/>
        <v>1936874.088147975</v>
      </c>
      <c r="AJ96" s="219"/>
      <c r="AK96" s="219"/>
      <c r="AL96" s="219"/>
    </row>
    <row r="97" spans="1:38">
      <c r="A97" s="195" t="str">
        <f t="shared" ref="A97:A99" si="219">A96</f>
        <v>Low Sulfur Fuel Oil</v>
      </c>
      <c r="B97" s="195" t="str">
        <f>VLOOKUP($A97,Types!$A$2:$C$13,2,FALSE)</f>
        <v>RFL</v>
      </c>
      <c r="C97" s="195">
        <v>2</v>
      </c>
      <c r="D97" s="195">
        <v>2</v>
      </c>
      <c r="E97" s="195" t="str">
        <f t="shared" si="158"/>
        <v>IMPRFLP22</v>
      </c>
      <c r="F97" s="195" t="str">
        <f>CONCATENATE("Imported ",VLOOKUP($A97,Types!$A$2:$C$13,3,FALSE),", PADD ",D97,", Step ",RIGHT(C97,1))</f>
        <v>Imported Low Sulfur Residual Fuel Oil, PADD 2, Step 2</v>
      </c>
      <c r="G97" s="195" t="str">
        <f>CONCATENATE(VLOOKUP($A97,Types!$A$2:$C$13,2,FALSE),"P",D97)</f>
        <v>RFLP2</v>
      </c>
      <c r="H97" s="239">
        <f>H95*$C$6</f>
        <v>42.257600000000004</v>
      </c>
      <c r="I97" s="239">
        <f t="shared" ref="I97:K97" si="220">I95*$C$6</f>
        <v>36.015979999999999</v>
      </c>
      <c r="J97" s="239">
        <f t="shared" si="220"/>
        <v>28.606200000000001</v>
      </c>
      <c r="K97" s="239">
        <f t="shared" si="220"/>
        <v>31.477599999999995</v>
      </c>
      <c r="L97" s="240">
        <f>H97*Conv!$J$20/10^6/VLOOKUP($B97,Types!$B$2:$D$13,3,FALSE)/Conv!$I$5</f>
        <v>9.7757312299228953</v>
      </c>
      <c r="M97" s="240">
        <f>I97*Conv!$J$20/10^6/VLOOKUP($B97,Types!$B$2:$D$13,3,FALSE)/Conv!$I$5</f>
        <v>8.3318158263194881</v>
      </c>
      <c r="N97" s="240">
        <f>M97*'Imported Price Trends'!$K$19</f>
        <v>8.9712565112428706</v>
      </c>
      <c r="O97" s="240">
        <f>N97*'Imported Price Trends'!$L$19</f>
        <v>8.8859571635101933</v>
      </c>
      <c r="P97" s="240">
        <f>O97*'Imported Price Trends'!$M$19</f>
        <v>9.5885718972832201</v>
      </c>
      <c r="Q97" s="240">
        <f>P97*'Imported Price Trends'!$N$19</f>
        <v>10.139362243549037</v>
      </c>
      <c r="R97" s="240">
        <f>Q97*'Imported Price Trends'!$O$19</f>
        <v>10.893568991643338</v>
      </c>
      <c r="S97" s="240">
        <f>R97*'Imported Price Trends'!$O$19</f>
        <v>11.70387668624765</v>
      </c>
      <c r="T97" s="240">
        <f>S97*'Imported Price Trends'!$O$19</f>
        <v>12.574458342529594</v>
      </c>
      <c r="U97" s="240">
        <f>T97*'Imported Price Trends'!$O$19</f>
        <v>13.509797381392746</v>
      </c>
      <c r="V97" s="240">
        <f>U97*'Imported Price Trends'!$O$19</f>
        <v>14.514710718709969</v>
      </c>
      <c r="W97" s="219"/>
      <c r="X97" s="195">
        <f>X95*$E$6</f>
        <v>899999.1</v>
      </c>
      <c r="Y97" s="195">
        <f t="shared" ref="Y97:AA97" si="221">Y95*$E$6</f>
        <v>899999.1</v>
      </c>
      <c r="Z97" s="195">
        <f t="shared" si="221"/>
        <v>899999.1</v>
      </c>
      <c r="AA97" s="195">
        <f t="shared" si="221"/>
        <v>899999.1</v>
      </c>
      <c r="AB97" s="219">
        <f>X97*VLOOKUP($B97,Types!$B$2:$D$13,3,FALSE)*Conv!$I$5*1000*365</f>
        <v>2178983.3491664715</v>
      </c>
      <c r="AC97" s="219">
        <f>Y97*VLOOKUP($B97,Types!$B$2:$D$13,3,FALSE)*Conv!$I$5*1000*365</f>
        <v>2178983.3491664715</v>
      </c>
      <c r="AD97" s="219">
        <f>Z97*VLOOKUP($B97,Types!$B$2:$D$13,3,FALSE)*Conv!$I$5*1000*365</f>
        <v>2178983.3491664715</v>
      </c>
      <c r="AE97" s="219">
        <f>AA97*VLOOKUP($B97,Types!$B$2:$D$13,3,FALSE)*Conv!$I$5*1000*365</f>
        <v>2178983.3491664715</v>
      </c>
      <c r="AF97" s="219">
        <f>AB97-AF96</f>
        <v>242109.26101849647</v>
      </c>
      <c r="AG97" s="219">
        <f t="shared" ref="AG97:AI97" si="222">AC97-AG96</f>
        <v>242109.26101849647</v>
      </c>
      <c r="AH97" s="219">
        <f t="shared" si="222"/>
        <v>242109.26101849647</v>
      </c>
      <c r="AI97" s="219">
        <f t="shared" si="222"/>
        <v>242109.26101849647</v>
      </c>
      <c r="AJ97" s="219"/>
      <c r="AK97" s="219"/>
      <c r="AL97" s="219"/>
    </row>
    <row r="98" spans="1:38">
      <c r="A98" s="195" t="str">
        <f t="shared" si="219"/>
        <v>Low Sulfur Fuel Oil</v>
      </c>
      <c r="B98" s="195" t="str">
        <f>VLOOKUP($A98,Types!$A$2:$C$13,2,FALSE)</f>
        <v>RFL</v>
      </c>
      <c r="C98" s="195">
        <v>4</v>
      </c>
      <c r="D98" s="195">
        <v>2</v>
      </c>
      <c r="E98" s="195" t="str">
        <f t="shared" si="158"/>
        <v>IMPRFLP24</v>
      </c>
      <c r="F98" s="195" t="str">
        <f>CONCATENATE("Imported ",VLOOKUP($A98,Types!$A$2:$C$13,3,FALSE),", PADD ",D98,", Step ",RIGHT(C98,1))</f>
        <v>Imported Low Sulfur Residual Fuel Oil, PADD 2, Step 4</v>
      </c>
      <c r="G98" s="195" t="str">
        <f>CONCATENATE(VLOOKUP($A98,Types!$A$2:$C$13,2,FALSE),"P",D98)</f>
        <v>RFLP2</v>
      </c>
      <c r="H98" s="239">
        <f>H95*$C$8</f>
        <v>47.000800000000005</v>
      </c>
      <c r="I98" s="239">
        <f t="shared" ref="I98:K98" si="223">I95*$C$8</f>
        <v>40.058590000000002</v>
      </c>
      <c r="J98" s="239">
        <f t="shared" si="223"/>
        <v>31.817100000000003</v>
      </c>
      <c r="K98" s="239">
        <f t="shared" si="223"/>
        <v>35.010800000000003</v>
      </c>
      <c r="L98" s="240">
        <f>H98*Conv!$J$20/10^6/VLOOKUP($B98,Types!$B$2:$D$13,3,FALSE)/Conv!$I$5</f>
        <v>10.873007184301995</v>
      </c>
      <c r="M98" s="240">
        <f>I98*Conv!$J$20/10^6/VLOOKUP($B98,Types!$B$2:$D$13,3,FALSE)/Conv!$I$5</f>
        <v>9.267019643559431</v>
      </c>
      <c r="N98" s="240">
        <f>M98*'Imported Price Trends'!$K$19</f>
        <v>9.9782342829129878</v>
      </c>
      <c r="O98" s="240">
        <f>N98*'Imported Price Trends'!$L$19</f>
        <v>9.8833605185980709</v>
      </c>
      <c r="P98" s="240">
        <f>O98*'Imported Price Trends'!$M$19</f>
        <v>10.66484017146807</v>
      </c>
      <c r="Q98" s="240">
        <f>P98*'Imported Price Trends'!$N$19</f>
        <v>11.277453923947396</v>
      </c>
      <c r="R98" s="240">
        <f>Q98*'Imported Price Trends'!$O$19</f>
        <v>12.116316531521669</v>
      </c>
      <c r="S98" s="240">
        <f>R98*'Imported Price Trends'!$O$19</f>
        <v>13.017577130622383</v>
      </c>
      <c r="T98" s="240">
        <f>S98*'Imported Price Trends'!$O$19</f>
        <v>13.985877136078832</v>
      </c>
      <c r="U98" s="240">
        <f>T98*'Imported Price Trends'!$O$19</f>
        <v>15.026203209916419</v>
      </c>
      <c r="V98" s="240">
        <f>U98*'Imported Price Trends'!$O$19</f>
        <v>16.143912942238636</v>
      </c>
      <c r="W98" s="219"/>
      <c r="X98" s="195">
        <f>X95*$E$8</f>
        <v>1199998.8</v>
      </c>
      <c r="Y98" s="195">
        <f t="shared" ref="Y98:AA98" si="224">Y95*$E$8</f>
        <v>1199998.8</v>
      </c>
      <c r="Z98" s="195">
        <f t="shared" si="224"/>
        <v>1199998.8</v>
      </c>
      <c r="AA98" s="195">
        <f t="shared" si="224"/>
        <v>1199998.8</v>
      </c>
      <c r="AB98" s="219">
        <f>X98*VLOOKUP($B98,Types!$B$2:$D$13,3,FALSE)*Conv!$I$5*1000*365</f>
        <v>2905311.1322219619</v>
      </c>
      <c r="AC98" s="219">
        <f>Y98*VLOOKUP($B98,Types!$B$2:$D$13,3,FALSE)*Conv!$I$5*1000*365</f>
        <v>2905311.1322219619</v>
      </c>
      <c r="AD98" s="219">
        <f>Z98*VLOOKUP($B98,Types!$B$2:$D$13,3,FALSE)*Conv!$I$5*1000*365</f>
        <v>2905311.1322219619</v>
      </c>
      <c r="AE98" s="219">
        <f>AA98*VLOOKUP($B98,Types!$B$2:$D$13,3,FALSE)*Conv!$I$5*1000*365</f>
        <v>2905311.1322219619</v>
      </c>
      <c r="AF98" s="219">
        <f>AB98-AB95</f>
        <v>484218.52203699341</v>
      </c>
      <c r="AG98" s="219">
        <f t="shared" ref="AG98:AI98" si="225">AC98-AC95</f>
        <v>484218.52203699341</v>
      </c>
      <c r="AH98" s="219">
        <f t="shared" si="225"/>
        <v>484218.52203699341</v>
      </c>
      <c r="AI98" s="219">
        <f t="shared" si="225"/>
        <v>484218.52203699341</v>
      </c>
      <c r="AJ98" s="219"/>
      <c r="AK98" s="219"/>
      <c r="AL98" s="219"/>
    </row>
    <row r="99" spans="1:38">
      <c r="A99" s="195" t="str">
        <f t="shared" si="219"/>
        <v>Low Sulfur Fuel Oil</v>
      </c>
      <c r="B99" s="195" t="str">
        <f>VLOOKUP($A99,Types!$A$2:$C$13,2,FALSE)</f>
        <v>RFL</v>
      </c>
      <c r="C99" s="195">
        <v>5</v>
      </c>
      <c r="D99" s="195">
        <v>2</v>
      </c>
      <c r="E99" s="195" t="str">
        <f t="shared" si="158"/>
        <v>IMPRFLP25</v>
      </c>
      <c r="F99" s="195" t="str">
        <f>CONCATENATE("Imported ",VLOOKUP($A99,Types!$A$2:$C$13,3,FALSE),", PADD ",D99,", Step ",RIGHT(C99,1))</f>
        <v>Imported Low Sulfur Residual Fuel Oil, PADD 2, Step 5</v>
      </c>
      <c r="G99" s="195" t="str">
        <f>CONCATENATE(VLOOKUP($A99,Types!$A$2:$C$13,2,FALSE),"P",D99)</f>
        <v>RFLP2</v>
      </c>
      <c r="H99" s="239">
        <f>H95*$C$9</f>
        <v>56.056000000000004</v>
      </c>
      <c r="I99" s="239">
        <f t="shared" ref="I99:K99" si="226">I95*$C$9</f>
        <v>47.776299999999999</v>
      </c>
      <c r="J99" s="239">
        <f t="shared" si="226"/>
        <v>37.947000000000003</v>
      </c>
      <c r="K99" s="239">
        <f t="shared" si="226"/>
        <v>41.756</v>
      </c>
      <c r="L99" s="240">
        <f>H99*Conv!$J$20/10^6/VLOOKUP($B99,Types!$B$2:$D$13,3,FALSE)/Conv!$I$5</f>
        <v>12.967806733571189</v>
      </c>
      <c r="M99" s="240">
        <f>I99*Conv!$J$20/10^6/VLOOKUP($B99,Types!$B$2:$D$13,3,FALSE)/Conv!$I$5</f>
        <v>11.052408749199319</v>
      </c>
      <c r="N99" s="240">
        <f>M99*'Imported Price Trends'!$K$19</f>
        <v>11.900646392465029</v>
      </c>
      <c r="O99" s="240">
        <f>N99*'Imported Price Trends'!$L$19</f>
        <v>11.78749419649311</v>
      </c>
      <c r="P99" s="240">
        <f>O99*'Imported Price Trends'!$M$19</f>
        <v>12.71953414945733</v>
      </c>
      <c r="Q99" s="240">
        <f>P99*'Imported Price Trends'!$N$19</f>
        <v>13.450174404707901</v>
      </c>
      <c r="R99" s="240">
        <f>Q99*'Imported Price Trends'!$O$19</f>
        <v>14.450652744016667</v>
      </c>
      <c r="S99" s="240">
        <f>R99*'Imported Price Trends'!$O$19</f>
        <v>15.525550706246877</v>
      </c>
      <c r="T99" s="240">
        <f>S99*'Imported Price Trends'!$O$19</f>
        <v>16.680403923763741</v>
      </c>
      <c r="U99" s="240">
        <f>T99*'Imported Price Trends'!$O$19</f>
        <v>17.921159791643433</v>
      </c>
      <c r="V99" s="240">
        <f>U99*'Imported Price Trends'!$O$19</f>
        <v>19.254208096247911</v>
      </c>
      <c r="W99" s="219"/>
      <c r="X99" s="195">
        <f>X95*$E$9</f>
        <v>1999998</v>
      </c>
      <c r="Y99" s="195">
        <f t="shared" ref="Y99:AA99" si="227">Y95*$E$9</f>
        <v>1999998</v>
      </c>
      <c r="Z99" s="195">
        <f t="shared" si="227"/>
        <v>1999998</v>
      </c>
      <c r="AA99" s="195">
        <f t="shared" si="227"/>
        <v>1999998</v>
      </c>
      <c r="AB99" s="219">
        <f>X99*VLOOKUP($B99,Types!$B$2:$D$13,3,FALSE)*Conv!$I$5*1000*365</f>
        <v>4842185.2203699369</v>
      </c>
      <c r="AC99" s="219">
        <f>Y99*VLOOKUP($B99,Types!$B$2:$D$13,3,FALSE)*Conv!$I$5*1000*365</f>
        <v>4842185.2203699369</v>
      </c>
      <c r="AD99" s="219">
        <f>Z99*VLOOKUP($B99,Types!$B$2:$D$13,3,FALSE)*Conv!$I$5*1000*365</f>
        <v>4842185.2203699369</v>
      </c>
      <c r="AE99" s="219">
        <f>AA99*VLOOKUP($B99,Types!$B$2:$D$13,3,FALSE)*Conv!$I$5*1000*365</f>
        <v>4842185.2203699369</v>
      </c>
      <c r="AF99" s="219">
        <f>AB99-AB98</f>
        <v>1936874.088147975</v>
      </c>
      <c r="AG99" s="219">
        <f t="shared" ref="AG99:AI99" si="228">AC99-AC98</f>
        <v>1936874.088147975</v>
      </c>
      <c r="AH99" s="219">
        <f t="shared" si="228"/>
        <v>1936874.088147975</v>
      </c>
      <c r="AI99" s="219">
        <f t="shared" si="228"/>
        <v>1936874.088147975</v>
      </c>
      <c r="AJ99" s="219"/>
      <c r="AK99" s="219"/>
      <c r="AL99" s="219"/>
    </row>
    <row r="100" spans="1:38">
      <c r="A100" s="195" t="str">
        <f>'Agg prdcrv'!$A$11</f>
        <v>High Sulfur Fuel Oil</v>
      </c>
      <c r="B100" s="195" t="str">
        <f>VLOOKUP($A100,Types!$A$2:$C$13,2,FALSE)</f>
        <v>RFH</v>
      </c>
      <c r="C100" s="195">
        <v>3</v>
      </c>
      <c r="D100" s="195">
        <v>2</v>
      </c>
      <c r="E100" s="195" t="str">
        <f t="shared" si="158"/>
        <v>IMPRFHP23</v>
      </c>
      <c r="F100" s="195" t="str">
        <f>CONCATENATE("Imported ",VLOOKUP($A100,Types!$A$2:$C$13,3,FALSE),", PADD ",D100,", Step ",RIGHT(C100,1))</f>
        <v>Imported High Sulfur Residual Fuel Oil, PADD 2, Step 3</v>
      </c>
      <c r="G100" s="195" t="str">
        <f>CONCATENATE(VLOOKUP($A100,Types!$A$2:$C$13,2,FALSE),"P",D100)</f>
        <v>RFHP2</v>
      </c>
      <c r="H100" s="239">
        <f>SUMIFS('Agg prdcrv NYC'!$M$6:$M$100,'Agg prdcrv NYC'!$A$6:$A$100,'Imp Refined NYC'!$A100,'Agg prdcrv NYC'!$B$6:$B$100,H$11)*K4</f>
        <v>41.349000000000004</v>
      </c>
      <c r="I100" s="239">
        <f>SUMIFS('Agg prdcrv NYC'!$M$6:$M$100,'Agg prdcrv NYC'!$A$6:$A$100,'Imp Refined NYC'!$A100,'Agg prdcrv NYC'!$B$6:$B$100,I$11)*K4</f>
        <v>36.223000000000006</v>
      </c>
      <c r="J100" s="239">
        <f t="array" ref="J100">SUMIFS('Agg prdcrv NYC'!$M$6:$M$100,'Agg prdcrv NYC'!$A$6:$A$100,'Imp Refined NYC'!$A100,'Agg prdcrv NYC'!$B$6:$B$100,J$11)</f>
        <v>28.79</v>
      </c>
      <c r="K100" s="239">
        <f t="array" ref="K100">SUMIFS('Agg prdcrv NYC'!$M$6:$M$100,'Agg prdcrv NYC'!$A$6:$A$100,'Imp Refined NYC'!$A100,'Agg prdcrv NYC'!$B$6:$B$100,K$11)</f>
        <v>31.8</v>
      </c>
      <c r="L100" s="240">
        <f>H100*Conv!$J$20/10^6/VLOOKUP($B100,Types!$B$2:$D$13,3,FALSE)/Conv!$I$5</f>
        <v>9.565538758142484</v>
      </c>
      <c r="M100" s="240">
        <f>I100*Conv!$J$20/10^6/VLOOKUP($B100,Types!$B$2:$D$13,3,FALSE)/Conv!$I$5</f>
        <v>8.3797071376864061</v>
      </c>
      <c r="N100" s="240">
        <f>M100*'Imported Price Trends'!$K$19</f>
        <v>9.0228233302759087</v>
      </c>
      <c r="O100" s="240">
        <f>N100*'Imported Price Trends'!$L$19</f>
        <v>8.9370336815444062</v>
      </c>
      <c r="P100" s="240">
        <f>O100*'Imported Price Trends'!$M$19</f>
        <v>9.643687047674117</v>
      </c>
      <c r="Q100" s="240">
        <f>P100*'Imported Price Trends'!$N$19</f>
        <v>10.19764333909772</v>
      </c>
      <c r="R100" s="240">
        <f>Q100*'Imported Price Trends'!$O$19</f>
        <v>10.956185270657539</v>
      </c>
      <c r="S100" s="240">
        <f>R100*'Imported Price Trends'!$O$19</f>
        <v>11.771150617196824</v>
      </c>
      <c r="T100" s="240">
        <f>S100*'Imported Price Trends'!$O$19</f>
        <v>12.646736380391408</v>
      </c>
      <c r="U100" s="240">
        <f>T100*'Imported Price Trends'!$O$19</f>
        <v>13.587451751866514</v>
      </c>
      <c r="V100" s="240">
        <f>U100*'Imported Price Trends'!$O$19</f>
        <v>14.598141335147096</v>
      </c>
      <c r="W100" s="219"/>
      <c r="X100" s="195">
        <f t="array" ref="X100">SUMIFS('Agg prdcrv NYC'!$E$6:$E$100,'Agg prdcrv NYC'!$A$6:$A$100,'Imp Refined NYC'!$A100,'Agg prdcrv NYC'!$B$6:$B$100,X$11)</f>
        <v>999999</v>
      </c>
      <c r="Y100" s="195">
        <f t="array" ref="Y100">SUMIFS('Agg prdcrv NYC'!$E$6:$E$100,'Agg prdcrv NYC'!$A$6:$A$100,'Imp Refined NYC'!$A100,'Agg prdcrv NYC'!$B$6:$B$100,Y$11)</f>
        <v>999999</v>
      </c>
      <c r="Z100" s="195">
        <f t="array" ref="Z100">SUMIFS('Agg prdcrv NYC'!$E$6:$E$100,'Agg prdcrv NYC'!$A$6:$A$100,'Imp Refined NYC'!$A100,'Agg prdcrv NYC'!$B$6:$B$100,Z$11)</f>
        <v>999999</v>
      </c>
      <c r="AA100" s="195">
        <f t="array" ref="AA100">SUMIFS('Agg prdcrv NYC'!$E$6:$E$100,'Agg prdcrv NYC'!$A$6:$A$100,'Imp Refined NYC'!$A100,'Agg prdcrv NYC'!$B$6:$B$100,AA$11)</f>
        <v>999999</v>
      </c>
      <c r="AB100" s="219">
        <f>X100*VLOOKUP($B100,Types!$B$2:$D$13,3,FALSE)*Conv!$I$5*1000*365</f>
        <v>2421092.6101849684</v>
      </c>
      <c r="AC100" s="219">
        <f>Y100*VLOOKUP($B100,Types!$B$2:$D$13,3,FALSE)*Conv!$I$5*1000*365</f>
        <v>2421092.6101849684</v>
      </c>
      <c r="AD100" s="219">
        <f>Z100*VLOOKUP($B100,Types!$B$2:$D$13,3,FALSE)*Conv!$I$5*1000*365</f>
        <v>2421092.6101849684</v>
      </c>
      <c r="AE100" s="219">
        <f>AA100*VLOOKUP($B100,Types!$B$2:$D$13,3,FALSE)*Conv!$I$5*1000*365</f>
        <v>2421092.6101849684</v>
      </c>
      <c r="AF100" s="219">
        <f>AB100-AB102</f>
        <v>242109.26101849694</v>
      </c>
      <c r="AG100" s="219">
        <f t="shared" ref="AG100:AI100" si="229">AC100-AC102</f>
        <v>242109.26101849694</v>
      </c>
      <c r="AH100" s="219">
        <f t="shared" si="229"/>
        <v>242109.26101849694</v>
      </c>
      <c r="AI100" s="219">
        <f t="shared" si="229"/>
        <v>242109.26101849694</v>
      </c>
      <c r="AJ100" s="219"/>
      <c r="AK100" s="219"/>
      <c r="AL100" s="219"/>
    </row>
    <row r="101" spans="1:38">
      <c r="A101" s="195" t="str">
        <f>A100</f>
        <v>High Sulfur Fuel Oil</v>
      </c>
      <c r="B101" s="195" t="str">
        <f>VLOOKUP($A101,Types!$A$2:$C$13,2,FALSE)</f>
        <v>RFH</v>
      </c>
      <c r="C101" s="195">
        <v>1</v>
      </c>
      <c r="D101" s="195">
        <v>2</v>
      </c>
      <c r="E101" s="195" t="str">
        <f t="shared" si="158"/>
        <v>IMPRFHP21</v>
      </c>
      <c r="F101" s="195" t="str">
        <f>CONCATENATE("Imported ",VLOOKUP($A101,Types!$A$2:$C$13,3,FALSE),", PADD ",D101,", Step ",RIGHT(C101,1))</f>
        <v>Imported High Sulfur Residual Fuel Oil, PADD 2, Step 1</v>
      </c>
      <c r="G101" s="195" t="str">
        <f>CONCATENATE(VLOOKUP($A101,Types!$A$2:$C$13,2,FALSE),"P",D101)</f>
        <v>RFHP2</v>
      </c>
      <c r="H101" s="239">
        <f>H100*$C$5</f>
        <v>39.281550000000003</v>
      </c>
      <c r="I101" s="239">
        <f t="shared" ref="I101:K101" si="230">I100*$C$5</f>
        <v>34.411850000000001</v>
      </c>
      <c r="J101" s="239">
        <f t="shared" si="230"/>
        <v>27.350499999999997</v>
      </c>
      <c r="K101" s="239">
        <f t="shared" si="230"/>
        <v>30.21</v>
      </c>
      <c r="L101" s="240">
        <f>H101*Conv!$J$20/10^6/VLOOKUP($B101,Types!$B$2:$D$13,3,FALSE)/Conv!$I$5</f>
        <v>9.0872618202353603</v>
      </c>
      <c r="M101" s="240">
        <f>I101*Conv!$J$20/10^6/VLOOKUP($B101,Types!$B$2:$D$13,3,FALSE)/Conv!$I$5</f>
        <v>7.9607217808020856</v>
      </c>
      <c r="N101" s="240">
        <f>M101*'Imported Price Trends'!$K$19</f>
        <v>8.5716821637621123</v>
      </c>
      <c r="O101" s="240">
        <f>N101*'Imported Price Trends'!$L$19</f>
        <v>8.4901819974671859</v>
      </c>
      <c r="P101" s="240">
        <f>O101*'Imported Price Trends'!$M$19</f>
        <v>9.1615026952904106</v>
      </c>
      <c r="Q101" s="240">
        <f>P101*'Imported Price Trends'!$N$19</f>
        <v>9.6877611721428334</v>
      </c>
      <c r="R101" s="240">
        <f>Q101*'Imported Price Trends'!$O$19</f>
        <v>10.408376007124662</v>
      </c>
      <c r="S101" s="240">
        <f>R101*'Imported Price Trends'!$O$19</f>
        <v>11.182593086336984</v>
      </c>
      <c r="T101" s="240">
        <f>S101*'Imported Price Trends'!$O$19</f>
        <v>12.014399561371839</v>
      </c>
      <c r="U101" s="240">
        <f>T101*'Imported Price Trends'!$O$19</f>
        <v>12.908079164273188</v>
      </c>
      <c r="V101" s="240">
        <f>U101*'Imported Price Trends'!$O$19</f>
        <v>13.868234268389742</v>
      </c>
      <c r="W101" s="219"/>
      <c r="X101" s="195">
        <f>X100*$E$5</f>
        <v>799999.20000000007</v>
      </c>
      <c r="Y101" s="195">
        <f t="shared" ref="Y101:AA101" si="231">Y100*$E$5</f>
        <v>799999.20000000007</v>
      </c>
      <c r="Z101" s="195">
        <f t="shared" si="231"/>
        <v>799999.20000000007</v>
      </c>
      <c r="AA101" s="195">
        <f t="shared" si="231"/>
        <v>799999.20000000007</v>
      </c>
      <c r="AB101" s="219">
        <f>X101*VLOOKUP($B101,Types!$B$2:$D$13,3,FALSE)*Conv!$I$5*1000*365</f>
        <v>1936874.088147975</v>
      </c>
      <c r="AC101" s="219">
        <f>Y101*VLOOKUP($B101,Types!$B$2:$D$13,3,FALSE)*Conv!$I$5*1000*365</f>
        <v>1936874.088147975</v>
      </c>
      <c r="AD101" s="219">
        <f>Z101*VLOOKUP($B101,Types!$B$2:$D$13,3,FALSE)*Conv!$I$5*1000*365</f>
        <v>1936874.088147975</v>
      </c>
      <c r="AE101" s="219">
        <f>AA101*VLOOKUP($B101,Types!$B$2:$D$13,3,FALSE)*Conv!$I$5*1000*365</f>
        <v>1936874.088147975</v>
      </c>
      <c r="AF101" s="219">
        <f>AB101</f>
        <v>1936874.088147975</v>
      </c>
      <c r="AG101" s="219">
        <f t="shared" ref="AG101:AI101" si="232">AC101</f>
        <v>1936874.088147975</v>
      </c>
      <c r="AH101" s="219">
        <f t="shared" si="232"/>
        <v>1936874.088147975</v>
      </c>
      <c r="AI101" s="219">
        <f t="shared" si="232"/>
        <v>1936874.088147975</v>
      </c>
      <c r="AJ101" s="219"/>
      <c r="AK101" s="219"/>
      <c r="AL101" s="219"/>
    </row>
    <row r="102" spans="1:38">
      <c r="A102" s="195" t="str">
        <f t="shared" ref="A102:A104" si="233">A101</f>
        <v>High Sulfur Fuel Oil</v>
      </c>
      <c r="B102" s="195" t="str">
        <f>VLOOKUP($A102,Types!$A$2:$C$13,2,FALSE)</f>
        <v>RFH</v>
      </c>
      <c r="C102" s="195">
        <v>2</v>
      </c>
      <c r="D102" s="195">
        <v>2</v>
      </c>
      <c r="E102" s="195" t="str">
        <f t="shared" si="158"/>
        <v>IMPRFHP22</v>
      </c>
      <c r="F102" s="195" t="str">
        <f>CONCATENATE("Imported ",VLOOKUP($A102,Types!$A$2:$C$13,3,FALSE),", PADD ",D102,", Step ",RIGHT(C102,1))</f>
        <v>Imported High Sulfur Residual Fuel Oil, PADD 2, Step 2</v>
      </c>
      <c r="G102" s="195" t="str">
        <f>CONCATENATE(VLOOKUP($A102,Types!$A$2:$C$13,2,FALSE),"P",D102)</f>
        <v>RFHP2</v>
      </c>
      <c r="H102" s="239">
        <f>H100*$C$6</f>
        <v>40.522020000000005</v>
      </c>
      <c r="I102" s="239">
        <f t="shared" ref="I102:K102" si="234">I100*$C$6</f>
        <v>35.498540000000006</v>
      </c>
      <c r="J102" s="239">
        <f t="shared" si="234"/>
        <v>28.214199999999998</v>
      </c>
      <c r="K102" s="239">
        <f t="shared" si="234"/>
        <v>31.164000000000001</v>
      </c>
      <c r="L102" s="240">
        <f>H102*Conv!$J$20/10^6/VLOOKUP($B102,Types!$B$2:$D$13,3,FALSE)/Conv!$I$5</f>
        <v>9.3742279829796331</v>
      </c>
      <c r="M102" s="240">
        <f>I102*Conv!$J$20/10^6/VLOOKUP($B102,Types!$B$2:$D$13,3,FALSE)/Conv!$I$5</f>
        <v>8.2121129949326779</v>
      </c>
      <c r="N102" s="240">
        <f>M102*'Imported Price Trends'!$K$19</f>
        <v>8.8423668636703905</v>
      </c>
      <c r="O102" s="240">
        <f>N102*'Imported Price Trends'!$L$19</f>
        <v>8.7582930079135188</v>
      </c>
      <c r="P102" s="240">
        <f>O102*'Imported Price Trends'!$M$19</f>
        <v>9.4508133067206348</v>
      </c>
      <c r="Q102" s="240">
        <f>P102*'Imported Price Trends'!$N$19</f>
        <v>9.993690472315766</v>
      </c>
      <c r="R102" s="240">
        <f>Q102*'Imported Price Trends'!$O$19</f>
        <v>10.737061565244389</v>
      </c>
      <c r="S102" s="240">
        <f>R102*'Imported Price Trends'!$O$19</f>
        <v>11.535727604852889</v>
      </c>
      <c r="T102" s="240">
        <f>S102*'Imported Price Trends'!$O$19</f>
        <v>12.393801652783582</v>
      </c>
      <c r="U102" s="240">
        <f>T102*'Imported Price Trends'!$O$19</f>
        <v>13.315702716829184</v>
      </c>
      <c r="V102" s="240">
        <f>U102*'Imported Price Trends'!$O$19</f>
        <v>14.306178508444155</v>
      </c>
      <c r="W102" s="219"/>
      <c r="X102" s="195">
        <f>X100*$E$6</f>
        <v>899999.1</v>
      </c>
      <c r="Y102" s="195">
        <f t="shared" ref="Y102:AA102" si="235">Y100*$E$6</f>
        <v>899999.1</v>
      </c>
      <c r="Z102" s="195">
        <f t="shared" si="235"/>
        <v>899999.1</v>
      </c>
      <c r="AA102" s="195">
        <f t="shared" si="235"/>
        <v>899999.1</v>
      </c>
      <c r="AB102" s="219">
        <f>X102*VLOOKUP($B102,Types!$B$2:$D$13,3,FALSE)*Conv!$I$5*1000*365</f>
        <v>2178983.3491664715</v>
      </c>
      <c r="AC102" s="219">
        <f>Y102*VLOOKUP($B102,Types!$B$2:$D$13,3,FALSE)*Conv!$I$5*1000*365</f>
        <v>2178983.3491664715</v>
      </c>
      <c r="AD102" s="219">
        <f>Z102*VLOOKUP($B102,Types!$B$2:$D$13,3,FALSE)*Conv!$I$5*1000*365</f>
        <v>2178983.3491664715</v>
      </c>
      <c r="AE102" s="219">
        <f>AA102*VLOOKUP($B102,Types!$B$2:$D$13,3,FALSE)*Conv!$I$5*1000*365</f>
        <v>2178983.3491664715</v>
      </c>
      <c r="AF102" s="219">
        <f>AB102-AF101</f>
        <v>242109.26101849647</v>
      </c>
      <c r="AG102" s="219">
        <f t="shared" ref="AG102:AI102" si="236">AC102-AG101</f>
        <v>242109.26101849647</v>
      </c>
      <c r="AH102" s="219">
        <f t="shared" si="236"/>
        <v>242109.26101849647</v>
      </c>
      <c r="AI102" s="219">
        <f t="shared" si="236"/>
        <v>242109.26101849647</v>
      </c>
      <c r="AJ102" s="219"/>
      <c r="AK102" s="219"/>
      <c r="AL102" s="219"/>
    </row>
    <row r="103" spans="1:38">
      <c r="A103" s="195" t="str">
        <f t="shared" si="233"/>
        <v>High Sulfur Fuel Oil</v>
      </c>
      <c r="B103" s="195" t="str">
        <f>VLOOKUP($A103,Types!$A$2:$C$13,2,FALSE)</f>
        <v>RFH</v>
      </c>
      <c r="C103" s="195">
        <v>4</v>
      </c>
      <c r="D103" s="195">
        <v>2</v>
      </c>
      <c r="E103" s="195" t="str">
        <f t="shared" si="158"/>
        <v>IMPRFHP24</v>
      </c>
      <c r="F103" s="195" t="str">
        <f>CONCATENATE("Imported ",VLOOKUP($A103,Types!$A$2:$C$13,3,FALSE),", PADD ",D103,", Step ",RIGHT(C103,1))</f>
        <v>Imported High Sulfur Residual Fuel Oil, PADD 2, Step 4</v>
      </c>
      <c r="G103" s="195" t="str">
        <f>CONCATENATE(VLOOKUP($A103,Types!$A$2:$C$13,2,FALSE),"P",D103)</f>
        <v>RFHP2</v>
      </c>
      <c r="H103" s="239">
        <f>H100*$C$8</f>
        <v>45.07041000000001</v>
      </c>
      <c r="I103" s="239">
        <f t="shared" ref="I103:K103" si="237">I100*$C$8</f>
        <v>39.483070000000012</v>
      </c>
      <c r="J103" s="239">
        <f t="shared" si="237"/>
        <v>31.3811</v>
      </c>
      <c r="K103" s="239">
        <f t="shared" si="237"/>
        <v>34.662000000000006</v>
      </c>
      <c r="L103" s="240">
        <f>H103*Conv!$J$20/10^6/VLOOKUP($B103,Types!$B$2:$D$13,3,FALSE)/Conv!$I$5</f>
        <v>10.426437246375308</v>
      </c>
      <c r="M103" s="240">
        <f>I103*Conv!$J$20/10^6/VLOOKUP($B103,Types!$B$2:$D$13,3,FALSE)/Conv!$I$5</f>
        <v>9.1338807800781847</v>
      </c>
      <c r="N103" s="240">
        <f>M103*'Imported Price Trends'!$K$19</f>
        <v>9.8348774300007431</v>
      </c>
      <c r="O103" s="240">
        <f>N103*'Imported Price Trends'!$L$19</f>
        <v>9.7413667128834067</v>
      </c>
      <c r="P103" s="240">
        <f>O103*'Imported Price Trends'!$M$19</f>
        <v>10.511618881964791</v>
      </c>
      <c r="Q103" s="240">
        <f>P103*'Imported Price Trends'!$N$19</f>
        <v>11.11543123961652</v>
      </c>
      <c r="R103" s="240">
        <f>Q103*'Imported Price Trends'!$O$19</f>
        <v>11.942241945016724</v>
      </c>
      <c r="S103" s="240">
        <f>R103*'Imported Price Trends'!$O$19</f>
        <v>12.830554172744545</v>
      </c>
      <c r="T103" s="240">
        <f>S103*'Imported Price Trends'!$O$19</f>
        <v>13.784942654626642</v>
      </c>
      <c r="U103" s="240">
        <f>T103*'Imported Price Trends'!$O$19</f>
        <v>14.810322409534507</v>
      </c>
      <c r="V103" s="240">
        <f>U103*'Imported Price Trends'!$O$19</f>
        <v>15.911974055310342</v>
      </c>
      <c r="W103" s="219"/>
      <c r="X103" s="195">
        <f>X100*$E$8</f>
        <v>1199998.8</v>
      </c>
      <c r="Y103" s="195">
        <f t="shared" ref="Y103:AA103" si="238">Y100*$E$8</f>
        <v>1199998.8</v>
      </c>
      <c r="Z103" s="195">
        <f t="shared" si="238"/>
        <v>1199998.8</v>
      </c>
      <c r="AA103" s="195">
        <f t="shared" si="238"/>
        <v>1199998.8</v>
      </c>
      <c r="AB103" s="219">
        <f>X103*VLOOKUP($B103,Types!$B$2:$D$13,3,FALSE)*Conv!$I$5*1000*365</f>
        <v>2905311.1322219619</v>
      </c>
      <c r="AC103" s="219">
        <f>Y103*VLOOKUP($B103,Types!$B$2:$D$13,3,FALSE)*Conv!$I$5*1000*365</f>
        <v>2905311.1322219619</v>
      </c>
      <c r="AD103" s="219">
        <f>Z103*VLOOKUP($B103,Types!$B$2:$D$13,3,FALSE)*Conv!$I$5*1000*365</f>
        <v>2905311.1322219619</v>
      </c>
      <c r="AE103" s="219">
        <f>AA103*VLOOKUP($B103,Types!$B$2:$D$13,3,FALSE)*Conv!$I$5*1000*365</f>
        <v>2905311.1322219619</v>
      </c>
      <c r="AF103" s="219">
        <f>AB103-AB100</f>
        <v>484218.52203699341</v>
      </c>
      <c r="AG103" s="219">
        <f t="shared" ref="AG103:AI103" si="239">AC103-AC100</f>
        <v>484218.52203699341</v>
      </c>
      <c r="AH103" s="219">
        <f t="shared" si="239"/>
        <v>484218.52203699341</v>
      </c>
      <c r="AI103" s="219">
        <f t="shared" si="239"/>
        <v>484218.52203699341</v>
      </c>
      <c r="AJ103" s="219"/>
      <c r="AK103" s="219"/>
      <c r="AL103" s="219"/>
    </row>
    <row r="104" spans="1:38">
      <c r="A104" s="195" t="str">
        <f t="shared" si="233"/>
        <v>High Sulfur Fuel Oil</v>
      </c>
      <c r="B104" s="195" t="str">
        <f>VLOOKUP($A104,Types!$A$2:$C$13,2,FALSE)</f>
        <v>RFH</v>
      </c>
      <c r="C104" s="195">
        <v>5</v>
      </c>
      <c r="D104" s="195">
        <v>2</v>
      </c>
      <c r="E104" s="195" t="str">
        <f t="shared" si="158"/>
        <v>IMPRFHP25</v>
      </c>
      <c r="F104" s="195" t="str">
        <f>CONCATENATE("Imported ",VLOOKUP($A104,Types!$A$2:$C$13,3,FALSE),", PADD ",D104,", Step ",RIGHT(C104,1))</f>
        <v>Imported High Sulfur Residual Fuel Oil, PADD 2, Step 5</v>
      </c>
      <c r="G104" s="195" t="str">
        <f>CONCATENATE(VLOOKUP($A104,Types!$A$2:$C$13,2,FALSE),"P",D104)</f>
        <v>RFHP2</v>
      </c>
      <c r="H104" s="239">
        <f>H100*$C$9</f>
        <v>53.753700000000009</v>
      </c>
      <c r="I104" s="239">
        <f t="shared" ref="I104:K104" si="240">I100*$C$9</f>
        <v>47.089900000000007</v>
      </c>
      <c r="J104" s="239">
        <f t="shared" si="240"/>
        <v>37.427</v>
      </c>
      <c r="K104" s="239">
        <f t="shared" si="240"/>
        <v>41.34</v>
      </c>
      <c r="L104" s="240">
        <f>H104*Conv!$J$20/10^6/VLOOKUP($B104,Types!$B$2:$D$13,3,FALSE)/Conv!$I$5</f>
        <v>12.43520038558523</v>
      </c>
      <c r="M104" s="240">
        <f>I104*Conv!$J$20/10^6/VLOOKUP($B104,Types!$B$2:$D$13,3,FALSE)/Conv!$I$5</f>
        <v>10.893619278992327</v>
      </c>
      <c r="N104" s="240">
        <f>M104*'Imported Price Trends'!$K$19</f>
        <v>11.729670329358679</v>
      </c>
      <c r="O104" s="240">
        <f>N104*'Imported Price Trends'!$L$19</f>
        <v>11.618143786007726</v>
      </c>
      <c r="P104" s="240">
        <f>O104*'Imported Price Trends'!$M$19</f>
        <v>12.53679316197635</v>
      </c>
      <c r="Q104" s="240">
        <f>P104*'Imported Price Trends'!$N$19</f>
        <v>13.256936340827034</v>
      </c>
      <c r="R104" s="240">
        <f>Q104*'Imported Price Trends'!$O$19</f>
        <v>14.243040851854799</v>
      </c>
      <c r="S104" s="240">
        <f>R104*'Imported Price Trends'!$O$19</f>
        <v>15.302495802355871</v>
      </c>
      <c r="T104" s="240">
        <f>S104*'Imported Price Trends'!$O$19</f>
        <v>16.440757294508831</v>
      </c>
      <c r="U104" s="240">
        <f>T104*'Imported Price Trends'!$O$19</f>
        <v>17.663687277426469</v>
      </c>
      <c r="V104" s="240">
        <f>U104*'Imported Price Trends'!$O$19</f>
        <v>18.977583735691226</v>
      </c>
      <c r="W104" s="219"/>
      <c r="X104" s="195">
        <f>X100*$E$9</f>
        <v>1999998</v>
      </c>
      <c r="Y104" s="195">
        <f t="shared" ref="Y104:AA104" si="241">Y100*$E$9</f>
        <v>1999998</v>
      </c>
      <c r="Z104" s="195">
        <f t="shared" si="241"/>
        <v>1999998</v>
      </c>
      <c r="AA104" s="195">
        <f t="shared" si="241"/>
        <v>1999998</v>
      </c>
      <c r="AB104" s="219">
        <f>X104*VLOOKUP($B104,Types!$B$2:$D$13,3,FALSE)*Conv!$I$5*1000*365</f>
        <v>4842185.2203699369</v>
      </c>
      <c r="AC104" s="219">
        <f>Y104*VLOOKUP($B104,Types!$B$2:$D$13,3,FALSE)*Conv!$I$5*1000*365</f>
        <v>4842185.2203699369</v>
      </c>
      <c r="AD104" s="219">
        <f>Z104*VLOOKUP($B104,Types!$B$2:$D$13,3,FALSE)*Conv!$I$5*1000*365</f>
        <v>4842185.2203699369</v>
      </c>
      <c r="AE104" s="219">
        <f>AA104*VLOOKUP($B104,Types!$B$2:$D$13,3,FALSE)*Conv!$I$5*1000*365</f>
        <v>4842185.2203699369</v>
      </c>
      <c r="AF104" s="219">
        <f>AB104-AB103</f>
        <v>1936874.088147975</v>
      </c>
      <c r="AG104" s="219">
        <f t="shared" ref="AG104:AI104" si="242">AC104-AC103</f>
        <v>1936874.088147975</v>
      </c>
      <c r="AH104" s="219">
        <f t="shared" si="242"/>
        <v>1936874.088147975</v>
      </c>
      <c r="AI104" s="219">
        <f t="shared" si="242"/>
        <v>1936874.088147975</v>
      </c>
      <c r="AJ104" s="219"/>
      <c r="AK104" s="219"/>
      <c r="AL104" s="219"/>
    </row>
    <row r="105" spans="1:38">
      <c r="A105" s="195" t="str">
        <f>'Agg prdcrv'!$A$12</f>
        <v>Jet Fuel</v>
      </c>
      <c r="B105" s="195" t="str">
        <f>VLOOKUP($A105,Types!$A$2:$C$13,2,FALSE)</f>
        <v>JTF</v>
      </c>
      <c r="C105" s="195">
        <v>3</v>
      </c>
      <c r="D105" s="195">
        <v>2</v>
      </c>
      <c r="E105" s="195" t="str">
        <f t="shared" si="158"/>
        <v>IMPJTFP23</v>
      </c>
      <c r="F105" s="195" t="str">
        <f>CONCATENATE("Imported ",VLOOKUP($A105,Types!$A$2:$C$13,3,FALSE),", PADD ",D105,", Step ",RIGHT(C105,1))</f>
        <v>Imported Jet Fuel, PADD 2, Step 3</v>
      </c>
      <c r="G105" s="195" t="str">
        <f>CONCATENATE(VLOOKUP($A105,Types!$A$2:$C$13,2,FALSE),"P",D105)</f>
        <v>JTFP2</v>
      </c>
      <c r="H105" s="239">
        <f>SUMIFS('Agg prdcrv NYC'!$M$6:$M$100,'Agg prdcrv NYC'!$A$6:$A$100,'Imp Refined NYC'!$A105,'Agg prdcrv NYC'!$B$6:$B$100,H$11)*K4</f>
        <v>48.092000000000006</v>
      </c>
      <c r="I105" s="239">
        <f>SUMIFS('Agg prdcrv NYC'!$M$6:$M$100,'Agg prdcrv NYC'!$A$6:$A$100,'Imp Refined NYC'!$A105,'Agg prdcrv NYC'!$B$6:$B$100,I$11)*K4</f>
        <v>43.637000000000008</v>
      </c>
      <c r="J105" s="239">
        <f t="array" ref="J105">SUMIFS('Agg prdcrv NYC'!$M$6:$M$100,'Agg prdcrv NYC'!$A$6:$A$100,'Imp Refined NYC'!$A105,'Agg prdcrv NYC'!$B$6:$B$100,J$11)</f>
        <v>34.32</v>
      </c>
      <c r="K105" s="239">
        <f t="array" ref="K105">SUMIFS('Agg prdcrv NYC'!$M$6:$M$100,'Agg prdcrv NYC'!$A$6:$A$100,'Imp Refined NYC'!$A105,'Agg prdcrv NYC'!$B$6:$B$100,K$11)</f>
        <v>37.68</v>
      </c>
      <c r="L105" s="240">
        <f>H105*Conv!$J$20/10^6/VLOOKUP($B105,Types!$B$2:$D$13,3,FALSE)/Conv!$I$5</f>
        <v>12.336093851084993</v>
      </c>
      <c r="M105" s="240">
        <f>I105*Conv!$J$20/10^6/VLOOKUP($B105,Types!$B$2:$D$13,3,FALSE)/Conv!$I$5</f>
        <v>11.193340417944688</v>
      </c>
      <c r="N105" s="240">
        <f>M105*'Imported Price Trends'!$K$19</f>
        <v>12.052394123959321</v>
      </c>
      <c r="O105" s="240">
        <f>N105*'Imported Price Trends'!$L$19</f>
        <v>11.937799099716896</v>
      </c>
      <c r="P105" s="240">
        <f>O105*'Imported Price Trends'!$M$19</f>
        <v>12.881723696914719</v>
      </c>
      <c r="Q105" s="240">
        <f>P105*'Imported Price Trends'!$N$19</f>
        <v>13.62168050503278</v>
      </c>
      <c r="R105" s="240">
        <f>Q105*'Imported Price Trends'!$O$19</f>
        <v>14.63491616133026</v>
      </c>
      <c r="S105" s="240">
        <f>R105*'Imported Price Trends'!$O$19</f>
        <v>15.723520381353286</v>
      </c>
      <c r="T105" s="240">
        <f>S105*'Imported Price Trends'!$O$19</f>
        <v>16.8930993835198</v>
      </c>
      <c r="U105" s="240">
        <f>T105*'Imported Price Trends'!$O$19</f>
        <v>18.149676399434625</v>
      </c>
      <c r="V105" s="240">
        <f>U105*'Imported Price Trends'!$O$19</f>
        <v>19.499722693015915</v>
      </c>
      <c r="W105" s="219"/>
      <c r="X105" s="195">
        <f t="array" ref="X105">SUMIFS('Agg prdcrv NYC'!$E$6:$E$100,'Agg prdcrv NYC'!$A$6:$A$100,'Imp Refined NYC'!$A105,'Agg prdcrv NYC'!$B$6:$B$100,X$11)</f>
        <v>999999</v>
      </c>
      <c r="Y105" s="195">
        <f t="array" ref="Y105">SUMIFS('Agg prdcrv NYC'!$E$6:$E$100,'Agg prdcrv NYC'!$A$6:$A$100,'Imp Refined NYC'!$A105,'Agg prdcrv NYC'!$B$6:$B$100,Y$11)</f>
        <v>999999</v>
      </c>
      <c r="Z105" s="195">
        <f t="array" ref="Z105">SUMIFS('Agg prdcrv NYC'!$E$6:$E$100,'Agg prdcrv NYC'!$A$6:$A$100,'Imp Refined NYC'!$A105,'Agg prdcrv NYC'!$B$6:$B$100,Z$11)</f>
        <v>999999</v>
      </c>
      <c r="AA105" s="195">
        <f t="array" ref="AA105">SUMIFS('Agg prdcrv NYC'!$E$6:$E$100,'Agg prdcrv NYC'!$A$6:$A$100,'Imp Refined NYC'!$A105,'Agg prdcrv NYC'!$B$6:$B$100,AA$11)</f>
        <v>999999</v>
      </c>
      <c r="AB105" s="219">
        <f>X105*VLOOKUP($B105,Types!$B$2:$D$13,3,FALSE)*Conv!$I$5*1000*365</f>
        <v>2183488.9613088551</v>
      </c>
      <c r="AC105" s="219">
        <f>Y105*VLOOKUP($B105,Types!$B$2:$D$13,3,FALSE)*Conv!$I$5*1000*365</f>
        <v>2183488.9613088551</v>
      </c>
      <c r="AD105" s="219">
        <f>Z105*VLOOKUP($B105,Types!$B$2:$D$13,3,FALSE)*Conv!$I$5*1000*365</f>
        <v>2183488.9613088551</v>
      </c>
      <c r="AE105" s="219">
        <f>AA105*VLOOKUP($B105,Types!$B$2:$D$13,3,FALSE)*Conv!$I$5*1000*365</f>
        <v>2183488.9613088551</v>
      </c>
      <c r="AF105" s="219">
        <f>AB105-AB107</f>
        <v>218348.8961308857</v>
      </c>
      <c r="AG105" s="219">
        <f t="shared" ref="AG105:AI105" si="243">AC105-AC107</f>
        <v>218348.8961308857</v>
      </c>
      <c r="AH105" s="219">
        <f t="shared" si="243"/>
        <v>218348.8961308857</v>
      </c>
      <c r="AI105" s="219">
        <f t="shared" si="243"/>
        <v>218348.8961308857</v>
      </c>
      <c r="AJ105" s="219"/>
      <c r="AK105" s="219"/>
      <c r="AL105" s="219"/>
    </row>
    <row r="106" spans="1:38">
      <c r="A106" s="195" t="str">
        <f>A105</f>
        <v>Jet Fuel</v>
      </c>
      <c r="B106" s="195" t="str">
        <f>VLOOKUP($A106,Types!$A$2:$C$13,2,FALSE)</f>
        <v>JTF</v>
      </c>
      <c r="C106" s="195">
        <v>1</v>
      </c>
      <c r="D106" s="195">
        <v>2</v>
      </c>
      <c r="E106" s="195" t="str">
        <f t="shared" si="158"/>
        <v>IMPJTFP21</v>
      </c>
      <c r="F106" s="195" t="str">
        <f>CONCATENATE("Imported ",VLOOKUP($A106,Types!$A$2:$C$13,3,FALSE),", PADD ",D106,", Step ",RIGHT(C106,1))</f>
        <v>Imported Jet Fuel, PADD 2, Step 1</v>
      </c>
      <c r="G106" s="195" t="str">
        <f>CONCATENATE(VLOOKUP($A106,Types!$A$2:$C$13,2,FALSE),"P",D106)</f>
        <v>JTFP2</v>
      </c>
      <c r="H106" s="239">
        <f>H105*$C$5</f>
        <v>45.687400000000004</v>
      </c>
      <c r="I106" s="239">
        <f t="shared" ref="I106:K106" si="244">I105*$C$5</f>
        <v>41.455150000000003</v>
      </c>
      <c r="J106" s="239">
        <f t="shared" si="244"/>
        <v>32.603999999999999</v>
      </c>
      <c r="K106" s="239">
        <f t="shared" si="244"/>
        <v>35.795999999999999</v>
      </c>
      <c r="L106" s="240">
        <f>H106*Conv!$J$20/10^6/VLOOKUP($B106,Types!$B$2:$D$13,3,FALSE)/Conv!$I$5</f>
        <v>11.719289158530742</v>
      </c>
      <c r="M106" s="240">
        <f>I106*Conv!$J$20/10^6/VLOOKUP($B106,Types!$B$2:$D$13,3,FALSE)/Conv!$I$5</f>
        <v>10.633673397047451</v>
      </c>
      <c r="N106" s="240">
        <f>M106*'Imported Price Trends'!$K$19</f>
        <v>11.449774417761352</v>
      </c>
      <c r="O106" s="240">
        <f>N106*'Imported Price Trends'!$L$19</f>
        <v>11.340909144731048</v>
      </c>
      <c r="P106" s="240">
        <f>O106*'Imported Price Trends'!$M$19</f>
        <v>12.237637512068979</v>
      </c>
      <c r="Q106" s="240">
        <f>P106*'Imported Price Trends'!$N$19</f>
        <v>12.940596479781137</v>
      </c>
      <c r="R106" s="240">
        <f>Q106*'Imported Price Trends'!$O$19</f>
        <v>13.903170353263743</v>
      </c>
      <c r="S106" s="240">
        <f>R106*'Imported Price Trends'!$O$19</f>
        <v>14.937344362285618</v>
      </c>
      <c r="T106" s="240">
        <f>S106*'Imported Price Trends'!$O$19</f>
        <v>16.048444414343805</v>
      </c>
      <c r="U106" s="240">
        <f>T106*'Imported Price Trends'!$O$19</f>
        <v>17.242192579462888</v>
      </c>
      <c r="V106" s="240">
        <f>U106*'Imported Price Trends'!$O$19</f>
        <v>18.524736558365113</v>
      </c>
      <c r="W106" s="219"/>
      <c r="X106" s="195">
        <f>X105*$E$5</f>
        <v>799999.20000000007</v>
      </c>
      <c r="Y106" s="195">
        <f t="shared" ref="Y106:AA106" si="245">Y105*$E$5</f>
        <v>799999.20000000007</v>
      </c>
      <c r="Z106" s="195">
        <f t="shared" si="245"/>
        <v>799999.20000000007</v>
      </c>
      <c r="AA106" s="195">
        <f t="shared" si="245"/>
        <v>799999.20000000007</v>
      </c>
      <c r="AB106" s="219">
        <f>X106*VLOOKUP($B106,Types!$B$2:$D$13,3,FALSE)*Conv!$I$5*1000*365</f>
        <v>1746791.1690470844</v>
      </c>
      <c r="AC106" s="219">
        <f>Y106*VLOOKUP($B106,Types!$B$2:$D$13,3,FALSE)*Conv!$I$5*1000*365</f>
        <v>1746791.1690470844</v>
      </c>
      <c r="AD106" s="219">
        <f>Z106*VLOOKUP($B106,Types!$B$2:$D$13,3,FALSE)*Conv!$I$5*1000*365</f>
        <v>1746791.1690470844</v>
      </c>
      <c r="AE106" s="219">
        <f>AA106*VLOOKUP($B106,Types!$B$2:$D$13,3,FALSE)*Conv!$I$5*1000*365</f>
        <v>1746791.1690470844</v>
      </c>
      <c r="AF106" s="219">
        <f>AB106</f>
        <v>1746791.1690470844</v>
      </c>
      <c r="AG106" s="219">
        <f t="shared" ref="AG106:AI106" si="246">AC106</f>
        <v>1746791.1690470844</v>
      </c>
      <c r="AH106" s="219">
        <f t="shared" si="246"/>
        <v>1746791.1690470844</v>
      </c>
      <c r="AI106" s="219">
        <f t="shared" si="246"/>
        <v>1746791.1690470844</v>
      </c>
      <c r="AJ106" s="219"/>
      <c r="AK106" s="219"/>
      <c r="AL106" s="219"/>
    </row>
    <row r="107" spans="1:38">
      <c r="A107" s="195" t="str">
        <f t="shared" ref="A107:A109" si="247">A106</f>
        <v>Jet Fuel</v>
      </c>
      <c r="B107" s="195" t="str">
        <f>VLOOKUP($A107,Types!$A$2:$C$13,2,FALSE)</f>
        <v>JTF</v>
      </c>
      <c r="C107" s="195">
        <v>2</v>
      </c>
      <c r="D107" s="195">
        <v>2</v>
      </c>
      <c r="E107" s="195" t="str">
        <f t="shared" si="158"/>
        <v>IMPJTFP22</v>
      </c>
      <c r="F107" s="195" t="str">
        <f>CONCATENATE("Imported ",VLOOKUP($A107,Types!$A$2:$C$13,3,FALSE),", PADD ",D107,", Step ",RIGHT(C107,1))</f>
        <v>Imported Jet Fuel, PADD 2, Step 2</v>
      </c>
      <c r="G107" s="195" t="str">
        <f>CONCATENATE(VLOOKUP($A107,Types!$A$2:$C$13,2,FALSE),"P",D107)</f>
        <v>JTFP2</v>
      </c>
      <c r="H107" s="239">
        <f>H105*$C$6</f>
        <v>47.130160000000004</v>
      </c>
      <c r="I107" s="239">
        <f t="shared" ref="I107:K107" si="248">I105*$C$6</f>
        <v>42.764260000000007</v>
      </c>
      <c r="J107" s="239">
        <f t="shared" si="248"/>
        <v>33.633600000000001</v>
      </c>
      <c r="K107" s="239">
        <f t="shared" si="248"/>
        <v>36.926400000000001</v>
      </c>
      <c r="L107" s="240">
        <f>H107*Conv!$J$20/10^6/VLOOKUP($B107,Types!$B$2:$D$13,3,FALSE)/Conv!$I$5</f>
        <v>12.089371974063292</v>
      </c>
      <c r="M107" s="240">
        <f>I107*Conv!$J$20/10^6/VLOOKUP($B107,Types!$B$2:$D$13,3,FALSE)/Conv!$I$5</f>
        <v>10.969473609585794</v>
      </c>
      <c r="N107" s="240">
        <f>M107*'Imported Price Trends'!$K$19</f>
        <v>11.811346241480134</v>
      </c>
      <c r="O107" s="240">
        <f>N107*'Imported Price Trends'!$L$19</f>
        <v>11.699043117722557</v>
      </c>
      <c r="P107" s="240">
        <f>O107*'Imported Price Trends'!$M$19</f>
        <v>12.624089222976423</v>
      </c>
      <c r="Q107" s="240">
        <f>P107*'Imported Price Trends'!$N$19</f>
        <v>13.349246894932122</v>
      </c>
      <c r="R107" s="240">
        <f>Q107*'Imported Price Trends'!$O$19</f>
        <v>14.342217838103652</v>
      </c>
      <c r="S107" s="240">
        <f>R107*'Imported Price Trends'!$O$19</f>
        <v>15.409049973726217</v>
      </c>
      <c r="T107" s="240">
        <f>S107*'Imported Price Trends'!$O$19</f>
        <v>16.555237395849403</v>
      </c>
      <c r="U107" s="240">
        <f>T107*'Imported Price Trends'!$O$19</f>
        <v>17.786682871445933</v>
      </c>
      <c r="V107" s="240">
        <f>U107*'Imported Price Trends'!$O$19</f>
        <v>19.109728239155597</v>
      </c>
      <c r="W107" s="219"/>
      <c r="X107" s="195">
        <f>X105*$E$6</f>
        <v>899999.1</v>
      </c>
      <c r="Y107" s="195">
        <f t="shared" ref="Y107:AA107" si="249">Y105*$E$6</f>
        <v>899999.1</v>
      </c>
      <c r="Z107" s="195">
        <f t="shared" si="249"/>
        <v>899999.1</v>
      </c>
      <c r="AA107" s="195">
        <f t="shared" si="249"/>
        <v>899999.1</v>
      </c>
      <c r="AB107" s="219">
        <f>X107*VLOOKUP($B107,Types!$B$2:$D$13,3,FALSE)*Conv!$I$5*1000*365</f>
        <v>1965140.0651779694</v>
      </c>
      <c r="AC107" s="219">
        <f>Y107*VLOOKUP($B107,Types!$B$2:$D$13,3,FALSE)*Conv!$I$5*1000*365</f>
        <v>1965140.0651779694</v>
      </c>
      <c r="AD107" s="219">
        <f>Z107*VLOOKUP($B107,Types!$B$2:$D$13,3,FALSE)*Conv!$I$5*1000*365</f>
        <v>1965140.0651779694</v>
      </c>
      <c r="AE107" s="219">
        <f>AA107*VLOOKUP($B107,Types!$B$2:$D$13,3,FALSE)*Conv!$I$5*1000*365</f>
        <v>1965140.0651779694</v>
      </c>
      <c r="AF107" s="219">
        <f>AB107-AF106</f>
        <v>218348.896130885</v>
      </c>
      <c r="AG107" s="219">
        <f t="shared" ref="AG107:AI107" si="250">AC107-AG106</f>
        <v>218348.896130885</v>
      </c>
      <c r="AH107" s="219">
        <f t="shared" si="250"/>
        <v>218348.896130885</v>
      </c>
      <c r="AI107" s="219">
        <f t="shared" si="250"/>
        <v>218348.896130885</v>
      </c>
      <c r="AJ107" s="219"/>
      <c r="AK107" s="219"/>
      <c r="AL107" s="219"/>
    </row>
    <row r="108" spans="1:38">
      <c r="A108" s="195" t="str">
        <f t="shared" si="247"/>
        <v>Jet Fuel</v>
      </c>
      <c r="B108" s="195" t="str">
        <f>VLOOKUP($A108,Types!$A$2:$C$13,2,FALSE)</f>
        <v>JTF</v>
      </c>
      <c r="C108" s="195">
        <v>4</v>
      </c>
      <c r="D108" s="195">
        <v>2</v>
      </c>
      <c r="E108" s="195" t="str">
        <f t="shared" si="158"/>
        <v>IMPJTFP24</v>
      </c>
      <c r="F108" s="195" t="str">
        <f>CONCATENATE("Imported ",VLOOKUP($A108,Types!$A$2:$C$13,3,FALSE),", PADD ",D108,", Step ",RIGHT(C108,1))</f>
        <v>Imported Jet Fuel, PADD 2, Step 4</v>
      </c>
      <c r="G108" s="195" t="str">
        <f>CONCATENATE(VLOOKUP($A108,Types!$A$2:$C$13,2,FALSE),"P",D108)</f>
        <v>JTFP2</v>
      </c>
      <c r="H108" s="239">
        <f>H105*$C$8</f>
        <v>52.420280000000012</v>
      </c>
      <c r="I108" s="239">
        <f t="shared" ref="I108:K108" si="251">I105*$C$8</f>
        <v>47.564330000000012</v>
      </c>
      <c r="J108" s="239">
        <f t="shared" si="251"/>
        <v>37.408800000000006</v>
      </c>
      <c r="K108" s="239">
        <f t="shared" si="251"/>
        <v>41.071200000000005</v>
      </c>
      <c r="L108" s="240">
        <f>H108*Conv!$J$20/10^6/VLOOKUP($B108,Types!$B$2:$D$13,3,FALSE)/Conv!$I$5</f>
        <v>13.446342297682644</v>
      </c>
      <c r="M108" s="240">
        <f>I108*Conv!$J$20/10^6/VLOOKUP($B108,Types!$B$2:$D$13,3,FALSE)/Conv!$I$5</f>
        <v>12.200741055559712</v>
      </c>
      <c r="N108" s="240">
        <f>M108*'Imported Price Trends'!$K$19</f>
        <v>13.137109595115662</v>
      </c>
      <c r="O108" s="240">
        <f>N108*'Imported Price Trends'!$L$19</f>
        <v>13.012201018691419</v>
      </c>
      <c r="P108" s="240">
        <f>O108*'Imported Price Trends'!$M$19</f>
        <v>14.041078829637046</v>
      </c>
      <c r="Q108" s="240">
        <f>P108*'Imported Price Trends'!$N$19</f>
        <v>14.847631750485732</v>
      </c>
      <c r="R108" s="240">
        <f>Q108*'Imported Price Trends'!$O$19</f>
        <v>15.952058615849985</v>
      </c>
      <c r="S108" s="240">
        <f>R108*'Imported Price Trends'!$O$19</f>
        <v>17.138637215675082</v>
      </c>
      <c r="T108" s="240">
        <f>S108*'Imported Price Trends'!$O$19</f>
        <v>18.413478328036582</v>
      </c>
      <c r="U108" s="240">
        <f>T108*'Imported Price Trends'!$O$19</f>
        <v>19.78314727538374</v>
      </c>
      <c r="V108" s="240">
        <f>U108*'Imported Price Trends'!$O$19</f>
        <v>21.254697735387346</v>
      </c>
      <c r="W108" s="219"/>
      <c r="X108" s="195">
        <f>X105*$E$8</f>
        <v>1199998.8</v>
      </c>
      <c r="Y108" s="195">
        <f t="shared" ref="Y108:AA108" si="252">Y105*$E$8</f>
        <v>1199998.8</v>
      </c>
      <c r="Z108" s="195">
        <f t="shared" si="252"/>
        <v>1199998.8</v>
      </c>
      <c r="AA108" s="195">
        <f t="shared" si="252"/>
        <v>1199998.8</v>
      </c>
      <c r="AB108" s="219">
        <f>X108*VLOOKUP($B108,Types!$B$2:$D$13,3,FALSE)*Conv!$I$5*1000*365</f>
        <v>2620186.753570626</v>
      </c>
      <c r="AC108" s="219">
        <f>Y108*VLOOKUP($B108,Types!$B$2:$D$13,3,FALSE)*Conv!$I$5*1000*365</f>
        <v>2620186.753570626</v>
      </c>
      <c r="AD108" s="219">
        <f>Z108*VLOOKUP($B108,Types!$B$2:$D$13,3,FALSE)*Conv!$I$5*1000*365</f>
        <v>2620186.753570626</v>
      </c>
      <c r="AE108" s="219">
        <f>AA108*VLOOKUP($B108,Types!$B$2:$D$13,3,FALSE)*Conv!$I$5*1000*365</f>
        <v>2620186.753570626</v>
      </c>
      <c r="AF108" s="219">
        <f>AB108-AB105</f>
        <v>436697.79226177093</v>
      </c>
      <c r="AG108" s="219">
        <f t="shared" ref="AG108:AI108" si="253">AC108-AC105</f>
        <v>436697.79226177093</v>
      </c>
      <c r="AH108" s="219">
        <f t="shared" si="253"/>
        <v>436697.79226177093</v>
      </c>
      <c r="AI108" s="219">
        <f t="shared" si="253"/>
        <v>436697.79226177093</v>
      </c>
      <c r="AJ108" s="219"/>
      <c r="AK108" s="219"/>
      <c r="AL108" s="219"/>
    </row>
    <row r="109" spans="1:38">
      <c r="A109" s="195" t="str">
        <f t="shared" si="247"/>
        <v>Jet Fuel</v>
      </c>
      <c r="B109" s="195" t="str">
        <f>VLOOKUP($A109,Types!$A$2:$C$13,2,FALSE)</f>
        <v>JTF</v>
      </c>
      <c r="C109" s="195">
        <v>5</v>
      </c>
      <c r="D109" s="195">
        <v>2</v>
      </c>
      <c r="E109" s="195" t="str">
        <f t="shared" si="158"/>
        <v>IMPJTFP25</v>
      </c>
      <c r="F109" s="195" t="str">
        <f>CONCATENATE("Imported ",VLOOKUP($A109,Types!$A$2:$C$13,3,FALSE),", PADD ",D109,", Step ",RIGHT(C109,1))</f>
        <v>Imported Jet Fuel, PADD 2, Step 5</v>
      </c>
      <c r="G109" s="195" t="str">
        <f>CONCATENATE(VLOOKUP($A109,Types!$A$2:$C$13,2,FALSE),"P",D109)</f>
        <v>JTFP2</v>
      </c>
      <c r="H109" s="239">
        <f>H105*$C$9</f>
        <v>62.519600000000011</v>
      </c>
      <c r="I109" s="239">
        <f t="shared" ref="I109:K109" si="254">I105*$C$9</f>
        <v>56.728100000000012</v>
      </c>
      <c r="J109" s="239">
        <f t="shared" si="254"/>
        <v>44.616</v>
      </c>
      <c r="K109" s="239">
        <f t="shared" si="254"/>
        <v>48.984000000000002</v>
      </c>
      <c r="L109" s="240">
        <f>H109*Conv!$J$20/10^6/VLOOKUP($B109,Types!$B$2:$D$13,3,FALSE)/Conv!$I$5</f>
        <v>16.036922006410492</v>
      </c>
      <c r="M109" s="240">
        <f>I109*Conv!$J$20/10^6/VLOOKUP($B109,Types!$B$2:$D$13,3,FALSE)/Conv!$I$5</f>
        <v>14.551342543328094</v>
      </c>
      <c r="N109" s="240">
        <f>M109*'Imported Price Trends'!$K$19</f>
        <v>15.668112361147116</v>
      </c>
      <c r="O109" s="240">
        <f>N109*'Imported Price Trends'!$L$19</f>
        <v>15.519138829631965</v>
      </c>
      <c r="P109" s="240">
        <f>O109*'Imported Price Trends'!$M$19</f>
        <v>16.746240805989135</v>
      </c>
      <c r="Q109" s="240">
        <f>P109*'Imported Price Trends'!$N$19</f>
        <v>17.708184656542613</v>
      </c>
      <c r="R109" s="240">
        <f>Q109*'Imported Price Trends'!$O$19</f>
        <v>19.025391009729336</v>
      </c>
      <c r="S109" s="240">
        <f>R109*'Imported Price Trends'!$O$19</f>
        <v>20.44057649575927</v>
      </c>
      <c r="T109" s="240">
        <f>S109*'Imported Price Trends'!$O$19</f>
        <v>21.961029198575737</v>
      </c>
      <c r="U109" s="240">
        <f>T109*'Imported Price Trends'!$O$19</f>
        <v>23.594579319265009</v>
      </c>
      <c r="V109" s="240">
        <f>U109*'Imported Price Trends'!$O$19</f>
        <v>25.349639500920688</v>
      </c>
      <c r="W109" s="219"/>
      <c r="X109" s="195">
        <f>X105*$E$9</f>
        <v>1999998</v>
      </c>
      <c r="Y109" s="195">
        <f t="shared" ref="Y109:AA109" si="255">Y105*$E$9</f>
        <v>1999998</v>
      </c>
      <c r="Z109" s="195">
        <f t="shared" si="255"/>
        <v>1999998</v>
      </c>
      <c r="AA109" s="195">
        <f t="shared" si="255"/>
        <v>1999998</v>
      </c>
      <c r="AB109" s="219">
        <f>X109*VLOOKUP($B109,Types!$B$2:$D$13,3,FALSE)*Conv!$I$5*1000*365</f>
        <v>4366977.9226177102</v>
      </c>
      <c r="AC109" s="219">
        <f>Y109*VLOOKUP($B109,Types!$B$2:$D$13,3,FALSE)*Conv!$I$5*1000*365</f>
        <v>4366977.9226177102</v>
      </c>
      <c r="AD109" s="219">
        <f>Z109*VLOOKUP($B109,Types!$B$2:$D$13,3,FALSE)*Conv!$I$5*1000*365</f>
        <v>4366977.9226177102</v>
      </c>
      <c r="AE109" s="219">
        <f>AA109*VLOOKUP($B109,Types!$B$2:$D$13,3,FALSE)*Conv!$I$5*1000*365</f>
        <v>4366977.9226177102</v>
      </c>
      <c r="AF109" s="219">
        <f>AB109-AB108</f>
        <v>1746791.1690470842</v>
      </c>
      <c r="AG109" s="219">
        <f t="shared" ref="AG109:AI109" si="256">AC109-AC108</f>
        <v>1746791.1690470842</v>
      </c>
      <c r="AH109" s="219">
        <f t="shared" si="256"/>
        <v>1746791.1690470842</v>
      </c>
      <c r="AI109" s="219">
        <f t="shared" si="256"/>
        <v>1746791.1690470842</v>
      </c>
      <c r="AJ109" s="219"/>
      <c r="AK109" s="219"/>
      <c r="AL109" s="219"/>
    </row>
    <row r="110" spans="1:38">
      <c r="A110" s="195" t="str">
        <f>'Agg prdcrv'!$A$13</f>
        <v>LPG</v>
      </c>
      <c r="B110" s="195" t="str">
        <f>VLOOKUP($A110,Types!$A$2:$C$13,2,FALSE)</f>
        <v>LPG</v>
      </c>
      <c r="C110" s="195">
        <v>3</v>
      </c>
      <c r="D110" s="195">
        <v>2</v>
      </c>
      <c r="E110" s="195" t="str">
        <f t="shared" si="158"/>
        <v>IMPLPGP23</v>
      </c>
      <c r="F110" s="195" t="str">
        <f>CONCATENATE("Imported ",VLOOKUP($A110,Types!$A$2:$C$13,3,FALSE),", PADD ",D110,", Step ",RIGHT(C110,1))</f>
        <v>Imported LPG, PADD 2, Step 3</v>
      </c>
      <c r="G110" s="195" t="str">
        <f>CONCATENATE(VLOOKUP($A110,Types!$A$2:$C$13,2,FALSE),"P",D110)</f>
        <v>LPGP2</v>
      </c>
      <c r="H110" s="239">
        <f>SUMIFS('Agg prdcrv NYC'!$M$6:$M$100,'Agg prdcrv NYC'!$A$6:$A$100,'Imp Refined NYC'!$A110,'Agg prdcrv NYC'!$B$6:$B$100,H$11)*K4</f>
        <v>31.691000000000003</v>
      </c>
      <c r="I110" s="239">
        <f>SUMIFS('Agg prdcrv NYC'!$M$6:$M$100,'Agg prdcrv NYC'!$A$6:$A$100,'Imp Refined NYC'!$A110,'Agg prdcrv NYC'!$B$6:$B$100,I$11)*K4</f>
        <v>31.35</v>
      </c>
      <c r="J110" s="239">
        <f t="array" ref="J110">SUMIFS('Agg prdcrv NYC'!$M$6:$M$100,'Agg prdcrv NYC'!$A$6:$A$100,'Imp Refined NYC'!$A110,'Agg prdcrv NYC'!$B$6:$B$100,J$11)</f>
        <v>28.5</v>
      </c>
      <c r="K110" s="239">
        <f t="array" ref="K110">SUMIFS('Agg prdcrv NYC'!$M$6:$M$100,'Agg prdcrv NYC'!$A$6:$A$100,'Imp Refined NYC'!$A110,'Agg prdcrv NYC'!$B$6:$B$100,K$11)</f>
        <v>28.5</v>
      </c>
      <c r="L110" s="240">
        <f>H110*Conv!$J$20/10^6/VLOOKUP($B110,Types!$B$2:$D$13,3,FALSE)/Conv!$I$5</f>
        <v>12.958059311858628</v>
      </c>
      <c r="M110" s="240">
        <f>I110*Conv!$J$20/10^6/VLOOKUP($B110,Types!$B$2:$D$13,3,FALSE)/Conv!$I$5</f>
        <v>12.818628614646682</v>
      </c>
      <c r="N110" s="240">
        <f>M110*'Imported Price Trends'!$K$19</f>
        <v>13.80241808287224</v>
      </c>
      <c r="O110" s="240">
        <f>N110*'Imported Price Trends'!$L$19</f>
        <v>13.671183705822909</v>
      </c>
      <c r="P110" s="240">
        <f>O110*'Imported Price Trends'!$M$19</f>
        <v>14.7521674336394</v>
      </c>
      <c r="Q110" s="240">
        <f>P110*'Imported Price Trends'!$N$19</f>
        <v>15.599566973006439</v>
      </c>
      <c r="R110" s="240">
        <f>Q110*'Imported Price Trends'!$O$19</f>
        <v>16.759925819626783</v>
      </c>
      <c r="S110" s="240">
        <f>R110*'Imported Price Trends'!$O$19</f>
        <v>18.006596847557031</v>
      </c>
      <c r="T110" s="240">
        <f>S110*'Imported Price Trends'!$O$19</f>
        <v>19.346000305726356</v>
      </c>
      <c r="U110" s="240">
        <f>T110*'Imported Price Trends'!$O$19</f>
        <v>20.785034007130641</v>
      </c>
      <c r="V110" s="240">
        <f>U110*'Imported Price Trends'!$O$19</f>
        <v>22.331108851978119</v>
      </c>
      <c r="W110" s="219"/>
      <c r="X110" s="195">
        <f t="array" ref="X110">SUMIFS('Agg prdcrv NYC'!$E$6:$E$100,'Agg prdcrv NYC'!$A$6:$A$100,'Imp Refined NYC'!$A110,'Agg prdcrv NYC'!$B$6:$B$100,X$11)</f>
        <v>999999</v>
      </c>
      <c r="Y110" s="195">
        <f t="array" ref="Y110">SUMIFS('Agg prdcrv NYC'!$E$6:$E$100,'Agg prdcrv NYC'!$A$6:$A$100,'Imp Refined NYC'!$A110,'Agg prdcrv NYC'!$B$6:$B$100,Y$11)</f>
        <v>999999</v>
      </c>
      <c r="Z110" s="195">
        <f t="array" ref="Z110">SUMIFS('Agg prdcrv NYC'!$E$6:$E$100,'Agg prdcrv NYC'!$A$6:$A$100,'Imp Refined NYC'!$A110,'Agg prdcrv NYC'!$B$6:$B$100,Z$11)</f>
        <v>999999</v>
      </c>
      <c r="AA110" s="195">
        <f t="array" ref="AA110">SUMIFS('Agg prdcrv NYC'!$E$6:$E$100,'Agg prdcrv NYC'!$A$6:$A$100,'Imp Refined NYC'!$A110,'Agg prdcrv NYC'!$B$6:$B$100,AA$11)</f>
        <v>999999</v>
      </c>
      <c r="AB110" s="219">
        <f>X110*VLOOKUP($B110,Types!$B$2:$D$13,3,FALSE)*Conv!$I$5*1000*365</f>
        <v>1369783.1102955197</v>
      </c>
      <c r="AC110" s="219">
        <f>Y110*VLOOKUP($B110,Types!$B$2:$D$13,3,FALSE)*Conv!$I$5*1000*365</f>
        <v>1369783.1102955197</v>
      </c>
      <c r="AD110" s="219">
        <f>Z110*VLOOKUP($B110,Types!$B$2:$D$13,3,FALSE)*Conv!$I$5*1000*365</f>
        <v>1369783.1102955197</v>
      </c>
      <c r="AE110" s="219">
        <f>AA110*VLOOKUP($B110,Types!$B$2:$D$13,3,FALSE)*Conv!$I$5*1000*365</f>
        <v>1369783.1102955197</v>
      </c>
      <c r="AF110" s="219">
        <f>AB110-AB112</f>
        <v>136978.31102955202</v>
      </c>
      <c r="AG110" s="219">
        <f t="shared" ref="AG110:AI110" si="257">AC110-AC112</f>
        <v>136978.31102955202</v>
      </c>
      <c r="AH110" s="219">
        <f t="shared" si="257"/>
        <v>136978.31102955202</v>
      </c>
      <c r="AI110" s="219">
        <f t="shared" si="257"/>
        <v>136978.31102955202</v>
      </c>
      <c r="AJ110" s="219"/>
      <c r="AK110" s="219"/>
      <c r="AL110" s="219"/>
    </row>
    <row r="111" spans="1:38">
      <c r="A111" s="195" t="str">
        <f>A110</f>
        <v>LPG</v>
      </c>
      <c r="B111" s="195" t="str">
        <f>VLOOKUP($A111,Types!$A$2:$C$13,2,FALSE)</f>
        <v>LPG</v>
      </c>
      <c r="C111" s="195">
        <v>1</v>
      </c>
      <c r="D111" s="195">
        <v>2</v>
      </c>
      <c r="E111" s="195" t="str">
        <f t="shared" si="158"/>
        <v>IMPLPGP21</v>
      </c>
      <c r="F111" s="195" t="str">
        <f>CONCATENATE("Imported ",VLOOKUP($A111,Types!$A$2:$C$13,3,FALSE),", PADD ",D111,", Step ",RIGHT(C111,1))</f>
        <v>Imported LPG, PADD 2, Step 1</v>
      </c>
      <c r="G111" s="195" t="str">
        <f>CONCATENATE(VLOOKUP($A111,Types!$A$2:$C$13,2,FALSE),"P",D111)</f>
        <v>LPGP2</v>
      </c>
      <c r="H111" s="239">
        <f>H110*$C$5</f>
        <v>30.106450000000002</v>
      </c>
      <c r="I111" s="239">
        <f t="shared" ref="I111:K111" si="258">I110*$C$5</f>
        <v>29.782499999999999</v>
      </c>
      <c r="J111" s="239">
        <f t="shared" si="258"/>
        <v>27.074999999999999</v>
      </c>
      <c r="K111" s="239">
        <f t="shared" si="258"/>
        <v>27.074999999999999</v>
      </c>
      <c r="L111" s="240">
        <f>H111*Conv!$J$20/10^6/VLOOKUP($B111,Types!$B$2:$D$13,3,FALSE)/Conv!$I$5</f>
        <v>12.310156346265698</v>
      </c>
      <c r="M111" s="240">
        <f>I111*Conv!$J$20/10^6/VLOOKUP($B111,Types!$B$2:$D$13,3,FALSE)/Conv!$I$5</f>
        <v>12.177697183914349</v>
      </c>
      <c r="N111" s="240">
        <f>M111*'Imported Price Trends'!$K$19</f>
        <v>13.112297178728628</v>
      </c>
      <c r="O111" s="240">
        <f>N111*'Imported Price Trends'!$L$19</f>
        <v>12.987624520531762</v>
      </c>
      <c r="P111" s="240">
        <f>O111*'Imported Price Trends'!$M$19</f>
        <v>14.014559061957428</v>
      </c>
      <c r="Q111" s="240">
        <f>P111*'Imported Price Trends'!$N$19</f>
        <v>14.819588624356115</v>
      </c>
      <c r="R111" s="240">
        <f>Q111*'Imported Price Trends'!$O$19</f>
        <v>15.921929528645443</v>
      </c>
      <c r="S111" s="240">
        <f>R111*'Imported Price Trends'!$O$19</f>
        <v>17.106267005179177</v>
      </c>
      <c r="T111" s="240">
        <f>S111*'Imported Price Trends'!$O$19</f>
        <v>18.378700290440037</v>
      </c>
      <c r="U111" s="240">
        <f>T111*'Imported Price Trends'!$O$19</f>
        <v>19.745782306774107</v>
      </c>
      <c r="V111" s="240">
        <f>U111*'Imported Price Trends'!$O$19</f>
        <v>21.21455340937921</v>
      </c>
      <c r="W111" s="219"/>
      <c r="X111" s="195">
        <f>X110*$E$5</f>
        <v>799999.20000000007</v>
      </c>
      <c r="Y111" s="195">
        <f t="shared" ref="Y111:AA111" si="259">Y110*$E$5</f>
        <v>799999.20000000007</v>
      </c>
      <c r="Z111" s="195">
        <f t="shared" si="259"/>
        <v>799999.20000000007</v>
      </c>
      <c r="AA111" s="195">
        <f t="shared" si="259"/>
        <v>799999.20000000007</v>
      </c>
      <c r="AB111" s="219">
        <f>X111*VLOOKUP($B111,Types!$B$2:$D$13,3,FALSE)*Conv!$I$5*1000*365</f>
        <v>1095826.4882364159</v>
      </c>
      <c r="AC111" s="219">
        <f>Y111*VLOOKUP($B111,Types!$B$2:$D$13,3,FALSE)*Conv!$I$5*1000*365</f>
        <v>1095826.4882364159</v>
      </c>
      <c r="AD111" s="219">
        <f>Z111*VLOOKUP($B111,Types!$B$2:$D$13,3,FALSE)*Conv!$I$5*1000*365</f>
        <v>1095826.4882364159</v>
      </c>
      <c r="AE111" s="219">
        <f>AA111*VLOOKUP($B111,Types!$B$2:$D$13,3,FALSE)*Conv!$I$5*1000*365</f>
        <v>1095826.4882364159</v>
      </c>
      <c r="AF111" s="219">
        <f>AB111</f>
        <v>1095826.4882364159</v>
      </c>
      <c r="AG111" s="219">
        <f t="shared" ref="AG111:AI111" si="260">AC111</f>
        <v>1095826.4882364159</v>
      </c>
      <c r="AH111" s="219">
        <f t="shared" si="260"/>
        <v>1095826.4882364159</v>
      </c>
      <c r="AI111" s="219">
        <f t="shared" si="260"/>
        <v>1095826.4882364159</v>
      </c>
      <c r="AJ111" s="219"/>
      <c r="AK111" s="219"/>
      <c r="AL111" s="219"/>
    </row>
    <row r="112" spans="1:38">
      <c r="A112" s="195" t="str">
        <f t="shared" ref="A112:A114" si="261">A111</f>
        <v>LPG</v>
      </c>
      <c r="B112" s="195" t="str">
        <f>VLOOKUP($A112,Types!$A$2:$C$13,2,FALSE)</f>
        <v>LPG</v>
      </c>
      <c r="C112" s="195">
        <v>2</v>
      </c>
      <c r="D112" s="195">
        <v>2</v>
      </c>
      <c r="E112" s="195" t="str">
        <f t="shared" si="158"/>
        <v>IMPLPGP22</v>
      </c>
      <c r="F112" s="195" t="str">
        <f>CONCATENATE("Imported ",VLOOKUP($A112,Types!$A$2:$C$13,3,FALSE),", PADD ",D112,", Step ",RIGHT(C112,1))</f>
        <v>Imported LPG, PADD 2, Step 2</v>
      </c>
      <c r="G112" s="195" t="str">
        <f>CONCATENATE(VLOOKUP($A112,Types!$A$2:$C$13,2,FALSE),"P",D112)</f>
        <v>LPGP2</v>
      </c>
      <c r="H112" s="239">
        <f>H110*$C$6</f>
        <v>31.057180000000002</v>
      </c>
      <c r="I112" s="239">
        <f t="shared" ref="I112:K112" si="262">I110*$C$6</f>
        <v>30.723000000000003</v>
      </c>
      <c r="J112" s="239">
        <f t="shared" si="262"/>
        <v>27.93</v>
      </c>
      <c r="K112" s="239">
        <f t="shared" si="262"/>
        <v>27.93</v>
      </c>
      <c r="L112" s="240">
        <f>H112*Conv!$J$20/10^6/VLOOKUP($B112,Types!$B$2:$D$13,3,FALSE)/Conv!$I$5</f>
        <v>12.698898125621454</v>
      </c>
      <c r="M112" s="240">
        <f>I112*Conv!$J$20/10^6/VLOOKUP($B112,Types!$B$2:$D$13,3,FALSE)/Conv!$I$5</f>
        <v>12.56225604235375</v>
      </c>
      <c r="N112" s="240">
        <f>M112*'Imported Price Trends'!$K$19</f>
        <v>13.526369721214797</v>
      </c>
      <c r="O112" s="240">
        <f>N112*'Imported Price Trends'!$L$19</f>
        <v>13.397760031706452</v>
      </c>
      <c r="P112" s="240">
        <f>O112*'Imported Price Trends'!$M$19</f>
        <v>14.457124084966614</v>
      </c>
      <c r="Q112" s="240">
        <f>P112*'Imported Price Trends'!$N$19</f>
        <v>15.287575633546313</v>
      </c>
      <c r="R112" s="240">
        <f>Q112*'Imported Price Trends'!$O$19</f>
        <v>16.424727303234249</v>
      </c>
      <c r="S112" s="240">
        <f>R112*'Imported Price Trends'!$O$19</f>
        <v>17.646464910605893</v>
      </c>
      <c r="T112" s="240">
        <f>S112*'Imported Price Trends'!$O$19</f>
        <v>18.959080299611831</v>
      </c>
      <c r="U112" s="240">
        <f>T112*'Imported Price Trends'!$O$19</f>
        <v>20.369333326988031</v>
      </c>
      <c r="V112" s="240">
        <f>U112*'Imported Price Trends'!$O$19</f>
        <v>21.884486674938557</v>
      </c>
      <c r="W112" s="219"/>
      <c r="X112" s="195">
        <f>X110*$E$6</f>
        <v>899999.1</v>
      </c>
      <c r="Y112" s="195">
        <f t="shared" ref="Y112:AA112" si="263">Y110*$E$6</f>
        <v>899999.1</v>
      </c>
      <c r="Z112" s="195">
        <f t="shared" si="263"/>
        <v>899999.1</v>
      </c>
      <c r="AA112" s="195">
        <f t="shared" si="263"/>
        <v>899999.1</v>
      </c>
      <c r="AB112" s="219">
        <f>X112*VLOOKUP($B112,Types!$B$2:$D$13,3,FALSE)*Conv!$I$5*1000*365</f>
        <v>1232804.7992659677</v>
      </c>
      <c r="AC112" s="219">
        <f>Y112*VLOOKUP($B112,Types!$B$2:$D$13,3,FALSE)*Conv!$I$5*1000*365</f>
        <v>1232804.7992659677</v>
      </c>
      <c r="AD112" s="219">
        <f>Z112*VLOOKUP($B112,Types!$B$2:$D$13,3,FALSE)*Conv!$I$5*1000*365</f>
        <v>1232804.7992659677</v>
      </c>
      <c r="AE112" s="219">
        <f>AA112*VLOOKUP($B112,Types!$B$2:$D$13,3,FALSE)*Conv!$I$5*1000*365</f>
        <v>1232804.7992659677</v>
      </c>
      <c r="AF112" s="219">
        <f>AB112-AF111</f>
        <v>136978.31102955178</v>
      </c>
      <c r="AG112" s="219">
        <f t="shared" ref="AG112:AI112" si="264">AC112-AG111</f>
        <v>136978.31102955178</v>
      </c>
      <c r="AH112" s="219">
        <f t="shared" si="264"/>
        <v>136978.31102955178</v>
      </c>
      <c r="AI112" s="219">
        <f t="shared" si="264"/>
        <v>136978.31102955178</v>
      </c>
      <c r="AJ112" s="219"/>
      <c r="AK112" s="219"/>
      <c r="AL112" s="219"/>
    </row>
    <row r="113" spans="1:38">
      <c r="A113" s="195" t="str">
        <f t="shared" si="261"/>
        <v>LPG</v>
      </c>
      <c r="B113" s="195" t="str">
        <f>VLOOKUP($A113,Types!$A$2:$C$13,2,FALSE)</f>
        <v>LPG</v>
      </c>
      <c r="C113" s="195">
        <v>4</v>
      </c>
      <c r="D113" s="195">
        <v>2</v>
      </c>
      <c r="E113" s="195" t="str">
        <f t="shared" si="158"/>
        <v>IMPLPGP24</v>
      </c>
      <c r="F113" s="195" t="str">
        <f>CONCATENATE("Imported ",VLOOKUP($A113,Types!$A$2:$C$13,3,FALSE),", PADD ",D113,", Step ",RIGHT(C113,1))</f>
        <v>Imported LPG, PADD 2, Step 4</v>
      </c>
      <c r="G113" s="195" t="str">
        <f>CONCATENATE(VLOOKUP($A113,Types!$A$2:$C$13,2,FALSE),"P",D113)</f>
        <v>LPGP2</v>
      </c>
      <c r="H113" s="239">
        <f>H110*$C$8</f>
        <v>34.543190000000003</v>
      </c>
      <c r="I113" s="239">
        <f t="shared" ref="I113:K113" si="265">I110*$C$8</f>
        <v>34.171500000000002</v>
      </c>
      <c r="J113" s="239">
        <f t="shared" si="265"/>
        <v>31.065000000000001</v>
      </c>
      <c r="K113" s="239">
        <f t="shared" si="265"/>
        <v>31.065000000000001</v>
      </c>
      <c r="L113" s="240">
        <f>H113*Conv!$J$20/10^6/VLOOKUP($B113,Types!$B$2:$D$13,3,FALSE)/Conv!$I$5</f>
        <v>14.124284649925904</v>
      </c>
      <c r="M113" s="240">
        <f>I113*Conv!$J$20/10^6/VLOOKUP($B113,Types!$B$2:$D$13,3,FALSE)/Conv!$I$5</f>
        <v>13.972305189964885</v>
      </c>
      <c r="N113" s="240">
        <f>M113*'Imported Price Trends'!$K$19</f>
        <v>15.044635710330743</v>
      </c>
      <c r="O113" s="240">
        <f>N113*'Imported Price Trends'!$L$19</f>
        <v>14.901590239346971</v>
      </c>
      <c r="P113" s="240">
        <f>O113*'Imported Price Trends'!$M$19</f>
        <v>16.079862502666945</v>
      </c>
      <c r="Q113" s="240">
        <f>P113*'Imported Price Trends'!$N$19</f>
        <v>17.003528000577017</v>
      </c>
      <c r="R113" s="240">
        <f>Q113*'Imported Price Trends'!$O$19</f>
        <v>18.268319143393192</v>
      </c>
      <c r="S113" s="240">
        <f>R113*'Imported Price Trends'!$O$19</f>
        <v>19.627190563837161</v>
      </c>
      <c r="T113" s="240">
        <f>S113*'Imported Price Trends'!$O$19</f>
        <v>21.087140333241724</v>
      </c>
      <c r="U113" s="240">
        <f>T113*'Imported Price Trends'!$O$19</f>
        <v>22.655687067772394</v>
      </c>
      <c r="V113" s="240">
        <f>U113*'Imported Price Trends'!$O$19</f>
        <v>24.340908648656143</v>
      </c>
      <c r="W113" s="219"/>
      <c r="X113" s="195">
        <f>X110*$E$8</f>
        <v>1199998.8</v>
      </c>
      <c r="Y113" s="195">
        <f t="shared" ref="Y113:AA113" si="266">Y110*$E$8</f>
        <v>1199998.8</v>
      </c>
      <c r="Z113" s="195">
        <f t="shared" si="266"/>
        <v>1199998.8</v>
      </c>
      <c r="AA113" s="195">
        <f t="shared" si="266"/>
        <v>1199998.8</v>
      </c>
      <c r="AB113" s="219">
        <f>X113*VLOOKUP($B113,Types!$B$2:$D$13,3,FALSE)*Conv!$I$5*1000*365</f>
        <v>1643739.7323546242</v>
      </c>
      <c r="AC113" s="219">
        <f>Y113*VLOOKUP($B113,Types!$B$2:$D$13,3,FALSE)*Conv!$I$5*1000*365</f>
        <v>1643739.7323546242</v>
      </c>
      <c r="AD113" s="219">
        <f>Z113*VLOOKUP($B113,Types!$B$2:$D$13,3,FALSE)*Conv!$I$5*1000*365</f>
        <v>1643739.7323546242</v>
      </c>
      <c r="AE113" s="219">
        <f>AA113*VLOOKUP($B113,Types!$B$2:$D$13,3,FALSE)*Conv!$I$5*1000*365</f>
        <v>1643739.7323546242</v>
      </c>
      <c r="AF113" s="219">
        <f>AB113-AB110</f>
        <v>273956.6220591045</v>
      </c>
      <c r="AG113" s="219">
        <f t="shared" ref="AG113:AI113" si="267">AC113-AC110</f>
        <v>273956.6220591045</v>
      </c>
      <c r="AH113" s="219">
        <f t="shared" si="267"/>
        <v>273956.6220591045</v>
      </c>
      <c r="AI113" s="219">
        <f t="shared" si="267"/>
        <v>273956.6220591045</v>
      </c>
      <c r="AJ113" s="219"/>
      <c r="AK113" s="219"/>
      <c r="AL113" s="219"/>
    </row>
    <row r="114" spans="1:38">
      <c r="A114" s="195" t="str">
        <f t="shared" si="261"/>
        <v>LPG</v>
      </c>
      <c r="B114" s="195" t="str">
        <f>VLOOKUP($A114,Types!$A$2:$C$13,2,FALSE)</f>
        <v>LPG</v>
      </c>
      <c r="C114" s="195">
        <v>5</v>
      </c>
      <c r="D114" s="195">
        <v>2</v>
      </c>
      <c r="E114" s="195" t="str">
        <f t="shared" si="158"/>
        <v>IMPLPGP25</v>
      </c>
      <c r="F114" s="195" t="str">
        <f>CONCATENATE("Imported ",VLOOKUP($A114,Types!$A$2:$C$13,3,FALSE),", PADD ",D114,", Step ",RIGHT(C114,1))</f>
        <v>Imported LPG, PADD 2, Step 5</v>
      </c>
      <c r="G114" s="195" t="str">
        <f>CONCATENATE(VLOOKUP($A114,Types!$A$2:$C$13,2,FALSE),"P",D114)</f>
        <v>LPGP2</v>
      </c>
      <c r="H114" s="239">
        <f>H110*$C$9</f>
        <v>41.198300000000003</v>
      </c>
      <c r="I114" s="239">
        <f t="shared" ref="I114:K114" si="268">I110*$C$9</f>
        <v>40.755000000000003</v>
      </c>
      <c r="J114" s="239">
        <f t="shared" si="268"/>
        <v>37.050000000000004</v>
      </c>
      <c r="K114" s="239">
        <f t="shared" si="268"/>
        <v>37.050000000000004</v>
      </c>
      <c r="L114" s="240">
        <f>H114*Conv!$J$20/10^6/VLOOKUP($B114,Types!$B$2:$D$13,3,FALSE)/Conv!$I$5</f>
        <v>16.845477105416219</v>
      </c>
      <c r="M114" s="240">
        <f>I114*Conv!$J$20/10^6/VLOOKUP($B114,Types!$B$2:$D$13,3,FALSE)/Conv!$I$5</f>
        <v>16.664217199040689</v>
      </c>
      <c r="N114" s="240">
        <f>M114*'Imported Price Trends'!$K$19</f>
        <v>17.943143507733915</v>
      </c>
      <c r="O114" s="240">
        <f>N114*'Imported Price Trends'!$L$19</f>
        <v>17.772538817569782</v>
      </c>
      <c r="P114" s="240">
        <f>O114*'Imported Price Trends'!$M$19</f>
        <v>19.177817663731219</v>
      </c>
      <c r="Q114" s="240">
        <f>P114*'Imported Price Trends'!$N$19</f>
        <v>20.279437064908372</v>
      </c>
      <c r="R114" s="240">
        <f>Q114*'Imported Price Trends'!$O$19</f>
        <v>21.787903565514821</v>
      </c>
      <c r="S114" s="240">
        <f>R114*'Imported Price Trends'!$O$19</f>
        <v>23.408575901824143</v>
      </c>
      <c r="T114" s="240">
        <f>S114*'Imported Price Trends'!$O$19</f>
        <v>25.149800397444267</v>
      </c>
      <c r="U114" s="240">
        <f>T114*'Imported Price Trends'!$O$19</f>
        <v>27.020544209269836</v>
      </c>
      <c r="V114" s="240">
        <f>U114*'Imported Price Trends'!$O$19</f>
        <v>29.030441507571556</v>
      </c>
      <c r="W114" s="219"/>
      <c r="X114" s="195">
        <f>X110*$E$9</f>
        <v>1999998</v>
      </c>
      <c r="Y114" s="195">
        <f t="shared" ref="Y114:AA114" si="269">Y110*$E$9</f>
        <v>1999998</v>
      </c>
      <c r="Z114" s="195">
        <f t="shared" si="269"/>
        <v>1999998</v>
      </c>
      <c r="AA114" s="195">
        <f t="shared" si="269"/>
        <v>1999998</v>
      </c>
      <c r="AB114" s="219">
        <f>X114*VLOOKUP($B114,Types!$B$2:$D$13,3,FALSE)*Conv!$I$5*1000*365</f>
        <v>2739566.2205910394</v>
      </c>
      <c r="AC114" s="219">
        <f>Y114*VLOOKUP($B114,Types!$B$2:$D$13,3,FALSE)*Conv!$I$5*1000*365</f>
        <v>2739566.2205910394</v>
      </c>
      <c r="AD114" s="219">
        <f>Z114*VLOOKUP($B114,Types!$B$2:$D$13,3,FALSE)*Conv!$I$5*1000*365</f>
        <v>2739566.2205910394</v>
      </c>
      <c r="AE114" s="219">
        <f>AA114*VLOOKUP($B114,Types!$B$2:$D$13,3,FALSE)*Conv!$I$5*1000*365</f>
        <v>2739566.2205910394</v>
      </c>
      <c r="AF114" s="219">
        <f>AB114-AB113</f>
        <v>1095826.4882364152</v>
      </c>
      <c r="AG114" s="219">
        <f t="shared" ref="AG114:AI114" si="270">AC114-AC113</f>
        <v>1095826.4882364152</v>
      </c>
      <c r="AH114" s="219">
        <f t="shared" si="270"/>
        <v>1095826.4882364152</v>
      </c>
      <c r="AI114" s="219">
        <f t="shared" si="270"/>
        <v>1095826.4882364152</v>
      </c>
      <c r="AJ114" s="219"/>
      <c r="AK114" s="219"/>
      <c r="AL114" s="219"/>
    </row>
    <row r="115" spans="1:38">
      <c r="A115" s="195" t="str">
        <f>'Agg prdcrv'!$A$14</f>
        <v>Petchem. Feedstocks</v>
      </c>
      <c r="B115" s="195" t="str">
        <f>VLOOKUP($A115,Types!$A$2:$C$13,2,FALSE)</f>
        <v>PFS</v>
      </c>
      <c r="C115" s="195">
        <v>3</v>
      </c>
      <c r="D115" s="195">
        <v>2</v>
      </c>
      <c r="E115" s="195" t="str">
        <f t="shared" si="158"/>
        <v>IMPPFSP23</v>
      </c>
      <c r="F115" s="195" t="str">
        <f>CONCATENATE("Imported ",VLOOKUP($A115,Types!$A$2:$C$13,3,FALSE),", PADD ",D115,", Step ",RIGHT(C115,1))</f>
        <v>Imported Petrochemical Feedstocks, PADD 2, Step 3</v>
      </c>
      <c r="G115" s="195" t="str">
        <f>CONCATENATE(VLOOKUP($A115,Types!$A$2:$C$13,2,FALSE),"P",D115)</f>
        <v>PFSP2</v>
      </c>
      <c r="H115" s="239">
        <f>SUMIFS('Agg prdcrv NYC'!$M$6:$M$100,'Agg prdcrv NYC'!$A$6:$A$100,'Imp Refined NYC'!$A115,'Agg prdcrv NYC'!$B$6:$B$100,H$11)*K4</f>
        <v>40.832000000000001</v>
      </c>
      <c r="I115" s="239">
        <f>SUMIFS('Agg prdcrv NYC'!$M$6:$M$100,'Agg prdcrv NYC'!$A$6:$A$100,'Imp Refined NYC'!$A115,'Agg prdcrv NYC'!$B$6:$B$100,I$11)*K4</f>
        <v>30.448</v>
      </c>
      <c r="J115" s="239">
        <f t="array" ref="J115">SUMIFS('Agg prdcrv NYC'!$M$6:$M$100,'Agg prdcrv NYC'!$A$6:$A$100,'Imp Refined NYC'!$A115,'Agg prdcrv NYC'!$B$6:$B$100,J$11)</f>
        <v>21.68</v>
      </c>
      <c r="K115" s="239">
        <f t="array" ref="K115">SUMIFS('Agg prdcrv NYC'!$M$6:$M$100,'Agg prdcrv NYC'!$A$6:$A$100,'Imp Refined NYC'!$A115,'Agg prdcrv NYC'!$B$6:$B$100,K$11)</f>
        <v>24.85</v>
      </c>
      <c r="L115" s="240">
        <f>H115*Conv!$J$20/10^6/VLOOKUP($B115,Types!$B$2:$D$13,3,FALSE)/Conv!$I$5</f>
        <v>10.435180181591191</v>
      </c>
      <c r="M115" s="240">
        <f>I115*Conv!$J$20/10^6/VLOOKUP($B115,Types!$B$2:$D$13,3,FALSE)/Conv!$I$5</f>
        <v>7.7814059112727412</v>
      </c>
      <c r="N115" s="240">
        <f>M115*'Imported Price Trends'!$K$19</f>
        <v>8.3786043646822765</v>
      </c>
      <c r="O115" s="240">
        <f>N115*'Imported Price Trends'!$L$19</f>
        <v>8.298939995892697</v>
      </c>
      <c r="P115" s="240">
        <f>O115*'Imported Price Trends'!$M$19</f>
        <v>8.9551391434372132</v>
      </c>
      <c r="Q115" s="240">
        <f>P115*'Imported Price Trends'!$N$19</f>
        <v>9.4695436076796806</v>
      </c>
      <c r="R115" s="240">
        <f>Q115*'Imported Price Trends'!$O$19</f>
        <v>10.173926538157305</v>
      </c>
      <c r="S115" s="240">
        <f>R115*'Imported Price Trends'!$O$19</f>
        <v>10.930704318197256</v>
      </c>
      <c r="T115" s="240">
        <f>S115*'Imported Price Trends'!$O$19</f>
        <v>11.743774288495729</v>
      </c>
      <c r="U115" s="240">
        <f>T115*'Imported Price Trends'!$O$19</f>
        <v>12.617323689703388</v>
      </c>
      <c r="V115" s="240">
        <f>U115*'Imported Price Trends'!$O$19</f>
        <v>13.555851226355783</v>
      </c>
      <c r="W115" s="219"/>
      <c r="X115" s="195">
        <f t="array" ref="X115">SUMIFS('Agg prdcrv NYC'!$E$6:$E$100,'Agg prdcrv NYC'!$A$6:$A$100,'Imp Refined NYC'!$A115,'Agg prdcrv NYC'!$B$6:$B$100,X$11)</f>
        <v>999999</v>
      </c>
      <c r="Y115" s="195">
        <f t="array" ref="Y115">SUMIFS('Agg prdcrv NYC'!$E$6:$E$100,'Agg prdcrv NYC'!$A$6:$A$100,'Imp Refined NYC'!$A115,'Agg prdcrv NYC'!$B$6:$B$100,Y$11)</f>
        <v>999999</v>
      </c>
      <c r="Z115" s="195">
        <f t="array" ref="Z115">SUMIFS('Agg prdcrv NYC'!$E$6:$E$100,'Agg prdcrv NYC'!$A$6:$A$100,'Imp Refined NYC'!$A115,'Agg prdcrv NYC'!$B$6:$B$100,Z$11)</f>
        <v>999999</v>
      </c>
      <c r="AA115" s="195">
        <f t="array" ref="AA115">SUMIFS('Agg prdcrv NYC'!$E$6:$E$100,'Agg prdcrv NYC'!$A$6:$A$100,'Imp Refined NYC'!$A115,'Agg prdcrv NYC'!$B$6:$B$100,AA$11)</f>
        <v>999999</v>
      </c>
      <c r="AB115" s="219">
        <f>X115*VLOOKUP($B115,Types!$B$2:$D$13,3,FALSE)*Conv!$I$5*1000*365</f>
        <v>2191575.9574618507</v>
      </c>
      <c r="AC115" s="219">
        <f>Y115*VLOOKUP($B115,Types!$B$2:$D$13,3,FALSE)*Conv!$I$5*1000*365</f>
        <v>2191575.9574618507</v>
      </c>
      <c r="AD115" s="219">
        <f>Z115*VLOOKUP($B115,Types!$B$2:$D$13,3,FALSE)*Conv!$I$5*1000*365</f>
        <v>2191575.9574618507</v>
      </c>
      <c r="AE115" s="219">
        <f>AA115*VLOOKUP($B115,Types!$B$2:$D$13,3,FALSE)*Conv!$I$5*1000*365</f>
        <v>2191575.9574618507</v>
      </c>
      <c r="AF115" s="219">
        <f>AB115-AB117</f>
        <v>219157.59574618516</v>
      </c>
      <c r="AG115" s="219">
        <f t="shared" ref="AG115:AI115" si="271">AC115-AC117</f>
        <v>219157.59574618516</v>
      </c>
      <c r="AH115" s="219">
        <f t="shared" si="271"/>
        <v>219157.59574618516</v>
      </c>
      <c r="AI115" s="219">
        <f t="shared" si="271"/>
        <v>219157.59574618516</v>
      </c>
      <c r="AJ115" s="219"/>
      <c r="AK115" s="219"/>
      <c r="AL115" s="219"/>
    </row>
    <row r="116" spans="1:38">
      <c r="A116" s="195" t="str">
        <f>A115</f>
        <v>Petchem. Feedstocks</v>
      </c>
      <c r="B116" s="195" t="str">
        <f>VLOOKUP($A116,Types!$A$2:$C$13,2,FALSE)</f>
        <v>PFS</v>
      </c>
      <c r="C116" s="195">
        <v>1</v>
      </c>
      <c r="D116" s="195">
        <v>2</v>
      </c>
      <c r="E116" s="195" t="str">
        <f t="shared" si="158"/>
        <v>IMPPFSP21</v>
      </c>
      <c r="F116" s="195" t="str">
        <f>CONCATENATE("Imported ",VLOOKUP($A116,Types!$A$2:$C$13,3,FALSE),", PADD ",D116,", Step ",RIGHT(C116,1))</f>
        <v>Imported Petrochemical Feedstocks, PADD 2, Step 1</v>
      </c>
      <c r="G116" s="195" t="str">
        <f>CONCATENATE(VLOOKUP($A116,Types!$A$2:$C$13,2,FALSE),"P",D116)</f>
        <v>PFSP2</v>
      </c>
      <c r="H116" s="239">
        <f>H115*$C$5</f>
        <v>38.790399999999998</v>
      </c>
      <c r="I116" s="239">
        <f t="shared" ref="I116:K116" si="272">I115*$C$5</f>
        <v>28.925599999999999</v>
      </c>
      <c r="J116" s="239">
        <f t="shared" si="272"/>
        <v>20.596</v>
      </c>
      <c r="K116" s="239">
        <f t="shared" si="272"/>
        <v>23.607500000000002</v>
      </c>
      <c r="L116" s="240">
        <f>H116*Conv!$J$20/10^6/VLOOKUP($B116,Types!$B$2:$D$13,3,FALSE)/Conv!$I$5</f>
        <v>9.9134211725116312</v>
      </c>
      <c r="M116" s="240">
        <f>I116*Conv!$J$20/10^6/VLOOKUP($B116,Types!$B$2:$D$13,3,FALSE)/Conv!$I$5</f>
        <v>7.3923356157091042</v>
      </c>
      <c r="N116" s="240">
        <f>M116*'Imported Price Trends'!$K$19</f>
        <v>7.9596741464481635</v>
      </c>
      <c r="O116" s="240">
        <f>N116*'Imported Price Trends'!$L$19</f>
        <v>7.8839929960980628</v>
      </c>
      <c r="P116" s="240">
        <f>O116*'Imported Price Trends'!$M$19</f>
        <v>8.5073821862653531</v>
      </c>
      <c r="Q116" s="240">
        <f>P116*'Imported Price Trends'!$N$19</f>
        <v>8.9960664272956965</v>
      </c>
      <c r="R116" s="240">
        <f>Q116*'Imported Price Trends'!$O$19</f>
        <v>9.6652302112494404</v>
      </c>
      <c r="S116" s="240">
        <f>R116*'Imported Price Trends'!$O$19</f>
        <v>10.384169102287393</v>
      </c>
      <c r="T116" s="240">
        <f>S116*'Imported Price Trends'!$O$19</f>
        <v>11.156585574070942</v>
      </c>
      <c r="U116" s="240">
        <f>T116*'Imported Price Trends'!$O$19</f>
        <v>11.986457505218219</v>
      </c>
      <c r="V116" s="240">
        <f>U116*'Imported Price Trends'!$O$19</f>
        <v>12.878058665037994</v>
      </c>
      <c r="W116" s="219"/>
      <c r="X116" s="195">
        <f>X115*$E$5</f>
        <v>799999.20000000007</v>
      </c>
      <c r="Y116" s="195">
        <f t="shared" ref="Y116:AA116" si="273">Y115*$E$5</f>
        <v>799999.20000000007</v>
      </c>
      <c r="Z116" s="195">
        <f t="shared" si="273"/>
        <v>799999.20000000007</v>
      </c>
      <c r="AA116" s="195">
        <f t="shared" si="273"/>
        <v>799999.20000000007</v>
      </c>
      <c r="AB116" s="219">
        <f>X116*VLOOKUP($B116,Types!$B$2:$D$13,3,FALSE)*Conv!$I$5*1000*365</f>
        <v>1753260.7659694806</v>
      </c>
      <c r="AC116" s="219">
        <f>Y116*VLOOKUP($B116,Types!$B$2:$D$13,3,FALSE)*Conv!$I$5*1000*365</f>
        <v>1753260.7659694806</v>
      </c>
      <c r="AD116" s="219">
        <f>Z116*VLOOKUP($B116,Types!$B$2:$D$13,3,FALSE)*Conv!$I$5*1000*365</f>
        <v>1753260.7659694806</v>
      </c>
      <c r="AE116" s="219">
        <f>AA116*VLOOKUP($B116,Types!$B$2:$D$13,3,FALSE)*Conv!$I$5*1000*365</f>
        <v>1753260.7659694806</v>
      </c>
      <c r="AF116" s="219">
        <f>AB116</f>
        <v>1753260.7659694806</v>
      </c>
      <c r="AG116" s="219">
        <f t="shared" ref="AG116:AI116" si="274">AC116</f>
        <v>1753260.7659694806</v>
      </c>
      <c r="AH116" s="219">
        <f t="shared" si="274"/>
        <v>1753260.7659694806</v>
      </c>
      <c r="AI116" s="219">
        <f t="shared" si="274"/>
        <v>1753260.7659694806</v>
      </c>
      <c r="AJ116" s="219"/>
      <c r="AK116" s="219"/>
      <c r="AL116" s="219"/>
    </row>
    <row r="117" spans="1:38">
      <c r="A117" s="195" t="str">
        <f t="shared" ref="A117:A118" si="275">A116</f>
        <v>Petchem. Feedstocks</v>
      </c>
      <c r="B117" s="195" t="str">
        <f>VLOOKUP($A117,Types!$A$2:$C$13,2,FALSE)</f>
        <v>PFS</v>
      </c>
      <c r="C117" s="195">
        <v>2</v>
      </c>
      <c r="D117" s="195">
        <v>2</v>
      </c>
      <c r="E117" s="195" t="str">
        <f t="shared" si="158"/>
        <v>IMPPFSP22</v>
      </c>
      <c r="F117" s="195" t="str">
        <f>CONCATENATE("Imported ",VLOOKUP($A117,Types!$A$2:$C$13,3,FALSE),", PADD ",D117,", Step ",RIGHT(C117,1))</f>
        <v>Imported Petrochemical Feedstocks, PADD 2, Step 2</v>
      </c>
      <c r="G117" s="195" t="str">
        <f>CONCATENATE(VLOOKUP($A117,Types!$A$2:$C$13,2,FALSE),"P",D117)</f>
        <v>PFSP2</v>
      </c>
      <c r="H117" s="239">
        <f>H115*$C$6</f>
        <v>40.015360000000001</v>
      </c>
      <c r="I117" s="239">
        <f t="shared" ref="I117:K117" si="276">I115*$C$6</f>
        <v>29.839040000000001</v>
      </c>
      <c r="J117" s="239">
        <f t="shared" si="276"/>
        <v>21.246399999999998</v>
      </c>
      <c r="K117" s="239">
        <f t="shared" si="276"/>
        <v>24.353000000000002</v>
      </c>
      <c r="L117" s="240">
        <f>H117*Conv!$J$20/10^6/VLOOKUP($B117,Types!$B$2:$D$13,3,FALSE)/Conv!$I$5</f>
        <v>10.226476577959369</v>
      </c>
      <c r="M117" s="240">
        <f>I117*Conv!$J$20/10^6/VLOOKUP($B117,Types!$B$2:$D$13,3,FALSE)/Conv!$I$5</f>
        <v>7.6257777930472876</v>
      </c>
      <c r="N117" s="240">
        <f>M117*'Imported Price Trends'!$K$19</f>
        <v>8.2110322773886324</v>
      </c>
      <c r="O117" s="240">
        <f>N117*'Imported Price Trends'!$L$19</f>
        <v>8.1329611959748451</v>
      </c>
      <c r="P117" s="240">
        <f>O117*'Imported Price Trends'!$M$19</f>
        <v>8.7760363605684706</v>
      </c>
      <c r="Q117" s="240">
        <f>P117*'Imported Price Trends'!$N$19</f>
        <v>9.2801527355260873</v>
      </c>
      <c r="R117" s="240">
        <f>Q117*'Imported Price Trends'!$O$19</f>
        <v>9.9704480073941593</v>
      </c>
      <c r="S117" s="240">
        <f>R117*'Imported Price Trends'!$O$19</f>
        <v>10.71209023183331</v>
      </c>
      <c r="T117" s="240">
        <f>S117*'Imported Price Trends'!$O$19</f>
        <v>11.508898802725813</v>
      </c>
      <c r="U117" s="240">
        <f>T117*'Imported Price Trends'!$O$19</f>
        <v>12.36497721590932</v>
      </c>
      <c r="V117" s="240">
        <f>U117*'Imported Price Trends'!$O$19</f>
        <v>13.284734201828666</v>
      </c>
      <c r="W117" s="219"/>
      <c r="X117" s="195">
        <f>X115*$E$6</f>
        <v>899999.1</v>
      </c>
      <c r="Y117" s="195">
        <f t="shared" ref="Y117:AA117" si="277">Y115*$E$6</f>
        <v>899999.1</v>
      </c>
      <c r="Z117" s="195">
        <f t="shared" si="277"/>
        <v>899999.1</v>
      </c>
      <c r="AA117" s="195">
        <f t="shared" si="277"/>
        <v>899999.1</v>
      </c>
      <c r="AB117" s="219">
        <f>X117*VLOOKUP($B117,Types!$B$2:$D$13,3,FALSE)*Conv!$I$5*1000*365</f>
        <v>1972418.3617156656</v>
      </c>
      <c r="AC117" s="219">
        <f>Y117*VLOOKUP($B117,Types!$B$2:$D$13,3,FALSE)*Conv!$I$5*1000*365</f>
        <v>1972418.3617156656</v>
      </c>
      <c r="AD117" s="219">
        <f>Z117*VLOOKUP($B117,Types!$B$2:$D$13,3,FALSE)*Conv!$I$5*1000*365</f>
        <v>1972418.3617156656</v>
      </c>
      <c r="AE117" s="219">
        <f>AA117*VLOOKUP($B117,Types!$B$2:$D$13,3,FALSE)*Conv!$I$5*1000*365</f>
        <v>1972418.3617156656</v>
      </c>
      <c r="AF117" s="219">
        <f>AB117-AF116</f>
        <v>219157.59574618493</v>
      </c>
      <c r="AG117" s="219">
        <f t="shared" ref="AG117:AI117" si="278">AC117-AG116</f>
        <v>219157.59574618493</v>
      </c>
      <c r="AH117" s="219">
        <f t="shared" si="278"/>
        <v>219157.59574618493</v>
      </c>
      <c r="AI117" s="219">
        <f t="shared" si="278"/>
        <v>219157.59574618493</v>
      </c>
      <c r="AJ117" s="219"/>
      <c r="AK117" s="219"/>
      <c r="AL117" s="219"/>
    </row>
    <row r="118" spans="1:38">
      <c r="A118" s="195" t="str">
        <f t="shared" si="275"/>
        <v>Petchem. Feedstocks</v>
      </c>
      <c r="B118" s="195" t="str">
        <f>VLOOKUP($A118,Types!$A$2:$C$13,2,FALSE)</f>
        <v>PFS</v>
      </c>
      <c r="C118" s="195">
        <v>4</v>
      </c>
      <c r="D118" s="195">
        <v>2</v>
      </c>
      <c r="E118" s="195" t="str">
        <f t="shared" si="158"/>
        <v>IMPPFSP24</v>
      </c>
      <c r="F118" s="195" t="str">
        <f>CONCATENATE("Imported ",VLOOKUP($A118,Types!$A$2:$C$13,3,FALSE),", PADD ",D118,", Step ",RIGHT(C118,1))</f>
        <v>Imported Petrochemical Feedstocks, PADD 2, Step 4</v>
      </c>
      <c r="G118" s="195" t="str">
        <f>CONCATENATE(VLOOKUP($A118,Types!$A$2:$C$13,2,FALSE),"P",D118)</f>
        <v>PFSP2</v>
      </c>
      <c r="H118" s="239">
        <f>H115*$C$8</f>
        <v>44.506880000000002</v>
      </c>
      <c r="I118" s="239">
        <f t="shared" ref="I118:K118" si="279">I115*$C$8</f>
        <v>33.188320000000004</v>
      </c>
      <c r="J118" s="239">
        <f t="shared" si="279"/>
        <v>23.6312</v>
      </c>
      <c r="K118" s="239">
        <f t="shared" si="279"/>
        <v>27.086500000000004</v>
      </c>
      <c r="L118" s="240">
        <f>H118*Conv!$J$20/10^6/VLOOKUP($B118,Types!$B$2:$D$13,3,FALSE)/Conv!$I$5</f>
        <v>11.374346397934399</v>
      </c>
      <c r="M118" s="240">
        <f>I118*Conv!$J$20/10^6/VLOOKUP($B118,Types!$B$2:$D$13,3,FALSE)/Conv!$I$5</f>
        <v>8.4817324432872905</v>
      </c>
      <c r="N118" s="240">
        <f>M118*'Imported Price Trends'!$K$19</f>
        <v>9.132678757503685</v>
      </c>
      <c r="O118" s="240">
        <f>N118*'Imported Price Trends'!$L$19</f>
        <v>9.0458445955230431</v>
      </c>
      <c r="P118" s="240">
        <f>O118*'Imported Price Trends'!$M$19</f>
        <v>9.7611016663465655</v>
      </c>
      <c r="Q118" s="240">
        <f>P118*'Imported Price Trends'!$N$19</f>
        <v>10.321802532370855</v>
      </c>
      <c r="R118" s="240">
        <f>Q118*'Imported Price Trends'!$O$19</f>
        <v>11.089579926591467</v>
      </c>
      <c r="S118" s="240">
        <f>R118*'Imported Price Trends'!$O$19</f>
        <v>11.914467706835012</v>
      </c>
      <c r="T118" s="240">
        <f>S118*'Imported Price Trends'!$O$19</f>
        <v>12.800713974460349</v>
      </c>
      <c r="U118" s="240">
        <f>T118*'Imported Price Trends'!$O$19</f>
        <v>13.752882821776698</v>
      </c>
      <c r="V118" s="240">
        <f>U118*'Imported Price Trends'!$O$19</f>
        <v>14.775877836727808</v>
      </c>
      <c r="W118" s="219"/>
      <c r="X118" s="195">
        <f>X115*$E$8</f>
        <v>1199998.8</v>
      </c>
      <c r="Y118" s="195">
        <f t="shared" ref="Y118:AA118" si="280">Y115*$E$8</f>
        <v>1199998.8</v>
      </c>
      <c r="Z118" s="195">
        <f t="shared" si="280"/>
        <v>1199998.8</v>
      </c>
      <c r="AA118" s="195">
        <f t="shared" si="280"/>
        <v>1199998.8</v>
      </c>
      <c r="AB118" s="219">
        <f>X118*VLOOKUP($B118,Types!$B$2:$D$13,3,FALSE)*Conv!$I$5*1000*365</f>
        <v>2629891.1489542215</v>
      </c>
      <c r="AC118" s="219">
        <f>Y118*VLOOKUP($B118,Types!$B$2:$D$13,3,FALSE)*Conv!$I$5*1000*365</f>
        <v>2629891.1489542215</v>
      </c>
      <c r="AD118" s="219">
        <f>Z118*VLOOKUP($B118,Types!$B$2:$D$13,3,FALSE)*Conv!$I$5*1000*365</f>
        <v>2629891.1489542215</v>
      </c>
      <c r="AE118" s="219">
        <f>AA118*VLOOKUP($B118,Types!$B$2:$D$13,3,FALSE)*Conv!$I$5*1000*365</f>
        <v>2629891.1489542215</v>
      </c>
      <c r="AF118" s="219">
        <f>AB118-AB115</f>
        <v>438315.1914923708</v>
      </c>
      <c r="AG118" s="219">
        <f t="shared" ref="AG118:AI118" si="281">AC118-AC115</f>
        <v>438315.1914923708</v>
      </c>
      <c r="AH118" s="219">
        <f t="shared" si="281"/>
        <v>438315.1914923708</v>
      </c>
      <c r="AI118" s="219">
        <f t="shared" si="281"/>
        <v>438315.1914923708</v>
      </c>
      <c r="AJ118" s="219"/>
      <c r="AK118" s="219"/>
      <c r="AL118" s="219"/>
    </row>
    <row r="119" spans="1:38">
      <c r="A119" s="195" t="str">
        <f>A118</f>
        <v>Petchem. Feedstocks</v>
      </c>
      <c r="B119" s="195" t="str">
        <f>VLOOKUP($A119,Types!$A$2:$C$13,2,FALSE)</f>
        <v>PFS</v>
      </c>
      <c r="C119" s="195">
        <v>5</v>
      </c>
      <c r="D119" s="195">
        <v>2</v>
      </c>
      <c r="E119" s="195" t="str">
        <f>CONCATENATE("IMP",G119,RIGHT(C119,1))</f>
        <v>IMPPFSP25</v>
      </c>
      <c r="F119" s="195" t="str">
        <f>CONCATENATE("Imported ",VLOOKUP($A119,Types!$A$2:$C$13,3,FALSE),", PADD ",D119,", Step ",RIGHT(C119,1))</f>
        <v>Imported Petrochemical Feedstocks, PADD 2, Step 5</v>
      </c>
      <c r="G119" s="195" t="str">
        <f>CONCATENATE(VLOOKUP($A119,Types!$A$2:$C$13,2,FALSE),"P",D119)</f>
        <v>PFSP2</v>
      </c>
      <c r="H119" s="239">
        <f>H115*$C$9</f>
        <v>53.081600000000002</v>
      </c>
      <c r="I119" s="239">
        <f t="shared" ref="I119:K119" si="282">I115*$C$9</f>
        <v>39.5824</v>
      </c>
      <c r="J119" s="239">
        <f t="shared" si="282"/>
        <v>28.184000000000001</v>
      </c>
      <c r="K119" s="239">
        <f t="shared" si="282"/>
        <v>32.305</v>
      </c>
      <c r="L119" s="240">
        <f>H119*Conv!$J$20/10^6/VLOOKUP($B119,Types!$B$2:$D$13,3,FALSE)/Conv!$I$5</f>
        <v>13.565734236068549</v>
      </c>
      <c r="M119" s="240">
        <f>I119*Conv!$J$20/10^6/VLOOKUP($B119,Types!$B$2:$D$13,3,FALSE)/Conv!$I$5</f>
        <v>10.115827684654564</v>
      </c>
      <c r="N119" s="240">
        <f>M119*'Imported Price Trends'!$K$19</f>
        <v>10.89218567408696</v>
      </c>
      <c r="O119" s="240">
        <f>N119*'Imported Price Trends'!$L$19</f>
        <v>10.788621994660508</v>
      </c>
      <c r="P119" s="240">
        <f>O119*'Imported Price Trends'!$M$19</f>
        <v>11.641680886468379</v>
      </c>
      <c r="Q119" s="240">
        <f>P119*'Imported Price Trends'!$N$19</f>
        <v>12.310406689983585</v>
      </c>
      <c r="R119" s="240">
        <f>Q119*'Imported Price Trends'!$O$19</f>
        <v>13.226104499604498</v>
      </c>
      <c r="S119" s="240">
        <f>R119*'Imported Price Trends'!$O$19</f>
        <v>14.209915613656433</v>
      </c>
      <c r="T119" s="240">
        <f>S119*'Imported Price Trends'!$O$19</f>
        <v>15.266906575044448</v>
      </c>
      <c r="U119" s="240">
        <f>T119*'Imported Price Trends'!$O$19</f>
        <v>16.402520796614407</v>
      </c>
      <c r="V119" s="240">
        <f>U119*'Imported Price Trends'!$O$19</f>
        <v>17.622606594262521</v>
      </c>
      <c r="W119" s="219"/>
      <c r="X119" s="195">
        <f>X115*$E$9</f>
        <v>1999998</v>
      </c>
      <c r="Y119" s="195">
        <f t="shared" ref="Y119:AA119" si="283">Y115*$E$9</f>
        <v>1999998</v>
      </c>
      <c r="Z119" s="195">
        <f t="shared" si="283"/>
        <v>1999998</v>
      </c>
      <c r="AA119" s="195">
        <f t="shared" si="283"/>
        <v>1999998</v>
      </c>
      <c r="AB119" s="219">
        <f>X119*VLOOKUP($B119,Types!$B$2:$D$13,3,FALSE)*Conv!$I$5*1000*365</f>
        <v>4383151.9149237014</v>
      </c>
      <c r="AC119" s="219">
        <f>Y119*VLOOKUP($B119,Types!$B$2:$D$13,3,FALSE)*Conv!$I$5*1000*365</f>
        <v>4383151.9149237014</v>
      </c>
      <c r="AD119" s="219">
        <f>Z119*VLOOKUP($B119,Types!$B$2:$D$13,3,FALSE)*Conv!$I$5*1000*365</f>
        <v>4383151.9149237014</v>
      </c>
      <c r="AE119" s="219">
        <f>AA119*VLOOKUP($B119,Types!$B$2:$D$13,3,FALSE)*Conv!$I$5*1000*365</f>
        <v>4383151.9149237014</v>
      </c>
      <c r="AF119" s="219">
        <f>AB119-AB118</f>
        <v>1753260.7659694799</v>
      </c>
      <c r="AG119" s="219">
        <f t="shared" ref="AG119:AI119" si="284">AC119-AC118</f>
        <v>1753260.7659694799</v>
      </c>
      <c r="AH119" s="219">
        <f t="shared" si="284"/>
        <v>1753260.7659694799</v>
      </c>
      <c r="AI119" s="219">
        <f t="shared" si="284"/>
        <v>1753260.7659694799</v>
      </c>
      <c r="AJ119" s="219"/>
      <c r="AK119" s="219"/>
      <c r="AL119" s="219"/>
    </row>
    <row r="120" spans="1:38">
      <c r="A120" s="195" t="str">
        <f>'Agg prdcrv'!$A$15</f>
        <v>Other Refined Prod.</v>
      </c>
      <c r="B120" s="195" t="str">
        <f>VLOOKUP($A120,Types!$A$2:$C$13,2,FALSE)</f>
        <v>KER</v>
      </c>
      <c r="C120" s="195">
        <v>3</v>
      </c>
      <c r="D120" s="195">
        <v>2</v>
      </c>
      <c r="E120" s="195" t="str">
        <f>CONCATENATE("IMP",G120,RIGHT(C120,1))</f>
        <v>IMPKERP23</v>
      </c>
      <c r="F120" s="195" t="str">
        <f>CONCATENATE("Imported ",VLOOKUP($A120,Types!$A$2:$C$13,3,FALSE),", PADD ",D120,", Step ",RIGHT(C120,1))</f>
        <v>Imported Kerosene and Other Refined Products, PADD 2, Step 3</v>
      </c>
      <c r="G120" s="195" t="str">
        <f>CONCATENATE(VLOOKUP($A120,Types!$A$2:$C$13,2,FALSE),"P",D120)</f>
        <v>KERP2</v>
      </c>
      <c r="H120" s="239">
        <f>SUMIFS('Agg prdcrv NYC'!$M$6:$M$100,'Agg prdcrv NYC'!$A$6:$A$100,'Imp Refined NYC'!$A120,'Agg prdcrv NYC'!$B$6:$B$100,H$11)*K4</f>
        <v>65.923000000000002</v>
      </c>
      <c r="I120" s="239">
        <f>SUMIFS('Agg prdcrv NYC'!$M$6:$M$100,'Agg prdcrv NYC'!$A$6:$A$100,'Imp Refined NYC'!$A120,'Agg prdcrv NYC'!$B$6:$B$100,I$11)*K4</f>
        <v>40.062000000000005</v>
      </c>
      <c r="J120" s="239">
        <f t="array" ref="J120">SUMIFS('Agg prdcrv NYC'!$M$6:$M$100,'Agg prdcrv NYC'!$A$6:$A$100,'Imp Refined NYC'!$A120,'Agg prdcrv NYC'!$B$6:$B$100,J$11)</f>
        <v>32.450000000000003</v>
      </c>
      <c r="K120" s="239">
        <f t="array" ref="K120">SUMIFS('Agg prdcrv NYC'!$M$6:$M$100,'Agg prdcrv NYC'!$A$6:$A$100,'Imp Refined NYC'!$A120,'Agg prdcrv NYC'!$B$6:$B$100,K$11)</f>
        <v>41.16</v>
      </c>
      <c r="L120" s="240">
        <f>H120*Conv!$J$20/10^6/VLOOKUP($B120,Types!$B$2:$D$13,3,FALSE)/Conv!$I$5</f>
        <v>16.909929197061381</v>
      </c>
      <c r="M120" s="240">
        <f>I120*Conv!$J$20/10^6/VLOOKUP($B120,Types!$B$2:$D$13,3,FALSE)/Conv!$I$5</f>
        <v>10.276316058017279</v>
      </c>
      <c r="N120" s="240">
        <f>M120*'Imported Price Trends'!$K$19</f>
        <v>11.064991025828041</v>
      </c>
      <c r="O120" s="240">
        <f>N120*'Imported Price Trends'!$L$19</f>
        <v>10.959784300773615</v>
      </c>
      <c r="P120" s="240">
        <f>O120*'Imported Price Trends'!$M$19</f>
        <v>11.82637703659274</v>
      </c>
      <c r="Q120" s="240">
        <f>P120*'Imported Price Trends'!$N$19</f>
        <v>12.505712225694323</v>
      </c>
      <c r="R120" s="240">
        <f>Q120*'Imported Price Trends'!$O$19</f>
        <v>13.43593765050789</v>
      </c>
      <c r="S120" s="240">
        <f>R120*'Imported Price Trends'!$O$19</f>
        <v>14.435357002492729</v>
      </c>
      <c r="T120" s="240">
        <f>S120*'Imported Price Trends'!$O$19</f>
        <v>15.509117205641317</v>
      </c>
      <c r="U120" s="240">
        <f>T120*'Imported Price Trends'!$O$19</f>
        <v>16.662748032957122</v>
      </c>
      <c r="V120" s="240">
        <f>U120*'Imported Price Trends'!$O$19</f>
        <v>17.902190584311562</v>
      </c>
      <c r="W120" s="219"/>
      <c r="X120" s="195">
        <f t="array" ref="X120">SUMIFS('Agg prdcrv NYC'!$E$6:$E$100,'Agg prdcrv NYC'!$A$6:$A$100,'Imp Refined NYC'!$A120,'Agg prdcrv NYC'!$B$6:$B$100,X$11)</f>
        <v>999999</v>
      </c>
      <c r="Y120" s="195">
        <f t="array" ref="Y120">SUMIFS('Agg prdcrv NYC'!$E$6:$E$100,'Agg prdcrv NYC'!$A$6:$A$100,'Imp Refined NYC'!$A120,'Agg prdcrv NYC'!$B$6:$B$100,Y$11)</f>
        <v>999999</v>
      </c>
      <c r="Z120" s="195">
        <f t="array" ref="Z120">SUMIFS('Agg prdcrv NYC'!$E$6:$E$100,'Agg prdcrv NYC'!$A$6:$A$100,'Imp Refined NYC'!$A120,'Agg prdcrv NYC'!$B$6:$B$100,Z$11)</f>
        <v>999999</v>
      </c>
      <c r="AA120" s="195">
        <f t="array" ref="AA120">SUMIFS('Agg prdcrv NYC'!$E$6:$E$100,'Agg prdcrv NYC'!$A$6:$A$100,'Imp Refined NYC'!$A120,'Agg prdcrv NYC'!$B$6:$B$100,AA$11)</f>
        <v>999999</v>
      </c>
      <c r="AB120" s="219">
        <f>X120*VLOOKUP($B120,Types!$B$2:$D$13,3,FALSE)*Conv!$I$5*1000*365</f>
        <v>2183488.9613088551</v>
      </c>
      <c r="AC120" s="219">
        <f>Y120*VLOOKUP($B120,Types!$B$2:$D$13,3,FALSE)*Conv!$I$5*1000*365</f>
        <v>2183488.9613088551</v>
      </c>
      <c r="AD120" s="219">
        <f>Z120*VLOOKUP($B120,Types!$B$2:$D$13,3,FALSE)*Conv!$I$5*1000*365</f>
        <v>2183488.9613088551</v>
      </c>
      <c r="AE120" s="219">
        <f>AA120*VLOOKUP($B120,Types!$B$2:$D$13,3,FALSE)*Conv!$I$5*1000*365</f>
        <v>2183488.9613088551</v>
      </c>
      <c r="AF120" s="219">
        <f>AB120-AB122</f>
        <v>218348.8961308857</v>
      </c>
      <c r="AG120" s="219">
        <f t="shared" ref="AG120:AI120" si="285">AC120-AC122</f>
        <v>218348.8961308857</v>
      </c>
      <c r="AH120" s="219">
        <f t="shared" si="285"/>
        <v>218348.8961308857</v>
      </c>
      <c r="AI120" s="219">
        <f t="shared" si="285"/>
        <v>218348.8961308857</v>
      </c>
      <c r="AJ120" s="219"/>
      <c r="AK120" s="219"/>
      <c r="AL120" s="219"/>
    </row>
    <row r="121" spans="1:38">
      <c r="A121" s="195" t="str">
        <f>A120</f>
        <v>Other Refined Prod.</v>
      </c>
      <c r="B121" s="195" t="str">
        <f>VLOOKUP($A121,Types!$A$2:$C$13,2,FALSE)</f>
        <v>KER</v>
      </c>
      <c r="C121" s="195">
        <v>1</v>
      </c>
      <c r="D121" s="195">
        <v>2</v>
      </c>
      <c r="E121" s="195" t="str">
        <f t="shared" ref="E121:E134" si="286">CONCATENATE("IMP",G121,RIGHT(C121,1))</f>
        <v>IMPKERP21</v>
      </c>
      <c r="F121" s="195" t="str">
        <f>CONCATENATE("Imported ",VLOOKUP($A121,Types!$A$2:$C$13,3,FALSE),", PADD ",D121,", Step ",RIGHT(C121,1))</f>
        <v>Imported Kerosene and Other Refined Products, PADD 2, Step 1</v>
      </c>
      <c r="G121" s="195" t="str">
        <f>CONCATENATE(VLOOKUP($A121,Types!$A$2:$C$13,2,FALSE),"P",D121)</f>
        <v>KERP2</v>
      </c>
      <c r="H121" s="239">
        <f>H120*$C$5</f>
        <v>62.626849999999997</v>
      </c>
      <c r="I121" s="239">
        <f t="shared" ref="I121:K121" si="287">I120*$C$5</f>
        <v>38.058900000000001</v>
      </c>
      <c r="J121" s="239">
        <f t="shared" si="287"/>
        <v>30.827500000000001</v>
      </c>
      <c r="K121" s="239">
        <f t="shared" si="287"/>
        <v>39.101999999999997</v>
      </c>
      <c r="L121" s="240">
        <f>H121*Conv!$J$20/10^6/VLOOKUP($B121,Types!$B$2:$D$13,3,FALSE)/Conv!$I$5</f>
        <v>16.064432737208314</v>
      </c>
      <c r="M121" s="240">
        <f>I121*Conv!$J$20/10^6/VLOOKUP($B121,Types!$B$2:$D$13,3,FALSE)/Conv!$I$5</f>
        <v>9.7625002551164162</v>
      </c>
      <c r="N121" s="240">
        <f>M121*'Imported Price Trends'!$K$19</f>
        <v>10.51174147453664</v>
      </c>
      <c r="O121" s="240">
        <f>N121*'Imported Price Trends'!$L$19</f>
        <v>10.411795085734934</v>
      </c>
      <c r="P121" s="240">
        <f>O121*'Imported Price Trends'!$M$19</f>
        <v>11.235058184763101</v>
      </c>
      <c r="Q121" s="240">
        <f>P121*'Imported Price Trends'!$N$19</f>
        <v>11.880426614409604</v>
      </c>
      <c r="R121" s="240">
        <f>Q121*'Imported Price Trends'!$O$19</f>
        <v>12.764140767982493</v>
      </c>
      <c r="S121" s="240">
        <f>R121*'Imported Price Trends'!$O$19</f>
        <v>13.71358915236809</v>
      </c>
      <c r="T121" s="240">
        <f>S121*'Imported Price Trends'!$O$19</f>
        <v>14.733661345359248</v>
      </c>
      <c r="U121" s="240">
        <f>T121*'Imported Price Trends'!$O$19</f>
        <v>15.829610631309261</v>
      </c>
      <c r="V121" s="240">
        <f>U121*'Imported Price Trends'!$O$19</f>
        <v>17.007081055095977</v>
      </c>
      <c r="W121" s="219"/>
      <c r="X121" s="195">
        <f>X120*$E$5</f>
        <v>799999.20000000007</v>
      </c>
      <c r="Y121" s="195">
        <f t="shared" ref="Y121:AA121" si="288">Y120*$E$5</f>
        <v>799999.20000000007</v>
      </c>
      <c r="Z121" s="195">
        <f t="shared" si="288"/>
        <v>799999.20000000007</v>
      </c>
      <c r="AA121" s="195">
        <f t="shared" si="288"/>
        <v>799999.20000000007</v>
      </c>
      <c r="AB121" s="219">
        <f>X121*VLOOKUP($B121,Types!$B$2:$D$13,3,FALSE)*Conv!$I$5*1000*365</f>
        <v>1746791.1690470844</v>
      </c>
      <c r="AC121" s="219">
        <f>Y121*VLOOKUP($B121,Types!$B$2:$D$13,3,FALSE)*Conv!$I$5*1000*365</f>
        <v>1746791.1690470844</v>
      </c>
      <c r="AD121" s="219">
        <f>Z121*VLOOKUP($B121,Types!$B$2:$D$13,3,FALSE)*Conv!$I$5*1000*365</f>
        <v>1746791.1690470844</v>
      </c>
      <c r="AE121" s="219">
        <f>AA121*VLOOKUP($B121,Types!$B$2:$D$13,3,FALSE)*Conv!$I$5*1000*365</f>
        <v>1746791.1690470844</v>
      </c>
      <c r="AF121" s="219">
        <f>AB121</f>
        <v>1746791.1690470844</v>
      </c>
      <c r="AG121" s="219">
        <f t="shared" ref="AG121:AI121" si="289">AC121</f>
        <v>1746791.1690470844</v>
      </c>
      <c r="AH121" s="219">
        <f t="shared" si="289"/>
        <v>1746791.1690470844</v>
      </c>
      <c r="AI121" s="219">
        <f t="shared" si="289"/>
        <v>1746791.1690470844</v>
      </c>
      <c r="AJ121" s="219"/>
      <c r="AK121" s="219"/>
      <c r="AL121" s="219"/>
    </row>
    <row r="122" spans="1:38">
      <c r="A122" s="195" t="str">
        <f t="shared" ref="A122:A124" si="290">A121</f>
        <v>Other Refined Prod.</v>
      </c>
      <c r="B122" s="195" t="str">
        <f>VLOOKUP($A122,Types!$A$2:$C$13,2,FALSE)</f>
        <v>KER</v>
      </c>
      <c r="C122" s="195">
        <v>2</v>
      </c>
      <c r="D122" s="195">
        <v>2</v>
      </c>
      <c r="E122" s="195" t="str">
        <f t="shared" si="286"/>
        <v>IMPKERP22</v>
      </c>
      <c r="F122" s="195" t="str">
        <f>CONCATENATE("Imported ",VLOOKUP($A122,Types!$A$2:$C$13,3,FALSE),", PADD ",D122,", Step ",RIGHT(C122,1))</f>
        <v>Imported Kerosene and Other Refined Products, PADD 2, Step 2</v>
      </c>
      <c r="G122" s="195" t="str">
        <f>CONCATENATE(VLOOKUP($A122,Types!$A$2:$C$13,2,FALSE),"P",D122)</f>
        <v>KERP2</v>
      </c>
      <c r="H122" s="239">
        <f>H120*$C$6</f>
        <v>64.60454</v>
      </c>
      <c r="I122" s="239">
        <f t="shared" ref="I122:K122" si="291">I120*$C$6</f>
        <v>39.260760000000005</v>
      </c>
      <c r="J122" s="239">
        <f t="shared" si="291"/>
        <v>31.801000000000002</v>
      </c>
      <c r="K122" s="239">
        <f t="shared" si="291"/>
        <v>40.336799999999997</v>
      </c>
      <c r="L122" s="240">
        <f>H122*Conv!$J$20/10^6/VLOOKUP($B122,Types!$B$2:$D$13,3,FALSE)/Conv!$I$5</f>
        <v>16.571730613120152</v>
      </c>
      <c r="M122" s="240">
        <f>I122*Conv!$J$20/10^6/VLOOKUP($B122,Types!$B$2:$D$13,3,FALSE)/Conv!$I$5</f>
        <v>10.070789736856934</v>
      </c>
      <c r="N122" s="240">
        <f>M122*'Imported Price Trends'!$K$19</f>
        <v>10.843691205311481</v>
      </c>
      <c r="O122" s="240">
        <f>N122*'Imported Price Trends'!$L$19</f>
        <v>10.740588614758142</v>
      </c>
      <c r="P122" s="240">
        <f>O122*'Imported Price Trends'!$M$19</f>
        <v>11.589849495860884</v>
      </c>
      <c r="Q122" s="240">
        <f>P122*'Imported Price Trends'!$N$19</f>
        <v>12.255597981180435</v>
      </c>
      <c r="R122" s="240">
        <f>Q122*'Imported Price Trends'!$O$19</f>
        <v>13.167218897497731</v>
      </c>
      <c r="S122" s="240">
        <f>R122*'Imported Price Trends'!$O$19</f>
        <v>14.146649862442874</v>
      </c>
      <c r="T122" s="240">
        <f>S122*'Imported Price Trends'!$O$19</f>
        <v>15.198934861528489</v>
      </c>
      <c r="U122" s="240">
        <f>T122*'Imported Price Trends'!$O$19</f>
        <v>16.329493072297975</v>
      </c>
      <c r="V122" s="240">
        <f>U122*'Imported Price Trends'!$O$19</f>
        <v>17.544146772625325</v>
      </c>
      <c r="W122" s="219"/>
      <c r="X122" s="195">
        <f>X120*$E$6</f>
        <v>899999.1</v>
      </c>
      <c r="Y122" s="195">
        <f t="shared" ref="Y122:AA122" si="292">Y120*$E$6</f>
        <v>899999.1</v>
      </c>
      <c r="Z122" s="195">
        <f t="shared" si="292"/>
        <v>899999.1</v>
      </c>
      <c r="AA122" s="195">
        <f t="shared" si="292"/>
        <v>899999.1</v>
      </c>
      <c r="AB122" s="219">
        <f>X122*VLOOKUP($B122,Types!$B$2:$D$13,3,FALSE)*Conv!$I$5*1000*365</f>
        <v>1965140.0651779694</v>
      </c>
      <c r="AC122" s="219">
        <f>Y122*VLOOKUP($B122,Types!$B$2:$D$13,3,FALSE)*Conv!$I$5*1000*365</f>
        <v>1965140.0651779694</v>
      </c>
      <c r="AD122" s="219">
        <f>Z122*VLOOKUP($B122,Types!$B$2:$D$13,3,FALSE)*Conv!$I$5*1000*365</f>
        <v>1965140.0651779694</v>
      </c>
      <c r="AE122" s="219">
        <f>AA122*VLOOKUP($B122,Types!$B$2:$D$13,3,FALSE)*Conv!$I$5*1000*365</f>
        <v>1965140.0651779694</v>
      </c>
      <c r="AF122" s="219">
        <f>AB122-AF121</f>
        <v>218348.896130885</v>
      </c>
      <c r="AG122" s="219">
        <f t="shared" ref="AG122:AI122" si="293">AC122-AG121</f>
        <v>218348.896130885</v>
      </c>
      <c r="AH122" s="219">
        <f t="shared" si="293"/>
        <v>218348.896130885</v>
      </c>
      <c r="AI122" s="219">
        <f t="shared" si="293"/>
        <v>218348.896130885</v>
      </c>
      <c r="AJ122" s="219"/>
      <c r="AK122" s="219"/>
      <c r="AL122" s="219"/>
    </row>
    <row r="123" spans="1:38">
      <c r="A123" s="195" t="str">
        <f t="shared" si="290"/>
        <v>Other Refined Prod.</v>
      </c>
      <c r="B123" s="195" t="str">
        <f>VLOOKUP($A123,Types!$A$2:$C$13,2,FALSE)</f>
        <v>KER</v>
      </c>
      <c r="C123" s="195">
        <v>4</v>
      </c>
      <c r="D123" s="195">
        <v>2</v>
      </c>
      <c r="E123" s="195" t="str">
        <f t="shared" si="286"/>
        <v>IMPKERP24</v>
      </c>
      <c r="F123" s="195" t="str">
        <f>CONCATENATE("Imported ",VLOOKUP($A123,Types!$A$2:$C$13,3,FALSE),", PADD ",D123,", Step ",RIGHT(C123,1))</f>
        <v>Imported Kerosene and Other Refined Products, PADD 2, Step 4</v>
      </c>
      <c r="G123" s="195" t="str">
        <f>CONCATENATE(VLOOKUP($A123,Types!$A$2:$C$13,2,FALSE),"P",D123)</f>
        <v>KERP2</v>
      </c>
      <c r="H123" s="239">
        <f>H120*$C$8</f>
        <v>71.856070000000003</v>
      </c>
      <c r="I123" s="239">
        <f t="shared" ref="I123:K123" si="294">I120*$C$8</f>
        <v>43.667580000000008</v>
      </c>
      <c r="J123" s="239">
        <f t="shared" si="294"/>
        <v>35.370500000000007</v>
      </c>
      <c r="K123" s="239">
        <f t="shared" si="294"/>
        <v>44.864399999999996</v>
      </c>
      <c r="L123" s="240">
        <f>H123*Conv!$J$20/10^6/VLOOKUP($B123,Types!$B$2:$D$13,3,FALSE)/Conv!$I$5</f>
        <v>18.431822824796907</v>
      </c>
      <c r="M123" s="240">
        <f>I123*Conv!$J$20/10^6/VLOOKUP($B123,Types!$B$2:$D$13,3,FALSE)/Conv!$I$5</f>
        <v>11.201184503238837</v>
      </c>
      <c r="N123" s="240">
        <f>M123*'Imported Price Trends'!$K$19</f>
        <v>12.060840218152567</v>
      </c>
      <c r="O123" s="240">
        <f>N123*'Imported Price Trends'!$L$19</f>
        <v>11.946164887843242</v>
      </c>
      <c r="P123" s="240">
        <f>O123*'Imported Price Trends'!$M$19</f>
        <v>12.890750969886088</v>
      </c>
      <c r="Q123" s="240">
        <f>P123*'Imported Price Trends'!$N$19</f>
        <v>13.631226326006812</v>
      </c>
      <c r="R123" s="240">
        <f>Q123*'Imported Price Trends'!$O$19</f>
        <v>14.645172039053602</v>
      </c>
      <c r="S123" s="240">
        <f>R123*'Imported Price Trends'!$O$19</f>
        <v>15.734539132717076</v>
      </c>
      <c r="T123" s="240">
        <f>S123*'Imported Price Trends'!$O$19</f>
        <v>16.904937754149035</v>
      </c>
      <c r="U123" s="240">
        <f>T123*'Imported Price Trends'!$O$19</f>
        <v>18.162395355923262</v>
      </c>
      <c r="V123" s="240">
        <f>U123*'Imported Price Trends'!$O$19</f>
        <v>19.513387736899602</v>
      </c>
      <c r="W123" s="219"/>
      <c r="X123" s="195">
        <f>X120*$E$8</f>
        <v>1199998.8</v>
      </c>
      <c r="Y123" s="195">
        <f t="shared" ref="Y123:AA123" si="295">Y120*$E$8</f>
        <v>1199998.8</v>
      </c>
      <c r="Z123" s="195">
        <f t="shared" si="295"/>
        <v>1199998.8</v>
      </c>
      <c r="AA123" s="195">
        <f t="shared" si="295"/>
        <v>1199998.8</v>
      </c>
      <c r="AB123" s="219">
        <f>X123*VLOOKUP($B123,Types!$B$2:$D$13,3,FALSE)*Conv!$I$5*1000*365</f>
        <v>2620186.753570626</v>
      </c>
      <c r="AC123" s="219">
        <f>Y123*VLOOKUP($B123,Types!$B$2:$D$13,3,FALSE)*Conv!$I$5*1000*365</f>
        <v>2620186.753570626</v>
      </c>
      <c r="AD123" s="219">
        <f>Z123*VLOOKUP($B123,Types!$B$2:$D$13,3,FALSE)*Conv!$I$5*1000*365</f>
        <v>2620186.753570626</v>
      </c>
      <c r="AE123" s="219">
        <f>AA123*VLOOKUP($B123,Types!$B$2:$D$13,3,FALSE)*Conv!$I$5*1000*365</f>
        <v>2620186.753570626</v>
      </c>
      <c r="AF123" s="219">
        <f>AB123-AB120</f>
        <v>436697.79226177093</v>
      </c>
      <c r="AG123" s="219">
        <f t="shared" ref="AG123:AI123" si="296">AC123-AC120</f>
        <v>436697.79226177093</v>
      </c>
      <c r="AH123" s="219">
        <f t="shared" si="296"/>
        <v>436697.79226177093</v>
      </c>
      <c r="AI123" s="219">
        <f t="shared" si="296"/>
        <v>436697.79226177093</v>
      </c>
      <c r="AJ123" s="219"/>
      <c r="AK123" s="219"/>
      <c r="AL123" s="219"/>
    </row>
    <row r="124" spans="1:38">
      <c r="A124" s="195" t="str">
        <f t="shared" si="290"/>
        <v>Other Refined Prod.</v>
      </c>
      <c r="B124" s="195" t="str">
        <f>VLOOKUP($A124,Types!$A$2:$C$13,2,FALSE)</f>
        <v>KER</v>
      </c>
      <c r="C124" s="195">
        <v>5</v>
      </c>
      <c r="D124" s="195">
        <v>2</v>
      </c>
      <c r="E124" s="195" t="str">
        <f t="shared" si="286"/>
        <v>IMPKERP25</v>
      </c>
      <c r="F124" s="195" t="str">
        <f>CONCATENATE("Imported ",VLOOKUP($A124,Types!$A$2:$C$13,3,FALSE),", PADD ",D124,", Step ",RIGHT(C124,1))</f>
        <v>Imported Kerosene and Other Refined Products, PADD 2, Step 5</v>
      </c>
      <c r="G124" s="195" t="str">
        <f>CONCATENATE(VLOOKUP($A124,Types!$A$2:$C$13,2,FALSE),"P",D124)</f>
        <v>KERP2</v>
      </c>
      <c r="H124" s="239">
        <f>H120*$C$9</f>
        <v>85.6999</v>
      </c>
      <c r="I124" s="239">
        <f t="shared" ref="I124:K124" si="297">I120*$C$9</f>
        <v>52.080600000000011</v>
      </c>
      <c r="J124" s="239">
        <f t="shared" si="297"/>
        <v>42.185000000000002</v>
      </c>
      <c r="K124" s="239">
        <f t="shared" si="297"/>
        <v>53.507999999999996</v>
      </c>
      <c r="L124" s="240">
        <f>H124*Conv!$J$20/10^6/VLOOKUP($B124,Types!$B$2:$D$13,3,FALSE)/Conv!$I$5</f>
        <v>21.982907956179794</v>
      </c>
      <c r="M124" s="240">
        <f>I124*Conv!$J$20/10^6/VLOOKUP($B124,Types!$B$2:$D$13,3,FALSE)/Conv!$I$5</f>
        <v>13.359210875422464</v>
      </c>
      <c r="N124" s="240">
        <f>M124*'Imported Price Trends'!$K$19</f>
        <v>14.384488333576455</v>
      </c>
      <c r="O124" s="240">
        <f>N124*'Imported Price Trends'!$L$19</f>
        <v>14.2477195910057</v>
      </c>
      <c r="P124" s="240">
        <f>O124*'Imported Price Trends'!$M$19</f>
        <v>15.374290147570562</v>
      </c>
      <c r="Q124" s="240">
        <f>P124*'Imported Price Trends'!$N$19</f>
        <v>16.257425893402619</v>
      </c>
      <c r="R124" s="240">
        <f>Q124*'Imported Price Trends'!$O$19</f>
        <v>17.466718945660258</v>
      </c>
      <c r="S124" s="240">
        <f>R124*'Imported Price Trends'!$O$19</f>
        <v>18.765964103240549</v>
      </c>
      <c r="T124" s="240">
        <f>S124*'Imported Price Trends'!$O$19</f>
        <v>20.161852367333712</v>
      </c>
      <c r="U124" s="240">
        <f>T124*'Imported Price Trends'!$O$19</f>
        <v>21.661572442844257</v>
      </c>
      <c r="V124" s="240">
        <f>U124*'Imported Price Trends'!$O$19</f>
        <v>23.272847759605028</v>
      </c>
      <c r="W124" s="219"/>
      <c r="X124" s="195">
        <f>X120*$E$9</f>
        <v>1999998</v>
      </c>
      <c r="Y124" s="195">
        <f t="shared" ref="Y124:AA124" si="298">Y120*$E$9</f>
        <v>1999998</v>
      </c>
      <c r="Z124" s="195">
        <f t="shared" si="298"/>
        <v>1999998</v>
      </c>
      <c r="AA124" s="195">
        <f t="shared" si="298"/>
        <v>1999998</v>
      </c>
      <c r="AB124" s="219">
        <f>X124*VLOOKUP($B124,Types!$B$2:$D$13,3,FALSE)*Conv!$I$5*1000*365</f>
        <v>4366977.9226177102</v>
      </c>
      <c r="AC124" s="219">
        <f>Y124*VLOOKUP($B124,Types!$B$2:$D$13,3,FALSE)*Conv!$I$5*1000*365</f>
        <v>4366977.9226177102</v>
      </c>
      <c r="AD124" s="219">
        <f>Z124*VLOOKUP($B124,Types!$B$2:$D$13,3,FALSE)*Conv!$I$5*1000*365</f>
        <v>4366977.9226177102</v>
      </c>
      <c r="AE124" s="219">
        <f>AA124*VLOOKUP($B124,Types!$B$2:$D$13,3,FALSE)*Conv!$I$5*1000*365</f>
        <v>4366977.9226177102</v>
      </c>
      <c r="AF124" s="219">
        <f>AB124-AB123</f>
        <v>1746791.1690470842</v>
      </c>
      <c r="AG124" s="219">
        <f t="shared" ref="AG124:AI124" si="299">AC124-AC123</f>
        <v>1746791.1690470842</v>
      </c>
      <c r="AH124" s="219">
        <f t="shared" si="299"/>
        <v>1746791.1690470842</v>
      </c>
      <c r="AI124" s="219">
        <f t="shared" si="299"/>
        <v>1746791.1690470842</v>
      </c>
      <c r="AJ124" s="219"/>
      <c r="AK124" s="219"/>
      <c r="AL124" s="219"/>
    </row>
    <row r="125" spans="1:38">
      <c r="A125" s="195" t="str">
        <f>'Agg prdcrv'!$A$16</f>
        <v>Methanol</v>
      </c>
      <c r="B125" s="195" t="str">
        <f>VLOOKUP($A125,Types!$A$2:$C$13,2,FALSE)</f>
        <v>MTH</v>
      </c>
      <c r="C125" s="195">
        <v>3</v>
      </c>
      <c r="D125" s="195">
        <v>2</v>
      </c>
      <c r="E125" s="195" t="str">
        <f t="shared" si="286"/>
        <v>IMPMTHP23</v>
      </c>
      <c r="F125" s="195" t="str">
        <f>CONCATENATE("Imported ",VLOOKUP($A125,Types!$A$2:$C$13,3,FALSE),", PADD ",D125,", Step ",RIGHT(C125,1))</f>
        <v>Imported Methanol, PADD 2, Step 3</v>
      </c>
      <c r="G125" s="195" t="str">
        <f>CONCATENATE(VLOOKUP($A125,Types!$A$2:$C$13,2,FALSE),"P",D125)</f>
        <v>MTHP2</v>
      </c>
      <c r="H125" s="239">
        <f>SUMIFS('Agg prdcrv NYC'!$M$6:$M$100,'Agg prdcrv NYC'!$A$6:$A$100,'Imp Refined NYC'!$A125,'Agg prdcrv NYC'!$B$6:$B$100,H$11)*K4</f>
        <v>52.195000000000007</v>
      </c>
      <c r="I125" s="239">
        <f>SUMIFS('Agg prdcrv NYC'!$M$6:$M$100,'Agg prdcrv NYC'!$A$6:$A$100,'Imp Refined NYC'!$A125,'Agg prdcrv NYC'!$B$6:$B$100,I$11)*K4</f>
        <v>51.634</v>
      </c>
      <c r="J125" s="239">
        <f t="array" ref="J125">SUMIFS('Agg prdcrv NYC'!$M$6:$M$100,'Agg prdcrv NYC'!$A$6:$A$100,'Imp Refined NYC'!$A125,'Agg prdcrv NYC'!$B$6:$B$100,J$11)</f>
        <v>46.94</v>
      </c>
      <c r="K125" s="239">
        <f t="array" ref="K125">SUMIFS('Agg prdcrv NYC'!$M$6:$M$100,'Agg prdcrv NYC'!$A$6:$A$100,'Imp Refined NYC'!$A125,'Agg prdcrv NYC'!$B$6:$B$100,K$11)</f>
        <v>46.94</v>
      </c>
      <c r="L125" s="240">
        <f>H125*Conv!$J$20/10^6/VLOOKUP($B125,Types!$B$2:$D$13,3,FALSE)/Conv!$I$5</f>
        <v>27.636926810656256</v>
      </c>
      <c r="M125" s="240">
        <f>I125*Conv!$J$20/10^6/VLOOKUP($B125,Types!$B$2:$D$13,3,FALSE)/Conv!$I$5</f>
        <v>27.339880811216108</v>
      </c>
      <c r="N125" s="240">
        <f>M125*'Imported Price Trends'!$K$19</f>
        <v>29.438130757695095</v>
      </c>
      <c r="O125" s="240">
        <f>N125*'Imported Price Trends'!$L$19</f>
        <v>29.158230907662517</v>
      </c>
      <c r="P125" s="240">
        <f>O125*'Imported Price Trends'!$M$19</f>
        <v>31.463779119239401</v>
      </c>
      <c r="Q125" s="240">
        <f>P125*'Imported Price Trends'!$N$19</f>
        <v>33.271133330227507</v>
      </c>
      <c r="R125" s="240">
        <f>Q125*'Imported Price Trends'!$O$19</f>
        <v>35.745974712915839</v>
      </c>
      <c r="S125" s="240">
        <f>R125*'Imported Price Trends'!$O$19</f>
        <v>38.404904801230025</v>
      </c>
      <c r="T125" s="240">
        <f>S125*'Imported Price Trends'!$O$19</f>
        <v>41.261616857201339</v>
      </c>
      <c r="U125" s="240">
        <f>T125*'Imported Price Trends'!$O$19</f>
        <v>44.330822703040617</v>
      </c>
      <c r="V125" s="240">
        <f>U125*'Imported Price Trends'!$O$19</f>
        <v>47.62832848576155</v>
      </c>
      <c r="W125" s="219"/>
      <c r="X125" s="195">
        <f t="array" ref="X125">SUMIFS('Agg prdcrv NYC'!$E$6:$E$100,'Agg prdcrv NYC'!$A$6:$A$100,'Imp Refined NYC'!$A125,'Agg prdcrv NYC'!$B$6:$B$100,X$11)</f>
        <v>999999</v>
      </c>
      <c r="Y125" s="195">
        <f t="array" ref="Y125">SUMIFS('Agg prdcrv NYC'!$E$6:$E$100,'Agg prdcrv NYC'!$A$6:$A$100,'Imp Refined NYC'!$A125,'Agg prdcrv NYC'!$B$6:$B$100,Y$11)</f>
        <v>999999</v>
      </c>
      <c r="Z125" s="195">
        <f t="array" ref="Z125">SUMIFS('Agg prdcrv NYC'!$E$6:$E$100,'Agg prdcrv NYC'!$A$6:$A$100,'Imp Refined NYC'!$A125,'Agg prdcrv NYC'!$B$6:$B$100,Z$11)</f>
        <v>999999</v>
      </c>
      <c r="AA125" s="195">
        <f t="array" ref="AA125">SUMIFS('Agg prdcrv NYC'!$E$6:$E$100,'Agg prdcrv NYC'!$A$6:$A$100,'Imp Refined NYC'!$A125,'Agg prdcrv NYC'!$B$6:$B$100,AA$11)</f>
        <v>999999</v>
      </c>
      <c r="AB125" s="219">
        <f>X125*VLOOKUP($B125,Types!$B$2:$D$13,3,FALSE)*Conv!$I$5*1000*365</f>
        <v>1057779.0968118452</v>
      </c>
      <c r="AC125" s="219">
        <f>Y125*VLOOKUP($B125,Types!$B$2:$D$13,3,FALSE)*Conv!$I$5*1000*365</f>
        <v>1057779.0968118452</v>
      </c>
      <c r="AD125" s="219">
        <f>Z125*VLOOKUP($B125,Types!$B$2:$D$13,3,FALSE)*Conv!$I$5*1000*365</f>
        <v>1057779.0968118452</v>
      </c>
      <c r="AE125" s="219">
        <f>AA125*VLOOKUP($B125,Types!$B$2:$D$13,3,FALSE)*Conv!$I$5*1000*365</f>
        <v>1057779.0968118452</v>
      </c>
      <c r="AF125" s="219">
        <f>AB125-AB127</f>
        <v>105777.90968118445</v>
      </c>
      <c r="AG125" s="219">
        <f t="shared" ref="AG125:AI125" si="300">AC125-AC127</f>
        <v>105777.90968118445</v>
      </c>
      <c r="AH125" s="219">
        <f t="shared" si="300"/>
        <v>105777.90968118445</v>
      </c>
      <c r="AI125" s="219">
        <f t="shared" si="300"/>
        <v>105777.90968118445</v>
      </c>
      <c r="AJ125" s="219"/>
      <c r="AK125" s="219"/>
      <c r="AL125" s="219"/>
    </row>
    <row r="126" spans="1:38">
      <c r="A126" s="195" t="str">
        <f>A125</f>
        <v>Methanol</v>
      </c>
      <c r="B126" s="195" t="str">
        <f>VLOOKUP($A126,Types!$A$2:$C$13,2,FALSE)</f>
        <v>MTH</v>
      </c>
      <c r="C126" s="195">
        <v>1</v>
      </c>
      <c r="D126" s="195">
        <v>2</v>
      </c>
      <c r="E126" s="195" t="str">
        <f t="shared" si="286"/>
        <v>IMPMTHP21</v>
      </c>
      <c r="F126" s="195" t="str">
        <f>CONCATENATE("Imported ",VLOOKUP($A126,Types!$A$2:$C$13,3,FALSE),", PADD ",D126,", Step ",RIGHT(C126,1))</f>
        <v>Imported Methanol, PADD 2, Step 1</v>
      </c>
      <c r="G126" s="195" t="str">
        <f>CONCATENATE(VLOOKUP($A126,Types!$A$2:$C$13,2,FALSE),"P",D126)</f>
        <v>MTHP2</v>
      </c>
      <c r="H126" s="239">
        <f>H125*$C$5</f>
        <v>49.585250000000002</v>
      </c>
      <c r="I126" s="239">
        <f t="shared" ref="I126:K126" si="301">I125*$C$5</f>
        <v>49.052299999999995</v>
      </c>
      <c r="J126" s="239">
        <f t="shared" si="301"/>
        <v>44.592999999999996</v>
      </c>
      <c r="K126" s="239">
        <f t="shared" si="301"/>
        <v>44.592999999999996</v>
      </c>
      <c r="L126" s="240">
        <f>H126*Conv!$J$20/10^6/VLOOKUP($B126,Types!$B$2:$D$13,3,FALSE)/Conv!$I$5</f>
        <v>26.255080470123435</v>
      </c>
      <c r="M126" s="240">
        <f>I126*Conv!$J$20/10^6/VLOOKUP($B126,Types!$B$2:$D$13,3,FALSE)/Conv!$I$5</f>
        <v>25.972886770655304</v>
      </c>
      <c r="N126" s="240">
        <f>M126*'Imported Price Trends'!$K$19</f>
        <v>27.966224219810343</v>
      </c>
      <c r="O126" s="240">
        <f>N126*'Imported Price Trends'!$L$19</f>
        <v>27.700319362279394</v>
      </c>
      <c r="P126" s="240">
        <f>O126*'Imported Price Trends'!$M$19</f>
        <v>29.890590163277434</v>
      </c>
      <c r="Q126" s="240">
        <f>P126*'Imported Price Trends'!$N$19</f>
        <v>31.607576663716134</v>
      </c>
      <c r="R126" s="240">
        <f>Q126*'Imported Price Trends'!$O$19</f>
        <v>33.958675977270047</v>
      </c>
      <c r="S126" s="240">
        <f>R126*'Imported Price Trends'!$O$19</f>
        <v>36.48465956116852</v>
      </c>
      <c r="T126" s="240">
        <f>S126*'Imported Price Trends'!$O$19</f>
        <v>39.198536014341265</v>
      </c>
      <c r="U126" s="240">
        <f>T126*'Imported Price Trends'!$O$19</f>
        <v>42.114281567888582</v>
      </c>
      <c r="V126" s="240">
        <f>U126*'Imported Price Trends'!$O$19</f>
        <v>45.246912061473466</v>
      </c>
      <c r="W126" s="219"/>
      <c r="X126" s="195">
        <f>X125*$E$5</f>
        <v>799999.20000000007</v>
      </c>
      <c r="Y126" s="195">
        <f t="shared" ref="Y126:AA126" si="302">Y125*$E$5</f>
        <v>799999.20000000007</v>
      </c>
      <c r="Z126" s="195">
        <f t="shared" si="302"/>
        <v>799999.20000000007</v>
      </c>
      <c r="AA126" s="195">
        <f t="shared" si="302"/>
        <v>799999.20000000007</v>
      </c>
      <c r="AB126" s="219">
        <f>X126*VLOOKUP($B126,Types!$B$2:$D$13,3,FALSE)*Conv!$I$5*1000*365</f>
        <v>846223.27744947642</v>
      </c>
      <c r="AC126" s="219">
        <f>Y126*VLOOKUP($B126,Types!$B$2:$D$13,3,FALSE)*Conv!$I$5*1000*365</f>
        <v>846223.27744947642</v>
      </c>
      <c r="AD126" s="219">
        <f>Z126*VLOOKUP($B126,Types!$B$2:$D$13,3,FALSE)*Conv!$I$5*1000*365</f>
        <v>846223.27744947642</v>
      </c>
      <c r="AE126" s="219">
        <f>AA126*VLOOKUP($B126,Types!$B$2:$D$13,3,FALSE)*Conv!$I$5*1000*365</f>
        <v>846223.27744947642</v>
      </c>
      <c r="AF126" s="219">
        <f>AB126</f>
        <v>846223.27744947642</v>
      </c>
      <c r="AG126" s="219">
        <f t="shared" ref="AG126:AI126" si="303">AC126</f>
        <v>846223.27744947642</v>
      </c>
      <c r="AH126" s="219">
        <f t="shared" si="303"/>
        <v>846223.27744947642</v>
      </c>
      <c r="AI126" s="219">
        <f t="shared" si="303"/>
        <v>846223.27744947642</v>
      </c>
      <c r="AJ126" s="219"/>
      <c r="AK126" s="219"/>
      <c r="AL126" s="219"/>
    </row>
    <row r="127" spans="1:38">
      <c r="A127" s="195" t="str">
        <f t="shared" ref="A127:A129" si="304">A126</f>
        <v>Methanol</v>
      </c>
      <c r="B127" s="195" t="str">
        <f>VLOOKUP($A127,Types!$A$2:$C$13,2,FALSE)</f>
        <v>MTH</v>
      </c>
      <c r="C127" s="195">
        <v>2</v>
      </c>
      <c r="D127" s="195">
        <v>2</v>
      </c>
      <c r="E127" s="195" t="str">
        <f t="shared" si="286"/>
        <v>IMPMTHP22</v>
      </c>
      <c r="F127" s="195" t="str">
        <f>CONCATENATE("Imported ",VLOOKUP($A127,Types!$A$2:$C$13,3,FALSE),", PADD ",D127,", Step ",RIGHT(C127,1))</f>
        <v>Imported Methanol, PADD 2, Step 2</v>
      </c>
      <c r="G127" s="195" t="str">
        <f>CONCATENATE(VLOOKUP($A127,Types!$A$2:$C$13,2,FALSE),"P",D127)</f>
        <v>MTHP2</v>
      </c>
      <c r="H127" s="239">
        <f>H125*$C$6</f>
        <v>51.151100000000007</v>
      </c>
      <c r="I127" s="239">
        <f t="shared" ref="I127:K127" si="305">I125*$C$6</f>
        <v>50.601320000000001</v>
      </c>
      <c r="J127" s="239">
        <f t="shared" si="305"/>
        <v>46.001199999999997</v>
      </c>
      <c r="K127" s="239">
        <f t="shared" si="305"/>
        <v>46.001199999999997</v>
      </c>
      <c r="L127" s="240">
        <f>H127*Conv!$J$20/10^6/VLOOKUP($B127,Types!$B$2:$D$13,3,FALSE)/Conv!$I$5</f>
        <v>27.084188274443125</v>
      </c>
      <c r="M127" s="240">
        <f>I127*Conv!$J$20/10^6/VLOOKUP($B127,Types!$B$2:$D$13,3,FALSE)/Conv!$I$5</f>
        <v>26.793083194991791</v>
      </c>
      <c r="N127" s="240">
        <f>M127*'Imported Price Trends'!$K$19</f>
        <v>28.849368142541199</v>
      </c>
      <c r="O127" s="240">
        <f>N127*'Imported Price Trends'!$L$19</f>
        <v>28.57506628950927</v>
      </c>
      <c r="P127" s="240">
        <f>O127*'Imported Price Trends'!$M$19</f>
        <v>30.834503536854616</v>
      </c>
      <c r="Q127" s="240">
        <f>P127*'Imported Price Trends'!$N$19</f>
        <v>32.605710663622958</v>
      </c>
      <c r="R127" s="240">
        <f>Q127*'Imported Price Trends'!$O$19</f>
        <v>35.031055218657521</v>
      </c>
      <c r="S127" s="240">
        <f>R127*'Imported Price Trends'!$O$19</f>
        <v>37.636806705205423</v>
      </c>
      <c r="T127" s="240">
        <f>S127*'Imported Price Trends'!$O$19</f>
        <v>40.43638452005731</v>
      </c>
      <c r="U127" s="240">
        <f>T127*'Imported Price Trends'!$O$19</f>
        <v>43.444206248979803</v>
      </c>
      <c r="V127" s="240">
        <f>U127*'Imported Price Trends'!$O$19</f>
        <v>46.675761916046319</v>
      </c>
      <c r="W127" s="219"/>
      <c r="X127" s="195">
        <f>X125*$E$6</f>
        <v>899999.1</v>
      </c>
      <c r="Y127" s="195">
        <f t="shared" ref="Y127:AA127" si="306">Y125*$E$6</f>
        <v>899999.1</v>
      </c>
      <c r="Z127" s="195">
        <f t="shared" si="306"/>
        <v>899999.1</v>
      </c>
      <c r="AA127" s="195">
        <f t="shared" si="306"/>
        <v>899999.1</v>
      </c>
      <c r="AB127" s="219">
        <f>X127*VLOOKUP($B127,Types!$B$2:$D$13,3,FALSE)*Conv!$I$5*1000*365</f>
        <v>952001.18713066075</v>
      </c>
      <c r="AC127" s="219">
        <f>Y127*VLOOKUP($B127,Types!$B$2:$D$13,3,FALSE)*Conv!$I$5*1000*365</f>
        <v>952001.18713066075</v>
      </c>
      <c r="AD127" s="219">
        <f>Z127*VLOOKUP($B127,Types!$B$2:$D$13,3,FALSE)*Conv!$I$5*1000*365</f>
        <v>952001.18713066075</v>
      </c>
      <c r="AE127" s="219">
        <f>AA127*VLOOKUP($B127,Types!$B$2:$D$13,3,FALSE)*Conv!$I$5*1000*365</f>
        <v>952001.18713066075</v>
      </c>
      <c r="AF127" s="219">
        <f>AB127-AF126</f>
        <v>105777.90968118433</v>
      </c>
      <c r="AG127" s="219">
        <f t="shared" ref="AG127:AI127" si="307">AC127-AG126</f>
        <v>105777.90968118433</v>
      </c>
      <c r="AH127" s="219">
        <f t="shared" si="307"/>
        <v>105777.90968118433</v>
      </c>
      <c r="AI127" s="219">
        <f t="shared" si="307"/>
        <v>105777.90968118433</v>
      </c>
      <c r="AJ127" s="219"/>
      <c r="AK127" s="219"/>
      <c r="AL127" s="219"/>
    </row>
    <row r="128" spans="1:38">
      <c r="A128" s="195" t="str">
        <f t="shared" si="304"/>
        <v>Methanol</v>
      </c>
      <c r="B128" s="195" t="str">
        <f>VLOOKUP($A128,Types!$A$2:$C$13,2,FALSE)</f>
        <v>MTH</v>
      </c>
      <c r="C128" s="195">
        <v>4</v>
      </c>
      <c r="D128" s="195">
        <v>2</v>
      </c>
      <c r="E128" s="195" t="str">
        <f t="shared" si="286"/>
        <v>IMPMTHP24</v>
      </c>
      <c r="F128" s="195" t="str">
        <f>CONCATENATE("Imported ",VLOOKUP($A128,Types!$A$2:$C$13,3,FALSE),", PADD ",D128,", Step ",RIGHT(C128,1))</f>
        <v>Imported Methanol, PADD 2, Step 4</v>
      </c>
      <c r="G128" s="195" t="str">
        <f>CONCATENATE(VLOOKUP($A128,Types!$A$2:$C$13,2,FALSE),"P",D128)</f>
        <v>MTHP2</v>
      </c>
      <c r="H128" s="239">
        <f>H125*$C$8</f>
        <v>56.892550000000014</v>
      </c>
      <c r="I128" s="239">
        <f t="shared" ref="I128:K128" si="308">I125*$C$8</f>
        <v>56.281060000000004</v>
      </c>
      <c r="J128" s="239">
        <f t="shared" si="308"/>
        <v>51.1646</v>
      </c>
      <c r="K128" s="239">
        <f t="shared" si="308"/>
        <v>51.1646</v>
      </c>
      <c r="L128" s="240">
        <f>H128*Conv!$J$20/10^6/VLOOKUP($B128,Types!$B$2:$D$13,3,FALSE)/Conv!$I$5</f>
        <v>30.124250223615316</v>
      </c>
      <c r="M128" s="240">
        <f>I128*Conv!$J$20/10^6/VLOOKUP($B128,Types!$B$2:$D$13,3,FALSE)/Conv!$I$5</f>
        <v>29.800470084225566</v>
      </c>
      <c r="N128" s="240">
        <f>M128*'Imported Price Trends'!$K$19</f>
        <v>32.087562525887662</v>
      </c>
      <c r="O128" s="240">
        <f>N128*'Imported Price Trends'!$L$19</f>
        <v>31.78247168935215</v>
      </c>
      <c r="P128" s="240">
        <f>O128*'Imported Price Trends'!$M$19</f>
        <v>34.295519239970957</v>
      </c>
      <c r="Q128" s="240">
        <f>P128*'Imported Price Trends'!$N$19</f>
        <v>36.265535329947994</v>
      </c>
      <c r="R128" s="240">
        <f>Q128*'Imported Price Trends'!$O$19</f>
        <v>38.96311243707828</v>
      </c>
      <c r="S128" s="240">
        <f>R128*'Imported Price Trends'!$O$19</f>
        <v>41.86134623334074</v>
      </c>
      <c r="T128" s="240">
        <f>S128*'Imported Price Trends'!$O$19</f>
        <v>44.975162374349473</v>
      </c>
      <c r="U128" s="240">
        <f>T128*'Imported Price Trends'!$O$19</f>
        <v>48.320596746314287</v>
      </c>
      <c r="V128" s="240">
        <f>U128*'Imported Price Trends'!$O$19</f>
        <v>51.914878049480102</v>
      </c>
      <c r="W128" s="219"/>
      <c r="X128" s="195">
        <f>X125*$E$8</f>
        <v>1199998.8</v>
      </c>
      <c r="Y128" s="195">
        <f t="shared" ref="Y128:AA128" si="309">Y125*$E$8</f>
        <v>1199998.8</v>
      </c>
      <c r="Z128" s="195">
        <f t="shared" si="309"/>
        <v>1199998.8</v>
      </c>
      <c r="AA128" s="195">
        <f t="shared" si="309"/>
        <v>1199998.8</v>
      </c>
      <c r="AB128" s="219">
        <f>X128*VLOOKUP($B128,Types!$B$2:$D$13,3,FALSE)*Conv!$I$5*1000*365</f>
        <v>1269334.9161742146</v>
      </c>
      <c r="AC128" s="219">
        <f>Y128*VLOOKUP($B128,Types!$B$2:$D$13,3,FALSE)*Conv!$I$5*1000*365</f>
        <v>1269334.9161742146</v>
      </c>
      <c r="AD128" s="219">
        <f>Z128*VLOOKUP($B128,Types!$B$2:$D$13,3,FALSE)*Conv!$I$5*1000*365</f>
        <v>1269334.9161742146</v>
      </c>
      <c r="AE128" s="219">
        <f>AA128*VLOOKUP($B128,Types!$B$2:$D$13,3,FALSE)*Conv!$I$5*1000*365</f>
        <v>1269334.9161742146</v>
      </c>
      <c r="AF128" s="219">
        <f>AB128-AB125</f>
        <v>211555.81936236937</v>
      </c>
      <c r="AG128" s="219">
        <f t="shared" ref="AG128:AI128" si="310">AC128-AC125</f>
        <v>211555.81936236937</v>
      </c>
      <c r="AH128" s="219">
        <f t="shared" si="310"/>
        <v>211555.81936236937</v>
      </c>
      <c r="AI128" s="219">
        <f t="shared" si="310"/>
        <v>211555.81936236937</v>
      </c>
      <c r="AJ128" s="219"/>
      <c r="AK128" s="219"/>
      <c r="AL128" s="219"/>
    </row>
    <row r="129" spans="1:38">
      <c r="A129" s="195" t="str">
        <f t="shared" si="304"/>
        <v>Methanol</v>
      </c>
      <c r="B129" s="195" t="str">
        <f>VLOOKUP($A129,Types!$A$2:$C$13,2,FALSE)</f>
        <v>MTH</v>
      </c>
      <c r="C129" s="195">
        <v>5</v>
      </c>
      <c r="D129" s="195">
        <v>2</v>
      </c>
      <c r="E129" s="195" t="str">
        <f t="shared" si="286"/>
        <v>IMPMTHP25</v>
      </c>
      <c r="F129" s="195" t="str">
        <f>CONCATENATE("Imported ",VLOOKUP($A129,Types!$A$2:$C$13,3,FALSE),", PADD ",D129,", Step ",RIGHT(C129,1))</f>
        <v>Imported Methanol, PADD 2, Step 5</v>
      </c>
      <c r="G129" s="195" t="str">
        <f>CONCATENATE(VLOOKUP($A129,Types!$A$2:$C$13,2,FALSE),"P",D129)</f>
        <v>MTHP2</v>
      </c>
      <c r="H129" s="239">
        <f>H125*$C$9</f>
        <v>67.853500000000011</v>
      </c>
      <c r="I129" s="239">
        <f t="shared" ref="I129:K129" si="311">I125*$C$9</f>
        <v>67.124200000000002</v>
      </c>
      <c r="J129" s="239">
        <f t="shared" si="311"/>
        <v>61.021999999999998</v>
      </c>
      <c r="K129" s="239">
        <f t="shared" si="311"/>
        <v>61.021999999999998</v>
      </c>
      <c r="L129" s="240">
        <f>H129*Conv!$J$20/10^6/VLOOKUP($B129,Types!$B$2:$D$13,3,FALSE)/Conv!$I$5</f>
        <v>35.928004853853132</v>
      </c>
      <c r="M129" s="240">
        <f>I129*Conv!$J$20/10^6/VLOOKUP($B129,Types!$B$2:$D$13,3,FALSE)/Conv!$I$5</f>
        <v>35.541845054580939</v>
      </c>
      <c r="N129" s="240">
        <f>M129*'Imported Price Trends'!$K$19</f>
        <v>38.269569985003621</v>
      </c>
      <c r="O129" s="240">
        <f>N129*'Imported Price Trends'!$L$19</f>
        <v>37.905700179961265</v>
      </c>
      <c r="P129" s="240">
        <f>O129*'Imported Price Trends'!$M$19</f>
        <v>40.902912855011216</v>
      </c>
      <c r="Q129" s="240">
        <f>P129*'Imported Price Trends'!$N$19</f>
        <v>43.252473329295754</v>
      </c>
      <c r="R129" s="240">
        <f>Q129*'Imported Price Trends'!$O$19</f>
        <v>46.469767126790586</v>
      </c>
      <c r="S129" s="240">
        <f>R129*'Imported Price Trends'!$O$19</f>
        <v>49.926376241599023</v>
      </c>
      <c r="T129" s="240">
        <f>S129*'Imported Price Trends'!$O$19</f>
        <v>53.640101914361729</v>
      </c>
      <c r="U129" s="240">
        <f>T129*'Imported Price Trends'!$O$19</f>
        <v>57.63006951395279</v>
      </c>
      <c r="V129" s="240">
        <f>U129*'Imported Price Trends'!$O$19</f>
        <v>61.916827031490001</v>
      </c>
      <c r="W129" s="219"/>
      <c r="X129" s="195">
        <f>X125*$E$9</f>
        <v>1999998</v>
      </c>
      <c r="Y129" s="195">
        <f t="shared" ref="Y129:AA129" si="312">Y125*$E$9</f>
        <v>1999998</v>
      </c>
      <c r="Z129" s="195">
        <f t="shared" si="312"/>
        <v>1999998</v>
      </c>
      <c r="AA129" s="195">
        <f t="shared" si="312"/>
        <v>1999998</v>
      </c>
      <c r="AB129" s="219">
        <f>X129*VLOOKUP($B129,Types!$B$2:$D$13,3,FALSE)*Conv!$I$5*1000*365</f>
        <v>2115558.1936236904</v>
      </c>
      <c r="AC129" s="219">
        <f>Y129*VLOOKUP($B129,Types!$B$2:$D$13,3,FALSE)*Conv!$I$5*1000*365</f>
        <v>2115558.1936236904</v>
      </c>
      <c r="AD129" s="219">
        <f>Z129*VLOOKUP($B129,Types!$B$2:$D$13,3,FALSE)*Conv!$I$5*1000*365</f>
        <v>2115558.1936236904</v>
      </c>
      <c r="AE129" s="219">
        <f>AA129*VLOOKUP($B129,Types!$B$2:$D$13,3,FALSE)*Conv!$I$5*1000*365</f>
        <v>2115558.1936236904</v>
      </c>
      <c r="AF129" s="219">
        <f>AB129-AB128</f>
        <v>846223.27744947583</v>
      </c>
      <c r="AG129" s="219">
        <f t="shared" ref="AG129:AI129" si="313">AC129-AC128</f>
        <v>846223.27744947583</v>
      </c>
      <c r="AH129" s="219">
        <f t="shared" si="313"/>
        <v>846223.27744947583</v>
      </c>
      <c r="AI129" s="219">
        <f t="shared" si="313"/>
        <v>846223.27744947583</v>
      </c>
      <c r="AJ129" s="219"/>
      <c r="AK129" s="219"/>
      <c r="AL129" s="219"/>
    </row>
    <row r="130" spans="1:38">
      <c r="A130" s="195" t="str">
        <f>'Agg prdcrv'!$A$19</f>
        <v>ULS Diesel (15 ppm)</v>
      </c>
      <c r="B130" s="195" t="str">
        <f>VLOOKUP($A130,Types!$A$2:$C$13,2,FALSE)</f>
        <v>DSU</v>
      </c>
      <c r="C130" s="195">
        <v>3</v>
      </c>
      <c r="D130" s="195">
        <v>2</v>
      </c>
      <c r="E130" s="195" t="str">
        <f t="shared" si="286"/>
        <v>IMPDSUP23</v>
      </c>
      <c r="F130" s="195" t="str">
        <f>CONCATENATE("Imported ",VLOOKUP($A130,Types!$A$2:$C$13,3,FALSE),", PADD ",D130,", Step ",RIGHT(C130,1))</f>
        <v>Imported Distillate-Ultralow Sulfur Highway Diesel (15 ppm), PADD 2, Step 3</v>
      </c>
      <c r="G130" s="195" t="str">
        <f>CONCATENATE(VLOOKUP($A130,Types!$A$2:$C$13,2,FALSE),"P",D130)</f>
        <v>DSUP2</v>
      </c>
      <c r="H130" s="239">
        <f>SUMIFS('Agg prdcrv NYC'!$M$6:$M$100,'Agg prdcrv NYC'!$A$6:$A$100,'Imp Refined NYC'!$A130,'Agg prdcrv NYC'!$B$6:$B$100,H$11)*K4</f>
        <v>63.536000000000001</v>
      </c>
      <c r="I130" s="239">
        <f>SUMIFS('Agg prdcrv NYC'!$M$6:$M$100,'Agg prdcrv NYC'!$A$6:$A$100,'Imp Refined NYC'!$A130,'Agg prdcrv NYC'!$B$6:$B$100,I$11)*K4</f>
        <v>53.250999999999998</v>
      </c>
      <c r="J130" s="239">
        <f t="array" ref="J130">SUMIFS('Agg prdcrv NYC'!$M$6:$M$100,'Agg prdcrv NYC'!$A$6:$A$100,'Imp Refined NYC'!$A130,'Agg prdcrv NYC'!$B$6:$B$100,J$11)</f>
        <v>41.34</v>
      </c>
      <c r="K130" s="239">
        <f t="array" ref="K130">SUMIFS('Agg prdcrv NYC'!$M$6:$M$100,'Agg prdcrv NYC'!$A$6:$A$100,'Imp Refined NYC'!$A130,'Agg prdcrv NYC'!$B$6:$B$100,K$11)</f>
        <v>44.71</v>
      </c>
      <c r="L130" s="240">
        <f>H130*Conv!$J$20/10^6/VLOOKUP($B130,Types!$B$2:$D$13,3,FALSE)/Conv!$I$5</f>
        <v>15.863968002997044</v>
      </c>
      <c r="M130" s="240">
        <f>I130*Conv!$J$20/10^6/VLOOKUP($B130,Types!$B$2:$D$13,3,FALSE)/Conv!$I$5</f>
        <v>13.295960717193331</v>
      </c>
      <c r="N130" s="240">
        <f>M130*'Imported Price Trends'!$K$19</f>
        <v>14.316383924444201</v>
      </c>
      <c r="O130" s="240">
        <f>N130*'Imported Price Trends'!$L$19</f>
        <v>14.180262723460226</v>
      </c>
      <c r="P130" s="240">
        <f>O130*'Imported Price Trends'!$M$19</f>
        <v>15.30149944955984</v>
      </c>
      <c r="Q130" s="240">
        <f>P130*'Imported Price Trends'!$N$19</f>
        <v>16.180453924792715</v>
      </c>
      <c r="R130" s="240">
        <f>Q130*'Imported Price Trends'!$O$19</f>
        <v>17.384021490895972</v>
      </c>
      <c r="S130" s="240">
        <f>R130*'Imported Price Trends'!$O$19</f>
        <v>18.677115277518674</v>
      </c>
      <c r="T130" s="240">
        <f>S130*'Imported Price Trends'!$O$19</f>
        <v>20.066394606817902</v>
      </c>
      <c r="U130" s="240">
        <f>T130*'Imported Price Trends'!$O$19</f>
        <v>21.559014148250498</v>
      </c>
      <c r="V130" s="240">
        <f>U130*'Imported Price Trends'!$O$19</f>
        <v>23.162660764507461</v>
      </c>
      <c r="W130" s="219"/>
      <c r="X130" s="195">
        <f t="array" ref="X130">SUMIFS('Agg prdcrv NYC'!$E$6:$E$100,'Agg prdcrv NYC'!$A$6:$A$100,'Imp Refined NYC'!$A130,'Agg prdcrv NYC'!$B$6:$B$100,X$11)</f>
        <v>999999</v>
      </c>
      <c r="Y130" s="195">
        <f t="array" ref="Y130">SUMIFS('Agg prdcrv NYC'!$E$6:$E$100,'Agg prdcrv NYC'!$A$6:$A$100,'Imp Refined NYC'!$A130,'Agg prdcrv NYC'!$B$6:$B$100,Y$11)</f>
        <v>999999</v>
      </c>
      <c r="Z130" s="195">
        <f t="array" ref="Z130">SUMIFS('Agg prdcrv NYC'!$E$6:$E$100,'Agg prdcrv NYC'!$A$6:$A$100,'Imp Refined NYC'!$A130,'Agg prdcrv NYC'!$B$6:$B$100,Z$11)</f>
        <v>999999</v>
      </c>
      <c r="AA130" s="195">
        <f t="array" ref="AA130">SUMIFS('Agg prdcrv NYC'!$E$6:$E$100,'Agg prdcrv NYC'!$A$6:$A$100,'Imp Refined NYC'!$A130,'Agg prdcrv NYC'!$B$6:$B$100,AA$11)</f>
        <v>999999</v>
      </c>
      <c r="AB130" s="219">
        <f>X130*VLOOKUP($B130,Types!$B$2:$D$13,3,FALSE)*Conv!$I$5*1000*365</f>
        <v>2243178.6948190616</v>
      </c>
      <c r="AC130" s="219">
        <f>Y130*VLOOKUP($B130,Types!$B$2:$D$13,3,FALSE)*Conv!$I$5*1000*365</f>
        <v>2243178.6948190616</v>
      </c>
      <c r="AD130" s="219">
        <f>Z130*VLOOKUP($B130,Types!$B$2:$D$13,3,FALSE)*Conv!$I$5*1000*365</f>
        <v>2243178.6948190616</v>
      </c>
      <c r="AE130" s="219">
        <f>AA130*VLOOKUP($B130,Types!$B$2:$D$13,3,FALSE)*Conv!$I$5*1000*365</f>
        <v>2243178.6948190616</v>
      </c>
      <c r="AF130" s="219">
        <f>AB130-AB132</f>
        <v>224317.86948190606</v>
      </c>
      <c r="AG130" s="219">
        <f t="shared" ref="AG130:AI130" si="314">AC130-AC132</f>
        <v>224317.86948190606</v>
      </c>
      <c r="AH130" s="219">
        <f t="shared" si="314"/>
        <v>224317.86948190606</v>
      </c>
      <c r="AI130" s="219">
        <f t="shared" si="314"/>
        <v>224317.86948190606</v>
      </c>
      <c r="AJ130" s="219"/>
      <c r="AK130" s="219"/>
      <c r="AL130" s="219"/>
    </row>
    <row r="131" spans="1:38">
      <c r="A131" s="195" t="str">
        <f>A130</f>
        <v>ULS Diesel (15 ppm)</v>
      </c>
      <c r="B131" s="195" t="str">
        <f>VLOOKUP($A131,Types!$A$2:$C$13,2,FALSE)</f>
        <v>DSU</v>
      </c>
      <c r="C131" s="195">
        <v>1</v>
      </c>
      <c r="D131" s="195">
        <v>2</v>
      </c>
      <c r="E131" s="195" t="str">
        <f t="shared" si="286"/>
        <v>IMPDSUP21</v>
      </c>
      <c r="F131" s="195" t="str">
        <f>CONCATENATE("Imported ",VLOOKUP($A131,Types!$A$2:$C$13,3,FALSE),", PADD ",D131,", Step ",RIGHT(C131,1))</f>
        <v>Imported Distillate-Ultralow Sulfur Highway Diesel (15 ppm), PADD 2, Step 1</v>
      </c>
      <c r="G131" s="195" t="str">
        <f>CONCATENATE(VLOOKUP($A131,Types!$A$2:$C$13,2,FALSE),"P",D131)</f>
        <v>DSUP2</v>
      </c>
      <c r="H131" s="239">
        <f>H130*$C$5</f>
        <v>60.359200000000001</v>
      </c>
      <c r="I131" s="239">
        <f t="shared" ref="I131:K131" si="315">I130*$C$5</f>
        <v>50.588449999999995</v>
      </c>
      <c r="J131" s="239">
        <f t="shared" si="315"/>
        <v>39.273000000000003</v>
      </c>
      <c r="K131" s="239">
        <f t="shared" si="315"/>
        <v>42.474499999999999</v>
      </c>
      <c r="L131" s="240">
        <f>H131*Conv!$J$20/10^6/VLOOKUP($B131,Types!$B$2:$D$13,3,FALSE)/Conv!$I$5</f>
        <v>15.070769602847189</v>
      </c>
      <c r="M131" s="240">
        <f>I131*Conv!$J$20/10^6/VLOOKUP($B131,Types!$B$2:$D$13,3,FALSE)/Conv!$I$5</f>
        <v>12.631162681333663</v>
      </c>
      <c r="N131" s="240">
        <f>M131*'Imported Price Trends'!$K$19</f>
        <v>13.600564728221988</v>
      </c>
      <c r="O131" s="240">
        <f>N131*'Imported Price Trends'!$L$19</f>
        <v>13.471249587287211</v>
      </c>
      <c r="P131" s="240">
        <f>O131*'Imported Price Trends'!$M$19</f>
        <v>14.536424477081844</v>
      </c>
      <c r="Q131" s="240">
        <f>P131*'Imported Price Trends'!$N$19</f>
        <v>15.371431228553075</v>
      </c>
      <c r="R131" s="240">
        <f>Q131*'Imported Price Trends'!$O$19</f>
        <v>16.514820416351167</v>
      </c>
      <c r="S131" s="240">
        <f>R131*'Imported Price Trends'!$O$19</f>
        <v>17.743259513642734</v>
      </c>
      <c r="T131" s="240">
        <f>S131*'Imported Price Trends'!$O$19</f>
        <v>19.063074876477</v>
      </c>
      <c r="U131" s="240">
        <f>T131*'Imported Price Trends'!$O$19</f>
        <v>20.481063440837964</v>
      </c>
      <c r="V131" s="240">
        <f>U131*'Imported Price Trends'!$O$19</f>
        <v>22.004527726282078</v>
      </c>
      <c r="W131" s="219"/>
      <c r="X131" s="195">
        <f>X130*$E$5</f>
        <v>799999.20000000007</v>
      </c>
      <c r="Y131" s="195">
        <f t="shared" ref="Y131:AA131" si="316">Y130*$E$5</f>
        <v>799999.20000000007</v>
      </c>
      <c r="Z131" s="195">
        <f t="shared" si="316"/>
        <v>799999.20000000007</v>
      </c>
      <c r="AA131" s="195">
        <f t="shared" si="316"/>
        <v>799999.20000000007</v>
      </c>
      <c r="AB131" s="219">
        <f>X131*VLOOKUP($B131,Types!$B$2:$D$13,3,FALSE)*Conv!$I$5*1000*365</f>
        <v>1794542.9558552499</v>
      </c>
      <c r="AC131" s="219">
        <f>Y131*VLOOKUP($B131,Types!$B$2:$D$13,3,FALSE)*Conv!$I$5*1000*365</f>
        <v>1794542.9558552499</v>
      </c>
      <c r="AD131" s="219">
        <f>Z131*VLOOKUP($B131,Types!$B$2:$D$13,3,FALSE)*Conv!$I$5*1000*365</f>
        <v>1794542.9558552499</v>
      </c>
      <c r="AE131" s="219">
        <f>AA131*VLOOKUP($B131,Types!$B$2:$D$13,3,FALSE)*Conv!$I$5*1000*365</f>
        <v>1794542.9558552499</v>
      </c>
      <c r="AF131" s="219">
        <f>AB131</f>
        <v>1794542.9558552499</v>
      </c>
      <c r="AG131" s="219">
        <f t="shared" ref="AG131:AI131" si="317">AC131</f>
        <v>1794542.9558552499</v>
      </c>
      <c r="AH131" s="219">
        <f t="shared" si="317"/>
        <v>1794542.9558552499</v>
      </c>
      <c r="AI131" s="219">
        <f t="shared" si="317"/>
        <v>1794542.9558552499</v>
      </c>
      <c r="AJ131" s="219"/>
      <c r="AK131" s="219"/>
      <c r="AL131" s="219"/>
    </row>
    <row r="132" spans="1:38">
      <c r="A132" s="195" t="str">
        <f t="shared" ref="A132:A134" si="318">A131</f>
        <v>ULS Diesel (15 ppm)</v>
      </c>
      <c r="B132" s="195" t="str">
        <f>VLOOKUP($A132,Types!$A$2:$C$13,2,FALSE)</f>
        <v>DSU</v>
      </c>
      <c r="C132" s="195">
        <v>2</v>
      </c>
      <c r="D132" s="195">
        <v>2</v>
      </c>
      <c r="E132" s="195" t="str">
        <f t="shared" si="286"/>
        <v>IMPDSUP22</v>
      </c>
      <c r="F132" s="195" t="str">
        <f>CONCATENATE("Imported ",VLOOKUP($A132,Types!$A$2:$C$13,3,FALSE),", PADD ",D132,", Step ",RIGHT(C132,1))</f>
        <v>Imported Distillate-Ultralow Sulfur Highway Diesel (15 ppm), PADD 2, Step 2</v>
      </c>
      <c r="G132" s="195" t="str">
        <f>CONCATENATE(VLOOKUP($A132,Types!$A$2:$C$13,2,FALSE),"P",D132)</f>
        <v>DSUP2</v>
      </c>
      <c r="H132" s="239">
        <f>H130*$C$6</f>
        <v>62.265279999999997</v>
      </c>
      <c r="I132" s="239">
        <f t="shared" ref="I132:K132" si="319">I130*$C$6</f>
        <v>52.185979999999994</v>
      </c>
      <c r="J132" s="239">
        <f t="shared" si="319"/>
        <v>40.513200000000005</v>
      </c>
      <c r="K132" s="239">
        <f t="shared" si="319"/>
        <v>43.815800000000003</v>
      </c>
      <c r="L132" s="240">
        <f>H132*Conv!$J$20/10^6/VLOOKUP($B132,Types!$B$2:$D$13,3,FALSE)/Conv!$I$5</f>
        <v>15.546688642937102</v>
      </c>
      <c r="M132" s="240">
        <f>I132*Conv!$J$20/10^6/VLOOKUP($B132,Types!$B$2:$D$13,3,FALSE)/Conv!$I$5</f>
        <v>13.030041502849462</v>
      </c>
      <c r="N132" s="240">
        <f>M132*'Imported Price Trends'!$K$19</f>
        <v>14.030056245955313</v>
      </c>
      <c r="O132" s="240">
        <f>N132*'Imported Price Trends'!$L$19</f>
        <v>13.896657468991018</v>
      </c>
      <c r="P132" s="240">
        <f>O132*'Imported Price Trends'!$M$19</f>
        <v>14.995469460568639</v>
      </c>
      <c r="Q132" s="240">
        <f>P132*'Imported Price Trends'!$N$19</f>
        <v>15.856844846296855</v>
      </c>
      <c r="R132" s="240">
        <f>Q132*'Imported Price Trends'!$O$19</f>
        <v>17.036341061078048</v>
      </c>
      <c r="S132" s="240">
        <f>R132*'Imported Price Trends'!$O$19</f>
        <v>18.303572971968297</v>
      </c>
      <c r="T132" s="240">
        <f>S132*'Imported Price Trends'!$O$19</f>
        <v>19.66506671468154</v>
      </c>
      <c r="U132" s="240">
        <f>T132*'Imported Price Trends'!$O$19</f>
        <v>21.127833865285485</v>
      </c>
      <c r="V132" s="240">
        <f>U132*'Imported Price Trends'!$O$19</f>
        <v>22.699407549217309</v>
      </c>
      <c r="W132" s="219"/>
      <c r="X132" s="195">
        <f>X130*$E$6</f>
        <v>899999.1</v>
      </c>
      <c r="Y132" s="195">
        <f t="shared" ref="Y132:AA132" si="320">Y130*$E$6</f>
        <v>899999.1</v>
      </c>
      <c r="Z132" s="195">
        <f t="shared" si="320"/>
        <v>899999.1</v>
      </c>
      <c r="AA132" s="195">
        <f t="shared" si="320"/>
        <v>899999.1</v>
      </c>
      <c r="AB132" s="219">
        <f>X132*VLOOKUP($B132,Types!$B$2:$D$13,3,FALSE)*Conv!$I$5*1000*365</f>
        <v>2018860.8253371555</v>
      </c>
      <c r="AC132" s="219">
        <f>Y132*VLOOKUP($B132,Types!$B$2:$D$13,3,FALSE)*Conv!$I$5*1000*365</f>
        <v>2018860.8253371555</v>
      </c>
      <c r="AD132" s="219">
        <f>Z132*VLOOKUP($B132,Types!$B$2:$D$13,3,FALSE)*Conv!$I$5*1000*365</f>
        <v>2018860.8253371555</v>
      </c>
      <c r="AE132" s="219">
        <f>AA132*VLOOKUP($B132,Types!$B$2:$D$13,3,FALSE)*Conv!$I$5*1000*365</f>
        <v>2018860.8253371555</v>
      </c>
      <c r="AF132" s="219">
        <f>AB132-AF131</f>
        <v>224317.8694819056</v>
      </c>
      <c r="AG132" s="219">
        <f t="shared" ref="AG132:AI132" si="321">AC132-AG131</f>
        <v>224317.8694819056</v>
      </c>
      <c r="AH132" s="219">
        <f t="shared" si="321"/>
        <v>224317.8694819056</v>
      </c>
      <c r="AI132" s="219">
        <f t="shared" si="321"/>
        <v>224317.8694819056</v>
      </c>
      <c r="AJ132" s="219"/>
      <c r="AK132" s="219"/>
      <c r="AL132" s="219"/>
    </row>
    <row r="133" spans="1:38">
      <c r="A133" s="195" t="str">
        <f t="shared" si="318"/>
        <v>ULS Diesel (15 ppm)</v>
      </c>
      <c r="B133" s="195" t="str">
        <f>VLOOKUP($A133,Types!$A$2:$C$13,2,FALSE)</f>
        <v>DSU</v>
      </c>
      <c r="C133" s="195">
        <v>4</v>
      </c>
      <c r="D133" s="195">
        <v>2</v>
      </c>
      <c r="E133" s="195" t="str">
        <f t="shared" si="286"/>
        <v>IMPDSUP24</v>
      </c>
      <c r="F133" s="195" t="str">
        <f>CONCATENATE("Imported ",VLOOKUP($A133,Types!$A$2:$C$13,3,FALSE),", PADD ",D133,", Step ",RIGHT(C133,1))</f>
        <v>Imported Distillate-Ultralow Sulfur Highway Diesel (15 ppm), PADD 2, Step 4</v>
      </c>
      <c r="G133" s="195" t="str">
        <f>CONCATENATE(VLOOKUP($A133,Types!$A$2:$C$13,2,FALSE),"P",D133)</f>
        <v>DSUP2</v>
      </c>
      <c r="H133" s="239">
        <f>H130*$C$8</f>
        <v>69.25424000000001</v>
      </c>
      <c r="I133" s="239">
        <f t="shared" ref="I133:K133" si="322">I130*$C$8</f>
        <v>58.043590000000002</v>
      </c>
      <c r="J133" s="239">
        <f t="shared" si="322"/>
        <v>45.060600000000008</v>
      </c>
      <c r="K133" s="239">
        <f t="shared" si="322"/>
        <v>48.733900000000006</v>
      </c>
      <c r="L133" s="240">
        <f>H133*Conv!$J$20/10^6/VLOOKUP($B133,Types!$B$2:$D$13,3,FALSE)/Conv!$I$5</f>
        <v>17.291725123266779</v>
      </c>
      <c r="M133" s="240">
        <f>I133*Conv!$J$20/10^6/VLOOKUP($B133,Types!$B$2:$D$13,3,FALSE)/Conv!$I$5</f>
        <v>14.492597181740731</v>
      </c>
      <c r="N133" s="240">
        <f>M133*'Imported Price Trends'!$K$19</f>
        <v>15.604858477644179</v>
      </c>
      <c r="O133" s="240">
        <f>N133*'Imported Price Trends'!$L$19</f>
        <v>15.456486368571646</v>
      </c>
      <c r="P133" s="240">
        <f>O133*'Imported Price Trends'!$M$19</f>
        <v>16.678634400020226</v>
      </c>
      <c r="Q133" s="240">
        <f>P133*'Imported Price Trends'!$N$19</f>
        <v>17.636694778024058</v>
      </c>
      <c r="R133" s="240">
        <f>Q133*'Imported Price Trends'!$O$19</f>
        <v>18.948583425076606</v>
      </c>
      <c r="S133" s="240">
        <f>R133*'Imported Price Trends'!$O$19</f>
        <v>20.358055652495352</v>
      </c>
      <c r="T133" s="240">
        <f>S133*'Imported Price Trends'!$O$19</f>
        <v>21.872370121431512</v>
      </c>
      <c r="U133" s="240">
        <f>T133*'Imported Price Trends'!$O$19</f>
        <v>23.499325421593042</v>
      </c>
      <c r="V133" s="240">
        <f>U133*'Imported Price Trends'!$O$19</f>
        <v>25.24730023331313</v>
      </c>
      <c r="W133" s="219"/>
      <c r="X133" s="195">
        <f>X130*$E$8</f>
        <v>1199998.8</v>
      </c>
      <c r="Y133" s="195">
        <f t="shared" ref="Y133:AA133" si="323">Y130*$E$8</f>
        <v>1199998.8</v>
      </c>
      <c r="Z133" s="195">
        <f t="shared" si="323"/>
        <v>1199998.8</v>
      </c>
      <c r="AA133" s="195">
        <f t="shared" si="323"/>
        <v>1199998.8</v>
      </c>
      <c r="AB133" s="219">
        <f>X133*VLOOKUP($B133,Types!$B$2:$D$13,3,FALSE)*Conv!$I$5*1000*365</f>
        <v>2691814.4337828746</v>
      </c>
      <c r="AC133" s="219">
        <f>Y133*VLOOKUP($B133,Types!$B$2:$D$13,3,FALSE)*Conv!$I$5*1000*365</f>
        <v>2691814.4337828746</v>
      </c>
      <c r="AD133" s="219">
        <f>Z133*VLOOKUP($B133,Types!$B$2:$D$13,3,FALSE)*Conv!$I$5*1000*365</f>
        <v>2691814.4337828746</v>
      </c>
      <c r="AE133" s="219">
        <f>AA133*VLOOKUP($B133,Types!$B$2:$D$13,3,FALSE)*Conv!$I$5*1000*365</f>
        <v>2691814.4337828746</v>
      </c>
      <c r="AF133" s="219">
        <f>AB133-AB130</f>
        <v>448635.73896381306</v>
      </c>
      <c r="AG133" s="219">
        <f t="shared" ref="AG133:AI133" si="324">AC133-AC130</f>
        <v>448635.73896381306</v>
      </c>
      <c r="AH133" s="219">
        <f t="shared" si="324"/>
        <v>448635.73896381306</v>
      </c>
      <c r="AI133" s="219">
        <f t="shared" si="324"/>
        <v>448635.73896381306</v>
      </c>
      <c r="AJ133" s="219"/>
      <c r="AK133" s="219"/>
      <c r="AL133" s="219"/>
    </row>
    <row r="134" spans="1:38">
      <c r="A134" s="195" t="str">
        <f t="shared" si="318"/>
        <v>ULS Diesel (15 ppm)</v>
      </c>
      <c r="B134" s="195" t="str">
        <f>VLOOKUP($A134,Types!$A$2:$C$13,2,FALSE)</f>
        <v>DSU</v>
      </c>
      <c r="C134" s="195">
        <v>5</v>
      </c>
      <c r="D134" s="195">
        <v>2</v>
      </c>
      <c r="E134" s="195" t="str">
        <f t="shared" si="286"/>
        <v>IMPDSUP25</v>
      </c>
      <c r="F134" s="195" t="str">
        <f>CONCATENATE("Imported ",VLOOKUP($A134,Types!$A$2:$C$13,3,FALSE),", PADD ",D134,", Step ",RIGHT(C134,1))</f>
        <v>Imported Distillate-Ultralow Sulfur Highway Diesel (15 ppm), PADD 2, Step 5</v>
      </c>
      <c r="G134" s="195" t="str">
        <f>CONCATENATE(VLOOKUP($A134,Types!$A$2:$C$13,2,FALSE),"P",D134)</f>
        <v>DSUP2</v>
      </c>
      <c r="H134" s="239">
        <f>H130*$C$9</f>
        <v>82.596800000000002</v>
      </c>
      <c r="I134" s="239">
        <f t="shared" ref="I134:K134" si="325">I130*$C$9</f>
        <v>69.226299999999995</v>
      </c>
      <c r="J134" s="239">
        <f t="shared" si="325"/>
        <v>53.742000000000004</v>
      </c>
      <c r="K134" s="239">
        <f t="shared" si="325"/>
        <v>58.123000000000005</v>
      </c>
      <c r="L134" s="240">
        <f>H134*Conv!$J$20/10^6/VLOOKUP($B134,Types!$B$2:$D$13,3,FALSE)/Conv!$I$5</f>
        <v>20.623158403896152</v>
      </c>
      <c r="M134" s="240">
        <f>I134*Conv!$J$20/10^6/VLOOKUP($B134,Types!$B$2:$D$13,3,FALSE)/Conv!$I$5</f>
        <v>17.284748932351331</v>
      </c>
      <c r="N134" s="240">
        <f>M134*'Imported Price Trends'!$K$19</f>
        <v>18.611299101777462</v>
      </c>
      <c r="O134" s="240">
        <f>N134*'Imported Price Trends'!$L$19</f>
        <v>18.434341540498295</v>
      </c>
      <c r="P134" s="240">
        <f>O134*'Imported Price Trends'!$M$19</f>
        <v>19.891949284427792</v>
      </c>
      <c r="Q134" s="240">
        <f>P134*'Imported Price Trends'!$N$19</f>
        <v>21.034590102230528</v>
      </c>
      <c r="R134" s="240">
        <f>Q134*'Imported Price Trends'!$O$19</f>
        <v>22.599227938164763</v>
      </c>
      <c r="S134" s="240">
        <f>R134*'Imported Price Trends'!$O$19</f>
        <v>24.280249860774276</v>
      </c>
      <c r="T134" s="240">
        <f>S134*'Imported Price Trends'!$O$19</f>
        <v>26.086312988863273</v>
      </c>
      <c r="U134" s="240">
        <f>T134*'Imported Price Trends'!$O$19</f>
        <v>28.026718392725648</v>
      </c>
      <c r="V134" s="240">
        <f>U134*'Imported Price Trends'!$O$19</f>
        <v>30.111458993859699</v>
      </c>
      <c r="W134" s="219"/>
      <c r="X134" s="195">
        <f>X130*$E$9</f>
        <v>1999998</v>
      </c>
      <c r="Y134" s="195">
        <f t="shared" ref="Y134:AA134" si="326">Y130*$E$9</f>
        <v>1999998</v>
      </c>
      <c r="Z134" s="195">
        <f t="shared" si="326"/>
        <v>1999998</v>
      </c>
      <c r="AA134" s="195">
        <f t="shared" si="326"/>
        <v>1999998</v>
      </c>
      <c r="AB134" s="219">
        <f>X134*VLOOKUP($B134,Types!$B$2:$D$13,3,FALSE)*Conv!$I$5*1000*365</f>
        <v>4486357.3896381231</v>
      </c>
      <c r="AC134" s="219">
        <f>Y134*VLOOKUP($B134,Types!$B$2:$D$13,3,FALSE)*Conv!$I$5*1000*365</f>
        <v>4486357.3896381231</v>
      </c>
      <c r="AD134" s="219">
        <f>Z134*VLOOKUP($B134,Types!$B$2:$D$13,3,FALSE)*Conv!$I$5*1000*365</f>
        <v>4486357.3896381231</v>
      </c>
      <c r="AE134" s="219">
        <f>AA134*VLOOKUP($B134,Types!$B$2:$D$13,3,FALSE)*Conv!$I$5*1000*365</f>
        <v>4486357.3896381231</v>
      </c>
      <c r="AF134" s="219">
        <f>AB134-AB133</f>
        <v>1794542.9558552485</v>
      </c>
      <c r="AG134" s="219">
        <f t="shared" ref="AG134:AI134" si="327">AC134-AC133</f>
        <v>1794542.9558552485</v>
      </c>
      <c r="AH134" s="219">
        <f t="shared" si="327"/>
        <v>1794542.9558552485</v>
      </c>
      <c r="AI134" s="219">
        <f t="shared" si="327"/>
        <v>1794542.9558552485</v>
      </c>
      <c r="AJ134" s="219"/>
      <c r="AK134" s="219"/>
      <c r="AL134" s="219"/>
    </row>
    <row r="135" spans="1:38">
      <c r="A135" s="195" t="s">
        <v>588</v>
      </c>
      <c r="H135" s="239"/>
      <c r="I135" s="239"/>
      <c r="J135" s="239"/>
      <c r="K135" s="239"/>
      <c r="L135" s="240"/>
      <c r="M135" s="240"/>
      <c r="N135" s="240"/>
      <c r="O135" s="240"/>
      <c r="P135" s="240"/>
      <c r="Q135" s="240"/>
      <c r="R135" s="240"/>
      <c r="S135" s="240"/>
      <c r="T135" s="240"/>
      <c r="U135" s="240"/>
      <c r="V135" s="240"/>
      <c r="W135" s="219"/>
      <c r="AB135" s="219"/>
      <c r="AC135" s="219"/>
      <c r="AD135" s="219"/>
      <c r="AE135" s="219"/>
      <c r="AF135" s="219"/>
      <c r="AG135" s="219"/>
      <c r="AH135" s="219"/>
      <c r="AI135" s="219"/>
      <c r="AJ135" s="219"/>
      <c r="AK135" s="219"/>
      <c r="AL135" s="219"/>
    </row>
    <row r="136" spans="1:38" s="202" customFormat="1">
      <c r="A136" s="202" t="s">
        <v>726</v>
      </c>
      <c r="H136" s="241"/>
      <c r="I136" s="241"/>
      <c r="J136" s="241"/>
      <c r="K136" s="241"/>
      <c r="L136" s="242"/>
      <c r="M136" s="242"/>
      <c r="N136" s="242"/>
      <c r="O136" s="242"/>
      <c r="P136" s="242"/>
      <c r="Q136" s="242"/>
      <c r="R136" s="242"/>
      <c r="S136" s="242"/>
      <c r="T136" s="242"/>
      <c r="U136" s="242"/>
      <c r="V136" s="242"/>
    </row>
    <row r="137" spans="1:38">
      <c r="A137" s="195" t="str">
        <f>'Agg prdcrv'!$A$6</f>
        <v>Reformulated Mogas</v>
      </c>
      <c r="B137" s="195" t="str">
        <f>VLOOKUP($A137,Types!$A$2:$C$13,2,FALSE)</f>
        <v>GSR</v>
      </c>
      <c r="C137" s="195">
        <v>3</v>
      </c>
      <c r="D137" s="195">
        <v>3</v>
      </c>
      <c r="E137" s="195" t="str">
        <f t="shared" ref="E137:E180" si="328">CONCATENATE("IMP",G137,RIGHT(C137,1))</f>
        <v>IMPGSRP33</v>
      </c>
      <c r="F137" s="195" t="str">
        <f>CONCATENATE("Imported ",VLOOKUP($A137,Types!$A$2:$C$13,3,FALSE),", PADD ",D137,", Step ",RIGHT(C137,1))</f>
        <v>Imported Reformulated Gasoline, PADD 3, Step 3</v>
      </c>
      <c r="G137" s="195" t="str">
        <f>CONCATENATE(VLOOKUP($A137,Types!$A$2:$C$13,2,FALSE),"P",D137)</f>
        <v>GSRP3</v>
      </c>
      <c r="H137" s="239">
        <f>SUMIFS('Agg prdcrv NYC'!$N$6:$N$100,'Agg prdcrv NYC'!$A$6:$A$100,'Imp Refined NYC'!$A137,'Agg prdcrv NYC'!$B$6:$B$100,H$11)*K4</f>
        <v>68.233000000000004</v>
      </c>
      <c r="I137" s="239">
        <f>SUMIFS('Agg prdcrv NYC'!$N$6:$N$100,'Agg prdcrv NYC'!$A$6:$A$100,'Imp Refined NYC'!$A137,'Agg prdcrv NYC'!$B$6:$B$100,I$11)*K4</f>
        <v>124.91600000000001</v>
      </c>
      <c r="J137" s="239">
        <f t="array" ref="J137">SUMIFS('Agg prdcrv NYC'!$N$6:$N$100,'Agg prdcrv NYC'!$A$6:$A$100,'Imp Refined NYC'!$A137,'Agg prdcrv NYC'!$B$6:$B$100,J$11)</f>
        <v>113.56</v>
      </c>
      <c r="K137" s="239">
        <f t="array" ref="K137">SUMIFS('Agg prdcrv NYC'!$N$6:$N$100,'Agg prdcrv NYC'!$A$6:$A$100,'Imp Refined NYC'!$A137,'Agg prdcrv NYC'!$B$6:$B$100,K$11)</f>
        <v>113.56</v>
      </c>
      <c r="L137" s="240">
        <f>H137*Conv!$J$20/10^6/VLOOKUP($B137,Types!$B$2:$D$13,3,FALSE)/Conv!$I$5</f>
        <v>19.269707503062243</v>
      </c>
      <c r="M137" s="240">
        <f>I137*Conv!$J$20/10^6/VLOOKUP($B137,Types!$B$2:$D$13,3,FALSE)/Conv!$I$5</f>
        <v>35.277575109588071</v>
      </c>
      <c r="N137" s="240">
        <f>M137*'Imported Price Trends'!$K$19</f>
        <v>37.985018152106186</v>
      </c>
      <c r="O137" s="240">
        <f>N137*'Imported Price Trends'!$L$19</f>
        <v>37.623853886216779</v>
      </c>
      <c r="P137" s="240">
        <f>O137*'Imported Price Trends'!$M$19</f>
        <v>40.598780908185098</v>
      </c>
      <c r="Q137" s="240">
        <f>P137*'Imported Price Trends'!$N$19</f>
        <v>42.930871321015509</v>
      </c>
      <c r="R137" s="240">
        <f>Q137*'Imported Price Trends'!$O$19</f>
        <v>46.124243061183712</v>
      </c>
      <c r="S137" s="240">
        <f>R137*'Imported Price Trends'!$O$19</f>
        <v>49.55515069934598</v>
      </c>
      <c r="T137" s="240">
        <f>S137*'Imported Price Trends'!$O$19</f>
        <v>53.241263115741368</v>
      </c>
      <c r="U137" s="240">
        <f>T137*'Imported Price Trends'!$O$19</f>
        <v>57.201563473340691</v>
      </c>
      <c r="V137" s="240">
        <f>U137*'Imported Price Trends'!$O$19</f>
        <v>61.456446979508556</v>
      </c>
      <c r="W137" s="219"/>
      <c r="X137" s="195">
        <f t="array" ref="X137">SUMIFS('Agg prdcrv NYC'!$F$6:$F$100,'Agg prdcrv NYC'!$A$6:$A$100,'Imp Refined NYC'!$A137,'Agg prdcrv NYC'!$B$6:$B$100,X$11)</f>
        <v>999999</v>
      </c>
      <c r="Y137" s="195">
        <f t="array" ref="Y137">SUMIFS('Agg prdcrv NYC'!$F$6:$F$100,'Agg prdcrv NYC'!$A$6:$A$100,'Imp Refined NYC'!$A137,'Agg prdcrv NYC'!$B$6:$B$100,Y$11)</f>
        <v>999999</v>
      </c>
      <c r="Z137" s="195">
        <f t="array" ref="Z137">SUMIFS('Agg prdcrv NYC'!$F$6:$F$100,'Agg prdcrv NYC'!$A$6:$A$100,'Imp Refined NYC'!$A137,'Agg prdcrv NYC'!$B$6:$B$100,Z$11)</f>
        <v>999999</v>
      </c>
      <c r="AA137" s="195">
        <f t="array" ref="AA137">SUMIFS('Agg prdcrv NYC'!$F$6:$F$100,'Agg prdcrv NYC'!$A$6:$A$100,'Imp Refined NYC'!$A137,'Agg prdcrv NYC'!$B$6:$B$100,AA$11)</f>
        <v>999999</v>
      </c>
      <c r="AB137" s="219">
        <f>X137*VLOOKUP($B137,Types!$B$2:$D$13,3,FALSE)*Conv!$I$5*1000*365</f>
        <v>1983239.5327584841</v>
      </c>
      <c r="AC137" s="219">
        <f>Y137*VLOOKUP($B137,Types!$B$2:$D$13,3,FALSE)*Conv!$I$5*1000*365</f>
        <v>1983239.5327584841</v>
      </c>
      <c r="AD137" s="219">
        <f>Z137*VLOOKUP($B137,Types!$B$2:$D$13,3,FALSE)*Conv!$I$5*1000*365</f>
        <v>1983239.5327584841</v>
      </c>
      <c r="AE137" s="219">
        <f>AA137*VLOOKUP($B137,Types!$B$2:$D$13,3,FALSE)*Conv!$I$5*1000*365</f>
        <v>1983239.5327584841</v>
      </c>
      <c r="AF137" s="219">
        <f>AB137-AB139</f>
        <v>198323.95327584841</v>
      </c>
      <c r="AG137" s="219">
        <f t="shared" ref="AG137:AI137" si="329">AC137-AC139</f>
        <v>198323.95327584841</v>
      </c>
      <c r="AH137" s="219">
        <f t="shared" si="329"/>
        <v>198323.95327584841</v>
      </c>
      <c r="AI137" s="219">
        <f t="shared" si="329"/>
        <v>198323.95327584841</v>
      </c>
      <c r="AJ137" s="219"/>
      <c r="AK137" s="219"/>
      <c r="AL137" s="219"/>
    </row>
    <row r="138" spans="1:38">
      <c r="A138" s="195" t="str">
        <f>A137</f>
        <v>Reformulated Mogas</v>
      </c>
      <c r="B138" s="195" t="str">
        <f>VLOOKUP($A138,Types!$A$2:$C$13,2,FALSE)</f>
        <v>GSR</v>
      </c>
      <c r="C138" s="195">
        <v>1</v>
      </c>
      <c r="D138" s="195">
        <v>3</v>
      </c>
      <c r="E138" s="195" t="str">
        <f t="shared" si="328"/>
        <v>IMPGSRP31</v>
      </c>
      <c r="F138" s="195" t="str">
        <f>CONCATENATE("Imported ",VLOOKUP($A138,Types!$A$2:$C$13,3,FALSE),", PADD ",D138,", Step ",RIGHT(C138,1))</f>
        <v>Imported Reformulated Gasoline, PADD 3, Step 1</v>
      </c>
      <c r="G138" s="195" t="str">
        <f>CONCATENATE(VLOOKUP($A138,Types!$A$2:$C$13,2,FALSE),"P",D138)</f>
        <v>GSRP3</v>
      </c>
      <c r="H138" s="239">
        <f>H137*$C$5</f>
        <v>64.821349999999995</v>
      </c>
      <c r="I138" s="239">
        <f t="shared" ref="I138:K138" si="330">I137*$C$5</f>
        <v>118.67020000000001</v>
      </c>
      <c r="J138" s="239">
        <f t="shared" si="330"/>
        <v>107.88199999999999</v>
      </c>
      <c r="K138" s="239">
        <f t="shared" si="330"/>
        <v>107.88199999999999</v>
      </c>
      <c r="L138" s="240">
        <f>H138*Conv!$J$20/10^6/VLOOKUP($B138,Types!$B$2:$D$13,3,FALSE)/Conv!$I$5</f>
        <v>18.306222127909123</v>
      </c>
      <c r="M138" s="240">
        <f>I138*Conv!$J$20/10^6/VLOOKUP($B138,Types!$B$2:$D$13,3,FALSE)/Conv!$I$5</f>
        <v>33.51369635410866</v>
      </c>
      <c r="N138" s="240">
        <f>M138*'Imported Price Trends'!$K$19</f>
        <v>36.085767244500872</v>
      </c>
      <c r="O138" s="240">
        <f>N138*'Imported Price Trends'!$L$19</f>
        <v>35.742661191905938</v>
      </c>
      <c r="P138" s="240">
        <f>O138*'Imported Price Trends'!$M$19</f>
        <v>38.568841862775841</v>
      </c>
      <c r="Q138" s="240">
        <f>P138*'Imported Price Trends'!$N$19</f>
        <v>40.784327754964728</v>
      </c>
      <c r="R138" s="240">
        <f>Q138*'Imported Price Trends'!$O$19</f>
        <v>43.81803090812452</v>
      </c>
      <c r="S138" s="240">
        <f>R138*'Imported Price Trends'!$O$19</f>
        <v>47.07739316437867</v>
      </c>
      <c r="T138" s="240">
        <f>S138*'Imported Price Trends'!$O$19</f>
        <v>50.579199959954288</v>
      </c>
      <c r="U138" s="240">
        <f>T138*'Imported Price Trends'!$O$19</f>
        <v>54.341485299673643</v>
      </c>
      <c r="V138" s="240">
        <f>U138*'Imported Price Trends'!$O$19</f>
        <v>58.383624630533113</v>
      </c>
      <c r="W138" s="219"/>
      <c r="X138" s="195">
        <f>X137*$E$5</f>
        <v>799999.20000000007</v>
      </c>
      <c r="Y138" s="195">
        <f t="shared" ref="Y138:AA138" si="331">Y137*$E$5</f>
        <v>799999.20000000007</v>
      </c>
      <c r="Z138" s="195">
        <f t="shared" si="331"/>
        <v>799999.20000000007</v>
      </c>
      <c r="AA138" s="195">
        <f t="shared" si="331"/>
        <v>799999.20000000007</v>
      </c>
      <c r="AB138" s="219">
        <f>X138*VLOOKUP($B138,Types!$B$2:$D$13,3,FALSE)*Conv!$I$5*1000*365</f>
        <v>1586591.6262067873</v>
      </c>
      <c r="AC138" s="219">
        <f>Y138*VLOOKUP($B138,Types!$B$2:$D$13,3,FALSE)*Conv!$I$5*1000*365</f>
        <v>1586591.6262067873</v>
      </c>
      <c r="AD138" s="219">
        <f>Z138*VLOOKUP($B138,Types!$B$2:$D$13,3,FALSE)*Conv!$I$5*1000*365</f>
        <v>1586591.6262067873</v>
      </c>
      <c r="AE138" s="219">
        <f>AA138*VLOOKUP($B138,Types!$B$2:$D$13,3,FALSE)*Conv!$I$5*1000*365</f>
        <v>1586591.6262067873</v>
      </c>
      <c r="AF138" s="219">
        <f>AB138</f>
        <v>1586591.6262067873</v>
      </c>
      <c r="AG138" s="219">
        <f t="shared" ref="AG138:AI138" si="332">AC138</f>
        <v>1586591.6262067873</v>
      </c>
      <c r="AH138" s="219">
        <f t="shared" si="332"/>
        <v>1586591.6262067873</v>
      </c>
      <c r="AI138" s="219">
        <f t="shared" si="332"/>
        <v>1586591.6262067873</v>
      </c>
      <c r="AJ138" s="219"/>
      <c r="AK138" s="219"/>
      <c r="AL138" s="219"/>
    </row>
    <row r="139" spans="1:38">
      <c r="A139" s="195" t="str">
        <f t="shared" ref="A139:A141" si="333">A138</f>
        <v>Reformulated Mogas</v>
      </c>
      <c r="B139" s="195" t="str">
        <f>VLOOKUP($A139,Types!$A$2:$C$13,2,FALSE)</f>
        <v>GSR</v>
      </c>
      <c r="C139" s="195">
        <v>2</v>
      </c>
      <c r="D139" s="195">
        <v>3</v>
      </c>
      <c r="E139" s="195" t="str">
        <f t="shared" si="328"/>
        <v>IMPGSRP32</v>
      </c>
      <c r="F139" s="195" t="str">
        <f>CONCATENATE("Imported ",VLOOKUP($A139,Types!$A$2:$C$13,3,FALSE),", PADD ",D139,", Step ",RIGHT(C139,1))</f>
        <v>Imported Reformulated Gasoline, PADD 3, Step 2</v>
      </c>
      <c r="G139" s="195" t="str">
        <f>CONCATENATE(VLOOKUP($A139,Types!$A$2:$C$13,2,FALSE),"P",D139)</f>
        <v>GSRP3</v>
      </c>
      <c r="H139" s="239">
        <f>H137*$C$6</f>
        <v>66.868340000000003</v>
      </c>
      <c r="I139" s="239">
        <f t="shared" ref="I139:K139" si="334">I137*$C$6</f>
        <v>122.41768</v>
      </c>
      <c r="J139" s="239">
        <f t="shared" si="334"/>
        <v>111.28879999999999</v>
      </c>
      <c r="K139" s="239">
        <f t="shared" si="334"/>
        <v>111.28879999999999</v>
      </c>
      <c r="L139" s="240">
        <f>H139*Conv!$J$20/10^6/VLOOKUP($B139,Types!$B$2:$D$13,3,FALSE)/Conv!$I$5</f>
        <v>18.884313353000994</v>
      </c>
      <c r="M139" s="240">
        <f>I139*Conv!$J$20/10^6/VLOOKUP($B139,Types!$B$2:$D$13,3,FALSE)/Conv!$I$5</f>
        <v>34.572023607396304</v>
      </c>
      <c r="N139" s="240">
        <f>M139*'Imported Price Trends'!$K$19</f>
        <v>37.225317789064057</v>
      </c>
      <c r="O139" s="240">
        <f>N139*'Imported Price Trends'!$L$19</f>
        <v>36.871376808492435</v>
      </c>
      <c r="P139" s="240">
        <f>O139*'Imported Price Trends'!$M$19</f>
        <v>39.786805290021391</v>
      </c>
      <c r="Q139" s="240">
        <f>P139*'Imported Price Trends'!$N$19</f>
        <v>42.072253894595192</v>
      </c>
      <c r="R139" s="240">
        <f>Q139*'Imported Price Trends'!$O$19</f>
        <v>45.201758199960032</v>
      </c>
      <c r="S139" s="240">
        <f>R139*'Imported Price Trends'!$O$19</f>
        <v>48.56404768535905</v>
      </c>
      <c r="T139" s="240">
        <f>S139*'Imported Price Trends'!$O$19</f>
        <v>52.176437853426528</v>
      </c>
      <c r="U139" s="240">
        <f>T139*'Imported Price Trends'!$O$19</f>
        <v>56.057532203873862</v>
      </c>
      <c r="V139" s="240">
        <f>U139*'Imported Price Trends'!$O$19</f>
        <v>60.227318039918366</v>
      </c>
      <c r="W139" s="219"/>
      <c r="X139" s="195">
        <f>X137*$E$6</f>
        <v>899999.1</v>
      </c>
      <c r="Y139" s="195">
        <f t="shared" ref="Y139:AA139" si="335">Y137*$E$6</f>
        <v>899999.1</v>
      </c>
      <c r="Z139" s="195">
        <f t="shared" si="335"/>
        <v>899999.1</v>
      </c>
      <c r="AA139" s="195">
        <f t="shared" si="335"/>
        <v>899999.1</v>
      </c>
      <c r="AB139" s="219">
        <f>X139*VLOOKUP($B139,Types!$B$2:$D$13,3,FALSE)*Conv!$I$5*1000*365</f>
        <v>1784915.5794826357</v>
      </c>
      <c r="AC139" s="219">
        <f>Y139*VLOOKUP($B139,Types!$B$2:$D$13,3,FALSE)*Conv!$I$5*1000*365</f>
        <v>1784915.5794826357</v>
      </c>
      <c r="AD139" s="219">
        <f>Z139*VLOOKUP($B139,Types!$B$2:$D$13,3,FALSE)*Conv!$I$5*1000*365</f>
        <v>1784915.5794826357</v>
      </c>
      <c r="AE139" s="219">
        <f>AA139*VLOOKUP($B139,Types!$B$2:$D$13,3,FALSE)*Conv!$I$5*1000*365</f>
        <v>1784915.5794826357</v>
      </c>
      <c r="AF139" s="219">
        <f>AB139-AF138</f>
        <v>198323.95327584841</v>
      </c>
      <c r="AG139" s="219">
        <f t="shared" ref="AG139:AI139" si="336">AC139-AG138</f>
        <v>198323.95327584841</v>
      </c>
      <c r="AH139" s="219">
        <f t="shared" si="336"/>
        <v>198323.95327584841</v>
      </c>
      <c r="AI139" s="219">
        <f t="shared" si="336"/>
        <v>198323.95327584841</v>
      </c>
      <c r="AJ139" s="219"/>
      <c r="AK139" s="219"/>
      <c r="AL139" s="219"/>
    </row>
    <row r="140" spans="1:38">
      <c r="A140" s="195" t="str">
        <f t="shared" si="333"/>
        <v>Reformulated Mogas</v>
      </c>
      <c r="B140" s="195" t="str">
        <f>VLOOKUP($A140,Types!$A$2:$C$13,2,FALSE)</f>
        <v>GSR</v>
      </c>
      <c r="C140" s="195">
        <v>4</v>
      </c>
      <c r="D140" s="195">
        <v>3</v>
      </c>
      <c r="E140" s="195" t="str">
        <f t="shared" si="328"/>
        <v>IMPGSRP34</v>
      </c>
      <c r="F140" s="195" t="str">
        <f>CONCATENATE("Imported ",VLOOKUP($A140,Types!$A$2:$C$13,3,FALSE),", PADD ",D140,", Step ",RIGHT(C140,1))</f>
        <v>Imported Reformulated Gasoline, PADD 3, Step 4</v>
      </c>
      <c r="G140" s="195" t="str">
        <f>CONCATENATE(VLOOKUP($A140,Types!$A$2:$C$13,2,FALSE),"P",D140)</f>
        <v>GSRP3</v>
      </c>
      <c r="H140" s="239">
        <f>H137*$C$8</f>
        <v>74.373970000000014</v>
      </c>
      <c r="I140" s="239">
        <f t="shared" ref="I140:K140" si="337">I137*$C$8</f>
        <v>136.15844000000001</v>
      </c>
      <c r="J140" s="239">
        <f t="shared" si="337"/>
        <v>123.78040000000001</v>
      </c>
      <c r="K140" s="239">
        <f t="shared" si="337"/>
        <v>123.78040000000001</v>
      </c>
      <c r="L140" s="240">
        <f>H140*Conv!$J$20/10^6/VLOOKUP($B140,Types!$B$2:$D$13,3,FALSE)/Conv!$I$5</f>
        <v>21.003981178337842</v>
      </c>
      <c r="M140" s="240">
        <f>I140*Conv!$J$20/10^6/VLOOKUP($B140,Types!$B$2:$D$13,3,FALSE)/Conv!$I$5</f>
        <v>38.452556869451001</v>
      </c>
      <c r="N140" s="240">
        <f>M140*'Imported Price Trends'!$K$19</f>
        <v>41.403669785795749</v>
      </c>
      <c r="O140" s="240">
        <f>N140*'Imported Price Trends'!$L$19</f>
        <v>41.010000735976298</v>
      </c>
      <c r="P140" s="240">
        <f>O140*'Imported Price Trends'!$M$19</f>
        <v>44.25267118992177</v>
      </c>
      <c r="Q140" s="240">
        <f>P140*'Imported Price Trends'!$N$19</f>
        <v>46.794649739906916</v>
      </c>
      <c r="R140" s="240">
        <f>Q140*'Imported Price Trends'!$O$19</f>
        <v>50.275424936690257</v>
      </c>
      <c r="S140" s="240">
        <f>R140*'Imported Price Trends'!$O$19</f>
        <v>54.015114262287128</v>
      </c>
      <c r="T140" s="240">
        <f>S140*'Imported Price Trends'!$O$19</f>
        <v>58.032976796158103</v>
      </c>
      <c r="U140" s="240">
        <f>T140*'Imported Price Trends'!$O$19</f>
        <v>62.349704185941363</v>
      </c>
      <c r="V140" s="240">
        <f>U140*'Imported Price Trends'!$O$19</f>
        <v>66.987527207664328</v>
      </c>
      <c r="W140" s="219"/>
      <c r="X140" s="195">
        <f>X137*$E$8</f>
        <v>1199998.8</v>
      </c>
      <c r="Y140" s="195">
        <f t="shared" ref="Y140:AA140" si="338">Y137*$E$8</f>
        <v>1199998.8</v>
      </c>
      <c r="Z140" s="195">
        <f t="shared" si="338"/>
        <v>1199998.8</v>
      </c>
      <c r="AA140" s="195">
        <f t="shared" si="338"/>
        <v>1199998.8</v>
      </c>
      <c r="AB140" s="219">
        <f>X140*VLOOKUP($B140,Types!$B$2:$D$13,3,FALSE)*Conv!$I$5*1000*365</f>
        <v>2379887.439310181</v>
      </c>
      <c r="AC140" s="219">
        <f>Y140*VLOOKUP($B140,Types!$B$2:$D$13,3,FALSE)*Conv!$I$5*1000*365</f>
        <v>2379887.439310181</v>
      </c>
      <c r="AD140" s="219">
        <f>Z140*VLOOKUP($B140,Types!$B$2:$D$13,3,FALSE)*Conv!$I$5*1000*365</f>
        <v>2379887.439310181</v>
      </c>
      <c r="AE140" s="219">
        <f>AA140*VLOOKUP($B140,Types!$B$2:$D$13,3,FALSE)*Conv!$I$5*1000*365</f>
        <v>2379887.439310181</v>
      </c>
      <c r="AF140" s="219">
        <f>AB140-AB137</f>
        <v>396647.90655169683</v>
      </c>
      <c r="AG140" s="219">
        <f t="shared" ref="AG140:AI140" si="339">AC140-AC137</f>
        <v>396647.90655169683</v>
      </c>
      <c r="AH140" s="219">
        <f t="shared" si="339"/>
        <v>396647.90655169683</v>
      </c>
      <c r="AI140" s="219">
        <f t="shared" si="339"/>
        <v>396647.90655169683</v>
      </c>
      <c r="AJ140" s="219"/>
      <c r="AK140" s="219"/>
      <c r="AL140" s="219"/>
    </row>
    <row r="141" spans="1:38">
      <c r="A141" s="195" t="str">
        <f t="shared" si="333"/>
        <v>Reformulated Mogas</v>
      </c>
      <c r="B141" s="195" t="str">
        <f>VLOOKUP($A141,Types!$A$2:$C$13,2,FALSE)</f>
        <v>GSR</v>
      </c>
      <c r="C141" s="195">
        <v>5</v>
      </c>
      <c r="D141" s="195">
        <v>3</v>
      </c>
      <c r="E141" s="195" t="str">
        <f t="shared" si="328"/>
        <v>IMPGSRP35</v>
      </c>
      <c r="F141" s="195" t="str">
        <f>CONCATENATE("Imported ",VLOOKUP($A141,Types!$A$2:$C$13,3,FALSE),", PADD ",D141,", Step ",RIGHT(C141,1))</f>
        <v>Imported Reformulated Gasoline, PADD 3, Step 5</v>
      </c>
      <c r="G141" s="195" t="str">
        <f>CONCATENATE(VLOOKUP($A141,Types!$A$2:$C$13,2,FALSE),"P",D141)</f>
        <v>GSRP3</v>
      </c>
      <c r="H141" s="239">
        <f>H137*$C$9</f>
        <v>88.702900000000014</v>
      </c>
      <c r="I141" s="239">
        <f t="shared" ref="I141:K141" si="340">I137*$C$9</f>
        <v>162.39080000000001</v>
      </c>
      <c r="J141" s="239">
        <f t="shared" si="340"/>
        <v>147.62800000000001</v>
      </c>
      <c r="K141" s="239">
        <f t="shared" si="340"/>
        <v>147.62800000000001</v>
      </c>
      <c r="L141" s="240">
        <f>H141*Conv!$J$20/10^6/VLOOKUP($B141,Types!$B$2:$D$13,3,FALSE)/Conv!$I$5</f>
        <v>25.050619753980918</v>
      </c>
      <c r="M141" s="240">
        <f>I141*Conv!$J$20/10^6/VLOOKUP($B141,Types!$B$2:$D$13,3,FALSE)/Conv!$I$5</f>
        <v>45.860847642464492</v>
      </c>
      <c r="N141" s="240">
        <f>M141*'Imported Price Trends'!$K$19</f>
        <v>49.380523597738048</v>
      </c>
      <c r="O141" s="240">
        <f>N141*'Imported Price Trends'!$L$19</f>
        <v>48.911010052081821</v>
      </c>
      <c r="P141" s="240">
        <f>O141*'Imported Price Trends'!$M$19</f>
        <v>52.778415180640636</v>
      </c>
      <c r="Q141" s="240">
        <f>P141*'Imported Price Trends'!$N$19</f>
        <v>55.810132717320165</v>
      </c>
      <c r="R141" s="240">
        <f>Q141*'Imported Price Trends'!$O$19</f>
        <v>59.961515979538831</v>
      </c>
      <c r="S141" s="240">
        <f>R141*'Imported Price Trends'!$O$19</f>
        <v>64.421695909149776</v>
      </c>
      <c r="T141" s="240">
        <f>S141*'Imported Price Trends'!$O$19</f>
        <v>69.213642050463775</v>
      </c>
      <c r="U141" s="240">
        <f>T141*'Imported Price Trends'!$O$19</f>
        <v>74.362032515342889</v>
      </c>
      <c r="V141" s="240">
        <f>U141*'Imported Price Trends'!$O$19</f>
        <v>79.893381073361112</v>
      </c>
      <c r="W141" s="219"/>
      <c r="X141" s="195">
        <f>X137*$E$9</f>
        <v>1999998</v>
      </c>
      <c r="Y141" s="195">
        <f t="shared" ref="Y141:AA141" si="341">Y137*$E$9</f>
        <v>1999998</v>
      </c>
      <c r="Z141" s="195">
        <f t="shared" si="341"/>
        <v>1999998</v>
      </c>
      <c r="AA141" s="195">
        <f t="shared" si="341"/>
        <v>1999998</v>
      </c>
      <c r="AB141" s="219">
        <f>X141*VLOOKUP($B141,Types!$B$2:$D$13,3,FALSE)*Conv!$I$5*1000*365</f>
        <v>3966479.0655169683</v>
      </c>
      <c r="AC141" s="219">
        <f>Y141*VLOOKUP($B141,Types!$B$2:$D$13,3,FALSE)*Conv!$I$5*1000*365</f>
        <v>3966479.0655169683</v>
      </c>
      <c r="AD141" s="219">
        <f>Z141*VLOOKUP($B141,Types!$B$2:$D$13,3,FALSE)*Conv!$I$5*1000*365</f>
        <v>3966479.0655169683</v>
      </c>
      <c r="AE141" s="219">
        <f>AA141*VLOOKUP($B141,Types!$B$2:$D$13,3,FALSE)*Conv!$I$5*1000*365</f>
        <v>3966479.0655169683</v>
      </c>
      <c r="AF141" s="219">
        <f>AB141-AB140</f>
        <v>1586591.6262067873</v>
      </c>
      <c r="AG141" s="219">
        <f t="shared" ref="AG141:AI141" si="342">AC141-AC140</f>
        <v>1586591.6262067873</v>
      </c>
      <c r="AH141" s="219">
        <f t="shared" si="342"/>
        <v>1586591.6262067873</v>
      </c>
      <c r="AI141" s="219">
        <f t="shared" si="342"/>
        <v>1586591.6262067873</v>
      </c>
      <c r="AJ141" s="219"/>
      <c r="AK141" s="219"/>
      <c r="AL141" s="219"/>
    </row>
    <row r="142" spans="1:38">
      <c r="A142" s="195" t="str">
        <f>'Agg prdcrv'!$A$7</f>
        <v>Conventional Mogas</v>
      </c>
      <c r="B142" s="195" t="str">
        <f>VLOOKUP($A142,Types!$A$2:$C$13,2,FALSE)</f>
        <v>GSC</v>
      </c>
      <c r="C142" s="195">
        <v>3</v>
      </c>
      <c r="D142" s="195">
        <v>3</v>
      </c>
      <c r="E142" s="195" t="str">
        <f t="shared" si="328"/>
        <v>IMPGSCP33</v>
      </c>
      <c r="F142" s="195" t="str">
        <f>CONCATENATE("Imported ",VLOOKUP($A142,Types!$A$2:$C$13,3,FALSE),", PADD ",D142,", Step ",RIGHT(C142,1))</f>
        <v>Imported Conventional Gasoline, PADD 3, Step 3</v>
      </c>
      <c r="G142" s="195" t="str">
        <f>CONCATENATE(VLOOKUP($A142,Types!$A$2:$C$13,2,FALSE),"P",D142)</f>
        <v>GSCP3</v>
      </c>
      <c r="H142" s="239">
        <f>SUMIFS('Agg prdcrv NYC'!$N$6:$N$100,'Agg prdcrv NYC'!$A$6:$A$100,'Imp Refined NYC'!$A142,'Agg prdcrv NYC'!$B$6:$B$100,H$11)*K4</f>
        <v>66.077000000000012</v>
      </c>
      <c r="I142" s="239">
        <f>SUMIFS('Agg prdcrv NYC'!$N$6:$N$100,'Agg prdcrv NYC'!$A$6:$A$100,'Imp Refined NYC'!$A142,'Agg prdcrv NYC'!$B$6:$B$100,I$11)*K4</f>
        <v>54.78</v>
      </c>
      <c r="J142" s="239">
        <f t="array" ref="J142">SUMIFS('Agg prdcrv NYC'!$N$6:$N$100,'Agg prdcrv NYC'!$A$6:$A$100,'Imp Refined NYC'!$A142,'Agg prdcrv NYC'!$B$6:$B$100,J$11)</f>
        <v>43.07</v>
      </c>
      <c r="K142" s="239">
        <f t="array" ref="K142">SUMIFS('Agg prdcrv NYC'!$N$6:$N$100,'Agg prdcrv NYC'!$A$6:$A$100,'Imp Refined NYC'!$A142,'Agg prdcrv NYC'!$B$6:$B$100,K$11)</f>
        <v>46.65</v>
      </c>
      <c r="L142" s="240">
        <f>H142*Conv!$J$20/10^6/VLOOKUP($B142,Types!$B$2:$D$13,3,FALSE)/Conv!$I$5</f>
        <v>18.29493208076024</v>
      </c>
      <c r="M142" s="240">
        <f>I142*Conv!$J$20/10^6/VLOOKUP($B142,Types!$B$2:$D$13,3,FALSE)/Conv!$I$5</f>
        <v>15.167098678572664</v>
      </c>
      <c r="N142" s="240">
        <f>M142*'Imported Price Trends'!$K$19</f>
        <v>16.331125844978626</v>
      </c>
      <c r="O142" s="240">
        <f>N142*'Imported Price Trends'!$L$19</f>
        <v>16.175848333899637</v>
      </c>
      <c r="P142" s="240">
        <f>O142*'Imported Price Trends'!$M$19</f>
        <v>17.454876486021192</v>
      </c>
      <c r="Q142" s="240">
        <f>P142*'Imported Price Trends'!$N$19</f>
        <v>18.457526053313547</v>
      </c>
      <c r="R142" s="240">
        <f>Q142*'Imported Price Trends'!$O$19</f>
        <v>19.830471448512565</v>
      </c>
      <c r="S142" s="240">
        <f>R142*'Imported Price Trends'!$O$19</f>
        <v>21.305542071803014</v>
      </c>
      <c r="T142" s="240">
        <f>S142*'Imported Price Trends'!$O$19</f>
        <v>22.890334410451757</v>
      </c>
      <c r="U142" s="240">
        <f>T142*'Imported Price Trends'!$O$19</f>
        <v>24.593010009154405</v>
      </c>
      <c r="V142" s="240">
        <f>U142*'Imported Price Trends'!$O$19</f>
        <v>26.42233750129089</v>
      </c>
      <c r="W142" s="219"/>
      <c r="X142" s="195">
        <f t="array" ref="X142">SUMIFS('Agg prdcrv NYC'!$F$6:$F$100,'Agg prdcrv NYC'!$A$6:$A$100,'Imp Refined NYC'!$A142,'Agg prdcrv NYC'!$B$6:$B$100,X$11)</f>
        <v>999999</v>
      </c>
      <c r="Y142" s="195">
        <f t="array" ref="Y142">SUMIFS('Agg prdcrv NYC'!$F$6:$F$100,'Agg prdcrv NYC'!$A$6:$A$100,'Imp Refined NYC'!$A142,'Agg prdcrv NYC'!$B$6:$B$100,Y$11)</f>
        <v>999999</v>
      </c>
      <c r="Z142" s="195">
        <f t="array" ref="Z142">SUMIFS('Agg prdcrv NYC'!$F$6:$F$100,'Agg prdcrv NYC'!$A$6:$A$100,'Imp Refined NYC'!$A142,'Agg prdcrv NYC'!$B$6:$B$100,Z$11)</f>
        <v>999999</v>
      </c>
      <c r="AA142" s="195">
        <f t="array" ref="AA142">SUMIFS('Agg prdcrv NYC'!$F$6:$F$100,'Agg prdcrv NYC'!$A$6:$A$100,'Imp Refined NYC'!$A142,'Agg prdcrv NYC'!$B$6:$B$100,AA$11)</f>
        <v>999999</v>
      </c>
      <c r="AB142" s="219">
        <f>X142*VLOOKUP($B142,Types!$B$2:$D$13,3,FALSE)*Conv!$I$5*1000*365</f>
        <v>2022904.3234136538</v>
      </c>
      <c r="AC142" s="219">
        <f>Y142*VLOOKUP($B142,Types!$B$2:$D$13,3,FALSE)*Conv!$I$5*1000*365</f>
        <v>2022904.3234136538</v>
      </c>
      <c r="AD142" s="219">
        <f>Z142*VLOOKUP($B142,Types!$B$2:$D$13,3,FALSE)*Conv!$I$5*1000*365</f>
        <v>2022904.3234136538</v>
      </c>
      <c r="AE142" s="219">
        <f>AA142*VLOOKUP($B142,Types!$B$2:$D$13,3,FALSE)*Conv!$I$5*1000*365</f>
        <v>2022904.3234136538</v>
      </c>
      <c r="AF142" s="219">
        <f>AB142-AB144</f>
        <v>202290.43234136514</v>
      </c>
      <c r="AG142" s="219">
        <f t="shared" ref="AG142:AI142" si="343">AC142-AC144</f>
        <v>202290.43234136514</v>
      </c>
      <c r="AH142" s="219">
        <f t="shared" si="343"/>
        <v>202290.43234136514</v>
      </c>
      <c r="AI142" s="219">
        <f t="shared" si="343"/>
        <v>202290.43234136514</v>
      </c>
      <c r="AJ142" s="219"/>
      <c r="AK142" s="219"/>
      <c r="AL142" s="219"/>
    </row>
    <row r="143" spans="1:38">
      <c r="A143" s="195" t="str">
        <f>A142</f>
        <v>Conventional Mogas</v>
      </c>
      <c r="B143" s="195" t="str">
        <f>VLOOKUP($A143,Types!$A$2:$C$13,2,FALSE)</f>
        <v>GSC</v>
      </c>
      <c r="C143" s="195">
        <v>1</v>
      </c>
      <c r="D143" s="195">
        <v>3</v>
      </c>
      <c r="E143" s="195" t="str">
        <f t="shared" si="328"/>
        <v>IMPGSCP31</v>
      </c>
      <c r="F143" s="195" t="str">
        <f>CONCATENATE("Imported ",VLOOKUP($A143,Types!$A$2:$C$13,3,FALSE),", PADD ",D143,", Step ",RIGHT(C143,1))</f>
        <v>Imported Conventional Gasoline, PADD 3, Step 1</v>
      </c>
      <c r="G143" s="195" t="str">
        <f>CONCATENATE(VLOOKUP($A143,Types!$A$2:$C$13,2,FALSE),"P",D143)</f>
        <v>GSCP3</v>
      </c>
      <c r="H143" s="239">
        <f>H142*$C$5</f>
        <v>62.773150000000008</v>
      </c>
      <c r="I143" s="239">
        <f t="shared" ref="I143:K143" si="344">I142*$C$5</f>
        <v>52.040999999999997</v>
      </c>
      <c r="J143" s="239">
        <f t="shared" si="344"/>
        <v>40.916499999999999</v>
      </c>
      <c r="K143" s="239">
        <f t="shared" si="344"/>
        <v>44.317499999999995</v>
      </c>
      <c r="L143" s="240">
        <f>H143*Conv!$J$20/10^6/VLOOKUP($B143,Types!$B$2:$D$13,3,FALSE)/Conv!$I$5</f>
        <v>17.380185476722229</v>
      </c>
      <c r="M143" s="240">
        <f>I143*Conv!$J$20/10^6/VLOOKUP($B143,Types!$B$2:$D$13,3,FALSE)/Conv!$I$5</f>
        <v>14.408743744644029</v>
      </c>
      <c r="N143" s="240">
        <f>M143*'Imported Price Trends'!$K$19</f>
        <v>15.514569552729693</v>
      </c>
      <c r="O143" s="240">
        <f>N143*'Imported Price Trends'!$L$19</f>
        <v>15.367055917204654</v>
      </c>
      <c r="P143" s="240">
        <f>O143*'Imported Price Trends'!$M$19</f>
        <v>16.582132661720131</v>
      </c>
      <c r="Q143" s="240">
        <f>P143*'Imported Price Trends'!$N$19</f>
        <v>17.534649750647869</v>
      </c>
      <c r="R143" s="240">
        <f>Q143*'Imported Price Trends'!$O$19</f>
        <v>18.838947876086937</v>
      </c>
      <c r="S143" s="240">
        <f>R143*'Imported Price Trends'!$O$19</f>
        <v>20.240264968212866</v>
      </c>
      <c r="T143" s="240">
        <f>S143*'Imported Price Trends'!$O$19</f>
        <v>21.745817689929172</v>
      </c>
      <c r="U143" s="240">
        <f>T143*'Imported Price Trends'!$O$19</f>
        <v>23.363359508696689</v>
      </c>
      <c r="V143" s="240">
        <f>U143*'Imported Price Trends'!$O$19</f>
        <v>25.10122062622635</v>
      </c>
      <c r="W143" s="219"/>
      <c r="X143" s="195">
        <f>X142*$E$5</f>
        <v>799999.20000000007</v>
      </c>
      <c r="Y143" s="195">
        <f t="shared" ref="Y143:AA143" si="345">Y142*$E$5</f>
        <v>799999.20000000007</v>
      </c>
      <c r="Z143" s="195">
        <f t="shared" si="345"/>
        <v>799999.20000000007</v>
      </c>
      <c r="AA143" s="195">
        <f t="shared" si="345"/>
        <v>799999.20000000007</v>
      </c>
      <c r="AB143" s="219">
        <f>X143*VLOOKUP($B143,Types!$B$2:$D$13,3,FALSE)*Conv!$I$5*1000*365</f>
        <v>1618323.4587309228</v>
      </c>
      <c r="AC143" s="219">
        <f>Y143*VLOOKUP($B143,Types!$B$2:$D$13,3,FALSE)*Conv!$I$5*1000*365</f>
        <v>1618323.4587309228</v>
      </c>
      <c r="AD143" s="219">
        <f>Z143*VLOOKUP($B143,Types!$B$2:$D$13,3,FALSE)*Conv!$I$5*1000*365</f>
        <v>1618323.4587309228</v>
      </c>
      <c r="AE143" s="219">
        <f>AA143*VLOOKUP($B143,Types!$B$2:$D$13,3,FALSE)*Conv!$I$5*1000*365</f>
        <v>1618323.4587309228</v>
      </c>
      <c r="AF143" s="219">
        <f>AB143</f>
        <v>1618323.4587309228</v>
      </c>
      <c r="AG143" s="219">
        <f t="shared" ref="AG143:AI143" si="346">AC143</f>
        <v>1618323.4587309228</v>
      </c>
      <c r="AH143" s="219">
        <f t="shared" si="346"/>
        <v>1618323.4587309228</v>
      </c>
      <c r="AI143" s="219">
        <f t="shared" si="346"/>
        <v>1618323.4587309228</v>
      </c>
      <c r="AJ143" s="219"/>
      <c r="AK143" s="219"/>
      <c r="AL143" s="219"/>
    </row>
    <row r="144" spans="1:38">
      <c r="A144" s="195" t="str">
        <f t="shared" ref="A144:A146" si="347">A143</f>
        <v>Conventional Mogas</v>
      </c>
      <c r="B144" s="195" t="str">
        <f>VLOOKUP($A144,Types!$A$2:$C$13,2,FALSE)</f>
        <v>GSC</v>
      </c>
      <c r="C144" s="195">
        <v>2</v>
      </c>
      <c r="D144" s="195">
        <v>3</v>
      </c>
      <c r="E144" s="195" t="str">
        <f t="shared" si="328"/>
        <v>IMPGSCP32</v>
      </c>
      <c r="F144" s="195" t="str">
        <f>CONCATENATE("Imported ",VLOOKUP($A144,Types!$A$2:$C$13,3,FALSE),", PADD ",D144,", Step ",RIGHT(C144,1))</f>
        <v>Imported Conventional Gasoline, PADD 3, Step 2</v>
      </c>
      <c r="G144" s="195" t="str">
        <f>CONCATENATE(VLOOKUP($A144,Types!$A$2:$C$13,2,FALSE),"P",D144)</f>
        <v>GSCP3</v>
      </c>
      <c r="H144" s="239">
        <f>H142*$C$6</f>
        <v>64.755460000000014</v>
      </c>
      <c r="I144" s="239">
        <f t="shared" ref="I144:K144" si="348">I142*$C$6</f>
        <v>53.684400000000004</v>
      </c>
      <c r="J144" s="239">
        <f t="shared" si="348"/>
        <v>42.208599999999997</v>
      </c>
      <c r="K144" s="239">
        <f t="shared" si="348"/>
        <v>45.716999999999999</v>
      </c>
      <c r="L144" s="240">
        <f>H144*Conv!$J$20/10^6/VLOOKUP($B144,Types!$B$2:$D$13,3,FALSE)/Conv!$I$5</f>
        <v>17.929033439145037</v>
      </c>
      <c r="M144" s="240">
        <f>I144*Conv!$J$20/10^6/VLOOKUP($B144,Types!$B$2:$D$13,3,FALSE)/Conv!$I$5</f>
        <v>14.863756705001212</v>
      </c>
      <c r="N144" s="240">
        <f>M144*'Imported Price Trends'!$K$19</f>
        <v>16.004503328079053</v>
      </c>
      <c r="O144" s="240">
        <f>N144*'Imported Price Trends'!$L$19</f>
        <v>15.852331367221645</v>
      </c>
      <c r="P144" s="240">
        <f>O144*'Imported Price Trends'!$M$19</f>
        <v>17.105778956300771</v>
      </c>
      <c r="Q144" s="240">
        <f>P144*'Imported Price Trends'!$N$19</f>
        <v>18.08837553224728</v>
      </c>
      <c r="R144" s="240">
        <f>Q144*'Imported Price Trends'!$O$19</f>
        <v>19.433862019542318</v>
      </c>
      <c r="S144" s="240">
        <f>R144*'Imported Price Trends'!$O$19</f>
        <v>20.879431230366958</v>
      </c>
      <c r="T144" s="240">
        <f>S144*'Imported Price Trends'!$O$19</f>
        <v>22.432527722242728</v>
      </c>
      <c r="U144" s="240">
        <f>T144*'Imported Price Trends'!$O$19</f>
        <v>24.101149808971325</v>
      </c>
      <c r="V144" s="240">
        <f>U144*'Imported Price Trends'!$O$19</f>
        <v>25.893890751265079</v>
      </c>
      <c r="W144" s="219"/>
      <c r="X144" s="195">
        <f>X142*$E$6</f>
        <v>899999.1</v>
      </c>
      <c r="Y144" s="195">
        <f t="shared" ref="Y144:AA144" si="349">Y142*$E$6</f>
        <v>899999.1</v>
      </c>
      <c r="Z144" s="195">
        <f t="shared" si="349"/>
        <v>899999.1</v>
      </c>
      <c r="AA144" s="195">
        <f t="shared" si="349"/>
        <v>899999.1</v>
      </c>
      <c r="AB144" s="219">
        <f>X144*VLOOKUP($B144,Types!$B$2:$D$13,3,FALSE)*Conv!$I$5*1000*365</f>
        <v>1820613.8910722886</v>
      </c>
      <c r="AC144" s="219">
        <f>Y144*VLOOKUP($B144,Types!$B$2:$D$13,3,FALSE)*Conv!$I$5*1000*365</f>
        <v>1820613.8910722886</v>
      </c>
      <c r="AD144" s="219">
        <f>Z144*VLOOKUP($B144,Types!$B$2:$D$13,3,FALSE)*Conv!$I$5*1000*365</f>
        <v>1820613.8910722886</v>
      </c>
      <c r="AE144" s="219">
        <f>AA144*VLOOKUP($B144,Types!$B$2:$D$13,3,FALSE)*Conv!$I$5*1000*365</f>
        <v>1820613.8910722886</v>
      </c>
      <c r="AF144" s="219">
        <f>AB144-AF143</f>
        <v>202290.43234136584</v>
      </c>
      <c r="AG144" s="219">
        <f t="shared" ref="AG144:AI144" si="350">AC144-AG143</f>
        <v>202290.43234136584</v>
      </c>
      <c r="AH144" s="219">
        <f t="shared" si="350"/>
        <v>202290.43234136584</v>
      </c>
      <c r="AI144" s="219">
        <f t="shared" si="350"/>
        <v>202290.43234136584</v>
      </c>
      <c r="AJ144" s="219"/>
      <c r="AK144" s="219"/>
      <c r="AL144" s="219"/>
    </row>
    <row r="145" spans="1:38">
      <c r="A145" s="195" t="str">
        <f t="shared" si="347"/>
        <v>Conventional Mogas</v>
      </c>
      <c r="B145" s="195" t="str">
        <f>VLOOKUP($A145,Types!$A$2:$C$13,2,FALSE)</f>
        <v>GSC</v>
      </c>
      <c r="C145" s="195">
        <v>4</v>
      </c>
      <c r="D145" s="195">
        <v>3</v>
      </c>
      <c r="E145" s="195" t="str">
        <f t="shared" si="328"/>
        <v>IMPGSCP34</v>
      </c>
      <c r="F145" s="195" t="str">
        <f>CONCATENATE("Imported ",VLOOKUP($A145,Types!$A$2:$C$13,3,FALSE),", PADD ",D145,", Step ",RIGHT(C145,1))</f>
        <v>Imported Conventional Gasoline, PADD 3, Step 4</v>
      </c>
      <c r="G145" s="195" t="str">
        <f>CONCATENATE(VLOOKUP($A145,Types!$A$2:$C$13,2,FALSE),"P",D145)</f>
        <v>GSCP3</v>
      </c>
      <c r="H145" s="239">
        <f>H142*$C$8</f>
        <v>72.023930000000021</v>
      </c>
      <c r="I145" s="239">
        <f t="shared" ref="I145:K145" si="351">I142*$C$8</f>
        <v>59.710200000000007</v>
      </c>
      <c r="J145" s="239">
        <f t="shared" si="351"/>
        <v>46.946300000000001</v>
      </c>
      <c r="K145" s="239">
        <f t="shared" si="351"/>
        <v>50.848500000000001</v>
      </c>
      <c r="L145" s="240">
        <f>H145*Conv!$J$20/10^6/VLOOKUP($B145,Types!$B$2:$D$13,3,FALSE)/Conv!$I$5</f>
        <v>19.941475968028669</v>
      </c>
      <c r="M145" s="240">
        <f>I145*Conv!$J$20/10^6/VLOOKUP($B145,Types!$B$2:$D$13,3,FALSE)/Conv!$I$5</f>
        <v>16.532137559644205</v>
      </c>
      <c r="N145" s="240">
        <f>M145*'Imported Price Trends'!$K$19</f>
        <v>17.800927171026704</v>
      </c>
      <c r="O145" s="240">
        <f>N145*'Imported Price Trends'!$L$19</f>
        <v>17.631674683950607</v>
      </c>
      <c r="P145" s="240">
        <f>O145*'Imported Price Trends'!$M$19</f>
        <v>19.025815369763102</v>
      </c>
      <c r="Q145" s="240">
        <f>P145*'Imported Price Trends'!$N$19</f>
        <v>20.118703398111769</v>
      </c>
      <c r="R145" s="240">
        <f>Q145*'Imported Price Trends'!$O$19</f>
        <v>21.615213878878698</v>
      </c>
      <c r="S145" s="240">
        <f>R145*'Imported Price Trends'!$O$19</f>
        <v>23.223040858265289</v>
      </c>
      <c r="T145" s="240">
        <f>S145*'Imported Price Trends'!$O$19</f>
        <v>24.950464507392422</v>
      </c>
      <c r="U145" s="240">
        <f>T145*'Imported Price Trends'!$O$19</f>
        <v>26.806380909978309</v>
      </c>
      <c r="V145" s="240">
        <f>U145*'Imported Price Trends'!$O$19</f>
        <v>28.800347876407077</v>
      </c>
      <c r="W145" s="219"/>
      <c r="X145" s="195">
        <f>X142*$E$8</f>
        <v>1199998.8</v>
      </c>
      <c r="Y145" s="195">
        <f t="shared" ref="Y145:AA145" si="352">Y142*$E$8</f>
        <v>1199998.8</v>
      </c>
      <c r="Z145" s="195">
        <f t="shared" si="352"/>
        <v>1199998.8</v>
      </c>
      <c r="AA145" s="195">
        <f t="shared" si="352"/>
        <v>1199998.8</v>
      </c>
      <c r="AB145" s="219">
        <f>X145*VLOOKUP($B145,Types!$B$2:$D$13,3,FALSE)*Conv!$I$5*1000*365</f>
        <v>2427485.1880963845</v>
      </c>
      <c r="AC145" s="219">
        <f>Y145*VLOOKUP($B145,Types!$B$2:$D$13,3,FALSE)*Conv!$I$5*1000*365</f>
        <v>2427485.1880963845</v>
      </c>
      <c r="AD145" s="219">
        <f>Z145*VLOOKUP($B145,Types!$B$2:$D$13,3,FALSE)*Conv!$I$5*1000*365</f>
        <v>2427485.1880963845</v>
      </c>
      <c r="AE145" s="219">
        <f>AA145*VLOOKUP($B145,Types!$B$2:$D$13,3,FALSE)*Conv!$I$5*1000*365</f>
        <v>2427485.1880963845</v>
      </c>
      <c r="AF145" s="219">
        <f>AB145-AB142</f>
        <v>404580.86468273075</v>
      </c>
      <c r="AG145" s="219">
        <f t="shared" ref="AG145:AI145" si="353">AC145-AC142</f>
        <v>404580.86468273075</v>
      </c>
      <c r="AH145" s="219">
        <f t="shared" si="353"/>
        <v>404580.86468273075</v>
      </c>
      <c r="AI145" s="219">
        <f t="shared" si="353"/>
        <v>404580.86468273075</v>
      </c>
      <c r="AJ145" s="219"/>
      <c r="AK145" s="219"/>
      <c r="AL145" s="219"/>
    </row>
    <row r="146" spans="1:38">
      <c r="A146" s="195" t="str">
        <f t="shared" si="347"/>
        <v>Conventional Mogas</v>
      </c>
      <c r="B146" s="195" t="str">
        <f>VLOOKUP($A146,Types!$A$2:$C$13,2,FALSE)</f>
        <v>GSC</v>
      </c>
      <c r="C146" s="195">
        <v>5</v>
      </c>
      <c r="D146" s="195">
        <v>3</v>
      </c>
      <c r="E146" s="195" t="str">
        <f t="shared" si="328"/>
        <v>IMPGSCP35</v>
      </c>
      <c r="F146" s="195" t="str">
        <f>CONCATENATE("Imported ",VLOOKUP($A146,Types!$A$2:$C$13,3,FALSE),", PADD ",D146,", Step ",RIGHT(C146,1))</f>
        <v>Imported Conventional Gasoline, PADD 3, Step 5</v>
      </c>
      <c r="G146" s="195" t="str">
        <f>CONCATENATE(VLOOKUP($A146,Types!$A$2:$C$13,2,FALSE),"P",D146)</f>
        <v>GSCP3</v>
      </c>
      <c r="H146" s="239">
        <f>H142*$C$9</f>
        <v>85.900100000000023</v>
      </c>
      <c r="I146" s="239">
        <f t="shared" ref="I146:K146" si="354">I142*$C$9</f>
        <v>71.213999999999999</v>
      </c>
      <c r="J146" s="239">
        <f t="shared" si="354"/>
        <v>55.991</v>
      </c>
      <c r="K146" s="239">
        <f t="shared" si="354"/>
        <v>60.645000000000003</v>
      </c>
      <c r="L146" s="240">
        <f>H146*Conv!$J$20/10^6/VLOOKUP($B146,Types!$B$2:$D$13,3,FALSE)/Conv!$I$5</f>
        <v>23.78341170498831</v>
      </c>
      <c r="M146" s="240">
        <f>I146*Conv!$J$20/10^6/VLOOKUP($B146,Types!$B$2:$D$13,3,FALSE)/Conv!$I$5</f>
        <v>19.717228282144461</v>
      </c>
      <c r="N146" s="240">
        <f>M146*'Imported Price Trends'!$K$19</f>
        <v>21.230463598472213</v>
      </c>
      <c r="O146" s="240">
        <f>N146*'Imported Price Trends'!$L$19</f>
        <v>21.028602834069527</v>
      </c>
      <c r="P146" s="240">
        <f>O146*'Imported Price Trends'!$M$19</f>
        <v>22.691339431827551</v>
      </c>
      <c r="Q146" s="240">
        <f>P146*'Imported Price Trends'!$N$19</f>
        <v>23.994783869307614</v>
      </c>
      <c r="R146" s="240">
        <f>Q146*'Imported Price Trends'!$O$19</f>
        <v>25.779612883066338</v>
      </c>
      <c r="S146" s="240">
        <f>R146*'Imported Price Trends'!$O$19</f>
        <v>27.697204693343924</v>
      </c>
      <c r="T146" s="240">
        <f>S146*'Imported Price Trends'!$O$19</f>
        <v>29.757434733587292</v>
      </c>
      <c r="U146" s="240">
        <f>T146*'Imported Price Trends'!$O$19</f>
        <v>31.970913011900734</v>
      </c>
      <c r="V146" s="240">
        <f>U146*'Imported Price Trends'!$O$19</f>
        <v>34.349038751678165</v>
      </c>
      <c r="W146" s="219"/>
      <c r="X146" s="195">
        <f>X142*$E$9</f>
        <v>1999998</v>
      </c>
      <c r="Y146" s="195">
        <f t="shared" ref="Y146:AA146" si="355">Y142*$E$9</f>
        <v>1999998</v>
      </c>
      <c r="Z146" s="195">
        <f t="shared" si="355"/>
        <v>1999998</v>
      </c>
      <c r="AA146" s="195">
        <f t="shared" si="355"/>
        <v>1999998</v>
      </c>
      <c r="AB146" s="219">
        <f>X146*VLOOKUP($B146,Types!$B$2:$D$13,3,FALSE)*Conv!$I$5*1000*365</f>
        <v>4045808.6468273075</v>
      </c>
      <c r="AC146" s="219">
        <f>Y146*VLOOKUP($B146,Types!$B$2:$D$13,3,FALSE)*Conv!$I$5*1000*365</f>
        <v>4045808.6468273075</v>
      </c>
      <c r="AD146" s="219">
        <f>Z146*VLOOKUP($B146,Types!$B$2:$D$13,3,FALSE)*Conv!$I$5*1000*365</f>
        <v>4045808.6468273075</v>
      </c>
      <c r="AE146" s="219">
        <f>AA146*VLOOKUP($B146,Types!$B$2:$D$13,3,FALSE)*Conv!$I$5*1000*365</f>
        <v>4045808.6468273075</v>
      </c>
      <c r="AF146" s="219">
        <f>AB146-AB145</f>
        <v>1618323.458730923</v>
      </c>
      <c r="AG146" s="219">
        <f t="shared" ref="AG146:AI146" si="356">AC146-AC145</f>
        <v>1618323.458730923</v>
      </c>
      <c r="AH146" s="219">
        <f t="shared" si="356"/>
        <v>1618323.458730923</v>
      </c>
      <c r="AI146" s="219">
        <f t="shared" si="356"/>
        <v>1618323.458730923</v>
      </c>
      <c r="AJ146" s="219"/>
      <c r="AK146" s="219"/>
      <c r="AL146" s="219"/>
    </row>
    <row r="147" spans="1:38">
      <c r="A147" s="195" t="str">
        <f>'Agg prdcrv'!$A$8</f>
        <v>Heating No. 2</v>
      </c>
      <c r="B147" s="195" t="str">
        <f>VLOOKUP($A147,Types!$A$2:$C$13,2,FALSE)</f>
        <v>DSH</v>
      </c>
      <c r="C147" s="195">
        <v>3</v>
      </c>
      <c r="D147" s="195">
        <v>3</v>
      </c>
      <c r="E147" s="195" t="str">
        <f t="shared" si="328"/>
        <v>IMPDSHP33</v>
      </c>
      <c r="F147" s="195" t="str">
        <f>CONCATENATE("Imported ",VLOOKUP($A147,Types!$A$2:$C$13,3,FALSE),", PADD ",D147,", Step ",RIGHT(C147,1))</f>
        <v>Imported Distillate-Heating Oil No. 2, PADD 3, Step 3</v>
      </c>
      <c r="G147" s="195" t="str">
        <f>CONCATENATE(VLOOKUP($A147,Types!$A$2:$C$13,2,FALSE),"P",D147)</f>
        <v>DSHP3</v>
      </c>
      <c r="H147" s="239">
        <f>SUMIFS('Agg prdcrv NYC'!$N$6:$N$100,'Agg prdcrv NYC'!$A$6:$A$100,'Imp Refined NYC'!$A147,'Agg prdcrv NYC'!$B$6:$B$100,H$11)*K4</f>
        <v>56.231999999999999</v>
      </c>
      <c r="I147" s="239">
        <f>SUMIFS('Agg prdcrv NYC'!$N$6:$N$100,'Agg prdcrv NYC'!$A$6:$A$100,'Imp Refined NYC'!$A147,'Agg prdcrv NYC'!$B$6:$B$100,I$11)*K4</f>
        <v>53.537000000000006</v>
      </c>
      <c r="J147" s="239">
        <f t="array" ref="J147">SUMIFS('Agg prdcrv NYC'!$N$6:$N$100,'Agg prdcrv NYC'!$A$6:$A$100,'Imp Refined NYC'!$A147,'Agg prdcrv NYC'!$B$6:$B$100,J$11)</f>
        <v>37.409999999999997</v>
      </c>
      <c r="K147" s="239">
        <f t="array" ref="K147">SUMIFS('Agg prdcrv NYC'!$N$6:$N$100,'Agg prdcrv NYC'!$A$6:$A$100,'Imp Refined NYC'!$A147,'Agg prdcrv NYC'!$B$6:$B$100,K$11)</f>
        <v>41.05</v>
      </c>
      <c r="L147" s="240">
        <f>H147*Conv!$J$20/10^6/VLOOKUP($B147,Types!$B$2:$D$13,3,FALSE)/Conv!$I$5</f>
        <v>14.040270850297935</v>
      </c>
      <c r="M147" s="240">
        <f>I147*Conv!$J$20/10^6/VLOOKUP($B147,Types!$B$2:$D$13,3,FALSE)/Conv!$I$5</f>
        <v>13.367370545461673</v>
      </c>
      <c r="N147" s="240">
        <f>M147*'Imported Price Trends'!$K$19</f>
        <v>14.393274232652333</v>
      </c>
      <c r="O147" s="240">
        <f>N147*'Imported Price Trends'!$L$19</f>
        <v>14.256421953125582</v>
      </c>
      <c r="P147" s="240">
        <f>O147*'Imported Price Trends'!$M$19</f>
        <v>15.383680607520711</v>
      </c>
      <c r="Q147" s="240">
        <f>P147*'Imported Price Trends'!$N$19</f>
        <v>16.2673557636782</v>
      </c>
      <c r="R147" s="240">
        <f>Q147*'Imported Price Trends'!$O$19</f>
        <v>17.477387439824565</v>
      </c>
      <c r="S147" s="240">
        <f>R147*'Imported Price Trends'!$O$19</f>
        <v>18.777426163124026</v>
      </c>
      <c r="T147" s="240">
        <f>S147*'Imported Price Trends'!$O$19</f>
        <v>20.17416702156223</v>
      </c>
      <c r="U147" s="240">
        <f>T147*'Imported Price Trends'!$O$19</f>
        <v>21.67480311083148</v>
      </c>
      <c r="V147" s="240">
        <f>U147*'Imported Price Trends'!$O$19</f>
        <v>23.287062578156959</v>
      </c>
      <c r="W147" s="219"/>
      <c r="X147" s="195">
        <f t="array" ref="X147">SUMIFS('Agg prdcrv NYC'!$F$6:$F$100,'Agg prdcrv NYC'!$A$6:$A$100,'Imp Refined NYC'!$A147,'Agg prdcrv NYC'!$B$6:$B$100,X$11)</f>
        <v>999999</v>
      </c>
      <c r="Y147" s="195">
        <f t="array" ref="Y147">SUMIFS('Agg prdcrv NYC'!$F$6:$F$100,'Agg prdcrv NYC'!$A$6:$A$100,'Imp Refined NYC'!$A147,'Agg prdcrv NYC'!$B$6:$B$100,Y$11)</f>
        <v>999999</v>
      </c>
      <c r="Z147" s="195">
        <f t="array" ref="Z147">SUMIFS('Agg prdcrv NYC'!$F$6:$F$100,'Agg prdcrv NYC'!$A$6:$A$100,'Imp Refined NYC'!$A147,'Agg prdcrv NYC'!$B$6:$B$100,Z$11)</f>
        <v>999999</v>
      </c>
      <c r="AA147" s="195">
        <f t="array" ref="AA147">SUMIFS('Agg prdcrv NYC'!$F$6:$F$100,'Agg prdcrv NYC'!$A$6:$A$100,'Imp Refined NYC'!$A147,'Agg prdcrv NYC'!$B$6:$B$100,AA$11)</f>
        <v>999999</v>
      </c>
      <c r="AB147" s="219">
        <f>X147*VLOOKUP($B147,Types!$B$2:$D$13,3,FALSE)*Conv!$I$5*1000*365</f>
        <v>2243178.6948190616</v>
      </c>
      <c r="AC147" s="219">
        <f>Y147*VLOOKUP($B147,Types!$B$2:$D$13,3,FALSE)*Conv!$I$5*1000*365</f>
        <v>2243178.6948190616</v>
      </c>
      <c r="AD147" s="219">
        <f>Z147*VLOOKUP($B147,Types!$B$2:$D$13,3,FALSE)*Conv!$I$5*1000*365</f>
        <v>2243178.6948190616</v>
      </c>
      <c r="AE147" s="219">
        <f>AA147*VLOOKUP($B147,Types!$B$2:$D$13,3,FALSE)*Conv!$I$5*1000*365</f>
        <v>2243178.6948190616</v>
      </c>
      <c r="AF147" s="219">
        <f>AB147-AB149</f>
        <v>224317.86948190606</v>
      </c>
      <c r="AG147" s="219">
        <f t="shared" ref="AG147:AI147" si="357">AC147-AC149</f>
        <v>224317.86948190606</v>
      </c>
      <c r="AH147" s="219">
        <f t="shared" si="357"/>
        <v>224317.86948190606</v>
      </c>
      <c r="AI147" s="219">
        <f t="shared" si="357"/>
        <v>224317.86948190606</v>
      </c>
      <c r="AJ147" s="219"/>
      <c r="AK147" s="219"/>
      <c r="AL147" s="219"/>
    </row>
    <row r="148" spans="1:38">
      <c r="A148" s="195" t="str">
        <f>A147</f>
        <v>Heating No. 2</v>
      </c>
      <c r="B148" s="195" t="str">
        <f>VLOOKUP($A148,Types!$A$2:$C$13,2,FALSE)</f>
        <v>DSH</v>
      </c>
      <c r="C148" s="195">
        <v>1</v>
      </c>
      <c r="D148" s="195">
        <v>3</v>
      </c>
      <c r="E148" s="195" t="str">
        <f t="shared" si="328"/>
        <v>IMPDSHP31</v>
      </c>
      <c r="F148" s="195" t="str">
        <f>CONCATENATE("Imported ",VLOOKUP($A148,Types!$A$2:$C$13,3,FALSE),", PADD ",D148,", Step ",RIGHT(C148,1))</f>
        <v>Imported Distillate-Heating Oil No. 2, PADD 3, Step 1</v>
      </c>
      <c r="G148" s="195" t="str">
        <f>CONCATENATE(VLOOKUP($A148,Types!$A$2:$C$13,2,FALSE),"P",D148)</f>
        <v>DSHP3</v>
      </c>
      <c r="H148" s="239">
        <f>H147*$C$5</f>
        <v>53.420399999999994</v>
      </c>
      <c r="I148" s="239">
        <f t="shared" ref="I148:K148" si="358">I147*$C$5</f>
        <v>50.860150000000004</v>
      </c>
      <c r="J148" s="239">
        <f t="shared" si="358"/>
        <v>35.539499999999997</v>
      </c>
      <c r="K148" s="239">
        <f t="shared" si="358"/>
        <v>38.997499999999995</v>
      </c>
      <c r="L148" s="240">
        <f>H148*Conv!$J$20/10^6/VLOOKUP($B148,Types!$B$2:$D$13,3,FALSE)/Conv!$I$5</f>
        <v>13.338257307783039</v>
      </c>
      <c r="M148" s="240">
        <f>I148*Conv!$J$20/10^6/VLOOKUP($B148,Types!$B$2:$D$13,3,FALSE)/Conv!$I$5</f>
        <v>12.699002018188589</v>
      </c>
      <c r="N148" s="240">
        <f>M148*'Imported Price Trends'!$K$19</f>
        <v>13.673610521019715</v>
      </c>
      <c r="O148" s="240">
        <f>N148*'Imported Price Trends'!$L$19</f>
        <v>13.5436008554693</v>
      </c>
      <c r="P148" s="240">
        <f>O148*'Imported Price Trends'!$M$19</f>
        <v>14.614496577144672</v>
      </c>
      <c r="Q148" s="240">
        <f>P148*'Imported Price Trends'!$N$19</f>
        <v>15.453987975494286</v>
      </c>
      <c r="R148" s="240">
        <f>Q148*'Imported Price Trends'!$O$19</f>
        <v>16.603518067833331</v>
      </c>
      <c r="S148" s="240">
        <f>R148*'Imported Price Trends'!$O$19</f>
        <v>17.838554854967818</v>
      </c>
      <c r="T148" s="240">
        <f>S148*'Imported Price Trends'!$O$19</f>
        <v>19.16545867048411</v>
      </c>
      <c r="U148" s="240">
        <f>T148*'Imported Price Trends'!$O$19</f>
        <v>20.591062955289896</v>
      </c>
      <c r="V148" s="240">
        <f>U148*'Imported Price Trends'!$O$19</f>
        <v>22.122709449249101</v>
      </c>
      <c r="W148" s="219"/>
      <c r="X148" s="195">
        <f>X147*$E$5</f>
        <v>799999.20000000007</v>
      </c>
      <c r="Y148" s="195">
        <f t="shared" ref="Y148:AA148" si="359">Y147*$E$5</f>
        <v>799999.20000000007</v>
      </c>
      <c r="Z148" s="195">
        <f t="shared" si="359"/>
        <v>799999.20000000007</v>
      </c>
      <c r="AA148" s="195">
        <f t="shared" si="359"/>
        <v>799999.20000000007</v>
      </c>
      <c r="AB148" s="219">
        <f>X148*VLOOKUP($B148,Types!$B$2:$D$13,3,FALSE)*Conv!$I$5*1000*365</f>
        <v>1794542.9558552499</v>
      </c>
      <c r="AC148" s="219">
        <f>Y148*VLOOKUP($B148,Types!$B$2:$D$13,3,FALSE)*Conv!$I$5*1000*365</f>
        <v>1794542.9558552499</v>
      </c>
      <c r="AD148" s="219">
        <f>Z148*VLOOKUP($B148,Types!$B$2:$D$13,3,FALSE)*Conv!$I$5*1000*365</f>
        <v>1794542.9558552499</v>
      </c>
      <c r="AE148" s="219">
        <f>AA148*VLOOKUP($B148,Types!$B$2:$D$13,3,FALSE)*Conv!$I$5*1000*365</f>
        <v>1794542.9558552499</v>
      </c>
      <c r="AF148" s="219">
        <f>AB148</f>
        <v>1794542.9558552499</v>
      </c>
      <c r="AG148" s="219">
        <f t="shared" ref="AG148:AI148" si="360">AC148</f>
        <v>1794542.9558552499</v>
      </c>
      <c r="AH148" s="219">
        <f t="shared" si="360"/>
        <v>1794542.9558552499</v>
      </c>
      <c r="AI148" s="219">
        <f t="shared" si="360"/>
        <v>1794542.9558552499</v>
      </c>
      <c r="AJ148" s="219"/>
      <c r="AK148" s="219"/>
      <c r="AL148" s="219"/>
    </row>
    <row r="149" spans="1:38">
      <c r="A149" s="195" t="str">
        <f t="shared" ref="A149:A151" si="361">A148</f>
        <v>Heating No. 2</v>
      </c>
      <c r="B149" s="195" t="str">
        <f>VLOOKUP($A149,Types!$A$2:$C$13,2,FALSE)</f>
        <v>DSH</v>
      </c>
      <c r="C149" s="195">
        <v>2</v>
      </c>
      <c r="D149" s="195">
        <v>3</v>
      </c>
      <c r="E149" s="195" t="str">
        <f t="shared" si="328"/>
        <v>IMPDSHP32</v>
      </c>
      <c r="F149" s="195" t="str">
        <f>CONCATENATE("Imported ",VLOOKUP($A149,Types!$A$2:$C$13,3,FALSE),", PADD ",D149,", Step ",RIGHT(C149,1))</f>
        <v>Imported Distillate-Heating Oil No. 2, PADD 3, Step 2</v>
      </c>
      <c r="G149" s="195" t="str">
        <f>CONCATENATE(VLOOKUP($A149,Types!$A$2:$C$13,2,FALSE),"P",D149)</f>
        <v>DSHP3</v>
      </c>
      <c r="H149" s="239">
        <f>H147*$C$6</f>
        <v>55.10736</v>
      </c>
      <c r="I149" s="239">
        <f t="shared" ref="I149:K149" si="362">I147*$C$6</f>
        <v>52.466260000000005</v>
      </c>
      <c r="J149" s="239">
        <f t="shared" si="362"/>
        <v>36.661799999999999</v>
      </c>
      <c r="K149" s="239">
        <f t="shared" si="362"/>
        <v>40.228999999999999</v>
      </c>
      <c r="L149" s="240">
        <f>H149*Conv!$J$20/10^6/VLOOKUP($B149,Types!$B$2:$D$13,3,FALSE)/Conv!$I$5</f>
        <v>13.759465433291979</v>
      </c>
      <c r="M149" s="240">
        <f>I149*Conv!$J$20/10^6/VLOOKUP($B149,Types!$B$2:$D$13,3,FALSE)/Conv!$I$5</f>
        <v>13.100023134552437</v>
      </c>
      <c r="N149" s="240">
        <f>M149*'Imported Price Trends'!$K$19</f>
        <v>14.105408747999283</v>
      </c>
      <c r="O149" s="240">
        <f>N149*'Imported Price Trends'!$L$19</f>
        <v>13.971293514063065</v>
      </c>
      <c r="P149" s="240">
        <f>O149*'Imported Price Trends'!$M$19</f>
        <v>15.076006995370292</v>
      </c>
      <c r="Q149" s="240">
        <f>P149*'Imported Price Trends'!$N$19</f>
        <v>15.942008648404631</v>
      </c>
      <c r="R149" s="240">
        <f>Q149*'Imported Price Trends'!$O$19</f>
        <v>17.127839691028068</v>
      </c>
      <c r="S149" s="240">
        <f>R149*'Imported Price Trends'!$O$19</f>
        <v>18.401877639861539</v>
      </c>
      <c r="T149" s="240">
        <f>S149*'Imported Price Trends'!$O$19</f>
        <v>19.770683681130979</v>
      </c>
      <c r="U149" s="240">
        <f>T149*'Imported Price Trends'!$O$19</f>
        <v>21.241307048614846</v>
      </c>
      <c r="V149" s="240">
        <f>U149*'Imported Price Trends'!$O$19</f>
        <v>22.821321326593814</v>
      </c>
      <c r="W149" s="219"/>
      <c r="X149" s="195">
        <f>X147*$E$6</f>
        <v>899999.1</v>
      </c>
      <c r="Y149" s="195">
        <f t="shared" ref="Y149:AA149" si="363">Y147*$E$6</f>
        <v>899999.1</v>
      </c>
      <c r="Z149" s="195">
        <f t="shared" si="363"/>
        <v>899999.1</v>
      </c>
      <c r="AA149" s="195">
        <f t="shared" si="363"/>
        <v>899999.1</v>
      </c>
      <c r="AB149" s="219">
        <f>X149*VLOOKUP($B149,Types!$B$2:$D$13,3,FALSE)*Conv!$I$5*1000*365</f>
        <v>2018860.8253371555</v>
      </c>
      <c r="AC149" s="219">
        <f>Y149*VLOOKUP($B149,Types!$B$2:$D$13,3,FALSE)*Conv!$I$5*1000*365</f>
        <v>2018860.8253371555</v>
      </c>
      <c r="AD149" s="219">
        <f>Z149*VLOOKUP($B149,Types!$B$2:$D$13,3,FALSE)*Conv!$I$5*1000*365</f>
        <v>2018860.8253371555</v>
      </c>
      <c r="AE149" s="219">
        <f>AA149*VLOOKUP($B149,Types!$B$2:$D$13,3,FALSE)*Conv!$I$5*1000*365</f>
        <v>2018860.8253371555</v>
      </c>
      <c r="AF149" s="219">
        <f>AB149-AF148</f>
        <v>224317.8694819056</v>
      </c>
      <c r="AG149" s="219">
        <f t="shared" ref="AG149:AI149" si="364">AC149-AG148</f>
        <v>224317.8694819056</v>
      </c>
      <c r="AH149" s="219">
        <f t="shared" si="364"/>
        <v>224317.8694819056</v>
      </c>
      <c r="AI149" s="219">
        <f t="shared" si="364"/>
        <v>224317.8694819056</v>
      </c>
      <c r="AJ149" s="219"/>
      <c r="AK149" s="219"/>
      <c r="AL149" s="219"/>
    </row>
    <row r="150" spans="1:38">
      <c r="A150" s="195" t="str">
        <f t="shared" si="361"/>
        <v>Heating No. 2</v>
      </c>
      <c r="B150" s="195" t="str">
        <f>VLOOKUP($A150,Types!$A$2:$C$13,2,FALSE)</f>
        <v>DSH</v>
      </c>
      <c r="C150" s="195">
        <v>4</v>
      </c>
      <c r="D150" s="195">
        <v>3</v>
      </c>
      <c r="E150" s="195" t="str">
        <f t="shared" si="328"/>
        <v>IMPDSHP34</v>
      </c>
      <c r="F150" s="195" t="str">
        <f>CONCATENATE("Imported ",VLOOKUP($A150,Types!$A$2:$C$13,3,FALSE),", PADD ",D150,", Step ",RIGHT(C150,1))</f>
        <v>Imported Distillate-Heating Oil No. 2, PADD 3, Step 4</v>
      </c>
      <c r="G150" s="195" t="str">
        <f>CONCATENATE(VLOOKUP($A150,Types!$A$2:$C$13,2,FALSE),"P",D150)</f>
        <v>DSHP3</v>
      </c>
      <c r="H150" s="239">
        <f>H147*$C$8</f>
        <v>61.292880000000004</v>
      </c>
      <c r="I150" s="239">
        <f t="shared" ref="I150:K150" si="365">I147*$C$8</f>
        <v>58.355330000000009</v>
      </c>
      <c r="J150" s="239">
        <f t="shared" si="365"/>
        <v>40.776899999999998</v>
      </c>
      <c r="K150" s="239">
        <f t="shared" si="365"/>
        <v>44.744500000000002</v>
      </c>
      <c r="L150" s="240">
        <f>H150*Conv!$J$20/10^6/VLOOKUP($B150,Types!$B$2:$D$13,3,FALSE)/Conv!$I$5</f>
        <v>15.303895226824753</v>
      </c>
      <c r="M150" s="240">
        <f>I150*Conv!$J$20/10^6/VLOOKUP($B150,Types!$B$2:$D$13,3,FALSE)/Conv!$I$5</f>
        <v>14.570433894553224</v>
      </c>
      <c r="N150" s="240">
        <f>M150*'Imported Price Trends'!$K$19</f>
        <v>15.688668913591043</v>
      </c>
      <c r="O150" s="240">
        <f>N150*'Imported Price Trends'!$L$19</f>
        <v>15.539499928906883</v>
      </c>
      <c r="P150" s="240">
        <f>O150*'Imported Price Trends'!$M$19</f>
        <v>16.768211862197575</v>
      </c>
      <c r="Q150" s="240">
        <f>P150*'Imported Price Trends'!$N$19</f>
        <v>17.731417782409238</v>
      </c>
      <c r="R150" s="240">
        <f>Q150*'Imported Price Trends'!$O$19</f>
        <v>19.050352309408776</v>
      </c>
      <c r="S150" s="240">
        <f>R150*'Imported Price Trends'!$O$19</f>
        <v>20.467394517805189</v>
      </c>
      <c r="T150" s="240">
        <f>S150*'Imported Price Trends'!$O$19</f>
        <v>21.989842053502834</v>
      </c>
      <c r="U150" s="240">
        <f>T150*'Imported Price Trends'!$O$19</f>
        <v>23.625535390806316</v>
      </c>
      <c r="V150" s="240">
        <f>U150*'Imported Price Trends'!$O$19</f>
        <v>25.382898210191087</v>
      </c>
      <c r="W150" s="219"/>
      <c r="X150" s="195">
        <f>X147*$E$8</f>
        <v>1199998.8</v>
      </c>
      <c r="Y150" s="195">
        <f t="shared" ref="Y150:AA150" si="366">Y147*$E$8</f>
        <v>1199998.8</v>
      </c>
      <c r="Z150" s="195">
        <f t="shared" si="366"/>
        <v>1199998.8</v>
      </c>
      <c r="AA150" s="195">
        <f t="shared" si="366"/>
        <v>1199998.8</v>
      </c>
      <c r="AB150" s="219">
        <f>X150*VLOOKUP($B150,Types!$B$2:$D$13,3,FALSE)*Conv!$I$5*1000*365</f>
        <v>2691814.4337828746</v>
      </c>
      <c r="AC150" s="219">
        <f>Y150*VLOOKUP($B150,Types!$B$2:$D$13,3,FALSE)*Conv!$I$5*1000*365</f>
        <v>2691814.4337828746</v>
      </c>
      <c r="AD150" s="219">
        <f>Z150*VLOOKUP($B150,Types!$B$2:$D$13,3,FALSE)*Conv!$I$5*1000*365</f>
        <v>2691814.4337828746</v>
      </c>
      <c r="AE150" s="219">
        <f>AA150*VLOOKUP($B150,Types!$B$2:$D$13,3,FALSE)*Conv!$I$5*1000*365</f>
        <v>2691814.4337828746</v>
      </c>
      <c r="AF150" s="219">
        <f>AB150-AB147</f>
        <v>448635.73896381306</v>
      </c>
      <c r="AG150" s="219">
        <f t="shared" ref="AG150:AI150" si="367">AC150-AC147</f>
        <v>448635.73896381306</v>
      </c>
      <c r="AH150" s="219">
        <f t="shared" si="367"/>
        <v>448635.73896381306</v>
      </c>
      <c r="AI150" s="219">
        <f t="shared" si="367"/>
        <v>448635.73896381306</v>
      </c>
      <c r="AJ150" s="219"/>
      <c r="AK150" s="219"/>
      <c r="AL150" s="219"/>
    </row>
    <row r="151" spans="1:38">
      <c r="A151" s="195" t="str">
        <f t="shared" si="361"/>
        <v>Heating No. 2</v>
      </c>
      <c r="B151" s="195" t="str">
        <f>VLOOKUP($A151,Types!$A$2:$C$13,2,FALSE)</f>
        <v>DSH</v>
      </c>
      <c r="C151" s="195">
        <v>5</v>
      </c>
      <c r="D151" s="195">
        <v>3</v>
      </c>
      <c r="E151" s="195" t="str">
        <f t="shared" si="328"/>
        <v>IMPDSHP35</v>
      </c>
      <c r="F151" s="195" t="str">
        <f>CONCATENATE("Imported ",VLOOKUP($A151,Types!$A$2:$C$13,3,FALSE),", PADD ",D151,", Step ",RIGHT(C151,1))</f>
        <v>Imported Distillate-Heating Oil No. 2, PADD 3, Step 5</v>
      </c>
      <c r="G151" s="195" t="str">
        <f>CONCATENATE(VLOOKUP($A151,Types!$A$2:$C$13,2,FALSE),"P",D151)</f>
        <v>DSHP3</v>
      </c>
      <c r="H151" s="239">
        <f>H147*$C$9</f>
        <v>73.101600000000005</v>
      </c>
      <c r="I151" s="239">
        <f t="shared" ref="I151:K151" si="368">I147*$C$9</f>
        <v>69.598100000000017</v>
      </c>
      <c r="J151" s="239">
        <f t="shared" si="368"/>
        <v>48.632999999999996</v>
      </c>
      <c r="K151" s="239">
        <f t="shared" si="368"/>
        <v>53.364999999999995</v>
      </c>
      <c r="L151" s="240">
        <f>H151*Conv!$J$20/10^6/VLOOKUP($B151,Types!$B$2:$D$13,3,FALSE)/Conv!$I$5</f>
        <v>18.25235210538732</v>
      </c>
      <c r="M151" s="240">
        <f>I151*Conv!$J$20/10^6/VLOOKUP($B151,Types!$B$2:$D$13,3,FALSE)/Conv!$I$5</f>
        <v>17.377581709100177</v>
      </c>
      <c r="N151" s="240">
        <f>M151*'Imported Price Trends'!$K$19</f>
        <v>18.711256502448034</v>
      </c>
      <c r="O151" s="240">
        <f>N151*'Imported Price Trends'!$L$19</f>
        <v>18.533348539063255</v>
      </c>
      <c r="P151" s="240">
        <f>O151*'Imported Price Trends'!$M$19</f>
        <v>19.998784789776924</v>
      </c>
      <c r="Q151" s="240">
        <f>P151*'Imported Price Trends'!$N$19</f>
        <v>21.14756249278166</v>
      </c>
      <c r="R151" s="240">
        <f>Q151*'Imported Price Trends'!$O$19</f>
        <v>22.720603671771933</v>
      </c>
      <c r="S151" s="240">
        <f>R151*'Imported Price Trends'!$O$19</f>
        <v>24.410654012061233</v>
      </c>
      <c r="T151" s="240">
        <f>S151*'Imported Price Trends'!$O$19</f>
        <v>26.226417128030899</v>
      </c>
      <c r="U151" s="240">
        <f>T151*'Imported Price Trends'!$O$19</f>
        <v>28.177244044080926</v>
      </c>
      <c r="V151" s="240">
        <f>U151*'Imported Price Trends'!$O$19</f>
        <v>30.273181351604048</v>
      </c>
      <c r="W151" s="219"/>
      <c r="X151" s="195">
        <f>X147*$E$9</f>
        <v>1999998</v>
      </c>
      <c r="Y151" s="195">
        <f t="shared" ref="Y151:AA151" si="369">Y147*$E$9</f>
        <v>1999998</v>
      </c>
      <c r="Z151" s="195">
        <f t="shared" si="369"/>
        <v>1999998</v>
      </c>
      <c r="AA151" s="195">
        <f t="shared" si="369"/>
        <v>1999998</v>
      </c>
      <c r="AB151" s="219">
        <f>X151*VLOOKUP($B151,Types!$B$2:$D$13,3,FALSE)*Conv!$I$5*1000*365</f>
        <v>4486357.3896381231</v>
      </c>
      <c r="AC151" s="219">
        <f>Y151*VLOOKUP($B151,Types!$B$2:$D$13,3,FALSE)*Conv!$I$5*1000*365</f>
        <v>4486357.3896381231</v>
      </c>
      <c r="AD151" s="219">
        <f>Z151*VLOOKUP($B151,Types!$B$2:$D$13,3,FALSE)*Conv!$I$5*1000*365</f>
        <v>4486357.3896381231</v>
      </c>
      <c r="AE151" s="219">
        <f>AA151*VLOOKUP($B151,Types!$B$2:$D$13,3,FALSE)*Conv!$I$5*1000*365</f>
        <v>4486357.3896381231</v>
      </c>
      <c r="AF151" s="219">
        <f>AB151-AB150</f>
        <v>1794542.9558552485</v>
      </c>
      <c r="AG151" s="219">
        <f t="shared" ref="AG151:AI151" si="370">AC151-AC150</f>
        <v>1794542.9558552485</v>
      </c>
      <c r="AH151" s="219">
        <f t="shared" si="370"/>
        <v>1794542.9558552485</v>
      </c>
      <c r="AI151" s="219">
        <f t="shared" si="370"/>
        <v>1794542.9558552485</v>
      </c>
      <c r="AJ151" s="219"/>
      <c r="AK151" s="219"/>
      <c r="AL151" s="219"/>
    </row>
    <row r="152" spans="1:38">
      <c r="A152" s="195" t="str">
        <f>'Agg prdcrv'!$A$9</f>
        <v>LS Diesel (500 ppm)</v>
      </c>
      <c r="B152" s="195" t="str">
        <f>VLOOKUP($A152,Types!$A$2:$C$13,2,FALSE)</f>
        <v>DSL</v>
      </c>
      <c r="C152" s="195">
        <v>3</v>
      </c>
      <c r="D152" s="195">
        <v>3</v>
      </c>
      <c r="E152" s="195" t="str">
        <f t="shared" si="328"/>
        <v>IMPDSLP33</v>
      </c>
      <c r="F152" s="195" t="str">
        <f>CONCATENATE("Imported ",VLOOKUP($A152,Types!$A$2:$C$13,3,FALSE),", PADD ",D152,", Step ",RIGHT(C152,1))</f>
        <v>Imported Distillate-Low Sulfur Highway Diesel (500 ppm), PADD 3, Step 3</v>
      </c>
      <c r="G152" s="195" t="str">
        <f>CONCATENATE(VLOOKUP($A152,Types!$A$2:$C$13,2,FALSE),"P",D152)</f>
        <v>DSLP3</v>
      </c>
      <c r="H152" s="239">
        <f>SUMIFS('Agg prdcrv NYC'!$N$6:$N$100,'Agg prdcrv NYC'!$A$6:$A$100,'Imp Refined NYC'!$A152,'Agg prdcrv NYC'!$B$6:$B$100,H$11)*K4</f>
        <v>55.979000000000006</v>
      </c>
      <c r="I152" s="239">
        <f>SUMIFS('Agg prdcrv NYC'!$N$6:$N$100,'Agg prdcrv NYC'!$A$6:$A$100,'Imp Refined NYC'!$A152,'Agg prdcrv NYC'!$B$6:$B$100,I$11)*K4</f>
        <v>49.401000000000003</v>
      </c>
      <c r="J152" s="239">
        <f t="array" ref="J152">SUMIFS('Agg prdcrv NYC'!$N$6:$N$100,'Agg prdcrv NYC'!$A$6:$A$100,'Imp Refined NYC'!$A152,'Agg prdcrv NYC'!$B$6:$B$100,J$11)</f>
        <v>113.56</v>
      </c>
      <c r="K152" s="239">
        <f t="array" ref="K152">SUMIFS('Agg prdcrv NYC'!$N$6:$N$100,'Agg prdcrv NYC'!$A$6:$A$100,'Imp Refined NYC'!$A152,'Agg prdcrv NYC'!$B$6:$B$100,K$11)</f>
        <v>113.56</v>
      </c>
      <c r="L152" s="240">
        <f>H152*Conv!$J$20/10^6/VLOOKUP($B152,Types!$B$2:$D$13,3,FALSE)/Conv!$I$5</f>
        <v>13.977100617599024</v>
      </c>
      <c r="M152" s="240">
        <f>I152*Conv!$J$20/10^6/VLOOKUP($B152,Types!$B$2:$D$13,3,FALSE)/Conv!$I$5</f>
        <v>12.334674567427236</v>
      </c>
      <c r="N152" s="240">
        <f>M152*'Imported Price Trends'!$K$19</f>
        <v>13.281322083180934</v>
      </c>
      <c r="O152" s="240">
        <f>N152*'Imported Price Trends'!$L$19</f>
        <v>13.155042324118956</v>
      </c>
      <c r="P152" s="240">
        <f>O152*'Imported Price Trends'!$M$19</f>
        <v>14.195214630855862</v>
      </c>
      <c r="Q152" s="240">
        <f>P152*'Imported Price Trends'!$N$19</f>
        <v>15.010621478257399</v>
      </c>
      <c r="R152" s="240">
        <f>Q152*'Imported Price Trends'!$O$19</f>
        <v>16.127172178395742</v>
      </c>
      <c r="S152" s="240">
        <f>R152*'Imported Price Trends'!$O$19</f>
        <v>17.326776432831306</v>
      </c>
      <c r="T152" s="240">
        <f>S152*'Imported Price Trends'!$O$19</f>
        <v>18.615612100644327</v>
      </c>
      <c r="U152" s="240">
        <f>T152*'Imported Price Trends'!$O$19</f>
        <v>20.000316575045026</v>
      </c>
      <c r="V152" s="240">
        <f>U152*'Imported Price Trends'!$O$19</f>
        <v>21.488020965379672</v>
      </c>
      <c r="W152" s="219"/>
      <c r="X152" s="195">
        <f t="array" ref="X152">SUMIFS('Agg prdcrv NYC'!$F$6:$F$100,'Agg prdcrv NYC'!$A$6:$A$100,'Imp Refined NYC'!$A152,'Agg prdcrv NYC'!$B$6:$B$100,X$11)</f>
        <v>999999</v>
      </c>
      <c r="Y152" s="195">
        <f t="array" ref="Y152">SUMIFS('Agg prdcrv NYC'!$F$6:$F$100,'Agg prdcrv NYC'!$A$6:$A$100,'Imp Refined NYC'!$A152,'Agg prdcrv NYC'!$B$6:$B$100,Y$11)</f>
        <v>999999</v>
      </c>
      <c r="Z152" s="195">
        <f t="array" ref="Z152">SUMIFS('Agg prdcrv NYC'!$F$6:$F$100,'Agg prdcrv NYC'!$A$6:$A$100,'Imp Refined NYC'!$A152,'Agg prdcrv NYC'!$B$6:$B$100,Z$11)</f>
        <v>999999</v>
      </c>
      <c r="AA152" s="195">
        <f t="array" ref="AA152">SUMIFS('Agg prdcrv NYC'!$F$6:$F$100,'Agg prdcrv NYC'!$A$6:$A$100,'Imp Refined NYC'!$A152,'Agg prdcrv NYC'!$B$6:$B$100,AA$11)</f>
        <v>999999</v>
      </c>
      <c r="AB152" s="219">
        <f>X152*VLOOKUP($B152,Types!$B$2:$D$13,3,FALSE)*Conv!$I$5*1000*365</f>
        <v>2243178.6948190616</v>
      </c>
      <c r="AC152" s="219">
        <f>Y152*VLOOKUP($B152,Types!$B$2:$D$13,3,FALSE)*Conv!$I$5*1000*365</f>
        <v>2243178.6948190616</v>
      </c>
      <c r="AD152" s="219">
        <f>Z152*VLOOKUP($B152,Types!$B$2:$D$13,3,FALSE)*Conv!$I$5*1000*365</f>
        <v>2243178.6948190616</v>
      </c>
      <c r="AE152" s="219">
        <f>AA152*VLOOKUP($B152,Types!$B$2:$D$13,3,FALSE)*Conv!$I$5*1000*365</f>
        <v>2243178.6948190616</v>
      </c>
      <c r="AF152" s="219">
        <f>AB152-AB154</f>
        <v>224317.86948190606</v>
      </c>
      <c r="AG152" s="219">
        <f t="shared" ref="AG152:AI152" si="371">AC152-AC154</f>
        <v>224317.86948190606</v>
      </c>
      <c r="AH152" s="219">
        <f t="shared" si="371"/>
        <v>224317.86948190606</v>
      </c>
      <c r="AI152" s="219">
        <f t="shared" si="371"/>
        <v>224317.86948190606</v>
      </c>
      <c r="AJ152" s="219"/>
      <c r="AK152" s="219"/>
      <c r="AL152" s="219"/>
    </row>
    <row r="153" spans="1:38">
      <c r="A153" s="195" t="str">
        <f>A152</f>
        <v>LS Diesel (500 ppm)</v>
      </c>
      <c r="B153" s="195" t="str">
        <f>VLOOKUP($A153,Types!$A$2:$C$13,2,FALSE)</f>
        <v>DSL</v>
      </c>
      <c r="C153" s="195">
        <v>1</v>
      </c>
      <c r="D153" s="195">
        <v>3</v>
      </c>
      <c r="E153" s="195" t="str">
        <f t="shared" si="328"/>
        <v>IMPDSLP31</v>
      </c>
      <c r="F153" s="195" t="str">
        <f>CONCATENATE("Imported ",VLOOKUP($A153,Types!$A$2:$C$13,3,FALSE),", PADD ",D153,", Step ",RIGHT(C153,1))</f>
        <v>Imported Distillate-Low Sulfur Highway Diesel (500 ppm), PADD 3, Step 1</v>
      </c>
      <c r="G153" s="195" t="str">
        <f>CONCATENATE(VLOOKUP($A153,Types!$A$2:$C$13,2,FALSE),"P",D153)</f>
        <v>DSLP3</v>
      </c>
      <c r="H153" s="239">
        <f>H152*$C$5</f>
        <v>53.180050000000001</v>
      </c>
      <c r="I153" s="239">
        <f t="shared" ref="I153:K153" si="372">I152*$C$5</f>
        <v>46.930950000000003</v>
      </c>
      <c r="J153" s="239">
        <f t="shared" si="372"/>
        <v>107.88199999999999</v>
      </c>
      <c r="K153" s="239">
        <f t="shared" si="372"/>
        <v>107.88199999999999</v>
      </c>
      <c r="L153" s="240">
        <f>H153*Conv!$J$20/10^6/VLOOKUP($B153,Types!$B$2:$D$13,3,FALSE)/Conv!$I$5</f>
        <v>13.278245586719072</v>
      </c>
      <c r="M153" s="240">
        <f>I153*Conv!$J$20/10^6/VLOOKUP($B153,Types!$B$2:$D$13,3,FALSE)/Conv!$I$5</f>
        <v>11.717940839055876</v>
      </c>
      <c r="N153" s="240">
        <f>M153*'Imported Price Trends'!$K$19</f>
        <v>12.617255979021889</v>
      </c>
      <c r="O153" s="240">
        <f>N153*'Imported Price Trends'!$L$19</f>
        <v>12.497290207913011</v>
      </c>
      <c r="P153" s="240">
        <f>O153*'Imported Price Trends'!$M$19</f>
        <v>13.485453899313072</v>
      </c>
      <c r="Q153" s="240">
        <f>P153*'Imported Price Trends'!$N$19</f>
        <v>14.260090404344531</v>
      </c>
      <c r="R153" s="240">
        <f>Q153*'Imported Price Trends'!$O$19</f>
        <v>15.320813569475959</v>
      </c>
      <c r="S153" s="240">
        <f>R153*'Imported Price Trends'!$O$19</f>
        <v>16.460437611189743</v>
      </c>
      <c r="T153" s="240">
        <f>S153*'Imported Price Trends'!$O$19</f>
        <v>17.684831495612112</v>
      </c>
      <c r="U153" s="240">
        <f>T153*'Imported Price Trends'!$O$19</f>
        <v>19.000300746292776</v>
      </c>
      <c r="V153" s="240">
        <f>U153*'Imported Price Trends'!$O$19</f>
        <v>20.41361991711069</v>
      </c>
      <c r="W153" s="219"/>
      <c r="X153" s="195">
        <f>X152*$E$5</f>
        <v>799999.20000000007</v>
      </c>
      <c r="Y153" s="195">
        <f t="shared" ref="Y153:AA153" si="373">Y152*$E$5</f>
        <v>799999.20000000007</v>
      </c>
      <c r="Z153" s="195">
        <f t="shared" si="373"/>
        <v>799999.20000000007</v>
      </c>
      <c r="AA153" s="195">
        <f t="shared" si="373"/>
        <v>799999.20000000007</v>
      </c>
      <c r="AB153" s="219">
        <f>X153*VLOOKUP($B153,Types!$B$2:$D$13,3,FALSE)*Conv!$I$5*1000*365</f>
        <v>1794542.9558552499</v>
      </c>
      <c r="AC153" s="219">
        <f>Y153*VLOOKUP($B153,Types!$B$2:$D$13,3,FALSE)*Conv!$I$5*1000*365</f>
        <v>1794542.9558552499</v>
      </c>
      <c r="AD153" s="219">
        <f>Z153*VLOOKUP($B153,Types!$B$2:$D$13,3,FALSE)*Conv!$I$5*1000*365</f>
        <v>1794542.9558552499</v>
      </c>
      <c r="AE153" s="219">
        <f>AA153*VLOOKUP($B153,Types!$B$2:$D$13,3,FALSE)*Conv!$I$5*1000*365</f>
        <v>1794542.9558552499</v>
      </c>
      <c r="AF153" s="219">
        <f>AB153</f>
        <v>1794542.9558552499</v>
      </c>
      <c r="AG153" s="219">
        <f t="shared" ref="AG153:AI153" si="374">AC153</f>
        <v>1794542.9558552499</v>
      </c>
      <c r="AH153" s="219">
        <f t="shared" si="374"/>
        <v>1794542.9558552499</v>
      </c>
      <c r="AI153" s="219">
        <f t="shared" si="374"/>
        <v>1794542.9558552499</v>
      </c>
      <c r="AJ153" s="219"/>
      <c r="AK153" s="219"/>
      <c r="AL153" s="219"/>
    </row>
    <row r="154" spans="1:38">
      <c r="A154" s="195" t="str">
        <f t="shared" ref="A154:A156" si="375">A153</f>
        <v>LS Diesel (500 ppm)</v>
      </c>
      <c r="B154" s="195" t="str">
        <f>VLOOKUP($A154,Types!$A$2:$C$13,2,FALSE)</f>
        <v>DSL</v>
      </c>
      <c r="C154" s="195">
        <v>2</v>
      </c>
      <c r="D154" s="195">
        <v>3</v>
      </c>
      <c r="E154" s="195" t="str">
        <f t="shared" si="328"/>
        <v>IMPDSLP32</v>
      </c>
      <c r="F154" s="195" t="str">
        <f>CONCATENATE("Imported ",VLOOKUP($A154,Types!$A$2:$C$13,3,FALSE),", PADD ",D154,", Step ",RIGHT(C154,1))</f>
        <v>Imported Distillate-Low Sulfur Highway Diesel (500 ppm), PADD 3, Step 2</v>
      </c>
      <c r="G154" s="195" t="str">
        <f>CONCATENATE(VLOOKUP($A154,Types!$A$2:$C$13,2,FALSE),"P",D154)</f>
        <v>DSLP3</v>
      </c>
      <c r="H154" s="239">
        <f>H152*$C$6</f>
        <v>54.859420000000007</v>
      </c>
      <c r="I154" s="239">
        <f t="shared" ref="I154:K154" si="376">I152*$C$6</f>
        <v>48.412980000000005</v>
      </c>
      <c r="J154" s="239">
        <f t="shared" si="376"/>
        <v>111.28879999999999</v>
      </c>
      <c r="K154" s="239">
        <f t="shared" si="376"/>
        <v>111.28879999999999</v>
      </c>
      <c r="L154" s="240">
        <f>H154*Conv!$J$20/10^6/VLOOKUP($B154,Types!$B$2:$D$13,3,FALSE)/Conv!$I$5</f>
        <v>13.697558605247044</v>
      </c>
      <c r="M154" s="240">
        <f>I154*Conv!$J$20/10^6/VLOOKUP($B154,Types!$B$2:$D$13,3,FALSE)/Conv!$I$5</f>
        <v>12.087981076078693</v>
      </c>
      <c r="N154" s="240">
        <f>M154*'Imported Price Trends'!$K$19</f>
        <v>13.015695641517317</v>
      </c>
      <c r="O154" s="240">
        <f>N154*'Imported Price Trends'!$L$19</f>
        <v>12.891941477636578</v>
      </c>
      <c r="P154" s="240">
        <f>O154*'Imported Price Trends'!$M$19</f>
        <v>13.911310338238748</v>
      </c>
      <c r="Q154" s="240">
        <f>P154*'Imported Price Trends'!$N$19</f>
        <v>14.710409048692254</v>
      </c>
      <c r="R154" s="240">
        <f>Q154*'Imported Price Trends'!$O$19</f>
        <v>15.804628734827832</v>
      </c>
      <c r="S154" s="240">
        <f>R154*'Imported Price Trends'!$O$19</f>
        <v>16.980240904174682</v>
      </c>
      <c r="T154" s="240">
        <f>S154*'Imported Price Trends'!$O$19</f>
        <v>18.243299858631442</v>
      </c>
      <c r="U154" s="240">
        <f>T154*'Imported Price Trends'!$O$19</f>
        <v>19.600310243544126</v>
      </c>
      <c r="V154" s="240">
        <f>U154*'Imported Price Trends'!$O$19</f>
        <v>21.058260546072077</v>
      </c>
      <c r="W154" s="219"/>
      <c r="X154" s="195">
        <f>X152*$E$6</f>
        <v>899999.1</v>
      </c>
      <c r="Y154" s="195">
        <f t="shared" ref="Y154:AA154" si="377">Y152*$E$6</f>
        <v>899999.1</v>
      </c>
      <c r="Z154" s="195">
        <f t="shared" si="377"/>
        <v>899999.1</v>
      </c>
      <c r="AA154" s="195">
        <f t="shared" si="377"/>
        <v>899999.1</v>
      </c>
      <c r="AB154" s="219">
        <f>X154*VLOOKUP($B154,Types!$B$2:$D$13,3,FALSE)*Conv!$I$5*1000*365</f>
        <v>2018860.8253371555</v>
      </c>
      <c r="AC154" s="219">
        <f>Y154*VLOOKUP($B154,Types!$B$2:$D$13,3,FALSE)*Conv!$I$5*1000*365</f>
        <v>2018860.8253371555</v>
      </c>
      <c r="AD154" s="219">
        <f>Z154*VLOOKUP($B154,Types!$B$2:$D$13,3,FALSE)*Conv!$I$5*1000*365</f>
        <v>2018860.8253371555</v>
      </c>
      <c r="AE154" s="219">
        <f>AA154*VLOOKUP($B154,Types!$B$2:$D$13,3,FALSE)*Conv!$I$5*1000*365</f>
        <v>2018860.8253371555</v>
      </c>
      <c r="AF154" s="219">
        <f>AB154-AF153</f>
        <v>224317.8694819056</v>
      </c>
      <c r="AG154" s="219">
        <f t="shared" ref="AG154:AI154" si="378">AC154-AG153</f>
        <v>224317.8694819056</v>
      </c>
      <c r="AH154" s="219">
        <f t="shared" si="378"/>
        <v>224317.8694819056</v>
      </c>
      <c r="AI154" s="219">
        <f t="shared" si="378"/>
        <v>224317.8694819056</v>
      </c>
      <c r="AJ154" s="219"/>
      <c r="AK154" s="219"/>
      <c r="AL154" s="219"/>
    </row>
    <row r="155" spans="1:38">
      <c r="A155" s="195" t="str">
        <f t="shared" si="375"/>
        <v>LS Diesel (500 ppm)</v>
      </c>
      <c r="B155" s="195" t="str">
        <f>VLOOKUP($A155,Types!$A$2:$C$13,2,FALSE)</f>
        <v>DSL</v>
      </c>
      <c r="C155" s="195">
        <v>4</v>
      </c>
      <c r="D155" s="195">
        <v>3</v>
      </c>
      <c r="E155" s="195" t="str">
        <f t="shared" si="328"/>
        <v>IMPDSLP34</v>
      </c>
      <c r="F155" s="195" t="str">
        <f>CONCATENATE("Imported ",VLOOKUP($A155,Types!$A$2:$C$13,3,FALSE),", PADD ",D155,", Step ",RIGHT(C155,1))</f>
        <v>Imported Distillate-Low Sulfur Highway Diesel (500 ppm), PADD 3, Step 4</v>
      </c>
      <c r="G155" s="195" t="str">
        <f>CONCATENATE(VLOOKUP($A155,Types!$A$2:$C$13,2,FALSE),"P",D155)</f>
        <v>DSLP3</v>
      </c>
      <c r="H155" s="239">
        <f>H152*$C$8</f>
        <v>61.01711000000001</v>
      </c>
      <c r="I155" s="239">
        <f t="shared" ref="I155:K155" si="379">I152*$C$8</f>
        <v>53.847090000000009</v>
      </c>
      <c r="J155" s="239">
        <f t="shared" si="379"/>
        <v>123.78040000000001</v>
      </c>
      <c r="K155" s="239">
        <f t="shared" si="379"/>
        <v>123.78040000000001</v>
      </c>
      <c r="L155" s="240">
        <f>H155*Conv!$J$20/10^6/VLOOKUP($B155,Types!$B$2:$D$13,3,FALSE)/Conv!$I$5</f>
        <v>15.235039673182937</v>
      </c>
      <c r="M155" s="240">
        <f>I155*Conv!$J$20/10^6/VLOOKUP($B155,Types!$B$2:$D$13,3,FALSE)/Conv!$I$5</f>
        <v>13.44479527849569</v>
      </c>
      <c r="N155" s="240">
        <f>M155*'Imported Price Trends'!$K$19</f>
        <v>14.47664107066722</v>
      </c>
      <c r="O155" s="240">
        <f>N155*'Imported Price Trends'!$L$19</f>
        <v>14.338996133289665</v>
      </c>
      <c r="P155" s="240">
        <f>O155*'Imported Price Trends'!$M$19</f>
        <v>15.472783947632893</v>
      </c>
      <c r="Q155" s="240">
        <f>P155*'Imported Price Trends'!$N$19</f>
        <v>16.361577411300569</v>
      </c>
      <c r="R155" s="240">
        <f>Q155*'Imported Price Trends'!$O$19</f>
        <v>17.578617674451365</v>
      </c>
      <c r="S155" s="240">
        <f>R155*'Imported Price Trends'!$O$19</f>
        <v>18.886186311786126</v>
      </c>
      <c r="T155" s="240">
        <f>S155*'Imported Price Trends'!$O$19</f>
        <v>20.29101718970232</v>
      </c>
      <c r="U155" s="240">
        <f>T155*'Imported Price Trends'!$O$19</f>
        <v>21.800345066799082</v>
      </c>
      <c r="V155" s="240">
        <f>U155*'Imported Price Trends'!$O$19</f>
        <v>23.421942852263847</v>
      </c>
      <c r="W155" s="219"/>
      <c r="X155" s="195">
        <f>X152*$E$8</f>
        <v>1199998.8</v>
      </c>
      <c r="Y155" s="195">
        <f t="shared" ref="Y155:AA155" si="380">Y152*$E$8</f>
        <v>1199998.8</v>
      </c>
      <c r="Z155" s="195">
        <f t="shared" si="380"/>
        <v>1199998.8</v>
      </c>
      <c r="AA155" s="195">
        <f t="shared" si="380"/>
        <v>1199998.8</v>
      </c>
      <c r="AB155" s="219">
        <f>X155*VLOOKUP($B155,Types!$B$2:$D$13,3,FALSE)*Conv!$I$5*1000*365</f>
        <v>2691814.4337828746</v>
      </c>
      <c r="AC155" s="219">
        <f>Y155*VLOOKUP($B155,Types!$B$2:$D$13,3,FALSE)*Conv!$I$5*1000*365</f>
        <v>2691814.4337828746</v>
      </c>
      <c r="AD155" s="219">
        <f>Z155*VLOOKUP($B155,Types!$B$2:$D$13,3,FALSE)*Conv!$I$5*1000*365</f>
        <v>2691814.4337828746</v>
      </c>
      <c r="AE155" s="219">
        <f>AA155*VLOOKUP($B155,Types!$B$2:$D$13,3,FALSE)*Conv!$I$5*1000*365</f>
        <v>2691814.4337828746</v>
      </c>
      <c r="AF155" s="219">
        <f>AB155-AB152</f>
        <v>448635.73896381306</v>
      </c>
      <c r="AG155" s="219">
        <f t="shared" ref="AG155:AI155" si="381">AC155-AC152</f>
        <v>448635.73896381306</v>
      </c>
      <c r="AH155" s="219">
        <f t="shared" si="381"/>
        <v>448635.73896381306</v>
      </c>
      <c r="AI155" s="219">
        <f t="shared" si="381"/>
        <v>448635.73896381306</v>
      </c>
      <c r="AJ155" s="219"/>
      <c r="AK155" s="219"/>
      <c r="AL155" s="219"/>
    </row>
    <row r="156" spans="1:38">
      <c r="A156" s="195" t="str">
        <f t="shared" si="375"/>
        <v>LS Diesel (500 ppm)</v>
      </c>
      <c r="B156" s="195" t="str">
        <f>VLOOKUP($A156,Types!$A$2:$C$13,2,FALSE)</f>
        <v>DSL</v>
      </c>
      <c r="C156" s="195">
        <v>5</v>
      </c>
      <c r="D156" s="195">
        <v>3</v>
      </c>
      <c r="E156" s="195" t="str">
        <f t="shared" si="328"/>
        <v>IMPDSLP35</v>
      </c>
      <c r="F156" s="195" t="str">
        <f>CONCATENATE("Imported ",VLOOKUP($A156,Types!$A$2:$C$13,3,FALSE),", PADD ",D156,", Step ",RIGHT(C156,1))</f>
        <v>Imported Distillate-Low Sulfur Highway Diesel (500 ppm), PADD 3, Step 5</v>
      </c>
      <c r="G156" s="195" t="str">
        <f>CONCATENATE(VLOOKUP($A156,Types!$A$2:$C$13,2,FALSE),"P",D156)</f>
        <v>DSLP3</v>
      </c>
      <c r="H156" s="239">
        <f>H152*$C$9</f>
        <v>72.772700000000015</v>
      </c>
      <c r="I156" s="239">
        <f t="shared" ref="I156:K156" si="382">I152*$C$9</f>
        <v>64.221300000000014</v>
      </c>
      <c r="J156" s="239">
        <f t="shared" si="382"/>
        <v>147.62800000000001</v>
      </c>
      <c r="K156" s="239">
        <f t="shared" si="382"/>
        <v>147.62800000000001</v>
      </c>
      <c r="L156" s="240">
        <f>H156*Conv!$J$20/10^6/VLOOKUP($B156,Types!$B$2:$D$13,3,FALSE)/Conv!$I$5</f>
        <v>18.170230802878731</v>
      </c>
      <c r="M156" s="240">
        <f>I156*Conv!$J$20/10^6/VLOOKUP($B156,Types!$B$2:$D$13,3,FALSE)/Conv!$I$5</f>
        <v>16.035076937655411</v>
      </c>
      <c r="N156" s="240">
        <f>M156*'Imported Price Trends'!$K$19</f>
        <v>17.265718708135218</v>
      </c>
      <c r="O156" s="240">
        <f>N156*'Imported Price Trends'!$L$19</f>
        <v>17.101555021354645</v>
      </c>
      <c r="P156" s="240">
        <f>O156*'Imported Price Trends'!$M$19</f>
        <v>18.453779020112623</v>
      </c>
      <c r="Q156" s="240">
        <f>P156*'Imported Price Trends'!$N$19</f>
        <v>19.513807921734621</v>
      </c>
      <c r="R156" s="240">
        <f>Q156*'Imported Price Trends'!$O$19</f>
        <v>20.965323831914468</v>
      </c>
      <c r="S156" s="240">
        <f>R156*'Imported Price Trends'!$O$19</f>
        <v>22.524809362680699</v>
      </c>
      <c r="T156" s="240">
        <f>S156*'Imported Price Trends'!$O$19</f>
        <v>24.200295730837627</v>
      </c>
      <c r="U156" s="240">
        <f>T156*'Imported Price Trends'!$O$19</f>
        <v>26.000411547558535</v>
      </c>
      <c r="V156" s="240">
        <f>U156*'Imported Price Trends'!$O$19</f>
        <v>27.934427254993576</v>
      </c>
      <c r="W156" s="219"/>
      <c r="X156" s="195">
        <f>X152*$E$9</f>
        <v>1999998</v>
      </c>
      <c r="Y156" s="195">
        <f t="shared" ref="Y156:AA156" si="383">Y152*$E$9</f>
        <v>1999998</v>
      </c>
      <c r="Z156" s="195">
        <f t="shared" si="383"/>
        <v>1999998</v>
      </c>
      <c r="AA156" s="195">
        <f t="shared" si="383"/>
        <v>1999998</v>
      </c>
      <c r="AB156" s="219">
        <f>X156*VLOOKUP($B156,Types!$B$2:$D$13,3,FALSE)*Conv!$I$5*1000*365</f>
        <v>4486357.3896381231</v>
      </c>
      <c r="AC156" s="219">
        <f>Y156*VLOOKUP($B156,Types!$B$2:$D$13,3,FALSE)*Conv!$I$5*1000*365</f>
        <v>4486357.3896381231</v>
      </c>
      <c r="AD156" s="219">
        <f>Z156*VLOOKUP($B156,Types!$B$2:$D$13,3,FALSE)*Conv!$I$5*1000*365</f>
        <v>4486357.3896381231</v>
      </c>
      <c r="AE156" s="219">
        <f>AA156*VLOOKUP($B156,Types!$B$2:$D$13,3,FALSE)*Conv!$I$5*1000*365</f>
        <v>4486357.3896381231</v>
      </c>
      <c r="AF156" s="219">
        <f>AB156-AB155</f>
        <v>1794542.9558552485</v>
      </c>
      <c r="AG156" s="219">
        <f t="shared" ref="AG156:AI156" si="384">AC156-AC155</f>
        <v>1794542.9558552485</v>
      </c>
      <c r="AH156" s="219">
        <f t="shared" si="384"/>
        <v>1794542.9558552485</v>
      </c>
      <c r="AI156" s="219">
        <f t="shared" si="384"/>
        <v>1794542.9558552485</v>
      </c>
      <c r="AJ156" s="219"/>
      <c r="AK156" s="219"/>
      <c r="AL156" s="219"/>
    </row>
    <row r="157" spans="1:38">
      <c r="A157" s="195" t="str">
        <f>'Agg prdcrv'!$A$10</f>
        <v>Low Sulfur Fuel Oil</v>
      </c>
      <c r="B157" s="195" t="str">
        <f>VLOOKUP($A157,Types!$A$2:$C$13,2,FALSE)</f>
        <v>RFL</v>
      </c>
      <c r="C157" s="195">
        <v>3</v>
      </c>
      <c r="D157" s="195">
        <v>3</v>
      </c>
      <c r="E157" s="195" t="str">
        <f t="shared" si="328"/>
        <v>IMPRFLP33</v>
      </c>
      <c r="F157" s="195" t="str">
        <f>CONCATENATE("Imported ",VLOOKUP($A157,Types!$A$2:$C$13,3,FALSE),", PADD ",D157,", Step ",RIGHT(C157,1))</f>
        <v>Imported Low Sulfur Residual Fuel Oil, PADD 3, Step 3</v>
      </c>
      <c r="G157" s="195" t="str">
        <f>CONCATENATE(VLOOKUP($A157,Types!$A$2:$C$13,2,FALSE),"P",D157)</f>
        <v>RFLP3</v>
      </c>
      <c r="H157" s="239">
        <f>SUMIFS('Agg prdcrv NYC'!$N$6:$N$100,'Agg prdcrv NYC'!$A$6:$A$100,'Imp Refined NYC'!$A157,'Agg prdcrv NYC'!$B$6:$B$100,H$11)*K4</f>
        <v>43.120000000000005</v>
      </c>
      <c r="I157" s="239">
        <f>SUMIFS('Agg prdcrv NYC'!$N$6:$N$100,'Agg prdcrv NYC'!$A$6:$A$100,'Imp Refined NYC'!$A157,'Agg prdcrv NYC'!$B$6:$B$100,I$11)*K4</f>
        <v>36.927000000000007</v>
      </c>
      <c r="J157" s="239">
        <f t="array" ref="J157">SUMIFS('Agg prdcrv NYC'!$N$6:$N$100,'Agg prdcrv NYC'!$A$6:$A$100,'Imp Refined NYC'!$A157,'Agg prdcrv NYC'!$B$6:$B$100,J$11)</f>
        <v>29.66</v>
      </c>
      <c r="K157" s="239">
        <f t="array" ref="K157">SUMIFS('Agg prdcrv NYC'!$N$6:$N$100,'Agg prdcrv NYC'!$A$6:$A$100,'Imp Refined NYC'!$A157,'Agg prdcrv NYC'!$B$6:$B$100,K$11)</f>
        <v>32.6</v>
      </c>
      <c r="L157" s="240">
        <f>H157*Conv!$J$20/10^6/VLOOKUP($B157,Types!$B$2:$D$13,3,FALSE)/Conv!$I$5</f>
        <v>9.9752359489009166</v>
      </c>
      <c r="M157" s="240">
        <f>I157*Conv!$J$20/10^6/VLOOKUP($B157,Types!$B$2:$D$13,3,FALSE)/Conv!$I$5</f>
        <v>8.5425681327705032</v>
      </c>
      <c r="N157" s="240">
        <f>M157*'Imported Price Trends'!$K$19</f>
        <v>9.1981833950003722</v>
      </c>
      <c r="O157" s="240">
        <f>N157*'Imported Price Trends'!$L$19</f>
        <v>9.1107264102473646</v>
      </c>
      <c r="P157" s="240">
        <f>O157*'Imported Price Trends'!$M$19</f>
        <v>9.8311137015007617</v>
      </c>
      <c r="Q157" s="240">
        <f>P157*'Imported Price Trends'!$N$19</f>
        <v>10.395836225129379</v>
      </c>
      <c r="R157" s="240">
        <f>Q157*'Imported Price Trends'!$O$19</f>
        <v>11.169120544669711</v>
      </c>
      <c r="S157" s="240">
        <f>R157*'Imported Price Trends'!$O$19</f>
        <v>11.999924877597858</v>
      </c>
      <c r="T157" s="240">
        <f>S157*'Imported Price Trends'!$O$19</f>
        <v>12.892527795011832</v>
      </c>
      <c r="U157" s="240">
        <f>T157*'Imported Price Trends'!$O$19</f>
        <v>13.851526125422378</v>
      </c>
      <c r="V157" s="240">
        <f>U157*'Imported Price Trends'!$O$19</f>
        <v>14.881858628025753</v>
      </c>
      <c r="W157" s="219"/>
      <c r="X157" s="195">
        <f t="array" ref="X157">SUMIFS('Agg prdcrv NYC'!$F$6:$F$100,'Agg prdcrv NYC'!$A$6:$A$100,'Imp Refined NYC'!$A157,'Agg prdcrv NYC'!$B$6:$B$100,X$11)</f>
        <v>999999</v>
      </c>
      <c r="Y157" s="195">
        <f t="array" ref="Y157">SUMIFS('Agg prdcrv NYC'!$F$6:$F$100,'Agg prdcrv NYC'!$A$6:$A$100,'Imp Refined NYC'!$A157,'Agg prdcrv NYC'!$B$6:$B$100,Y$11)</f>
        <v>999999</v>
      </c>
      <c r="Z157" s="195">
        <f t="array" ref="Z157">SUMIFS('Agg prdcrv NYC'!$F$6:$F$100,'Agg prdcrv NYC'!$A$6:$A$100,'Imp Refined NYC'!$A157,'Agg prdcrv NYC'!$B$6:$B$100,Z$11)</f>
        <v>999999</v>
      </c>
      <c r="AA157" s="195">
        <f t="array" ref="AA157">SUMIFS('Agg prdcrv NYC'!$F$6:$F$100,'Agg prdcrv NYC'!$A$6:$A$100,'Imp Refined NYC'!$A157,'Agg prdcrv NYC'!$B$6:$B$100,AA$11)</f>
        <v>999999</v>
      </c>
      <c r="AB157" s="219">
        <f>X157*VLOOKUP($B157,Types!$B$2:$D$13,3,FALSE)*Conv!$I$5*1000*365</f>
        <v>2421092.6101849684</v>
      </c>
      <c r="AC157" s="219">
        <f>Y157*VLOOKUP($B157,Types!$B$2:$D$13,3,FALSE)*Conv!$I$5*1000*365</f>
        <v>2421092.6101849684</v>
      </c>
      <c r="AD157" s="219">
        <f>Z157*VLOOKUP($B157,Types!$B$2:$D$13,3,FALSE)*Conv!$I$5*1000*365</f>
        <v>2421092.6101849684</v>
      </c>
      <c r="AE157" s="219">
        <f>AA157*VLOOKUP($B157,Types!$B$2:$D$13,3,FALSE)*Conv!$I$5*1000*365</f>
        <v>2421092.6101849684</v>
      </c>
      <c r="AF157" s="219">
        <f>AB157-AB159</f>
        <v>242109.26101849694</v>
      </c>
      <c r="AG157" s="219">
        <f t="shared" ref="AG157:AI157" si="385">AC157-AC159</f>
        <v>242109.26101849694</v>
      </c>
      <c r="AH157" s="219">
        <f t="shared" si="385"/>
        <v>242109.26101849694</v>
      </c>
      <c r="AI157" s="219">
        <f t="shared" si="385"/>
        <v>242109.26101849694</v>
      </c>
      <c r="AJ157" s="219"/>
      <c r="AK157" s="219"/>
      <c r="AL157" s="219"/>
    </row>
    <row r="158" spans="1:38">
      <c r="A158" s="195" t="str">
        <f>A157</f>
        <v>Low Sulfur Fuel Oil</v>
      </c>
      <c r="B158" s="195" t="str">
        <f>VLOOKUP($A158,Types!$A$2:$C$13,2,FALSE)</f>
        <v>RFL</v>
      </c>
      <c r="C158" s="195">
        <v>1</v>
      </c>
      <c r="D158" s="195">
        <v>3</v>
      </c>
      <c r="E158" s="195" t="str">
        <f t="shared" si="328"/>
        <v>IMPRFLP31</v>
      </c>
      <c r="F158" s="195" t="str">
        <f>CONCATENATE("Imported ",VLOOKUP($A158,Types!$A$2:$C$13,3,FALSE),", PADD ",D158,", Step ",RIGHT(C158,1))</f>
        <v>Imported Low Sulfur Residual Fuel Oil, PADD 3, Step 1</v>
      </c>
      <c r="G158" s="195" t="str">
        <f>CONCATENATE(VLOOKUP($A158,Types!$A$2:$C$13,2,FALSE),"P",D158)</f>
        <v>RFLP3</v>
      </c>
      <c r="H158" s="239">
        <f>H157*$C$5</f>
        <v>40.964000000000006</v>
      </c>
      <c r="I158" s="239">
        <f t="shared" ref="I158:K158" si="386">I157*$C$5</f>
        <v>35.080650000000006</v>
      </c>
      <c r="J158" s="239">
        <f t="shared" si="386"/>
        <v>28.177</v>
      </c>
      <c r="K158" s="239">
        <f t="shared" si="386"/>
        <v>30.97</v>
      </c>
      <c r="L158" s="240">
        <f>H158*Conv!$J$20/10^6/VLOOKUP($B158,Types!$B$2:$D$13,3,FALSE)/Conv!$I$5</f>
        <v>9.4764741514558697</v>
      </c>
      <c r="M158" s="240">
        <f>I158*Conv!$J$20/10^6/VLOOKUP($B158,Types!$B$2:$D$13,3,FALSE)/Conv!$I$5</f>
        <v>8.1154397261319779</v>
      </c>
      <c r="N158" s="240">
        <f>M158*'Imported Price Trends'!$K$19</f>
        <v>8.738274225250354</v>
      </c>
      <c r="O158" s="240">
        <f>N158*'Imported Price Trends'!$L$19</f>
        <v>8.6551900897349974</v>
      </c>
      <c r="P158" s="240">
        <f>O158*'Imported Price Trends'!$M$19</f>
        <v>9.339558016425725</v>
      </c>
      <c r="Q158" s="240">
        <f>P158*'Imported Price Trends'!$N$19</f>
        <v>9.8760444138729113</v>
      </c>
      <c r="R158" s="240">
        <f>Q158*'Imported Price Trends'!$O$19</f>
        <v>10.610664517436227</v>
      </c>
      <c r="S158" s="240">
        <f>R158*'Imported Price Trends'!$O$19</f>
        <v>11.399928633717966</v>
      </c>
      <c r="T158" s="240">
        <f>S158*'Imported Price Trends'!$O$19</f>
        <v>12.247901405261242</v>
      </c>
      <c r="U158" s="240">
        <f>T158*'Imported Price Trends'!$O$19</f>
        <v>13.15894981915126</v>
      </c>
      <c r="V158" s="240">
        <f>U158*'Imported Price Trends'!$O$19</f>
        <v>14.137765696624466</v>
      </c>
      <c r="W158" s="219"/>
      <c r="X158" s="195">
        <f>X157*$E$5</f>
        <v>799999.20000000007</v>
      </c>
      <c r="Y158" s="195">
        <f t="shared" ref="Y158:AA158" si="387">Y157*$E$5</f>
        <v>799999.20000000007</v>
      </c>
      <c r="Z158" s="195">
        <f t="shared" si="387"/>
        <v>799999.20000000007</v>
      </c>
      <c r="AA158" s="195">
        <f t="shared" si="387"/>
        <v>799999.20000000007</v>
      </c>
      <c r="AB158" s="219">
        <f>X158*VLOOKUP($B158,Types!$B$2:$D$13,3,FALSE)*Conv!$I$5*1000*365</f>
        <v>1936874.088147975</v>
      </c>
      <c r="AC158" s="219">
        <f>Y158*VLOOKUP($B158,Types!$B$2:$D$13,3,FALSE)*Conv!$I$5*1000*365</f>
        <v>1936874.088147975</v>
      </c>
      <c r="AD158" s="219">
        <f>Z158*VLOOKUP($B158,Types!$B$2:$D$13,3,FALSE)*Conv!$I$5*1000*365</f>
        <v>1936874.088147975</v>
      </c>
      <c r="AE158" s="219">
        <f>AA158*VLOOKUP($B158,Types!$B$2:$D$13,3,FALSE)*Conv!$I$5*1000*365</f>
        <v>1936874.088147975</v>
      </c>
      <c r="AF158" s="219">
        <f>AB158</f>
        <v>1936874.088147975</v>
      </c>
      <c r="AG158" s="219">
        <f t="shared" ref="AG158:AI158" si="388">AC158</f>
        <v>1936874.088147975</v>
      </c>
      <c r="AH158" s="219">
        <f t="shared" si="388"/>
        <v>1936874.088147975</v>
      </c>
      <c r="AI158" s="219">
        <f t="shared" si="388"/>
        <v>1936874.088147975</v>
      </c>
      <c r="AJ158" s="219"/>
      <c r="AK158" s="219"/>
      <c r="AL158" s="219"/>
    </row>
    <row r="159" spans="1:38">
      <c r="A159" s="195" t="str">
        <f t="shared" ref="A159:A161" si="389">A158</f>
        <v>Low Sulfur Fuel Oil</v>
      </c>
      <c r="B159" s="195" t="str">
        <f>VLOOKUP($A159,Types!$A$2:$C$13,2,FALSE)</f>
        <v>RFL</v>
      </c>
      <c r="C159" s="195">
        <v>2</v>
      </c>
      <c r="D159" s="195">
        <v>3</v>
      </c>
      <c r="E159" s="195" t="str">
        <f t="shared" si="328"/>
        <v>IMPRFLP32</v>
      </c>
      <c r="F159" s="195" t="str">
        <f>CONCATENATE("Imported ",VLOOKUP($A159,Types!$A$2:$C$13,3,FALSE),", PADD ",D159,", Step ",RIGHT(C159,1))</f>
        <v>Imported Low Sulfur Residual Fuel Oil, PADD 3, Step 2</v>
      </c>
      <c r="G159" s="195" t="str">
        <f>CONCATENATE(VLOOKUP($A159,Types!$A$2:$C$13,2,FALSE),"P",D159)</f>
        <v>RFLP3</v>
      </c>
      <c r="H159" s="239">
        <f>H157*$C$6</f>
        <v>42.257600000000004</v>
      </c>
      <c r="I159" s="239">
        <f t="shared" ref="I159:K159" si="390">I157*$C$6</f>
        <v>36.188460000000006</v>
      </c>
      <c r="J159" s="239">
        <f t="shared" si="390"/>
        <v>29.066800000000001</v>
      </c>
      <c r="K159" s="239">
        <f t="shared" si="390"/>
        <v>31.948</v>
      </c>
      <c r="L159" s="240">
        <f>H159*Conv!$J$20/10^6/VLOOKUP($B159,Types!$B$2:$D$13,3,FALSE)/Conv!$I$5</f>
        <v>9.7757312299228953</v>
      </c>
      <c r="M159" s="240">
        <f>I159*Conv!$J$20/10^6/VLOOKUP($B159,Types!$B$2:$D$13,3,FALSE)/Conv!$I$5</f>
        <v>8.3717167701150927</v>
      </c>
      <c r="N159" s="240">
        <f>M159*'Imported Price Trends'!$K$19</f>
        <v>9.0142197271003646</v>
      </c>
      <c r="O159" s="240">
        <f>N159*'Imported Price Trends'!$L$19</f>
        <v>8.9285118820424181</v>
      </c>
      <c r="P159" s="240">
        <f>O159*'Imported Price Trends'!$M$19</f>
        <v>9.6344914274707474</v>
      </c>
      <c r="Q159" s="240">
        <f>P159*'Imported Price Trends'!$N$19</f>
        <v>10.187919500626792</v>
      </c>
      <c r="R159" s="240">
        <f>Q159*'Imported Price Trends'!$O$19</f>
        <v>10.945738133776318</v>
      </c>
      <c r="S159" s="240">
        <f>R159*'Imported Price Trends'!$O$19</f>
        <v>11.759926380045901</v>
      </c>
      <c r="T159" s="240">
        <f>S159*'Imported Price Trends'!$O$19</f>
        <v>12.634677239111596</v>
      </c>
      <c r="U159" s="240">
        <f>T159*'Imported Price Trends'!$O$19</f>
        <v>13.574495602913931</v>
      </c>
      <c r="V159" s="240">
        <f>U159*'Imported Price Trends'!$O$19</f>
        <v>14.584221455465238</v>
      </c>
      <c r="W159" s="219"/>
      <c r="X159" s="195">
        <f>X157*$E$6</f>
        <v>899999.1</v>
      </c>
      <c r="Y159" s="195">
        <f t="shared" ref="Y159:AA159" si="391">Y157*$E$6</f>
        <v>899999.1</v>
      </c>
      <c r="Z159" s="195">
        <f t="shared" si="391"/>
        <v>899999.1</v>
      </c>
      <c r="AA159" s="195">
        <f t="shared" si="391"/>
        <v>899999.1</v>
      </c>
      <c r="AB159" s="219">
        <f>X159*VLOOKUP($B159,Types!$B$2:$D$13,3,FALSE)*Conv!$I$5*1000*365</f>
        <v>2178983.3491664715</v>
      </c>
      <c r="AC159" s="219">
        <f>Y159*VLOOKUP($B159,Types!$B$2:$D$13,3,FALSE)*Conv!$I$5*1000*365</f>
        <v>2178983.3491664715</v>
      </c>
      <c r="AD159" s="219">
        <f>Z159*VLOOKUP($B159,Types!$B$2:$D$13,3,FALSE)*Conv!$I$5*1000*365</f>
        <v>2178983.3491664715</v>
      </c>
      <c r="AE159" s="219">
        <f>AA159*VLOOKUP($B159,Types!$B$2:$D$13,3,FALSE)*Conv!$I$5*1000*365</f>
        <v>2178983.3491664715</v>
      </c>
      <c r="AF159" s="219">
        <f>AB159-AF158</f>
        <v>242109.26101849647</v>
      </c>
      <c r="AG159" s="219">
        <f t="shared" ref="AG159:AI159" si="392">AC159-AG158</f>
        <v>242109.26101849647</v>
      </c>
      <c r="AH159" s="219">
        <f t="shared" si="392"/>
        <v>242109.26101849647</v>
      </c>
      <c r="AI159" s="219">
        <f t="shared" si="392"/>
        <v>242109.26101849647</v>
      </c>
      <c r="AJ159" s="219"/>
      <c r="AK159" s="219"/>
      <c r="AL159" s="219"/>
    </row>
    <row r="160" spans="1:38">
      <c r="A160" s="195" t="str">
        <f t="shared" si="389"/>
        <v>Low Sulfur Fuel Oil</v>
      </c>
      <c r="B160" s="195" t="str">
        <f>VLOOKUP($A160,Types!$A$2:$C$13,2,FALSE)</f>
        <v>RFL</v>
      </c>
      <c r="C160" s="195">
        <v>4</v>
      </c>
      <c r="D160" s="195">
        <v>3</v>
      </c>
      <c r="E160" s="195" t="str">
        <f t="shared" si="328"/>
        <v>IMPRFLP34</v>
      </c>
      <c r="F160" s="195" t="str">
        <f>CONCATENATE("Imported ",VLOOKUP($A160,Types!$A$2:$C$13,3,FALSE),", PADD ",D160,", Step ",RIGHT(C160,1))</f>
        <v>Imported Low Sulfur Residual Fuel Oil, PADD 3, Step 4</v>
      </c>
      <c r="G160" s="195" t="str">
        <f>CONCATENATE(VLOOKUP($A160,Types!$A$2:$C$13,2,FALSE),"P",D160)</f>
        <v>RFLP3</v>
      </c>
      <c r="H160" s="239">
        <f>H157*$C$8</f>
        <v>47.000800000000005</v>
      </c>
      <c r="I160" s="239">
        <f t="shared" ref="I160:K160" si="393">I157*$C$8</f>
        <v>40.250430000000009</v>
      </c>
      <c r="J160" s="239">
        <f t="shared" si="393"/>
        <v>32.3294</v>
      </c>
      <c r="K160" s="239">
        <f t="shared" si="393"/>
        <v>35.534000000000006</v>
      </c>
      <c r="L160" s="240">
        <f>H160*Conv!$J$20/10^6/VLOOKUP($B160,Types!$B$2:$D$13,3,FALSE)/Conv!$I$5</f>
        <v>10.873007184301995</v>
      </c>
      <c r="M160" s="240">
        <f>I160*Conv!$J$20/10^6/VLOOKUP($B160,Types!$B$2:$D$13,3,FALSE)/Conv!$I$5</f>
        <v>9.3113992647198476</v>
      </c>
      <c r="N160" s="240">
        <f>M160*'Imported Price Trends'!$K$19</f>
        <v>10.026019900550406</v>
      </c>
      <c r="O160" s="240">
        <f>N160*'Imported Price Trends'!$L$19</f>
        <v>9.9306917871696285</v>
      </c>
      <c r="P160" s="240">
        <f>O160*'Imported Price Trends'!$M$19</f>
        <v>10.715913934635832</v>
      </c>
      <c r="Q160" s="240">
        <f>P160*'Imported Price Trends'!$N$19</f>
        <v>11.331461485391024</v>
      </c>
      <c r="R160" s="240">
        <f>Q160*'Imported Price Trends'!$O$19</f>
        <v>12.174341393689987</v>
      </c>
      <c r="S160" s="240">
        <f>R160*'Imported Price Trends'!$O$19</f>
        <v>13.079918116581666</v>
      </c>
      <c r="T160" s="240">
        <f>S160*'Imported Price Trends'!$O$19</f>
        <v>14.052855296562898</v>
      </c>
      <c r="U160" s="240">
        <f>T160*'Imported Price Trends'!$O$19</f>
        <v>15.098163476710393</v>
      </c>
      <c r="V160" s="240">
        <f>U160*'Imported Price Trends'!$O$19</f>
        <v>16.221225904548074</v>
      </c>
      <c r="W160" s="219"/>
      <c r="X160" s="195">
        <f>X157*$E$8</f>
        <v>1199998.8</v>
      </c>
      <c r="Y160" s="195">
        <f t="shared" ref="Y160:AA160" si="394">Y157*$E$8</f>
        <v>1199998.8</v>
      </c>
      <c r="Z160" s="195">
        <f t="shared" si="394"/>
        <v>1199998.8</v>
      </c>
      <c r="AA160" s="195">
        <f t="shared" si="394"/>
        <v>1199998.8</v>
      </c>
      <c r="AB160" s="219">
        <f>X160*VLOOKUP($B160,Types!$B$2:$D$13,3,FALSE)*Conv!$I$5*1000*365</f>
        <v>2905311.1322219619</v>
      </c>
      <c r="AC160" s="219">
        <f>Y160*VLOOKUP($B160,Types!$B$2:$D$13,3,FALSE)*Conv!$I$5*1000*365</f>
        <v>2905311.1322219619</v>
      </c>
      <c r="AD160" s="219">
        <f>Z160*VLOOKUP($B160,Types!$B$2:$D$13,3,FALSE)*Conv!$I$5*1000*365</f>
        <v>2905311.1322219619</v>
      </c>
      <c r="AE160" s="219">
        <f>AA160*VLOOKUP($B160,Types!$B$2:$D$13,3,FALSE)*Conv!$I$5*1000*365</f>
        <v>2905311.1322219619</v>
      </c>
      <c r="AF160" s="219">
        <f>AB160-AB157</f>
        <v>484218.52203699341</v>
      </c>
      <c r="AG160" s="219">
        <f t="shared" ref="AG160:AI160" si="395">AC160-AC157</f>
        <v>484218.52203699341</v>
      </c>
      <c r="AH160" s="219">
        <f t="shared" si="395"/>
        <v>484218.52203699341</v>
      </c>
      <c r="AI160" s="219">
        <f t="shared" si="395"/>
        <v>484218.52203699341</v>
      </c>
      <c r="AJ160" s="219"/>
      <c r="AK160" s="219"/>
      <c r="AL160" s="219"/>
    </row>
    <row r="161" spans="1:38">
      <c r="A161" s="195" t="str">
        <f t="shared" si="389"/>
        <v>Low Sulfur Fuel Oil</v>
      </c>
      <c r="B161" s="195" t="str">
        <f>VLOOKUP($A161,Types!$A$2:$C$13,2,FALSE)</f>
        <v>RFL</v>
      </c>
      <c r="C161" s="195">
        <v>5</v>
      </c>
      <c r="D161" s="195">
        <v>3</v>
      </c>
      <c r="E161" s="195" t="str">
        <f t="shared" si="328"/>
        <v>IMPRFLP35</v>
      </c>
      <c r="F161" s="195" t="str">
        <f>CONCATENATE("Imported ",VLOOKUP($A161,Types!$A$2:$C$13,3,FALSE),", PADD ",D161,", Step ",RIGHT(C161,1))</f>
        <v>Imported Low Sulfur Residual Fuel Oil, PADD 3, Step 5</v>
      </c>
      <c r="G161" s="195" t="str">
        <f>CONCATENATE(VLOOKUP($A161,Types!$A$2:$C$13,2,FALSE),"P",D161)</f>
        <v>RFLP3</v>
      </c>
      <c r="H161" s="239">
        <f>H157*$C$9</f>
        <v>56.056000000000004</v>
      </c>
      <c r="I161" s="239">
        <f t="shared" ref="I161:K161" si="396">I157*$C$9</f>
        <v>48.005100000000013</v>
      </c>
      <c r="J161" s="239">
        <f t="shared" si="396"/>
        <v>38.558</v>
      </c>
      <c r="K161" s="239">
        <f t="shared" si="396"/>
        <v>42.38</v>
      </c>
      <c r="L161" s="240">
        <f>H161*Conv!$J$20/10^6/VLOOKUP($B161,Types!$B$2:$D$13,3,FALSE)/Conv!$I$5</f>
        <v>12.967806733571189</v>
      </c>
      <c r="M161" s="240">
        <f>I161*Conv!$J$20/10^6/VLOOKUP($B161,Types!$B$2:$D$13,3,FALSE)/Conv!$I$5</f>
        <v>11.105338572601656</v>
      </c>
      <c r="N161" s="240">
        <f>M161*'Imported Price Trends'!$K$19</f>
        <v>11.957638413500487</v>
      </c>
      <c r="O161" s="240">
        <f>N161*'Imported Price Trends'!$L$19</f>
        <v>11.843944333321577</v>
      </c>
      <c r="P161" s="240">
        <f>O161*'Imported Price Trends'!$M$19</f>
        <v>12.780447811950994</v>
      </c>
      <c r="Q161" s="240">
        <f>P161*'Imported Price Trends'!$N$19</f>
        <v>13.514587092668197</v>
      </c>
      <c r="R161" s="240">
        <f>Q161*'Imported Price Trends'!$O$19</f>
        <v>14.51985670807063</v>
      </c>
      <c r="S161" s="240">
        <f>R161*'Imported Price Trends'!$O$19</f>
        <v>15.59990234087722</v>
      </c>
      <c r="T161" s="240">
        <f>S161*'Imported Price Trends'!$O$19</f>
        <v>16.760286133515386</v>
      </c>
      <c r="U161" s="240">
        <f>T161*'Imported Price Trends'!$O$19</f>
        <v>18.006983963049095</v>
      </c>
      <c r="V161" s="240">
        <f>U161*'Imported Price Trends'!$O$19</f>
        <v>19.346416216433482</v>
      </c>
      <c r="W161" s="219"/>
      <c r="X161" s="195">
        <f>X157*$E$9</f>
        <v>1999998</v>
      </c>
      <c r="Y161" s="195">
        <f t="shared" ref="Y161:AA161" si="397">Y157*$E$9</f>
        <v>1999998</v>
      </c>
      <c r="Z161" s="195">
        <f t="shared" si="397"/>
        <v>1999998</v>
      </c>
      <c r="AA161" s="195">
        <f t="shared" si="397"/>
        <v>1999998</v>
      </c>
      <c r="AB161" s="219">
        <f>X161*VLOOKUP($B161,Types!$B$2:$D$13,3,FALSE)*Conv!$I$5*1000*365</f>
        <v>4842185.2203699369</v>
      </c>
      <c r="AC161" s="219">
        <f>Y161*VLOOKUP($B161,Types!$B$2:$D$13,3,FALSE)*Conv!$I$5*1000*365</f>
        <v>4842185.2203699369</v>
      </c>
      <c r="AD161" s="219">
        <f>Z161*VLOOKUP($B161,Types!$B$2:$D$13,3,FALSE)*Conv!$I$5*1000*365</f>
        <v>4842185.2203699369</v>
      </c>
      <c r="AE161" s="219">
        <f>AA161*VLOOKUP($B161,Types!$B$2:$D$13,3,FALSE)*Conv!$I$5*1000*365</f>
        <v>4842185.2203699369</v>
      </c>
      <c r="AF161" s="219">
        <f>AB161-AB160</f>
        <v>1936874.088147975</v>
      </c>
      <c r="AG161" s="219">
        <f t="shared" ref="AG161:AI161" si="398">AC161-AC160</f>
        <v>1936874.088147975</v>
      </c>
      <c r="AH161" s="219">
        <f t="shared" si="398"/>
        <v>1936874.088147975</v>
      </c>
      <c r="AI161" s="219">
        <f t="shared" si="398"/>
        <v>1936874.088147975</v>
      </c>
      <c r="AJ161" s="219"/>
      <c r="AK161" s="219"/>
      <c r="AL161" s="219"/>
    </row>
    <row r="162" spans="1:38">
      <c r="A162" s="195" t="str">
        <f>'Agg prdcrv'!$A$11</f>
        <v>High Sulfur Fuel Oil</v>
      </c>
      <c r="B162" s="195" t="str">
        <f>VLOOKUP($A162,Types!$A$2:$C$13,2,FALSE)</f>
        <v>RFH</v>
      </c>
      <c r="C162" s="195">
        <v>3</v>
      </c>
      <c r="D162" s="195">
        <v>3</v>
      </c>
      <c r="E162" s="195" t="str">
        <f t="shared" si="328"/>
        <v>IMPRFHP33</v>
      </c>
      <c r="F162" s="195" t="str">
        <f>CONCATENATE("Imported ",VLOOKUP($A162,Types!$A$2:$C$13,3,FALSE),", PADD ",D162,", Step ",RIGHT(C162,1))</f>
        <v>Imported High Sulfur Residual Fuel Oil, PADD 3, Step 3</v>
      </c>
      <c r="G162" s="195" t="str">
        <f>CONCATENATE(VLOOKUP($A162,Types!$A$2:$C$13,2,FALSE),"P",D162)</f>
        <v>RFHP3</v>
      </c>
      <c r="H162" s="239">
        <f>SUMIFS('Agg prdcrv NYC'!$N$6:$N$100,'Agg prdcrv NYC'!$A$6:$A$100,'Imp Refined NYC'!$A162,'Agg prdcrv NYC'!$B$6:$B$100,H$11)*K4</f>
        <v>41.920999999999999</v>
      </c>
      <c r="I162" s="239">
        <f>SUMIFS('Agg prdcrv NYC'!$N$6:$N$100,'Agg prdcrv NYC'!$A$6:$A$100,'Imp Refined NYC'!$A162,'Agg prdcrv NYC'!$B$6:$B$100,I$11)*K4</f>
        <v>36.750999999999998</v>
      </c>
      <c r="J162" s="239">
        <f t="array" ref="J162">SUMIFS('Agg prdcrv NYC'!$N$6:$N$100,'Agg prdcrv NYC'!$A$6:$A$100,'Imp Refined NYC'!$A162,'Agg prdcrv NYC'!$B$6:$B$100,J$11)</f>
        <v>29.26</v>
      </c>
      <c r="K162" s="239">
        <f t="array" ref="K162">SUMIFS('Agg prdcrv NYC'!$N$6:$N$100,'Agg prdcrv NYC'!$A$6:$A$100,'Imp Refined NYC'!$A162,'Agg prdcrv NYC'!$B$6:$B$100,K$11)</f>
        <v>32.28</v>
      </c>
      <c r="L162" s="240">
        <f>H162*Conv!$J$20/10^6/VLOOKUP($B162,Types!$B$2:$D$13,3,FALSE)/Conv!$I$5</f>
        <v>9.697863316648311</v>
      </c>
      <c r="M162" s="240">
        <f>I162*Conv!$J$20/10^6/VLOOKUP($B162,Types!$B$2:$D$13,3,FALSE)/Conv!$I$5</f>
        <v>8.5018528839994776</v>
      </c>
      <c r="N162" s="240">
        <f>M162*'Imported Price Trends'!$K$19</f>
        <v>9.1543433788192541</v>
      </c>
      <c r="O162" s="240">
        <f>N162*'Imported Price Trends'!$L$19</f>
        <v>9.0673032280716228</v>
      </c>
      <c r="P162" s="240">
        <f>O162*'Imported Price Trends'!$M$19</f>
        <v>9.7842570380440979</v>
      </c>
      <c r="Q162" s="240">
        <f>P162*'Imported Price Trends'!$N$19</f>
        <v>10.346288003621462</v>
      </c>
      <c r="R162" s="240">
        <f>Q162*'Imported Price Trends'!$O$19</f>
        <v>11.115886726166666</v>
      </c>
      <c r="S162" s="240">
        <f>R162*'Imported Price Trends'!$O$19</f>
        <v>11.942731312497596</v>
      </c>
      <c r="T162" s="240">
        <f>S162*'Imported Price Trends'!$O$19</f>
        <v>12.831079941356723</v>
      </c>
      <c r="U162" s="240">
        <f>T162*'Imported Price Trends'!$O$19</f>
        <v>13.785507532033408</v>
      </c>
      <c r="V162" s="240">
        <f>U162*'Imported Price Trends'!$O$19</f>
        <v>14.810929304806086</v>
      </c>
      <c r="W162" s="219"/>
      <c r="X162" s="195">
        <f t="array" ref="X162">SUMIFS('Agg prdcrv NYC'!$F$6:$F$100,'Agg prdcrv NYC'!$A$6:$A$100,'Imp Refined NYC'!$A162,'Agg prdcrv NYC'!$B$6:$B$100,X$11)</f>
        <v>999999</v>
      </c>
      <c r="Y162" s="195">
        <f t="array" ref="Y162">SUMIFS('Agg prdcrv NYC'!$F$6:$F$100,'Agg prdcrv NYC'!$A$6:$A$100,'Imp Refined NYC'!$A162,'Agg prdcrv NYC'!$B$6:$B$100,Y$11)</f>
        <v>999999</v>
      </c>
      <c r="Z162" s="195">
        <f t="array" ref="Z162">SUMIFS('Agg prdcrv NYC'!$F$6:$F$100,'Agg prdcrv NYC'!$A$6:$A$100,'Imp Refined NYC'!$A162,'Agg prdcrv NYC'!$B$6:$B$100,Z$11)</f>
        <v>999999</v>
      </c>
      <c r="AA162" s="195">
        <f t="array" ref="AA162">SUMIFS('Agg prdcrv NYC'!$F$6:$F$100,'Agg prdcrv NYC'!$A$6:$A$100,'Imp Refined NYC'!$A162,'Agg prdcrv NYC'!$B$6:$B$100,AA$11)</f>
        <v>999999</v>
      </c>
      <c r="AB162" s="219">
        <f>X162*VLOOKUP($B162,Types!$B$2:$D$13,3,FALSE)*Conv!$I$5*1000*365</f>
        <v>2421092.6101849684</v>
      </c>
      <c r="AC162" s="219">
        <f>Y162*VLOOKUP($B162,Types!$B$2:$D$13,3,FALSE)*Conv!$I$5*1000*365</f>
        <v>2421092.6101849684</v>
      </c>
      <c r="AD162" s="219">
        <f>Z162*VLOOKUP($B162,Types!$B$2:$D$13,3,FALSE)*Conv!$I$5*1000*365</f>
        <v>2421092.6101849684</v>
      </c>
      <c r="AE162" s="219">
        <f>AA162*VLOOKUP($B162,Types!$B$2:$D$13,3,FALSE)*Conv!$I$5*1000*365</f>
        <v>2421092.6101849684</v>
      </c>
      <c r="AF162" s="219">
        <f>AB162-AB164</f>
        <v>242109.26101849694</v>
      </c>
      <c r="AG162" s="219">
        <f t="shared" ref="AG162:AI162" si="399">AC162-AC164</f>
        <v>242109.26101849694</v>
      </c>
      <c r="AH162" s="219">
        <f t="shared" si="399"/>
        <v>242109.26101849694</v>
      </c>
      <c r="AI162" s="219">
        <f t="shared" si="399"/>
        <v>242109.26101849694</v>
      </c>
      <c r="AJ162" s="219"/>
      <c r="AK162" s="219"/>
      <c r="AL162" s="219"/>
    </row>
    <row r="163" spans="1:38">
      <c r="A163" s="195" t="str">
        <f>A162</f>
        <v>High Sulfur Fuel Oil</v>
      </c>
      <c r="B163" s="195" t="str">
        <f>VLOOKUP($A163,Types!$A$2:$C$13,2,FALSE)</f>
        <v>RFH</v>
      </c>
      <c r="C163" s="195">
        <v>1</v>
      </c>
      <c r="D163" s="195">
        <v>3</v>
      </c>
      <c r="E163" s="195" t="str">
        <f t="shared" si="328"/>
        <v>IMPRFHP31</v>
      </c>
      <c r="F163" s="195" t="str">
        <f>CONCATENATE("Imported ",VLOOKUP($A163,Types!$A$2:$C$13,3,FALSE),", PADD ",D163,", Step ",RIGHT(C163,1))</f>
        <v>Imported High Sulfur Residual Fuel Oil, PADD 3, Step 1</v>
      </c>
      <c r="G163" s="195" t="str">
        <f>CONCATENATE(VLOOKUP($A163,Types!$A$2:$C$13,2,FALSE),"P",D163)</f>
        <v>RFHP3</v>
      </c>
      <c r="H163" s="239">
        <f>H162*$C$5</f>
        <v>39.824949999999994</v>
      </c>
      <c r="I163" s="239">
        <f t="shared" ref="I163:K163" si="400">I162*$C$5</f>
        <v>34.913449999999997</v>
      </c>
      <c r="J163" s="239">
        <f t="shared" si="400"/>
        <v>27.797000000000001</v>
      </c>
      <c r="K163" s="239">
        <f t="shared" si="400"/>
        <v>30.666</v>
      </c>
      <c r="L163" s="240">
        <f>H163*Conv!$J$20/10^6/VLOOKUP($B163,Types!$B$2:$D$13,3,FALSE)/Conv!$I$5</f>
        <v>9.2129701508158952</v>
      </c>
      <c r="M163" s="240">
        <f>I163*Conv!$J$20/10^6/VLOOKUP($B163,Types!$B$2:$D$13,3,FALSE)/Conv!$I$5</f>
        <v>8.0767602397995031</v>
      </c>
      <c r="N163" s="240">
        <f>M163*'Imported Price Trends'!$K$19</f>
        <v>8.6966262098782909</v>
      </c>
      <c r="O163" s="240">
        <f>N163*'Imported Price Trends'!$L$19</f>
        <v>8.6139380666680427</v>
      </c>
      <c r="P163" s="240">
        <f>O163*'Imported Price Trends'!$M$19</f>
        <v>9.2950441861418955</v>
      </c>
      <c r="Q163" s="240">
        <f>P163*'Imported Price Trends'!$N$19</f>
        <v>9.8289736034403905</v>
      </c>
      <c r="R163" s="240">
        <f>Q163*'Imported Price Trends'!$O$19</f>
        <v>10.560092389858335</v>
      </c>
      <c r="S163" s="240">
        <f>R163*'Imported Price Trends'!$O$19</f>
        <v>11.345594746872719</v>
      </c>
      <c r="T163" s="240">
        <f>S163*'Imported Price Trends'!$O$19</f>
        <v>12.189525944288889</v>
      </c>
      <c r="U163" s="240">
        <f>T163*'Imported Price Trends'!$O$19</f>
        <v>13.096232155431739</v>
      </c>
      <c r="V163" s="240">
        <f>U163*'Imported Price Trends'!$O$19</f>
        <v>14.070382839565783</v>
      </c>
      <c r="W163" s="219"/>
      <c r="X163" s="195">
        <f>X162*$E$5</f>
        <v>799999.20000000007</v>
      </c>
      <c r="Y163" s="195">
        <f t="shared" ref="Y163:AA163" si="401">Y162*$E$5</f>
        <v>799999.20000000007</v>
      </c>
      <c r="Z163" s="195">
        <f t="shared" si="401"/>
        <v>799999.20000000007</v>
      </c>
      <c r="AA163" s="195">
        <f t="shared" si="401"/>
        <v>799999.20000000007</v>
      </c>
      <c r="AB163" s="219">
        <f>X163*VLOOKUP($B163,Types!$B$2:$D$13,3,FALSE)*Conv!$I$5*1000*365</f>
        <v>1936874.088147975</v>
      </c>
      <c r="AC163" s="219">
        <f>Y163*VLOOKUP($B163,Types!$B$2:$D$13,3,FALSE)*Conv!$I$5*1000*365</f>
        <v>1936874.088147975</v>
      </c>
      <c r="AD163" s="219">
        <f>Z163*VLOOKUP($B163,Types!$B$2:$D$13,3,FALSE)*Conv!$I$5*1000*365</f>
        <v>1936874.088147975</v>
      </c>
      <c r="AE163" s="219">
        <f>AA163*VLOOKUP($B163,Types!$B$2:$D$13,3,FALSE)*Conv!$I$5*1000*365</f>
        <v>1936874.088147975</v>
      </c>
      <c r="AF163" s="219">
        <f>AB163</f>
        <v>1936874.088147975</v>
      </c>
      <c r="AG163" s="219">
        <f t="shared" ref="AG163:AI163" si="402">AC163</f>
        <v>1936874.088147975</v>
      </c>
      <c r="AH163" s="219">
        <f t="shared" si="402"/>
        <v>1936874.088147975</v>
      </c>
      <c r="AI163" s="219">
        <f t="shared" si="402"/>
        <v>1936874.088147975</v>
      </c>
      <c r="AJ163" s="219"/>
      <c r="AK163" s="219"/>
      <c r="AL163" s="219"/>
    </row>
    <row r="164" spans="1:38">
      <c r="A164" s="195" t="str">
        <f t="shared" ref="A164:A166" si="403">A163</f>
        <v>High Sulfur Fuel Oil</v>
      </c>
      <c r="B164" s="195" t="str">
        <f>VLOOKUP($A164,Types!$A$2:$C$13,2,FALSE)</f>
        <v>RFH</v>
      </c>
      <c r="C164" s="195">
        <v>2</v>
      </c>
      <c r="D164" s="195">
        <v>3</v>
      </c>
      <c r="E164" s="195" t="str">
        <f t="shared" si="328"/>
        <v>IMPRFHP32</v>
      </c>
      <c r="F164" s="195" t="str">
        <f>CONCATENATE("Imported ",VLOOKUP($A164,Types!$A$2:$C$13,3,FALSE),", PADD ",D164,", Step ",RIGHT(C164,1))</f>
        <v>Imported High Sulfur Residual Fuel Oil, PADD 3, Step 2</v>
      </c>
      <c r="G164" s="195" t="str">
        <f>CONCATENATE(VLOOKUP($A164,Types!$A$2:$C$13,2,FALSE),"P",D164)</f>
        <v>RFHP3</v>
      </c>
      <c r="H164" s="239">
        <f>H162*$C$6</f>
        <v>41.08258</v>
      </c>
      <c r="I164" s="239">
        <f t="shared" ref="I164:K164" si="404">I162*$C$6</f>
        <v>36.015979999999999</v>
      </c>
      <c r="J164" s="239">
        <f t="shared" si="404"/>
        <v>28.674800000000001</v>
      </c>
      <c r="K164" s="239">
        <f t="shared" si="404"/>
        <v>31.634399999999999</v>
      </c>
      <c r="L164" s="240">
        <f>H164*Conv!$J$20/10^6/VLOOKUP($B164,Types!$B$2:$D$13,3,FALSE)/Conv!$I$5</f>
        <v>9.5039060503153454</v>
      </c>
      <c r="M164" s="240">
        <f>I164*Conv!$J$20/10^6/VLOOKUP($B164,Types!$B$2:$D$13,3,FALSE)/Conv!$I$5</f>
        <v>8.3318158263194881</v>
      </c>
      <c r="N164" s="240">
        <f>M164*'Imported Price Trends'!$K$19</f>
        <v>8.9712565112428706</v>
      </c>
      <c r="O164" s="240">
        <f>N164*'Imported Price Trends'!$L$19</f>
        <v>8.8859571635101933</v>
      </c>
      <c r="P164" s="240">
        <f>O164*'Imported Price Trends'!$M$19</f>
        <v>9.5885718972832201</v>
      </c>
      <c r="Q164" s="240">
        <f>P164*'Imported Price Trends'!$N$19</f>
        <v>10.139362243549037</v>
      </c>
      <c r="R164" s="240">
        <f>Q164*'Imported Price Trends'!$O$19</f>
        <v>10.893568991643338</v>
      </c>
      <c r="S164" s="240">
        <f>R164*'Imported Price Trends'!$O$19</f>
        <v>11.70387668624765</v>
      </c>
      <c r="T164" s="240">
        <f>S164*'Imported Price Trends'!$O$19</f>
        <v>12.574458342529594</v>
      </c>
      <c r="U164" s="240">
        <f>T164*'Imported Price Trends'!$O$19</f>
        <v>13.509797381392746</v>
      </c>
      <c r="V164" s="240">
        <f>U164*'Imported Price Trends'!$O$19</f>
        <v>14.514710718709969</v>
      </c>
      <c r="W164" s="219"/>
      <c r="X164" s="195">
        <f>X162*$E$6</f>
        <v>899999.1</v>
      </c>
      <c r="Y164" s="195">
        <f t="shared" ref="Y164:AA164" si="405">Y162*$E$6</f>
        <v>899999.1</v>
      </c>
      <c r="Z164" s="195">
        <f t="shared" si="405"/>
        <v>899999.1</v>
      </c>
      <c r="AA164" s="195">
        <f t="shared" si="405"/>
        <v>899999.1</v>
      </c>
      <c r="AB164" s="219">
        <f>X164*VLOOKUP($B164,Types!$B$2:$D$13,3,FALSE)*Conv!$I$5*1000*365</f>
        <v>2178983.3491664715</v>
      </c>
      <c r="AC164" s="219">
        <f>Y164*VLOOKUP($B164,Types!$B$2:$D$13,3,FALSE)*Conv!$I$5*1000*365</f>
        <v>2178983.3491664715</v>
      </c>
      <c r="AD164" s="219">
        <f>Z164*VLOOKUP($B164,Types!$B$2:$D$13,3,FALSE)*Conv!$I$5*1000*365</f>
        <v>2178983.3491664715</v>
      </c>
      <c r="AE164" s="219">
        <f>AA164*VLOOKUP($B164,Types!$B$2:$D$13,3,FALSE)*Conv!$I$5*1000*365</f>
        <v>2178983.3491664715</v>
      </c>
      <c r="AF164" s="219">
        <f>AB164-AF163</f>
        <v>242109.26101849647</v>
      </c>
      <c r="AG164" s="219">
        <f t="shared" ref="AG164:AI164" si="406">AC164-AG163</f>
        <v>242109.26101849647</v>
      </c>
      <c r="AH164" s="219">
        <f t="shared" si="406"/>
        <v>242109.26101849647</v>
      </c>
      <c r="AI164" s="219">
        <f t="shared" si="406"/>
        <v>242109.26101849647</v>
      </c>
      <c r="AJ164" s="219"/>
      <c r="AK164" s="219"/>
      <c r="AL164" s="219"/>
    </row>
    <row r="165" spans="1:38">
      <c r="A165" s="195" t="str">
        <f t="shared" si="403"/>
        <v>High Sulfur Fuel Oil</v>
      </c>
      <c r="B165" s="195" t="str">
        <f>VLOOKUP($A165,Types!$A$2:$C$13,2,FALSE)</f>
        <v>RFH</v>
      </c>
      <c r="C165" s="195">
        <v>4</v>
      </c>
      <c r="D165" s="195">
        <v>3</v>
      </c>
      <c r="E165" s="195" t="str">
        <f t="shared" si="328"/>
        <v>IMPRFHP34</v>
      </c>
      <c r="F165" s="195" t="str">
        <f>CONCATENATE("Imported ",VLOOKUP($A165,Types!$A$2:$C$13,3,FALSE),", PADD ",D165,", Step ",RIGHT(C165,1))</f>
        <v>Imported High Sulfur Residual Fuel Oil, PADD 3, Step 4</v>
      </c>
      <c r="G165" s="195" t="str">
        <f>CONCATENATE(VLOOKUP($A165,Types!$A$2:$C$13,2,FALSE),"P",D165)</f>
        <v>RFHP3</v>
      </c>
      <c r="H165" s="239">
        <f>H162*$C$8</f>
        <v>45.693890000000003</v>
      </c>
      <c r="I165" s="239">
        <f t="shared" ref="I165:K165" si="407">I162*$C$8</f>
        <v>40.058590000000002</v>
      </c>
      <c r="J165" s="239">
        <f t="shared" si="407"/>
        <v>31.893400000000003</v>
      </c>
      <c r="K165" s="239">
        <f t="shared" si="407"/>
        <v>35.185200000000002</v>
      </c>
      <c r="L165" s="240">
        <f>H165*Conv!$J$20/10^6/VLOOKUP($B165,Types!$B$2:$D$13,3,FALSE)/Conv!$I$5</f>
        <v>10.57067101514666</v>
      </c>
      <c r="M165" s="240">
        <f>I165*Conv!$J$20/10^6/VLOOKUP($B165,Types!$B$2:$D$13,3,FALSE)/Conv!$I$5</f>
        <v>9.267019643559431</v>
      </c>
      <c r="N165" s="240">
        <f>M165*'Imported Price Trends'!$K$19</f>
        <v>9.9782342829129878</v>
      </c>
      <c r="O165" s="240">
        <f>N165*'Imported Price Trends'!$L$19</f>
        <v>9.8833605185980709</v>
      </c>
      <c r="P165" s="240">
        <f>O165*'Imported Price Trends'!$M$19</f>
        <v>10.66484017146807</v>
      </c>
      <c r="Q165" s="240">
        <f>P165*'Imported Price Trends'!$N$19</f>
        <v>11.277453923947396</v>
      </c>
      <c r="R165" s="240">
        <f>Q165*'Imported Price Trends'!$O$19</f>
        <v>12.116316531521669</v>
      </c>
      <c r="S165" s="240">
        <f>R165*'Imported Price Trends'!$O$19</f>
        <v>13.017577130622383</v>
      </c>
      <c r="T165" s="240">
        <f>S165*'Imported Price Trends'!$O$19</f>
        <v>13.985877136078832</v>
      </c>
      <c r="U165" s="240">
        <f>T165*'Imported Price Trends'!$O$19</f>
        <v>15.026203209916419</v>
      </c>
      <c r="V165" s="240">
        <f>U165*'Imported Price Trends'!$O$19</f>
        <v>16.143912942238636</v>
      </c>
      <c r="W165" s="219"/>
      <c r="X165" s="195">
        <f>X162*$E$8</f>
        <v>1199998.8</v>
      </c>
      <c r="Y165" s="195">
        <f t="shared" ref="Y165:AA165" si="408">Y162*$E$8</f>
        <v>1199998.8</v>
      </c>
      <c r="Z165" s="195">
        <f t="shared" si="408"/>
        <v>1199998.8</v>
      </c>
      <c r="AA165" s="195">
        <f t="shared" si="408"/>
        <v>1199998.8</v>
      </c>
      <c r="AB165" s="219">
        <f>X165*VLOOKUP($B165,Types!$B$2:$D$13,3,FALSE)*Conv!$I$5*1000*365</f>
        <v>2905311.1322219619</v>
      </c>
      <c r="AC165" s="219">
        <f>Y165*VLOOKUP($B165,Types!$B$2:$D$13,3,FALSE)*Conv!$I$5*1000*365</f>
        <v>2905311.1322219619</v>
      </c>
      <c r="AD165" s="219">
        <f>Z165*VLOOKUP($B165,Types!$B$2:$D$13,3,FALSE)*Conv!$I$5*1000*365</f>
        <v>2905311.1322219619</v>
      </c>
      <c r="AE165" s="219">
        <f>AA165*VLOOKUP($B165,Types!$B$2:$D$13,3,FALSE)*Conv!$I$5*1000*365</f>
        <v>2905311.1322219619</v>
      </c>
      <c r="AF165" s="219">
        <f>AB165-AB162</f>
        <v>484218.52203699341</v>
      </c>
      <c r="AG165" s="219">
        <f t="shared" ref="AG165:AI165" si="409">AC165-AC162</f>
        <v>484218.52203699341</v>
      </c>
      <c r="AH165" s="219">
        <f t="shared" si="409"/>
        <v>484218.52203699341</v>
      </c>
      <c r="AI165" s="219">
        <f t="shared" si="409"/>
        <v>484218.52203699341</v>
      </c>
      <c r="AJ165" s="219"/>
      <c r="AK165" s="219"/>
      <c r="AL165" s="219"/>
    </row>
    <row r="166" spans="1:38">
      <c r="A166" s="195" t="str">
        <f t="shared" si="403"/>
        <v>High Sulfur Fuel Oil</v>
      </c>
      <c r="B166" s="195" t="str">
        <f>VLOOKUP($A166,Types!$A$2:$C$13,2,FALSE)</f>
        <v>RFH</v>
      </c>
      <c r="C166" s="195">
        <v>5</v>
      </c>
      <c r="D166" s="195">
        <v>3</v>
      </c>
      <c r="E166" s="195" t="str">
        <f t="shared" si="328"/>
        <v>IMPRFHP35</v>
      </c>
      <c r="F166" s="195" t="str">
        <f>CONCATENATE("Imported ",VLOOKUP($A166,Types!$A$2:$C$13,3,FALSE),", PADD ",D166,", Step ",RIGHT(C166,1))</f>
        <v>Imported High Sulfur Residual Fuel Oil, PADD 3, Step 5</v>
      </c>
      <c r="G166" s="195" t="str">
        <f>CONCATENATE(VLOOKUP($A166,Types!$A$2:$C$13,2,FALSE),"P",D166)</f>
        <v>RFHP3</v>
      </c>
      <c r="H166" s="239">
        <f>H162*$C$9</f>
        <v>54.497300000000003</v>
      </c>
      <c r="I166" s="239">
        <f t="shared" ref="I166:K166" si="410">I162*$C$9</f>
        <v>47.776299999999999</v>
      </c>
      <c r="J166" s="239">
        <f t="shared" si="410"/>
        <v>38.038000000000004</v>
      </c>
      <c r="K166" s="239">
        <f t="shared" si="410"/>
        <v>41.964000000000006</v>
      </c>
      <c r="L166" s="240">
        <f>H166*Conv!$J$20/10^6/VLOOKUP($B166,Types!$B$2:$D$13,3,FALSE)/Conv!$I$5</f>
        <v>12.607222311642806</v>
      </c>
      <c r="M166" s="240">
        <f>I166*Conv!$J$20/10^6/VLOOKUP($B166,Types!$B$2:$D$13,3,FALSE)/Conv!$I$5</f>
        <v>11.052408749199319</v>
      </c>
      <c r="N166" s="240">
        <f>M166*'Imported Price Trends'!$K$19</f>
        <v>11.900646392465029</v>
      </c>
      <c r="O166" s="240">
        <f>N166*'Imported Price Trends'!$L$19</f>
        <v>11.78749419649311</v>
      </c>
      <c r="P166" s="240">
        <f>O166*'Imported Price Trends'!$M$19</f>
        <v>12.71953414945733</v>
      </c>
      <c r="Q166" s="240">
        <f>P166*'Imported Price Trends'!$N$19</f>
        <v>13.450174404707901</v>
      </c>
      <c r="R166" s="240">
        <f>Q166*'Imported Price Trends'!$O$19</f>
        <v>14.450652744016667</v>
      </c>
      <c r="S166" s="240">
        <f>R166*'Imported Price Trends'!$O$19</f>
        <v>15.525550706246877</v>
      </c>
      <c r="T166" s="240">
        <f>S166*'Imported Price Trends'!$O$19</f>
        <v>16.680403923763741</v>
      </c>
      <c r="U166" s="240">
        <f>T166*'Imported Price Trends'!$O$19</f>
        <v>17.921159791643433</v>
      </c>
      <c r="V166" s="240">
        <f>U166*'Imported Price Trends'!$O$19</f>
        <v>19.254208096247911</v>
      </c>
      <c r="W166" s="219"/>
      <c r="X166" s="195">
        <f>X162*$E$9</f>
        <v>1999998</v>
      </c>
      <c r="Y166" s="195">
        <f t="shared" ref="Y166:AA166" si="411">Y162*$E$9</f>
        <v>1999998</v>
      </c>
      <c r="Z166" s="195">
        <f t="shared" si="411"/>
        <v>1999998</v>
      </c>
      <c r="AA166" s="195">
        <f t="shared" si="411"/>
        <v>1999998</v>
      </c>
      <c r="AB166" s="219">
        <f>X166*VLOOKUP($B166,Types!$B$2:$D$13,3,FALSE)*Conv!$I$5*1000*365</f>
        <v>4842185.2203699369</v>
      </c>
      <c r="AC166" s="219">
        <f>Y166*VLOOKUP($B166,Types!$B$2:$D$13,3,FALSE)*Conv!$I$5*1000*365</f>
        <v>4842185.2203699369</v>
      </c>
      <c r="AD166" s="219">
        <f>Z166*VLOOKUP($B166,Types!$B$2:$D$13,3,FALSE)*Conv!$I$5*1000*365</f>
        <v>4842185.2203699369</v>
      </c>
      <c r="AE166" s="219">
        <f>AA166*VLOOKUP($B166,Types!$B$2:$D$13,3,FALSE)*Conv!$I$5*1000*365</f>
        <v>4842185.2203699369</v>
      </c>
      <c r="AF166" s="219">
        <f>AB166-AB165</f>
        <v>1936874.088147975</v>
      </c>
      <c r="AG166" s="219">
        <f t="shared" ref="AG166:AI166" si="412">AC166-AC165</f>
        <v>1936874.088147975</v>
      </c>
      <c r="AH166" s="219">
        <f t="shared" si="412"/>
        <v>1936874.088147975</v>
      </c>
      <c r="AI166" s="219">
        <f t="shared" si="412"/>
        <v>1936874.088147975</v>
      </c>
      <c r="AJ166" s="219"/>
      <c r="AK166" s="219"/>
      <c r="AL166" s="219"/>
    </row>
    <row r="167" spans="1:38">
      <c r="A167" s="195" t="str">
        <f>'Agg prdcrv'!$A$12</f>
        <v>Jet Fuel</v>
      </c>
      <c r="B167" s="195" t="str">
        <f>VLOOKUP($A167,Types!$A$2:$C$13,2,FALSE)</f>
        <v>JTF</v>
      </c>
      <c r="C167" s="195">
        <v>3</v>
      </c>
      <c r="D167" s="195">
        <v>3</v>
      </c>
      <c r="E167" s="195" t="str">
        <f t="shared" si="328"/>
        <v>IMPJTFP33</v>
      </c>
      <c r="F167" s="195" t="str">
        <f>CONCATENATE("Imported ",VLOOKUP($A167,Types!$A$2:$C$13,3,FALSE),", PADD ",D167,", Step ",RIGHT(C167,1))</f>
        <v>Imported Jet Fuel, PADD 3, Step 3</v>
      </c>
      <c r="G167" s="195" t="str">
        <f>CONCATENATE(VLOOKUP($A167,Types!$A$2:$C$13,2,FALSE),"P",D167)</f>
        <v>JTFP3</v>
      </c>
      <c r="H167" s="239">
        <f>SUMIFS('Agg prdcrv NYC'!$N$6:$N$100,'Agg prdcrv NYC'!$A$6:$A$100,'Imp Refined NYC'!$A167,'Agg prdcrv NYC'!$B$6:$B$100,H$11)*K4</f>
        <v>47.597000000000008</v>
      </c>
      <c r="I167" s="239">
        <f>SUMIFS('Agg prdcrv NYC'!$N$6:$N$100,'Agg prdcrv NYC'!$A$6:$A$100,'Imp Refined NYC'!$A167,'Agg prdcrv NYC'!$B$6:$B$100,I$11)*K4</f>
        <v>42.581000000000003</v>
      </c>
      <c r="J167" s="239">
        <f t="array" ref="J167">SUMIFS('Agg prdcrv NYC'!$N$6:$N$100,'Agg prdcrv NYC'!$A$6:$A$100,'Imp Refined NYC'!$A167,'Agg prdcrv NYC'!$B$6:$B$100,J$11)</f>
        <v>34.159999999999997</v>
      </c>
      <c r="K167" s="239">
        <f t="array" ref="K167">SUMIFS('Agg prdcrv NYC'!$N$6:$N$100,'Agg prdcrv NYC'!$A$6:$A$100,'Imp Refined NYC'!$A167,'Agg prdcrv NYC'!$B$6:$B$100,K$11)</f>
        <v>37.28</v>
      </c>
      <c r="L167" s="240">
        <f>H167*Conv!$J$20/10^6/VLOOKUP($B167,Types!$B$2:$D$13,3,FALSE)/Conv!$I$5</f>
        <v>12.209121247402738</v>
      </c>
      <c r="M167" s="240">
        <f>I167*Conv!$J$20/10^6/VLOOKUP($B167,Types!$B$2:$D$13,3,FALSE)/Conv!$I$5</f>
        <v>10.922465530089204</v>
      </c>
      <c r="N167" s="240">
        <f>M167*'Imported Price Trends'!$K$19</f>
        <v>11.760730439588231</v>
      </c>
      <c r="O167" s="240">
        <f>N167*'Imported Price Trends'!$L$19</f>
        <v>11.648908574490569</v>
      </c>
      <c r="P167" s="240">
        <f>O167*'Imported Price Trends'!$M$19</f>
        <v>12.569990529558069</v>
      </c>
      <c r="Q167" s="240">
        <f>P167*'Imported Price Trends'!$N$19</f>
        <v>13.292040644058954</v>
      </c>
      <c r="R167" s="240">
        <f>Q167*'Imported Price Trends'!$O$19</f>
        <v>14.280756355056569</v>
      </c>
      <c r="S167" s="240">
        <f>R167*'Imported Price Trends'!$O$19</f>
        <v>15.343016737136008</v>
      </c>
      <c r="T167" s="240">
        <f>S167*'Imported Price Trends'!$O$19</f>
        <v>16.484292340207997</v>
      </c>
      <c r="U167" s="240">
        <f>T167*'Imported Price Trends'!$O$19</f>
        <v>17.710460635798189</v>
      </c>
      <c r="V167" s="240">
        <f>U167*'Imported Price Trends'!$O$19</f>
        <v>19.027836285521701</v>
      </c>
      <c r="W167" s="219"/>
      <c r="X167" s="195">
        <f t="array" ref="X167">SUMIFS('Agg prdcrv NYC'!$F$6:$F$100,'Agg prdcrv NYC'!$A$6:$A$100,'Imp Refined NYC'!$A167,'Agg prdcrv NYC'!$B$6:$B$100,X$11)</f>
        <v>999999</v>
      </c>
      <c r="Y167" s="195">
        <f t="array" ref="Y167">SUMIFS('Agg prdcrv NYC'!$F$6:$F$100,'Agg prdcrv NYC'!$A$6:$A$100,'Imp Refined NYC'!$A167,'Agg prdcrv NYC'!$B$6:$B$100,Y$11)</f>
        <v>999999</v>
      </c>
      <c r="Z167" s="195">
        <f t="array" ref="Z167">SUMIFS('Agg prdcrv NYC'!$F$6:$F$100,'Agg prdcrv NYC'!$A$6:$A$100,'Imp Refined NYC'!$A167,'Agg prdcrv NYC'!$B$6:$B$100,Z$11)</f>
        <v>999999</v>
      </c>
      <c r="AA167" s="195">
        <f t="array" ref="AA167">SUMIFS('Agg prdcrv NYC'!$F$6:$F$100,'Agg prdcrv NYC'!$A$6:$A$100,'Imp Refined NYC'!$A167,'Agg prdcrv NYC'!$B$6:$B$100,AA$11)</f>
        <v>999999</v>
      </c>
      <c r="AB167" s="219">
        <f>X167*VLOOKUP($B167,Types!$B$2:$D$13,3,FALSE)*Conv!$I$5*1000*365</f>
        <v>2183488.9613088551</v>
      </c>
      <c r="AC167" s="219">
        <f>Y167*VLOOKUP($B167,Types!$B$2:$D$13,3,FALSE)*Conv!$I$5*1000*365</f>
        <v>2183488.9613088551</v>
      </c>
      <c r="AD167" s="219">
        <f>Z167*VLOOKUP($B167,Types!$B$2:$D$13,3,FALSE)*Conv!$I$5*1000*365</f>
        <v>2183488.9613088551</v>
      </c>
      <c r="AE167" s="219">
        <f>AA167*VLOOKUP($B167,Types!$B$2:$D$13,3,FALSE)*Conv!$I$5*1000*365</f>
        <v>2183488.9613088551</v>
      </c>
      <c r="AF167" s="219">
        <f>AB167-AB169</f>
        <v>218348.8961308857</v>
      </c>
      <c r="AG167" s="219">
        <f t="shared" ref="AG167:AI167" si="413">AC167-AC169</f>
        <v>218348.8961308857</v>
      </c>
      <c r="AH167" s="219">
        <f t="shared" si="413"/>
        <v>218348.8961308857</v>
      </c>
      <c r="AI167" s="219">
        <f t="shared" si="413"/>
        <v>218348.8961308857</v>
      </c>
      <c r="AJ167" s="219"/>
      <c r="AK167" s="219"/>
      <c r="AL167" s="219"/>
    </row>
    <row r="168" spans="1:38">
      <c r="A168" s="195" t="str">
        <f>A167</f>
        <v>Jet Fuel</v>
      </c>
      <c r="B168" s="195" t="str">
        <f>VLOOKUP($A168,Types!$A$2:$C$13,2,FALSE)</f>
        <v>JTF</v>
      </c>
      <c r="C168" s="195">
        <v>1</v>
      </c>
      <c r="D168" s="195">
        <v>3</v>
      </c>
      <c r="E168" s="195" t="str">
        <f t="shared" si="328"/>
        <v>IMPJTFP31</v>
      </c>
      <c r="F168" s="195" t="str">
        <f>CONCATENATE("Imported ",VLOOKUP($A168,Types!$A$2:$C$13,3,FALSE),", PADD ",D168,", Step ",RIGHT(C168,1))</f>
        <v>Imported Jet Fuel, PADD 3, Step 1</v>
      </c>
      <c r="G168" s="195" t="str">
        <f>CONCATENATE(VLOOKUP($A168,Types!$A$2:$C$13,2,FALSE),"P",D168)</f>
        <v>JTFP3</v>
      </c>
      <c r="H168" s="239">
        <f>H167*$C$5</f>
        <v>45.217150000000004</v>
      </c>
      <c r="I168" s="239">
        <f t="shared" ref="I168:K168" si="414">I167*$C$5</f>
        <v>40.451950000000004</v>
      </c>
      <c r="J168" s="239">
        <f t="shared" si="414"/>
        <v>32.451999999999998</v>
      </c>
      <c r="K168" s="239">
        <f t="shared" si="414"/>
        <v>35.415999999999997</v>
      </c>
      <c r="L168" s="240">
        <f>H168*Conv!$J$20/10^6/VLOOKUP($B168,Types!$B$2:$D$13,3,FALSE)/Conv!$I$5</f>
        <v>11.598665185032601</v>
      </c>
      <c r="M168" s="240">
        <f>I168*Conv!$J$20/10^6/VLOOKUP($B168,Types!$B$2:$D$13,3,FALSE)/Conv!$I$5</f>
        <v>10.376342253584745</v>
      </c>
      <c r="N168" s="240">
        <f>M168*'Imported Price Trends'!$K$19</f>
        <v>11.172693917608822</v>
      </c>
      <c r="O168" s="240">
        <f>N168*'Imported Price Trends'!$L$19</f>
        <v>11.066463145766042</v>
      </c>
      <c r="P168" s="240">
        <f>O168*'Imported Price Trends'!$M$19</f>
        <v>11.941491003080166</v>
      </c>
      <c r="Q168" s="240">
        <f>P168*'Imported Price Trends'!$N$19</f>
        <v>12.627438611856007</v>
      </c>
      <c r="R168" s="240">
        <f>Q168*'Imported Price Trends'!$O$19</f>
        <v>13.566718537303743</v>
      </c>
      <c r="S168" s="240">
        <f>R168*'Imported Price Trends'!$O$19</f>
        <v>14.57586590027921</v>
      </c>
      <c r="T168" s="240">
        <f>S168*'Imported Price Trends'!$O$19</f>
        <v>15.660077723197599</v>
      </c>
      <c r="U168" s="240">
        <f>T168*'Imported Price Trends'!$O$19</f>
        <v>16.82493760400828</v>
      </c>
      <c r="V168" s="240">
        <f>U168*'Imported Price Trends'!$O$19</f>
        <v>18.076444471245615</v>
      </c>
      <c r="W168" s="219"/>
      <c r="X168" s="195">
        <f>X167*$E$5</f>
        <v>799999.20000000007</v>
      </c>
      <c r="Y168" s="195">
        <f t="shared" ref="Y168:AA168" si="415">Y167*$E$5</f>
        <v>799999.20000000007</v>
      </c>
      <c r="Z168" s="195">
        <f t="shared" si="415"/>
        <v>799999.20000000007</v>
      </c>
      <c r="AA168" s="195">
        <f t="shared" si="415"/>
        <v>799999.20000000007</v>
      </c>
      <c r="AB168" s="219">
        <f>X168*VLOOKUP($B168,Types!$B$2:$D$13,3,FALSE)*Conv!$I$5*1000*365</f>
        <v>1746791.1690470844</v>
      </c>
      <c r="AC168" s="219">
        <f>Y168*VLOOKUP($B168,Types!$B$2:$D$13,3,FALSE)*Conv!$I$5*1000*365</f>
        <v>1746791.1690470844</v>
      </c>
      <c r="AD168" s="219">
        <f>Z168*VLOOKUP($B168,Types!$B$2:$D$13,3,FALSE)*Conv!$I$5*1000*365</f>
        <v>1746791.1690470844</v>
      </c>
      <c r="AE168" s="219">
        <f>AA168*VLOOKUP($B168,Types!$B$2:$D$13,3,FALSE)*Conv!$I$5*1000*365</f>
        <v>1746791.1690470844</v>
      </c>
      <c r="AF168" s="219">
        <f>AB168</f>
        <v>1746791.1690470844</v>
      </c>
      <c r="AG168" s="219">
        <f t="shared" ref="AG168:AI168" si="416">AC168</f>
        <v>1746791.1690470844</v>
      </c>
      <c r="AH168" s="219">
        <f t="shared" si="416"/>
        <v>1746791.1690470844</v>
      </c>
      <c r="AI168" s="219">
        <f t="shared" si="416"/>
        <v>1746791.1690470844</v>
      </c>
      <c r="AJ168" s="219"/>
      <c r="AK168" s="219"/>
      <c r="AL168" s="219"/>
    </row>
    <row r="169" spans="1:38">
      <c r="A169" s="195" t="str">
        <f t="shared" ref="A169:A171" si="417">A168</f>
        <v>Jet Fuel</v>
      </c>
      <c r="B169" s="195" t="str">
        <f>VLOOKUP($A169,Types!$A$2:$C$13,2,FALSE)</f>
        <v>JTF</v>
      </c>
      <c r="C169" s="195">
        <v>2</v>
      </c>
      <c r="D169" s="195">
        <v>3</v>
      </c>
      <c r="E169" s="195" t="str">
        <f t="shared" si="328"/>
        <v>IMPJTFP32</v>
      </c>
      <c r="F169" s="195" t="str">
        <f>CONCATENATE("Imported ",VLOOKUP($A169,Types!$A$2:$C$13,3,FALSE),", PADD ",D169,", Step ",RIGHT(C169,1))</f>
        <v>Imported Jet Fuel, PADD 3, Step 2</v>
      </c>
      <c r="G169" s="195" t="str">
        <f>CONCATENATE(VLOOKUP($A169,Types!$A$2:$C$13,2,FALSE),"P",D169)</f>
        <v>JTFP3</v>
      </c>
      <c r="H169" s="239">
        <f>H167*$C$6</f>
        <v>46.645060000000008</v>
      </c>
      <c r="I169" s="239">
        <f t="shared" ref="I169:K169" si="418">I167*$C$6</f>
        <v>41.729379999999999</v>
      </c>
      <c r="J169" s="239">
        <f t="shared" si="418"/>
        <v>33.476799999999997</v>
      </c>
      <c r="K169" s="239">
        <f t="shared" si="418"/>
        <v>36.534399999999998</v>
      </c>
      <c r="L169" s="240">
        <f>H169*Conv!$J$20/10^6/VLOOKUP($B169,Types!$B$2:$D$13,3,FALSE)/Conv!$I$5</f>
        <v>11.964938822454684</v>
      </c>
      <c r="M169" s="240">
        <f>I169*Conv!$J$20/10^6/VLOOKUP($B169,Types!$B$2:$D$13,3,FALSE)/Conv!$I$5</f>
        <v>10.704016219487421</v>
      </c>
      <c r="N169" s="240">
        <f>M169*'Imported Price Trends'!$K$19</f>
        <v>11.525515830796468</v>
      </c>
      <c r="O169" s="240">
        <f>N169*'Imported Price Trends'!$L$19</f>
        <v>11.415930403000759</v>
      </c>
      <c r="P169" s="240">
        <f>O169*'Imported Price Trends'!$M$19</f>
        <v>12.318590718966908</v>
      </c>
      <c r="Q169" s="240">
        <f>P169*'Imported Price Trends'!$N$19</f>
        <v>13.026199831177776</v>
      </c>
      <c r="R169" s="240">
        <f>Q169*'Imported Price Trends'!$O$19</f>
        <v>13.99514122795544</v>
      </c>
      <c r="S169" s="240">
        <f>R169*'Imported Price Trends'!$O$19</f>
        <v>15.036156402393289</v>
      </c>
      <c r="T169" s="240">
        <f>S169*'Imported Price Trends'!$O$19</f>
        <v>16.154606493403836</v>
      </c>
      <c r="U169" s="240">
        <f>T169*'Imported Price Trends'!$O$19</f>
        <v>17.356251423082224</v>
      </c>
      <c r="V169" s="240">
        <f>U169*'Imported Price Trends'!$O$19</f>
        <v>18.647279559811267</v>
      </c>
      <c r="W169" s="219"/>
      <c r="X169" s="195">
        <f>X167*$E$6</f>
        <v>899999.1</v>
      </c>
      <c r="Y169" s="195">
        <f t="shared" ref="Y169:AA169" si="419">Y167*$E$6</f>
        <v>899999.1</v>
      </c>
      <c r="Z169" s="195">
        <f t="shared" si="419"/>
        <v>899999.1</v>
      </c>
      <c r="AA169" s="195">
        <f t="shared" si="419"/>
        <v>899999.1</v>
      </c>
      <c r="AB169" s="219">
        <f>X169*VLOOKUP($B169,Types!$B$2:$D$13,3,FALSE)*Conv!$I$5*1000*365</f>
        <v>1965140.0651779694</v>
      </c>
      <c r="AC169" s="219">
        <f>Y169*VLOOKUP($B169,Types!$B$2:$D$13,3,FALSE)*Conv!$I$5*1000*365</f>
        <v>1965140.0651779694</v>
      </c>
      <c r="AD169" s="219">
        <f>Z169*VLOOKUP($B169,Types!$B$2:$D$13,3,FALSE)*Conv!$I$5*1000*365</f>
        <v>1965140.0651779694</v>
      </c>
      <c r="AE169" s="219">
        <f>AA169*VLOOKUP($B169,Types!$B$2:$D$13,3,FALSE)*Conv!$I$5*1000*365</f>
        <v>1965140.0651779694</v>
      </c>
      <c r="AF169" s="219">
        <f>AB169-AF168</f>
        <v>218348.896130885</v>
      </c>
      <c r="AG169" s="219">
        <f t="shared" ref="AG169:AI169" si="420">AC169-AG168</f>
        <v>218348.896130885</v>
      </c>
      <c r="AH169" s="219">
        <f t="shared" si="420"/>
        <v>218348.896130885</v>
      </c>
      <c r="AI169" s="219">
        <f t="shared" si="420"/>
        <v>218348.896130885</v>
      </c>
      <c r="AJ169" s="219"/>
      <c r="AK169" s="219"/>
      <c r="AL169" s="219"/>
    </row>
    <row r="170" spans="1:38">
      <c r="A170" s="195" t="str">
        <f t="shared" si="417"/>
        <v>Jet Fuel</v>
      </c>
      <c r="B170" s="195" t="str">
        <f>VLOOKUP($A170,Types!$A$2:$C$13,2,FALSE)</f>
        <v>JTF</v>
      </c>
      <c r="C170" s="195">
        <v>4</v>
      </c>
      <c r="D170" s="195">
        <v>3</v>
      </c>
      <c r="E170" s="195" t="str">
        <f t="shared" si="328"/>
        <v>IMPJTFP34</v>
      </c>
      <c r="F170" s="195" t="str">
        <f>CONCATENATE("Imported ",VLOOKUP($A170,Types!$A$2:$C$13,3,FALSE),", PADD ",D170,", Step ",RIGHT(C170,1))</f>
        <v>Imported Jet Fuel, PADD 3, Step 4</v>
      </c>
      <c r="G170" s="195" t="str">
        <f>CONCATENATE(VLOOKUP($A170,Types!$A$2:$C$13,2,FALSE),"P",D170)</f>
        <v>JTFP3</v>
      </c>
      <c r="H170" s="239">
        <f>H167*$C$8</f>
        <v>51.880730000000014</v>
      </c>
      <c r="I170" s="239">
        <f t="shared" ref="I170:K170" si="421">I167*$C$8</f>
        <v>46.413290000000003</v>
      </c>
      <c r="J170" s="239">
        <f t="shared" si="421"/>
        <v>37.234400000000001</v>
      </c>
      <c r="K170" s="239">
        <f t="shared" si="421"/>
        <v>40.635200000000005</v>
      </c>
      <c r="L170" s="240">
        <f>H170*Conv!$J$20/10^6/VLOOKUP($B170,Types!$B$2:$D$13,3,FALSE)/Conv!$I$5</f>
        <v>13.307942159668986</v>
      </c>
      <c r="M170" s="240">
        <f>I170*Conv!$J$20/10^6/VLOOKUP($B170,Types!$B$2:$D$13,3,FALSE)/Conv!$I$5</f>
        <v>11.905487427797235</v>
      </c>
      <c r="N170" s="240">
        <f>M170*'Imported Price Trends'!$K$19</f>
        <v>12.819196179151175</v>
      </c>
      <c r="O170" s="240">
        <f>N170*'Imported Price Trends'!$L$19</f>
        <v>12.697310346194723</v>
      </c>
      <c r="P170" s="240">
        <f>O170*'Imported Price Trends'!$M$19</f>
        <v>13.701289677218297</v>
      </c>
      <c r="Q170" s="240">
        <f>P170*'Imported Price Trends'!$N$19</f>
        <v>14.488324302024262</v>
      </c>
      <c r="R170" s="240">
        <f>Q170*'Imported Price Trends'!$O$19</f>
        <v>15.566024427011664</v>
      </c>
      <c r="S170" s="240">
        <f>R170*'Imported Price Trends'!$O$19</f>
        <v>16.723888243478253</v>
      </c>
      <c r="T170" s="240">
        <f>S170*'Imported Price Trends'!$O$19</f>
        <v>17.967878650826719</v>
      </c>
      <c r="U170" s="240">
        <f>T170*'Imported Price Trends'!$O$19</f>
        <v>19.304402093020027</v>
      </c>
      <c r="V170" s="240">
        <f>U170*'Imported Price Trends'!$O$19</f>
        <v>20.740341551218656</v>
      </c>
      <c r="W170" s="219"/>
      <c r="X170" s="195">
        <f>X167*$E$8</f>
        <v>1199998.8</v>
      </c>
      <c r="Y170" s="195">
        <f t="shared" ref="Y170:AA170" si="422">Y167*$E$8</f>
        <v>1199998.8</v>
      </c>
      <c r="Z170" s="195">
        <f t="shared" si="422"/>
        <v>1199998.8</v>
      </c>
      <c r="AA170" s="195">
        <f t="shared" si="422"/>
        <v>1199998.8</v>
      </c>
      <c r="AB170" s="219">
        <f>X170*VLOOKUP($B170,Types!$B$2:$D$13,3,FALSE)*Conv!$I$5*1000*365</f>
        <v>2620186.753570626</v>
      </c>
      <c r="AC170" s="219">
        <f>Y170*VLOOKUP($B170,Types!$B$2:$D$13,3,FALSE)*Conv!$I$5*1000*365</f>
        <v>2620186.753570626</v>
      </c>
      <c r="AD170" s="219">
        <f>Z170*VLOOKUP($B170,Types!$B$2:$D$13,3,FALSE)*Conv!$I$5*1000*365</f>
        <v>2620186.753570626</v>
      </c>
      <c r="AE170" s="219">
        <f>AA170*VLOOKUP($B170,Types!$B$2:$D$13,3,FALSE)*Conv!$I$5*1000*365</f>
        <v>2620186.753570626</v>
      </c>
      <c r="AF170" s="219">
        <f>AB170-AB167</f>
        <v>436697.79226177093</v>
      </c>
      <c r="AG170" s="219">
        <f t="shared" ref="AG170:AI170" si="423">AC170-AC167</f>
        <v>436697.79226177093</v>
      </c>
      <c r="AH170" s="219">
        <f t="shared" si="423"/>
        <v>436697.79226177093</v>
      </c>
      <c r="AI170" s="219">
        <f t="shared" si="423"/>
        <v>436697.79226177093</v>
      </c>
      <c r="AJ170" s="219"/>
      <c r="AK170" s="219"/>
      <c r="AL170" s="219"/>
    </row>
    <row r="171" spans="1:38">
      <c r="A171" s="195" t="str">
        <f t="shared" si="417"/>
        <v>Jet Fuel</v>
      </c>
      <c r="B171" s="195" t="str">
        <f>VLOOKUP($A171,Types!$A$2:$C$13,2,FALSE)</f>
        <v>JTF</v>
      </c>
      <c r="C171" s="195">
        <v>5</v>
      </c>
      <c r="D171" s="195">
        <v>3</v>
      </c>
      <c r="E171" s="195" t="str">
        <f t="shared" si="328"/>
        <v>IMPJTFP35</v>
      </c>
      <c r="F171" s="195" t="str">
        <f>CONCATENATE("Imported ",VLOOKUP($A171,Types!$A$2:$C$13,3,FALSE),", PADD ",D171,", Step ",RIGHT(C171,1))</f>
        <v>Imported Jet Fuel, PADD 3, Step 5</v>
      </c>
      <c r="G171" s="195" t="str">
        <f>CONCATENATE(VLOOKUP($A171,Types!$A$2:$C$13,2,FALSE),"P",D171)</f>
        <v>JTFP3</v>
      </c>
      <c r="H171" s="239">
        <f>H167*$C$9</f>
        <v>61.876100000000015</v>
      </c>
      <c r="I171" s="239">
        <f t="shared" ref="I171:K171" si="424">I167*$C$9</f>
        <v>55.355300000000007</v>
      </c>
      <c r="J171" s="239">
        <f t="shared" si="424"/>
        <v>44.407999999999994</v>
      </c>
      <c r="K171" s="239">
        <f t="shared" si="424"/>
        <v>48.464000000000006</v>
      </c>
      <c r="L171" s="240">
        <f>H171*Conv!$J$20/10^6/VLOOKUP($B171,Types!$B$2:$D$13,3,FALSE)/Conv!$I$5</f>
        <v>15.871857621623562</v>
      </c>
      <c r="M171" s="240">
        <f>I171*Conv!$J$20/10^6/VLOOKUP($B171,Types!$B$2:$D$13,3,FALSE)/Conv!$I$5</f>
        <v>14.199205189115967</v>
      </c>
      <c r="N171" s="240">
        <f>M171*'Imported Price Trends'!$K$19</f>
        <v>15.288949571464702</v>
      </c>
      <c r="O171" s="240">
        <f>N171*'Imported Price Trends'!$L$19</f>
        <v>15.143581146837741</v>
      </c>
      <c r="P171" s="240">
        <f>O171*'Imported Price Trends'!$M$19</f>
        <v>16.340987688425489</v>
      </c>
      <c r="Q171" s="240">
        <f>P171*'Imported Price Trends'!$N$19</f>
        <v>17.27965283727664</v>
      </c>
      <c r="R171" s="240">
        <f>Q171*'Imported Price Trends'!$O$19</f>
        <v>18.564983261573541</v>
      </c>
      <c r="S171" s="240">
        <f>R171*'Imported Price Trends'!$O$19</f>
        <v>19.94592175827681</v>
      </c>
      <c r="T171" s="240">
        <f>S171*'Imported Price Trends'!$O$19</f>
        <v>21.429580042270395</v>
      </c>
      <c r="U171" s="240">
        <f>T171*'Imported Price Trends'!$O$19</f>
        <v>23.023598826537643</v>
      </c>
      <c r="V171" s="240">
        <f>U171*'Imported Price Trends'!$O$19</f>
        <v>24.736187171178209</v>
      </c>
      <c r="W171" s="219"/>
      <c r="X171" s="195">
        <f>X167*$E$9</f>
        <v>1999998</v>
      </c>
      <c r="Y171" s="195">
        <f t="shared" ref="Y171:AA171" si="425">Y167*$E$9</f>
        <v>1999998</v>
      </c>
      <c r="Z171" s="195">
        <f t="shared" si="425"/>
        <v>1999998</v>
      </c>
      <c r="AA171" s="195">
        <f t="shared" si="425"/>
        <v>1999998</v>
      </c>
      <c r="AB171" s="219">
        <f>X171*VLOOKUP($B171,Types!$B$2:$D$13,3,FALSE)*Conv!$I$5*1000*365</f>
        <v>4366977.9226177102</v>
      </c>
      <c r="AC171" s="219">
        <f>Y171*VLOOKUP($B171,Types!$B$2:$D$13,3,FALSE)*Conv!$I$5*1000*365</f>
        <v>4366977.9226177102</v>
      </c>
      <c r="AD171" s="219">
        <f>Z171*VLOOKUP($B171,Types!$B$2:$D$13,3,FALSE)*Conv!$I$5*1000*365</f>
        <v>4366977.9226177102</v>
      </c>
      <c r="AE171" s="219">
        <f>AA171*VLOOKUP($B171,Types!$B$2:$D$13,3,FALSE)*Conv!$I$5*1000*365</f>
        <v>4366977.9226177102</v>
      </c>
      <c r="AF171" s="219">
        <f>AB171-AB170</f>
        <v>1746791.1690470842</v>
      </c>
      <c r="AG171" s="219">
        <f t="shared" ref="AG171:AI171" si="426">AC171-AC170</f>
        <v>1746791.1690470842</v>
      </c>
      <c r="AH171" s="219">
        <f t="shared" si="426"/>
        <v>1746791.1690470842</v>
      </c>
      <c r="AI171" s="219">
        <f t="shared" si="426"/>
        <v>1746791.1690470842</v>
      </c>
      <c r="AJ171" s="219"/>
      <c r="AK171" s="219"/>
      <c r="AL171" s="219"/>
    </row>
    <row r="172" spans="1:38">
      <c r="A172" s="195" t="str">
        <f>'Agg prdcrv'!$A$13</f>
        <v>LPG</v>
      </c>
      <c r="B172" s="195" t="str">
        <f>VLOOKUP($A172,Types!$A$2:$C$13,2,FALSE)</f>
        <v>LPG</v>
      </c>
      <c r="C172" s="195">
        <v>3</v>
      </c>
      <c r="D172" s="195">
        <v>3</v>
      </c>
      <c r="E172" s="195" t="str">
        <f t="shared" si="328"/>
        <v>IMPLPGP33</v>
      </c>
      <c r="F172" s="195" t="str">
        <f>CONCATENATE("Imported ",VLOOKUP($A172,Types!$A$2:$C$13,3,FALSE),", PADD ",D172,", Step ",RIGHT(C172,1))</f>
        <v>Imported LPG, PADD 3, Step 3</v>
      </c>
      <c r="G172" s="195" t="str">
        <f>CONCATENATE(VLOOKUP($A172,Types!$A$2:$C$13,2,FALSE),"P",D172)</f>
        <v>LPGP3</v>
      </c>
      <c r="H172" s="239">
        <f>SUMIFS('Agg prdcrv NYC'!$N$6:$N$100,'Agg prdcrv NYC'!$A$6:$A$100,'Imp Refined NYC'!$A172,'Agg prdcrv NYC'!$B$6:$B$100,H$11)*K4</f>
        <v>31.691000000000003</v>
      </c>
      <c r="I172" s="239">
        <f>SUMIFS('Agg prdcrv NYC'!$N$6:$N$100,'Agg prdcrv NYC'!$A$6:$A$100,'Imp Refined NYC'!$A172,'Agg prdcrv NYC'!$B$6:$B$100,I$11)*K4</f>
        <v>31.35</v>
      </c>
      <c r="J172" s="239">
        <f t="array" ref="J172">SUMIFS('Agg prdcrv NYC'!$N$6:$N$100,'Agg prdcrv NYC'!$A$6:$A$100,'Imp Refined NYC'!$A172,'Agg prdcrv NYC'!$B$6:$B$100,J$11)</f>
        <v>28.5</v>
      </c>
      <c r="K172" s="239">
        <f t="array" ref="K172">SUMIFS('Agg prdcrv NYC'!$N$6:$N$100,'Agg prdcrv NYC'!$A$6:$A$100,'Imp Refined NYC'!$A172,'Agg prdcrv NYC'!$B$6:$B$100,K$11)</f>
        <v>28.5</v>
      </c>
      <c r="L172" s="240">
        <f>H172*Conv!$J$20/10^6/VLOOKUP($B172,Types!$B$2:$D$13,3,FALSE)/Conv!$I$5</f>
        <v>12.958059311858628</v>
      </c>
      <c r="M172" s="240">
        <f>I172*Conv!$J$20/10^6/VLOOKUP($B172,Types!$B$2:$D$13,3,FALSE)/Conv!$I$5</f>
        <v>12.818628614646682</v>
      </c>
      <c r="N172" s="240">
        <f>M172*'Imported Price Trends'!$K$19</f>
        <v>13.80241808287224</v>
      </c>
      <c r="O172" s="240">
        <f>N172*'Imported Price Trends'!$L$19</f>
        <v>13.671183705822909</v>
      </c>
      <c r="P172" s="240">
        <f>O172*'Imported Price Trends'!$M$19</f>
        <v>14.7521674336394</v>
      </c>
      <c r="Q172" s="240">
        <f>P172*'Imported Price Trends'!$N$19</f>
        <v>15.599566973006439</v>
      </c>
      <c r="R172" s="240">
        <f>Q172*'Imported Price Trends'!$O$19</f>
        <v>16.759925819626783</v>
      </c>
      <c r="S172" s="240">
        <f>R172*'Imported Price Trends'!$O$19</f>
        <v>18.006596847557031</v>
      </c>
      <c r="T172" s="240">
        <f>S172*'Imported Price Trends'!$O$19</f>
        <v>19.346000305726356</v>
      </c>
      <c r="U172" s="240">
        <f>T172*'Imported Price Trends'!$O$19</f>
        <v>20.785034007130641</v>
      </c>
      <c r="V172" s="240">
        <f>U172*'Imported Price Trends'!$O$19</f>
        <v>22.331108851978119</v>
      </c>
      <c r="W172" s="219"/>
      <c r="X172" s="195">
        <f t="array" ref="X172">SUMIFS('Agg prdcrv NYC'!$F$6:$F$100,'Agg prdcrv NYC'!$A$6:$A$100,'Imp Refined NYC'!$A172,'Agg prdcrv NYC'!$B$6:$B$100,X$11)</f>
        <v>999999</v>
      </c>
      <c r="Y172" s="195">
        <f t="array" ref="Y172">SUMIFS('Agg prdcrv NYC'!$F$6:$F$100,'Agg prdcrv NYC'!$A$6:$A$100,'Imp Refined NYC'!$A172,'Agg prdcrv NYC'!$B$6:$B$100,Y$11)</f>
        <v>999999</v>
      </c>
      <c r="Z172" s="195">
        <f t="array" ref="Z172">SUMIFS('Agg prdcrv NYC'!$F$6:$F$100,'Agg prdcrv NYC'!$A$6:$A$100,'Imp Refined NYC'!$A172,'Agg prdcrv NYC'!$B$6:$B$100,Z$11)</f>
        <v>999999</v>
      </c>
      <c r="AA172" s="195">
        <f t="array" ref="AA172">SUMIFS('Agg prdcrv NYC'!$F$6:$F$100,'Agg prdcrv NYC'!$A$6:$A$100,'Imp Refined NYC'!$A172,'Agg prdcrv NYC'!$B$6:$B$100,AA$11)</f>
        <v>999999</v>
      </c>
      <c r="AB172" s="219">
        <f>X172*VLOOKUP($B172,Types!$B$2:$D$13,3,FALSE)*Conv!$I$5*1000*365</f>
        <v>1369783.1102955197</v>
      </c>
      <c r="AC172" s="219">
        <f>Y172*VLOOKUP($B172,Types!$B$2:$D$13,3,FALSE)*Conv!$I$5*1000*365</f>
        <v>1369783.1102955197</v>
      </c>
      <c r="AD172" s="219">
        <f>Z172*VLOOKUP($B172,Types!$B$2:$D$13,3,FALSE)*Conv!$I$5*1000*365</f>
        <v>1369783.1102955197</v>
      </c>
      <c r="AE172" s="219">
        <f>AA172*VLOOKUP($B172,Types!$B$2:$D$13,3,FALSE)*Conv!$I$5*1000*365</f>
        <v>1369783.1102955197</v>
      </c>
      <c r="AF172" s="219">
        <f>AB172-AB174</f>
        <v>136978.31102955202</v>
      </c>
      <c r="AG172" s="219">
        <f t="shared" ref="AG172:AI172" si="427">AC172-AC174</f>
        <v>136978.31102955202</v>
      </c>
      <c r="AH172" s="219">
        <f t="shared" si="427"/>
        <v>136978.31102955202</v>
      </c>
      <c r="AI172" s="219">
        <f t="shared" si="427"/>
        <v>136978.31102955202</v>
      </c>
      <c r="AJ172" s="219"/>
      <c r="AK172" s="219"/>
      <c r="AL172" s="219"/>
    </row>
    <row r="173" spans="1:38">
      <c r="A173" s="195" t="str">
        <f>A172</f>
        <v>LPG</v>
      </c>
      <c r="B173" s="195" t="str">
        <f>VLOOKUP($A173,Types!$A$2:$C$13,2,FALSE)</f>
        <v>LPG</v>
      </c>
      <c r="C173" s="195">
        <v>1</v>
      </c>
      <c r="D173" s="195">
        <v>3</v>
      </c>
      <c r="E173" s="195" t="str">
        <f t="shared" si="328"/>
        <v>IMPLPGP31</v>
      </c>
      <c r="F173" s="195" t="str">
        <f>CONCATENATE("Imported ",VLOOKUP($A173,Types!$A$2:$C$13,3,FALSE),", PADD ",D173,", Step ",RIGHT(C173,1))</f>
        <v>Imported LPG, PADD 3, Step 1</v>
      </c>
      <c r="G173" s="195" t="str">
        <f>CONCATENATE(VLOOKUP($A173,Types!$A$2:$C$13,2,FALSE),"P",D173)</f>
        <v>LPGP3</v>
      </c>
      <c r="H173" s="239">
        <f>H172*$C$5</f>
        <v>30.106450000000002</v>
      </c>
      <c r="I173" s="239">
        <f t="shared" ref="I173:K173" si="428">I172*$C$5</f>
        <v>29.782499999999999</v>
      </c>
      <c r="J173" s="239">
        <f t="shared" si="428"/>
        <v>27.074999999999999</v>
      </c>
      <c r="K173" s="239">
        <f t="shared" si="428"/>
        <v>27.074999999999999</v>
      </c>
      <c r="L173" s="240">
        <f>H173*Conv!$J$20/10^6/VLOOKUP($B173,Types!$B$2:$D$13,3,FALSE)/Conv!$I$5</f>
        <v>12.310156346265698</v>
      </c>
      <c r="M173" s="240">
        <f>I173*Conv!$J$20/10^6/VLOOKUP($B173,Types!$B$2:$D$13,3,FALSE)/Conv!$I$5</f>
        <v>12.177697183914349</v>
      </c>
      <c r="N173" s="240">
        <f>M173*'Imported Price Trends'!$K$19</f>
        <v>13.112297178728628</v>
      </c>
      <c r="O173" s="240">
        <f>N173*'Imported Price Trends'!$L$19</f>
        <v>12.987624520531762</v>
      </c>
      <c r="P173" s="240">
        <f>O173*'Imported Price Trends'!$M$19</f>
        <v>14.014559061957428</v>
      </c>
      <c r="Q173" s="240">
        <f>P173*'Imported Price Trends'!$N$19</f>
        <v>14.819588624356115</v>
      </c>
      <c r="R173" s="240">
        <f>Q173*'Imported Price Trends'!$O$19</f>
        <v>15.921929528645443</v>
      </c>
      <c r="S173" s="240">
        <f>R173*'Imported Price Trends'!$O$19</f>
        <v>17.106267005179177</v>
      </c>
      <c r="T173" s="240">
        <f>S173*'Imported Price Trends'!$O$19</f>
        <v>18.378700290440037</v>
      </c>
      <c r="U173" s="240">
        <f>T173*'Imported Price Trends'!$O$19</f>
        <v>19.745782306774107</v>
      </c>
      <c r="V173" s="240">
        <f>U173*'Imported Price Trends'!$O$19</f>
        <v>21.21455340937921</v>
      </c>
      <c r="W173" s="219"/>
      <c r="X173" s="195">
        <f>X172*$E$5</f>
        <v>799999.20000000007</v>
      </c>
      <c r="Y173" s="195">
        <f t="shared" ref="Y173:AA173" si="429">Y172*$E$5</f>
        <v>799999.20000000007</v>
      </c>
      <c r="Z173" s="195">
        <f t="shared" si="429"/>
        <v>799999.20000000007</v>
      </c>
      <c r="AA173" s="195">
        <f t="shared" si="429"/>
        <v>799999.20000000007</v>
      </c>
      <c r="AB173" s="219">
        <f>X173*VLOOKUP($B173,Types!$B$2:$D$13,3,FALSE)*Conv!$I$5*1000*365</f>
        <v>1095826.4882364159</v>
      </c>
      <c r="AC173" s="219">
        <f>Y173*VLOOKUP($B173,Types!$B$2:$D$13,3,FALSE)*Conv!$I$5*1000*365</f>
        <v>1095826.4882364159</v>
      </c>
      <c r="AD173" s="219">
        <f>Z173*VLOOKUP($B173,Types!$B$2:$D$13,3,FALSE)*Conv!$I$5*1000*365</f>
        <v>1095826.4882364159</v>
      </c>
      <c r="AE173" s="219">
        <f>AA173*VLOOKUP($B173,Types!$B$2:$D$13,3,FALSE)*Conv!$I$5*1000*365</f>
        <v>1095826.4882364159</v>
      </c>
      <c r="AF173" s="219">
        <f>AB173</f>
        <v>1095826.4882364159</v>
      </c>
      <c r="AG173" s="219">
        <f t="shared" ref="AG173:AI173" si="430">AC173</f>
        <v>1095826.4882364159</v>
      </c>
      <c r="AH173" s="219">
        <f t="shared" si="430"/>
        <v>1095826.4882364159</v>
      </c>
      <c r="AI173" s="219">
        <f t="shared" si="430"/>
        <v>1095826.4882364159</v>
      </c>
      <c r="AJ173" s="219"/>
      <c r="AK173" s="219"/>
      <c r="AL173" s="219"/>
    </row>
    <row r="174" spans="1:38">
      <c r="A174" s="195" t="str">
        <f t="shared" ref="A174:A176" si="431">A173</f>
        <v>LPG</v>
      </c>
      <c r="B174" s="195" t="str">
        <f>VLOOKUP($A174,Types!$A$2:$C$13,2,FALSE)</f>
        <v>LPG</v>
      </c>
      <c r="C174" s="195">
        <v>2</v>
      </c>
      <c r="D174" s="195">
        <v>3</v>
      </c>
      <c r="E174" s="195" t="str">
        <f t="shared" si="328"/>
        <v>IMPLPGP32</v>
      </c>
      <c r="F174" s="195" t="str">
        <f>CONCATENATE("Imported ",VLOOKUP($A174,Types!$A$2:$C$13,3,FALSE),", PADD ",D174,", Step ",RIGHT(C174,1))</f>
        <v>Imported LPG, PADD 3, Step 2</v>
      </c>
      <c r="G174" s="195" t="str">
        <f>CONCATENATE(VLOOKUP($A174,Types!$A$2:$C$13,2,FALSE),"P",D174)</f>
        <v>LPGP3</v>
      </c>
      <c r="H174" s="239">
        <f>H172*$C$6</f>
        <v>31.057180000000002</v>
      </c>
      <c r="I174" s="239">
        <f t="shared" ref="I174:K174" si="432">I172*$C$6</f>
        <v>30.723000000000003</v>
      </c>
      <c r="J174" s="239">
        <f t="shared" si="432"/>
        <v>27.93</v>
      </c>
      <c r="K174" s="239">
        <f t="shared" si="432"/>
        <v>27.93</v>
      </c>
      <c r="L174" s="240">
        <f>H174*Conv!$J$20/10^6/VLOOKUP($B174,Types!$B$2:$D$13,3,FALSE)/Conv!$I$5</f>
        <v>12.698898125621454</v>
      </c>
      <c r="M174" s="240">
        <f>I174*Conv!$J$20/10^6/VLOOKUP($B174,Types!$B$2:$D$13,3,FALSE)/Conv!$I$5</f>
        <v>12.56225604235375</v>
      </c>
      <c r="N174" s="240">
        <f>M174*'Imported Price Trends'!$K$19</f>
        <v>13.526369721214797</v>
      </c>
      <c r="O174" s="240">
        <f>N174*'Imported Price Trends'!$L$19</f>
        <v>13.397760031706452</v>
      </c>
      <c r="P174" s="240">
        <f>O174*'Imported Price Trends'!$M$19</f>
        <v>14.457124084966614</v>
      </c>
      <c r="Q174" s="240">
        <f>P174*'Imported Price Trends'!$N$19</f>
        <v>15.287575633546313</v>
      </c>
      <c r="R174" s="240">
        <f>Q174*'Imported Price Trends'!$O$19</f>
        <v>16.424727303234249</v>
      </c>
      <c r="S174" s="240">
        <f>R174*'Imported Price Trends'!$O$19</f>
        <v>17.646464910605893</v>
      </c>
      <c r="T174" s="240">
        <f>S174*'Imported Price Trends'!$O$19</f>
        <v>18.959080299611831</v>
      </c>
      <c r="U174" s="240">
        <f>T174*'Imported Price Trends'!$O$19</f>
        <v>20.369333326988031</v>
      </c>
      <c r="V174" s="240">
        <f>U174*'Imported Price Trends'!$O$19</f>
        <v>21.884486674938557</v>
      </c>
      <c r="W174" s="219"/>
      <c r="X174" s="195">
        <f>X172*$E$6</f>
        <v>899999.1</v>
      </c>
      <c r="Y174" s="195">
        <f t="shared" ref="Y174:AA174" si="433">Y172*$E$6</f>
        <v>899999.1</v>
      </c>
      <c r="Z174" s="195">
        <f t="shared" si="433"/>
        <v>899999.1</v>
      </c>
      <c r="AA174" s="195">
        <f t="shared" si="433"/>
        <v>899999.1</v>
      </c>
      <c r="AB174" s="219">
        <f>X174*VLOOKUP($B174,Types!$B$2:$D$13,3,FALSE)*Conv!$I$5*1000*365</f>
        <v>1232804.7992659677</v>
      </c>
      <c r="AC174" s="219">
        <f>Y174*VLOOKUP($B174,Types!$B$2:$D$13,3,FALSE)*Conv!$I$5*1000*365</f>
        <v>1232804.7992659677</v>
      </c>
      <c r="AD174" s="219">
        <f>Z174*VLOOKUP($B174,Types!$B$2:$D$13,3,FALSE)*Conv!$I$5*1000*365</f>
        <v>1232804.7992659677</v>
      </c>
      <c r="AE174" s="219">
        <f>AA174*VLOOKUP($B174,Types!$B$2:$D$13,3,FALSE)*Conv!$I$5*1000*365</f>
        <v>1232804.7992659677</v>
      </c>
      <c r="AF174" s="219">
        <f>AB174-AF173</f>
        <v>136978.31102955178</v>
      </c>
      <c r="AG174" s="219">
        <f t="shared" ref="AG174:AI174" si="434">AC174-AG173</f>
        <v>136978.31102955178</v>
      </c>
      <c r="AH174" s="219">
        <f t="shared" si="434"/>
        <v>136978.31102955178</v>
      </c>
      <c r="AI174" s="219">
        <f t="shared" si="434"/>
        <v>136978.31102955178</v>
      </c>
      <c r="AJ174" s="219"/>
      <c r="AK174" s="219"/>
      <c r="AL174" s="219"/>
    </row>
    <row r="175" spans="1:38">
      <c r="A175" s="195" t="str">
        <f t="shared" si="431"/>
        <v>LPG</v>
      </c>
      <c r="B175" s="195" t="str">
        <f>VLOOKUP($A175,Types!$A$2:$C$13,2,FALSE)</f>
        <v>LPG</v>
      </c>
      <c r="C175" s="195">
        <v>4</v>
      </c>
      <c r="D175" s="195">
        <v>3</v>
      </c>
      <c r="E175" s="195" t="str">
        <f t="shared" si="328"/>
        <v>IMPLPGP34</v>
      </c>
      <c r="F175" s="195" t="str">
        <f>CONCATENATE("Imported ",VLOOKUP($A175,Types!$A$2:$C$13,3,FALSE),", PADD ",D175,", Step ",RIGHT(C175,1))</f>
        <v>Imported LPG, PADD 3, Step 4</v>
      </c>
      <c r="G175" s="195" t="str">
        <f>CONCATENATE(VLOOKUP($A175,Types!$A$2:$C$13,2,FALSE),"P",D175)</f>
        <v>LPGP3</v>
      </c>
      <c r="H175" s="239">
        <f>H172*$C$8</f>
        <v>34.543190000000003</v>
      </c>
      <c r="I175" s="239">
        <f t="shared" ref="I175:K175" si="435">I172*$C$8</f>
        <v>34.171500000000002</v>
      </c>
      <c r="J175" s="239">
        <f t="shared" si="435"/>
        <v>31.065000000000001</v>
      </c>
      <c r="K175" s="239">
        <f t="shared" si="435"/>
        <v>31.065000000000001</v>
      </c>
      <c r="L175" s="240">
        <f>H175*Conv!$J$20/10^6/VLOOKUP($B175,Types!$B$2:$D$13,3,FALSE)/Conv!$I$5</f>
        <v>14.124284649925904</v>
      </c>
      <c r="M175" s="240">
        <f>I175*Conv!$J$20/10^6/VLOOKUP($B175,Types!$B$2:$D$13,3,FALSE)/Conv!$I$5</f>
        <v>13.972305189964885</v>
      </c>
      <c r="N175" s="240">
        <f>M175*'Imported Price Trends'!$K$19</f>
        <v>15.044635710330743</v>
      </c>
      <c r="O175" s="240">
        <f>N175*'Imported Price Trends'!$L$19</f>
        <v>14.901590239346971</v>
      </c>
      <c r="P175" s="240">
        <f>O175*'Imported Price Trends'!$M$19</f>
        <v>16.079862502666945</v>
      </c>
      <c r="Q175" s="240">
        <f>P175*'Imported Price Trends'!$N$19</f>
        <v>17.003528000577017</v>
      </c>
      <c r="R175" s="240">
        <f>Q175*'Imported Price Trends'!$O$19</f>
        <v>18.268319143393192</v>
      </c>
      <c r="S175" s="240">
        <f>R175*'Imported Price Trends'!$O$19</f>
        <v>19.627190563837161</v>
      </c>
      <c r="T175" s="240">
        <f>S175*'Imported Price Trends'!$O$19</f>
        <v>21.087140333241724</v>
      </c>
      <c r="U175" s="240">
        <f>T175*'Imported Price Trends'!$O$19</f>
        <v>22.655687067772394</v>
      </c>
      <c r="V175" s="240">
        <f>U175*'Imported Price Trends'!$O$19</f>
        <v>24.340908648656143</v>
      </c>
      <c r="W175" s="219"/>
      <c r="X175" s="195">
        <f>X172*$E$8</f>
        <v>1199998.8</v>
      </c>
      <c r="Y175" s="195">
        <f t="shared" ref="Y175:AA175" si="436">Y172*$E$8</f>
        <v>1199998.8</v>
      </c>
      <c r="Z175" s="195">
        <f t="shared" si="436"/>
        <v>1199998.8</v>
      </c>
      <c r="AA175" s="195">
        <f t="shared" si="436"/>
        <v>1199998.8</v>
      </c>
      <c r="AB175" s="219">
        <f>X175*VLOOKUP($B175,Types!$B$2:$D$13,3,FALSE)*Conv!$I$5*1000*365</f>
        <v>1643739.7323546242</v>
      </c>
      <c r="AC175" s="219">
        <f>Y175*VLOOKUP($B175,Types!$B$2:$D$13,3,FALSE)*Conv!$I$5*1000*365</f>
        <v>1643739.7323546242</v>
      </c>
      <c r="AD175" s="219">
        <f>Z175*VLOOKUP($B175,Types!$B$2:$D$13,3,FALSE)*Conv!$I$5*1000*365</f>
        <v>1643739.7323546242</v>
      </c>
      <c r="AE175" s="219">
        <f>AA175*VLOOKUP($B175,Types!$B$2:$D$13,3,FALSE)*Conv!$I$5*1000*365</f>
        <v>1643739.7323546242</v>
      </c>
      <c r="AF175" s="219">
        <f>AB175-AB172</f>
        <v>273956.6220591045</v>
      </c>
      <c r="AG175" s="219">
        <f t="shared" ref="AG175:AI175" si="437">AC175-AC172</f>
        <v>273956.6220591045</v>
      </c>
      <c r="AH175" s="219">
        <f t="shared" si="437"/>
        <v>273956.6220591045</v>
      </c>
      <c r="AI175" s="219">
        <f t="shared" si="437"/>
        <v>273956.6220591045</v>
      </c>
      <c r="AJ175" s="219"/>
      <c r="AK175" s="219"/>
      <c r="AL175" s="219"/>
    </row>
    <row r="176" spans="1:38">
      <c r="A176" s="195" t="str">
        <f t="shared" si="431"/>
        <v>LPG</v>
      </c>
      <c r="B176" s="195" t="str">
        <f>VLOOKUP($A176,Types!$A$2:$C$13,2,FALSE)</f>
        <v>LPG</v>
      </c>
      <c r="C176" s="195">
        <v>5</v>
      </c>
      <c r="D176" s="195">
        <v>3</v>
      </c>
      <c r="E176" s="195" t="str">
        <f t="shared" si="328"/>
        <v>IMPLPGP35</v>
      </c>
      <c r="F176" s="195" t="str">
        <f>CONCATENATE("Imported ",VLOOKUP($A176,Types!$A$2:$C$13,3,FALSE),", PADD ",D176,", Step ",RIGHT(C176,1))</f>
        <v>Imported LPG, PADD 3, Step 5</v>
      </c>
      <c r="G176" s="195" t="str">
        <f>CONCATENATE(VLOOKUP($A176,Types!$A$2:$C$13,2,FALSE),"P",D176)</f>
        <v>LPGP3</v>
      </c>
      <c r="H176" s="239">
        <f>H172*$C$9</f>
        <v>41.198300000000003</v>
      </c>
      <c r="I176" s="239">
        <f t="shared" ref="I176:K176" si="438">I172*$C$9</f>
        <v>40.755000000000003</v>
      </c>
      <c r="J176" s="239">
        <f t="shared" si="438"/>
        <v>37.050000000000004</v>
      </c>
      <c r="K176" s="239">
        <f t="shared" si="438"/>
        <v>37.050000000000004</v>
      </c>
      <c r="L176" s="240">
        <f>H176*Conv!$J$20/10^6/VLOOKUP($B176,Types!$B$2:$D$13,3,FALSE)/Conv!$I$5</f>
        <v>16.845477105416219</v>
      </c>
      <c r="M176" s="240">
        <f>I176*Conv!$J$20/10^6/VLOOKUP($B176,Types!$B$2:$D$13,3,FALSE)/Conv!$I$5</f>
        <v>16.664217199040689</v>
      </c>
      <c r="N176" s="240">
        <f>M176*'Imported Price Trends'!$K$19</f>
        <v>17.943143507733915</v>
      </c>
      <c r="O176" s="240">
        <f>N176*'Imported Price Trends'!$L$19</f>
        <v>17.772538817569782</v>
      </c>
      <c r="P176" s="240">
        <f>O176*'Imported Price Trends'!$M$19</f>
        <v>19.177817663731219</v>
      </c>
      <c r="Q176" s="240">
        <f>P176*'Imported Price Trends'!$N$19</f>
        <v>20.279437064908372</v>
      </c>
      <c r="R176" s="240">
        <f>Q176*'Imported Price Trends'!$O$19</f>
        <v>21.787903565514821</v>
      </c>
      <c r="S176" s="240">
        <f>R176*'Imported Price Trends'!$O$19</f>
        <v>23.408575901824143</v>
      </c>
      <c r="T176" s="240">
        <f>S176*'Imported Price Trends'!$O$19</f>
        <v>25.149800397444267</v>
      </c>
      <c r="U176" s="240">
        <f>T176*'Imported Price Trends'!$O$19</f>
        <v>27.020544209269836</v>
      </c>
      <c r="V176" s="240">
        <f>U176*'Imported Price Trends'!$O$19</f>
        <v>29.030441507571556</v>
      </c>
      <c r="W176" s="219"/>
      <c r="X176" s="195">
        <f>X172*$E$9</f>
        <v>1999998</v>
      </c>
      <c r="Y176" s="195">
        <f t="shared" ref="Y176:AA176" si="439">Y172*$E$9</f>
        <v>1999998</v>
      </c>
      <c r="Z176" s="195">
        <f t="shared" si="439"/>
        <v>1999998</v>
      </c>
      <c r="AA176" s="195">
        <f t="shared" si="439"/>
        <v>1999998</v>
      </c>
      <c r="AB176" s="219">
        <f>X176*VLOOKUP($B176,Types!$B$2:$D$13,3,FALSE)*Conv!$I$5*1000*365</f>
        <v>2739566.2205910394</v>
      </c>
      <c r="AC176" s="219">
        <f>Y176*VLOOKUP($B176,Types!$B$2:$D$13,3,FALSE)*Conv!$I$5*1000*365</f>
        <v>2739566.2205910394</v>
      </c>
      <c r="AD176" s="219">
        <f>Z176*VLOOKUP($B176,Types!$B$2:$D$13,3,FALSE)*Conv!$I$5*1000*365</f>
        <v>2739566.2205910394</v>
      </c>
      <c r="AE176" s="219">
        <f>AA176*VLOOKUP($B176,Types!$B$2:$D$13,3,FALSE)*Conv!$I$5*1000*365</f>
        <v>2739566.2205910394</v>
      </c>
      <c r="AF176" s="219">
        <f>AB176-AB175</f>
        <v>1095826.4882364152</v>
      </c>
      <c r="AG176" s="219">
        <f t="shared" ref="AG176:AI176" si="440">AC176-AC175</f>
        <v>1095826.4882364152</v>
      </c>
      <c r="AH176" s="219">
        <f t="shared" si="440"/>
        <v>1095826.4882364152</v>
      </c>
      <c r="AI176" s="219">
        <f t="shared" si="440"/>
        <v>1095826.4882364152</v>
      </c>
      <c r="AJ176" s="219"/>
      <c r="AK176" s="219"/>
      <c r="AL176" s="219"/>
    </row>
    <row r="177" spans="1:38">
      <c r="A177" s="195" t="str">
        <f>'Agg prdcrv'!$A$14</f>
        <v>Petchem. Feedstocks</v>
      </c>
      <c r="B177" s="195" t="str">
        <f>VLOOKUP($A177,Types!$A$2:$C$13,2,FALSE)</f>
        <v>PFS</v>
      </c>
      <c r="C177" s="195">
        <v>3</v>
      </c>
      <c r="D177" s="195">
        <v>3</v>
      </c>
      <c r="E177" s="195" t="str">
        <f t="shared" si="328"/>
        <v>IMPPFSP33</v>
      </c>
      <c r="F177" s="195" t="str">
        <f>CONCATENATE("Imported ",VLOOKUP($A177,Types!$A$2:$C$13,3,FALSE),", PADD ",D177,", Step ",RIGHT(C177,1))</f>
        <v>Imported Petrochemical Feedstocks, PADD 3, Step 3</v>
      </c>
      <c r="G177" s="195" t="str">
        <f>CONCATENATE(VLOOKUP($A177,Types!$A$2:$C$13,2,FALSE),"P",D177)</f>
        <v>PFSP3</v>
      </c>
      <c r="H177" s="239">
        <f>SUMIFS('Agg prdcrv NYC'!$N$6:$N$100,'Agg prdcrv NYC'!$A$6:$A$100,'Imp Refined NYC'!$A177,'Agg prdcrv NYC'!$B$6:$B$100,H$11)*K4</f>
        <v>39.974000000000004</v>
      </c>
      <c r="I177" s="239">
        <f>SUMIFS('Agg prdcrv NYC'!$N$6:$N$100,'Agg prdcrv NYC'!$A$6:$A$100,'Imp Refined NYC'!$A177,'Agg prdcrv NYC'!$B$6:$B$100,I$11)*K4</f>
        <v>30.513999999999999</v>
      </c>
      <c r="J177" s="239">
        <f t="array" ref="J177">SUMIFS('Agg prdcrv NYC'!$N$6:$N$100,'Agg prdcrv NYC'!$A$6:$A$100,'Imp Refined NYC'!$A177,'Agg prdcrv NYC'!$B$6:$B$100,J$11)</f>
        <v>21.68</v>
      </c>
      <c r="K177" s="239">
        <f t="array" ref="K177">SUMIFS('Agg prdcrv NYC'!$N$6:$N$100,'Agg prdcrv NYC'!$A$6:$A$100,'Imp Refined NYC'!$A177,'Agg prdcrv NYC'!$B$6:$B$100,K$11)</f>
        <v>24.91</v>
      </c>
      <c r="L177" s="240">
        <f>H177*Conv!$J$20/10^6/VLOOKUP($B177,Types!$B$2:$D$13,3,FALSE)/Conv!$I$5</f>
        <v>10.215906460103017</v>
      </c>
      <c r="M177" s="240">
        <f>I177*Conv!$J$20/10^6/VLOOKUP($B177,Types!$B$2:$D$13,3,FALSE)/Conv!$I$5</f>
        <v>7.7982731206179858</v>
      </c>
      <c r="N177" s="240">
        <f>M177*'Imported Price Trends'!$K$19</f>
        <v>8.3967660793456069</v>
      </c>
      <c r="O177" s="240">
        <f>N177*'Imported Price Trends'!$L$19</f>
        <v>8.3169290276757035</v>
      </c>
      <c r="P177" s="240">
        <f>O177*'Imported Price Trends'!$M$19</f>
        <v>8.9745505722163408</v>
      </c>
      <c r="Q177" s="240">
        <f>P177*'Imported Price Trends'!$N$19</f>
        <v>9.4900700750373677</v>
      </c>
      <c r="R177" s="240">
        <f>Q177*'Imported Price Trends'!$O$19</f>
        <v>10.195979847127299</v>
      </c>
      <c r="S177" s="240">
        <f>R177*'Imported Price Trends'!$O$19</f>
        <v>10.954398041430341</v>
      </c>
      <c r="T177" s="240">
        <f>S177*'Imported Price Trends'!$O$19</f>
        <v>11.769230446635531</v>
      </c>
      <c r="U177" s="240">
        <f>T177*'Imported Price Trends'!$O$19</f>
        <v>12.644673379782224</v>
      </c>
      <c r="V177" s="240">
        <f>U177*'Imported Price Trends'!$O$19</f>
        <v>13.585235296933142</v>
      </c>
      <c r="W177" s="219"/>
      <c r="X177" s="195">
        <f t="array" ref="X177">SUMIFS('Agg prdcrv NYC'!$F$6:$F$100,'Agg prdcrv NYC'!$A$6:$A$100,'Imp Refined NYC'!$A177,'Agg prdcrv NYC'!$B$6:$B$100,X$11)</f>
        <v>999999</v>
      </c>
      <c r="Y177" s="195">
        <f t="array" ref="Y177">SUMIFS('Agg prdcrv NYC'!$F$6:$F$100,'Agg prdcrv NYC'!$A$6:$A$100,'Imp Refined NYC'!$A177,'Agg prdcrv NYC'!$B$6:$B$100,Y$11)</f>
        <v>999999</v>
      </c>
      <c r="Z177" s="195">
        <f t="array" ref="Z177">SUMIFS('Agg prdcrv NYC'!$F$6:$F$100,'Agg prdcrv NYC'!$A$6:$A$100,'Imp Refined NYC'!$A177,'Agg prdcrv NYC'!$B$6:$B$100,Z$11)</f>
        <v>999999</v>
      </c>
      <c r="AA177" s="195">
        <f t="array" ref="AA177">SUMIFS('Agg prdcrv NYC'!$F$6:$F$100,'Agg prdcrv NYC'!$A$6:$A$100,'Imp Refined NYC'!$A177,'Agg prdcrv NYC'!$B$6:$B$100,AA$11)</f>
        <v>999999</v>
      </c>
      <c r="AB177" s="219">
        <f>X177*VLOOKUP($B177,Types!$B$2:$D$13,3,FALSE)*Conv!$I$5*1000*365</f>
        <v>2191575.9574618507</v>
      </c>
      <c r="AC177" s="219">
        <f>Y177*VLOOKUP($B177,Types!$B$2:$D$13,3,FALSE)*Conv!$I$5*1000*365</f>
        <v>2191575.9574618507</v>
      </c>
      <c r="AD177" s="219">
        <f>Z177*VLOOKUP($B177,Types!$B$2:$D$13,3,FALSE)*Conv!$I$5*1000*365</f>
        <v>2191575.9574618507</v>
      </c>
      <c r="AE177" s="219">
        <f>AA177*VLOOKUP($B177,Types!$B$2:$D$13,3,FALSE)*Conv!$I$5*1000*365</f>
        <v>2191575.9574618507</v>
      </c>
      <c r="AF177" s="219">
        <f>AB177-AB179</f>
        <v>219157.59574618516</v>
      </c>
      <c r="AG177" s="219">
        <f t="shared" ref="AG177:AI177" si="441">AC177-AC179</f>
        <v>219157.59574618516</v>
      </c>
      <c r="AH177" s="219">
        <f t="shared" si="441"/>
        <v>219157.59574618516</v>
      </c>
      <c r="AI177" s="219">
        <f t="shared" si="441"/>
        <v>219157.59574618516</v>
      </c>
      <c r="AJ177" s="219"/>
      <c r="AK177" s="219"/>
      <c r="AL177" s="219"/>
    </row>
    <row r="178" spans="1:38">
      <c r="A178" s="195" t="str">
        <f>A177</f>
        <v>Petchem. Feedstocks</v>
      </c>
      <c r="B178" s="195" t="str">
        <f>VLOOKUP($A178,Types!$A$2:$C$13,2,FALSE)</f>
        <v>PFS</v>
      </c>
      <c r="C178" s="195">
        <v>1</v>
      </c>
      <c r="D178" s="195">
        <v>3</v>
      </c>
      <c r="E178" s="195" t="str">
        <f t="shared" si="328"/>
        <v>IMPPFSP31</v>
      </c>
      <c r="F178" s="195" t="str">
        <f>CONCATENATE("Imported ",VLOOKUP($A178,Types!$A$2:$C$13,3,FALSE),", PADD ",D178,", Step ",RIGHT(C178,1))</f>
        <v>Imported Petrochemical Feedstocks, PADD 3, Step 1</v>
      </c>
      <c r="G178" s="195" t="str">
        <f>CONCATENATE(VLOOKUP($A178,Types!$A$2:$C$13,2,FALSE),"P",D178)</f>
        <v>PFSP3</v>
      </c>
      <c r="H178" s="239">
        <f>H177*$C$5</f>
        <v>37.975300000000004</v>
      </c>
      <c r="I178" s="239">
        <f t="shared" ref="I178:K178" si="442">I177*$C$5</f>
        <v>28.988299999999999</v>
      </c>
      <c r="J178" s="239">
        <f t="shared" si="442"/>
        <v>20.596</v>
      </c>
      <c r="K178" s="239">
        <f t="shared" si="442"/>
        <v>23.6645</v>
      </c>
      <c r="L178" s="240">
        <f>H178*Conv!$J$20/10^6/VLOOKUP($B178,Types!$B$2:$D$13,3,FALSE)/Conv!$I$5</f>
        <v>9.7051111370978624</v>
      </c>
      <c r="M178" s="240">
        <f>I178*Conv!$J$20/10^6/VLOOKUP($B178,Types!$B$2:$D$13,3,FALSE)/Conv!$I$5</f>
        <v>7.4083594645870861</v>
      </c>
      <c r="N178" s="240">
        <f>M178*'Imported Price Trends'!$K$19</f>
        <v>7.976927775378325</v>
      </c>
      <c r="O178" s="240">
        <f>N178*'Imported Price Trends'!$L$19</f>
        <v>7.901082576291917</v>
      </c>
      <c r="P178" s="240">
        <f>O178*'Imported Price Trends'!$M$19</f>
        <v>8.5258230436055236</v>
      </c>
      <c r="Q178" s="240">
        <f>P178*'Imported Price Trends'!$N$19</f>
        <v>9.0155665712854987</v>
      </c>
      <c r="R178" s="240">
        <f>Q178*'Imported Price Trends'!$O$19</f>
        <v>9.6861808547709334</v>
      </c>
      <c r="S178" s="240">
        <f>R178*'Imported Price Trends'!$O$19</f>
        <v>10.406678139358823</v>
      </c>
      <c r="T178" s="240">
        <f>S178*'Imported Price Trends'!$O$19</f>
        <v>11.180768924303752</v>
      </c>
      <c r="U178" s="240">
        <f>T178*'Imported Price Trends'!$O$19</f>
        <v>12.012439710793112</v>
      </c>
      <c r="V178" s="240">
        <f>U178*'Imported Price Trends'!$O$19</f>
        <v>12.905973532086485</v>
      </c>
      <c r="W178" s="219"/>
      <c r="X178" s="195">
        <f>X177*$E$5</f>
        <v>799999.20000000007</v>
      </c>
      <c r="Y178" s="195">
        <f t="shared" ref="Y178:AA178" si="443">Y177*$E$5</f>
        <v>799999.20000000007</v>
      </c>
      <c r="Z178" s="195">
        <f t="shared" si="443"/>
        <v>799999.20000000007</v>
      </c>
      <c r="AA178" s="195">
        <f t="shared" si="443"/>
        <v>799999.20000000007</v>
      </c>
      <c r="AB178" s="219">
        <f>X178*VLOOKUP($B178,Types!$B$2:$D$13,3,FALSE)*Conv!$I$5*1000*365</f>
        <v>1753260.7659694806</v>
      </c>
      <c r="AC178" s="219">
        <f>Y178*VLOOKUP($B178,Types!$B$2:$D$13,3,FALSE)*Conv!$I$5*1000*365</f>
        <v>1753260.7659694806</v>
      </c>
      <c r="AD178" s="219">
        <f>Z178*VLOOKUP($B178,Types!$B$2:$D$13,3,FALSE)*Conv!$I$5*1000*365</f>
        <v>1753260.7659694806</v>
      </c>
      <c r="AE178" s="219">
        <f>AA178*VLOOKUP($B178,Types!$B$2:$D$13,3,FALSE)*Conv!$I$5*1000*365</f>
        <v>1753260.7659694806</v>
      </c>
      <c r="AF178" s="219">
        <f>AB178</f>
        <v>1753260.7659694806</v>
      </c>
      <c r="AG178" s="219">
        <f t="shared" ref="AG178:AI178" si="444">AC178</f>
        <v>1753260.7659694806</v>
      </c>
      <c r="AH178" s="219">
        <f t="shared" si="444"/>
        <v>1753260.7659694806</v>
      </c>
      <c r="AI178" s="219">
        <f t="shared" si="444"/>
        <v>1753260.7659694806</v>
      </c>
      <c r="AJ178" s="219"/>
      <c r="AK178" s="219"/>
      <c r="AL178" s="219"/>
    </row>
    <row r="179" spans="1:38">
      <c r="A179" s="195" t="str">
        <f t="shared" ref="A179:A180" si="445">A178</f>
        <v>Petchem. Feedstocks</v>
      </c>
      <c r="B179" s="195" t="str">
        <f>VLOOKUP($A179,Types!$A$2:$C$13,2,FALSE)</f>
        <v>PFS</v>
      </c>
      <c r="C179" s="195">
        <v>2</v>
      </c>
      <c r="D179" s="195">
        <v>3</v>
      </c>
      <c r="E179" s="195" t="str">
        <f t="shared" si="328"/>
        <v>IMPPFSP32</v>
      </c>
      <c r="F179" s="195" t="str">
        <f>CONCATENATE("Imported ",VLOOKUP($A179,Types!$A$2:$C$13,3,FALSE),", PADD ",D179,", Step ",RIGHT(C179,1))</f>
        <v>Imported Petrochemical Feedstocks, PADD 3, Step 2</v>
      </c>
      <c r="G179" s="195" t="str">
        <f>CONCATENATE(VLOOKUP($A179,Types!$A$2:$C$13,2,FALSE),"P",D179)</f>
        <v>PFSP3</v>
      </c>
      <c r="H179" s="239">
        <f>H177*$C$6</f>
        <v>39.174520000000001</v>
      </c>
      <c r="I179" s="239">
        <f t="shared" ref="I179:K179" si="446">I177*$C$6</f>
        <v>29.90372</v>
      </c>
      <c r="J179" s="239">
        <f t="shared" si="446"/>
        <v>21.246399999999998</v>
      </c>
      <c r="K179" s="239">
        <f t="shared" si="446"/>
        <v>24.411799999999999</v>
      </c>
      <c r="L179" s="240">
        <f>H179*Conv!$J$20/10^6/VLOOKUP($B179,Types!$B$2:$D$13,3,FALSE)/Conv!$I$5</f>
        <v>10.011588330900956</v>
      </c>
      <c r="M179" s="240">
        <f>I179*Conv!$J$20/10^6/VLOOKUP($B179,Types!$B$2:$D$13,3,FALSE)/Conv!$I$5</f>
        <v>7.6423076582056266</v>
      </c>
      <c r="N179" s="240">
        <f>M179*'Imported Price Trends'!$K$19</f>
        <v>8.2288307577586952</v>
      </c>
      <c r="O179" s="240">
        <f>N179*'Imported Price Trends'!$L$19</f>
        <v>8.1505904471221893</v>
      </c>
      <c r="P179" s="240">
        <f>O179*'Imported Price Trends'!$M$19</f>
        <v>8.7950595607720139</v>
      </c>
      <c r="Q179" s="240">
        <f>P179*'Imported Price Trends'!$N$19</f>
        <v>9.3002686735366211</v>
      </c>
      <c r="R179" s="240">
        <f>Q179*'Imported Price Trends'!$O$19</f>
        <v>9.9920602501847551</v>
      </c>
      <c r="S179" s="240">
        <f>R179*'Imported Price Trends'!$O$19</f>
        <v>10.735310080601737</v>
      </c>
      <c r="T179" s="240">
        <f>S179*'Imported Price Trends'!$O$19</f>
        <v>11.533845837702822</v>
      </c>
      <c r="U179" s="240">
        <f>T179*'Imported Price Trends'!$O$19</f>
        <v>12.391779912186582</v>
      </c>
      <c r="V179" s="240">
        <f>U179*'Imported Price Trends'!$O$19</f>
        <v>13.313530590994482</v>
      </c>
      <c r="W179" s="219"/>
      <c r="X179" s="195">
        <f>X177*$E$6</f>
        <v>899999.1</v>
      </c>
      <c r="Y179" s="195">
        <f t="shared" ref="Y179:AA179" si="447">Y177*$E$6</f>
        <v>899999.1</v>
      </c>
      <c r="Z179" s="195">
        <f t="shared" si="447"/>
        <v>899999.1</v>
      </c>
      <c r="AA179" s="195">
        <f t="shared" si="447"/>
        <v>899999.1</v>
      </c>
      <c r="AB179" s="219">
        <f>X179*VLOOKUP($B179,Types!$B$2:$D$13,3,FALSE)*Conv!$I$5*1000*365</f>
        <v>1972418.3617156656</v>
      </c>
      <c r="AC179" s="219">
        <f>Y179*VLOOKUP($B179,Types!$B$2:$D$13,3,FALSE)*Conv!$I$5*1000*365</f>
        <v>1972418.3617156656</v>
      </c>
      <c r="AD179" s="219">
        <f>Z179*VLOOKUP($B179,Types!$B$2:$D$13,3,FALSE)*Conv!$I$5*1000*365</f>
        <v>1972418.3617156656</v>
      </c>
      <c r="AE179" s="219">
        <f>AA179*VLOOKUP($B179,Types!$B$2:$D$13,3,FALSE)*Conv!$I$5*1000*365</f>
        <v>1972418.3617156656</v>
      </c>
      <c r="AF179" s="219">
        <f>AB179-AF178</f>
        <v>219157.59574618493</v>
      </c>
      <c r="AG179" s="219">
        <f t="shared" ref="AG179:AI179" si="448">AC179-AG178</f>
        <v>219157.59574618493</v>
      </c>
      <c r="AH179" s="219">
        <f t="shared" si="448"/>
        <v>219157.59574618493</v>
      </c>
      <c r="AI179" s="219">
        <f t="shared" si="448"/>
        <v>219157.59574618493</v>
      </c>
      <c r="AJ179" s="219"/>
      <c r="AK179" s="219"/>
      <c r="AL179" s="219"/>
    </row>
    <row r="180" spans="1:38">
      <c r="A180" s="195" t="str">
        <f t="shared" si="445"/>
        <v>Petchem. Feedstocks</v>
      </c>
      <c r="B180" s="195" t="str">
        <f>VLOOKUP($A180,Types!$A$2:$C$13,2,FALSE)</f>
        <v>PFS</v>
      </c>
      <c r="C180" s="195">
        <v>4</v>
      </c>
      <c r="D180" s="195">
        <v>3</v>
      </c>
      <c r="E180" s="195" t="str">
        <f t="shared" si="328"/>
        <v>IMPPFSP34</v>
      </c>
      <c r="F180" s="195" t="str">
        <f>CONCATENATE("Imported ",VLOOKUP($A180,Types!$A$2:$C$13,3,FALSE),", PADD ",D180,", Step ",RIGHT(C180,1))</f>
        <v>Imported Petrochemical Feedstocks, PADD 3, Step 4</v>
      </c>
      <c r="G180" s="195" t="str">
        <f>CONCATENATE(VLOOKUP($A180,Types!$A$2:$C$13,2,FALSE),"P",D180)</f>
        <v>PFSP3</v>
      </c>
      <c r="H180" s="239">
        <f>H177*$C$8</f>
        <v>43.571660000000008</v>
      </c>
      <c r="I180" s="239">
        <f t="shared" ref="I180:K180" si="449">I177*$C$8</f>
        <v>33.260260000000002</v>
      </c>
      <c r="J180" s="239">
        <f t="shared" si="449"/>
        <v>23.6312</v>
      </c>
      <c r="K180" s="239">
        <f t="shared" si="449"/>
        <v>27.151900000000001</v>
      </c>
      <c r="L180" s="240">
        <f>H180*Conv!$J$20/10^6/VLOOKUP($B180,Types!$B$2:$D$13,3,FALSE)/Conv!$I$5</f>
        <v>11.13533804151229</v>
      </c>
      <c r="M180" s="240">
        <f>I180*Conv!$J$20/10^6/VLOOKUP($B180,Types!$B$2:$D$13,3,FALSE)/Conv!$I$5</f>
        <v>8.5001177014736058</v>
      </c>
      <c r="N180" s="240">
        <f>M180*'Imported Price Trends'!$K$19</f>
        <v>9.1524750264867123</v>
      </c>
      <c r="O180" s="240">
        <f>N180*'Imported Price Trends'!$L$19</f>
        <v>9.0654526401665176</v>
      </c>
      <c r="P180" s="240">
        <f>O180*'Imported Price Trends'!$M$19</f>
        <v>9.7822601237158135</v>
      </c>
      <c r="Q180" s="240">
        <f>P180*'Imported Price Trends'!$N$19</f>
        <v>10.344176381790733</v>
      </c>
      <c r="R180" s="240">
        <f>Q180*'Imported Price Trends'!$O$19</f>
        <v>11.113618033368759</v>
      </c>
      <c r="S180" s="240">
        <f>R180*'Imported Price Trends'!$O$19</f>
        <v>11.940293865159076</v>
      </c>
      <c r="T180" s="240">
        <f>S180*'Imported Price Trends'!$O$19</f>
        <v>12.828461186832733</v>
      </c>
      <c r="U180" s="240">
        <f>T180*'Imported Price Trends'!$O$19</f>
        <v>13.782693983962631</v>
      </c>
      <c r="V180" s="240">
        <f>U180*'Imported Price Trends'!$O$19</f>
        <v>14.807906473657132</v>
      </c>
      <c r="W180" s="219"/>
      <c r="X180" s="195">
        <f>X177*$E$8</f>
        <v>1199998.8</v>
      </c>
      <c r="Y180" s="195">
        <f t="shared" ref="Y180:AA180" si="450">Y177*$E$8</f>
        <v>1199998.8</v>
      </c>
      <c r="Z180" s="195">
        <f t="shared" si="450"/>
        <v>1199998.8</v>
      </c>
      <c r="AA180" s="195">
        <f t="shared" si="450"/>
        <v>1199998.8</v>
      </c>
      <c r="AB180" s="219">
        <f>X180*VLOOKUP($B180,Types!$B$2:$D$13,3,FALSE)*Conv!$I$5*1000*365</f>
        <v>2629891.1489542215</v>
      </c>
      <c r="AC180" s="219">
        <f>Y180*VLOOKUP($B180,Types!$B$2:$D$13,3,FALSE)*Conv!$I$5*1000*365</f>
        <v>2629891.1489542215</v>
      </c>
      <c r="AD180" s="219">
        <f>Z180*VLOOKUP($B180,Types!$B$2:$D$13,3,FALSE)*Conv!$I$5*1000*365</f>
        <v>2629891.1489542215</v>
      </c>
      <c r="AE180" s="219">
        <f>AA180*VLOOKUP($B180,Types!$B$2:$D$13,3,FALSE)*Conv!$I$5*1000*365</f>
        <v>2629891.1489542215</v>
      </c>
      <c r="AF180" s="219">
        <f>AB180-AB177</f>
        <v>438315.1914923708</v>
      </c>
      <c r="AG180" s="219">
        <f t="shared" ref="AG180:AI180" si="451">AC180-AC177</f>
        <v>438315.1914923708</v>
      </c>
      <c r="AH180" s="219">
        <f t="shared" si="451"/>
        <v>438315.1914923708</v>
      </c>
      <c r="AI180" s="219">
        <f t="shared" si="451"/>
        <v>438315.1914923708</v>
      </c>
      <c r="AJ180" s="219"/>
      <c r="AK180" s="219"/>
      <c r="AL180" s="219"/>
    </row>
    <row r="181" spans="1:38">
      <c r="A181" s="195" t="str">
        <f>A180</f>
        <v>Petchem. Feedstocks</v>
      </c>
      <c r="B181" s="195" t="str">
        <f>VLOOKUP($A181,Types!$A$2:$C$13,2,FALSE)</f>
        <v>PFS</v>
      </c>
      <c r="C181" s="195">
        <v>5</v>
      </c>
      <c r="D181" s="195">
        <v>3</v>
      </c>
      <c r="E181" s="195" t="str">
        <f>CONCATENATE("IMP",G181,RIGHT(C181,1))</f>
        <v>IMPPFSP35</v>
      </c>
      <c r="F181" s="195" t="str">
        <f>CONCATENATE("Imported ",VLOOKUP($A181,Types!$A$2:$C$13,3,FALSE),", PADD ",D181,", Step ",RIGHT(C181,1))</f>
        <v>Imported Petrochemical Feedstocks, PADD 3, Step 5</v>
      </c>
      <c r="G181" s="195" t="str">
        <f>CONCATENATE(VLOOKUP($A181,Types!$A$2:$C$13,2,FALSE),"P",D181)</f>
        <v>PFSP3</v>
      </c>
      <c r="H181" s="239">
        <f>H177*$C$9</f>
        <v>51.966200000000008</v>
      </c>
      <c r="I181" s="239">
        <f t="shared" ref="I181:K181" si="452">I177*$C$9</f>
        <v>39.668199999999999</v>
      </c>
      <c r="J181" s="239">
        <f t="shared" si="452"/>
        <v>28.184000000000001</v>
      </c>
      <c r="K181" s="239">
        <f t="shared" si="452"/>
        <v>32.383000000000003</v>
      </c>
      <c r="L181" s="240">
        <f>H181*Conv!$J$20/10^6/VLOOKUP($B181,Types!$B$2:$D$13,3,FALSE)/Conv!$I$5</f>
        <v>13.280678398133922</v>
      </c>
      <c r="M181" s="240">
        <f>I181*Conv!$J$20/10^6/VLOOKUP($B181,Types!$B$2:$D$13,3,FALSE)/Conv!$I$5</f>
        <v>10.137755056803382</v>
      </c>
      <c r="N181" s="240">
        <f>M181*'Imported Price Trends'!$K$19</f>
        <v>10.915795903149288</v>
      </c>
      <c r="O181" s="240">
        <f>N181*'Imported Price Trends'!$L$19</f>
        <v>10.812007735978414</v>
      </c>
      <c r="P181" s="240">
        <f>O181*'Imported Price Trends'!$M$19</f>
        <v>11.666915743881242</v>
      </c>
      <c r="Q181" s="240">
        <f>P181*'Imported Price Trends'!$N$19</f>
        <v>12.337091097548578</v>
      </c>
      <c r="R181" s="240">
        <f>Q181*'Imported Price Trends'!$O$19</f>
        <v>13.25477380126549</v>
      </c>
      <c r="S181" s="240">
        <f>R181*'Imported Price Trends'!$O$19</f>
        <v>14.240717453859444</v>
      </c>
      <c r="T181" s="240">
        <f>S181*'Imported Price Trends'!$O$19</f>
        <v>15.29999958062619</v>
      </c>
      <c r="U181" s="240">
        <f>T181*'Imported Price Trends'!$O$19</f>
        <v>16.438075393716893</v>
      </c>
      <c r="V181" s="240">
        <f>U181*'Imported Price Trends'!$O$19</f>
        <v>17.660805886013087</v>
      </c>
      <c r="W181" s="219"/>
      <c r="X181" s="195">
        <f>X177*$E$9</f>
        <v>1999998</v>
      </c>
      <c r="Y181" s="195">
        <f t="shared" ref="Y181:AA181" si="453">Y177*$E$9</f>
        <v>1999998</v>
      </c>
      <c r="Z181" s="195">
        <f t="shared" si="453"/>
        <v>1999998</v>
      </c>
      <c r="AA181" s="195">
        <f t="shared" si="453"/>
        <v>1999998</v>
      </c>
      <c r="AB181" s="219">
        <f>X181*VLOOKUP($B181,Types!$B$2:$D$13,3,FALSE)*Conv!$I$5*1000*365</f>
        <v>4383151.9149237014</v>
      </c>
      <c r="AC181" s="219">
        <f>Y181*VLOOKUP($B181,Types!$B$2:$D$13,3,FALSE)*Conv!$I$5*1000*365</f>
        <v>4383151.9149237014</v>
      </c>
      <c r="AD181" s="219">
        <f>Z181*VLOOKUP($B181,Types!$B$2:$D$13,3,FALSE)*Conv!$I$5*1000*365</f>
        <v>4383151.9149237014</v>
      </c>
      <c r="AE181" s="219">
        <f>AA181*VLOOKUP($B181,Types!$B$2:$D$13,3,FALSE)*Conv!$I$5*1000*365</f>
        <v>4383151.9149237014</v>
      </c>
      <c r="AF181" s="219">
        <f>AB181-AB180</f>
        <v>1753260.7659694799</v>
      </c>
      <c r="AG181" s="219">
        <f t="shared" ref="AG181:AI181" si="454">AC181-AC180</f>
        <v>1753260.7659694799</v>
      </c>
      <c r="AH181" s="219">
        <f t="shared" si="454"/>
        <v>1753260.7659694799</v>
      </c>
      <c r="AI181" s="219">
        <f t="shared" si="454"/>
        <v>1753260.7659694799</v>
      </c>
      <c r="AJ181" s="219"/>
      <c r="AK181" s="219"/>
      <c r="AL181" s="219"/>
    </row>
    <row r="182" spans="1:38">
      <c r="A182" s="195" t="str">
        <f>'Agg prdcrv'!$A$15</f>
        <v>Other Refined Prod.</v>
      </c>
      <c r="B182" s="195" t="str">
        <f>VLOOKUP($A182,Types!$A$2:$C$13,2,FALSE)</f>
        <v>KER</v>
      </c>
      <c r="C182" s="195">
        <v>3</v>
      </c>
      <c r="D182" s="195">
        <v>3</v>
      </c>
      <c r="E182" s="195" t="str">
        <f>CONCATENATE("IMP",G182,RIGHT(C182,1))</f>
        <v>IMPKERP33</v>
      </c>
      <c r="F182" s="195" t="str">
        <f>CONCATENATE("Imported ",VLOOKUP($A182,Types!$A$2:$C$13,3,FALSE),", PADD ",D182,", Step ",RIGHT(C182,1))</f>
        <v>Imported Kerosene and Other Refined Products, PADD 3, Step 3</v>
      </c>
      <c r="G182" s="195" t="str">
        <f>CONCATENATE(VLOOKUP($A182,Types!$A$2:$C$13,2,FALSE),"P",D182)</f>
        <v>KERP3</v>
      </c>
      <c r="H182" s="239">
        <f>SUMIFS('Agg prdcrv NYC'!$N$6:$N$100,'Agg prdcrv NYC'!$A$6:$A$100,'Imp Refined NYC'!$A182,'Agg prdcrv NYC'!$B$6:$B$100,H$11)*K4</f>
        <v>66.649000000000015</v>
      </c>
      <c r="I182" s="239">
        <f>SUMIFS('Agg prdcrv NYC'!$N$6:$N$100,'Agg prdcrv NYC'!$A$6:$A$100,'Imp Refined NYC'!$A182,'Agg prdcrv NYC'!$B$6:$B$100,I$11)*K4</f>
        <v>40.744</v>
      </c>
      <c r="J182" s="239">
        <f t="array" ref="J182">SUMIFS('Agg prdcrv NYC'!$N$6:$N$100,'Agg prdcrv NYC'!$A$6:$A$100,'Imp Refined NYC'!$A182,'Agg prdcrv NYC'!$B$6:$B$100,J$11)</f>
        <v>33.04</v>
      </c>
      <c r="K182" s="239">
        <f t="array" ref="K182">SUMIFS('Agg prdcrv NYC'!$N$6:$N$100,'Agg prdcrv NYC'!$A$6:$A$100,'Imp Refined NYC'!$A182,'Agg prdcrv NYC'!$B$6:$B$100,K$11)</f>
        <v>41.76</v>
      </c>
      <c r="L182" s="240">
        <f>H182*Conv!$J$20/10^6/VLOOKUP($B182,Types!$B$2:$D$13,3,FALSE)/Conv!$I$5</f>
        <v>17.09615568246203</v>
      </c>
      <c r="M182" s="240">
        <f>I182*Conv!$J$20/10^6/VLOOKUP($B182,Types!$B$2:$D$13,3,FALSE)/Conv!$I$5</f>
        <v>10.451256089757276</v>
      </c>
      <c r="N182" s="240">
        <f>M182*'Imported Price Trends'!$K$19</f>
        <v>11.253357155317699</v>
      </c>
      <c r="O182" s="240">
        <f>N182*'Imported Price Trends'!$L$19</f>
        <v>11.146359431648946</v>
      </c>
      <c r="P182" s="240">
        <f>O182*'Imported Price Trends'!$M$19</f>
        <v>12.027704707177238</v>
      </c>
      <c r="Q182" s="240">
        <f>P182*'Imported Price Trends'!$N$19</f>
        <v>12.718604635906578</v>
      </c>
      <c r="R182" s="240">
        <f>Q182*'Imported Price Trends'!$O$19</f>
        <v>13.664665858726307</v>
      </c>
      <c r="S182" s="240">
        <f>R182*'Imported Price Trends'!$O$19</f>
        <v>14.681098939383046</v>
      </c>
      <c r="T182" s="240">
        <f>S182*'Imported Price Trends'!$O$19</f>
        <v>15.773138421113515</v>
      </c>
      <c r="U182" s="240">
        <f>T182*'Imported Price Trends'!$O$19</f>
        <v>16.946408213638978</v>
      </c>
      <c r="V182" s="240">
        <f>U182*'Imported Price Trends'!$O$19</f>
        <v>18.206950555818231</v>
      </c>
      <c r="W182" s="219"/>
      <c r="X182" s="195">
        <f t="array" ref="X182">SUMIFS('Agg prdcrv NYC'!$F$6:$F$100,'Agg prdcrv NYC'!$A$6:$A$100,'Imp Refined NYC'!$A182,'Agg prdcrv NYC'!$B$6:$B$100,X$11)</f>
        <v>999999</v>
      </c>
      <c r="Y182" s="195">
        <f t="array" ref="Y182">SUMIFS('Agg prdcrv NYC'!$F$6:$F$100,'Agg prdcrv NYC'!$A$6:$A$100,'Imp Refined NYC'!$A182,'Agg prdcrv NYC'!$B$6:$B$100,Y$11)</f>
        <v>999999</v>
      </c>
      <c r="Z182" s="195">
        <f t="array" ref="Z182">SUMIFS('Agg prdcrv NYC'!$F$6:$F$100,'Agg prdcrv NYC'!$A$6:$A$100,'Imp Refined NYC'!$A182,'Agg prdcrv NYC'!$B$6:$B$100,Z$11)</f>
        <v>999999</v>
      </c>
      <c r="AA182" s="195">
        <f t="array" ref="AA182">SUMIFS('Agg prdcrv NYC'!$F$6:$F$100,'Agg prdcrv NYC'!$A$6:$A$100,'Imp Refined NYC'!$A182,'Agg prdcrv NYC'!$B$6:$B$100,AA$11)</f>
        <v>999999</v>
      </c>
      <c r="AB182" s="219">
        <f>X182*VLOOKUP($B182,Types!$B$2:$D$13,3,FALSE)*Conv!$I$5*1000*365</f>
        <v>2183488.9613088551</v>
      </c>
      <c r="AC182" s="219">
        <f>Y182*VLOOKUP($B182,Types!$B$2:$D$13,3,FALSE)*Conv!$I$5*1000*365</f>
        <v>2183488.9613088551</v>
      </c>
      <c r="AD182" s="219">
        <f>Z182*VLOOKUP($B182,Types!$B$2:$D$13,3,FALSE)*Conv!$I$5*1000*365</f>
        <v>2183488.9613088551</v>
      </c>
      <c r="AE182" s="219">
        <f>AA182*VLOOKUP($B182,Types!$B$2:$D$13,3,FALSE)*Conv!$I$5*1000*365</f>
        <v>2183488.9613088551</v>
      </c>
      <c r="AF182" s="219">
        <f>AB182-AB184</f>
        <v>218348.8961308857</v>
      </c>
      <c r="AG182" s="219">
        <f t="shared" ref="AG182:AI182" si="455">AC182-AC184</f>
        <v>218348.8961308857</v>
      </c>
      <c r="AH182" s="219">
        <f t="shared" si="455"/>
        <v>218348.8961308857</v>
      </c>
      <c r="AI182" s="219">
        <f t="shared" si="455"/>
        <v>218348.8961308857</v>
      </c>
      <c r="AJ182" s="219"/>
      <c r="AK182" s="219"/>
      <c r="AL182" s="219"/>
    </row>
    <row r="183" spans="1:38">
      <c r="A183" s="195" t="str">
        <f>A182</f>
        <v>Other Refined Prod.</v>
      </c>
      <c r="B183" s="195" t="str">
        <f>VLOOKUP($A183,Types!$A$2:$C$13,2,FALSE)</f>
        <v>KER</v>
      </c>
      <c r="C183" s="195">
        <v>1</v>
      </c>
      <c r="D183" s="195">
        <v>3</v>
      </c>
      <c r="E183" s="195" t="str">
        <f t="shared" ref="E183:E196" si="456">CONCATENATE("IMP",G183,RIGHT(C183,1))</f>
        <v>IMPKERP31</v>
      </c>
      <c r="F183" s="195" t="str">
        <f>CONCATENATE("Imported ",VLOOKUP($A183,Types!$A$2:$C$13,3,FALSE),", PADD ",D183,", Step ",RIGHT(C183,1))</f>
        <v>Imported Kerosene and Other Refined Products, PADD 3, Step 1</v>
      </c>
      <c r="G183" s="195" t="str">
        <f>CONCATENATE(VLOOKUP($A183,Types!$A$2:$C$13,2,FALSE),"P",D183)</f>
        <v>KERP3</v>
      </c>
      <c r="H183" s="239">
        <f>H182*$C$5</f>
        <v>63.316550000000014</v>
      </c>
      <c r="I183" s="239">
        <f t="shared" ref="I183:K183" si="457">I182*$C$5</f>
        <v>38.706800000000001</v>
      </c>
      <c r="J183" s="239">
        <f t="shared" si="457"/>
        <v>31.387999999999998</v>
      </c>
      <c r="K183" s="239">
        <f t="shared" si="457"/>
        <v>39.671999999999997</v>
      </c>
      <c r="L183" s="240">
        <f>H183*Conv!$J$20/10^6/VLOOKUP($B183,Types!$B$2:$D$13,3,FALSE)/Conv!$I$5</f>
        <v>16.24134789833893</v>
      </c>
      <c r="M183" s="240">
        <f>I183*Conv!$J$20/10^6/VLOOKUP($B183,Types!$B$2:$D$13,3,FALSE)/Conv!$I$5</f>
        <v>9.9286932852694125</v>
      </c>
      <c r="N183" s="240">
        <f>M183*'Imported Price Trends'!$K$19</f>
        <v>10.690689297551815</v>
      </c>
      <c r="O183" s="240">
        <f>N183*'Imported Price Trends'!$L$19</f>
        <v>10.5890414600665</v>
      </c>
      <c r="P183" s="240">
        <f>O183*'Imported Price Trends'!$M$19</f>
        <v>11.426319471818378</v>
      </c>
      <c r="Q183" s="240">
        <f>P183*'Imported Price Trends'!$N$19</f>
        <v>12.082674404111252</v>
      </c>
      <c r="R183" s="240">
        <f>Q183*'Imported Price Trends'!$O$19</f>
        <v>12.981432565789994</v>
      </c>
      <c r="S183" s="240">
        <f>R183*'Imported Price Trends'!$O$19</f>
        <v>13.947043992413898</v>
      </c>
      <c r="T183" s="240">
        <f>S183*'Imported Price Trends'!$O$19</f>
        <v>14.984481500057843</v>
      </c>
      <c r="U183" s="240">
        <f>T183*'Imported Price Trends'!$O$19</f>
        <v>16.099087802957033</v>
      </c>
      <c r="V183" s="240">
        <f>U183*'Imported Price Trends'!$O$19</f>
        <v>17.296603028027324</v>
      </c>
      <c r="W183" s="219"/>
      <c r="X183" s="195">
        <f>X182*$E$5</f>
        <v>799999.20000000007</v>
      </c>
      <c r="Y183" s="195">
        <f t="shared" ref="Y183:AA183" si="458">Y182*$E$5</f>
        <v>799999.20000000007</v>
      </c>
      <c r="Z183" s="195">
        <f t="shared" si="458"/>
        <v>799999.20000000007</v>
      </c>
      <c r="AA183" s="195">
        <f t="shared" si="458"/>
        <v>799999.20000000007</v>
      </c>
      <c r="AB183" s="219">
        <f>X183*VLOOKUP($B183,Types!$B$2:$D$13,3,FALSE)*Conv!$I$5*1000*365</f>
        <v>1746791.1690470844</v>
      </c>
      <c r="AC183" s="219">
        <f>Y183*VLOOKUP($B183,Types!$B$2:$D$13,3,FALSE)*Conv!$I$5*1000*365</f>
        <v>1746791.1690470844</v>
      </c>
      <c r="AD183" s="219">
        <f>Z183*VLOOKUP($B183,Types!$B$2:$D$13,3,FALSE)*Conv!$I$5*1000*365</f>
        <v>1746791.1690470844</v>
      </c>
      <c r="AE183" s="219">
        <f>AA183*VLOOKUP($B183,Types!$B$2:$D$13,3,FALSE)*Conv!$I$5*1000*365</f>
        <v>1746791.1690470844</v>
      </c>
      <c r="AF183" s="219">
        <f>AB183</f>
        <v>1746791.1690470844</v>
      </c>
      <c r="AG183" s="219">
        <f t="shared" ref="AG183:AI183" si="459">AC183</f>
        <v>1746791.1690470844</v>
      </c>
      <c r="AH183" s="219">
        <f t="shared" si="459"/>
        <v>1746791.1690470844</v>
      </c>
      <c r="AI183" s="219">
        <f t="shared" si="459"/>
        <v>1746791.1690470844</v>
      </c>
      <c r="AJ183" s="219"/>
      <c r="AK183" s="219"/>
      <c r="AL183" s="219"/>
    </row>
    <row r="184" spans="1:38">
      <c r="A184" s="195" t="str">
        <f t="shared" ref="A184:A186" si="460">A183</f>
        <v>Other Refined Prod.</v>
      </c>
      <c r="B184" s="195" t="str">
        <f>VLOOKUP($A184,Types!$A$2:$C$13,2,FALSE)</f>
        <v>KER</v>
      </c>
      <c r="C184" s="195">
        <v>2</v>
      </c>
      <c r="D184" s="195">
        <v>3</v>
      </c>
      <c r="E184" s="195" t="str">
        <f t="shared" si="456"/>
        <v>IMPKERP32</v>
      </c>
      <c r="F184" s="195" t="str">
        <f>CONCATENATE("Imported ",VLOOKUP($A184,Types!$A$2:$C$13,3,FALSE),", PADD ",D184,", Step ",RIGHT(C184,1))</f>
        <v>Imported Kerosene and Other Refined Products, PADD 3, Step 2</v>
      </c>
      <c r="G184" s="195" t="str">
        <f>CONCATENATE(VLOOKUP($A184,Types!$A$2:$C$13,2,FALSE),"P",D184)</f>
        <v>KERP3</v>
      </c>
      <c r="H184" s="239">
        <f>H182*$C$6</f>
        <v>65.316020000000009</v>
      </c>
      <c r="I184" s="239">
        <f t="shared" ref="I184:K184" si="461">I182*$C$6</f>
        <v>39.929119999999998</v>
      </c>
      <c r="J184" s="239">
        <f t="shared" si="461"/>
        <v>32.379199999999997</v>
      </c>
      <c r="K184" s="239">
        <f t="shared" si="461"/>
        <v>40.924799999999998</v>
      </c>
      <c r="L184" s="240">
        <f>H184*Conv!$J$20/10^6/VLOOKUP($B184,Types!$B$2:$D$13,3,FALSE)/Conv!$I$5</f>
        <v>16.754232568812785</v>
      </c>
      <c r="M184" s="240">
        <f>I184*Conv!$J$20/10^6/VLOOKUP($B184,Types!$B$2:$D$13,3,FALSE)/Conv!$I$5</f>
        <v>10.242230967962131</v>
      </c>
      <c r="N184" s="240">
        <f>M184*'Imported Price Trends'!$K$19</f>
        <v>11.028290012211345</v>
      </c>
      <c r="O184" s="240">
        <f>N184*'Imported Price Trends'!$L$19</f>
        <v>10.923432243015966</v>
      </c>
      <c r="P184" s="240">
        <f>O184*'Imported Price Trends'!$M$19</f>
        <v>11.787150613033692</v>
      </c>
      <c r="Q184" s="240">
        <f>P184*'Imported Price Trends'!$N$19</f>
        <v>12.464232543188446</v>
      </c>
      <c r="R184" s="240">
        <f>Q184*'Imported Price Trends'!$O$19</f>
        <v>13.39137254155178</v>
      </c>
      <c r="S184" s="240">
        <f>R184*'Imported Price Trends'!$O$19</f>
        <v>14.387476960595384</v>
      </c>
      <c r="T184" s="240">
        <f>S184*'Imported Price Trends'!$O$19</f>
        <v>15.457675652691243</v>
      </c>
      <c r="U184" s="240">
        <f>T184*'Imported Price Trends'!$O$19</f>
        <v>16.607480049366195</v>
      </c>
      <c r="V184" s="240">
        <f>U184*'Imported Price Trends'!$O$19</f>
        <v>17.842811544701863</v>
      </c>
      <c r="W184" s="219"/>
      <c r="X184" s="195">
        <f>X182*$E$6</f>
        <v>899999.1</v>
      </c>
      <c r="Y184" s="195">
        <f t="shared" ref="Y184:AA184" si="462">Y182*$E$6</f>
        <v>899999.1</v>
      </c>
      <c r="Z184" s="195">
        <f t="shared" si="462"/>
        <v>899999.1</v>
      </c>
      <c r="AA184" s="195">
        <f t="shared" si="462"/>
        <v>899999.1</v>
      </c>
      <c r="AB184" s="219">
        <f>X184*VLOOKUP($B184,Types!$B$2:$D$13,3,FALSE)*Conv!$I$5*1000*365</f>
        <v>1965140.0651779694</v>
      </c>
      <c r="AC184" s="219">
        <f>Y184*VLOOKUP($B184,Types!$B$2:$D$13,3,FALSE)*Conv!$I$5*1000*365</f>
        <v>1965140.0651779694</v>
      </c>
      <c r="AD184" s="219">
        <f>Z184*VLOOKUP($B184,Types!$B$2:$D$13,3,FALSE)*Conv!$I$5*1000*365</f>
        <v>1965140.0651779694</v>
      </c>
      <c r="AE184" s="219">
        <f>AA184*VLOOKUP($B184,Types!$B$2:$D$13,3,FALSE)*Conv!$I$5*1000*365</f>
        <v>1965140.0651779694</v>
      </c>
      <c r="AF184" s="219">
        <f>AB184-AF183</f>
        <v>218348.896130885</v>
      </c>
      <c r="AG184" s="219">
        <f t="shared" ref="AG184:AI184" si="463">AC184-AG183</f>
        <v>218348.896130885</v>
      </c>
      <c r="AH184" s="219">
        <f t="shared" si="463"/>
        <v>218348.896130885</v>
      </c>
      <c r="AI184" s="219">
        <f t="shared" si="463"/>
        <v>218348.896130885</v>
      </c>
      <c r="AJ184" s="219"/>
      <c r="AK184" s="219"/>
      <c r="AL184" s="219"/>
    </row>
    <row r="185" spans="1:38">
      <c r="A185" s="195" t="str">
        <f t="shared" si="460"/>
        <v>Other Refined Prod.</v>
      </c>
      <c r="B185" s="195" t="str">
        <f>VLOOKUP($A185,Types!$A$2:$C$13,2,FALSE)</f>
        <v>KER</v>
      </c>
      <c r="C185" s="195">
        <v>4</v>
      </c>
      <c r="D185" s="195">
        <v>3</v>
      </c>
      <c r="E185" s="195" t="str">
        <f t="shared" si="456"/>
        <v>IMPKERP34</v>
      </c>
      <c r="F185" s="195" t="str">
        <f>CONCATENATE("Imported ",VLOOKUP($A185,Types!$A$2:$C$13,3,FALSE),", PADD ",D185,", Step ",RIGHT(C185,1))</f>
        <v>Imported Kerosene and Other Refined Products, PADD 3, Step 4</v>
      </c>
      <c r="G185" s="195" t="str">
        <f>CONCATENATE(VLOOKUP($A185,Types!$A$2:$C$13,2,FALSE),"P",D185)</f>
        <v>KERP3</v>
      </c>
      <c r="H185" s="239">
        <f>H182*$C$8</f>
        <v>72.647410000000022</v>
      </c>
      <c r="I185" s="239">
        <f t="shared" ref="I185:K185" si="464">I182*$C$8</f>
        <v>44.410960000000003</v>
      </c>
      <c r="J185" s="239">
        <f t="shared" si="464"/>
        <v>36.013600000000004</v>
      </c>
      <c r="K185" s="239">
        <f t="shared" si="464"/>
        <v>45.5184</v>
      </c>
      <c r="L185" s="240">
        <f>H185*Conv!$J$20/10^6/VLOOKUP($B185,Types!$B$2:$D$13,3,FALSE)/Conv!$I$5</f>
        <v>18.634809693883611</v>
      </c>
      <c r="M185" s="240">
        <f>I185*Conv!$J$20/10^6/VLOOKUP($B185,Types!$B$2:$D$13,3,FALSE)/Conv!$I$5</f>
        <v>11.391869137835432</v>
      </c>
      <c r="N185" s="240">
        <f>M185*'Imported Price Trends'!$K$19</f>
        <v>12.266159299296293</v>
      </c>
      <c r="O185" s="240">
        <f>N185*'Imported Price Trends'!$L$19</f>
        <v>12.149531780497352</v>
      </c>
      <c r="P185" s="240">
        <f>O185*'Imported Price Trends'!$M$19</f>
        <v>13.110198130823189</v>
      </c>
      <c r="Q185" s="240">
        <f>P185*'Imported Price Trends'!$N$19</f>
        <v>13.863279053138172</v>
      </c>
      <c r="R185" s="240">
        <f>Q185*'Imported Price Trends'!$O$19</f>
        <v>14.894485786011677</v>
      </c>
      <c r="S185" s="240">
        <f>R185*'Imported Price Trends'!$O$19</f>
        <v>16.002397843927522</v>
      </c>
      <c r="T185" s="240">
        <f>S185*'Imported Price Trends'!$O$19</f>
        <v>17.192720879013731</v>
      </c>
      <c r="U185" s="240">
        <f>T185*'Imported Price Trends'!$O$19</f>
        <v>18.471584952866486</v>
      </c>
      <c r="V185" s="240">
        <f>U185*'Imported Price Trends'!$O$19</f>
        <v>19.845576105841872</v>
      </c>
      <c r="W185" s="219"/>
      <c r="X185" s="195">
        <f>X182*$E$8</f>
        <v>1199998.8</v>
      </c>
      <c r="Y185" s="195">
        <f t="shared" ref="Y185:AA185" si="465">Y182*$E$8</f>
        <v>1199998.8</v>
      </c>
      <c r="Z185" s="195">
        <f t="shared" si="465"/>
        <v>1199998.8</v>
      </c>
      <c r="AA185" s="195">
        <f t="shared" si="465"/>
        <v>1199998.8</v>
      </c>
      <c r="AB185" s="219">
        <f>X185*VLOOKUP($B185,Types!$B$2:$D$13,3,FALSE)*Conv!$I$5*1000*365</f>
        <v>2620186.753570626</v>
      </c>
      <c r="AC185" s="219">
        <f>Y185*VLOOKUP($B185,Types!$B$2:$D$13,3,FALSE)*Conv!$I$5*1000*365</f>
        <v>2620186.753570626</v>
      </c>
      <c r="AD185" s="219">
        <f>Z185*VLOOKUP($B185,Types!$B$2:$D$13,3,FALSE)*Conv!$I$5*1000*365</f>
        <v>2620186.753570626</v>
      </c>
      <c r="AE185" s="219">
        <f>AA185*VLOOKUP($B185,Types!$B$2:$D$13,3,FALSE)*Conv!$I$5*1000*365</f>
        <v>2620186.753570626</v>
      </c>
      <c r="AF185" s="219">
        <f>AB185-AB182</f>
        <v>436697.79226177093</v>
      </c>
      <c r="AG185" s="219">
        <f t="shared" ref="AG185:AI185" si="466">AC185-AC182</f>
        <v>436697.79226177093</v>
      </c>
      <c r="AH185" s="219">
        <f t="shared" si="466"/>
        <v>436697.79226177093</v>
      </c>
      <c r="AI185" s="219">
        <f t="shared" si="466"/>
        <v>436697.79226177093</v>
      </c>
      <c r="AJ185" s="219"/>
      <c r="AK185" s="219"/>
      <c r="AL185" s="219"/>
    </row>
    <row r="186" spans="1:38">
      <c r="A186" s="195" t="str">
        <f t="shared" si="460"/>
        <v>Other Refined Prod.</v>
      </c>
      <c r="B186" s="195" t="str">
        <f>VLOOKUP($A186,Types!$A$2:$C$13,2,FALSE)</f>
        <v>KER</v>
      </c>
      <c r="C186" s="195">
        <v>5</v>
      </c>
      <c r="D186" s="195">
        <v>3</v>
      </c>
      <c r="E186" s="195" t="str">
        <f t="shared" si="456"/>
        <v>IMPKERP35</v>
      </c>
      <c r="F186" s="195" t="str">
        <f>CONCATENATE("Imported ",VLOOKUP($A186,Types!$A$2:$C$13,3,FALSE),", PADD ",D186,", Step ",RIGHT(C186,1))</f>
        <v>Imported Kerosene and Other Refined Products, PADD 3, Step 5</v>
      </c>
      <c r="G186" s="195" t="str">
        <f>CONCATENATE(VLOOKUP($A186,Types!$A$2:$C$13,2,FALSE),"P",D186)</f>
        <v>KERP3</v>
      </c>
      <c r="H186" s="239">
        <f>H182*$C$9</f>
        <v>86.643700000000024</v>
      </c>
      <c r="I186" s="239">
        <f t="shared" ref="I186:K186" si="467">I182*$C$9</f>
        <v>52.967199999999998</v>
      </c>
      <c r="J186" s="239">
        <f t="shared" si="467"/>
        <v>42.951999999999998</v>
      </c>
      <c r="K186" s="239">
        <f t="shared" si="467"/>
        <v>54.287999999999997</v>
      </c>
      <c r="L186" s="240">
        <f>H186*Conv!$J$20/10^6/VLOOKUP($B186,Types!$B$2:$D$13,3,FALSE)/Conv!$I$5</f>
        <v>22.225002387200636</v>
      </c>
      <c r="M186" s="240">
        <f>I186*Conv!$J$20/10^6/VLOOKUP($B186,Types!$B$2:$D$13,3,FALSE)/Conv!$I$5</f>
        <v>13.586632916684458</v>
      </c>
      <c r="N186" s="240">
        <f>M186*'Imported Price Trends'!$K$19</f>
        <v>14.629364301913007</v>
      </c>
      <c r="O186" s="240">
        <f>N186*'Imported Price Trends'!$L$19</f>
        <v>14.490267261143629</v>
      </c>
      <c r="P186" s="240">
        <f>O186*'Imported Price Trends'!$M$19</f>
        <v>15.636016119330408</v>
      </c>
      <c r="Q186" s="240">
        <f>P186*'Imported Price Trends'!$N$19</f>
        <v>16.534186026678551</v>
      </c>
      <c r="R186" s="240">
        <f>Q186*'Imported Price Trends'!$O$19</f>
        <v>17.764065616344197</v>
      </c>
      <c r="S186" s="240">
        <f>R186*'Imported Price Trends'!$O$19</f>
        <v>19.085428621197959</v>
      </c>
      <c r="T186" s="240">
        <f>S186*'Imported Price Trends'!$O$19</f>
        <v>20.505079947447566</v>
      </c>
      <c r="U186" s="240">
        <f>T186*'Imported Price Trends'!$O$19</f>
        <v>22.030330677730667</v>
      </c>
      <c r="V186" s="240">
        <f>U186*'Imported Price Trends'!$O$19</f>
        <v>23.669035722563695</v>
      </c>
      <c r="W186" s="219"/>
      <c r="X186" s="195">
        <f>X182*$E$9</f>
        <v>1999998</v>
      </c>
      <c r="Y186" s="195">
        <f t="shared" ref="Y186:AA186" si="468">Y182*$E$9</f>
        <v>1999998</v>
      </c>
      <c r="Z186" s="195">
        <f t="shared" si="468"/>
        <v>1999998</v>
      </c>
      <c r="AA186" s="195">
        <f t="shared" si="468"/>
        <v>1999998</v>
      </c>
      <c r="AB186" s="219">
        <f>X186*VLOOKUP($B186,Types!$B$2:$D$13,3,FALSE)*Conv!$I$5*1000*365</f>
        <v>4366977.9226177102</v>
      </c>
      <c r="AC186" s="219">
        <f>Y186*VLOOKUP($B186,Types!$B$2:$D$13,3,FALSE)*Conv!$I$5*1000*365</f>
        <v>4366977.9226177102</v>
      </c>
      <c r="AD186" s="219">
        <f>Z186*VLOOKUP($B186,Types!$B$2:$D$13,3,FALSE)*Conv!$I$5*1000*365</f>
        <v>4366977.9226177102</v>
      </c>
      <c r="AE186" s="219">
        <f>AA186*VLOOKUP($B186,Types!$B$2:$D$13,3,FALSE)*Conv!$I$5*1000*365</f>
        <v>4366977.9226177102</v>
      </c>
      <c r="AF186" s="219">
        <f>AB186-AB185</f>
        <v>1746791.1690470842</v>
      </c>
      <c r="AG186" s="219">
        <f t="shared" ref="AG186:AI186" si="469">AC186-AC185</f>
        <v>1746791.1690470842</v>
      </c>
      <c r="AH186" s="219">
        <f t="shared" si="469"/>
        <v>1746791.1690470842</v>
      </c>
      <c r="AI186" s="219">
        <f t="shared" si="469"/>
        <v>1746791.1690470842</v>
      </c>
      <c r="AJ186" s="219"/>
      <c r="AK186" s="219"/>
      <c r="AL186" s="219"/>
    </row>
    <row r="187" spans="1:38">
      <c r="A187" s="195" t="str">
        <f>'Agg prdcrv'!$A$16</f>
        <v>Methanol</v>
      </c>
      <c r="B187" s="195" t="str">
        <f>VLOOKUP($A187,Types!$A$2:$C$13,2,FALSE)</f>
        <v>MTH</v>
      </c>
      <c r="C187" s="195">
        <v>3</v>
      </c>
      <c r="D187" s="195">
        <v>3</v>
      </c>
      <c r="E187" s="195" t="str">
        <f t="shared" si="456"/>
        <v>IMPMTHP33</v>
      </c>
      <c r="F187" s="195" t="str">
        <f>CONCATENATE("Imported ",VLOOKUP($A187,Types!$A$2:$C$13,3,FALSE),", PADD ",D187,", Step ",RIGHT(C187,1))</f>
        <v>Imported Methanol, PADD 3, Step 3</v>
      </c>
      <c r="G187" s="195" t="str">
        <f>CONCATENATE(VLOOKUP($A187,Types!$A$2:$C$13,2,FALSE),"P",D187)</f>
        <v>MTHP3</v>
      </c>
      <c r="H187" s="239">
        <f>SUMIFS('Agg prdcrv NYC'!$N$6:$N$100,'Agg prdcrv NYC'!$A$6:$A$100,'Imp Refined NYC'!$A187,'Agg prdcrv NYC'!$B$6:$B$100,H$11)*K4</f>
        <v>51.689000000000007</v>
      </c>
      <c r="I187" s="239">
        <f>SUMIFS('Agg prdcrv NYC'!$N$6:$N$100,'Agg prdcrv NYC'!$A$6:$A$100,'Imp Refined NYC'!$A187,'Agg prdcrv NYC'!$B$6:$B$100,I$11)*K4</f>
        <v>51.128</v>
      </c>
      <c r="J187" s="239">
        <f t="array" ref="J187">SUMIFS('Agg prdcrv NYC'!$N$6:$N$100,'Agg prdcrv NYC'!$A$6:$A$100,'Imp Refined NYC'!$A187,'Agg prdcrv NYC'!$B$6:$B$100,J$11)</f>
        <v>46.48</v>
      </c>
      <c r="K187" s="239">
        <f t="array" ref="K187">SUMIFS('Agg prdcrv NYC'!$N$6:$N$100,'Agg prdcrv NYC'!$A$6:$A$100,'Imp Refined NYC'!$A187,'Agg prdcrv NYC'!$B$6:$B$100,K$11)</f>
        <v>46.48</v>
      </c>
      <c r="L187" s="240">
        <f>H187*Conv!$J$20/10^6/VLOOKUP($B187,Types!$B$2:$D$13,3,FALSE)/Conv!$I$5</f>
        <v>27.369002968023974</v>
      </c>
      <c r="M187" s="240">
        <f>I187*Conv!$J$20/10^6/VLOOKUP($B187,Types!$B$2:$D$13,3,FALSE)/Conv!$I$5</f>
        <v>27.071956968583827</v>
      </c>
      <c r="N187" s="240">
        <f>M187*'Imported Price Trends'!$K$19</f>
        <v>29.149644601995487</v>
      </c>
      <c r="O187" s="240">
        <f>N187*'Imported Price Trends'!$L$19</f>
        <v>28.872487698938087</v>
      </c>
      <c r="P187" s="240">
        <f>O187*'Imported Price Trends'!$M$19</f>
        <v>31.155442127444555</v>
      </c>
      <c r="Q187" s="240">
        <f>P187*'Imported Price Trends'!$N$19</f>
        <v>32.945084729206954</v>
      </c>
      <c r="R187" s="240">
        <f>Q187*'Imported Price Trends'!$O$19</f>
        <v>35.395673299027017</v>
      </c>
      <c r="S187" s="240">
        <f>R187*'Imported Price Trends'!$O$19</f>
        <v>38.028546552219247</v>
      </c>
      <c r="T187" s="240">
        <f>S187*'Imported Price Trends'!$O$19</f>
        <v>40.85726356034764</v>
      </c>
      <c r="U187" s="240">
        <f>T187*'Imported Price Trends'!$O$19</f>
        <v>43.89639197352637</v>
      </c>
      <c r="V187" s="240">
        <f>U187*'Imported Price Trends'!$O$19</f>
        <v>47.16158304256917</v>
      </c>
      <c r="W187" s="219"/>
      <c r="X187" s="195">
        <f t="array" ref="X187">SUMIFS('Agg prdcrv NYC'!$F$6:$F$100,'Agg prdcrv NYC'!$A$6:$A$100,'Imp Refined NYC'!$A187,'Agg prdcrv NYC'!$B$6:$B$100,X$11)</f>
        <v>999999</v>
      </c>
      <c r="Y187" s="195">
        <f t="array" ref="Y187">SUMIFS('Agg prdcrv NYC'!$F$6:$F$100,'Agg prdcrv NYC'!$A$6:$A$100,'Imp Refined NYC'!$A187,'Agg prdcrv NYC'!$B$6:$B$100,Y$11)</f>
        <v>999999</v>
      </c>
      <c r="Z187" s="195">
        <f t="array" ref="Z187">SUMIFS('Agg prdcrv NYC'!$F$6:$F$100,'Agg prdcrv NYC'!$A$6:$A$100,'Imp Refined NYC'!$A187,'Agg prdcrv NYC'!$B$6:$B$100,Z$11)</f>
        <v>999999</v>
      </c>
      <c r="AA187" s="195">
        <f t="array" ref="AA187">SUMIFS('Agg prdcrv NYC'!$F$6:$F$100,'Agg prdcrv NYC'!$A$6:$A$100,'Imp Refined NYC'!$A187,'Agg prdcrv NYC'!$B$6:$B$100,AA$11)</f>
        <v>999999</v>
      </c>
      <c r="AB187" s="219">
        <f>X187*VLOOKUP($B187,Types!$B$2:$D$13,3,FALSE)*Conv!$I$5*1000*365</f>
        <v>1057779.0968118452</v>
      </c>
      <c r="AC187" s="219">
        <f>Y187*VLOOKUP($B187,Types!$B$2:$D$13,3,FALSE)*Conv!$I$5*1000*365</f>
        <v>1057779.0968118452</v>
      </c>
      <c r="AD187" s="219">
        <f>Z187*VLOOKUP($B187,Types!$B$2:$D$13,3,FALSE)*Conv!$I$5*1000*365</f>
        <v>1057779.0968118452</v>
      </c>
      <c r="AE187" s="219">
        <f>AA187*VLOOKUP($B187,Types!$B$2:$D$13,3,FALSE)*Conv!$I$5*1000*365</f>
        <v>1057779.0968118452</v>
      </c>
      <c r="AF187" s="219">
        <f>AB187-AB189</f>
        <v>105777.90968118445</v>
      </c>
      <c r="AG187" s="219">
        <f t="shared" ref="AG187:AI187" si="470">AC187-AC189</f>
        <v>105777.90968118445</v>
      </c>
      <c r="AH187" s="219">
        <f t="shared" si="470"/>
        <v>105777.90968118445</v>
      </c>
      <c r="AI187" s="219">
        <f t="shared" si="470"/>
        <v>105777.90968118445</v>
      </c>
      <c r="AJ187" s="219"/>
      <c r="AK187" s="219"/>
      <c r="AL187" s="219"/>
    </row>
    <row r="188" spans="1:38">
      <c r="A188" s="195" t="str">
        <f>A187</f>
        <v>Methanol</v>
      </c>
      <c r="B188" s="195" t="str">
        <f>VLOOKUP($A188,Types!$A$2:$C$13,2,FALSE)</f>
        <v>MTH</v>
      </c>
      <c r="C188" s="195">
        <v>1</v>
      </c>
      <c r="D188" s="195">
        <v>3</v>
      </c>
      <c r="E188" s="195" t="str">
        <f t="shared" si="456"/>
        <v>IMPMTHP31</v>
      </c>
      <c r="F188" s="195" t="str">
        <f>CONCATENATE("Imported ",VLOOKUP($A188,Types!$A$2:$C$13,3,FALSE),", PADD ",D188,", Step ",RIGHT(C188,1))</f>
        <v>Imported Methanol, PADD 3, Step 1</v>
      </c>
      <c r="G188" s="195" t="str">
        <f>CONCATENATE(VLOOKUP($A188,Types!$A$2:$C$13,2,FALSE),"P",D188)</f>
        <v>MTHP3</v>
      </c>
      <c r="H188" s="239">
        <f>H187*$C$5</f>
        <v>49.104550000000003</v>
      </c>
      <c r="I188" s="239">
        <f t="shared" ref="I188:K188" si="471">I187*$C$5</f>
        <v>48.571599999999997</v>
      </c>
      <c r="J188" s="239">
        <f t="shared" si="471"/>
        <v>44.155999999999992</v>
      </c>
      <c r="K188" s="239">
        <f t="shared" si="471"/>
        <v>44.155999999999992</v>
      </c>
      <c r="L188" s="240">
        <f>H188*Conv!$J$20/10^6/VLOOKUP($B188,Types!$B$2:$D$13,3,FALSE)/Conv!$I$5</f>
        <v>26.000552819622769</v>
      </c>
      <c r="M188" s="240">
        <f>I188*Conv!$J$20/10^6/VLOOKUP($B188,Types!$B$2:$D$13,3,FALSE)/Conv!$I$5</f>
        <v>25.718359120154631</v>
      </c>
      <c r="N188" s="240">
        <f>M188*'Imported Price Trends'!$K$19</f>
        <v>27.692162371895709</v>
      </c>
      <c r="O188" s="240">
        <f>N188*'Imported Price Trends'!$L$19</f>
        <v>27.428863313991179</v>
      </c>
      <c r="P188" s="240">
        <f>O188*'Imported Price Trends'!$M$19</f>
        <v>29.597670021072325</v>
      </c>
      <c r="Q188" s="240">
        <f>P188*'Imported Price Trends'!$N$19</f>
        <v>31.297830492746606</v>
      </c>
      <c r="R188" s="240">
        <f>Q188*'Imported Price Trends'!$O$19</f>
        <v>33.625889634075662</v>
      </c>
      <c r="S188" s="240">
        <f>R188*'Imported Price Trends'!$O$19</f>
        <v>36.127119224608279</v>
      </c>
      <c r="T188" s="240">
        <f>S188*'Imported Price Trends'!$O$19</f>
        <v>38.814400382330248</v>
      </c>
      <c r="U188" s="240">
        <f>T188*'Imported Price Trends'!$O$19</f>
        <v>41.701572374850045</v>
      </c>
      <c r="V188" s="240">
        <f>U188*'Imported Price Trends'!$O$19</f>
        <v>44.803503890440702</v>
      </c>
      <c r="W188" s="219"/>
      <c r="X188" s="195">
        <f>X187*$E$5</f>
        <v>799999.20000000007</v>
      </c>
      <c r="Y188" s="195">
        <f t="shared" ref="Y188:AA188" si="472">Y187*$E$5</f>
        <v>799999.20000000007</v>
      </c>
      <c r="Z188" s="195">
        <f t="shared" si="472"/>
        <v>799999.20000000007</v>
      </c>
      <c r="AA188" s="195">
        <f t="shared" si="472"/>
        <v>799999.20000000007</v>
      </c>
      <c r="AB188" s="219">
        <f>X188*VLOOKUP($B188,Types!$B$2:$D$13,3,FALSE)*Conv!$I$5*1000*365</f>
        <v>846223.27744947642</v>
      </c>
      <c r="AC188" s="219">
        <f>Y188*VLOOKUP($B188,Types!$B$2:$D$13,3,FALSE)*Conv!$I$5*1000*365</f>
        <v>846223.27744947642</v>
      </c>
      <c r="AD188" s="219">
        <f>Z188*VLOOKUP($B188,Types!$B$2:$D$13,3,FALSE)*Conv!$I$5*1000*365</f>
        <v>846223.27744947642</v>
      </c>
      <c r="AE188" s="219">
        <f>AA188*VLOOKUP($B188,Types!$B$2:$D$13,3,FALSE)*Conv!$I$5*1000*365</f>
        <v>846223.27744947642</v>
      </c>
      <c r="AF188" s="219">
        <f>AB188</f>
        <v>846223.27744947642</v>
      </c>
      <c r="AG188" s="219">
        <f t="shared" ref="AG188:AI188" si="473">AC188</f>
        <v>846223.27744947642</v>
      </c>
      <c r="AH188" s="219">
        <f t="shared" si="473"/>
        <v>846223.27744947642</v>
      </c>
      <c r="AI188" s="219">
        <f t="shared" si="473"/>
        <v>846223.27744947642</v>
      </c>
      <c r="AJ188" s="219"/>
      <c r="AK188" s="219"/>
      <c r="AL188" s="219"/>
    </row>
    <row r="189" spans="1:38">
      <c r="A189" s="195" t="str">
        <f t="shared" ref="A189:A191" si="474">A188</f>
        <v>Methanol</v>
      </c>
      <c r="B189" s="195" t="str">
        <f>VLOOKUP($A189,Types!$A$2:$C$13,2,FALSE)</f>
        <v>MTH</v>
      </c>
      <c r="C189" s="195">
        <v>2</v>
      </c>
      <c r="D189" s="195">
        <v>3</v>
      </c>
      <c r="E189" s="195" t="str">
        <f t="shared" si="456"/>
        <v>IMPMTHP32</v>
      </c>
      <c r="F189" s="195" t="str">
        <f>CONCATENATE("Imported ",VLOOKUP($A189,Types!$A$2:$C$13,3,FALSE),", PADD ",D189,", Step ",RIGHT(C189,1))</f>
        <v>Imported Methanol, PADD 3, Step 2</v>
      </c>
      <c r="G189" s="195" t="str">
        <f>CONCATENATE(VLOOKUP($A189,Types!$A$2:$C$13,2,FALSE),"P",D189)</f>
        <v>MTHP3</v>
      </c>
      <c r="H189" s="239">
        <f>H187*$C$6</f>
        <v>50.655220000000007</v>
      </c>
      <c r="I189" s="239">
        <f t="shared" ref="I189:K189" si="475">I187*$C$6</f>
        <v>50.105440000000002</v>
      </c>
      <c r="J189" s="239">
        <f t="shared" si="475"/>
        <v>45.550399999999996</v>
      </c>
      <c r="K189" s="239">
        <f t="shared" si="475"/>
        <v>45.550399999999996</v>
      </c>
      <c r="L189" s="240">
        <f>H189*Conv!$J$20/10^6/VLOOKUP($B189,Types!$B$2:$D$13,3,FALSE)/Conv!$I$5</f>
        <v>26.821622908663493</v>
      </c>
      <c r="M189" s="240">
        <f>I189*Conv!$J$20/10^6/VLOOKUP($B189,Types!$B$2:$D$13,3,FALSE)/Conv!$I$5</f>
        <v>26.530517829212151</v>
      </c>
      <c r="N189" s="240">
        <f>M189*'Imported Price Trends'!$K$19</f>
        <v>28.566651709955579</v>
      </c>
      <c r="O189" s="240">
        <f>N189*'Imported Price Trends'!$L$19</f>
        <v>28.295037944959329</v>
      </c>
      <c r="P189" s="240">
        <f>O189*'Imported Price Trends'!$M$19</f>
        <v>30.532333284895667</v>
      </c>
      <c r="Q189" s="240">
        <f>P189*'Imported Price Trends'!$N$19</f>
        <v>32.286183034622823</v>
      </c>
      <c r="R189" s="240">
        <f>Q189*'Imported Price Trends'!$O$19</f>
        <v>34.687759833046485</v>
      </c>
      <c r="S189" s="240">
        <f>R189*'Imported Price Trends'!$O$19</f>
        <v>37.26797562117487</v>
      </c>
      <c r="T189" s="240">
        <f>S189*'Imported Price Trends'!$O$19</f>
        <v>40.040118289140693</v>
      </c>
      <c r="U189" s="240">
        <f>T189*'Imported Price Trends'!$O$19</f>
        <v>43.018464134055854</v>
      </c>
      <c r="V189" s="240">
        <f>U189*'Imported Price Trends'!$O$19</f>
        <v>46.218351381717795</v>
      </c>
      <c r="W189" s="219"/>
      <c r="X189" s="195">
        <f>X187*$E$6</f>
        <v>899999.1</v>
      </c>
      <c r="Y189" s="195">
        <f t="shared" ref="Y189:AA189" si="476">Y187*$E$6</f>
        <v>899999.1</v>
      </c>
      <c r="Z189" s="195">
        <f t="shared" si="476"/>
        <v>899999.1</v>
      </c>
      <c r="AA189" s="195">
        <f t="shared" si="476"/>
        <v>899999.1</v>
      </c>
      <c r="AB189" s="219">
        <f>X189*VLOOKUP($B189,Types!$B$2:$D$13,3,FALSE)*Conv!$I$5*1000*365</f>
        <v>952001.18713066075</v>
      </c>
      <c r="AC189" s="219">
        <f>Y189*VLOOKUP($B189,Types!$B$2:$D$13,3,FALSE)*Conv!$I$5*1000*365</f>
        <v>952001.18713066075</v>
      </c>
      <c r="AD189" s="219">
        <f>Z189*VLOOKUP($B189,Types!$B$2:$D$13,3,FALSE)*Conv!$I$5*1000*365</f>
        <v>952001.18713066075</v>
      </c>
      <c r="AE189" s="219">
        <f>AA189*VLOOKUP($B189,Types!$B$2:$D$13,3,FALSE)*Conv!$I$5*1000*365</f>
        <v>952001.18713066075</v>
      </c>
      <c r="AF189" s="219">
        <f>AB189-AF188</f>
        <v>105777.90968118433</v>
      </c>
      <c r="AG189" s="219">
        <f t="shared" ref="AG189:AI189" si="477">AC189-AG188</f>
        <v>105777.90968118433</v>
      </c>
      <c r="AH189" s="219">
        <f t="shared" si="477"/>
        <v>105777.90968118433</v>
      </c>
      <c r="AI189" s="219">
        <f t="shared" si="477"/>
        <v>105777.90968118433</v>
      </c>
      <c r="AJ189" s="219"/>
      <c r="AK189" s="219"/>
      <c r="AL189" s="219"/>
    </row>
    <row r="190" spans="1:38">
      <c r="A190" s="195" t="str">
        <f t="shared" si="474"/>
        <v>Methanol</v>
      </c>
      <c r="B190" s="195" t="str">
        <f>VLOOKUP($A190,Types!$A$2:$C$13,2,FALSE)</f>
        <v>MTH</v>
      </c>
      <c r="C190" s="195">
        <v>4</v>
      </c>
      <c r="D190" s="195">
        <v>3</v>
      </c>
      <c r="E190" s="195" t="str">
        <f t="shared" si="456"/>
        <v>IMPMTHP34</v>
      </c>
      <c r="F190" s="195" t="str">
        <f>CONCATENATE("Imported ",VLOOKUP($A190,Types!$A$2:$C$13,3,FALSE),", PADD ",D190,", Step ",RIGHT(C190,1))</f>
        <v>Imported Methanol, PADD 3, Step 4</v>
      </c>
      <c r="G190" s="195" t="str">
        <f>CONCATENATE(VLOOKUP($A190,Types!$A$2:$C$13,2,FALSE),"P",D190)</f>
        <v>MTHP3</v>
      </c>
      <c r="H190" s="239">
        <f>H187*$C$8</f>
        <v>56.341010000000011</v>
      </c>
      <c r="I190" s="239">
        <f t="shared" ref="I190:K190" si="478">I187*$C$8</f>
        <v>55.729520000000001</v>
      </c>
      <c r="J190" s="239">
        <f t="shared" si="478"/>
        <v>50.663200000000003</v>
      </c>
      <c r="K190" s="239">
        <f t="shared" si="478"/>
        <v>50.663200000000003</v>
      </c>
      <c r="L190" s="240">
        <f>H190*Conv!$J$20/10^6/VLOOKUP($B190,Types!$B$2:$D$13,3,FALSE)/Conv!$I$5</f>
        <v>29.832213235146135</v>
      </c>
      <c r="M190" s="240">
        <f>I190*Conv!$J$20/10^6/VLOOKUP($B190,Types!$B$2:$D$13,3,FALSE)/Conv!$I$5</f>
        <v>29.508433095756374</v>
      </c>
      <c r="N190" s="240">
        <f>M190*'Imported Price Trends'!$K$19</f>
        <v>31.773112616175084</v>
      </c>
      <c r="O190" s="240">
        <f>N190*'Imported Price Trends'!$L$19</f>
        <v>31.471011591842519</v>
      </c>
      <c r="P190" s="240">
        <f>O190*'Imported Price Trends'!$M$19</f>
        <v>33.959431918914568</v>
      </c>
      <c r="Q190" s="240">
        <f>P190*'Imported Price Trends'!$N$19</f>
        <v>35.910142354835585</v>
      </c>
      <c r="R190" s="240">
        <f>Q190*'Imported Price Trends'!$O$19</f>
        <v>38.58128389593945</v>
      </c>
      <c r="S190" s="240">
        <f>R190*'Imported Price Trends'!$O$19</f>
        <v>41.451115741918983</v>
      </c>
      <c r="T190" s="240">
        <f>S190*'Imported Price Trends'!$O$19</f>
        <v>44.534417280778925</v>
      </c>
      <c r="U190" s="240">
        <f>T190*'Imported Price Trends'!$O$19</f>
        <v>47.847067251143741</v>
      </c>
      <c r="V190" s="240">
        <f>U190*'Imported Price Trends'!$O$19</f>
        <v>51.406125516400394</v>
      </c>
      <c r="W190" s="219"/>
      <c r="X190" s="195">
        <f>X187*$E$8</f>
        <v>1199998.8</v>
      </c>
      <c r="Y190" s="195">
        <f t="shared" ref="Y190:AA190" si="479">Y187*$E$8</f>
        <v>1199998.8</v>
      </c>
      <c r="Z190" s="195">
        <f t="shared" si="479"/>
        <v>1199998.8</v>
      </c>
      <c r="AA190" s="195">
        <f t="shared" si="479"/>
        <v>1199998.8</v>
      </c>
      <c r="AB190" s="219">
        <f>X190*VLOOKUP($B190,Types!$B$2:$D$13,3,FALSE)*Conv!$I$5*1000*365</f>
        <v>1269334.9161742146</v>
      </c>
      <c r="AC190" s="219">
        <f>Y190*VLOOKUP($B190,Types!$B$2:$D$13,3,FALSE)*Conv!$I$5*1000*365</f>
        <v>1269334.9161742146</v>
      </c>
      <c r="AD190" s="219">
        <f>Z190*VLOOKUP($B190,Types!$B$2:$D$13,3,FALSE)*Conv!$I$5*1000*365</f>
        <v>1269334.9161742146</v>
      </c>
      <c r="AE190" s="219">
        <f>AA190*VLOOKUP($B190,Types!$B$2:$D$13,3,FALSE)*Conv!$I$5*1000*365</f>
        <v>1269334.9161742146</v>
      </c>
      <c r="AF190" s="219">
        <f>AB190-AB187</f>
        <v>211555.81936236937</v>
      </c>
      <c r="AG190" s="219">
        <f t="shared" ref="AG190:AI190" si="480">AC190-AC187</f>
        <v>211555.81936236937</v>
      </c>
      <c r="AH190" s="219">
        <f t="shared" si="480"/>
        <v>211555.81936236937</v>
      </c>
      <c r="AI190" s="219">
        <f t="shared" si="480"/>
        <v>211555.81936236937</v>
      </c>
      <c r="AJ190" s="219"/>
      <c r="AK190" s="219"/>
      <c r="AL190" s="219"/>
    </row>
    <row r="191" spans="1:38">
      <c r="A191" s="195" t="str">
        <f t="shared" si="474"/>
        <v>Methanol</v>
      </c>
      <c r="B191" s="195" t="str">
        <f>VLOOKUP($A191,Types!$A$2:$C$13,2,FALSE)</f>
        <v>MTH</v>
      </c>
      <c r="C191" s="195">
        <v>5</v>
      </c>
      <c r="D191" s="195">
        <v>3</v>
      </c>
      <c r="E191" s="195" t="str">
        <f t="shared" si="456"/>
        <v>IMPMTHP35</v>
      </c>
      <c r="F191" s="195" t="str">
        <f>CONCATENATE("Imported ",VLOOKUP($A191,Types!$A$2:$C$13,3,FALSE),", PADD ",D191,", Step ",RIGHT(C191,1))</f>
        <v>Imported Methanol, PADD 3, Step 5</v>
      </c>
      <c r="G191" s="195" t="str">
        <f>CONCATENATE(VLOOKUP($A191,Types!$A$2:$C$13,2,FALSE),"P",D191)</f>
        <v>MTHP3</v>
      </c>
      <c r="H191" s="239">
        <f>H187*$C$9</f>
        <v>67.195700000000016</v>
      </c>
      <c r="I191" s="239">
        <f t="shared" ref="I191:K191" si="481">I187*$C$9</f>
        <v>66.466400000000007</v>
      </c>
      <c r="J191" s="239">
        <f t="shared" si="481"/>
        <v>60.423999999999999</v>
      </c>
      <c r="K191" s="239">
        <f t="shared" si="481"/>
        <v>60.423999999999999</v>
      </c>
      <c r="L191" s="240">
        <f>H191*Conv!$J$20/10^6/VLOOKUP($B191,Types!$B$2:$D$13,3,FALSE)/Conv!$I$5</f>
        <v>35.579703858431166</v>
      </c>
      <c r="M191" s="240">
        <f>I191*Conv!$J$20/10^6/VLOOKUP($B191,Types!$B$2:$D$13,3,FALSE)/Conv!$I$5</f>
        <v>35.193544059158974</v>
      </c>
      <c r="N191" s="240">
        <f>M191*'Imported Price Trends'!$K$19</f>
        <v>37.89453798259413</v>
      </c>
      <c r="O191" s="240">
        <f>N191*'Imported Price Trends'!$L$19</f>
        <v>37.534234008619514</v>
      </c>
      <c r="P191" s="240">
        <f>O191*'Imported Price Trends'!$M$19</f>
        <v>40.502074765677925</v>
      </c>
      <c r="Q191" s="240">
        <f>P191*'Imported Price Trends'!$N$19</f>
        <v>42.828610147969044</v>
      </c>
      <c r="R191" s="240">
        <f>Q191*'Imported Price Trends'!$O$19</f>
        <v>46.014375288735124</v>
      </c>
      <c r="S191" s="240">
        <f>R191*'Imported Price Trends'!$O$19</f>
        <v>49.437110517885024</v>
      </c>
      <c r="T191" s="240">
        <f>S191*'Imported Price Trends'!$O$19</f>
        <v>53.114442628451933</v>
      </c>
      <c r="U191" s="240">
        <f>T191*'Imported Price Trends'!$O$19</f>
        <v>57.065309565584286</v>
      </c>
      <c r="V191" s="240">
        <f>U191*'Imported Price Trends'!$O$19</f>
        <v>61.310057955339921</v>
      </c>
      <c r="W191" s="219"/>
      <c r="X191" s="195">
        <f>X187*$E$9</f>
        <v>1999998</v>
      </c>
      <c r="Y191" s="195">
        <f t="shared" ref="Y191:AA191" si="482">Y187*$E$9</f>
        <v>1999998</v>
      </c>
      <c r="Z191" s="195">
        <f t="shared" si="482"/>
        <v>1999998</v>
      </c>
      <c r="AA191" s="195">
        <f t="shared" si="482"/>
        <v>1999998</v>
      </c>
      <c r="AB191" s="219">
        <f>X191*VLOOKUP($B191,Types!$B$2:$D$13,3,FALSE)*Conv!$I$5*1000*365</f>
        <v>2115558.1936236904</v>
      </c>
      <c r="AC191" s="219">
        <f>Y191*VLOOKUP($B191,Types!$B$2:$D$13,3,FALSE)*Conv!$I$5*1000*365</f>
        <v>2115558.1936236904</v>
      </c>
      <c r="AD191" s="219">
        <f>Z191*VLOOKUP($B191,Types!$B$2:$D$13,3,FALSE)*Conv!$I$5*1000*365</f>
        <v>2115558.1936236904</v>
      </c>
      <c r="AE191" s="219">
        <f>AA191*VLOOKUP($B191,Types!$B$2:$D$13,3,FALSE)*Conv!$I$5*1000*365</f>
        <v>2115558.1936236904</v>
      </c>
      <c r="AF191" s="219">
        <f>AB191-AB190</f>
        <v>846223.27744947583</v>
      </c>
      <c r="AG191" s="219">
        <f t="shared" ref="AG191:AI191" si="483">AC191-AC190</f>
        <v>846223.27744947583</v>
      </c>
      <c r="AH191" s="219">
        <f t="shared" si="483"/>
        <v>846223.27744947583</v>
      </c>
      <c r="AI191" s="219">
        <f t="shared" si="483"/>
        <v>846223.27744947583</v>
      </c>
      <c r="AJ191" s="219"/>
      <c r="AK191" s="219"/>
      <c r="AL191" s="219"/>
    </row>
    <row r="192" spans="1:38">
      <c r="A192" s="195" t="str">
        <f>'Agg prdcrv'!$A$19</f>
        <v>ULS Diesel (15 ppm)</v>
      </c>
      <c r="B192" s="195" t="str">
        <f>VLOOKUP($A192,Types!$A$2:$C$13,2,FALSE)</f>
        <v>DSU</v>
      </c>
      <c r="C192" s="195">
        <v>3</v>
      </c>
      <c r="D192" s="195">
        <v>3</v>
      </c>
      <c r="E192" s="195" t="str">
        <f t="shared" si="456"/>
        <v>IMPDSUP33</v>
      </c>
      <c r="F192" s="195" t="str">
        <f>CONCATENATE("Imported ",VLOOKUP($A192,Types!$A$2:$C$13,3,FALSE),", PADD ",D192,", Step ",RIGHT(C192,1))</f>
        <v>Imported Distillate-Ultralow Sulfur Highway Diesel (15 ppm), PADD 3, Step 3</v>
      </c>
      <c r="G192" s="195" t="str">
        <f>CONCATENATE(VLOOKUP($A192,Types!$A$2:$C$13,2,FALSE),"P",D192)</f>
        <v>DSUP3</v>
      </c>
      <c r="H192" s="239">
        <f>SUMIFS('Agg prdcrv NYC'!$N$6:$N$100,'Agg prdcrv NYC'!$A$6:$A$100,'Imp Refined NYC'!$A192,'Agg prdcrv NYC'!$B$6:$B$100,H$11)*K4</f>
        <v>62.458000000000006</v>
      </c>
      <c r="I192" s="239">
        <f>SUMIFS('Agg prdcrv NYC'!$N$6:$N$100,'Agg prdcrv NYC'!$A$6:$A$100,'Imp Refined NYC'!$A192,'Agg prdcrv NYC'!$B$6:$B$100,I$11)*K4</f>
        <v>53.504000000000005</v>
      </c>
      <c r="J192" s="239">
        <f t="array" ref="J192">SUMIFS('Agg prdcrv NYC'!$N$6:$N$100,'Agg prdcrv NYC'!$A$6:$A$100,'Imp Refined NYC'!$A192,'Agg prdcrv NYC'!$B$6:$B$100,J$11)</f>
        <v>40.380000000000003</v>
      </c>
      <c r="K192" s="239">
        <f t="array" ref="K192">SUMIFS('Agg prdcrv NYC'!$N$6:$N$100,'Agg prdcrv NYC'!$A$6:$A$100,'Imp Refined NYC'!$A192,'Agg prdcrv NYC'!$B$6:$B$100,K$11)</f>
        <v>43.75</v>
      </c>
      <c r="L192" s="240">
        <f>H192*Conv!$J$20/10^6/VLOOKUP($B192,Types!$B$2:$D$13,3,FALSE)/Conv!$I$5</f>
        <v>15.59480788106254</v>
      </c>
      <c r="M192" s="240">
        <f>I192*Conv!$J$20/10^6/VLOOKUP($B192,Types!$B$2:$D$13,3,FALSE)/Conv!$I$5</f>
        <v>13.359130949892247</v>
      </c>
      <c r="N192" s="240">
        <f>M192*'Imported Price Trends'!$K$19</f>
        <v>14.384402274012931</v>
      </c>
      <c r="O192" s="240">
        <f>N192*'Imported Price Trends'!$L$19</f>
        <v>14.247634349702654</v>
      </c>
      <c r="P192" s="240">
        <f>O192*'Imported Price Trends'!$M$19</f>
        <v>15.374198166217532</v>
      </c>
      <c r="Q192" s="240">
        <f>P192*'Imported Price Trends'!$N$19</f>
        <v>16.257328628422179</v>
      </c>
      <c r="R192" s="240">
        <f>Q192*'Imported Price Trends'!$O$19</f>
        <v>17.466614445717415</v>
      </c>
      <c r="S192" s="240">
        <f>R192*'Imported Price Trends'!$O$19</f>
        <v>18.765851830169556</v>
      </c>
      <c r="T192" s="240">
        <f>S192*'Imported Price Trends'!$O$19</f>
        <v>20.161731742937878</v>
      </c>
      <c r="U192" s="240">
        <f>T192*'Imported Price Trends'!$O$19</f>
        <v>21.661442845918284</v>
      </c>
      <c r="V192" s="240">
        <f>U192*'Imported Price Trends'!$O$19</f>
        <v>23.272708522735854</v>
      </c>
      <c r="W192" s="219"/>
      <c r="X192" s="195">
        <f t="array" ref="X192">SUMIFS('Agg prdcrv NYC'!$F$6:$F$100,'Agg prdcrv NYC'!$A$6:$A$100,'Imp Refined NYC'!$A192,'Agg prdcrv NYC'!$B$6:$B$100,X$11)</f>
        <v>999999</v>
      </c>
      <c r="Y192" s="195">
        <f t="array" ref="Y192">SUMIFS('Agg prdcrv NYC'!$F$6:$F$100,'Agg prdcrv NYC'!$A$6:$A$100,'Imp Refined NYC'!$A192,'Agg prdcrv NYC'!$B$6:$B$100,Y$11)</f>
        <v>999999</v>
      </c>
      <c r="Z192" s="195">
        <f t="array" ref="Z192">SUMIFS('Agg prdcrv NYC'!$F$6:$F$100,'Agg prdcrv NYC'!$A$6:$A$100,'Imp Refined NYC'!$A192,'Agg prdcrv NYC'!$B$6:$B$100,Z$11)</f>
        <v>999999</v>
      </c>
      <c r="AA192" s="195">
        <f t="array" ref="AA192">SUMIFS('Agg prdcrv NYC'!$F$6:$F$100,'Agg prdcrv NYC'!$A$6:$A$100,'Imp Refined NYC'!$A192,'Agg prdcrv NYC'!$B$6:$B$100,AA$11)</f>
        <v>999999</v>
      </c>
      <c r="AB192" s="219">
        <f>X192*VLOOKUP($B192,Types!$B$2:$D$13,3,FALSE)*Conv!$I$5*1000*365</f>
        <v>2243178.6948190616</v>
      </c>
      <c r="AC192" s="219">
        <f>Y192*VLOOKUP($B192,Types!$B$2:$D$13,3,FALSE)*Conv!$I$5*1000*365</f>
        <v>2243178.6948190616</v>
      </c>
      <c r="AD192" s="219">
        <f>Z192*VLOOKUP($B192,Types!$B$2:$D$13,3,FALSE)*Conv!$I$5*1000*365</f>
        <v>2243178.6948190616</v>
      </c>
      <c r="AE192" s="219">
        <f>AA192*VLOOKUP($B192,Types!$B$2:$D$13,3,FALSE)*Conv!$I$5*1000*365</f>
        <v>2243178.6948190616</v>
      </c>
      <c r="AF192" s="219">
        <f>AB192-AB194</f>
        <v>224317.86948190606</v>
      </c>
      <c r="AG192" s="219">
        <f t="shared" ref="AG192:AI192" si="484">AC192-AC194</f>
        <v>224317.86948190606</v>
      </c>
      <c r="AH192" s="219">
        <f t="shared" si="484"/>
        <v>224317.86948190606</v>
      </c>
      <c r="AI192" s="219">
        <f t="shared" si="484"/>
        <v>224317.86948190606</v>
      </c>
      <c r="AJ192" s="219"/>
      <c r="AK192" s="219"/>
      <c r="AL192" s="219"/>
    </row>
    <row r="193" spans="1:38">
      <c r="A193" s="195" t="str">
        <f>A192</f>
        <v>ULS Diesel (15 ppm)</v>
      </c>
      <c r="B193" s="195" t="str">
        <f>VLOOKUP($A193,Types!$A$2:$C$13,2,FALSE)</f>
        <v>DSU</v>
      </c>
      <c r="C193" s="195">
        <v>1</v>
      </c>
      <c r="D193" s="195">
        <v>3</v>
      </c>
      <c r="E193" s="195" t="str">
        <f t="shared" si="456"/>
        <v>IMPDSUP31</v>
      </c>
      <c r="F193" s="195" t="str">
        <f>CONCATENATE("Imported ",VLOOKUP($A193,Types!$A$2:$C$13,3,FALSE),", PADD ",D193,", Step ",RIGHT(C193,1))</f>
        <v>Imported Distillate-Ultralow Sulfur Highway Diesel (15 ppm), PADD 3, Step 1</v>
      </c>
      <c r="G193" s="195" t="str">
        <f>CONCATENATE(VLOOKUP($A193,Types!$A$2:$C$13,2,FALSE),"P",D193)</f>
        <v>DSUP3</v>
      </c>
      <c r="H193" s="239">
        <f>H192*$C$5</f>
        <v>59.335100000000004</v>
      </c>
      <c r="I193" s="239">
        <f t="shared" ref="I193:K193" si="485">I192*$C$5</f>
        <v>50.828800000000001</v>
      </c>
      <c r="J193" s="239">
        <f t="shared" si="485"/>
        <v>38.360999999999997</v>
      </c>
      <c r="K193" s="239">
        <f t="shared" si="485"/>
        <v>41.5625</v>
      </c>
      <c r="L193" s="240">
        <f>H193*Conv!$J$20/10^6/VLOOKUP($B193,Types!$B$2:$D$13,3,FALSE)/Conv!$I$5</f>
        <v>14.815067487009408</v>
      </c>
      <c r="M193" s="240">
        <f>I193*Conv!$J$20/10^6/VLOOKUP($B193,Types!$B$2:$D$13,3,FALSE)/Conv!$I$5</f>
        <v>12.691174402397635</v>
      </c>
      <c r="N193" s="240">
        <f>M193*'Imported Price Trends'!$K$19</f>
        <v>13.665182160312284</v>
      </c>
      <c r="O193" s="240">
        <f>N193*'Imported Price Trends'!$L$19</f>
        <v>13.535252632217521</v>
      </c>
      <c r="P193" s="240">
        <f>O193*'Imported Price Trends'!$M$19</f>
        <v>14.605488257906654</v>
      </c>
      <c r="Q193" s="240">
        <f>P193*'Imported Price Trends'!$N$19</f>
        <v>15.444462197001069</v>
      </c>
      <c r="R193" s="240">
        <f>Q193*'Imported Price Trends'!$O$19</f>
        <v>16.593283723431544</v>
      </c>
      <c r="S193" s="240">
        <f>R193*'Imported Price Trends'!$O$19</f>
        <v>17.827559238661078</v>
      </c>
      <c r="T193" s="240">
        <f>S193*'Imported Price Trends'!$O$19</f>
        <v>19.153645155790983</v>
      </c>
      <c r="U193" s="240">
        <f>T193*'Imported Price Trends'!$O$19</f>
        <v>20.578370703622369</v>
      </c>
      <c r="V193" s="240">
        <f>U193*'Imported Price Trends'!$O$19</f>
        <v>22.109073096599062</v>
      </c>
      <c r="W193" s="219"/>
      <c r="X193" s="195">
        <f>X192*$E$5</f>
        <v>799999.20000000007</v>
      </c>
      <c r="Y193" s="195">
        <f t="shared" ref="Y193:AA193" si="486">Y192*$E$5</f>
        <v>799999.20000000007</v>
      </c>
      <c r="Z193" s="195">
        <f t="shared" si="486"/>
        <v>799999.20000000007</v>
      </c>
      <c r="AA193" s="195">
        <f t="shared" si="486"/>
        <v>799999.20000000007</v>
      </c>
      <c r="AB193" s="219">
        <f>X193*VLOOKUP($B193,Types!$B$2:$D$13,3,FALSE)*Conv!$I$5*1000*365</f>
        <v>1794542.9558552499</v>
      </c>
      <c r="AC193" s="219">
        <f>Y193*VLOOKUP($B193,Types!$B$2:$D$13,3,FALSE)*Conv!$I$5*1000*365</f>
        <v>1794542.9558552499</v>
      </c>
      <c r="AD193" s="219">
        <f>Z193*VLOOKUP($B193,Types!$B$2:$D$13,3,FALSE)*Conv!$I$5*1000*365</f>
        <v>1794542.9558552499</v>
      </c>
      <c r="AE193" s="219">
        <f>AA193*VLOOKUP($B193,Types!$B$2:$D$13,3,FALSE)*Conv!$I$5*1000*365</f>
        <v>1794542.9558552499</v>
      </c>
      <c r="AF193" s="219">
        <f>AB193</f>
        <v>1794542.9558552499</v>
      </c>
      <c r="AG193" s="219">
        <f t="shared" ref="AG193:AI193" si="487">AC193</f>
        <v>1794542.9558552499</v>
      </c>
      <c r="AH193" s="219">
        <f t="shared" si="487"/>
        <v>1794542.9558552499</v>
      </c>
      <c r="AI193" s="219">
        <f t="shared" si="487"/>
        <v>1794542.9558552499</v>
      </c>
      <c r="AJ193" s="219"/>
      <c r="AK193" s="219"/>
      <c r="AL193" s="219"/>
    </row>
    <row r="194" spans="1:38">
      <c r="A194" s="195" t="str">
        <f t="shared" ref="A194:A196" si="488">A193</f>
        <v>ULS Diesel (15 ppm)</v>
      </c>
      <c r="B194" s="195" t="str">
        <f>VLOOKUP($A194,Types!$A$2:$C$13,2,FALSE)</f>
        <v>DSU</v>
      </c>
      <c r="C194" s="195">
        <v>2</v>
      </c>
      <c r="D194" s="195">
        <v>3</v>
      </c>
      <c r="E194" s="195" t="str">
        <f t="shared" si="456"/>
        <v>IMPDSUP32</v>
      </c>
      <c r="F194" s="195" t="str">
        <f>CONCATENATE("Imported ",VLOOKUP($A194,Types!$A$2:$C$13,3,FALSE),", PADD ",D194,", Step ",RIGHT(C194,1))</f>
        <v>Imported Distillate-Ultralow Sulfur Highway Diesel (15 ppm), PADD 3, Step 2</v>
      </c>
      <c r="G194" s="195" t="str">
        <f>CONCATENATE(VLOOKUP($A194,Types!$A$2:$C$13,2,FALSE),"P",D194)</f>
        <v>DSUP3</v>
      </c>
      <c r="H194" s="239">
        <f>H192*$C$6</f>
        <v>61.208840000000002</v>
      </c>
      <c r="I194" s="239">
        <f t="shared" ref="I194:K194" si="489">I192*$C$6</f>
        <v>52.433920000000001</v>
      </c>
      <c r="J194" s="239">
        <f t="shared" si="489"/>
        <v>39.572400000000002</v>
      </c>
      <c r="K194" s="239">
        <f t="shared" si="489"/>
        <v>42.875</v>
      </c>
      <c r="L194" s="240">
        <f>H194*Conv!$J$20/10^6/VLOOKUP($B194,Types!$B$2:$D$13,3,FALSE)/Conv!$I$5</f>
        <v>15.282911723441286</v>
      </c>
      <c r="M194" s="240">
        <f>I194*Conv!$J$20/10^6/VLOOKUP($B194,Types!$B$2:$D$13,3,FALSE)/Conv!$I$5</f>
        <v>13.091948330894402</v>
      </c>
      <c r="N194" s="240">
        <f>M194*'Imported Price Trends'!$K$19</f>
        <v>14.096714228532672</v>
      </c>
      <c r="O194" s="240">
        <f>N194*'Imported Price Trends'!$L$19</f>
        <v>13.962681662708601</v>
      </c>
      <c r="P194" s="240">
        <f>O194*'Imported Price Trends'!$M$19</f>
        <v>15.066714202893181</v>
      </c>
      <c r="Q194" s="240">
        <f>P194*'Imported Price Trends'!$N$19</f>
        <v>15.932182055853737</v>
      </c>
      <c r="R194" s="240">
        <f>Q194*'Imported Price Trends'!$O$19</f>
        <v>17.117282156803068</v>
      </c>
      <c r="S194" s="240">
        <f>R194*'Imported Price Trends'!$O$19</f>
        <v>18.390534793566168</v>
      </c>
      <c r="T194" s="240">
        <f>S194*'Imported Price Trends'!$O$19</f>
        <v>19.758497108079123</v>
      </c>
      <c r="U194" s="240">
        <f>T194*'Imported Price Trends'!$O$19</f>
        <v>21.228213988999919</v>
      </c>
      <c r="V194" s="240">
        <f>U194*'Imported Price Trends'!$O$19</f>
        <v>22.807254352281138</v>
      </c>
      <c r="W194" s="219"/>
      <c r="X194" s="195">
        <f>X192*$E$6</f>
        <v>899999.1</v>
      </c>
      <c r="Y194" s="195">
        <f t="shared" ref="Y194:AA194" si="490">Y192*$E$6</f>
        <v>899999.1</v>
      </c>
      <c r="Z194" s="195">
        <f t="shared" si="490"/>
        <v>899999.1</v>
      </c>
      <c r="AA194" s="195">
        <f t="shared" si="490"/>
        <v>899999.1</v>
      </c>
      <c r="AB194" s="219">
        <f>X194*VLOOKUP($B194,Types!$B$2:$D$13,3,FALSE)*Conv!$I$5*1000*365</f>
        <v>2018860.8253371555</v>
      </c>
      <c r="AC194" s="219">
        <f>Y194*VLOOKUP($B194,Types!$B$2:$D$13,3,FALSE)*Conv!$I$5*1000*365</f>
        <v>2018860.8253371555</v>
      </c>
      <c r="AD194" s="219">
        <f>Z194*VLOOKUP($B194,Types!$B$2:$D$13,3,FALSE)*Conv!$I$5*1000*365</f>
        <v>2018860.8253371555</v>
      </c>
      <c r="AE194" s="219">
        <f>AA194*VLOOKUP($B194,Types!$B$2:$D$13,3,FALSE)*Conv!$I$5*1000*365</f>
        <v>2018860.8253371555</v>
      </c>
      <c r="AF194" s="219">
        <f>AB194-AF193</f>
        <v>224317.8694819056</v>
      </c>
      <c r="AG194" s="219">
        <f t="shared" ref="AG194:AI194" si="491">AC194-AG193</f>
        <v>224317.8694819056</v>
      </c>
      <c r="AH194" s="219">
        <f t="shared" si="491"/>
        <v>224317.8694819056</v>
      </c>
      <c r="AI194" s="219">
        <f t="shared" si="491"/>
        <v>224317.8694819056</v>
      </c>
      <c r="AJ194" s="219"/>
      <c r="AK194" s="219"/>
      <c r="AL194" s="219"/>
    </row>
    <row r="195" spans="1:38">
      <c r="A195" s="195" t="str">
        <f t="shared" si="488"/>
        <v>ULS Diesel (15 ppm)</v>
      </c>
      <c r="B195" s="195" t="str">
        <f>VLOOKUP($A195,Types!$A$2:$C$13,2,FALSE)</f>
        <v>DSU</v>
      </c>
      <c r="C195" s="195">
        <v>4</v>
      </c>
      <c r="D195" s="195">
        <v>3</v>
      </c>
      <c r="E195" s="195" t="str">
        <f t="shared" si="456"/>
        <v>IMPDSUP34</v>
      </c>
      <c r="F195" s="195" t="str">
        <f>CONCATENATE("Imported ",VLOOKUP($A195,Types!$A$2:$C$13,3,FALSE),", PADD ",D195,", Step ",RIGHT(C195,1))</f>
        <v>Imported Distillate-Ultralow Sulfur Highway Diesel (15 ppm), PADD 3, Step 4</v>
      </c>
      <c r="G195" s="195" t="str">
        <f>CONCATENATE(VLOOKUP($A195,Types!$A$2:$C$13,2,FALSE),"P",D195)</f>
        <v>DSUP3</v>
      </c>
      <c r="H195" s="239">
        <f>H192*$C$8</f>
        <v>68.079220000000007</v>
      </c>
      <c r="I195" s="239">
        <f t="shared" ref="I195:K195" si="492">I192*$C$8</f>
        <v>58.31936000000001</v>
      </c>
      <c r="J195" s="239">
        <f t="shared" si="492"/>
        <v>44.01420000000001</v>
      </c>
      <c r="K195" s="239">
        <f t="shared" si="492"/>
        <v>47.6875</v>
      </c>
      <c r="L195" s="240">
        <f>H195*Conv!$J$20/10^6/VLOOKUP($B195,Types!$B$2:$D$13,3,FALSE)/Conv!$I$5</f>
        <v>16.998340590358168</v>
      </c>
      <c r="M195" s="240">
        <f>I195*Conv!$J$20/10^6/VLOOKUP($B195,Types!$B$2:$D$13,3,FALSE)/Conv!$I$5</f>
        <v>14.56145273538255</v>
      </c>
      <c r="N195" s="240">
        <f>M195*'Imported Price Trends'!$K$19</f>
        <v>15.678998478674096</v>
      </c>
      <c r="O195" s="240">
        <f>N195*'Imported Price Trends'!$L$19</f>
        <v>15.529921441175894</v>
      </c>
      <c r="P195" s="240">
        <f>O195*'Imported Price Trends'!$M$19</f>
        <v>16.75787600117711</v>
      </c>
      <c r="Q195" s="240">
        <f>P195*'Imported Price Trends'!$N$19</f>
        <v>17.720488204980175</v>
      </c>
      <c r="R195" s="240">
        <f>Q195*'Imported Price Trends'!$O$19</f>
        <v>19.038609745831984</v>
      </c>
      <c r="S195" s="240">
        <f>R195*'Imported Price Trends'!$O$19</f>
        <v>20.45477849488482</v>
      </c>
      <c r="T195" s="240">
        <f>S195*'Imported Price Trends'!$O$19</f>
        <v>21.976287599802291</v>
      </c>
      <c r="U195" s="240">
        <f>T195*'Imported Price Trends'!$O$19</f>
        <v>23.610972702050933</v>
      </c>
      <c r="V195" s="240">
        <f>U195*'Imported Price Trends'!$O$19</f>
        <v>25.367252289782087</v>
      </c>
      <c r="W195" s="219"/>
      <c r="X195" s="195">
        <f>X192*$E$8</f>
        <v>1199998.8</v>
      </c>
      <c r="Y195" s="195">
        <f t="shared" ref="Y195:AA195" si="493">Y192*$E$8</f>
        <v>1199998.8</v>
      </c>
      <c r="Z195" s="195">
        <f t="shared" si="493"/>
        <v>1199998.8</v>
      </c>
      <c r="AA195" s="195">
        <f t="shared" si="493"/>
        <v>1199998.8</v>
      </c>
      <c r="AB195" s="219">
        <f>X195*VLOOKUP($B195,Types!$B$2:$D$13,3,FALSE)*Conv!$I$5*1000*365</f>
        <v>2691814.4337828746</v>
      </c>
      <c r="AC195" s="219">
        <f>Y195*VLOOKUP($B195,Types!$B$2:$D$13,3,FALSE)*Conv!$I$5*1000*365</f>
        <v>2691814.4337828746</v>
      </c>
      <c r="AD195" s="219">
        <f>Z195*VLOOKUP($B195,Types!$B$2:$D$13,3,FALSE)*Conv!$I$5*1000*365</f>
        <v>2691814.4337828746</v>
      </c>
      <c r="AE195" s="219">
        <f>AA195*VLOOKUP($B195,Types!$B$2:$D$13,3,FALSE)*Conv!$I$5*1000*365</f>
        <v>2691814.4337828746</v>
      </c>
      <c r="AF195" s="219">
        <f>AB195-AB192</f>
        <v>448635.73896381306</v>
      </c>
      <c r="AG195" s="219">
        <f t="shared" ref="AG195:AI195" si="494">AC195-AC192</f>
        <v>448635.73896381306</v>
      </c>
      <c r="AH195" s="219">
        <f t="shared" si="494"/>
        <v>448635.73896381306</v>
      </c>
      <c r="AI195" s="219">
        <f t="shared" si="494"/>
        <v>448635.73896381306</v>
      </c>
      <c r="AJ195" s="219"/>
      <c r="AK195" s="219"/>
      <c r="AL195" s="219"/>
    </row>
    <row r="196" spans="1:38">
      <c r="A196" s="195" t="str">
        <f t="shared" si="488"/>
        <v>ULS Diesel (15 ppm)</v>
      </c>
      <c r="B196" s="195" t="str">
        <f>VLOOKUP($A196,Types!$A$2:$C$13,2,FALSE)</f>
        <v>DSU</v>
      </c>
      <c r="C196" s="195">
        <v>5</v>
      </c>
      <c r="D196" s="195">
        <v>3</v>
      </c>
      <c r="E196" s="195" t="str">
        <f t="shared" si="456"/>
        <v>IMPDSUP35</v>
      </c>
      <c r="F196" s="195" t="str">
        <f>CONCATENATE("Imported ",VLOOKUP($A196,Types!$A$2:$C$13,3,FALSE),", PADD ",D196,", Step ",RIGHT(C196,1))</f>
        <v>Imported Distillate-Ultralow Sulfur Highway Diesel (15 ppm), PADD 3, Step 5</v>
      </c>
      <c r="G196" s="195" t="str">
        <f>CONCATENATE(VLOOKUP($A196,Types!$A$2:$C$13,2,FALSE),"P",D196)</f>
        <v>DSUP3</v>
      </c>
      <c r="H196" s="239">
        <f>H192*$C$9</f>
        <v>81.195400000000006</v>
      </c>
      <c r="I196" s="239">
        <f t="shared" ref="I196:K196" si="495">I192*$C$9</f>
        <v>69.555200000000013</v>
      </c>
      <c r="J196" s="239">
        <f t="shared" si="495"/>
        <v>52.494000000000007</v>
      </c>
      <c r="K196" s="239">
        <f t="shared" si="495"/>
        <v>56.875</v>
      </c>
      <c r="L196" s="240">
        <f>H196*Conv!$J$20/10^6/VLOOKUP($B196,Types!$B$2:$D$13,3,FALSE)/Conv!$I$5</f>
        <v>20.273250245381298</v>
      </c>
      <c r="M196" s="240">
        <f>I196*Conv!$J$20/10^6/VLOOKUP($B196,Types!$B$2:$D$13,3,FALSE)/Conv!$I$5</f>
        <v>17.366870234859924</v>
      </c>
      <c r="N196" s="240">
        <f>M196*'Imported Price Trends'!$K$19</f>
        <v>18.699722956216814</v>
      </c>
      <c r="O196" s="240">
        <f>N196*'Imported Price Trends'!$L$19</f>
        <v>18.521924654613453</v>
      </c>
      <c r="P196" s="240">
        <f>O196*'Imported Price Trends'!$M$19</f>
        <v>19.986457616082795</v>
      </c>
      <c r="Q196" s="240">
        <f>P196*'Imported Price Trends'!$N$19</f>
        <v>21.13452721694884</v>
      </c>
      <c r="R196" s="240">
        <f>Q196*'Imported Price Trends'!$O$19</f>
        <v>22.70659877943265</v>
      </c>
      <c r="S196" s="240">
        <f>R196*'Imported Price Trends'!$O$19</f>
        <v>24.395607379220436</v>
      </c>
      <c r="T196" s="240">
        <f>S196*'Imported Price Trends'!$O$19</f>
        <v>26.210251265819256</v>
      </c>
      <c r="U196" s="240">
        <f>T196*'Imported Price Trends'!$O$19</f>
        <v>28.159875699693785</v>
      </c>
      <c r="V196" s="240">
        <f>U196*'Imported Price Trends'!$O$19</f>
        <v>30.254521079556628</v>
      </c>
      <c r="W196" s="219"/>
      <c r="X196" s="195">
        <f>X192*$E$9</f>
        <v>1999998</v>
      </c>
      <c r="Y196" s="195">
        <f t="shared" ref="Y196:AA196" si="496">Y192*$E$9</f>
        <v>1999998</v>
      </c>
      <c r="Z196" s="195">
        <f t="shared" si="496"/>
        <v>1999998</v>
      </c>
      <c r="AA196" s="195">
        <f t="shared" si="496"/>
        <v>1999998</v>
      </c>
      <c r="AB196" s="219">
        <f>X196*VLOOKUP($B196,Types!$B$2:$D$13,3,FALSE)*Conv!$I$5*1000*365</f>
        <v>4486357.3896381231</v>
      </c>
      <c r="AC196" s="219">
        <f>Y196*VLOOKUP($B196,Types!$B$2:$D$13,3,FALSE)*Conv!$I$5*1000*365</f>
        <v>4486357.3896381231</v>
      </c>
      <c r="AD196" s="219">
        <f>Z196*VLOOKUP($B196,Types!$B$2:$D$13,3,FALSE)*Conv!$I$5*1000*365</f>
        <v>4486357.3896381231</v>
      </c>
      <c r="AE196" s="219">
        <f>AA196*VLOOKUP($B196,Types!$B$2:$D$13,3,FALSE)*Conv!$I$5*1000*365</f>
        <v>4486357.3896381231</v>
      </c>
      <c r="AF196" s="219">
        <f>AB196-AB195</f>
        <v>1794542.9558552485</v>
      </c>
      <c r="AG196" s="219">
        <f t="shared" ref="AG196:AI196" si="497">AC196-AC195</f>
        <v>1794542.9558552485</v>
      </c>
      <c r="AH196" s="219">
        <f t="shared" si="497"/>
        <v>1794542.9558552485</v>
      </c>
      <c r="AI196" s="219">
        <f t="shared" si="497"/>
        <v>1794542.9558552485</v>
      </c>
      <c r="AJ196" s="219"/>
      <c r="AK196" s="219"/>
      <c r="AL196" s="219"/>
    </row>
    <row r="197" spans="1:38">
      <c r="A197" s="195" t="s">
        <v>588</v>
      </c>
      <c r="H197" s="239"/>
      <c r="I197" s="239"/>
      <c r="J197" s="239"/>
      <c r="K197" s="239"/>
      <c r="L197" s="240"/>
      <c r="M197" s="240"/>
      <c r="N197" s="240"/>
      <c r="O197" s="240"/>
      <c r="P197" s="240"/>
      <c r="Q197" s="240"/>
      <c r="R197" s="240"/>
      <c r="S197" s="240"/>
      <c r="T197" s="240"/>
      <c r="U197" s="240"/>
      <c r="V197" s="240"/>
      <c r="W197" s="219"/>
      <c r="AB197" s="219"/>
      <c r="AC197" s="219"/>
      <c r="AD197" s="219"/>
      <c r="AE197" s="219"/>
      <c r="AF197" s="219"/>
      <c r="AG197" s="219"/>
      <c r="AH197" s="219"/>
      <c r="AI197" s="219"/>
      <c r="AJ197" s="219"/>
      <c r="AK197" s="219"/>
      <c r="AL197" s="219"/>
    </row>
    <row r="198" spans="1:38" s="202" customFormat="1">
      <c r="A198" s="202" t="s">
        <v>727</v>
      </c>
      <c r="H198" s="241"/>
      <c r="I198" s="241"/>
      <c r="J198" s="241"/>
      <c r="K198" s="241"/>
      <c r="L198" s="242"/>
      <c r="M198" s="242"/>
      <c r="N198" s="242"/>
      <c r="O198" s="242"/>
      <c r="P198" s="242"/>
      <c r="Q198" s="242"/>
      <c r="R198" s="242"/>
      <c r="S198" s="242"/>
      <c r="T198" s="242"/>
      <c r="U198" s="242"/>
      <c r="V198" s="242"/>
    </row>
    <row r="199" spans="1:38">
      <c r="A199" s="195" t="str">
        <f>'Agg prdcrv'!$A$6</f>
        <v>Reformulated Mogas</v>
      </c>
      <c r="B199" s="195" t="str">
        <f>VLOOKUP($A199,Types!$A$2:$C$13,2,FALSE)</f>
        <v>GSR</v>
      </c>
      <c r="C199" s="195">
        <v>3</v>
      </c>
      <c r="D199" s="195">
        <v>4</v>
      </c>
      <c r="E199" s="195" t="str">
        <f t="shared" ref="E199:E242" si="498">CONCATENATE("IMP",G199,RIGHT(C199,1))</f>
        <v>IMPGSRP43</v>
      </c>
      <c r="F199" s="195" t="str">
        <f>CONCATENATE("Imported ",VLOOKUP($A199,Types!$A$2:$C$13,3,FALSE),", PADD ",D199,", Step ",RIGHT(C199,1))</f>
        <v>Imported Reformulated Gasoline, PADD 4, Step 3</v>
      </c>
      <c r="G199" s="195" t="str">
        <f>CONCATENATE(VLOOKUP($A199,Types!$A$2:$C$13,2,FALSE),"P",D199)</f>
        <v>GSRP4</v>
      </c>
      <c r="H199" s="239">
        <f>SUMIFS('Agg prdcrv NYC'!$O$6:$O$100,'Agg prdcrv NYC'!$A$6:$A$100,'Imp Refined NYC'!$A199,'Agg prdcrv NYC'!$B$6:$B$100,H$11)*K4</f>
        <v>68.024000000000015</v>
      </c>
      <c r="I199" s="239">
        <f>SUMIFS('Agg prdcrv NYC'!$O$6:$O$100,'Agg prdcrv NYC'!$A$6:$A$100,'Imp Refined NYC'!$A199,'Agg prdcrv NYC'!$B$6:$B$100,I$11)*K4</f>
        <v>124.63000000000001</v>
      </c>
      <c r="J199" s="239">
        <f t="array" ref="J199">SUMIFS('Agg prdcrv NYC'!$O$6:$O$100,'Agg prdcrv NYC'!$A$6:$A$100,'Imp Refined NYC'!$A199,'Agg prdcrv NYC'!$B$6:$B$100,J$11)</f>
        <v>113.3</v>
      </c>
      <c r="K199" s="239">
        <f t="array" ref="K199">SUMIFS('Agg prdcrv NYC'!$O$6:$O$100,'Agg prdcrv NYC'!$A$6:$A$100,'Imp Refined NYC'!$A199,'Agg prdcrv NYC'!$B$6:$B$100,K$11)</f>
        <v>113.3</v>
      </c>
      <c r="L199" s="240">
        <f>H199*Conv!$J$20/10^6/VLOOKUP($B199,Types!$B$2:$D$13,3,FALSE)/Conv!$I$5</f>
        <v>19.210683733505871</v>
      </c>
      <c r="M199" s="240">
        <f>I199*Conv!$J$20/10^6/VLOOKUP($B199,Types!$B$2:$D$13,3,FALSE)/Conv!$I$5</f>
        <v>35.196805740721445</v>
      </c>
      <c r="N199" s="240">
        <f>M199*'Imported Price Trends'!$K$19</f>
        <v>37.898049987967859</v>
      </c>
      <c r="O199" s="240">
        <f>N199*'Imported Price Trends'!$L$19</f>
        <v>37.537712621595283</v>
      </c>
      <c r="P199" s="240">
        <f>O199*'Imported Price Trends'!$M$19</f>
        <v>40.505828433404112</v>
      </c>
      <c r="Q199" s="240">
        <f>P199*'Imported Price Trends'!$N$19</f>
        <v>42.832579435285808</v>
      </c>
      <c r="R199" s="240">
        <f>Q199*'Imported Price Trends'!$O$19</f>
        <v>46.018639827686805</v>
      </c>
      <c r="S199" s="240">
        <f>R199*'Imported Price Trends'!$O$19</f>
        <v>49.441692270481667</v>
      </c>
      <c r="T199" s="240">
        <f>S199*'Imported Price Trends'!$O$19</f>
        <v>53.119365190326661</v>
      </c>
      <c r="U199" s="240">
        <f>T199*'Imported Price Trends'!$O$19</f>
        <v>57.070598287508794</v>
      </c>
      <c r="V199" s="240">
        <f>U199*'Imported Price Trends'!$O$19</f>
        <v>61.315740073778777</v>
      </c>
      <c r="W199" s="219"/>
      <c r="X199" s="195">
        <f t="array" ref="X199">SUMIFS('Agg prdcrv NYC'!$G$6:$G$100,'Agg prdcrv NYC'!$A$6:$A$100,'Imp Refined NYC'!$A199,'Agg prdcrv NYC'!$B$6:$B$100,X$11)</f>
        <v>0</v>
      </c>
      <c r="Y199" s="195">
        <f t="array" ref="Y199">SUMIFS('Agg prdcrv NYC'!$G$6:$G$100,'Agg prdcrv NYC'!$A$6:$A$100,'Imp Refined NYC'!$A199,'Agg prdcrv NYC'!$B$6:$B$100,Y$11)</f>
        <v>0</v>
      </c>
      <c r="Z199" s="195">
        <f t="array" ref="Z199">SUMIFS('Agg prdcrv NYC'!$G$6:$G$100,'Agg prdcrv NYC'!$A$6:$A$100,'Imp Refined NYC'!$A199,'Agg prdcrv NYC'!$B$6:$B$100,Z$11)</f>
        <v>0</v>
      </c>
      <c r="AA199" s="195">
        <f t="array" ref="AA199">SUMIFS('Agg prdcrv NYC'!$G$6:$G$100,'Agg prdcrv NYC'!$A$6:$A$100,'Imp Refined NYC'!$A199,'Agg prdcrv NYC'!$B$6:$B$100,AA$11)</f>
        <v>0</v>
      </c>
      <c r="AB199" s="219">
        <f>X199*VLOOKUP($B199,Types!$B$2:$D$13,3,FALSE)*Conv!$I$5*1000*365</f>
        <v>0</v>
      </c>
      <c r="AC199" s="219">
        <f>Y199*VLOOKUP($B199,Types!$B$2:$D$13,3,FALSE)*Conv!$I$5*1000*365</f>
        <v>0</v>
      </c>
      <c r="AD199" s="219">
        <f>Z199*VLOOKUP($B199,Types!$B$2:$D$13,3,FALSE)*Conv!$I$5*1000*365</f>
        <v>0</v>
      </c>
      <c r="AE199" s="219">
        <f>AA199*VLOOKUP($B199,Types!$B$2:$D$13,3,FALSE)*Conv!$I$5*1000*365</f>
        <v>0</v>
      </c>
      <c r="AF199" s="219">
        <f>AB199-AB201</f>
        <v>0</v>
      </c>
      <c r="AG199" s="219">
        <f t="shared" ref="AG199:AI199" si="499">AC199-AC201</f>
        <v>0</v>
      </c>
      <c r="AH199" s="219">
        <f t="shared" si="499"/>
        <v>0</v>
      </c>
      <c r="AI199" s="219">
        <f t="shared" si="499"/>
        <v>0</v>
      </c>
      <c r="AJ199" s="219"/>
      <c r="AK199" s="219"/>
      <c r="AL199" s="219"/>
    </row>
    <row r="200" spans="1:38">
      <c r="A200" s="195" t="str">
        <f>A199</f>
        <v>Reformulated Mogas</v>
      </c>
      <c r="B200" s="195" t="str">
        <f>VLOOKUP($A200,Types!$A$2:$C$13,2,FALSE)</f>
        <v>GSR</v>
      </c>
      <c r="C200" s="195">
        <v>1</v>
      </c>
      <c r="D200" s="195">
        <v>4</v>
      </c>
      <c r="E200" s="195" t="str">
        <f t="shared" si="498"/>
        <v>IMPGSRP41</v>
      </c>
      <c r="F200" s="195" t="str">
        <f>CONCATENATE("Imported ",VLOOKUP($A200,Types!$A$2:$C$13,3,FALSE),", PADD ",D200,", Step ",RIGHT(C200,1))</f>
        <v>Imported Reformulated Gasoline, PADD 4, Step 1</v>
      </c>
      <c r="G200" s="195" t="str">
        <f>CONCATENATE(VLOOKUP($A200,Types!$A$2:$C$13,2,FALSE),"P",D200)</f>
        <v>GSRP4</v>
      </c>
      <c r="H200" s="239">
        <f>H199*$C$5</f>
        <v>64.622800000000012</v>
      </c>
      <c r="I200" s="239">
        <f t="shared" ref="I200:K200" si="500">I199*$C$5</f>
        <v>118.3985</v>
      </c>
      <c r="J200" s="239">
        <f t="shared" si="500"/>
        <v>107.63499999999999</v>
      </c>
      <c r="K200" s="239">
        <f t="shared" si="500"/>
        <v>107.63499999999999</v>
      </c>
      <c r="L200" s="240">
        <f>H200*Conv!$J$20/10^6/VLOOKUP($B200,Types!$B$2:$D$13,3,FALSE)/Conv!$I$5</f>
        <v>18.250149546830574</v>
      </c>
      <c r="M200" s="240">
        <f>I200*Conv!$J$20/10^6/VLOOKUP($B200,Types!$B$2:$D$13,3,FALSE)/Conv!$I$5</f>
        <v>33.436965453685382</v>
      </c>
      <c r="N200" s="240">
        <f>M200*'Imported Price Trends'!$K$19</f>
        <v>36.003147488569475</v>
      </c>
      <c r="O200" s="240">
        <f>N200*'Imported Price Trends'!$L$19</f>
        <v>35.660826990515524</v>
      </c>
      <c r="P200" s="240">
        <f>O200*'Imported Price Trends'!$M$19</f>
        <v>38.480537011733915</v>
      </c>
      <c r="Q200" s="240">
        <f>P200*'Imported Price Trends'!$N$19</f>
        <v>40.690950463521524</v>
      </c>
      <c r="R200" s="240">
        <f>Q200*'Imported Price Trends'!$O$19</f>
        <v>43.717707836302473</v>
      </c>
      <c r="S200" s="240">
        <f>R200*'Imported Price Trends'!$O$19</f>
        <v>46.969607656957592</v>
      </c>
      <c r="T200" s="240">
        <f>S200*'Imported Price Trends'!$O$19</f>
        <v>50.46339693081034</v>
      </c>
      <c r="U200" s="240">
        <f>T200*'Imported Price Trends'!$O$19</f>
        <v>54.217068373133365</v>
      </c>
      <c r="V200" s="240">
        <f>U200*'Imported Price Trends'!$O$19</f>
        <v>58.249953070089845</v>
      </c>
      <c r="W200" s="219"/>
      <c r="X200" s="195">
        <f>X199*$E$5</f>
        <v>0</v>
      </c>
      <c r="Y200" s="195">
        <f t="shared" ref="Y200:AA200" si="501">Y199*$E$5</f>
        <v>0</v>
      </c>
      <c r="Z200" s="195">
        <f t="shared" si="501"/>
        <v>0</v>
      </c>
      <c r="AA200" s="195">
        <f t="shared" si="501"/>
        <v>0</v>
      </c>
      <c r="AB200" s="219">
        <f>X200*VLOOKUP($B200,Types!$B$2:$D$13,3,FALSE)*Conv!$I$5*1000*365</f>
        <v>0</v>
      </c>
      <c r="AC200" s="219">
        <f>Y200*VLOOKUP($B200,Types!$B$2:$D$13,3,FALSE)*Conv!$I$5*1000*365</f>
        <v>0</v>
      </c>
      <c r="AD200" s="219">
        <f>Z200*VLOOKUP($B200,Types!$B$2:$D$13,3,FALSE)*Conv!$I$5*1000*365</f>
        <v>0</v>
      </c>
      <c r="AE200" s="219">
        <f>AA200*VLOOKUP($B200,Types!$B$2:$D$13,3,FALSE)*Conv!$I$5*1000*365</f>
        <v>0</v>
      </c>
      <c r="AF200" s="219">
        <f>AB200</f>
        <v>0</v>
      </c>
      <c r="AG200" s="219">
        <f t="shared" ref="AG200:AI200" si="502">AC200</f>
        <v>0</v>
      </c>
      <c r="AH200" s="219">
        <f t="shared" si="502"/>
        <v>0</v>
      </c>
      <c r="AI200" s="219">
        <f t="shared" si="502"/>
        <v>0</v>
      </c>
      <c r="AJ200" s="219"/>
      <c r="AK200" s="219"/>
      <c r="AL200" s="219"/>
    </row>
    <row r="201" spans="1:38">
      <c r="A201" s="195" t="str">
        <f t="shared" ref="A201:A203" si="503">A200</f>
        <v>Reformulated Mogas</v>
      </c>
      <c r="B201" s="195" t="str">
        <f>VLOOKUP($A201,Types!$A$2:$C$13,2,FALSE)</f>
        <v>GSR</v>
      </c>
      <c r="C201" s="195">
        <v>2</v>
      </c>
      <c r="D201" s="195">
        <v>4</v>
      </c>
      <c r="E201" s="195" t="str">
        <f t="shared" si="498"/>
        <v>IMPGSRP42</v>
      </c>
      <c r="F201" s="195" t="str">
        <f>CONCATENATE("Imported ",VLOOKUP($A201,Types!$A$2:$C$13,3,FALSE),", PADD ",D201,", Step ",RIGHT(C201,1))</f>
        <v>Imported Reformulated Gasoline, PADD 4, Step 2</v>
      </c>
      <c r="G201" s="195" t="str">
        <f>CONCATENATE(VLOOKUP($A201,Types!$A$2:$C$13,2,FALSE),"P",D201)</f>
        <v>GSRP4</v>
      </c>
      <c r="H201" s="239">
        <f>H199*$C$6</f>
        <v>66.66352000000002</v>
      </c>
      <c r="I201" s="239">
        <f t="shared" ref="I201:K201" si="504">I199*$C$6</f>
        <v>122.13740000000001</v>
      </c>
      <c r="J201" s="239">
        <f t="shared" si="504"/>
        <v>111.03399999999999</v>
      </c>
      <c r="K201" s="239">
        <f t="shared" si="504"/>
        <v>111.03399999999999</v>
      </c>
      <c r="L201" s="240">
        <f>H201*Conv!$J$20/10^6/VLOOKUP($B201,Types!$B$2:$D$13,3,FALSE)/Conv!$I$5</f>
        <v>18.826470058835753</v>
      </c>
      <c r="M201" s="240">
        <f>I201*Conv!$J$20/10^6/VLOOKUP($B201,Types!$B$2:$D$13,3,FALSE)/Conv!$I$5</f>
        <v>34.492869625907026</v>
      </c>
      <c r="N201" s="240">
        <f>M201*'Imported Price Trends'!$K$19</f>
        <v>37.140088988208511</v>
      </c>
      <c r="O201" s="240">
        <f>N201*'Imported Price Trends'!$L$19</f>
        <v>36.786958369163386</v>
      </c>
      <c r="P201" s="240">
        <f>O201*'Imported Price Trends'!$M$19</f>
        <v>39.69571186473604</v>
      </c>
      <c r="Q201" s="240">
        <f>P201*'Imported Price Trends'!$N$19</f>
        <v>41.975927846580099</v>
      </c>
      <c r="R201" s="240">
        <f>Q201*'Imported Price Trends'!$O$19</f>
        <v>45.098267031133076</v>
      </c>
      <c r="S201" s="240">
        <f>R201*'Imported Price Trends'!$O$19</f>
        <v>48.452858425072044</v>
      </c>
      <c r="T201" s="240">
        <f>S201*'Imported Price Trends'!$O$19</f>
        <v>52.056977886520137</v>
      </c>
      <c r="U201" s="240">
        <f>T201*'Imported Price Trends'!$O$19</f>
        <v>55.929186321758628</v>
      </c>
      <c r="V201" s="240">
        <f>U201*'Imported Price Trends'!$O$19</f>
        <v>60.08942527230321</v>
      </c>
      <c r="W201" s="219"/>
      <c r="X201" s="195">
        <f>X199*$E$6</f>
        <v>0</v>
      </c>
      <c r="Y201" s="195">
        <f t="shared" ref="Y201:AA201" si="505">Y199*$E$6</f>
        <v>0</v>
      </c>
      <c r="Z201" s="195">
        <f t="shared" si="505"/>
        <v>0</v>
      </c>
      <c r="AA201" s="195">
        <f t="shared" si="505"/>
        <v>0</v>
      </c>
      <c r="AB201" s="219">
        <f>X201*VLOOKUP($B201,Types!$B$2:$D$13,3,FALSE)*Conv!$I$5*1000*365</f>
        <v>0</v>
      </c>
      <c r="AC201" s="219">
        <f>Y201*VLOOKUP($B201,Types!$B$2:$D$13,3,FALSE)*Conv!$I$5*1000*365</f>
        <v>0</v>
      </c>
      <c r="AD201" s="219">
        <f>Z201*VLOOKUP($B201,Types!$B$2:$D$13,3,FALSE)*Conv!$I$5*1000*365</f>
        <v>0</v>
      </c>
      <c r="AE201" s="219">
        <f>AA201*VLOOKUP($B201,Types!$B$2:$D$13,3,FALSE)*Conv!$I$5*1000*365</f>
        <v>0</v>
      </c>
      <c r="AF201" s="219">
        <f>AB201-AF200</f>
        <v>0</v>
      </c>
      <c r="AG201" s="219">
        <f t="shared" ref="AG201:AI201" si="506">AC201-AG200</f>
        <v>0</v>
      </c>
      <c r="AH201" s="219">
        <f t="shared" si="506"/>
        <v>0</v>
      </c>
      <c r="AI201" s="219">
        <f t="shared" si="506"/>
        <v>0</v>
      </c>
      <c r="AJ201" s="219"/>
      <c r="AK201" s="219"/>
      <c r="AL201" s="219"/>
    </row>
    <row r="202" spans="1:38">
      <c r="A202" s="195" t="str">
        <f t="shared" si="503"/>
        <v>Reformulated Mogas</v>
      </c>
      <c r="B202" s="195" t="str">
        <f>VLOOKUP($A202,Types!$A$2:$C$13,2,FALSE)</f>
        <v>GSR</v>
      </c>
      <c r="C202" s="195">
        <v>4</v>
      </c>
      <c r="D202" s="195">
        <v>4</v>
      </c>
      <c r="E202" s="195" t="str">
        <f t="shared" si="498"/>
        <v>IMPGSRP44</v>
      </c>
      <c r="F202" s="195" t="str">
        <f>CONCATENATE("Imported ",VLOOKUP($A202,Types!$A$2:$C$13,3,FALSE),", PADD ",D202,", Step ",RIGHT(C202,1))</f>
        <v>Imported Reformulated Gasoline, PADD 4, Step 4</v>
      </c>
      <c r="G202" s="195" t="str">
        <f>CONCATENATE(VLOOKUP($A202,Types!$A$2:$C$13,2,FALSE),"P",D202)</f>
        <v>GSRP4</v>
      </c>
      <c r="H202" s="239">
        <f>H199*$C$8</f>
        <v>74.146160000000023</v>
      </c>
      <c r="I202" s="239">
        <f t="shared" ref="I202:K202" si="507">I199*$C$8</f>
        <v>135.84670000000003</v>
      </c>
      <c r="J202" s="239">
        <f t="shared" si="507"/>
        <v>123.497</v>
      </c>
      <c r="K202" s="239">
        <f t="shared" si="507"/>
        <v>123.497</v>
      </c>
      <c r="L202" s="240">
        <f>H202*Conv!$J$20/10^6/VLOOKUP($B202,Types!$B$2:$D$13,3,FALSE)/Conv!$I$5</f>
        <v>20.939645269521399</v>
      </c>
      <c r="M202" s="240">
        <f>I202*Conv!$J$20/10^6/VLOOKUP($B202,Types!$B$2:$D$13,3,FALSE)/Conv!$I$5</f>
        <v>38.364518257386393</v>
      </c>
      <c r="N202" s="240">
        <f>M202*'Imported Price Trends'!$K$19</f>
        <v>41.308874486884989</v>
      </c>
      <c r="O202" s="240">
        <f>N202*'Imported Price Trends'!$L$19</f>
        <v>40.916106757538877</v>
      </c>
      <c r="P202" s="240">
        <f>O202*'Imported Price Trends'!$M$19</f>
        <v>44.151352992410501</v>
      </c>
      <c r="Q202" s="240">
        <f>P202*'Imported Price Trends'!$N$19</f>
        <v>46.687511584461554</v>
      </c>
      <c r="R202" s="240">
        <f>Q202*'Imported Price Trends'!$O$19</f>
        <v>50.160317412178642</v>
      </c>
      <c r="S202" s="240">
        <f>R202*'Imported Price Trends'!$O$19</f>
        <v>53.891444574825044</v>
      </c>
      <c r="T202" s="240">
        <f>S202*'Imported Price Trends'!$O$19</f>
        <v>57.900108057456087</v>
      </c>
      <c r="U202" s="240">
        <f>T202*'Imported Price Trends'!$O$19</f>
        <v>62.206952133384611</v>
      </c>
      <c r="V202" s="240">
        <f>U202*'Imported Price Trends'!$O$19</f>
        <v>66.834156680418886</v>
      </c>
      <c r="W202" s="219"/>
      <c r="X202" s="195">
        <f>X199*$E$8</f>
        <v>0</v>
      </c>
      <c r="Y202" s="195">
        <f t="shared" ref="Y202:AA202" si="508">Y199*$E$8</f>
        <v>0</v>
      </c>
      <c r="Z202" s="195">
        <f t="shared" si="508"/>
        <v>0</v>
      </c>
      <c r="AA202" s="195">
        <f t="shared" si="508"/>
        <v>0</v>
      </c>
      <c r="AB202" s="219">
        <f>X202*VLOOKUP($B202,Types!$B$2:$D$13,3,FALSE)*Conv!$I$5*1000*365</f>
        <v>0</v>
      </c>
      <c r="AC202" s="219">
        <f>Y202*VLOOKUP($B202,Types!$B$2:$D$13,3,FALSE)*Conv!$I$5*1000*365</f>
        <v>0</v>
      </c>
      <c r="AD202" s="219">
        <f>Z202*VLOOKUP($B202,Types!$B$2:$D$13,3,FALSE)*Conv!$I$5*1000*365</f>
        <v>0</v>
      </c>
      <c r="AE202" s="219">
        <f>AA202*VLOOKUP($B202,Types!$B$2:$D$13,3,FALSE)*Conv!$I$5*1000*365</f>
        <v>0</v>
      </c>
      <c r="AF202" s="219">
        <f>AB202-AB199</f>
        <v>0</v>
      </c>
      <c r="AG202" s="219">
        <f t="shared" ref="AG202:AI202" si="509">AC202-AC199</f>
        <v>0</v>
      </c>
      <c r="AH202" s="219">
        <f t="shared" si="509"/>
        <v>0</v>
      </c>
      <c r="AI202" s="219">
        <f t="shared" si="509"/>
        <v>0</v>
      </c>
      <c r="AJ202" s="219"/>
      <c r="AK202" s="219"/>
      <c r="AL202" s="219"/>
    </row>
    <row r="203" spans="1:38">
      <c r="A203" s="195" t="str">
        <f t="shared" si="503"/>
        <v>Reformulated Mogas</v>
      </c>
      <c r="B203" s="195" t="str">
        <f>VLOOKUP($A203,Types!$A$2:$C$13,2,FALSE)</f>
        <v>GSR</v>
      </c>
      <c r="C203" s="195">
        <v>5</v>
      </c>
      <c r="D203" s="195">
        <v>4</v>
      </c>
      <c r="E203" s="195" t="str">
        <f t="shared" si="498"/>
        <v>IMPGSRP45</v>
      </c>
      <c r="F203" s="195" t="str">
        <f>CONCATENATE("Imported ",VLOOKUP($A203,Types!$A$2:$C$13,3,FALSE),", PADD ",D203,", Step ",RIGHT(C203,1))</f>
        <v>Imported Reformulated Gasoline, PADD 4, Step 5</v>
      </c>
      <c r="G203" s="195" t="str">
        <f>CONCATENATE(VLOOKUP($A203,Types!$A$2:$C$13,2,FALSE),"P",D203)</f>
        <v>GSRP4</v>
      </c>
      <c r="H203" s="239">
        <f>H199*$C$9</f>
        <v>88.431200000000018</v>
      </c>
      <c r="I203" s="239">
        <f t="shared" ref="I203:K203" si="510">I199*$C$9</f>
        <v>162.01900000000001</v>
      </c>
      <c r="J203" s="239">
        <f t="shared" si="510"/>
        <v>147.29</v>
      </c>
      <c r="K203" s="239">
        <f t="shared" si="510"/>
        <v>147.29</v>
      </c>
      <c r="L203" s="240">
        <f>H203*Conv!$J$20/10^6/VLOOKUP($B203,Types!$B$2:$D$13,3,FALSE)/Conv!$I$5</f>
        <v>24.973888853557632</v>
      </c>
      <c r="M203" s="240">
        <f>I203*Conv!$J$20/10^6/VLOOKUP($B203,Types!$B$2:$D$13,3,FALSE)/Conv!$I$5</f>
        <v>45.755847462937894</v>
      </c>
      <c r="N203" s="240">
        <f>M203*'Imported Price Trends'!$K$19</f>
        <v>49.267464984358234</v>
      </c>
      <c r="O203" s="240">
        <f>N203*'Imported Price Trends'!$L$19</f>
        <v>48.799026408073885</v>
      </c>
      <c r="P203" s="240">
        <f>O203*'Imported Price Trends'!$M$19</f>
        <v>52.657576963425363</v>
      </c>
      <c r="Q203" s="240">
        <f>P203*'Imported Price Trends'!$N$19</f>
        <v>55.682353265871569</v>
      </c>
      <c r="R203" s="240">
        <f>Q203*'Imported Price Trends'!$O$19</f>
        <v>59.824231775992871</v>
      </c>
      <c r="S203" s="240">
        <f>R203*'Imported Price Trends'!$O$19</f>
        <v>64.274199951626187</v>
      </c>
      <c r="T203" s="240">
        <f>S203*'Imported Price Trends'!$O$19</f>
        <v>69.055174747424687</v>
      </c>
      <c r="U203" s="240">
        <f>T203*'Imported Price Trends'!$O$19</f>
        <v>74.191777773761459</v>
      </c>
      <c r="V203" s="240">
        <f>U203*'Imported Price Trends'!$O$19</f>
        <v>79.710462095912433</v>
      </c>
      <c r="W203" s="219"/>
      <c r="X203" s="195">
        <f>X199*$E$9</f>
        <v>0</v>
      </c>
      <c r="Y203" s="195">
        <f t="shared" ref="Y203:AA203" si="511">Y199*$E$9</f>
        <v>0</v>
      </c>
      <c r="Z203" s="195">
        <f t="shared" si="511"/>
        <v>0</v>
      </c>
      <c r="AA203" s="195">
        <f t="shared" si="511"/>
        <v>0</v>
      </c>
      <c r="AB203" s="219">
        <f>X203*VLOOKUP($B203,Types!$B$2:$D$13,3,FALSE)*Conv!$I$5*1000*365</f>
        <v>0</v>
      </c>
      <c r="AC203" s="219">
        <f>Y203*VLOOKUP($B203,Types!$B$2:$D$13,3,FALSE)*Conv!$I$5*1000*365</f>
        <v>0</v>
      </c>
      <c r="AD203" s="219">
        <f>Z203*VLOOKUP($B203,Types!$B$2:$D$13,3,FALSE)*Conv!$I$5*1000*365</f>
        <v>0</v>
      </c>
      <c r="AE203" s="219">
        <f>AA203*VLOOKUP($B203,Types!$B$2:$D$13,3,FALSE)*Conv!$I$5*1000*365</f>
        <v>0</v>
      </c>
      <c r="AF203" s="219">
        <f>AB203-AB202</f>
        <v>0</v>
      </c>
      <c r="AG203" s="219">
        <f t="shared" ref="AG203:AI203" si="512">AC203-AC202</f>
        <v>0</v>
      </c>
      <c r="AH203" s="219">
        <f t="shared" si="512"/>
        <v>0</v>
      </c>
      <c r="AI203" s="219">
        <f t="shared" si="512"/>
        <v>0</v>
      </c>
      <c r="AJ203" s="219"/>
      <c r="AK203" s="219"/>
      <c r="AL203" s="219"/>
    </row>
    <row r="204" spans="1:38">
      <c r="A204" s="195" t="str">
        <f>'Agg prdcrv'!$A$7</f>
        <v>Conventional Mogas</v>
      </c>
      <c r="B204" s="195" t="str">
        <f>VLOOKUP($A204,Types!$A$2:$C$13,2,FALSE)</f>
        <v>GSC</v>
      </c>
      <c r="C204" s="195">
        <v>3</v>
      </c>
      <c r="D204" s="195">
        <v>4</v>
      </c>
      <c r="E204" s="195" t="str">
        <f t="shared" si="498"/>
        <v>IMPGSCP43</v>
      </c>
      <c r="F204" s="195" t="str">
        <f>CONCATENATE("Imported ",VLOOKUP($A204,Types!$A$2:$C$13,3,FALSE),", PADD ",D204,", Step ",RIGHT(C204,1))</f>
        <v>Imported Conventional Gasoline, PADD 4, Step 3</v>
      </c>
      <c r="G204" s="195" t="str">
        <f>CONCATENATE(VLOOKUP($A204,Types!$A$2:$C$13,2,FALSE),"P",D204)</f>
        <v>GSCP4</v>
      </c>
      <c r="H204" s="239">
        <f>SUMIFS('Agg prdcrv NYC'!$O$6:$O$100,'Agg prdcrv NYC'!$A$6:$A$100,'Imp Refined NYC'!$A204,'Agg prdcrv NYC'!$B$6:$B$100,H$11)*K4</f>
        <v>65.868000000000009</v>
      </c>
      <c r="I204" s="239">
        <f>SUMIFS('Agg prdcrv NYC'!$O$6:$O$100,'Agg prdcrv NYC'!$A$6:$A$100,'Imp Refined NYC'!$A204,'Agg prdcrv NYC'!$B$6:$B$100,I$11)*K4</f>
        <v>54.571000000000005</v>
      </c>
      <c r="J204" s="239">
        <f t="array" ref="J204">SUMIFS('Agg prdcrv NYC'!$O$6:$O$100,'Agg prdcrv NYC'!$A$6:$A$100,'Imp Refined NYC'!$A204,'Agg prdcrv NYC'!$B$6:$B$100,J$11)</f>
        <v>42.88</v>
      </c>
      <c r="K204" s="239">
        <f t="array" ref="K204">SUMIFS('Agg prdcrv NYC'!$O$6:$O$100,'Agg prdcrv NYC'!$A$6:$A$100,'Imp Refined NYC'!$A204,'Agg prdcrv NYC'!$B$6:$B$100,K$11)</f>
        <v>46.46</v>
      </c>
      <c r="L204" s="240">
        <f>H204*Conv!$J$20/10^6/VLOOKUP($B204,Types!$B$2:$D$13,3,FALSE)/Conv!$I$5</f>
        <v>18.237065640018699</v>
      </c>
      <c r="M204" s="240">
        <f>I204*Conv!$J$20/10^6/VLOOKUP($B204,Types!$B$2:$D$13,3,FALSE)/Conv!$I$5</f>
        <v>15.109232237831122</v>
      </c>
      <c r="N204" s="240">
        <f>M204*'Imported Price Trends'!$K$19</f>
        <v>16.268818336734732</v>
      </c>
      <c r="O204" s="240">
        <f>N204*'Imported Price Trends'!$L$19</f>
        <v>16.114133249894802</v>
      </c>
      <c r="P204" s="240">
        <f>O204*'Imported Price Trends'!$M$19</f>
        <v>17.388281575733163</v>
      </c>
      <c r="Q204" s="240">
        <f>P204*'Imported Price Trends'!$N$19</f>
        <v>18.38710577319047</v>
      </c>
      <c r="R204" s="240">
        <f>Q204*'Imported Price Trends'!$O$19</f>
        <v>19.754813023307403</v>
      </c>
      <c r="S204" s="240">
        <f>R204*'Imported Price Trends'!$O$19</f>
        <v>21.224255867111403</v>
      </c>
      <c r="T204" s="240">
        <f>S204*'Imported Price Trends'!$O$19</f>
        <v>22.803001809287391</v>
      </c>
      <c r="U204" s="240">
        <f>T204*'Imported Price Trends'!$O$19</f>
        <v>24.499181256107438</v>
      </c>
      <c r="V204" s="240">
        <f>U204*'Imported Price Trends'!$O$19</f>
        <v>26.321529386326134</v>
      </c>
      <c r="W204" s="219"/>
      <c r="X204" s="195">
        <f t="array" ref="X204">SUMIFS('Agg prdcrv NYC'!$G$6:$G$100,'Agg prdcrv NYC'!$A$6:$A$100,'Imp Refined NYC'!$A204,'Agg prdcrv NYC'!$B$6:$B$100,X$11)</f>
        <v>0.55000000000000004</v>
      </c>
      <c r="Y204" s="195">
        <f t="array" ref="Y204">SUMIFS('Agg prdcrv NYC'!$G$6:$G$100,'Agg prdcrv NYC'!$A$6:$A$100,'Imp Refined NYC'!$A204,'Agg prdcrv NYC'!$B$6:$B$100,Y$11)</f>
        <v>0</v>
      </c>
      <c r="Z204" s="195">
        <f t="array" ref="Z204">SUMIFS('Agg prdcrv NYC'!$G$6:$G$100,'Agg prdcrv NYC'!$A$6:$A$100,'Imp Refined NYC'!$A204,'Agg prdcrv NYC'!$B$6:$B$100,Z$11)</f>
        <v>0</v>
      </c>
      <c r="AA204" s="195">
        <f t="array" ref="AA204">SUMIFS('Agg prdcrv NYC'!$G$6:$G$100,'Agg prdcrv NYC'!$A$6:$A$100,'Imp Refined NYC'!$A204,'Agg prdcrv NYC'!$B$6:$B$100,AA$11)</f>
        <v>0</v>
      </c>
      <c r="AB204" s="219">
        <f>X204*VLOOKUP($B204,Types!$B$2:$D$13,3,FALSE)*Conv!$I$5*1000*365</f>
        <v>1.1125984904759998</v>
      </c>
      <c r="AC204" s="219">
        <f>Y204*VLOOKUP($B204,Types!$B$2:$D$13,3,FALSE)*Conv!$I$5*1000*365</f>
        <v>0</v>
      </c>
      <c r="AD204" s="219">
        <f>Z204*VLOOKUP($B204,Types!$B$2:$D$13,3,FALSE)*Conv!$I$5*1000*365</f>
        <v>0</v>
      </c>
      <c r="AE204" s="219">
        <f>AA204*VLOOKUP($B204,Types!$B$2:$D$13,3,FALSE)*Conv!$I$5*1000*365</f>
        <v>0</v>
      </c>
      <c r="AF204" s="219">
        <f>AB204-AB206</f>
        <v>0.11125984904759978</v>
      </c>
      <c r="AG204" s="219">
        <f t="shared" ref="AG204:AI204" si="513">AC204-AC206</f>
        <v>0</v>
      </c>
      <c r="AH204" s="219">
        <f t="shared" si="513"/>
        <v>0</v>
      </c>
      <c r="AI204" s="219">
        <f t="shared" si="513"/>
        <v>0</v>
      </c>
      <c r="AJ204" s="219"/>
      <c r="AK204" s="219"/>
      <c r="AL204" s="219"/>
    </row>
    <row r="205" spans="1:38">
      <c r="A205" s="195" t="str">
        <f>A204</f>
        <v>Conventional Mogas</v>
      </c>
      <c r="B205" s="195" t="str">
        <f>VLOOKUP($A205,Types!$A$2:$C$13,2,FALSE)</f>
        <v>GSC</v>
      </c>
      <c r="C205" s="195">
        <v>1</v>
      </c>
      <c r="D205" s="195">
        <v>4</v>
      </c>
      <c r="E205" s="195" t="str">
        <f t="shared" si="498"/>
        <v>IMPGSCP41</v>
      </c>
      <c r="F205" s="195" t="str">
        <f>CONCATENATE("Imported ",VLOOKUP($A205,Types!$A$2:$C$13,3,FALSE),", PADD ",D205,", Step ",RIGHT(C205,1))</f>
        <v>Imported Conventional Gasoline, PADD 4, Step 1</v>
      </c>
      <c r="G205" s="195" t="str">
        <f>CONCATENATE(VLOOKUP($A205,Types!$A$2:$C$13,2,FALSE),"P",D205)</f>
        <v>GSCP4</v>
      </c>
      <c r="H205" s="239">
        <f>H204*$C$5</f>
        <v>62.574600000000004</v>
      </c>
      <c r="I205" s="239">
        <f t="shared" ref="I205:K205" si="514">I204*$C$5</f>
        <v>51.842449999999999</v>
      </c>
      <c r="J205" s="239">
        <f t="shared" si="514"/>
        <v>40.735999999999997</v>
      </c>
      <c r="K205" s="239">
        <f t="shared" si="514"/>
        <v>44.137</v>
      </c>
      <c r="L205" s="240">
        <f>H205*Conv!$J$20/10^6/VLOOKUP($B205,Types!$B$2:$D$13,3,FALSE)/Conv!$I$5</f>
        <v>17.325212358017762</v>
      </c>
      <c r="M205" s="240">
        <f>I205*Conv!$J$20/10^6/VLOOKUP($B205,Types!$B$2:$D$13,3,FALSE)/Conv!$I$5</f>
        <v>14.353770625939566</v>
      </c>
      <c r="N205" s="240">
        <f>M205*'Imported Price Trends'!$K$19</f>
        <v>15.455377419897996</v>
      </c>
      <c r="O205" s="240">
        <f>N205*'Imported Price Trends'!$L$19</f>
        <v>15.308426587400062</v>
      </c>
      <c r="P205" s="240">
        <f>O205*'Imported Price Trends'!$M$19</f>
        <v>16.518867496946505</v>
      </c>
      <c r="Q205" s="240">
        <f>P205*'Imported Price Trends'!$N$19</f>
        <v>17.467750484530946</v>
      </c>
      <c r="R205" s="240">
        <f>Q205*'Imported Price Trends'!$O$19</f>
        <v>18.767072372142032</v>
      </c>
      <c r="S205" s="240">
        <f>R205*'Imported Price Trends'!$O$19</f>
        <v>20.163043073755833</v>
      </c>
      <c r="T205" s="240">
        <f>S205*'Imported Price Trends'!$O$19</f>
        <v>21.662851718823021</v>
      </c>
      <c r="U205" s="240">
        <f>T205*'Imported Price Trends'!$O$19</f>
        <v>23.274222193302066</v>
      </c>
      <c r="V205" s="240">
        <f>U205*'Imported Price Trends'!$O$19</f>
        <v>25.005452917009826</v>
      </c>
      <c r="W205" s="219"/>
      <c r="X205" s="195">
        <f>X204*$E$5</f>
        <v>0.44000000000000006</v>
      </c>
      <c r="Y205" s="195">
        <f t="shared" ref="Y205:AA205" si="515">Y204*$E$5</f>
        <v>0</v>
      </c>
      <c r="Z205" s="195">
        <f t="shared" si="515"/>
        <v>0</v>
      </c>
      <c r="AA205" s="195">
        <f t="shared" si="515"/>
        <v>0</v>
      </c>
      <c r="AB205" s="219">
        <f>X205*VLOOKUP($B205,Types!$B$2:$D$13,3,FALSE)*Conv!$I$5*1000*365</f>
        <v>0.89007879238080001</v>
      </c>
      <c r="AC205" s="219">
        <f>Y205*VLOOKUP($B205,Types!$B$2:$D$13,3,FALSE)*Conv!$I$5*1000*365</f>
        <v>0</v>
      </c>
      <c r="AD205" s="219">
        <f>Z205*VLOOKUP($B205,Types!$B$2:$D$13,3,FALSE)*Conv!$I$5*1000*365</f>
        <v>0</v>
      </c>
      <c r="AE205" s="219">
        <f>AA205*VLOOKUP($B205,Types!$B$2:$D$13,3,FALSE)*Conv!$I$5*1000*365</f>
        <v>0</v>
      </c>
      <c r="AF205" s="219">
        <f>AB205</f>
        <v>0.89007879238080001</v>
      </c>
      <c r="AG205" s="219">
        <f t="shared" ref="AG205:AI205" si="516">AC205</f>
        <v>0</v>
      </c>
      <c r="AH205" s="219">
        <f t="shared" si="516"/>
        <v>0</v>
      </c>
      <c r="AI205" s="219">
        <f t="shared" si="516"/>
        <v>0</v>
      </c>
      <c r="AJ205" s="219"/>
      <c r="AK205" s="219"/>
      <c r="AL205" s="219"/>
    </row>
    <row r="206" spans="1:38">
      <c r="A206" s="195" t="str">
        <f t="shared" ref="A206:A208" si="517">A205</f>
        <v>Conventional Mogas</v>
      </c>
      <c r="B206" s="195" t="str">
        <f>VLOOKUP($A206,Types!$A$2:$C$13,2,FALSE)</f>
        <v>GSC</v>
      </c>
      <c r="C206" s="195">
        <v>2</v>
      </c>
      <c r="D206" s="195">
        <v>4</v>
      </c>
      <c r="E206" s="195" t="str">
        <f t="shared" si="498"/>
        <v>IMPGSCP42</v>
      </c>
      <c r="F206" s="195" t="str">
        <f>CONCATENATE("Imported ",VLOOKUP($A206,Types!$A$2:$C$13,3,FALSE),", PADD ",D206,", Step ",RIGHT(C206,1))</f>
        <v>Imported Conventional Gasoline, PADD 4, Step 2</v>
      </c>
      <c r="G206" s="195" t="str">
        <f>CONCATENATE(VLOOKUP($A206,Types!$A$2:$C$13,2,FALSE),"P",D206)</f>
        <v>GSCP4</v>
      </c>
      <c r="H206" s="239">
        <f>H204*$C$6</f>
        <v>64.550640000000001</v>
      </c>
      <c r="I206" s="239">
        <f t="shared" ref="I206:K206" si="518">I204*$C$6</f>
        <v>53.479580000000006</v>
      </c>
      <c r="J206" s="239">
        <f t="shared" si="518"/>
        <v>42.022400000000005</v>
      </c>
      <c r="K206" s="239">
        <f t="shared" si="518"/>
        <v>45.530799999999999</v>
      </c>
      <c r="L206" s="240">
        <f>H206*Conv!$J$20/10^6/VLOOKUP($B206,Types!$B$2:$D$13,3,FALSE)/Conv!$I$5</f>
        <v>17.872324327218326</v>
      </c>
      <c r="M206" s="240">
        <f>I206*Conv!$J$20/10^6/VLOOKUP($B206,Types!$B$2:$D$13,3,FALSE)/Conv!$I$5</f>
        <v>14.807047593074502</v>
      </c>
      <c r="N206" s="240">
        <f>M206*'Imported Price Trends'!$K$19</f>
        <v>15.943441970000041</v>
      </c>
      <c r="O206" s="240">
        <f>N206*'Imported Price Trends'!$L$19</f>
        <v>15.791850584896908</v>
      </c>
      <c r="P206" s="240">
        <f>O206*'Imported Price Trends'!$M$19</f>
        <v>17.040515944218502</v>
      </c>
      <c r="Q206" s="240">
        <f>P206*'Imported Price Trends'!$N$19</f>
        <v>18.019363657726661</v>
      </c>
      <c r="R206" s="240">
        <f>Q206*'Imported Price Trends'!$O$19</f>
        <v>19.359716762841256</v>
      </c>
      <c r="S206" s="240">
        <f>R206*'Imported Price Trends'!$O$19</f>
        <v>20.799770749769177</v>
      </c>
      <c r="T206" s="240">
        <f>S206*'Imported Price Trends'!$O$19</f>
        <v>22.346941773101644</v>
      </c>
      <c r="U206" s="240">
        <f>T206*'Imported Price Trends'!$O$19</f>
        <v>24.009197630985291</v>
      </c>
      <c r="V206" s="240">
        <f>U206*'Imported Price Trends'!$O$19</f>
        <v>25.795098798599614</v>
      </c>
      <c r="W206" s="219"/>
      <c r="X206" s="195">
        <f>X204*$E$6</f>
        <v>0.49500000000000005</v>
      </c>
      <c r="Y206" s="195">
        <f t="shared" ref="Y206:AA206" si="519">Y204*$E$6</f>
        <v>0</v>
      </c>
      <c r="Z206" s="195">
        <f t="shared" si="519"/>
        <v>0</v>
      </c>
      <c r="AA206" s="195">
        <f t="shared" si="519"/>
        <v>0</v>
      </c>
      <c r="AB206" s="219">
        <f>X206*VLOOKUP($B206,Types!$B$2:$D$13,3,FALSE)*Conv!$I$5*1000*365</f>
        <v>1.0013386414284</v>
      </c>
      <c r="AC206" s="219">
        <f>Y206*VLOOKUP($B206,Types!$B$2:$D$13,3,FALSE)*Conv!$I$5*1000*365</f>
        <v>0</v>
      </c>
      <c r="AD206" s="219">
        <f>Z206*VLOOKUP($B206,Types!$B$2:$D$13,3,FALSE)*Conv!$I$5*1000*365</f>
        <v>0</v>
      </c>
      <c r="AE206" s="219">
        <f>AA206*VLOOKUP($B206,Types!$B$2:$D$13,3,FALSE)*Conv!$I$5*1000*365</f>
        <v>0</v>
      </c>
      <c r="AF206" s="219">
        <f>AB206-AF205</f>
        <v>0.1112598490476</v>
      </c>
      <c r="AG206" s="219">
        <f t="shared" ref="AG206:AI206" si="520">AC206-AG205</f>
        <v>0</v>
      </c>
      <c r="AH206" s="219">
        <f t="shared" si="520"/>
        <v>0</v>
      </c>
      <c r="AI206" s="219">
        <f t="shared" si="520"/>
        <v>0</v>
      </c>
      <c r="AJ206" s="219"/>
      <c r="AK206" s="219"/>
      <c r="AL206" s="219"/>
    </row>
    <row r="207" spans="1:38">
      <c r="A207" s="195" t="str">
        <f t="shared" si="517"/>
        <v>Conventional Mogas</v>
      </c>
      <c r="B207" s="195" t="str">
        <f>VLOOKUP($A207,Types!$A$2:$C$13,2,FALSE)</f>
        <v>GSC</v>
      </c>
      <c r="C207" s="195">
        <v>4</v>
      </c>
      <c r="D207" s="195">
        <v>4</v>
      </c>
      <c r="E207" s="195" t="str">
        <f t="shared" si="498"/>
        <v>IMPGSCP44</v>
      </c>
      <c r="F207" s="195" t="str">
        <f>CONCATENATE("Imported ",VLOOKUP($A207,Types!$A$2:$C$13,3,FALSE),", PADD ",D207,", Step ",RIGHT(C207,1))</f>
        <v>Imported Conventional Gasoline, PADD 4, Step 4</v>
      </c>
      <c r="G207" s="195" t="str">
        <f>CONCATENATE(VLOOKUP($A207,Types!$A$2:$C$13,2,FALSE),"P",D207)</f>
        <v>GSCP4</v>
      </c>
      <c r="H207" s="239">
        <f>H204*$C$8</f>
        <v>71.796120000000016</v>
      </c>
      <c r="I207" s="239">
        <f t="shared" ref="I207:K207" si="521">I204*$C$8</f>
        <v>59.482390000000009</v>
      </c>
      <c r="J207" s="239">
        <f t="shared" si="521"/>
        <v>46.739200000000004</v>
      </c>
      <c r="K207" s="239">
        <f t="shared" si="521"/>
        <v>50.641400000000004</v>
      </c>
      <c r="L207" s="240">
        <f>H207*Conv!$J$20/10^6/VLOOKUP($B207,Types!$B$2:$D$13,3,FALSE)/Conv!$I$5</f>
        <v>19.878401547620381</v>
      </c>
      <c r="M207" s="240">
        <f>I207*Conv!$J$20/10^6/VLOOKUP($B207,Types!$B$2:$D$13,3,FALSE)/Conv!$I$5</f>
        <v>16.469063139235921</v>
      </c>
      <c r="N207" s="240">
        <f>M207*'Imported Price Trends'!$K$19</f>
        <v>17.733011987040854</v>
      </c>
      <c r="O207" s="240">
        <f>N207*'Imported Price Trends'!$L$19</f>
        <v>17.56440524238533</v>
      </c>
      <c r="P207" s="240">
        <f>O207*'Imported Price Trends'!$M$19</f>
        <v>18.953226917549145</v>
      </c>
      <c r="Q207" s="240">
        <f>P207*'Imported Price Trends'!$N$19</f>
        <v>20.041945292777609</v>
      </c>
      <c r="R207" s="240">
        <f>Q207*'Imported Price Trends'!$O$19</f>
        <v>21.532746195405068</v>
      </c>
      <c r="S207" s="240">
        <f>R207*'Imported Price Trends'!$O$19</f>
        <v>23.13443889515143</v>
      </c>
      <c r="T207" s="240">
        <f>S207*'Imported Price Trends'!$O$19</f>
        <v>24.855271972123255</v>
      </c>
      <c r="U207" s="240">
        <f>T207*'Imported Price Trends'!$O$19</f>
        <v>26.704107569157106</v>
      </c>
      <c r="V207" s="240">
        <f>U207*'Imported Price Trends'!$O$19</f>
        <v>28.690467031095483</v>
      </c>
      <c r="W207" s="219"/>
      <c r="X207" s="195">
        <f>X204*$E$8</f>
        <v>0.66</v>
      </c>
      <c r="Y207" s="195">
        <f t="shared" ref="Y207:AA207" si="522">Y204*$E$8</f>
        <v>0</v>
      </c>
      <c r="Z207" s="195">
        <f t="shared" si="522"/>
        <v>0</v>
      </c>
      <c r="AA207" s="195">
        <f t="shared" si="522"/>
        <v>0</v>
      </c>
      <c r="AB207" s="219">
        <f>X207*VLOOKUP($B207,Types!$B$2:$D$13,3,FALSE)*Conv!$I$5*1000*365</f>
        <v>1.3351181885712</v>
      </c>
      <c r="AC207" s="219">
        <f>Y207*VLOOKUP($B207,Types!$B$2:$D$13,3,FALSE)*Conv!$I$5*1000*365</f>
        <v>0</v>
      </c>
      <c r="AD207" s="219">
        <f>Z207*VLOOKUP($B207,Types!$B$2:$D$13,3,FALSE)*Conv!$I$5*1000*365</f>
        <v>0</v>
      </c>
      <c r="AE207" s="219">
        <f>AA207*VLOOKUP($B207,Types!$B$2:$D$13,3,FALSE)*Conv!$I$5*1000*365</f>
        <v>0</v>
      </c>
      <c r="AF207" s="219">
        <f>AB207-AB204</f>
        <v>0.22251969809520022</v>
      </c>
      <c r="AG207" s="219">
        <f t="shared" ref="AG207:AI207" si="523">AC207-AC204</f>
        <v>0</v>
      </c>
      <c r="AH207" s="219">
        <f t="shared" si="523"/>
        <v>0</v>
      </c>
      <c r="AI207" s="219">
        <f t="shared" si="523"/>
        <v>0</v>
      </c>
      <c r="AJ207" s="219"/>
      <c r="AK207" s="219"/>
      <c r="AL207" s="219"/>
    </row>
    <row r="208" spans="1:38">
      <c r="A208" s="195" t="str">
        <f t="shared" si="517"/>
        <v>Conventional Mogas</v>
      </c>
      <c r="B208" s="195" t="str">
        <f>VLOOKUP($A208,Types!$A$2:$C$13,2,FALSE)</f>
        <v>GSC</v>
      </c>
      <c r="C208" s="195">
        <v>5</v>
      </c>
      <c r="D208" s="195">
        <v>4</v>
      </c>
      <c r="E208" s="195" t="str">
        <f t="shared" si="498"/>
        <v>IMPGSCP45</v>
      </c>
      <c r="F208" s="195" t="str">
        <f>CONCATENATE("Imported ",VLOOKUP($A208,Types!$A$2:$C$13,3,FALSE),", PADD ",D208,", Step ",RIGHT(C208,1))</f>
        <v>Imported Conventional Gasoline, PADD 4, Step 5</v>
      </c>
      <c r="G208" s="195" t="str">
        <f>CONCATENATE(VLOOKUP($A208,Types!$A$2:$C$13,2,FALSE),"P",D208)</f>
        <v>GSCP4</v>
      </c>
      <c r="H208" s="239">
        <f>H204*$C$9</f>
        <v>85.628400000000013</v>
      </c>
      <c r="I208" s="239">
        <f t="shared" ref="I208:K208" si="524">I204*$C$9</f>
        <v>70.942300000000003</v>
      </c>
      <c r="J208" s="239">
        <f t="shared" si="524"/>
        <v>55.744000000000007</v>
      </c>
      <c r="K208" s="239">
        <f t="shared" si="524"/>
        <v>60.398000000000003</v>
      </c>
      <c r="L208" s="240">
        <f>H208*Conv!$J$20/10^6/VLOOKUP($B208,Types!$B$2:$D$13,3,FALSE)/Conv!$I$5</f>
        <v>23.708185332024311</v>
      </c>
      <c r="M208" s="240">
        <f>I208*Conv!$J$20/10^6/VLOOKUP($B208,Types!$B$2:$D$13,3,FALSE)/Conv!$I$5</f>
        <v>19.642001909180458</v>
      </c>
      <c r="N208" s="240">
        <f>M208*'Imported Price Trends'!$K$19</f>
        <v>21.14946383775515</v>
      </c>
      <c r="O208" s="240">
        <f>N208*'Imported Price Trends'!$L$19</f>
        <v>20.948373224863239</v>
      </c>
      <c r="P208" s="240">
        <f>O208*'Imported Price Trends'!$M$19</f>
        <v>22.604766048453108</v>
      </c>
      <c r="Q208" s="240">
        <f>P208*'Imported Price Trends'!$N$19</f>
        <v>23.903237505147604</v>
      </c>
      <c r="R208" s="240">
        <f>Q208*'Imported Price Trends'!$O$19</f>
        <v>25.681256930299618</v>
      </c>
      <c r="S208" s="240">
        <f>R208*'Imported Price Trends'!$O$19</f>
        <v>27.591532627244817</v>
      </c>
      <c r="T208" s="240">
        <f>S208*'Imported Price Trends'!$O$19</f>
        <v>29.643902352073599</v>
      </c>
      <c r="U208" s="240">
        <f>T208*'Imported Price Trends'!$O$19</f>
        <v>31.848935632939661</v>
      </c>
      <c r="V208" s="240">
        <f>U208*'Imported Price Trends'!$O$19</f>
        <v>34.217988202223964</v>
      </c>
      <c r="W208" s="219"/>
      <c r="X208" s="195">
        <f>X204*$E$9</f>
        <v>1.1000000000000001</v>
      </c>
      <c r="Y208" s="195">
        <f t="shared" ref="Y208:AA208" si="525">Y204*$E$9</f>
        <v>0</v>
      </c>
      <c r="Z208" s="195">
        <f t="shared" si="525"/>
        <v>0</v>
      </c>
      <c r="AA208" s="195">
        <f t="shared" si="525"/>
        <v>0</v>
      </c>
      <c r="AB208" s="219">
        <f>X208*VLOOKUP($B208,Types!$B$2:$D$13,3,FALSE)*Conv!$I$5*1000*365</f>
        <v>2.2251969809519996</v>
      </c>
      <c r="AC208" s="219">
        <f>Y208*VLOOKUP($B208,Types!$B$2:$D$13,3,FALSE)*Conv!$I$5*1000*365</f>
        <v>0</v>
      </c>
      <c r="AD208" s="219">
        <f>Z208*VLOOKUP($B208,Types!$B$2:$D$13,3,FALSE)*Conv!$I$5*1000*365</f>
        <v>0</v>
      </c>
      <c r="AE208" s="219">
        <f>AA208*VLOOKUP($B208,Types!$B$2:$D$13,3,FALSE)*Conv!$I$5*1000*365</f>
        <v>0</v>
      </c>
      <c r="AF208" s="219">
        <f>AB208-AB207</f>
        <v>0.89007879238079957</v>
      </c>
      <c r="AG208" s="219">
        <f t="shared" ref="AG208:AI208" si="526">AC208-AC207</f>
        <v>0</v>
      </c>
      <c r="AH208" s="219">
        <f t="shared" si="526"/>
        <v>0</v>
      </c>
      <c r="AI208" s="219">
        <f t="shared" si="526"/>
        <v>0</v>
      </c>
      <c r="AJ208" s="219"/>
      <c r="AK208" s="219"/>
      <c r="AL208" s="219"/>
    </row>
    <row r="209" spans="1:38">
      <c r="A209" s="195" t="str">
        <f>'Agg prdcrv'!$A$8</f>
        <v>Heating No. 2</v>
      </c>
      <c r="B209" s="195" t="str">
        <f>VLOOKUP($A209,Types!$A$2:$C$13,2,FALSE)</f>
        <v>DSH</v>
      </c>
      <c r="C209" s="195">
        <v>3</v>
      </c>
      <c r="D209" s="195">
        <v>4</v>
      </c>
      <c r="E209" s="195" t="str">
        <f t="shared" si="498"/>
        <v>IMPDSHP43</v>
      </c>
      <c r="F209" s="195" t="str">
        <f>CONCATENATE("Imported ",VLOOKUP($A209,Types!$A$2:$C$13,3,FALSE),", PADD ",D209,", Step ",RIGHT(C209,1))</f>
        <v>Imported Distillate-Heating Oil No. 2, PADD 4, Step 3</v>
      </c>
      <c r="G209" s="195" t="str">
        <f>CONCATENATE(VLOOKUP($A209,Types!$A$2:$C$13,2,FALSE),"P",D209)</f>
        <v>DSHP4</v>
      </c>
      <c r="H209" s="239">
        <f>SUMIFS('Agg prdcrv NYC'!$O$6:$O$100,'Agg prdcrv NYC'!$A$6:$A$100,'Imp Refined NYC'!$A209,'Agg prdcrv NYC'!$B$6:$B$100,H$11)*K4</f>
        <v>58.861000000000004</v>
      </c>
      <c r="I209" s="239">
        <f>SUMIFS('Agg prdcrv NYC'!$O$6:$O$100,'Agg prdcrv NYC'!$A$6:$A$100,'Imp Refined NYC'!$A209,'Agg prdcrv NYC'!$B$6:$B$100,I$11)*K4</f>
        <v>44.902000000000001</v>
      </c>
      <c r="J209" s="239">
        <f t="array" ref="J209">SUMIFS('Agg prdcrv NYC'!$O$6:$O$100,'Agg prdcrv NYC'!$A$6:$A$100,'Imp Refined NYC'!$A209,'Agg prdcrv NYC'!$B$6:$B$100,J$11)</f>
        <v>35.19</v>
      </c>
      <c r="K209" s="239">
        <f t="array" ref="K209">SUMIFS('Agg prdcrv NYC'!$O$6:$O$100,'Agg prdcrv NYC'!$A$6:$A$100,'Imp Refined NYC'!$A209,'Agg prdcrv NYC'!$B$6:$B$100,K$11)</f>
        <v>37.42</v>
      </c>
      <c r="L209" s="240">
        <f>H209*Conv!$J$20/10^6/VLOOKUP($B209,Types!$B$2:$D$13,3,FALSE)/Conv!$I$5</f>
        <v>14.696691963995358</v>
      </c>
      <c r="M209" s="240">
        <f>I209*Conv!$J$20/10^6/VLOOKUP($B209,Types!$B$2:$D$13,3,FALSE)/Conv!$I$5</f>
        <v>11.211343038129144</v>
      </c>
      <c r="N209" s="240">
        <f>M209*'Imported Price Trends'!$K$19</f>
        <v>12.071778388676147</v>
      </c>
      <c r="O209" s="240">
        <f>N209*'Imported Price Trends'!$L$19</f>
        <v>11.956999057460163</v>
      </c>
      <c r="P209" s="240">
        <f>O209*'Imported Price Trends'!$M$19</f>
        <v>12.902441799856078</v>
      </c>
      <c r="Q209" s="240">
        <f>P209*'Imported Price Trends'!$N$19</f>
        <v>13.643588705020424</v>
      </c>
      <c r="R209" s="240">
        <f>Q209*'Imported Price Trends'!$O$19</f>
        <v>14.658453981788343</v>
      </c>
      <c r="S209" s="240">
        <f>R209*'Imported Price Trends'!$O$19</f>
        <v>15.748809040039504</v>
      </c>
      <c r="T209" s="240">
        <f>S209*'Imported Price Trends'!$O$19</f>
        <v>16.920269114858645</v>
      </c>
      <c r="U209" s="240">
        <f>T209*'Imported Price Trends'!$O$19</f>
        <v>18.1788671252135</v>
      </c>
      <c r="V209" s="240">
        <f>U209*'Imported Price Trends'!$O$19</f>
        <v>19.531084742970354</v>
      </c>
      <c r="W209" s="219"/>
      <c r="X209" s="195">
        <f t="array" ref="X209">SUMIFS('Agg prdcrv NYC'!$G$6:$G$100,'Agg prdcrv NYC'!$A$6:$A$100,'Imp Refined NYC'!$A209,'Agg prdcrv NYC'!$B$6:$B$100,X$11)</f>
        <v>1.34</v>
      </c>
      <c r="Y209" s="195">
        <f t="array" ref="Y209">SUMIFS('Agg prdcrv NYC'!$G$6:$G$100,'Agg prdcrv NYC'!$A$6:$A$100,'Imp Refined NYC'!$A209,'Agg prdcrv NYC'!$B$6:$B$100,Y$11)</f>
        <v>0.87</v>
      </c>
      <c r="Z209" s="195">
        <f t="array" ref="Z209">SUMIFS('Agg prdcrv NYC'!$G$6:$G$100,'Agg prdcrv NYC'!$A$6:$A$100,'Imp Refined NYC'!$A209,'Agg prdcrv NYC'!$B$6:$B$100,Z$11)</f>
        <v>0.96</v>
      </c>
      <c r="AA209" s="195">
        <f t="array" ref="AA209">SUMIFS('Agg prdcrv NYC'!$G$6:$G$100,'Agg prdcrv NYC'!$A$6:$A$100,'Imp Refined NYC'!$A209,'Agg prdcrv NYC'!$B$6:$B$100,AA$11)</f>
        <v>1.06</v>
      </c>
      <c r="AB209" s="219">
        <f>X209*VLOOKUP($B209,Types!$B$2:$D$13,3,FALSE)*Conv!$I$5*1000*365</f>
        <v>3.0058624569199996</v>
      </c>
      <c r="AC209" s="219">
        <f>Y209*VLOOKUP($B209,Types!$B$2:$D$13,3,FALSE)*Conv!$I$5*1000*365</f>
        <v>1.9515674160599998</v>
      </c>
      <c r="AD209" s="219">
        <f>Z209*VLOOKUP($B209,Types!$B$2:$D$13,3,FALSE)*Conv!$I$5*1000*365</f>
        <v>2.1534537004799996</v>
      </c>
      <c r="AE209" s="219">
        <f>AA209*VLOOKUP($B209,Types!$B$2:$D$13,3,FALSE)*Conv!$I$5*1000*365</f>
        <v>2.3777717942799996</v>
      </c>
      <c r="AF209" s="219">
        <f>AB209-AB211</f>
        <v>0.30058624569199921</v>
      </c>
      <c r="AG209" s="219">
        <f t="shared" ref="AG209:AI209" si="527">AC209-AC211</f>
        <v>0.19515674160599983</v>
      </c>
      <c r="AH209" s="219">
        <f t="shared" si="527"/>
        <v>0.21534537004799992</v>
      </c>
      <c r="AI209" s="219">
        <f t="shared" si="527"/>
        <v>0.23777717942799947</v>
      </c>
      <c r="AJ209" s="219"/>
      <c r="AK209" s="219"/>
      <c r="AL209" s="219"/>
    </row>
    <row r="210" spans="1:38">
      <c r="A210" s="195" t="str">
        <f>A209</f>
        <v>Heating No. 2</v>
      </c>
      <c r="B210" s="195" t="str">
        <f>VLOOKUP($A210,Types!$A$2:$C$13,2,FALSE)</f>
        <v>DSH</v>
      </c>
      <c r="C210" s="195">
        <v>1</v>
      </c>
      <c r="D210" s="195">
        <v>4</v>
      </c>
      <c r="E210" s="195" t="str">
        <f t="shared" si="498"/>
        <v>IMPDSHP41</v>
      </c>
      <c r="F210" s="195" t="str">
        <f>CONCATENATE("Imported ",VLOOKUP($A210,Types!$A$2:$C$13,3,FALSE),", PADD ",D210,", Step ",RIGHT(C210,1))</f>
        <v>Imported Distillate-Heating Oil No. 2, PADD 4, Step 1</v>
      </c>
      <c r="G210" s="195" t="str">
        <f>CONCATENATE(VLOOKUP($A210,Types!$A$2:$C$13,2,FALSE),"P",D210)</f>
        <v>DSHP4</v>
      </c>
      <c r="H210" s="239">
        <f>H209*$C$5</f>
        <v>55.917950000000005</v>
      </c>
      <c r="I210" s="239">
        <f t="shared" ref="I210:K210" si="528">I209*$C$5</f>
        <v>42.6569</v>
      </c>
      <c r="J210" s="239">
        <f t="shared" si="528"/>
        <v>33.430499999999995</v>
      </c>
      <c r="K210" s="239">
        <f t="shared" si="528"/>
        <v>35.548999999999999</v>
      </c>
      <c r="L210" s="240">
        <f>H210*Conv!$J$20/10^6/VLOOKUP($B210,Types!$B$2:$D$13,3,FALSE)/Conv!$I$5</f>
        <v>13.96185736579559</v>
      </c>
      <c r="M210" s="240">
        <f>I210*Conv!$J$20/10^6/VLOOKUP($B210,Types!$B$2:$D$13,3,FALSE)/Conv!$I$5</f>
        <v>10.650775886222686</v>
      </c>
      <c r="N210" s="240">
        <f>M210*'Imported Price Trends'!$K$19</f>
        <v>11.46818946924234</v>
      </c>
      <c r="O210" s="240">
        <f>N210*'Imported Price Trends'!$L$19</f>
        <v>11.359149104587154</v>
      </c>
      <c r="P210" s="240">
        <f>O210*'Imported Price Trends'!$M$19</f>
        <v>12.257319709863273</v>
      </c>
      <c r="Q210" s="240">
        <f>P210*'Imported Price Trends'!$N$19</f>
        <v>12.961409269769401</v>
      </c>
      <c r="R210" s="240">
        <f>Q210*'Imported Price Trends'!$O$19</f>
        <v>13.925531282698923</v>
      </c>
      <c r="S210" s="240">
        <f>R210*'Imported Price Trends'!$O$19</f>
        <v>14.961368588037526</v>
      </c>
      <c r="T210" s="240">
        <f>S210*'Imported Price Trends'!$O$19</f>
        <v>16.07425565911571</v>
      </c>
      <c r="U210" s="240">
        <f>T210*'Imported Price Trends'!$O$19</f>
        <v>17.269923768952822</v>
      </c>
      <c r="V210" s="240">
        <f>U210*'Imported Price Trends'!$O$19</f>
        <v>18.55453050582183</v>
      </c>
      <c r="W210" s="219"/>
      <c r="X210" s="195">
        <f>X209*$E$5</f>
        <v>1.0720000000000001</v>
      </c>
      <c r="Y210" s="195">
        <f t="shared" ref="Y210:AA210" si="529">Y209*$E$5</f>
        <v>0.69600000000000006</v>
      </c>
      <c r="Z210" s="195">
        <f t="shared" si="529"/>
        <v>0.76800000000000002</v>
      </c>
      <c r="AA210" s="195">
        <f t="shared" si="529"/>
        <v>0.84800000000000009</v>
      </c>
      <c r="AB210" s="219">
        <f>X210*VLOOKUP($B210,Types!$B$2:$D$13,3,FALSE)*Conv!$I$5*1000*365</f>
        <v>2.4046899655359999</v>
      </c>
      <c r="AC210" s="219">
        <f>Y210*VLOOKUP($B210,Types!$B$2:$D$13,3,FALSE)*Conv!$I$5*1000*365</f>
        <v>1.561253932848</v>
      </c>
      <c r="AD210" s="219">
        <f>Z210*VLOOKUP($B210,Types!$B$2:$D$13,3,FALSE)*Conv!$I$5*1000*365</f>
        <v>1.7227629603839998</v>
      </c>
      <c r="AE210" s="219">
        <f>AA210*VLOOKUP($B210,Types!$B$2:$D$13,3,FALSE)*Conv!$I$5*1000*365</f>
        <v>1.902217435424</v>
      </c>
      <c r="AF210" s="219">
        <f>AB210</f>
        <v>2.4046899655359999</v>
      </c>
      <c r="AG210" s="219">
        <f t="shared" ref="AG210:AI210" si="530">AC210</f>
        <v>1.561253932848</v>
      </c>
      <c r="AH210" s="219">
        <f t="shared" si="530"/>
        <v>1.7227629603839998</v>
      </c>
      <c r="AI210" s="219">
        <f t="shared" si="530"/>
        <v>1.902217435424</v>
      </c>
      <c r="AJ210" s="219"/>
      <c r="AK210" s="219"/>
      <c r="AL210" s="219"/>
    </row>
    <row r="211" spans="1:38">
      <c r="A211" s="195" t="str">
        <f t="shared" ref="A211:A213" si="531">A210</f>
        <v>Heating No. 2</v>
      </c>
      <c r="B211" s="195" t="str">
        <f>VLOOKUP($A211,Types!$A$2:$C$13,2,FALSE)</f>
        <v>DSH</v>
      </c>
      <c r="C211" s="195">
        <v>2</v>
      </c>
      <c r="D211" s="195">
        <v>4</v>
      </c>
      <c r="E211" s="195" t="str">
        <f t="shared" si="498"/>
        <v>IMPDSHP42</v>
      </c>
      <c r="F211" s="195" t="str">
        <f>CONCATENATE("Imported ",VLOOKUP($A211,Types!$A$2:$C$13,3,FALSE),", PADD ",D211,", Step ",RIGHT(C211,1))</f>
        <v>Imported Distillate-Heating Oil No. 2, PADD 4, Step 2</v>
      </c>
      <c r="G211" s="195" t="str">
        <f>CONCATENATE(VLOOKUP($A211,Types!$A$2:$C$13,2,FALSE),"P",D211)</f>
        <v>DSHP4</v>
      </c>
      <c r="H211" s="239">
        <f>H209*$C$6</f>
        <v>57.683780000000006</v>
      </c>
      <c r="I211" s="239">
        <f t="shared" ref="I211:K211" si="532">I209*$C$6</f>
        <v>44.003959999999999</v>
      </c>
      <c r="J211" s="239">
        <f t="shared" si="532"/>
        <v>34.486199999999997</v>
      </c>
      <c r="K211" s="239">
        <f t="shared" si="532"/>
        <v>36.671599999999998</v>
      </c>
      <c r="L211" s="240">
        <f>H211*Conv!$J$20/10^6/VLOOKUP($B211,Types!$B$2:$D$13,3,FALSE)/Conv!$I$5</f>
        <v>14.402758124715453</v>
      </c>
      <c r="M211" s="240">
        <f>I211*Conv!$J$20/10^6/VLOOKUP($B211,Types!$B$2:$D$13,3,FALSE)/Conv!$I$5</f>
        <v>10.987116177366559</v>
      </c>
      <c r="N211" s="240">
        <f>M211*'Imported Price Trends'!$K$19</f>
        <v>11.830342820902624</v>
      </c>
      <c r="O211" s="240">
        <f>N211*'Imported Price Trends'!$L$19</f>
        <v>11.717859076310958</v>
      </c>
      <c r="P211" s="240">
        <f>O211*'Imported Price Trends'!$M$19</f>
        <v>12.644392963858955</v>
      </c>
      <c r="Q211" s="240">
        <f>P211*'Imported Price Trends'!$N$19</f>
        <v>13.370716930920013</v>
      </c>
      <c r="R211" s="240">
        <f>Q211*'Imported Price Trends'!$O$19</f>
        <v>14.365284902152574</v>
      </c>
      <c r="S211" s="240">
        <f>R211*'Imported Price Trends'!$O$19</f>
        <v>15.433832859238711</v>
      </c>
      <c r="T211" s="240">
        <f>S211*'Imported Price Trends'!$O$19</f>
        <v>16.581863732561466</v>
      </c>
      <c r="U211" s="240">
        <f>T211*'Imported Price Trends'!$O$19</f>
        <v>17.815289782709225</v>
      </c>
      <c r="V211" s="240">
        <f>U211*'Imported Price Trends'!$O$19</f>
        <v>19.140463048110941</v>
      </c>
      <c r="W211" s="219"/>
      <c r="X211" s="195">
        <f>X209*$E$6</f>
        <v>1.2060000000000002</v>
      </c>
      <c r="Y211" s="195">
        <f t="shared" ref="Y211:AA211" si="533">Y209*$E$6</f>
        <v>0.78300000000000003</v>
      </c>
      <c r="Z211" s="195">
        <f t="shared" si="533"/>
        <v>0.86399999999999999</v>
      </c>
      <c r="AA211" s="195">
        <f t="shared" si="533"/>
        <v>0.95400000000000007</v>
      </c>
      <c r="AB211" s="219">
        <f>X211*VLOOKUP($B211,Types!$B$2:$D$13,3,FALSE)*Conv!$I$5*1000*365</f>
        <v>2.7052762112280004</v>
      </c>
      <c r="AC211" s="219">
        <f>Y211*VLOOKUP($B211,Types!$B$2:$D$13,3,FALSE)*Conv!$I$5*1000*365</f>
        <v>1.756410674454</v>
      </c>
      <c r="AD211" s="219">
        <f>Z211*VLOOKUP($B211,Types!$B$2:$D$13,3,FALSE)*Conv!$I$5*1000*365</f>
        <v>1.9381083304319997</v>
      </c>
      <c r="AE211" s="219">
        <f>AA211*VLOOKUP($B211,Types!$B$2:$D$13,3,FALSE)*Conv!$I$5*1000*365</f>
        <v>2.1399946148520002</v>
      </c>
      <c r="AF211" s="219">
        <f>AB211-AF210</f>
        <v>0.30058624569200054</v>
      </c>
      <c r="AG211" s="219">
        <f t="shared" ref="AG211:AI211" si="534">AC211-AG210</f>
        <v>0.19515674160600005</v>
      </c>
      <c r="AH211" s="219">
        <f t="shared" si="534"/>
        <v>0.21534537004799992</v>
      </c>
      <c r="AI211" s="219">
        <f t="shared" si="534"/>
        <v>0.23777717942800014</v>
      </c>
      <c r="AJ211" s="219"/>
      <c r="AK211" s="219"/>
      <c r="AL211" s="219"/>
    </row>
    <row r="212" spans="1:38">
      <c r="A212" s="195" t="str">
        <f t="shared" si="531"/>
        <v>Heating No. 2</v>
      </c>
      <c r="B212" s="195" t="str">
        <f>VLOOKUP($A212,Types!$A$2:$C$13,2,FALSE)</f>
        <v>DSH</v>
      </c>
      <c r="C212" s="195">
        <v>4</v>
      </c>
      <c r="D212" s="195">
        <v>4</v>
      </c>
      <c r="E212" s="195" t="str">
        <f t="shared" si="498"/>
        <v>IMPDSHP44</v>
      </c>
      <c r="F212" s="195" t="str">
        <f>CONCATENATE("Imported ",VLOOKUP($A212,Types!$A$2:$C$13,3,FALSE),", PADD ",D212,", Step ",RIGHT(C212,1))</f>
        <v>Imported Distillate-Heating Oil No. 2, PADD 4, Step 4</v>
      </c>
      <c r="G212" s="195" t="str">
        <f>CONCATENATE(VLOOKUP($A212,Types!$A$2:$C$13,2,FALSE),"P",D212)</f>
        <v>DSHP4</v>
      </c>
      <c r="H212" s="239">
        <f>H209*$C$8</f>
        <v>64.158490000000015</v>
      </c>
      <c r="I212" s="239">
        <f t="shared" ref="I212:K212" si="535">I209*$C$8</f>
        <v>48.943180000000005</v>
      </c>
      <c r="J212" s="239">
        <f t="shared" si="535"/>
        <v>38.357100000000003</v>
      </c>
      <c r="K212" s="239">
        <f t="shared" si="535"/>
        <v>40.787800000000004</v>
      </c>
      <c r="L212" s="240">
        <f>H212*Conv!$J$20/10^6/VLOOKUP($B212,Types!$B$2:$D$13,3,FALSE)/Conv!$I$5</f>
        <v>16.019394240754941</v>
      </c>
      <c r="M212" s="240">
        <f>I212*Conv!$J$20/10^6/VLOOKUP($B212,Types!$B$2:$D$13,3,FALSE)/Conv!$I$5</f>
        <v>12.220363911560765</v>
      </c>
      <c r="N212" s="240">
        <f>M212*'Imported Price Trends'!$K$19</f>
        <v>13.158238443657</v>
      </c>
      <c r="O212" s="240">
        <f>N212*'Imported Price Trends'!$L$19</f>
        <v>13.033128972631575</v>
      </c>
      <c r="P212" s="240">
        <f>O212*'Imported Price Trends'!$M$19</f>
        <v>14.063661561843121</v>
      </c>
      <c r="Q212" s="240">
        <f>P212*'Imported Price Trends'!$N$19</f>
        <v>14.871511688472257</v>
      </c>
      <c r="R212" s="240">
        <f>Q212*'Imported Price Trends'!$O$19</f>
        <v>15.977714840149288</v>
      </c>
      <c r="S212" s="240">
        <f>R212*'Imported Price Trends'!$O$19</f>
        <v>17.166201853643052</v>
      </c>
      <c r="T212" s="240">
        <f>S212*'Imported Price Trends'!$O$19</f>
        <v>18.443093335195915</v>
      </c>
      <c r="U212" s="240">
        <f>T212*'Imported Price Trends'!$O$19</f>
        <v>19.814965166482708</v>
      </c>
      <c r="V212" s="240">
        <f>U212*'Imported Price Trends'!$O$19</f>
        <v>21.288882369837676</v>
      </c>
      <c r="W212" s="219"/>
      <c r="X212" s="195">
        <f>X209*$E$8</f>
        <v>1.6080000000000001</v>
      </c>
      <c r="Y212" s="195">
        <f t="shared" ref="Y212:AA212" si="536">Y209*$E$8</f>
        <v>1.044</v>
      </c>
      <c r="Z212" s="195">
        <f t="shared" si="536"/>
        <v>1.1519999999999999</v>
      </c>
      <c r="AA212" s="195">
        <f t="shared" si="536"/>
        <v>1.272</v>
      </c>
      <c r="AB212" s="219">
        <f>X212*VLOOKUP($B212,Types!$B$2:$D$13,3,FALSE)*Conv!$I$5*1000*365</f>
        <v>3.6070349483039998</v>
      </c>
      <c r="AC212" s="219">
        <f>Y212*VLOOKUP($B212,Types!$B$2:$D$13,3,FALSE)*Conv!$I$5*1000*365</f>
        <v>2.3418808992720002</v>
      </c>
      <c r="AD212" s="219">
        <f>Z212*VLOOKUP($B212,Types!$B$2:$D$13,3,FALSE)*Conv!$I$5*1000*365</f>
        <v>2.5841444405759999</v>
      </c>
      <c r="AE212" s="219">
        <f>AA212*VLOOKUP($B212,Types!$B$2:$D$13,3,FALSE)*Conv!$I$5*1000*365</f>
        <v>2.8533261531360004</v>
      </c>
      <c r="AF212" s="219">
        <f>AB212-AB209</f>
        <v>0.6011724913840002</v>
      </c>
      <c r="AG212" s="219">
        <f t="shared" ref="AG212:AI212" si="537">AC212-AC209</f>
        <v>0.39031348321200032</v>
      </c>
      <c r="AH212" s="219">
        <f t="shared" si="537"/>
        <v>0.43069074009600028</v>
      </c>
      <c r="AI212" s="219">
        <f t="shared" si="537"/>
        <v>0.47555435885600073</v>
      </c>
      <c r="AJ212" s="219"/>
      <c r="AK212" s="219"/>
      <c r="AL212" s="219"/>
    </row>
    <row r="213" spans="1:38">
      <c r="A213" s="195" t="str">
        <f t="shared" si="531"/>
        <v>Heating No. 2</v>
      </c>
      <c r="B213" s="195" t="str">
        <f>VLOOKUP($A213,Types!$A$2:$C$13,2,FALSE)</f>
        <v>DSH</v>
      </c>
      <c r="C213" s="195">
        <v>5</v>
      </c>
      <c r="D213" s="195">
        <v>4</v>
      </c>
      <c r="E213" s="195" t="str">
        <f t="shared" si="498"/>
        <v>IMPDSHP45</v>
      </c>
      <c r="F213" s="195" t="str">
        <f>CONCATENATE("Imported ",VLOOKUP($A213,Types!$A$2:$C$13,3,FALSE),", PADD ",D213,", Step ",RIGHT(C213,1))</f>
        <v>Imported Distillate-Heating Oil No. 2, PADD 4, Step 5</v>
      </c>
      <c r="G213" s="195" t="str">
        <f>CONCATENATE(VLOOKUP($A213,Types!$A$2:$C$13,2,FALSE),"P",D213)</f>
        <v>DSHP4</v>
      </c>
      <c r="H213" s="239">
        <f>H209*$C$9</f>
        <v>76.519300000000001</v>
      </c>
      <c r="I213" s="239">
        <f t="shared" ref="I213:K213" si="538">I209*$C$9</f>
        <v>58.372600000000006</v>
      </c>
      <c r="J213" s="239">
        <f t="shared" si="538"/>
        <v>45.747</v>
      </c>
      <c r="K213" s="239">
        <f t="shared" si="538"/>
        <v>48.646000000000001</v>
      </c>
      <c r="L213" s="240">
        <f>H213*Conv!$J$20/10^6/VLOOKUP($B213,Types!$B$2:$D$13,3,FALSE)/Conv!$I$5</f>
        <v>19.105699553193965</v>
      </c>
      <c r="M213" s="240">
        <f>I213*Conv!$J$20/10^6/VLOOKUP($B213,Types!$B$2:$D$13,3,FALSE)/Conv!$I$5</f>
        <v>14.574745949567887</v>
      </c>
      <c r="N213" s="240">
        <f>M213*'Imported Price Trends'!$K$19</f>
        <v>15.693311905278993</v>
      </c>
      <c r="O213" s="240">
        <f>N213*'Imported Price Trends'!$L$19</f>
        <v>15.544098774698211</v>
      </c>
      <c r="P213" s="240">
        <f>O213*'Imported Price Trends'!$M$19</f>
        <v>16.773174339812901</v>
      </c>
      <c r="Q213" s="240">
        <f>P213*'Imported Price Trends'!$N$19</f>
        <v>17.736665316526548</v>
      </c>
      <c r="R213" s="240">
        <f>Q213*'Imported Price Trends'!$O$19</f>
        <v>19.05599017632484</v>
      </c>
      <c r="S213" s="240">
        <f>R213*'Imported Price Trends'!$O$19</f>
        <v>20.47345175205135</v>
      </c>
      <c r="T213" s="240">
        <f>S213*'Imported Price Trends'!$O$19</f>
        <v>21.996349849316232</v>
      </c>
      <c r="U213" s="240">
        <f>T213*'Imported Price Trends'!$O$19</f>
        <v>23.632527262777543</v>
      </c>
      <c r="V213" s="240">
        <f>U213*'Imported Price Trends'!$O$19</f>
        <v>25.39041016586145</v>
      </c>
      <c r="W213" s="219"/>
      <c r="X213" s="195">
        <f>X209*$E$9</f>
        <v>2.68</v>
      </c>
      <c r="Y213" s="195">
        <f t="shared" ref="Y213:AA213" si="539">Y209*$E$9</f>
        <v>1.74</v>
      </c>
      <c r="Z213" s="195">
        <f t="shared" si="539"/>
        <v>1.92</v>
      </c>
      <c r="AA213" s="195">
        <f t="shared" si="539"/>
        <v>2.12</v>
      </c>
      <c r="AB213" s="219">
        <f>X213*VLOOKUP($B213,Types!$B$2:$D$13,3,FALSE)*Conv!$I$5*1000*365</f>
        <v>6.0117249138399993</v>
      </c>
      <c r="AC213" s="219">
        <f>Y213*VLOOKUP($B213,Types!$B$2:$D$13,3,FALSE)*Conv!$I$5*1000*365</f>
        <v>3.9031348321199997</v>
      </c>
      <c r="AD213" s="219">
        <f>Z213*VLOOKUP($B213,Types!$B$2:$D$13,3,FALSE)*Conv!$I$5*1000*365</f>
        <v>4.3069074009599992</v>
      </c>
      <c r="AE213" s="219">
        <f>AA213*VLOOKUP($B213,Types!$B$2:$D$13,3,FALSE)*Conv!$I$5*1000*365</f>
        <v>4.7555435885599993</v>
      </c>
      <c r="AF213" s="219">
        <f>AB213-AB212</f>
        <v>2.4046899655359995</v>
      </c>
      <c r="AG213" s="219">
        <f t="shared" ref="AG213:AI213" si="540">AC213-AC212</f>
        <v>1.5612539328479995</v>
      </c>
      <c r="AH213" s="219">
        <f t="shared" si="540"/>
        <v>1.7227629603839993</v>
      </c>
      <c r="AI213" s="219">
        <f t="shared" si="540"/>
        <v>1.9022174354239989</v>
      </c>
      <c r="AJ213" s="219"/>
      <c r="AK213" s="219"/>
      <c r="AL213" s="219"/>
    </row>
    <row r="214" spans="1:38">
      <c r="A214" s="195" t="str">
        <f>'Agg prdcrv'!$A$9</f>
        <v>LS Diesel (500 ppm)</v>
      </c>
      <c r="B214" s="195" t="str">
        <f>VLOOKUP($A214,Types!$A$2:$C$13,2,FALSE)</f>
        <v>DSL</v>
      </c>
      <c r="C214" s="195">
        <v>3</v>
      </c>
      <c r="D214" s="195">
        <v>4</v>
      </c>
      <c r="E214" s="195" t="str">
        <f t="shared" si="498"/>
        <v>IMPDSLP43</v>
      </c>
      <c r="F214" s="195" t="str">
        <f>CONCATENATE("Imported ",VLOOKUP($A214,Types!$A$2:$C$13,3,FALSE),", PADD ",D214,", Step ",RIGHT(C214,1))</f>
        <v>Imported Distillate-Low Sulfur Highway Diesel (500 ppm), PADD 4, Step 3</v>
      </c>
      <c r="G214" s="195" t="str">
        <f>CONCATENATE(VLOOKUP($A214,Types!$A$2:$C$13,2,FALSE),"P",D214)</f>
        <v>DSLP4</v>
      </c>
      <c r="H214" s="239">
        <f>SUMIFS('Agg prdcrv NYC'!$O$6:$O$100,'Agg prdcrv NYC'!$A$6:$A$100,'Imp Refined NYC'!$A214,'Agg prdcrv NYC'!$B$6:$B$100,H$11)*K4</f>
        <v>67.463000000000008</v>
      </c>
      <c r="I214" s="239">
        <f>SUMIFS('Agg prdcrv NYC'!$O$6:$O$100,'Agg prdcrv NYC'!$A$6:$A$100,'Imp Refined NYC'!$A214,'Agg prdcrv NYC'!$B$6:$B$100,I$11)*K4</f>
        <v>50.754000000000005</v>
      </c>
      <c r="J214" s="239">
        <f t="array" ref="J214">SUMIFS('Agg prdcrv NYC'!$O$6:$O$100,'Agg prdcrv NYC'!$A$6:$A$100,'Imp Refined NYC'!$A214,'Agg prdcrv NYC'!$B$6:$B$100,J$11)</f>
        <v>113.5</v>
      </c>
      <c r="K214" s="239">
        <f t="array" ref="K214">SUMIFS('Agg prdcrv NYC'!$O$6:$O$100,'Agg prdcrv NYC'!$A$6:$A$100,'Imp Refined NYC'!$A214,'Agg prdcrv NYC'!$B$6:$B$100,K$11)</f>
        <v>113.5</v>
      </c>
      <c r="L214" s="240">
        <f>H214*Conv!$J$20/10^6/VLOOKUP($B214,Types!$B$2:$D$13,3,FALSE)/Conv!$I$5</f>
        <v>16.844479875758459</v>
      </c>
      <c r="M214" s="240">
        <f>I214*Conv!$J$20/10^6/VLOOKUP($B214,Types!$B$2:$D$13,3,FALSE)/Conv!$I$5</f>
        <v>12.672497985773608</v>
      </c>
      <c r="N214" s="240">
        <f>M214*'Imported Price Trends'!$K$19</f>
        <v>13.645072387396313</v>
      </c>
      <c r="O214" s="240">
        <f>N214*'Imported Price Trends'!$L$19</f>
        <v>13.515334064458891</v>
      </c>
      <c r="P214" s="240">
        <f>O214*'Imported Price Trends'!$M$19</f>
        <v>14.58399472428612</v>
      </c>
      <c r="Q214" s="240">
        <f>P214*'Imported Price Trends'!$N$19</f>
        <v>15.421734023754098</v>
      </c>
      <c r="R214" s="240">
        <f>Q214*'Imported Price Trends'!$O$19</f>
        <v>16.568864936788682</v>
      </c>
      <c r="S214" s="240">
        <f>R214*'Imported Price Trends'!$O$19</f>
        <v>17.801324083964296</v>
      </c>
      <c r="T214" s="240">
        <f>S214*'Imported Price Trends'!$O$19</f>
        <v>19.125458524242472</v>
      </c>
      <c r="U214" s="240">
        <f>T214*'Imported Price Trends'!$O$19</f>
        <v>20.548087436485808</v>
      </c>
      <c r="V214" s="240">
        <f>U214*'Imported Price Trends'!$O$19</f>
        <v>22.076537237644583</v>
      </c>
      <c r="W214" s="219"/>
      <c r="X214" s="195">
        <f t="array" ref="X214">SUMIFS('Agg prdcrv NYC'!$G$6:$G$100,'Agg prdcrv NYC'!$A$6:$A$100,'Imp Refined NYC'!$A214,'Agg prdcrv NYC'!$B$6:$B$100,X$11)</f>
        <v>9.3699999999999992</v>
      </c>
      <c r="Y214" s="195">
        <f t="array" ref="Y214">SUMIFS('Agg prdcrv NYC'!$G$6:$G$100,'Agg prdcrv NYC'!$A$6:$A$100,'Imp Refined NYC'!$A214,'Agg prdcrv NYC'!$B$6:$B$100,Y$11)</f>
        <v>2.13</v>
      </c>
      <c r="Z214" s="195">
        <f t="array" ref="Z214">SUMIFS('Agg prdcrv NYC'!$G$6:$G$100,'Agg prdcrv NYC'!$A$6:$A$100,'Imp Refined NYC'!$A214,'Agg prdcrv NYC'!$B$6:$B$100,Z$11)</f>
        <v>0.5</v>
      </c>
      <c r="AA214" s="195">
        <f t="array" ref="AA214">SUMIFS('Agg prdcrv NYC'!$G$6:$G$100,'Agg prdcrv NYC'!$A$6:$A$100,'Imp Refined NYC'!$A214,'Agg prdcrv NYC'!$B$6:$B$100,AA$11)</f>
        <v>0.12</v>
      </c>
      <c r="AB214" s="219">
        <f>X214*VLOOKUP($B214,Types!$B$2:$D$13,3,FALSE)*Conv!$I$5*1000*365</f>
        <v>21.018605389059999</v>
      </c>
      <c r="AC214" s="219">
        <f>Y214*VLOOKUP($B214,Types!$B$2:$D$13,3,FALSE)*Conv!$I$5*1000*365</f>
        <v>4.7779753979399997</v>
      </c>
      <c r="AD214" s="219">
        <f>Z214*VLOOKUP($B214,Types!$B$2:$D$13,3,FALSE)*Conv!$I$5*1000*365</f>
        <v>1.1215904689999998</v>
      </c>
      <c r="AE214" s="219">
        <f>AA214*VLOOKUP($B214,Types!$B$2:$D$13,3,FALSE)*Conv!$I$5*1000*365</f>
        <v>0.26918171255999995</v>
      </c>
      <c r="AF214" s="219">
        <f>AB214-AB216</f>
        <v>2.1018605389060028</v>
      </c>
      <c r="AG214" s="219">
        <f t="shared" ref="AG214:AI214" si="541">AC214-AC216</f>
        <v>0.47779753979400041</v>
      </c>
      <c r="AH214" s="219">
        <f t="shared" si="541"/>
        <v>0.11215904689999978</v>
      </c>
      <c r="AI214" s="219">
        <f t="shared" si="541"/>
        <v>2.691817125599999E-2</v>
      </c>
      <c r="AJ214" s="219"/>
      <c r="AK214" s="219"/>
      <c r="AL214" s="219"/>
    </row>
    <row r="215" spans="1:38">
      <c r="A215" s="195" t="str">
        <f>A214</f>
        <v>LS Diesel (500 ppm)</v>
      </c>
      <c r="B215" s="195" t="str">
        <f>VLOOKUP($A215,Types!$A$2:$C$13,2,FALSE)</f>
        <v>DSL</v>
      </c>
      <c r="C215" s="195">
        <v>1</v>
      </c>
      <c r="D215" s="195">
        <v>4</v>
      </c>
      <c r="E215" s="195" t="str">
        <f t="shared" si="498"/>
        <v>IMPDSLP41</v>
      </c>
      <c r="F215" s="195" t="str">
        <f>CONCATENATE("Imported ",VLOOKUP($A215,Types!$A$2:$C$13,3,FALSE),", PADD ",D215,", Step ",RIGHT(C215,1))</f>
        <v>Imported Distillate-Low Sulfur Highway Diesel (500 ppm), PADD 4, Step 1</v>
      </c>
      <c r="G215" s="195" t="str">
        <f>CONCATENATE(VLOOKUP($A215,Types!$A$2:$C$13,2,FALSE),"P",D215)</f>
        <v>DSLP4</v>
      </c>
      <c r="H215" s="239">
        <f>H214*$C$5</f>
        <v>64.089849999999998</v>
      </c>
      <c r="I215" s="239">
        <f t="shared" ref="I215:K215" si="542">I214*$C$5</f>
        <v>48.216300000000004</v>
      </c>
      <c r="J215" s="239">
        <f t="shared" si="542"/>
        <v>107.82499999999999</v>
      </c>
      <c r="K215" s="239">
        <f t="shared" si="542"/>
        <v>107.82499999999999</v>
      </c>
      <c r="L215" s="240">
        <f>H215*Conv!$J$20/10^6/VLOOKUP($B215,Types!$B$2:$D$13,3,FALSE)/Conv!$I$5</f>
        <v>16.002255881970537</v>
      </c>
      <c r="M215" s="240">
        <f>I215*Conv!$J$20/10^6/VLOOKUP($B215,Types!$B$2:$D$13,3,FALSE)/Conv!$I$5</f>
        <v>12.038873086484926</v>
      </c>
      <c r="N215" s="240">
        <f>M215*'Imported Price Trends'!$K$19</f>
        <v>12.962818768026496</v>
      </c>
      <c r="O215" s="240">
        <f>N215*'Imported Price Trends'!$L$19</f>
        <v>12.839567361235945</v>
      </c>
      <c r="P215" s="240">
        <f>O215*'Imported Price Trends'!$M$19</f>
        <v>13.854794988071813</v>
      </c>
      <c r="Q215" s="240">
        <f>P215*'Imported Price Trends'!$N$19</f>
        <v>14.650647322566392</v>
      </c>
      <c r="R215" s="240">
        <f>Q215*'Imported Price Trends'!$O$19</f>
        <v>15.740421689949248</v>
      </c>
      <c r="S215" s="240">
        <f>R215*'Imported Price Trends'!$O$19</f>
        <v>16.91125787976608</v>
      </c>
      <c r="T215" s="240">
        <f>S215*'Imported Price Trends'!$O$19</f>
        <v>18.169185598030346</v>
      </c>
      <c r="U215" s="240">
        <f>T215*'Imported Price Trends'!$O$19</f>
        <v>19.520683064661515</v>
      </c>
      <c r="V215" s="240">
        <f>U215*'Imported Price Trends'!$O$19</f>
        <v>20.97271037576235</v>
      </c>
      <c r="W215" s="219"/>
      <c r="X215" s="195">
        <f>X214*$E$5</f>
        <v>7.4959999999999996</v>
      </c>
      <c r="Y215" s="195">
        <f t="shared" ref="Y215:AA215" si="543">Y214*$E$5</f>
        <v>1.704</v>
      </c>
      <c r="Z215" s="195">
        <f t="shared" si="543"/>
        <v>0.4</v>
      </c>
      <c r="AA215" s="195">
        <f t="shared" si="543"/>
        <v>9.6000000000000002E-2</v>
      </c>
      <c r="AB215" s="219">
        <f>X215*VLOOKUP($B215,Types!$B$2:$D$13,3,FALSE)*Conv!$I$5*1000*365</f>
        <v>16.814884311247997</v>
      </c>
      <c r="AC215" s="219">
        <f>Y215*VLOOKUP($B215,Types!$B$2:$D$13,3,FALSE)*Conv!$I$5*1000*365</f>
        <v>3.8223803183519998</v>
      </c>
      <c r="AD215" s="219">
        <f>Z215*VLOOKUP($B215,Types!$B$2:$D$13,3,FALSE)*Conv!$I$5*1000*365</f>
        <v>0.89727237519999981</v>
      </c>
      <c r="AE215" s="219">
        <f>AA215*VLOOKUP($B215,Types!$B$2:$D$13,3,FALSE)*Conv!$I$5*1000*365</f>
        <v>0.21534537004799997</v>
      </c>
      <c r="AF215" s="219">
        <f>AB215</f>
        <v>16.814884311247997</v>
      </c>
      <c r="AG215" s="219">
        <f t="shared" ref="AG215:AI215" si="544">AC215</f>
        <v>3.8223803183519998</v>
      </c>
      <c r="AH215" s="219">
        <f t="shared" si="544"/>
        <v>0.89727237519999981</v>
      </c>
      <c r="AI215" s="219">
        <f t="shared" si="544"/>
        <v>0.21534537004799997</v>
      </c>
      <c r="AJ215" s="219"/>
      <c r="AK215" s="219"/>
      <c r="AL215" s="219"/>
    </row>
    <row r="216" spans="1:38">
      <c r="A216" s="195" t="str">
        <f t="shared" ref="A216:A218" si="545">A215</f>
        <v>LS Diesel (500 ppm)</v>
      </c>
      <c r="B216" s="195" t="str">
        <f>VLOOKUP($A216,Types!$A$2:$C$13,2,FALSE)</f>
        <v>DSL</v>
      </c>
      <c r="C216" s="195">
        <v>2</v>
      </c>
      <c r="D216" s="195">
        <v>4</v>
      </c>
      <c r="E216" s="195" t="str">
        <f t="shared" si="498"/>
        <v>IMPDSLP42</v>
      </c>
      <c r="F216" s="195" t="str">
        <f>CONCATENATE("Imported ",VLOOKUP($A216,Types!$A$2:$C$13,3,FALSE),", PADD ",D216,", Step ",RIGHT(C216,1))</f>
        <v>Imported Distillate-Low Sulfur Highway Diesel (500 ppm), PADD 4, Step 2</v>
      </c>
      <c r="G216" s="195" t="str">
        <f>CONCATENATE(VLOOKUP($A216,Types!$A$2:$C$13,2,FALSE),"P",D216)</f>
        <v>DSLP4</v>
      </c>
      <c r="H216" s="239">
        <f>H214*$C$6</f>
        <v>66.113740000000007</v>
      </c>
      <c r="I216" s="239">
        <f t="shared" ref="I216:K216" si="546">I214*$C$6</f>
        <v>49.738920000000007</v>
      </c>
      <c r="J216" s="239">
        <f t="shared" si="546"/>
        <v>111.23</v>
      </c>
      <c r="K216" s="239">
        <f t="shared" si="546"/>
        <v>111.23</v>
      </c>
      <c r="L216" s="240">
        <f>H216*Conv!$J$20/10^6/VLOOKUP($B216,Types!$B$2:$D$13,3,FALSE)/Conv!$I$5</f>
        <v>16.507590278243296</v>
      </c>
      <c r="M216" s="240">
        <f>I216*Conv!$J$20/10^6/VLOOKUP($B216,Types!$B$2:$D$13,3,FALSE)/Conv!$I$5</f>
        <v>12.419048026058137</v>
      </c>
      <c r="N216" s="240">
        <f>M216*'Imported Price Trends'!$K$19</f>
        <v>13.372170939648386</v>
      </c>
      <c r="O216" s="240">
        <f>N216*'Imported Price Trends'!$L$19</f>
        <v>13.245027383169713</v>
      </c>
      <c r="P216" s="240">
        <f>O216*'Imported Price Trends'!$M$19</f>
        <v>14.292314829800398</v>
      </c>
      <c r="Q216" s="240">
        <f>P216*'Imported Price Trends'!$N$19</f>
        <v>15.113299343279017</v>
      </c>
      <c r="R216" s="240">
        <f>Q216*'Imported Price Trends'!$O$19</f>
        <v>16.237487638052912</v>
      </c>
      <c r="S216" s="240">
        <f>R216*'Imported Price Trends'!$O$19</f>
        <v>17.445297602285013</v>
      </c>
      <c r="T216" s="240">
        <f>S216*'Imported Price Trends'!$O$19</f>
        <v>18.742949353757623</v>
      </c>
      <c r="U216" s="240">
        <f>T216*'Imported Price Trends'!$O$19</f>
        <v>20.137125687756093</v>
      </c>
      <c r="V216" s="240">
        <f>U216*'Imported Price Trends'!$O$19</f>
        <v>21.635006492891691</v>
      </c>
      <c r="W216" s="219"/>
      <c r="X216" s="195">
        <f>X214*$E$6</f>
        <v>8.4329999999999998</v>
      </c>
      <c r="Y216" s="195">
        <f t="shared" ref="Y216:AA216" si="547">Y214*$E$6</f>
        <v>1.917</v>
      </c>
      <c r="Z216" s="195">
        <f t="shared" si="547"/>
        <v>0.45</v>
      </c>
      <c r="AA216" s="195">
        <f t="shared" si="547"/>
        <v>0.108</v>
      </c>
      <c r="AB216" s="219">
        <f>X216*VLOOKUP($B216,Types!$B$2:$D$13,3,FALSE)*Conv!$I$5*1000*365</f>
        <v>18.916744850153997</v>
      </c>
      <c r="AC216" s="219">
        <f>Y216*VLOOKUP($B216,Types!$B$2:$D$13,3,FALSE)*Conv!$I$5*1000*365</f>
        <v>4.3001778581459993</v>
      </c>
      <c r="AD216" s="219">
        <f>Z216*VLOOKUP($B216,Types!$B$2:$D$13,3,FALSE)*Conv!$I$5*1000*365</f>
        <v>1.0094314221</v>
      </c>
      <c r="AE216" s="219">
        <f>AA216*VLOOKUP($B216,Types!$B$2:$D$13,3,FALSE)*Conv!$I$5*1000*365</f>
        <v>0.24226354130399996</v>
      </c>
      <c r="AF216" s="219">
        <f>AB216-AF215</f>
        <v>2.1018605389059992</v>
      </c>
      <c r="AG216" s="219">
        <f t="shared" ref="AG216:AI216" si="548">AC216-AG215</f>
        <v>0.47779753979399953</v>
      </c>
      <c r="AH216" s="219">
        <f t="shared" si="548"/>
        <v>0.11215904690000023</v>
      </c>
      <c r="AI216" s="219">
        <f t="shared" si="548"/>
        <v>2.691817125599999E-2</v>
      </c>
      <c r="AJ216" s="219"/>
      <c r="AK216" s="219"/>
      <c r="AL216" s="219"/>
    </row>
    <row r="217" spans="1:38">
      <c r="A217" s="195" t="str">
        <f t="shared" si="545"/>
        <v>LS Diesel (500 ppm)</v>
      </c>
      <c r="B217" s="195" t="str">
        <f>VLOOKUP($A217,Types!$A$2:$C$13,2,FALSE)</f>
        <v>DSL</v>
      </c>
      <c r="C217" s="195">
        <v>4</v>
      </c>
      <c r="D217" s="195">
        <v>4</v>
      </c>
      <c r="E217" s="195" t="str">
        <f t="shared" si="498"/>
        <v>IMPDSLP44</v>
      </c>
      <c r="F217" s="195" t="str">
        <f>CONCATENATE("Imported ",VLOOKUP($A217,Types!$A$2:$C$13,3,FALSE),", PADD ",D217,", Step ",RIGHT(C217,1))</f>
        <v>Imported Distillate-Low Sulfur Highway Diesel (500 ppm), PADD 4, Step 4</v>
      </c>
      <c r="G217" s="195" t="str">
        <f>CONCATENATE(VLOOKUP($A217,Types!$A$2:$C$13,2,FALSE),"P",D217)</f>
        <v>DSLP4</v>
      </c>
      <c r="H217" s="239">
        <f>H214*$C$8</f>
        <v>73.53467000000002</v>
      </c>
      <c r="I217" s="239">
        <f t="shared" ref="I217:K217" si="549">I214*$C$8</f>
        <v>55.321860000000008</v>
      </c>
      <c r="J217" s="239">
        <f t="shared" si="549"/>
        <v>123.715</v>
      </c>
      <c r="K217" s="239">
        <f t="shared" si="549"/>
        <v>123.715</v>
      </c>
      <c r="L217" s="240">
        <f>H217*Conv!$J$20/10^6/VLOOKUP($B217,Types!$B$2:$D$13,3,FALSE)/Conv!$I$5</f>
        <v>18.360483064576727</v>
      </c>
      <c r="M217" s="240">
        <f>I217*Conv!$J$20/10^6/VLOOKUP($B217,Types!$B$2:$D$13,3,FALSE)/Conv!$I$5</f>
        <v>13.813022804493235</v>
      </c>
      <c r="N217" s="240">
        <f>M217*'Imported Price Trends'!$K$19</f>
        <v>14.873128902261982</v>
      </c>
      <c r="O217" s="240">
        <f>N217*'Imported Price Trends'!$L$19</f>
        <v>14.731714130260192</v>
      </c>
      <c r="P217" s="240">
        <f>O217*'Imported Price Trends'!$M$19</f>
        <v>15.896554249471873</v>
      </c>
      <c r="Q217" s="240">
        <f>P217*'Imported Price Trends'!$N$19</f>
        <v>16.809690085891969</v>
      </c>
      <c r="R217" s="240">
        <f>Q217*'Imported Price Trends'!$O$19</f>
        <v>18.060062781099667</v>
      </c>
      <c r="S217" s="240">
        <f>R217*'Imported Price Trends'!$O$19</f>
        <v>19.403443251521086</v>
      </c>
      <c r="T217" s="240">
        <f>S217*'Imported Price Trends'!$O$19</f>
        <v>20.846749791424298</v>
      </c>
      <c r="U217" s="240">
        <f>T217*'Imported Price Trends'!$O$19</f>
        <v>22.397415305769535</v>
      </c>
      <c r="V217" s="240">
        <f>U217*'Imported Price Trends'!$O$19</f>
        <v>24.063425589032597</v>
      </c>
      <c r="W217" s="219"/>
      <c r="X217" s="195">
        <f>X214*$E$8</f>
        <v>11.243999999999998</v>
      </c>
      <c r="Y217" s="195">
        <f t="shared" ref="Y217:AA217" si="550">Y214*$E$8</f>
        <v>2.5559999999999996</v>
      </c>
      <c r="Z217" s="195">
        <f t="shared" si="550"/>
        <v>0.6</v>
      </c>
      <c r="AA217" s="195">
        <f t="shared" si="550"/>
        <v>0.14399999999999999</v>
      </c>
      <c r="AB217" s="219">
        <f>X217*VLOOKUP($B217,Types!$B$2:$D$13,3,FALSE)*Conv!$I$5*1000*365</f>
        <v>25.222326466871998</v>
      </c>
      <c r="AC217" s="219">
        <f>Y217*VLOOKUP($B217,Types!$B$2:$D$13,3,FALSE)*Conv!$I$5*1000*365</f>
        <v>5.7335704775279988</v>
      </c>
      <c r="AD217" s="219">
        <f>Z217*VLOOKUP($B217,Types!$B$2:$D$13,3,FALSE)*Conv!$I$5*1000*365</f>
        <v>1.3459085628</v>
      </c>
      <c r="AE217" s="219">
        <f>AA217*VLOOKUP($B217,Types!$B$2:$D$13,3,FALSE)*Conv!$I$5*1000*365</f>
        <v>0.32301805507199999</v>
      </c>
      <c r="AF217" s="219">
        <f>AB217-AB214</f>
        <v>4.2037210778119984</v>
      </c>
      <c r="AG217" s="219">
        <f t="shared" ref="AG217:AI217" si="551">AC217-AC214</f>
        <v>0.95559507958799905</v>
      </c>
      <c r="AH217" s="219">
        <f t="shared" si="551"/>
        <v>0.22431809380000023</v>
      </c>
      <c r="AI217" s="219">
        <f t="shared" si="551"/>
        <v>5.3836342512000035E-2</v>
      </c>
      <c r="AJ217" s="219"/>
      <c r="AK217" s="219"/>
      <c r="AL217" s="219"/>
    </row>
    <row r="218" spans="1:38">
      <c r="A218" s="195" t="str">
        <f t="shared" si="545"/>
        <v>LS Diesel (500 ppm)</v>
      </c>
      <c r="B218" s="195" t="str">
        <f>VLOOKUP($A218,Types!$A$2:$C$13,2,FALSE)</f>
        <v>DSL</v>
      </c>
      <c r="C218" s="195">
        <v>5</v>
      </c>
      <c r="D218" s="195">
        <v>4</v>
      </c>
      <c r="E218" s="195" t="str">
        <f t="shared" si="498"/>
        <v>IMPDSLP45</v>
      </c>
      <c r="F218" s="195" t="str">
        <f>CONCATENATE("Imported ",VLOOKUP($A218,Types!$A$2:$C$13,3,FALSE),", PADD ",D218,", Step ",RIGHT(C218,1))</f>
        <v>Imported Distillate-Low Sulfur Highway Diesel (500 ppm), PADD 4, Step 5</v>
      </c>
      <c r="G218" s="195" t="str">
        <f>CONCATENATE(VLOOKUP($A218,Types!$A$2:$C$13,2,FALSE),"P",D218)</f>
        <v>DSLP4</v>
      </c>
      <c r="H218" s="239">
        <f>H214*$C$9</f>
        <v>87.701900000000009</v>
      </c>
      <c r="I218" s="239">
        <f t="shared" ref="I218:K218" si="552">I214*$C$9</f>
        <v>65.980200000000011</v>
      </c>
      <c r="J218" s="239">
        <f t="shared" si="552"/>
        <v>147.55000000000001</v>
      </c>
      <c r="K218" s="239">
        <f t="shared" si="552"/>
        <v>147.55000000000001</v>
      </c>
      <c r="L218" s="240">
        <f>H218*Conv!$J$20/10^6/VLOOKUP($B218,Types!$B$2:$D$13,3,FALSE)/Conv!$I$5</f>
        <v>21.897823838485998</v>
      </c>
      <c r="M218" s="240">
        <f>I218*Conv!$J$20/10^6/VLOOKUP($B218,Types!$B$2:$D$13,3,FALSE)/Conv!$I$5</f>
        <v>16.474247381505691</v>
      </c>
      <c r="N218" s="240">
        <f>M218*'Imported Price Trends'!$K$19</f>
        <v>17.738594103615206</v>
      </c>
      <c r="O218" s="240">
        <f>N218*'Imported Price Trends'!$L$19</f>
        <v>17.569934283796556</v>
      </c>
      <c r="P218" s="240">
        <f>O218*'Imported Price Trends'!$M$19</f>
        <v>18.959193141571955</v>
      </c>
      <c r="Q218" s="240">
        <f>P218*'Imported Price Trends'!$N$19</f>
        <v>20.048254230880328</v>
      </c>
      <c r="R218" s="240">
        <f>Q218*'Imported Price Trends'!$O$19</f>
        <v>21.539524417825287</v>
      </c>
      <c r="S218" s="240">
        <f>R218*'Imported Price Trends'!$O$19</f>
        <v>23.141721309153585</v>
      </c>
      <c r="T218" s="240">
        <f>S218*'Imported Price Trends'!$O$19</f>
        <v>24.863096081515213</v>
      </c>
      <c r="U218" s="240">
        <f>T218*'Imported Price Trends'!$O$19</f>
        <v>26.712513667431551</v>
      </c>
      <c r="V218" s="240">
        <f>U218*'Imported Price Trends'!$O$19</f>
        <v>28.699498408937959</v>
      </c>
      <c r="W218" s="219"/>
      <c r="X218" s="195">
        <f>X214*$E$9</f>
        <v>18.739999999999998</v>
      </c>
      <c r="Y218" s="195">
        <f t="shared" ref="Y218:AA218" si="553">Y214*$E$9</f>
        <v>4.26</v>
      </c>
      <c r="Z218" s="195">
        <f t="shared" si="553"/>
        <v>1</v>
      </c>
      <c r="AA218" s="195">
        <f t="shared" si="553"/>
        <v>0.24</v>
      </c>
      <c r="AB218" s="219">
        <f>X218*VLOOKUP($B218,Types!$B$2:$D$13,3,FALSE)*Conv!$I$5*1000*365</f>
        <v>42.037210778119999</v>
      </c>
      <c r="AC218" s="219">
        <f>Y218*VLOOKUP($B218,Types!$B$2:$D$13,3,FALSE)*Conv!$I$5*1000*365</f>
        <v>9.5559507958799994</v>
      </c>
      <c r="AD218" s="219">
        <f>Z218*VLOOKUP($B218,Types!$B$2:$D$13,3,FALSE)*Conv!$I$5*1000*365</f>
        <v>2.2431809379999996</v>
      </c>
      <c r="AE218" s="219">
        <f>AA218*VLOOKUP($B218,Types!$B$2:$D$13,3,FALSE)*Conv!$I$5*1000*365</f>
        <v>0.53836342511999991</v>
      </c>
      <c r="AF218" s="219">
        <f>AB218-AB217</f>
        <v>16.814884311248001</v>
      </c>
      <c r="AG218" s="219">
        <f t="shared" ref="AG218:AI218" si="554">AC218-AC217</f>
        <v>3.8223803183520006</v>
      </c>
      <c r="AH218" s="219">
        <f t="shared" si="554"/>
        <v>0.89727237519999958</v>
      </c>
      <c r="AI218" s="219">
        <f t="shared" si="554"/>
        <v>0.21534537004799992</v>
      </c>
      <c r="AJ218" s="219"/>
      <c r="AK218" s="219"/>
      <c r="AL218" s="219"/>
    </row>
    <row r="219" spans="1:38">
      <c r="A219" s="195" t="str">
        <f>'Agg prdcrv'!$A$10</f>
        <v>Low Sulfur Fuel Oil</v>
      </c>
      <c r="B219" s="195" t="str">
        <f>VLOOKUP($A219,Types!$A$2:$C$13,2,FALSE)</f>
        <v>RFL</v>
      </c>
      <c r="C219" s="195">
        <v>3</v>
      </c>
      <c r="D219" s="195">
        <v>4</v>
      </c>
      <c r="E219" s="195" t="str">
        <f t="shared" si="498"/>
        <v>IMPRFLP43</v>
      </c>
      <c r="F219" s="195" t="str">
        <f>CONCATENATE("Imported ",VLOOKUP($A219,Types!$A$2:$C$13,3,FALSE),", PADD ",D219,", Step ",RIGHT(C219,1))</f>
        <v>Imported Low Sulfur Residual Fuel Oil, PADD 4, Step 3</v>
      </c>
      <c r="G219" s="195" t="str">
        <f>CONCATENATE(VLOOKUP($A219,Types!$A$2:$C$13,2,FALSE),"P",D219)</f>
        <v>RFLP4</v>
      </c>
      <c r="H219" s="239">
        <f>SUMIFS('Agg prdcrv NYC'!$O$6:$O$100,'Agg prdcrv NYC'!$A$6:$A$100,'Imp Refined NYC'!$A219,'Agg prdcrv NYC'!$B$6:$B$100,H$11)*K4</f>
        <v>42.273000000000003</v>
      </c>
      <c r="I219" s="239">
        <f>SUMIFS('Agg prdcrv NYC'!$O$6:$O$100,'Agg prdcrv NYC'!$A$6:$A$100,'Imp Refined NYC'!$A219,'Agg prdcrv NYC'!$B$6:$B$100,I$11)*K4</f>
        <v>36.817</v>
      </c>
      <c r="J219" s="239">
        <f t="array" ref="J219">SUMIFS('Agg prdcrv NYC'!$O$6:$O$100,'Agg prdcrv NYC'!$A$6:$A$100,'Imp Refined NYC'!$A219,'Agg prdcrv NYC'!$B$6:$B$100,J$11)</f>
        <v>28.46</v>
      </c>
      <c r="K219" s="239">
        <f t="array" ref="K219">SUMIFS('Agg prdcrv NYC'!$O$6:$O$100,'Agg prdcrv NYC'!$A$6:$A$100,'Imp Refined NYC'!$A219,'Agg prdcrv NYC'!$B$6:$B$100,K$11)</f>
        <v>31.37</v>
      </c>
      <c r="L219" s="240">
        <f>H219*Conv!$J$20/10^6/VLOOKUP($B219,Types!$B$2:$D$13,3,FALSE)/Conv!$I$5</f>
        <v>9.7792938141903605</v>
      </c>
      <c r="M219" s="240">
        <f>I219*Conv!$J$20/10^6/VLOOKUP($B219,Types!$B$2:$D$13,3,FALSE)/Conv!$I$5</f>
        <v>8.5171211022886126</v>
      </c>
      <c r="N219" s="240">
        <f>M219*'Imported Price Trends'!$K$19</f>
        <v>9.1707833848871747</v>
      </c>
      <c r="O219" s="240">
        <f>N219*'Imported Price Trends'!$L$19</f>
        <v>9.0835869213875284</v>
      </c>
      <c r="P219" s="240">
        <f>O219*'Imported Price Trends'!$M$19</f>
        <v>9.8018282868403492</v>
      </c>
      <c r="Q219" s="240">
        <f>P219*'Imported Price Trends'!$N$19</f>
        <v>10.364868586686933</v>
      </c>
      <c r="R219" s="240">
        <f>Q219*'Imported Price Trends'!$O$19</f>
        <v>11.13584940810531</v>
      </c>
      <c r="S219" s="240">
        <f>R219*'Imported Price Trends'!$O$19</f>
        <v>11.964178899410197</v>
      </c>
      <c r="T219" s="240">
        <f>S219*'Imported Price Trends'!$O$19</f>
        <v>12.854122886477391</v>
      </c>
      <c r="U219" s="240">
        <f>T219*'Imported Price Trends'!$O$19</f>
        <v>13.810264504554274</v>
      </c>
      <c r="V219" s="240">
        <f>U219*'Imported Price Trends'!$O$19</f>
        <v>14.837527801013463</v>
      </c>
      <c r="W219" s="219"/>
      <c r="X219" s="195">
        <f t="array" ref="X219">SUMIFS('Agg prdcrv NYC'!$G$6:$G$100,'Agg prdcrv NYC'!$A$6:$A$100,'Imp Refined NYC'!$A219,'Agg prdcrv NYC'!$B$6:$B$100,X$11)</f>
        <v>0</v>
      </c>
      <c r="Y219" s="195">
        <f t="array" ref="Y219">SUMIFS('Agg prdcrv NYC'!$G$6:$G$100,'Agg prdcrv NYC'!$A$6:$A$100,'Imp Refined NYC'!$A219,'Agg prdcrv NYC'!$B$6:$B$100,Y$11)</f>
        <v>0</v>
      </c>
      <c r="Z219" s="195">
        <f t="array" ref="Z219">SUMIFS('Agg prdcrv NYC'!$G$6:$G$100,'Agg prdcrv NYC'!$A$6:$A$100,'Imp Refined NYC'!$A219,'Agg prdcrv NYC'!$B$6:$B$100,Z$11)</f>
        <v>0</v>
      </c>
      <c r="AA219" s="195">
        <f t="array" ref="AA219">SUMIFS('Agg prdcrv NYC'!$G$6:$G$100,'Agg prdcrv NYC'!$A$6:$A$100,'Imp Refined NYC'!$A219,'Agg prdcrv NYC'!$B$6:$B$100,AA$11)</f>
        <v>0</v>
      </c>
      <c r="AB219" s="219">
        <f>X219*VLOOKUP($B219,Types!$B$2:$D$13,3,FALSE)*Conv!$I$5*1000*365</f>
        <v>0</v>
      </c>
      <c r="AC219" s="219">
        <f>Y219*VLOOKUP($B219,Types!$B$2:$D$13,3,FALSE)*Conv!$I$5*1000*365</f>
        <v>0</v>
      </c>
      <c r="AD219" s="219">
        <f>Z219*VLOOKUP($B219,Types!$B$2:$D$13,3,FALSE)*Conv!$I$5*1000*365</f>
        <v>0</v>
      </c>
      <c r="AE219" s="219">
        <f>AA219*VLOOKUP($B219,Types!$B$2:$D$13,3,FALSE)*Conv!$I$5*1000*365</f>
        <v>0</v>
      </c>
      <c r="AF219" s="219">
        <f>AB219-AB221</f>
        <v>0</v>
      </c>
      <c r="AG219" s="219">
        <f t="shared" ref="AG219:AI219" si="555">AC219-AC221</f>
        <v>0</v>
      </c>
      <c r="AH219" s="219">
        <f t="shared" si="555"/>
        <v>0</v>
      </c>
      <c r="AI219" s="219">
        <f t="shared" si="555"/>
        <v>0</v>
      </c>
      <c r="AJ219" s="219"/>
      <c r="AK219" s="219"/>
      <c r="AL219" s="219"/>
    </row>
    <row r="220" spans="1:38">
      <c r="A220" s="195" t="str">
        <f>A219</f>
        <v>Low Sulfur Fuel Oil</v>
      </c>
      <c r="B220" s="195" t="str">
        <f>VLOOKUP($A220,Types!$A$2:$C$13,2,FALSE)</f>
        <v>RFL</v>
      </c>
      <c r="C220" s="195">
        <v>1</v>
      </c>
      <c r="D220" s="195">
        <v>4</v>
      </c>
      <c r="E220" s="195" t="str">
        <f t="shared" si="498"/>
        <v>IMPRFLP41</v>
      </c>
      <c r="F220" s="195" t="str">
        <f>CONCATENATE("Imported ",VLOOKUP($A220,Types!$A$2:$C$13,3,FALSE),", PADD ",D220,", Step ",RIGHT(C220,1))</f>
        <v>Imported Low Sulfur Residual Fuel Oil, PADD 4, Step 1</v>
      </c>
      <c r="G220" s="195" t="str">
        <f>CONCATENATE(VLOOKUP($A220,Types!$A$2:$C$13,2,FALSE),"P",D220)</f>
        <v>RFLP4</v>
      </c>
      <c r="H220" s="239">
        <f>H219*$C$5</f>
        <v>40.159350000000003</v>
      </c>
      <c r="I220" s="239">
        <f t="shared" ref="I220:K220" si="556">I219*$C$5</f>
        <v>34.976149999999997</v>
      </c>
      <c r="J220" s="239">
        <f t="shared" si="556"/>
        <v>27.036999999999999</v>
      </c>
      <c r="K220" s="239">
        <f t="shared" si="556"/>
        <v>29.801500000000001</v>
      </c>
      <c r="L220" s="240">
        <f>H220*Conv!$J$20/10^6/VLOOKUP($B220,Types!$B$2:$D$13,3,FALSE)/Conv!$I$5</f>
        <v>9.2903291234808432</v>
      </c>
      <c r="M220" s="240">
        <f>I220*Conv!$J$20/10^6/VLOOKUP($B220,Types!$B$2:$D$13,3,FALSE)/Conv!$I$5</f>
        <v>8.0912650471741809</v>
      </c>
      <c r="N220" s="240">
        <f>M220*'Imported Price Trends'!$K$19</f>
        <v>8.7122442156428139</v>
      </c>
      <c r="O220" s="240">
        <f>N220*'Imported Price Trends'!$L$19</f>
        <v>8.6294075753181492</v>
      </c>
      <c r="P220" s="240">
        <f>O220*'Imported Price Trends'!$M$19</f>
        <v>9.3117368724983294</v>
      </c>
      <c r="Q220" s="240">
        <f>P220*'Imported Price Trends'!$N$19</f>
        <v>9.8466251573525838</v>
      </c>
      <c r="R220" s="240">
        <f>Q220*'Imported Price Trends'!$O$19</f>
        <v>10.579056937700042</v>
      </c>
      <c r="S220" s="240">
        <f>R220*'Imported Price Trends'!$O$19</f>
        <v>11.365969954439683</v>
      </c>
      <c r="T220" s="240">
        <f>S220*'Imported Price Trends'!$O$19</f>
        <v>12.211416742153517</v>
      </c>
      <c r="U220" s="240">
        <f>T220*'Imported Price Trends'!$O$19</f>
        <v>13.119751279326556</v>
      </c>
      <c r="V220" s="240">
        <f>U220*'Imported Price Trends'!$O$19</f>
        <v>14.095651410962784</v>
      </c>
      <c r="W220" s="219"/>
      <c r="X220" s="195">
        <f>X219*$E$5</f>
        <v>0</v>
      </c>
      <c r="Y220" s="195">
        <f t="shared" ref="Y220:AA220" si="557">Y219*$E$5</f>
        <v>0</v>
      </c>
      <c r="Z220" s="195">
        <f t="shared" si="557"/>
        <v>0</v>
      </c>
      <c r="AA220" s="195">
        <f t="shared" si="557"/>
        <v>0</v>
      </c>
      <c r="AB220" s="219">
        <f>X220*VLOOKUP($B220,Types!$B$2:$D$13,3,FALSE)*Conv!$I$5*1000*365</f>
        <v>0</v>
      </c>
      <c r="AC220" s="219">
        <f>Y220*VLOOKUP($B220,Types!$B$2:$D$13,3,FALSE)*Conv!$I$5*1000*365</f>
        <v>0</v>
      </c>
      <c r="AD220" s="219">
        <f>Z220*VLOOKUP($B220,Types!$B$2:$D$13,3,FALSE)*Conv!$I$5*1000*365</f>
        <v>0</v>
      </c>
      <c r="AE220" s="219">
        <f>AA220*VLOOKUP($B220,Types!$B$2:$D$13,3,FALSE)*Conv!$I$5*1000*365</f>
        <v>0</v>
      </c>
      <c r="AF220" s="219">
        <f>AB220</f>
        <v>0</v>
      </c>
      <c r="AG220" s="219">
        <f t="shared" ref="AG220:AI220" si="558">AC220</f>
        <v>0</v>
      </c>
      <c r="AH220" s="219">
        <f t="shared" si="558"/>
        <v>0</v>
      </c>
      <c r="AI220" s="219">
        <f t="shared" si="558"/>
        <v>0</v>
      </c>
      <c r="AJ220" s="219"/>
      <c r="AK220" s="219"/>
      <c r="AL220" s="219"/>
    </row>
    <row r="221" spans="1:38">
      <c r="A221" s="195" t="str">
        <f t="shared" ref="A221:A223" si="559">A220</f>
        <v>Low Sulfur Fuel Oil</v>
      </c>
      <c r="B221" s="195" t="str">
        <f>VLOOKUP($A221,Types!$A$2:$C$13,2,FALSE)</f>
        <v>RFL</v>
      </c>
      <c r="C221" s="195">
        <v>2</v>
      </c>
      <c r="D221" s="195">
        <v>4</v>
      </c>
      <c r="E221" s="195" t="str">
        <f t="shared" si="498"/>
        <v>IMPRFLP42</v>
      </c>
      <c r="F221" s="195" t="str">
        <f>CONCATENATE("Imported ",VLOOKUP($A221,Types!$A$2:$C$13,3,FALSE),", PADD ",D221,", Step ",RIGHT(C221,1))</f>
        <v>Imported Low Sulfur Residual Fuel Oil, PADD 4, Step 2</v>
      </c>
      <c r="G221" s="195" t="str">
        <f>CONCATENATE(VLOOKUP($A221,Types!$A$2:$C$13,2,FALSE),"P",D221)</f>
        <v>RFLP4</v>
      </c>
      <c r="H221" s="239">
        <f>H219*$C$6</f>
        <v>41.42754</v>
      </c>
      <c r="I221" s="239">
        <f t="shared" ref="I221:K221" si="560">I219*$C$6</f>
        <v>36.080660000000002</v>
      </c>
      <c r="J221" s="239">
        <f t="shared" si="560"/>
        <v>27.890799999999999</v>
      </c>
      <c r="K221" s="239">
        <f t="shared" si="560"/>
        <v>30.742599999999999</v>
      </c>
      <c r="L221" s="240">
        <f>H221*Conv!$J$20/10^6/VLOOKUP($B221,Types!$B$2:$D$13,3,FALSE)/Conv!$I$5</f>
        <v>9.5837079379065528</v>
      </c>
      <c r="M221" s="240">
        <f>I221*Conv!$J$20/10^6/VLOOKUP($B221,Types!$B$2:$D$13,3,FALSE)/Conv!$I$5</f>
        <v>8.3467786802428403</v>
      </c>
      <c r="N221" s="240">
        <f>M221*'Imported Price Trends'!$K$19</f>
        <v>8.9873677171894304</v>
      </c>
      <c r="O221" s="240">
        <f>N221*'Imported Price Trends'!$L$19</f>
        <v>8.901915182959776</v>
      </c>
      <c r="P221" s="240">
        <f>O221*'Imported Price Trends'!$M$19</f>
        <v>9.6057917211035413</v>
      </c>
      <c r="Q221" s="240">
        <f>P221*'Imported Price Trends'!$N$19</f>
        <v>10.157571214953194</v>
      </c>
      <c r="R221" s="240">
        <f>Q221*'Imported Price Trends'!$O$19</f>
        <v>10.913132419943203</v>
      </c>
      <c r="S221" s="240">
        <f>R221*'Imported Price Trends'!$O$19</f>
        <v>11.724895321421991</v>
      </c>
      <c r="T221" s="240">
        <f>S221*'Imported Price Trends'!$O$19</f>
        <v>12.597040428747842</v>
      </c>
      <c r="U221" s="240">
        <f>T221*'Imported Price Trends'!$O$19</f>
        <v>13.534059214463188</v>
      </c>
      <c r="V221" s="240">
        <f>U221*'Imported Price Trends'!$O$19</f>
        <v>14.540777244993192</v>
      </c>
      <c r="W221" s="219"/>
      <c r="X221" s="195">
        <f>X219*$E$6</f>
        <v>0</v>
      </c>
      <c r="Y221" s="195">
        <f t="shared" ref="Y221:AA221" si="561">Y219*$E$6</f>
        <v>0</v>
      </c>
      <c r="Z221" s="195">
        <f t="shared" si="561"/>
        <v>0</v>
      </c>
      <c r="AA221" s="195">
        <f t="shared" si="561"/>
        <v>0</v>
      </c>
      <c r="AB221" s="219">
        <f>X221*VLOOKUP($B221,Types!$B$2:$D$13,3,FALSE)*Conv!$I$5*1000*365</f>
        <v>0</v>
      </c>
      <c r="AC221" s="219">
        <f>Y221*VLOOKUP($B221,Types!$B$2:$D$13,3,FALSE)*Conv!$I$5*1000*365</f>
        <v>0</v>
      </c>
      <c r="AD221" s="219">
        <f>Z221*VLOOKUP($B221,Types!$B$2:$D$13,3,FALSE)*Conv!$I$5*1000*365</f>
        <v>0</v>
      </c>
      <c r="AE221" s="219">
        <f>AA221*VLOOKUP($B221,Types!$B$2:$D$13,3,FALSE)*Conv!$I$5*1000*365</f>
        <v>0</v>
      </c>
      <c r="AF221" s="219">
        <f>AB221-AF220</f>
        <v>0</v>
      </c>
      <c r="AG221" s="219">
        <f t="shared" ref="AG221:AI221" si="562">AC221-AG220</f>
        <v>0</v>
      </c>
      <c r="AH221" s="219">
        <f t="shared" si="562"/>
        <v>0</v>
      </c>
      <c r="AI221" s="219">
        <f t="shared" si="562"/>
        <v>0</v>
      </c>
      <c r="AJ221" s="219"/>
      <c r="AK221" s="219"/>
      <c r="AL221" s="219"/>
    </row>
    <row r="222" spans="1:38">
      <c r="A222" s="195" t="str">
        <f t="shared" si="559"/>
        <v>Low Sulfur Fuel Oil</v>
      </c>
      <c r="B222" s="195" t="str">
        <f>VLOOKUP($A222,Types!$A$2:$C$13,2,FALSE)</f>
        <v>RFL</v>
      </c>
      <c r="C222" s="195">
        <v>4</v>
      </c>
      <c r="D222" s="195">
        <v>4</v>
      </c>
      <c r="E222" s="195" t="str">
        <f t="shared" si="498"/>
        <v>IMPRFLP44</v>
      </c>
      <c r="F222" s="195" t="str">
        <f>CONCATENATE("Imported ",VLOOKUP($A222,Types!$A$2:$C$13,3,FALSE),", PADD ",D222,", Step ",RIGHT(C222,1))</f>
        <v>Imported Low Sulfur Residual Fuel Oil, PADD 4, Step 4</v>
      </c>
      <c r="G222" s="195" t="str">
        <f>CONCATENATE(VLOOKUP($A222,Types!$A$2:$C$13,2,FALSE),"P",D222)</f>
        <v>RFLP4</v>
      </c>
      <c r="H222" s="239">
        <f>H219*$C$8</f>
        <v>46.077570000000009</v>
      </c>
      <c r="I222" s="239">
        <f t="shared" ref="I222:K222" si="563">I219*$C$8</f>
        <v>40.13053</v>
      </c>
      <c r="J222" s="239">
        <f t="shared" si="563"/>
        <v>31.021400000000003</v>
      </c>
      <c r="K222" s="239">
        <f t="shared" si="563"/>
        <v>34.193300000000001</v>
      </c>
      <c r="L222" s="240">
        <f>H222*Conv!$J$20/10^6/VLOOKUP($B222,Types!$B$2:$D$13,3,FALSE)/Conv!$I$5</f>
        <v>10.659430257467495</v>
      </c>
      <c r="M222" s="240">
        <f>I222*Conv!$J$20/10^6/VLOOKUP($B222,Types!$B$2:$D$13,3,FALSE)/Conv!$I$5</f>
        <v>9.2836620014945854</v>
      </c>
      <c r="N222" s="240">
        <f>M222*'Imported Price Trends'!$K$19</f>
        <v>9.996153889527017</v>
      </c>
      <c r="O222" s="240">
        <f>N222*'Imported Price Trends'!$L$19</f>
        <v>9.9011097443124019</v>
      </c>
      <c r="P222" s="240">
        <f>O222*'Imported Price Trends'!$M$19</f>
        <v>10.683992832655978</v>
      </c>
      <c r="Q222" s="240">
        <f>P222*'Imported Price Trends'!$N$19</f>
        <v>11.297706759488754</v>
      </c>
      <c r="R222" s="240">
        <f>Q222*'Imported Price Trends'!$O$19</f>
        <v>12.138075854834785</v>
      </c>
      <c r="S222" s="240">
        <f>R222*'Imported Price Trends'!$O$19</f>
        <v>13.04095500035711</v>
      </c>
      <c r="T222" s="240">
        <f>S222*'Imported Price Trends'!$O$19</f>
        <v>14.010993946260353</v>
      </c>
      <c r="U222" s="240">
        <f>T222*'Imported Price Trends'!$O$19</f>
        <v>15.053188309964154</v>
      </c>
      <c r="V222" s="240">
        <f>U222*'Imported Price Trends'!$O$19</f>
        <v>16.17290530310467</v>
      </c>
      <c r="W222" s="219"/>
      <c r="X222" s="195">
        <f>X219*$E$8</f>
        <v>0</v>
      </c>
      <c r="Y222" s="195">
        <f t="shared" ref="Y222:AA222" si="564">Y219*$E$8</f>
        <v>0</v>
      </c>
      <c r="Z222" s="195">
        <f t="shared" si="564"/>
        <v>0</v>
      </c>
      <c r="AA222" s="195">
        <f t="shared" si="564"/>
        <v>0</v>
      </c>
      <c r="AB222" s="219">
        <f>X222*VLOOKUP($B222,Types!$B$2:$D$13,3,FALSE)*Conv!$I$5*1000*365</f>
        <v>0</v>
      </c>
      <c r="AC222" s="219">
        <f>Y222*VLOOKUP($B222,Types!$B$2:$D$13,3,FALSE)*Conv!$I$5*1000*365</f>
        <v>0</v>
      </c>
      <c r="AD222" s="219">
        <f>Z222*VLOOKUP($B222,Types!$B$2:$D$13,3,FALSE)*Conv!$I$5*1000*365</f>
        <v>0</v>
      </c>
      <c r="AE222" s="219">
        <f>AA222*VLOOKUP($B222,Types!$B$2:$D$13,3,FALSE)*Conv!$I$5*1000*365</f>
        <v>0</v>
      </c>
      <c r="AF222" s="219">
        <f>AB222-AB219</f>
        <v>0</v>
      </c>
      <c r="AG222" s="219">
        <f t="shared" ref="AG222:AI222" si="565">AC222-AC219</f>
        <v>0</v>
      </c>
      <c r="AH222" s="219">
        <f t="shared" si="565"/>
        <v>0</v>
      </c>
      <c r="AI222" s="219">
        <f t="shared" si="565"/>
        <v>0</v>
      </c>
      <c r="AJ222" s="219"/>
      <c r="AK222" s="219"/>
      <c r="AL222" s="219"/>
    </row>
    <row r="223" spans="1:38">
      <c r="A223" s="195" t="str">
        <f t="shared" si="559"/>
        <v>Low Sulfur Fuel Oil</v>
      </c>
      <c r="B223" s="195" t="str">
        <f>VLOOKUP($A223,Types!$A$2:$C$13,2,FALSE)</f>
        <v>RFL</v>
      </c>
      <c r="C223" s="195">
        <v>5</v>
      </c>
      <c r="D223" s="195">
        <v>4</v>
      </c>
      <c r="E223" s="195" t="str">
        <f t="shared" si="498"/>
        <v>IMPRFLP45</v>
      </c>
      <c r="F223" s="195" t="str">
        <f>CONCATENATE("Imported ",VLOOKUP($A223,Types!$A$2:$C$13,3,FALSE),", PADD ",D223,", Step ",RIGHT(C223,1))</f>
        <v>Imported Low Sulfur Residual Fuel Oil, PADD 4, Step 5</v>
      </c>
      <c r="G223" s="195" t="str">
        <f>CONCATENATE(VLOOKUP($A223,Types!$A$2:$C$13,2,FALSE),"P",D223)</f>
        <v>RFLP4</v>
      </c>
      <c r="H223" s="239">
        <f>H219*$C$9</f>
        <v>54.954900000000009</v>
      </c>
      <c r="I223" s="239">
        <f t="shared" ref="I223:K223" si="566">I219*$C$9</f>
        <v>47.862100000000005</v>
      </c>
      <c r="J223" s="239">
        <f t="shared" si="566"/>
        <v>36.998000000000005</v>
      </c>
      <c r="K223" s="239">
        <f t="shared" si="566"/>
        <v>40.781000000000006</v>
      </c>
      <c r="L223" s="240">
        <f>H223*Conv!$J$20/10^6/VLOOKUP($B223,Types!$B$2:$D$13,3,FALSE)/Conv!$I$5</f>
        <v>12.71308195844747</v>
      </c>
      <c r="M223" s="240">
        <f>I223*Conv!$J$20/10^6/VLOOKUP($B223,Types!$B$2:$D$13,3,FALSE)/Conv!$I$5</f>
        <v>11.072257432975196</v>
      </c>
      <c r="N223" s="240">
        <f>M223*'Imported Price Trends'!$K$19</f>
        <v>11.922018400353325</v>
      </c>
      <c r="O223" s="240">
        <f>N223*'Imported Price Trends'!$L$19</f>
        <v>11.808662997803784</v>
      </c>
      <c r="P223" s="240">
        <f>O223*'Imported Price Trends'!$M$19</f>
        <v>12.742376772892452</v>
      </c>
      <c r="Q223" s="240">
        <f>P223*'Imported Price Trends'!$N$19</f>
        <v>13.47432916269301</v>
      </c>
      <c r="R223" s="240">
        <f>Q223*'Imported Price Trends'!$O$19</f>
        <v>14.4766042305369</v>
      </c>
      <c r="S223" s="240">
        <f>R223*'Imported Price Trends'!$O$19</f>
        <v>15.553432569233252</v>
      </c>
      <c r="T223" s="240">
        <f>S223*'Imported Price Trends'!$O$19</f>
        <v>16.710359752420604</v>
      </c>
      <c r="U223" s="240">
        <f>T223*'Imported Price Trends'!$O$19</f>
        <v>17.953343855920551</v>
      </c>
      <c r="V223" s="240">
        <f>U223*'Imported Price Trends'!$O$19</f>
        <v>19.288786141317495</v>
      </c>
      <c r="W223" s="219"/>
      <c r="X223" s="195">
        <f>X219*$E$9</f>
        <v>0</v>
      </c>
      <c r="Y223" s="195">
        <f t="shared" ref="Y223:AA223" si="567">Y219*$E$9</f>
        <v>0</v>
      </c>
      <c r="Z223" s="195">
        <f t="shared" si="567"/>
        <v>0</v>
      </c>
      <c r="AA223" s="195">
        <f t="shared" si="567"/>
        <v>0</v>
      </c>
      <c r="AB223" s="219">
        <f>X223*VLOOKUP($B223,Types!$B$2:$D$13,3,FALSE)*Conv!$I$5*1000*365</f>
        <v>0</v>
      </c>
      <c r="AC223" s="219">
        <f>Y223*VLOOKUP($B223,Types!$B$2:$D$13,3,FALSE)*Conv!$I$5*1000*365</f>
        <v>0</v>
      </c>
      <c r="AD223" s="219">
        <f>Z223*VLOOKUP($B223,Types!$B$2:$D$13,3,FALSE)*Conv!$I$5*1000*365</f>
        <v>0</v>
      </c>
      <c r="AE223" s="219">
        <f>AA223*VLOOKUP($B223,Types!$B$2:$D$13,3,FALSE)*Conv!$I$5*1000*365</f>
        <v>0</v>
      </c>
      <c r="AF223" s="219">
        <f>AB223-AB222</f>
        <v>0</v>
      </c>
      <c r="AG223" s="219">
        <f t="shared" ref="AG223:AI223" si="568">AC223-AC222</f>
        <v>0</v>
      </c>
      <c r="AH223" s="219">
        <f t="shared" si="568"/>
        <v>0</v>
      </c>
      <c r="AI223" s="219">
        <f t="shared" si="568"/>
        <v>0</v>
      </c>
      <c r="AJ223" s="219"/>
      <c r="AK223" s="219"/>
      <c r="AL223" s="219"/>
    </row>
    <row r="224" spans="1:38">
      <c r="A224" s="195" t="str">
        <f>'Agg prdcrv'!$A$11</f>
        <v>High Sulfur Fuel Oil</v>
      </c>
      <c r="B224" s="195" t="str">
        <f>VLOOKUP($A224,Types!$A$2:$C$13,2,FALSE)</f>
        <v>RFH</v>
      </c>
      <c r="C224" s="195">
        <v>3</v>
      </c>
      <c r="D224" s="195">
        <v>4</v>
      </c>
      <c r="E224" s="195" t="str">
        <f t="shared" si="498"/>
        <v>IMPRFHP43</v>
      </c>
      <c r="F224" s="195" t="str">
        <f>CONCATENATE("Imported ",VLOOKUP($A224,Types!$A$2:$C$13,3,FALSE),", PADD ",D224,", Step ",RIGHT(C224,1))</f>
        <v>Imported High Sulfur Residual Fuel Oil, PADD 4, Step 3</v>
      </c>
      <c r="G224" s="195" t="str">
        <f>CONCATENATE(VLOOKUP($A224,Types!$A$2:$C$13,2,FALSE),"P",D224)</f>
        <v>RFHP4</v>
      </c>
      <c r="H224" s="239">
        <f>SUMIFS('Agg prdcrv NYC'!$O$6:$O$100,'Agg prdcrv NYC'!$A$6:$A$100,'Imp Refined NYC'!$A224,'Agg prdcrv NYC'!$B$6:$B$100,H$11)*K4</f>
        <v>40.854000000000006</v>
      </c>
      <c r="I224" s="239">
        <f>SUMIFS('Agg prdcrv NYC'!$O$6:$O$100,'Agg prdcrv NYC'!$A$6:$A$100,'Imp Refined NYC'!$A224,'Agg prdcrv NYC'!$B$6:$B$100,I$11)*K4</f>
        <v>36.091000000000008</v>
      </c>
      <c r="J224" s="239">
        <f t="array" ref="J224">SUMIFS('Agg prdcrv NYC'!$O$6:$O$100,'Agg prdcrv NYC'!$A$6:$A$100,'Imp Refined NYC'!$A224,'Agg prdcrv NYC'!$B$6:$B$100,J$11)</f>
        <v>28.39</v>
      </c>
      <c r="K224" s="239">
        <f t="array" ref="K224">SUMIFS('Agg prdcrv NYC'!$O$6:$O$100,'Agg prdcrv NYC'!$A$6:$A$100,'Imp Refined NYC'!$A224,'Agg prdcrv NYC'!$B$6:$B$100,K$11)</f>
        <v>31.39</v>
      </c>
      <c r="L224" s="240">
        <f>H224*Conv!$J$20/10^6/VLOOKUP($B224,Types!$B$2:$D$13,3,FALSE)/Conv!$I$5</f>
        <v>9.4510271209739809</v>
      </c>
      <c r="M224" s="240">
        <f>I224*Conv!$J$20/10^6/VLOOKUP($B224,Types!$B$2:$D$13,3,FALSE)/Conv!$I$5</f>
        <v>8.3491707011081395</v>
      </c>
      <c r="N224" s="240">
        <f>M224*'Imported Price Trends'!$K$19</f>
        <v>8.9899433181400727</v>
      </c>
      <c r="O224" s="240">
        <f>N224*'Imported Price Trends'!$L$19</f>
        <v>8.9044662949126039</v>
      </c>
      <c r="P224" s="240">
        <f>O224*'Imported Price Trends'!$M$19</f>
        <v>9.6085445500816231</v>
      </c>
      <c r="Q224" s="240">
        <f>P224*'Imported Price Trends'!$N$19</f>
        <v>10.160482172966786</v>
      </c>
      <c r="R224" s="240">
        <f>Q224*'Imported Price Trends'!$O$19</f>
        <v>10.91625990678026</v>
      </c>
      <c r="S224" s="240">
        <f>R224*'Imported Price Trends'!$O$19</f>
        <v>11.728255443371635</v>
      </c>
      <c r="T224" s="240">
        <f>S224*'Imported Price Trends'!$O$19</f>
        <v>12.600650490150084</v>
      </c>
      <c r="U224" s="240">
        <f>T224*'Imported Price Trends'!$O$19</f>
        <v>13.537937806824795</v>
      </c>
      <c r="V224" s="240">
        <f>U224*'Imported Price Trends'!$O$19</f>
        <v>14.544944342732354</v>
      </c>
      <c r="W224" s="219"/>
      <c r="X224" s="195">
        <f t="array" ref="X224">SUMIFS('Agg prdcrv NYC'!$G$6:$G$100,'Agg prdcrv NYC'!$A$6:$A$100,'Imp Refined NYC'!$A224,'Agg prdcrv NYC'!$B$6:$B$100,X$11)</f>
        <v>0</v>
      </c>
      <c r="Y224" s="195">
        <f t="array" ref="Y224">SUMIFS('Agg prdcrv NYC'!$G$6:$G$100,'Agg prdcrv NYC'!$A$6:$A$100,'Imp Refined NYC'!$A224,'Agg prdcrv NYC'!$B$6:$B$100,Y$11)</f>
        <v>0</v>
      </c>
      <c r="Z224" s="195">
        <f t="array" ref="Z224">SUMIFS('Agg prdcrv NYC'!$G$6:$G$100,'Agg prdcrv NYC'!$A$6:$A$100,'Imp Refined NYC'!$A224,'Agg prdcrv NYC'!$B$6:$B$100,Z$11)</f>
        <v>0</v>
      </c>
      <c r="AA224" s="195">
        <f t="array" ref="AA224">SUMIFS('Agg prdcrv NYC'!$G$6:$G$100,'Agg prdcrv NYC'!$A$6:$A$100,'Imp Refined NYC'!$A224,'Agg prdcrv NYC'!$B$6:$B$100,AA$11)</f>
        <v>0</v>
      </c>
      <c r="AB224" s="219">
        <f>X224*VLOOKUP($B224,Types!$B$2:$D$13,3,FALSE)*Conv!$I$5*1000*365</f>
        <v>0</v>
      </c>
      <c r="AC224" s="219">
        <f>Y224*VLOOKUP($B224,Types!$B$2:$D$13,3,FALSE)*Conv!$I$5*1000*365</f>
        <v>0</v>
      </c>
      <c r="AD224" s="219">
        <f>Z224*VLOOKUP($B224,Types!$B$2:$D$13,3,FALSE)*Conv!$I$5*1000*365</f>
        <v>0</v>
      </c>
      <c r="AE224" s="219">
        <f>AA224*VLOOKUP($B224,Types!$B$2:$D$13,3,FALSE)*Conv!$I$5*1000*365</f>
        <v>0</v>
      </c>
      <c r="AF224" s="219">
        <f>AB224-AB226</f>
        <v>0</v>
      </c>
      <c r="AG224" s="219">
        <f t="shared" ref="AG224:AI224" si="569">AC224-AC226</f>
        <v>0</v>
      </c>
      <c r="AH224" s="219">
        <f t="shared" si="569"/>
        <v>0</v>
      </c>
      <c r="AI224" s="219">
        <f t="shared" si="569"/>
        <v>0</v>
      </c>
      <c r="AJ224" s="219"/>
      <c r="AK224" s="219"/>
      <c r="AL224" s="219"/>
    </row>
    <row r="225" spans="1:38">
      <c r="A225" s="195" t="str">
        <f>A224</f>
        <v>High Sulfur Fuel Oil</v>
      </c>
      <c r="B225" s="195" t="str">
        <f>VLOOKUP($A225,Types!$A$2:$C$13,2,FALSE)</f>
        <v>RFH</v>
      </c>
      <c r="C225" s="195">
        <v>1</v>
      </c>
      <c r="D225" s="195">
        <v>4</v>
      </c>
      <c r="E225" s="195" t="str">
        <f t="shared" si="498"/>
        <v>IMPRFHP41</v>
      </c>
      <c r="F225" s="195" t="str">
        <f>CONCATENATE("Imported ",VLOOKUP($A225,Types!$A$2:$C$13,3,FALSE),", PADD ",D225,", Step ",RIGHT(C225,1))</f>
        <v>Imported High Sulfur Residual Fuel Oil, PADD 4, Step 1</v>
      </c>
      <c r="G225" s="195" t="str">
        <f>CONCATENATE(VLOOKUP($A225,Types!$A$2:$C$13,2,FALSE),"P",D225)</f>
        <v>RFHP4</v>
      </c>
      <c r="H225" s="239">
        <f>H224*$C$5</f>
        <v>38.811300000000003</v>
      </c>
      <c r="I225" s="239">
        <f t="shared" ref="I225:K225" si="570">I224*$C$5</f>
        <v>34.286450000000009</v>
      </c>
      <c r="J225" s="239">
        <f t="shared" si="570"/>
        <v>26.970499999999998</v>
      </c>
      <c r="K225" s="239">
        <f t="shared" si="570"/>
        <v>29.820499999999999</v>
      </c>
      <c r="L225" s="240">
        <f>H225*Conv!$J$20/10^6/VLOOKUP($B225,Types!$B$2:$D$13,3,FALSE)/Conv!$I$5</f>
        <v>8.9784757649252818</v>
      </c>
      <c r="M225" s="240">
        <f>I225*Conv!$J$20/10^6/VLOOKUP($B225,Types!$B$2:$D$13,3,FALSE)/Conv!$I$5</f>
        <v>7.9317121660527317</v>
      </c>
      <c r="N225" s="240">
        <f>M225*'Imported Price Trends'!$K$19</f>
        <v>8.5404461522330681</v>
      </c>
      <c r="O225" s="240">
        <f>N225*'Imported Price Trends'!$L$19</f>
        <v>8.4592429801669713</v>
      </c>
      <c r="P225" s="240">
        <f>O225*'Imported Price Trends'!$M$19</f>
        <v>9.1281173225775394</v>
      </c>
      <c r="Q225" s="240">
        <f>P225*'Imported Price Trends'!$N$19</f>
        <v>9.652458064318445</v>
      </c>
      <c r="R225" s="240">
        <f>Q225*'Imported Price Trends'!$O$19</f>
        <v>10.370446911441245</v>
      </c>
      <c r="S225" s="240">
        <f>R225*'Imported Price Trends'!$O$19</f>
        <v>11.141842671203051</v>
      </c>
      <c r="T225" s="240">
        <f>S225*'Imported Price Trends'!$O$19</f>
        <v>11.970617965642576</v>
      </c>
      <c r="U225" s="240">
        <f>T225*'Imported Price Trends'!$O$19</f>
        <v>12.861040916483551</v>
      </c>
      <c r="V225" s="240">
        <f>U225*'Imported Price Trends'!$O$19</f>
        <v>13.817697125595732</v>
      </c>
      <c r="W225" s="219"/>
      <c r="X225" s="195">
        <f>X224*$E$5</f>
        <v>0</v>
      </c>
      <c r="Y225" s="195">
        <f t="shared" ref="Y225:AA225" si="571">Y224*$E$5</f>
        <v>0</v>
      </c>
      <c r="Z225" s="195">
        <f t="shared" si="571"/>
        <v>0</v>
      </c>
      <c r="AA225" s="195">
        <f t="shared" si="571"/>
        <v>0</v>
      </c>
      <c r="AB225" s="219">
        <f>X225*VLOOKUP($B225,Types!$B$2:$D$13,3,FALSE)*Conv!$I$5*1000*365</f>
        <v>0</v>
      </c>
      <c r="AC225" s="219">
        <f>Y225*VLOOKUP($B225,Types!$B$2:$D$13,3,FALSE)*Conv!$I$5*1000*365</f>
        <v>0</v>
      </c>
      <c r="AD225" s="219">
        <f>Z225*VLOOKUP($B225,Types!$B$2:$D$13,3,FALSE)*Conv!$I$5*1000*365</f>
        <v>0</v>
      </c>
      <c r="AE225" s="219">
        <f>AA225*VLOOKUP($B225,Types!$B$2:$D$13,3,FALSE)*Conv!$I$5*1000*365</f>
        <v>0</v>
      </c>
      <c r="AF225" s="219">
        <f>AB225</f>
        <v>0</v>
      </c>
      <c r="AG225" s="219">
        <f t="shared" ref="AG225:AI225" si="572">AC225</f>
        <v>0</v>
      </c>
      <c r="AH225" s="219">
        <f t="shared" si="572"/>
        <v>0</v>
      </c>
      <c r="AI225" s="219">
        <f t="shared" si="572"/>
        <v>0</v>
      </c>
      <c r="AJ225" s="219"/>
      <c r="AK225" s="219"/>
      <c r="AL225" s="219"/>
    </row>
    <row r="226" spans="1:38">
      <c r="A226" s="195" t="str">
        <f t="shared" ref="A226:A228" si="573">A225</f>
        <v>High Sulfur Fuel Oil</v>
      </c>
      <c r="B226" s="195" t="str">
        <f>VLOOKUP($A226,Types!$A$2:$C$13,2,FALSE)</f>
        <v>RFH</v>
      </c>
      <c r="C226" s="195">
        <v>2</v>
      </c>
      <c r="D226" s="195">
        <v>4</v>
      </c>
      <c r="E226" s="195" t="str">
        <f t="shared" si="498"/>
        <v>IMPRFHP42</v>
      </c>
      <c r="F226" s="195" t="str">
        <f>CONCATENATE("Imported ",VLOOKUP($A226,Types!$A$2:$C$13,3,FALSE),", PADD ",D226,", Step ",RIGHT(C226,1))</f>
        <v>Imported High Sulfur Residual Fuel Oil, PADD 4, Step 2</v>
      </c>
      <c r="G226" s="195" t="str">
        <f>CONCATENATE(VLOOKUP($A226,Types!$A$2:$C$13,2,FALSE),"P",D226)</f>
        <v>RFHP4</v>
      </c>
      <c r="H226" s="239">
        <f>H224*$C$6</f>
        <v>40.036920000000002</v>
      </c>
      <c r="I226" s="239">
        <f t="shared" ref="I226:K226" si="574">I224*$C$6</f>
        <v>35.369180000000007</v>
      </c>
      <c r="J226" s="239">
        <f t="shared" si="574"/>
        <v>27.822199999999999</v>
      </c>
      <c r="K226" s="239">
        <f t="shared" si="574"/>
        <v>30.7622</v>
      </c>
      <c r="L226" s="240">
        <f>H226*Conv!$J$20/10^6/VLOOKUP($B226,Types!$B$2:$D$13,3,FALSE)/Conv!$I$5</f>
        <v>9.2620065785544998</v>
      </c>
      <c r="M226" s="240">
        <f>I226*Conv!$J$20/10^6/VLOOKUP($B226,Types!$B$2:$D$13,3,FALSE)/Conv!$I$5</f>
        <v>8.1821872870859753</v>
      </c>
      <c r="N226" s="240">
        <f>M226*'Imported Price Trends'!$K$19</f>
        <v>8.8101444517772709</v>
      </c>
      <c r="O226" s="240">
        <f>N226*'Imported Price Trends'!$L$19</f>
        <v>8.7263769690143516</v>
      </c>
      <c r="P226" s="240">
        <f>O226*'Imported Price Trends'!$M$19</f>
        <v>9.4163736590799907</v>
      </c>
      <c r="Q226" s="240">
        <f>P226*'Imported Price Trends'!$N$19</f>
        <v>9.9572725295074509</v>
      </c>
      <c r="R226" s="240">
        <f>Q226*'Imported Price Trends'!$O$19</f>
        <v>10.697934708644656</v>
      </c>
      <c r="S226" s="240">
        <f>R226*'Imported Price Trends'!$O$19</f>
        <v>11.493690334504203</v>
      </c>
      <c r="T226" s="240">
        <f>S226*'Imported Price Trends'!$O$19</f>
        <v>12.348637480347083</v>
      </c>
      <c r="U226" s="240">
        <f>T226*'Imported Price Trends'!$O$19</f>
        <v>13.267179050688299</v>
      </c>
      <c r="V226" s="240">
        <f>U226*'Imported Price Trends'!$O$19</f>
        <v>14.254045455877707</v>
      </c>
      <c r="W226" s="219"/>
      <c r="X226" s="195">
        <f>X224*$E$6</f>
        <v>0</v>
      </c>
      <c r="Y226" s="195">
        <f t="shared" ref="Y226:AA226" si="575">Y224*$E$6</f>
        <v>0</v>
      </c>
      <c r="Z226" s="195">
        <f t="shared" si="575"/>
        <v>0</v>
      </c>
      <c r="AA226" s="195">
        <f t="shared" si="575"/>
        <v>0</v>
      </c>
      <c r="AB226" s="219">
        <f>X226*VLOOKUP($B226,Types!$B$2:$D$13,3,FALSE)*Conv!$I$5*1000*365</f>
        <v>0</v>
      </c>
      <c r="AC226" s="219">
        <f>Y226*VLOOKUP($B226,Types!$B$2:$D$13,3,FALSE)*Conv!$I$5*1000*365</f>
        <v>0</v>
      </c>
      <c r="AD226" s="219">
        <f>Z226*VLOOKUP($B226,Types!$B$2:$D$13,3,FALSE)*Conv!$I$5*1000*365</f>
        <v>0</v>
      </c>
      <c r="AE226" s="219">
        <f>AA226*VLOOKUP($B226,Types!$B$2:$D$13,3,FALSE)*Conv!$I$5*1000*365</f>
        <v>0</v>
      </c>
      <c r="AF226" s="219">
        <f>AB226-AF225</f>
        <v>0</v>
      </c>
      <c r="AG226" s="219">
        <f t="shared" ref="AG226:AI226" si="576">AC226-AG225</f>
        <v>0</v>
      </c>
      <c r="AH226" s="219">
        <f t="shared" si="576"/>
        <v>0</v>
      </c>
      <c r="AI226" s="219">
        <f t="shared" si="576"/>
        <v>0</v>
      </c>
      <c r="AJ226" s="219"/>
      <c r="AK226" s="219"/>
      <c r="AL226" s="219"/>
    </row>
    <row r="227" spans="1:38">
      <c r="A227" s="195" t="str">
        <f t="shared" si="573"/>
        <v>High Sulfur Fuel Oil</v>
      </c>
      <c r="B227" s="195" t="str">
        <f>VLOOKUP($A227,Types!$A$2:$C$13,2,FALSE)</f>
        <v>RFH</v>
      </c>
      <c r="C227" s="195">
        <v>4</v>
      </c>
      <c r="D227" s="195">
        <v>4</v>
      </c>
      <c r="E227" s="195" t="str">
        <f t="shared" si="498"/>
        <v>IMPRFHP44</v>
      </c>
      <c r="F227" s="195" t="str">
        <f>CONCATENATE("Imported ",VLOOKUP($A227,Types!$A$2:$C$13,3,FALSE),", PADD ",D227,", Step ",RIGHT(C227,1))</f>
        <v>Imported High Sulfur Residual Fuel Oil, PADD 4, Step 4</v>
      </c>
      <c r="G227" s="195" t="str">
        <f>CONCATENATE(VLOOKUP($A227,Types!$A$2:$C$13,2,FALSE),"P",D227)</f>
        <v>RFHP4</v>
      </c>
      <c r="H227" s="239">
        <f>H224*$C$8</f>
        <v>44.530860000000011</v>
      </c>
      <c r="I227" s="239">
        <f t="shared" ref="I227:K227" si="577">I224*$C$8</f>
        <v>39.339190000000009</v>
      </c>
      <c r="J227" s="239">
        <f t="shared" si="577"/>
        <v>30.945100000000004</v>
      </c>
      <c r="K227" s="239">
        <f t="shared" si="577"/>
        <v>34.2151</v>
      </c>
      <c r="L227" s="240">
        <f>H227*Conv!$J$20/10^6/VLOOKUP($B227,Types!$B$2:$D$13,3,FALSE)/Conv!$I$5</f>
        <v>10.30161956186164</v>
      </c>
      <c r="M227" s="240">
        <f>I227*Conv!$J$20/10^6/VLOOKUP($B227,Types!$B$2:$D$13,3,FALSE)/Conv!$I$5</f>
        <v>9.1005960642078705</v>
      </c>
      <c r="N227" s="240">
        <f>M227*'Imported Price Trends'!$K$19</f>
        <v>9.7990382167726775</v>
      </c>
      <c r="O227" s="240">
        <f>N227*'Imported Price Trends'!$L$19</f>
        <v>9.7058682614547358</v>
      </c>
      <c r="P227" s="240">
        <f>O227*'Imported Price Trends'!$M$19</f>
        <v>10.473313559588966</v>
      </c>
      <c r="Q227" s="240">
        <f>P227*'Imported Price Trends'!$N$19</f>
        <v>11.074925568533795</v>
      </c>
      <c r="R227" s="240">
        <f>Q227*'Imported Price Trends'!$O$19</f>
        <v>11.898723298390481</v>
      </c>
      <c r="S227" s="240">
        <f>R227*'Imported Price Trends'!$O$19</f>
        <v>12.783798433275079</v>
      </c>
      <c r="T227" s="240">
        <f>S227*'Imported Price Trends'!$O$19</f>
        <v>13.734709034263588</v>
      </c>
      <c r="U227" s="240">
        <f>T227*'Imported Price Trends'!$O$19</f>
        <v>14.756352209439022</v>
      </c>
      <c r="V227" s="240">
        <f>U227*'Imported Price Trends'!$O$19</f>
        <v>15.85398933357826</v>
      </c>
      <c r="W227" s="219"/>
      <c r="X227" s="195">
        <f>X224*$E$8</f>
        <v>0</v>
      </c>
      <c r="Y227" s="195">
        <f t="shared" ref="Y227:AA227" si="578">Y224*$E$8</f>
        <v>0</v>
      </c>
      <c r="Z227" s="195">
        <f t="shared" si="578"/>
        <v>0</v>
      </c>
      <c r="AA227" s="195">
        <f t="shared" si="578"/>
        <v>0</v>
      </c>
      <c r="AB227" s="219">
        <f>X227*VLOOKUP($B227,Types!$B$2:$D$13,3,FALSE)*Conv!$I$5*1000*365</f>
        <v>0</v>
      </c>
      <c r="AC227" s="219">
        <f>Y227*VLOOKUP($B227,Types!$B$2:$D$13,3,FALSE)*Conv!$I$5*1000*365</f>
        <v>0</v>
      </c>
      <c r="AD227" s="219">
        <f>Z227*VLOOKUP($B227,Types!$B$2:$D$13,3,FALSE)*Conv!$I$5*1000*365</f>
        <v>0</v>
      </c>
      <c r="AE227" s="219">
        <f>AA227*VLOOKUP($B227,Types!$B$2:$D$13,3,FALSE)*Conv!$I$5*1000*365</f>
        <v>0</v>
      </c>
      <c r="AF227" s="219">
        <f>AB227-AB224</f>
        <v>0</v>
      </c>
      <c r="AG227" s="219">
        <f t="shared" ref="AG227:AI227" si="579">AC227-AC224</f>
        <v>0</v>
      </c>
      <c r="AH227" s="219">
        <f t="shared" si="579"/>
        <v>0</v>
      </c>
      <c r="AI227" s="219">
        <f t="shared" si="579"/>
        <v>0</v>
      </c>
      <c r="AJ227" s="219"/>
      <c r="AK227" s="219"/>
      <c r="AL227" s="219"/>
    </row>
    <row r="228" spans="1:38">
      <c r="A228" s="195" t="str">
        <f t="shared" si="573"/>
        <v>High Sulfur Fuel Oil</v>
      </c>
      <c r="B228" s="195" t="str">
        <f>VLOOKUP($A228,Types!$A$2:$C$13,2,FALSE)</f>
        <v>RFH</v>
      </c>
      <c r="C228" s="195">
        <v>5</v>
      </c>
      <c r="D228" s="195">
        <v>4</v>
      </c>
      <c r="E228" s="195" t="str">
        <f t="shared" si="498"/>
        <v>IMPRFHP45</v>
      </c>
      <c r="F228" s="195" t="str">
        <f>CONCATENATE("Imported ",VLOOKUP($A228,Types!$A$2:$C$13,3,FALSE),", PADD ",D228,", Step ",RIGHT(C228,1))</f>
        <v>Imported High Sulfur Residual Fuel Oil, PADD 4, Step 5</v>
      </c>
      <c r="G228" s="195" t="str">
        <f>CONCATENATE(VLOOKUP($A228,Types!$A$2:$C$13,2,FALSE),"P",D228)</f>
        <v>RFHP4</v>
      </c>
      <c r="H228" s="239">
        <f>H224*$C$9</f>
        <v>53.110200000000013</v>
      </c>
      <c r="I228" s="239">
        <f t="shared" ref="I228:K228" si="580">I224*$C$9</f>
        <v>46.918300000000009</v>
      </c>
      <c r="J228" s="239">
        <f t="shared" si="580"/>
        <v>36.907000000000004</v>
      </c>
      <c r="K228" s="239">
        <f t="shared" si="580"/>
        <v>40.807000000000002</v>
      </c>
      <c r="L228" s="240">
        <f>H228*Conv!$J$20/10^6/VLOOKUP($B228,Types!$B$2:$D$13,3,FALSE)/Conv!$I$5</f>
        <v>12.286335257266176</v>
      </c>
      <c r="M228" s="240">
        <f>I228*Conv!$J$20/10^6/VLOOKUP($B228,Types!$B$2:$D$13,3,FALSE)/Conv!$I$5</f>
        <v>10.85392191144058</v>
      </c>
      <c r="N228" s="240">
        <f>M228*'Imported Price Trends'!$K$19</f>
        <v>11.686926313582093</v>
      </c>
      <c r="O228" s="240">
        <f>N228*'Imported Price Trends'!$L$19</f>
        <v>11.575806183386383</v>
      </c>
      <c r="P228" s="240">
        <f>O228*'Imported Price Trends'!$M$19</f>
        <v>12.49110791510611</v>
      </c>
      <c r="Q228" s="240">
        <f>P228*'Imported Price Trends'!$N$19</f>
        <v>13.208626824856822</v>
      </c>
      <c r="R228" s="240">
        <f>Q228*'Imported Price Trends'!$O$19</f>
        <v>14.191137878814338</v>
      </c>
      <c r="S228" s="240">
        <f>R228*'Imported Price Trends'!$O$19</f>
        <v>15.246732076383125</v>
      </c>
      <c r="T228" s="240">
        <f>S228*'Imported Price Trends'!$O$19</f>
        <v>16.380845637195108</v>
      </c>
      <c r="U228" s="240">
        <f>T228*'Imported Price Trends'!$O$19</f>
        <v>17.59931914887223</v>
      </c>
      <c r="V228" s="240">
        <f>U228*'Imported Price Trends'!$O$19</f>
        <v>18.908427645552056</v>
      </c>
      <c r="W228" s="219"/>
      <c r="X228" s="195">
        <f>X224*$E$9</f>
        <v>0</v>
      </c>
      <c r="Y228" s="195">
        <f t="shared" ref="Y228:AA228" si="581">Y224*$E$9</f>
        <v>0</v>
      </c>
      <c r="Z228" s="195">
        <f t="shared" si="581"/>
        <v>0</v>
      </c>
      <c r="AA228" s="195">
        <f t="shared" si="581"/>
        <v>0</v>
      </c>
      <c r="AB228" s="219">
        <f>X228*VLOOKUP($B228,Types!$B$2:$D$13,3,FALSE)*Conv!$I$5*1000*365</f>
        <v>0</v>
      </c>
      <c r="AC228" s="219">
        <f>Y228*VLOOKUP($B228,Types!$B$2:$D$13,3,FALSE)*Conv!$I$5*1000*365</f>
        <v>0</v>
      </c>
      <c r="AD228" s="219">
        <f>Z228*VLOOKUP($B228,Types!$B$2:$D$13,3,FALSE)*Conv!$I$5*1000*365</f>
        <v>0</v>
      </c>
      <c r="AE228" s="219">
        <f>AA228*VLOOKUP($B228,Types!$B$2:$D$13,3,FALSE)*Conv!$I$5*1000*365</f>
        <v>0</v>
      </c>
      <c r="AF228" s="219">
        <f>AB228-AB227</f>
        <v>0</v>
      </c>
      <c r="AG228" s="219">
        <f t="shared" ref="AG228:AI228" si="582">AC228-AC227</f>
        <v>0</v>
      </c>
      <c r="AH228" s="219">
        <f t="shared" si="582"/>
        <v>0</v>
      </c>
      <c r="AI228" s="219">
        <f t="shared" si="582"/>
        <v>0</v>
      </c>
      <c r="AJ228" s="219"/>
      <c r="AK228" s="219"/>
      <c r="AL228" s="219"/>
    </row>
    <row r="229" spans="1:38">
      <c r="A229" s="195" t="str">
        <f>'Agg prdcrv'!$A$12</f>
        <v>Jet Fuel</v>
      </c>
      <c r="B229" s="195" t="str">
        <f>VLOOKUP($A229,Types!$A$2:$C$13,2,FALSE)</f>
        <v>JTF</v>
      </c>
      <c r="C229" s="195">
        <v>3</v>
      </c>
      <c r="D229" s="195">
        <v>4</v>
      </c>
      <c r="E229" s="195" t="str">
        <f t="shared" si="498"/>
        <v>IMPJTFP43</v>
      </c>
      <c r="F229" s="195" t="str">
        <f>CONCATENATE("Imported ",VLOOKUP($A229,Types!$A$2:$C$13,3,FALSE),", PADD ",D229,", Step ",RIGHT(C229,1))</f>
        <v>Imported Jet Fuel, PADD 4, Step 3</v>
      </c>
      <c r="G229" s="195" t="str">
        <f>CONCATENATE(VLOOKUP($A229,Types!$A$2:$C$13,2,FALSE),"P",D229)</f>
        <v>JTFP4</v>
      </c>
      <c r="H229" s="239">
        <f>SUMIFS('Agg prdcrv NYC'!$O$6:$O$100,'Agg prdcrv NYC'!$A$6:$A$100,'Imp Refined NYC'!$A229,'Agg prdcrv NYC'!$B$6:$B$100,H$11)*K4</f>
        <v>61.27000000000001</v>
      </c>
      <c r="I229" s="239">
        <f>SUMIFS('Agg prdcrv NYC'!$O$6:$O$100,'Agg prdcrv NYC'!$A$6:$A$100,'Imp Refined NYC'!$A229,'Agg prdcrv NYC'!$B$6:$B$100,I$11)*K4</f>
        <v>43.933999999999997</v>
      </c>
      <c r="J229" s="239">
        <f t="array" ref="J229">SUMIFS('Agg prdcrv NYC'!$O$6:$O$100,'Agg prdcrv NYC'!$A$6:$A$100,'Imp Refined NYC'!$A229,'Agg prdcrv NYC'!$B$6:$B$100,J$11)</f>
        <v>37.049999999999997</v>
      </c>
      <c r="K229" s="239">
        <f t="array" ref="K229">SUMIFS('Agg prdcrv NYC'!$O$6:$O$100,'Agg prdcrv NYC'!$A$6:$A$100,'Imp Refined NYC'!$A229,'Agg prdcrv NYC'!$B$6:$B$100,K$11)</f>
        <v>38.42</v>
      </c>
      <c r="L229" s="240">
        <f>H229*Conv!$J$20/10^6/VLOOKUP($B229,Types!$B$2:$D$13,3,FALSE)/Conv!$I$5</f>
        <v>15.716386722448176</v>
      </c>
      <c r="M229" s="240">
        <f>I229*Conv!$J$20/10^6/VLOOKUP($B229,Types!$B$2:$D$13,3,FALSE)/Conv!$I$5</f>
        <v>11.269523980154039</v>
      </c>
      <c r="N229" s="240">
        <f>M229*'Imported Price Trends'!$K$19</f>
        <v>12.134424535188685</v>
      </c>
      <c r="O229" s="240">
        <f>N229*'Imported Price Trends'!$L$19</f>
        <v>12.019049559936796</v>
      </c>
      <c r="P229" s="240">
        <f>O229*'Imported Price Trends'!$M$19</f>
        <v>12.969398650233771</v>
      </c>
      <c r="Q229" s="240">
        <f>P229*'Imported Price Trends'!$N$19</f>
        <v>13.714391715931662</v>
      </c>
      <c r="R229" s="240">
        <f>Q229*'Imported Price Trends'!$O$19</f>
        <v>14.734523606844729</v>
      </c>
      <c r="S229" s="240">
        <f>R229*'Imported Price Trends'!$O$19</f>
        <v>15.830537031289388</v>
      </c>
      <c r="T229" s="240">
        <f>S229*'Imported Price Trends'!$O$19</f>
        <v>17.008076364451238</v>
      </c>
      <c r="U229" s="240">
        <f>T229*'Imported Price Trends'!$O$19</f>
        <v>18.273205832957366</v>
      </c>
      <c r="V229" s="240">
        <f>U229*'Imported Price Trends'!$O$19</f>
        <v>19.632440745123656</v>
      </c>
      <c r="W229" s="219"/>
      <c r="X229" s="195">
        <f t="array" ref="X229">SUMIFS('Agg prdcrv NYC'!$G$6:$G$100,'Agg prdcrv NYC'!$A$6:$A$100,'Imp Refined NYC'!$A229,'Agg prdcrv NYC'!$B$6:$B$100,X$11)</f>
        <v>0.43</v>
      </c>
      <c r="Y229" s="195">
        <f t="array" ref="Y229">SUMIFS('Agg prdcrv NYC'!$G$6:$G$100,'Agg prdcrv NYC'!$A$6:$A$100,'Imp Refined NYC'!$A229,'Agg prdcrv NYC'!$B$6:$B$100,Y$11)</f>
        <v>0</v>
      </c>
      <c r="Z229" s="195">
        <f t="array" ref="Z229">SUMIFS('Agg prdcrv NYC'!$G$6:$G$100,'Agg prdcrv NYC'!$A$6:$A$100,'Imp Refined NYC'!$A229,'Agg prdcrv NYC'!$B$6:$B$100,Z$11)</f>
        <v>0</v>
      </c>
      <c r="AA229" s="195">
        <f t="array" ref="AA229">SUMIFS('Agg prdcrv NYC'!$G$6:$G$100,'Agg prdcrv NYC'!$A$6:$A$100,'Imp Refined NYC'!$A229,'Agg prdcrv NYC'!$B$6:$B$100,AA$11)</f>
        <v>0</v>
      </c>
      <c r="AB229" s="219">
        <f>X229*VLOOKUP($B229,Types!$B$2:$D$13,3,FALSE)*Conv!$I$5*1000*365</f>
        <v>0.93890119226399982</v>
      </c>
      <c r="AC229" s="219">
        <f>Y229*VLOOKUP($B229,Types!$B$2:$D$13,3,FALSE)*Conv!$I$5*1000*365</f>
        <v>0</v>
      </c>
      <c r="AD229" s="219">
        <f>Z229*VLOOKUP($B229,Types!$B$2:$D$13,3,FALSE)*Conv!$I$5*1000*365</f>
        <v>0</v>
      </c>
      <c r="AE229" s="219">
        <f>AA229*VLOOKUP($B229,Types!$B$2:$D$13,3,FALSE)*Conv!$I$5*1000*365</f>
        <v>0</v>
      </c>
      <c r="AF229" s="219">
        <f>AB229-AB231</f>
        <v>9.3890119226399893E-2</v>
      </c>
      <c r="AG229" s="219">
        <f t="shared" ref="AG229:AI229" si="583">AC229-AC231</f>
        <v>0</v>
      </c>
      <c r="AH229" s="219">
        <f t="shared" si="583"/>
        <v>0</v>
      </c>
      <c r="AI229" s="219">
        <f t="shared" si="583"/>
        <v>0</v>
      </c>
      <c r="AJ229" s="219"/>
      <c r="AK229" s="219"/>
      <c r="AL229" s="219"/>
    </row>
    <row r="230" spans="1:38">
      <c r="A230" s="195" t="str">
        <f>A229</f>
        <v>Jet Fuel</v>
      </c>
      <c r="B230" s="195" t="str">
        <f>VLOOKUP($A230,Types!$A$2:$C$13,2,FALSE)</f>
        <v>JTF</v>
      </c>
      <c r="C230" s="195">
        <v>1</v>
      </c>
      <c r="D230" s="195">
        <v>4</v>
      </c>
      <c r="E230" s="195" t="str">
        <f t="shared" si="498"/>
        <v>IMPJTFP41</v>
      </c>
      <c r="F230" s="195" t="str">
        <f>CONCATENATE("Imported ",VLOOKUP($A230,Types!$A$2:$C$13,3,FALSE),", PADD ",D230,", Step ",RIGHT(C230,1))</f>
        <v>Imported Jet Fuel, PADD 4, Step 1</v>
      </c>
      <c r="G230" s="195" t="str">
        <f>CONCATENATE(VLOOKUP($A230,Types!$A$2:$C$13,2,FALSE),"P",D230)</f>
        <v>JTFP4</v>
      </c>
      <c r="H230" s="239">
        <f>H229*$C$5</f>
        <v>58.206500000000005</v>
      </c>
      <c r="I230" s="239">
        <f t="shared" ref="I230:K230" si="584">I229*$C$5</f>
        <v>41.737299999999998</v>
      </c>
      <c r="J230" s="239">
        <f t="shared" si="584"/>
        <v>35.197499999999998</v>
      </c>
      <c r="K230" s="239">
        <f t="shared" si="584"/>
        <v>36.499000000000002</v>
      </c>
      <c r="L230" s="240">
        <f>H230*Conv!$J$20/10^6/VLOOKUP($B230,Types!$B$2:$D$13,3,FALSE)/Conv!$I$5</f>
        <v>14.930567386325764</v>
      </c>
      <c r="M230" s="240">
        <f>I230*Conv!$J$20/10^6/VLOOKUP($B230,Types!$B$2:$D$13,3,FALSE)/Conv!$I$5</f>
        <v>10.706047781146337</v>
      </c>
      <c r="N230" s="240">
        <f>M230*'Imported Price Trends'!$K$19</f>
        <v>11.527703308429251</v>
      </c>
      <c r="O230" s="240">
        <f>N230*'Imported Price Trends'!$L$19</f>
        <v>11.418097081939957</v>
      </c>
      <c r="P230" s="240">
        <f>O230*'Imported Price Trends'!$M$19</f>
        <v>12.320928717722083</v>
      </c>
      <c r="Q230" s="240">
        <f>P230*'Imported Price Trends'!$N$19</f>
        <v>13.02867213013508</v>
      </c>
      <c r="R230" s="240">
        <f>Q230*'Imported Price Trends'!$O$19</f>
        <v>13.997797426502492</v>
      </c>
      <c r="S230" s="240">
        <f>R230*'Imported Price Trends'!$O$19</f>
        <v>15.039010179724919</v>
      </c>
      <c r="T230" s="240">
        <f>S230*'Imported Price Trends'!$O$19</f>
        <v>16.157672546228675</v>
      </c>
      <c r="U230" s="240">
        <f>T230*'Imported Price Trends'!$O$19</f>
        <v>17.359545541309497</v>
      </c>
      <c r="V230" s="240">
        <f>U230*'Imported Price Trends'!$O$19</f>
        <v>18.650818707867472</v>
      </c>
      <c r="W230" s="219"/>
      <c r="X230" s="195">
        <f>X229*$E$5</f>
        <v>0.34400000000000003</v>
      </c>
      <c r="Y230" s="195">
        <f t="shared" ref="Y230:AA230" si="585">Y229*$E$5</f>
        <v>0</v>
      </c>
      <c r="Z230" s="195">
        <f t="shared" si="585"/>
        <v>0</v>
      </c>
      <c r="AA230" s="195">
        <f t="shared" si="585"/>
        <v>0</v>
      </c>
      <c r="AB230" s="219">
        <f>X230*VLOOKUP($B230,Types!$B$2:$D$13,3,FALSE)*Conv!$I$5*1000*365</f>
        <v>0.75112095381120003</v>
      </c>
      <c r="AC230" s="219">
        <f>Y230*VLOOKUP($B230,Types!$B$2:$D$13,3,FALSE)*Conv!$I$5*1000*365</f>
        <v>0</v>
      </c>
      <c r="AD230" s="219">
        <f>Z230*VLOOKUP($B230,Types!$B$2:$D$13,3,FALSE)*Conv!$I$5*1000*365</f>
        <v>0</v>
      </c>
      <c r="AE230" s="219">
        <f>AA230*VLOOKUP($B230,Types!$B$2:$D$13,3,FALSE)*Conv!$I$5*1000*365</f>
        <v>0</v>
      </c>
      <c r="AF230" s="219">
        <f>AB230</f>
        <v>0.75112095381120003</v>
      </c>
      <c r="AG230" s="219">
        <f t="shared" ref="AG230:AI230" si="586">AC230</f>
        <v>0</v>
      </c>
      <c r="AH230" s="219">
        <f t="shared" si="586"/>
        <v>0</v>
      </c>
      <c r="AI230" s="219">
        <f t="shared" si="586"/>
        <v>0</v>
      </c>
      <c r="AJ230" s="219"/>
      <c r="AK230" s="219"/>
      <c r="AL230" s="219"/>
    </row>
    <row r="231" spans="1:38">
      <c r="A231" s="195" t="str">
        <f t="shared" ref="A231:A233" si="587">A230</f>
        <v>Jet Fuel</v>
      </c>
      <c r="B231" s="195" t="str">
        <f>VLOOKUP($A231,Types!$A$2:$C$13,2,FALSE)</f>
        <v>JTF</v>
      </c>
      <c r="C231" s="195">
        <v>2</v>
      </c>
      <c r="D231" s="195">
        <v>4</v>
      </c>
      <c r="E231" s="195" t="str">
        <f t="shared" si="498"/>
        <v>IMPJTFP42</v>
      </c>
      <c r="F231" s="195" t="str">
        <f>CONCATENATE("Imported ",VLOOKUP($A231,Types!$A$2:$C$13,3,FALSE),", PADD ",D231,", Step ",RIGHT(C231,1))</f>
        <v>Imported Jet Fuel, PADD 4, Step 2</v>
      </c>
      <c r="G231" s="195" t="str">
        <f>CONCATENATE(VLOOKUP($A231,Types!$A$2:$C$13,2,FALSE),"P",D231)</f>
        <v>JTFP4</v>
      </c>
      <c r="H231" s="239">
        <f>H229*$C$6</f>
        <v>60.04460000000001</v>
      </c>
      <c r="I231" s="239">
        <f t="shared" ref="I231:K231" si="588">I229*$C$6</f>
        <v>43.055319999999995</v>
      </c>
      <c r="J231" s="239">
        <f t="shared" si="588"/>
        <v>36.308999999999997</v>
      </c>
      <c r="K231" s="239">
        <f t="shared" si="588"/>
        <v>37.651600000000002</v>
      </c>
      <c r="L231" s="240">
        <f>H231*Conv!$J$20/10^6/VLOOKUP($B231,Types!$B$2:$D$13,3,FALSE)/Conv!$I$5</f>
        <v>15.40205898799921</v>
      </c>
      <c r="M231" s="240">
        <f>I231*Conv!$J$20/10^6/VLOOKUP($B231,Types!$B$2:$D$13,3,FALSE)/Conv!$I$5</f>
        <v>11.044133500550956</v>
      </c>
      <c r="N231" s="240">
        <f>M231*'Imported Price Trends'!$K$19</f>
        <v>11.891736044484908</v>
      </c>
      <c r="O231" s="240">
        <f>N231*'Imported Price Trends'!$L$19</f>
        <v>11.778668568738057</v>
      </c>
      <c r="P231" s="240">
        <f>O231*'Imported Price Trends'!$M$19</f>
        <v>12.710010677229093</v>
      </c>
      <c r="Q231" s="240">
        <f>P231*'Imported Price Trends'!$N$19</f>
        <v>13.440103881613027</v>
      </c>
      <c r="R231" s="240">
        <f>Q231*'Imported Price Trends'!$O$19</f>
        <v>14.439833134707831</v>
      </c>
      <c r="S231" s="240">
        <f>R231*'Imported Price Trends'!$O$19</f>
        <v>15.513926290663596</v>
      </c>
      <c r="T231" s="240">
        <f>S231*'Imported Price Trends'!$O$19</f>
        <v>16.667914837162208</v>
      </c>
      <c r="U231" s="240">
        <f>T231*'Imported Price Trends'!$O$19</f>
        <v>17.907741716298212</v>
      </c>
      <c r="V231" s="240">
        <f>U231*'Imported Price Trends'!$O$19</f>
        <v>19.239791930221177</v>
      </c>
      <c r="W231" s="219"/>
      <c r="X231" s="195">
        <f>X229*$E$6</f>
        <v>0.38700000000000001</v>
      </c>
      <c r="Y231" s="195">
        <f t="shared" ref="Y231:AA231" si="589">Y229*$E$6</f>
        <v>0</v>
      </c>
      <c r="Z231" s="195">
        <f t="shared" si="589"/>
        <v>0</v>
      </c>
      <c r="AA231" s="195">
        <f t="shared" si="589"/>
        <v>0</v>
      </c>
      <c r="AB231" s="219">
        <f>X231*VLOOKUP($B231,Types!$B$2:$D$13,3,FALSE)*Conv!$I$5*1000*365</f>
        <v>0.84501107303759992</v>
      </c>
      <c r="AC231" s="219">
        <f>Y231*VLOOKUP($B231,Types!$B$2:$D$13,3,FALSE)*Conv!$I$5*1000*365</f>
        <v>0</v>
      </c>
      <c r="AD231" s="219">
        <f>Z231*VLOOKUP($B231,Types!$B$2:$D$13,3,FALSE)*Conv!$I$5*1000*365</f>
        <v>0</v>
      </c>
      <c r="AE231" s="219">
        <f>AA231*VLOOKUP($B231,Types!$B$2:$D$13,3,FALSE)*Conv!$I$5*1000*365</f>
        <v>0</v>
      </c>
      <c r="AF231" s="219">
        <f>AB231-AF230</f>
        <v>9.3890119226399893E-2</v>
      </c>
      <c r="AG231" s="219">
        <f t="shared" ref="AG231:AI231" si="590">AC231-AG230</f>
        <v>0</v>
      </c>
      <c r="AH231" s="219">
        <f t="shared" si="590"/>
        <v>0</v>
      </c>
      <c r="AI231" s="219">
        <f t="shared" si="590"/>
        <v>0</v>
      </c>
      <c r="AJ231" s="219"/>
      <c r="AK231" s="219"/>
      <c r="AL231" s="219"/>
    </row>
    <row r="232" spans="1:38">
      <c r="A232" s="195" t="str">
        <f t="shared" si="587"/>
        <v>Jet Fuel</v>
      </c>
      <c r="B232" s="195" t="str">
        <f>VLOOKUP($A232,Types!$A$2:$C$13,2,FALSE)</f>
        <v>JTF</v>
      </c>
      <c r="C232" s="195">
        <v>4</v>
      </c>
      <c r="D232" s="195">
        <v>4</v>
      </c>
      <c r="E232" s="195" t="str">
        <f t="shared" si="498"/>
        <v>IMPJTFP44</v>
      </c>
      <c r="F232" s="195" t="str">
        <f>CONCATENATE("Imported ",VLOOKUP($A232,Types!$A$2:$C$13,3,FALSE),", PADD ",D232,", Step ",RIGHT(C232,1))</f>
        <v>Imported Jet Fuel, PADD 4, Step 4</v>
      </c>
      <c r="G232" s="195" t="str">
        <f>CONCATENATE(VLOOKUP($A232,Types!$A$2:$C$13,2,FALSE),"P",D232)</f>
        <v>JTFP4</v>
      </c>
      <c r="H232" s="239">
        <f>H229*$C$8</f>
        <v>66.784300000000016</v>
      </c>
      <c r="I232" s="239">
        <f t="shared" ref="I232:K232" si="591">I229*$C$8</f>
        <v>47.888060000000003</v>
      </c>
      <c r="J232" s="239">
        <f t="shared" si="591"/>
        <v>40.384500000000003</v>
      </c>
      <c r="K232" s="239">
        <f t="shared" si="591"/>
        <v>41.877800000000008</v>
      </c>
      <c r="L232" s="240">
        <f>H232*Conv!$J$20/10^6/VLOOKUP($B232,Types!$B$2:$D$13,3,FALSE)/Conv!$I$5</f>
        <v>17.130861527468511</v>
      </c>
      <c r="M232" s="240">
        <f>I232*Conv!$J$20/10^6/VLOOKUP($B232,Types!$B$2:$D$13,3,FALSE)/Conv!$I$5</f>
        <v>12.283781138367903</v>
      </c>
      <c r="N232" s="240">
        <f>M232*'Imported Price Trends'!$K$19</f>
        <v>13.226522743355668</v>
      </c>
      <c r="O232" s="240">
        <f>N232*'Imported Price Trends'!$L$19</f>
        <v>13.100764020331109</v>
      </c>
      <c r="P232" s="240">
        <f>O232*'Imported Price Trends'!$M$19</f>
        <v>14.136644528754813</v>
      </c>
      <c r="Q232" s="240">
        <f>P232*'Imported Price Trends'!$N$19</f>
        <v>14.948686970365515</v>
      </c>
      <c r="R232" s="240">
        <f>Q232*'Imported Price Trends'!$O$19</f>
        <v>16.060630731460758</v>
      </c>
      <c r="S232" s="240">
        <f>R232*'Imported Price Trends'!$O$19</f>
        <v>17.255285364105436</v>
      </c>
      <c r="T232" s="240">
        <f>S232*'Imported Price Trends'!$O$19</f>
        <v>18.538803237251852</v>
      </c>
      <c r="U232" s="240">
        <f>T232*'Imported Price Trends'!$O$19</f>
        <v>19.917794357923533</v>
      </c>
      <c r="V232" s="240">
        <f>U232*'Imported Price Trends'!$O$19</f>
        <v>21.399360412184791</v>
      </c>
      <c r="W232" s="219"/>
      <c r="X232" s="195">
        <f>X229*$E$8</f>
        <v>0.51600000000000001</v>
      </c>
      <c r="Y232" s="195">
        <f t="shared" ref="Y232:AA232" si="592">Y229*$E$8</f>
        <v>0</v>
      </c>
      <c r="Z232" s="195">
        <f t="shared" si="592"/>
        <v>0</v>
      </c>
      <c r="AA232" s="195">
        <f t="shared" si="592"/>
        <v>0</v>
      </c>
      <c r="AB232" s="219">
        <f>X232*VLOOKUP($B232,Types!$B$2:$D$13,3,FALSE)*Conv!$I$5*1000*365</f>
        <v>1.1266814307167998</v>
      </c>
      <c r="AC232" s="219">
        <f>Y232*VLOOKUP($B232,Types!$B$2:$D$13,3,FALSE)*Conv!$I$5*1000*365</f>
        <v>0</v>
      </c>
      <c r="AD232" s="219">
        <f>Z232*VLOOKUP($B232,Types!$B$2:$D$13,3,FALSE)*Conv!$I$5*1000*365</f>
        <v>0</v>
      </c>
      <c r="AE232" s="219">
        <f>AA232*VLOOKUP($B232,Types!$B$2:$D$13,3,FALSE)*Conv!$I$5*1000*365</f>
        <v>0</v>
      </c>
      <c r="AF232" s="219">
        <f>AB232-AB229</f>
        <v>0.18778023845280001</v>
      </c>
      <c r="AG232" s="219">
        <f t="shared" ref="AG232:AI232" si="593">AC232-AC229</f>
        <v>0</v>
      </c>
      <c r="AH232" s="219">
        <f t="shared" si="593"/>
        <v>0</v>
      </c>
      <c r="AI232" s="219">
        <f t="shared" si="593"/>
        <v>0</v>
      </c>
      <c r="AJ232" s="219"/>
      <c r="AK232" s="219"/>
      <c r="AL232" s="219"/>
    </row>
    <row r="233" spans="1:38">
      <c r="A233" s="195" t="str">
        <f t="shared" si="587"/>
        <v>Jet Fuel</v>
      </c>
      <c r="B233" s="195" t="str">
        <f>VLOOKUP($A233,Types!$A$2:$C$13,2,FALSE)</f>
        <v>JTF</v>
      </c>
      <c r="C233" s="195">
        <v>5</v>
      </c>
      <c r="D233" s="195">
        <v>4</v>
      </c>
      <c r="E233" s="195" t="str">
        <f t="shared" si="498"/>
        <v>IMPJTFP45</v>
      </c>
      <c r="F233" s="195" t="str">
        <f>CONCATENATE("Imported ",VLOOKUP($A233,Types!$A$2:$C$13,3,FALSE),", PADD ",D233,", Step ",RIGHT(C233,1))</f>
        <v>Imported Jet Fuel, PADD 4, Step 5</v>
      </c>
      <c r="G233" s="195" t="str">
        <f>CONCATENATE(VLOOKUP($A233,Types!$A$2:$C$13,2,FALSE),"P",D233)</f>
        <v>JTFP4</v>
      </c>
      <c r="H233" s="239">
        <f>H229*$C$9</f>
        <v>79.65100000000001</v>
      </c>
      <c r="I233" s="239">
        <f t="shared" ref="I233:K233" si="594">I229*$C$9</f>
        <v>57.114199999999997</v>
      </c>
      <c r="J233" s="239">
        <f t="shared" si="594"/>
        <v>48.164999999999999</v>
      </c>
      <c r="K233" s="239">
        <f t="shared" si="594"/>
        <v>49.946000000000005</v>
      </c>
      <c r="L233" s="240">
        <f>H233*Conv!$J$20/10^6/VLOOKUP($B233,Types!$B$2:$D$13,3,FALSE)/Conv!$I$5</f>
        <v>20.43130273918263</v>
      </c>
      <c r="M233" s="240">
        <f>I233*Conv!$J$20/10^6/VLOOKUP($B233,Types!$B$2:$D$13,3,FALSE)/Conv!$I$5</f>
        <v>14.650381174200248</v>
      </c>
      <c r="N233" s="240">
        <f>M233*'Imported Price Trends'!$K$19</f>
        <v>15.774751895745288</v>
      </c>
      <c r="O233" s="240">
        <f>N233*'Imported Price Trends'!$L$19</f>
        <v>15.624764427917832</v>
      </c>
      <c r="P233" s="240">
        <f>O233*'Imported Price Trends'!$M$19</f>
        <v>16.860218245303898</v>
      </c>
      <c r="Q233" s="240">
        <f>P233*'Imported Price Trends'!$N$19</f>
        <v>17.828709230711155</v>
      </c>
      <c r="R233" s="240">
        <f>Q233*'Imported Price Trends'!$O$19</f>
        <v>19.154880688898142</v>
      </c>
      <c r="S233" s="240">
        <f>R233*'Imported Price Trends'!$O$19</f>
        <v>20.5796981406762</v>
      </c>
      <c r="T233" s="240">
        <f>S233*'Imported Price Trends'!$O$19</f>
        <v>22.110499273786605</v>
      </c>
      <c r="U233" s="240">
        <f>T233*'Imported Price Trends'!$O$19</f>
        <v>23.755167582844571</v>
      </c>
      <c r="V233" s="240">
        <f>U233*'Imported Price Trends'!$O$19</f>
        <v>25.522172968660747</v>
      </c>
      <c r="W233" s="219"/>
      <c r="X233" s="195">
        <f>X229*$E$9</f>
        <v>0.86</v>
      </c>
      <c r="Y233" s="195">
        <f t="shared" ref="Y233:AA233" si="595">Y229*$E$9</f>
        <v>0</v>
      </c>
      <c r="Z233" s="195">
        <f t="shared" si="595"/>
        <v>0</v>
      </c>
      <c r="AA233" s="195">
        <f t="shared" si="595"/>
        <v>0</v>
      </c>
      <c r="AB233" s="219">
        <f>X233*VLOOKUP($B233,Types!$B$2:$D$13,3,FALSE)*Conv!$I$5*1000*365</f>
        <v>1.8778023845279996</v>
      </c>
      <c r="AC233" s="219">
        <f>Y233*VLOOKUP($B233,Types!$B$2:$D$13,3,FALSE)*Conv!$I$5*1000*365</f>
        <v>0</v>
      </c>
      <c r="AD233" s="219">
        <f>Z233*VLOOKUP($B233,Types!$B$2:$D$13,3,FALSE)*Conv!$I$5*1000*365</f>
        <v>0</v>
      </c>
      <c r="AE233" s="219">
        <f>AA233*VLOOKUP($B233,Types!$B$2:$D$13,3,FALSE)*Conv!$I$5*1000*365</f>
        <v>0</v>
      </c>
      <c r="AF233" s="219">
        <f>AB233-AB232</f>
        <v>0.75112095381119981</v>
      </c>
      <c r="AG233" s="219">
        <f t="shared" ref="AG233:AI233" si="596">AC233-AC232</f>
        <v>0</v>
      </c>
      <c r="AH233" s="219">
        <f t="shared" si="596"/>
        <v>0</v>
      </c>
      <c r="AI233" s="219">
        <f t="shared" si="596"/>
        <v>0</v>
      </c>
      <c r="AJ233" s="219"/>
      <c r="AK233" s="219"/>
      <c r="AL233" s="219"/>
    </row>
    <row r="234" spans="1:38">
      <c r="A234" s="195" t="str">
        <f>'Agg prdcrv'!$A$13</f>
        <v>LPG</v>
      </c>
      <c r="B234" s="195" t="str">
        <f>VLOOKUP($A234,Types!$A$2:$C$13,2,FALSE)</f>
        <v>LPG</v>
      </c>
      <c r="C234" s="195">
        <v>3</v>
      </c>
      <c r="D234" s="195">
        <v>4</v>
      </c>
      <c r="E234" s="195" t="str">
        <f t="shared" si="498"/>
        <v>IMPLPGP43</v>
      </c>
      <c r="F234" s="195" t="str">
        <f>CONCATENATE("Imported ",VLOOKUP($A234,Types!$A$2:$C$13,3,FALSE),", PADD ",D234,", Step ",RIGHT(C234,1))</f>
        <v>Imported LPG, PADD 4, Step 3</v>
      </c>
      <c r="G234" s="195" t="str">
        <f>CONCATENATE(VLOOKUP($A234,Types!$A$2:$C$13,2,FALSE),"P",D234)</f>
        <v>LPGP4</v>
      </c>
      <c r="H234" s="239">
        <f>SUMIFS('Agg prdcrv NYC'!$O$6:$O$100,'Agg prdcrv NYC'!$A$6:$A$100,'Imp Refined NYC'!$A234,'Agg prdcrv NYC'!$B$6:$B$100,H$11)*K4</f>
        <v>31.691000000000003</v>
      </c>
      <c r="I234" s="239">
        <f>SUMIFS('Agg prdcrv NYC'!$O$6:$O$100,'Agg prdcrv NYC'!$A$6:$A$100,'Imp Refined NYC'!$A234,'Agg prdcrv NYC'!$B$6:$B$100,I$11)*K4</f>
        <v>31.35</v>
      </c>
      <c r="J234" s="239">
        <f t="array" ref="J234">SUMIFS('Agg prdcrv NYC'!$O$6:$O$100,'Agg prdcrv NYC'!$A$6:$A$100,'Imp Refined NYC'!$A234,'Agg prdcrv NYC'!$B$6:$B$100,J$11)</f>
        <v>28.5</v>
      </c>
      <c r="K234" s="239">
        <f t="array" ref="K234">SUMIFS('Agg prdcrv NYC'!$O$6:$O$100,'Agg prdcrv NYC'!$A$6:$A$100,'Imp Refined NYC'!$A234,'Agg prdcrv NYC'!$B$6:$B$100,K$11)</f>
        <v>28.5</v>
      </c>
      <c r="L234" s="240">
        <f>H234*Conv!$J$20/10^6/VLOOKUP($B234,Types!$B$2:$D$13,3,FALSE)/Conv!$I$5</f>
        <v>12.958059311858628</v>
      </c>
      <c r="M234" s="240">
        <f>I234*Conv!$J$20/10^6/VLOOKUP($B234,Types!$B$2:$D$13,3,FALSE)/Conv!$I$5</f>
        <v>12.818628614646682</v>
      </c>
      <c r="N234" s="240">
        <f>M234*'Imported Price Trends'!$K$19</f>
        <v>13.80241808287224</v>
      </c>
      <c r="O234" s="240">
        <f>N234*'Imported Price Trends'!$L$19</f>
        <v>13.671183705822909</v>
      </c>
      <c r="P234" s="240">
        <f>O234*'Imported Price Trends'!$M$19</f>
        <v>14.7521674336394</v>
      </c>
      <c r="Q234" s="240">
        <f>P234*'Imported Price Trends'!$N$19</f>
        <v>15.599566973006439</v>
      </c>
      <c r="R234" s="240">
        <f>Q234*'Imported Price Trends'!$O$19</f>
        <v>16.759925819626783</v>
      </c>
      <c r="S234" s="240">
        <f>R234*'Imported Price Trends'!$O$19</f>
        <v>18.006596847557031</v>
      </c>
      <c r="T234" s="240">
        <f>S234*'Imported Price Trends'!$O$19</f>
        <v>19.346000305726356</v>
      </c>
      <c r="U234" s="240">
        <f>T234*'Imported Price Trends'!$O$19</f>
        <v>20.785034007130641</v>
      </c>
      <c r="V234" s="240">
        <f>U234*'Imported Price Trends'!$O$19</f>
        <v>22.331108851978119</v>
      </c>
      <c r="W234" s="219"/>
      <c r="X234" s="195">
        <f t="array" ref="X234">SUMIFS('Agg prdcrv NYC'!$G$6:$G$100,'Agg prdcrv NYC'!$A$6:$A$100,'Imp Refined NYC'!$A234,'Agg prdcrv NYC'!$B$6:$B$100,X$11)</f>
        <v>18.350000000000001</v>
      </c>
      <c r="Y234" s="195">
        <f t="array" ref="Y234">SUMIFS('Agg prdcrv NYC'!$G$6:$G$100,'Agg prdcrv NYC'!$A$6:$A$100,'Imp Refined NYC'!$A234,'Agg prdcrv NYC'!$B$6:$B$100,Y$11)</f>
        <v>9.18</v>
      </c>
      <c r="Z234" s="195">
        <f t="array" ref="Z234">SUMIFS('Agg prdcrv NYC'!$G$6:$G$100,'Agg prdcrv NYC'!$A$6:$A$100,'Imp Refined NYC'!$A234,'Agg prdcrv NYC'!$B$6:$B$100,Z$11)</f>
        <v>10.130000000000001</v>
      </c>
      <c r="AA234" s="195">
        <f t="array" ref="AA234">SUMIFS('Agg prdcrv NYC'!$G$6:$G$100,'Agg prdcrv NYC'!$A$6:$A$100,'Imp Refined NYC'!$A234,'Agg prdcrv NYC'!$B$6:$B$100,AA$11)</f>
        <v>11.19</v>
      </c>
      <c r="AB234" s="219">
        <f>X234*VLOOKUP($B234,Types!$B$2:$D$13,3,FALSE)*Conv!$I$5*1000*365</f>
        <v>25.135545209467999</v>
      </c>
      <c r="AC234" s="219">
        <f>Y234*VLOOKUP($B234,Types!$B$2:$D$13,3,FALSE)*Conv!$I$5*1000*365</f>
        <v>12.574621527134399</v>
      </c>
      <c r="AD234" s="219">
        <f>Z234*VLOOKUP($B234,Types!$B$2:$D$13,3,FALSE)*Conv!$I$5*1000*365</f>
        <v>13.875916783210398</v>
      </c>
      <c r="AE234" s="219">
        <f>AA234*VLOOKUP($B234,Types!$B$2:$D$13,3,FALSE)*Conv!$I$5*1000*365</f>
        <v>15.327888332095199</v>
      </c>
      <c r="AF234" s="219">
        <f>AB234-AB236</f>
        <v>2.5135545209468013</v>
      </c>
      <c r="AG234" s="219">
        <f t="shared" ref="AG234:AI234" si="597">AC234-AC236</f>
        <v>1.2574621527134404</v>
      </c>
      <c r="AH234" s="219">
        <f t="shared" si="597"/>
        <v>1.3875916783210371</v>
      </c>
      <c r="AI234" s="219">
        <f t="shared" si="597"/>
        <v>1.532788833209521</v>
      </c>
      <c r="AJ234" s="219"/>
      <c r="AK234" s="219"/>
      <c r="AL234" s="219"/>
    </row>
    <row r="235" spans="1:38">
      <c r="A235" s="195" t="str">
        <f>A234</f>
        <v>LPG</v>
      </c>
      <c r="B235" s="195" t="str">
        <f>VLOOKUP($A235,Types!$A$2:$C$13,2,FALSE)</f>
        <v>LPG</v>
      </c>
      <c r="C235" s="195">
        <v>1</v>
      </c>
      <c r="D235" s="195">
        <v>4</v>
      </c>
      <c r="E235" s="195" t="str">
        <f t="shared" si="498"/>
        <v>IMPLPGP41</v>
      </c>
      <c r="F235" s="195" t="str">
        <f>CONCATENATE("Imported ",VLOOKUP($A235,Types!$A$2:$C$13,3,FALSE),", PADD ",D235,", Step ",RIGHT(C235,1))</f>
        <v>Imported LPG, PADD 4, Step 1</v>
      </c>
      <c r="G235" s="195" t="str">
        <f>CONCATENATE(VLOOKUP($A235,Types!$A$2:$C$13,2,FALSE),"P",D235)</f>
        <v>LPGP4</v>
      </c>
      <c r="H235" s="239">
        <f>H234*$C$5</f>
        <v>30.106450000000002</v>
      </c>
      <c r="I235" s="239">
        <f t="shared" ref="I235:K235" si="598">I234*$C$5</f>
        <v>29.782499999999999</v>
      </c>
      <c r="J235" s="239">
        <f t="shared" si="598"/>
        <v>27.074999999999999</v>
      </c>
      <c r="K235" s="239">
        <f t="shared" si="598"/>
        <v>27.074999999999999</v>
      </c>
      <c r="L235" s="240">
        <f>H235*Conv!$J$20/10^6/VLOOKUP($B235,Types!$B$2:$D$13,3,FALSE)/Conv!$I$5</f>
        <v>12.310156346265698</v>
      </c>
      <c r="M235" s="240">
        <f>I235*Conv!$J$20/10^6/VLOOKUP($B235,Types!$B$2:$D$13,3,FALSE)/Conv!$I$5</f>
        <v>12.177697183914349</v>
      </c>
      <c r="N235" s="240">
        <f>M235*'Imported Price Trends'!$K$19</f>
        <v>13.112297178728628</v>
      </c>
      <c r="O235" s="240">
        <f>N235*'Imported Price Trends'!$L$19</f>
        <v>12.987624520531762</v>
      </c>
      <c r="P235" s="240">
        <f>O235*'Imported Price Trends'!$M$19</f>
        <v>14.014559061957428</v>
      </c>
      <c r="Q235" s="240">
        <f>P235*'Imported Price Trends'!$N$19</f>
        <v>14.819588624356115</v>
      </c>
      <c r="R235" s="240">
        <f>Q235*'Imported Price Trends'!$O$19</f>
        <v>15.921929528645443</v>
      </c>
      <c r="S235" s="240">
        <f>R235*'Imported Price Trends'!$O$19</f>
        <v>17.106267005179177</v>
      </c>
      <c r="T235" s="240">
        <f>S235*'Imported Price Trends'!$O$19</f>
        <v>18.378700290440037</v>
      </c>
      <c r="U235" s="240">
        <f>T235*'Imported Price Trends'!$O$19</f>
        <v>19.745782306774107</v>
      </c>
      <c r="V235" s="240">
        <f>U235*'Imported Price Trends'!$O$19</f>
        <v>21.21455340937921</v>
      </c>
      <c r="W235" s="219"/>
      <c r="X235" s="195">
        <f>X234*$E$5</f>
        <v>14.680000000000001</v>
      </c>
      <c r="Y235" s="195">
        <f t="shared" ref="Y235:AA235" si="599">Y234*$E$5</f>
        <v>7.3440000000000003</v>
      </c>
      <c r="Z235" s="195">
        <f t="shared" si="599"/>
        <v>8.104000000000001</v>
      </c>
      <c r="AA235" s="195">
        <f t="shared" si="599"/>
        <v>8.952</v>
      </c>
      <c r="AB235" s="219">
        <f>X235*VLOOKUP($B235,Types!$B$2:$D$13,3,FALSE)*Conv!$I$5*1000*365</f>
        <v>20.108436167574403</v>
      </c>
      <c r="AC235" s="219">
        <f>Y235*VLOOKUP($B235,Types!$B$2:$D$13,3,FALSE)*Conv!$I$5*1000*365</f>
        <v>10.059697221707518</v>
      </c>
      <c r="AD235" s="219">
        <f>Z235*VLOOKUP($B235,Types!$B$2:$D$13,3,FALSE)*Conv!$I$5*1000*365</f>
        <v>11.100733426568322</v>
      </c>
      <c r="AE235" s="219">
        <f>AA235*VLOOKUP($B235,Types!$B$2:$D$13,3,FALSE)*Conv!$I$5*1000*365</f>
        <v>12.262310665676159</v>
      </c>
      <c r="AF235" s="219">
        <f>AB235</f>
        <v>20.108436167574403</v>
      </c>
      <c r="AG235" s="219">
        <f t="shared" ref="AG235:AI235" si="600">AC235</f>
        <v>10.059697221707518</v>
      </c>
      <c r="AH235" s="219">
        <f t="shared" si="600"/>
        <v>11.100733426568322</v>
      </c>
      <c r="AI235" s="219">
        <f t="shared" si="600"/>
        <v>12.262310665676159</v>
      </c>
      <c r="AJ235" s="219"/>
      <c r="AK235" s="219"/>
      <c r="AL235" s="219"/>
    </row>
    <row r="236" spans="1:38">
      <c r="A236" s="195" t="str">
        <f t="shared" ref="A236:A238" si="601">A235</f>
        <v>LPG</v>
      </c>
      <c r="B236" s="195" t="str">
        <f>VLOOKUP($A236,Types!$A$2:$C$13,2,FALSE)</f>
        <v>LPG</v>
      </c>
      <c r="C236" s="195">
        <v>2</v>
      </c>
      <c r="D236" s="195">
        <v>4</v>
      </c>
      <c r="E236" s="195" t="str">
        <f t="shared" si="498"/>
        <v>IMPLPGP42</v>
      </c>
      <c r="F236" s="195" t="str">
        <f>CONCATENATE("Imported ",VLOOKUP($A236,Types!$A$2:$C$13,3,FALSE),", PADD ",D236,", Step ",RIGHT(C236,1))</f>
        <v>Imported LPG, PADD 4, Step 2</v>
      </c>
      <c r="G236" s="195" t="str">
        <f>CONCATENATE(VLOOKUP($A236,Types!$A$2:$C$13,2,FALSE),"P",D236)</f>
        <v>LPGP4</v>
      </c>
      <c r="H236" s="239">
        <f>H234*$C$6</f>
        <v>31.057180000000002</v>
      </c>
      <c r="I236" s="239">
        <f t="shared" ref="I236:K236" si="602">I234*$C$6</f>
        <v>30.723000000000003</v>
      </c>
      <c r="J236" s="239">
        <f t="shared" si="602"/>
        <v>27.93</v>
      </c>
      <c r="K236" s="239">
        <f t="shared" si="602"/>
        <v>27.93</v>
      </c>
      <c r="L236" s="240">
        <f>H236*Conv!$J$20/10^6/VLOOKUP($B236,Types!$B$2:$D$13,3,FALSE)/Conv!$I$5</f>
        <v>12.698898125621454</v>
      </c>
      <c r="M236" s="240">
        <f>I236*Conv!$J$20/10^6/VLOOKUP($B236,Types!$B$2:$D$13,3,FALSE)/Conv!$I$5</f>
        <v>12.56225604235375</v>
      </c>
      <c r="N236" s="240">
        <f>M236*'Imported Price Trends'!$K$19</f>
        <v>13.526369721214797</v>
      </c>
      <c r="O236" s="240">
        <f>N236*'Imported Price Trends'!$L$19</f>
        <v>13.397760031706452</v>
      </c>
      <c r="P236" s="240">
        <f>O236*'Imported Price Trends'!$M$19</f>
        <v>14.457124084966614</v>
      </c>
      <c r="Q236" s="240">
        <f>P236*'Imported Price Trends'!$N$19</f>
        <v>15.287575633546313</v>
      </c>
      <c r="R236" s="240">
        <f>Q236*'Imported Price Trends'!$O$19</f>
        <v>16.424727303234249</v>
      </c>
      <c r="S236" s="240">
        <f>R236*'Imported Price Trends'!$O$19</f>
        <v>17.646464910605893</v>
      </c>
      <c r="T236" s="240">
        <f>S236*'Imported Price Trends'!$O$19</f>
        <v>18.959080299611831</v>
      </c>
      <c r="U236" s="240">
        <f>T236*'Imported Price Trends'!$O$19</f>
        <v>20.369333326988031</v>
      </c>
      <c r="V236" s="240">
        <f>U236*'Imported Price Trends'!$O$19</f>
        <v>21.884486674938557</v>
      </c>
      <c r="W236" s="219"/>
      <c r="X236" s="195">
        <f>X234*$E$6</f>
        <v>16.515000000000001</v>
      </c>
      <c r="Y236" s="195">
        <f t="shared" ref="Y236:AA236" si="603">Y234*$E$6</f>
        <v>8.2620000000000005</v>
      </c>
      <c r="Z236" s="195">
        <f t="shared" si="603"/>
        <v>9.1170000000000009</v>
      </c>
      <c r="AA236" s="195">
        <f t="shared" si="603"/>
        <v>10.071</v>
      </c>
      <c r="AB236" s="219">
        <f>X236*VLOOKUP($B236,Types!$B$2:$D$13,3,FALSE)*Conv!$I$5*1000*365</f>
        <v>22.621990688521198</v>
      </c>
      <c r="AC236" s="219">
        <f>Y236*VLOOKUP($B236,Types!$B$2:$D$13,3,FALSE)*Conv!$I$5*1000*365</f>
        <v>11.317159374420958</v>
      </c>
      <c r="AD236" s="219">
        <f>Z236*VLOOKUP($B236,Types!$B$2:$D$13,3,FALSE)*Conv!$I$5*1000*365</f>
        <v>12.488325104889361</v>
      </c>
      <c r="AE236" s="219">
        <f>AA236*VLOOKUP($B236,Types!$B$2:$D$13,3,FALSE)*Conv!$I$5*1000*365</f>
        <v>13.795099498885678</v>
      </c>
      <c r="AF236" s="219">
        <f>AB236-AF235</f>
        <v>2.5135545209467942</v>
      </c>
      <c r="AG236" s="219">
        <f t="shared" ref="AG236:AI236" si="604">AC236-AG235</f>
        <v>1.2574621527134404</v>
      </c>
      <c r="AH236" s="219">
        <f t="shared" si="604"/>
        <v>1.3875916783210389</v>
      </c>
      <c r="AI236" s="219">
        <f t="shared" si="604"/>
        <v>1.5327888332095192</v>
      </c>
      <c r="AJ236" s="219"/>
      <c r="AK236" s="219"/>
      <c r="AL236" s="219"/>
    </row>
    <row r="237" spans="1:38">
      <c r="A237" s="195" t="str">
        <f t="shared" si="601"/>
        <v>LPG</v>
      </c>
      <c r="B237" s="195" t="str">
        <f>VLOOKUP($A237,Types!$A$2:$C$13,2,FALSE)</f>
        <v>LPG</v>
      </c>
      <c r="C237" s="195">
        <v>4</v>
      </c>
      <c r="D237" s="195">
        <v>4</v>
      </c>
      <c r="E237" s="195" t="str">
        <f t="shared" si="498"/>
        <v>IMPLPGP44</v>
      </c>
      <c r="F237" s="195" t="str">
        <f>CONCATENATE("Imported ",VLOOKUP($A237,Types!$A$2:$C$13,3,FALSE),", PADD ",D237,", Step ",RIGHT(C237,1))</f>
        <v>Imported LPG, PADD 4, Step 4</v>
      </c>
      <c r="G237" s="195" t="str">
        <f>CONCATENATE(VLOOKUP($A237,Types!$A$2:$C$13,2,FALSE),"P",D237)</f>
        <v>LPGP4</v>
      </c>
      <c r="H237" s="239">
        <f>H234*$C$8</f>
        <v>34.543190000000003</v>
      </c>
      <c r="I237" s="239">
        <f t="shared" ref="I237:K237" si="605">I234*$C$8</f>
        <v>34.171500000000002</v>
      </c>
      <c r="J237" s="239">
        <f t="shared" si="605"/>
        <v>31.065000000000001</v>
      </c>
      <c r="K237" s="239">
        <f t="shared" si="605"/>
        <v>31.065000000000001</v>
      </c>
      <c r="L237" s="240">
        <f>H237*Conv!$J$20/10^6/VLOOKUP($B237,Types!$B$2:$D$13,3,FALSE)/Conv!$I$5</f>
        <v>14.124284649925904</v>
      </c>
      <c r="M237" s="240">
        <f>I237*Conv!$J$20/10^6/VLOOKUP($B237,Types!$B$2:$D$13,3,FALSE)/Conv!$I$5</f>
        <v>13.972305189964885</v>
      </c>
      <c r="N237" s="240">
        <f>M237*'Imported Price Trends'!$K$19</f>
        <v>15.044635710330743</v>
      </c>
      <c r="O237" s="240">
        <f>N237*'Imported Price Trends'!$L$19</f>
        <v>14.901590239346971</v>
      </c>
      <c r="P237" s="240">
        <f>O237*'Imported Price Trends'!$M$19</f>
        <v>16.079862502666945</v>
      </c>
      <c r="Q237" s="240">
        <f>P237*'Imported Price Trends'!$N$19</f>
        <v>17.003528000577017</v>
      </c>
      <c r="R237" s="240">
        <f>Q237*'Imported Price Trends'!$O$19</f>
        <v>18.268319143393192</v>
      </c>
      <c r="S237" s="240">
        <f>R237*'Imported Price Trends'!$O$19</f>
        <v>19.627190563837161</v>
      </c>
      <c r="T237" s="240">
        <f>S237*'Imported Price Trends'!$O$19</f>
        <v>21.087140333241724</v>
      </c>
      <c r="U237" s="240">
        <f>T237*'Imported Price Trends'!$O$19</f>
        <v>22.655687067772394</v>
      </c>
      <c r="V237" s="240">
        <f>U237*'Imported Price Trends'!$O$19</f>
        <v>24.340908648656143</v>
      </c>
      <c r="W237" s="219"/>
      <c r="X237" s="195">
        <f>X234*$E$8</f>
        <v>22.02</v>
      </c>
      <c r="Y237" s="195">
        <f t="shared" ref="Y237:AA237" si="606">Y234*$E$8</f>
        <v>11.016</v>
      </c>
      <c r="Z237" s="195">
        <f t="shared" si="606"/>
        <v>12.156000000000001</v>
      </c>
      <c r="AA237" s="195">
        <f t="shared" si="606"/>
        <v>13.427999999999999</v>
      </c>
      <c r="AB237" s="219">
        <f>X237*VLOOKUP($B237,Types!$B$2:$D$13,3,FALSE)*Conv!$I$5*1000*365</f>
        <v>30.162654251361591</v>
      </c>
      <c r="AC237" s="219">
        <f>Y237*VLOOKUP($B237,Types!$B$2:$D$13,3,FALSE)*Conv!$I$5*1000*365</f>
        <v>15.08954583256128</v>
      </c>
      <c r="AD237" s="219">
        <f>Z237*VLOOKUP($B237,Types!$B$2:$D$13,3,FALSE)*Conv!$I$5*1000*365</f>
        <v>16.651100139852481</v>
      </c>
      <c r="AE237" s="219">
        <f>AA237*VLOOKUP($B237,Types!$B$2:$D$13,3,FALSE)*Conv!$I$5*1000*365</f>
        <v>18.393465998514234</v>
      </c>
      <c r="AF237" s="219">
        <f>AB237-AB234</f>
        <v>5.027109041893592</v>
      </c>
      <c r="AG237" s="219">
        <f t="shared" ref="AG237:AI237" si="607">AC237-AC234</f>
        <v>2.5149243054268808</v>
      </c>
      <c r="AH237" s="219">
        <f t="shared" si="607"/>
        <v>2.7751833566420832</v>
      </c>
      <c r="AI237" s="219">
        <f t="shared" si="607"/>
        <v>3.0655776664190348</v>
      </c>
      <c r="AJ237" s="219"/>
      <c r="AK237" s="219"/>
      <c r="AL237" s="219"/>
    </row>
    <row r="238" spans="1:38">
      <c r="A238" s="195" t="str">
        <f t="shared" si="601"/>
        <v>LPG</v>
      </c>
      <c r="B238" s="195" t="str">
        <f>VLOOKUP($A238,Types!$A$2:$C$13,2,FALSE)</f>
        <v>LPG</v>
      </c>
      <c r="C238" s="195">
        <v>5</v>
      </c>
      <c r="D238" s="195">
        <v>4</v>
      </c>
      <c r="E238" s="195" t="str">
        <f t="shared" si="498"/>
        <v>IMPLPGP45</v>
      </c>
      <c r="F238" s="195" t="str">
        <f>CONCATENATE("Imported ",VLOOKUP($A238,Types!$A$2:$C$13,3,FALSE),", PADD ",D238,", Step ",RIGHT(C238,1))</f>
        <v>Imported LPG, PADD 4, Step 5</v>
      </c>
      <c r="G238" s="195" t="str">
        <f>CONCATENATE(VLOOKUP($A238,Types!$A$2:$C$13,2,FALSE),"P",D238)</f>
        <v>LPGP4</v>
      </c>
      <c r="H238" s="239">
        <f>H234*$C$9</f>
        <v>41.198300000000003</v>
      </c>
      <c r="I238" s="239">
        <f t="shared" ref="I238:K238" si="608">I234*$C$9</f>
        <v>40.755000000000003</v>
      </c>
      <c r="J238" s="239">
        <f t="shared" si="608"/>
        <v>37.050000000000004</v>
      </c>
      <c r="K238" s="239">
        <f t="shared" si="608"/>
        <v>37.050000000000004</v>
      </c>
      <c r="L238" s="240">
        <f>H238*Conv!$J$20/10^6/VLOOKUP($B238,Types!$B$2:$D$13,3,FALSE)/Conv!$I$5</f>
        <v>16.845477105416219</v>
      </c>
      <c r="M238" s="240">
        <f>I238*Conv!$J$20/10^6/VLOOKUP($B238,Types!$B$2:$D$13,3,FALSE)/Conv!$I$5</f>
        <v>16.664217199040689</v>
      </c>
      <c r="N238" s="240">
        <f>M238*'Imported Price Trends'!$K$19</f>
        <v>17.943143507733915</v>
      </c>
      <c r="O238" s="240">
        <f>N238*'Imported Price Trends'!$L$19</f>
        <v>17.772538817569782</v>
      </c>
      <c r="P238" s="240">
        <f>O238*'Imported Price Trends'!$M$19</f>
        <v>19.177817663731219</v>
      </c>
      <c r="Q238" s="240">
        <f>P238*'Imported Price Trends'!$N$19</f>
        <v>20.279437064908372</v>
      </c>
      <c r="R238" s="240">
        <f>Q238*'Imported Price Trends'!$O$19</f>
        <v>21.787903565514821</v>
      </c>
      <c r="S238" s="240">
        <f>R238*'Imported Price Trends'!$O$19</f>
        <v>23.408575901824143</v>
      </c>
      <c r="T238" s="240">
        <f>S238*'Imported Price Trends'!$O$19</f>
        <v>25.149800397444267</v>
      </c>
      <c r="U238" s="240">
        <f>T238*'Imported Price Trends'!$O$19</f>
        <v>27.020544209269836</v>
      </c>
      <c r="V238" s="240">
        <f>U238*'Imported Price Trends'!$O$19</f>
        <v>29.030441507571556</v>
      </c>
      <c r="W238" s="219"/>
      <c r="X238" s="195">
        <f>X234*$E$9</f>
        <v>36.700000000000003</v>
      </c>
      <c r="Y238" s="195">
        <f t="shared" ref="Y238:AA238" si="609">Y234*$E$9</f>
        <v>18.36</v>
      </c>
      <c r="Z238" s="195">
        <f t="shared" si="609"/>
        <v>20.260000000000002</v>
      </c>
      <c r="AA238" s="195">
        <f t="shared" si="609"/>
        <v>22.38</v>
      </c>
      <c r="AB238" s="219">
        <f>X238*VLOOKUP($B238,Types!$B$2:$D$13,3,FALSE)*Conv!$I$5*1000*365</f>
        <v>50.271090418935998</v>
      </c>
      <c r="AC238" s="219">
        <f>Y238*VLOOKUP($B238,Types!$B$2:$D$13,3,FALSE)*Conv!$I$5*1000*365</f>
        <v>25.149243054268798</v>
      </c>
      <c r="AD238" s="219">
        <f>Z238*VLOOKUP($B238,Types!$B$2:$D$13,3,FALSE)*Conv!$I$5*1000*365</f>
        <v>27.751833566420796</v>
      </c>
      <c r="AE238" s="219">
        <f>AA238*VLOOKUP($B238,Types!$B$2:$D$13,3,FALSE)*Conv!$I$5*1000*365</f>
        <v>30.655776664190398</v>
      </c>
      <c r="AF238" s="219">
        <f>AB238-AB237</f>
        <v>20.108436167574407</v>
      </c>
      <c r="AG238" s="219">
        <f t="shared" ref="AG238:AI238" si="610">AC238-AC237</f>
        <v>10.059697221707518</v>
      </c>
      <c r="AH238" s="219">
        <f t="shared" si="610"/>
        <v>11.100733426568315</v>
      </c>
      <c r="AI238" s="219">
        <f t="shared" si="610"/>
        <v>12.262310665676164</v>
      </c>
      <c r="AJ238" s="219"/>
      <c r="AK238" s="219"/>
      <c r="AL238" s="219"/>
    </row>
    <row r="239" spans="1:38">
      <c r="A239" s="195" t="str">
        <f>'Agg prdcrv'!$A$14</f>
        <v>Petchem. Feedstocks</v>
      </c>
      <c r="B239" s="195" t="str">
        <f>VLOOKUP($A239,Types!$A$2:$C$13,2,FALSE)</f>
        <v>PFS</v>
      </c>
      <c r="C239" s="195">
        <v>3</v>
      </c>
      <c r="D239" s="195">
        <v>4</v>
      </c>
      <c r="E239" s="195" t="str">
        <f t="shared" si="498"/>
        <v>IMPPFSP43</v>
      </c>
      <c r="F239" s="195" t="str">
        <f>CONCATENATE("Imported ",VLOOKUP($A239,Types!$A$2:$C$13,3,FALSE),", PADD ",D239,", Step ",RIGHT(C239,1))</f>
        <v>Imported Petrochemical Feedstocks, PADD 4, Step 3</v>
      </c>
      <c r="G239" s="195" t="str">
        <f>CONCATENATE(VLOOKUP($A239,Types!$A$2:$C$13,2,FALSE),"P",D239)</f>
        <v>PFSP4</v>
      </c>
      <c r="H239" s="239">
        <f>SUMIFS('Agg prdcrv NYC'!$O$6:$O$100,'Agg prdcrv NYC'!$A$6:$A$100,'Imp Refined NYC'!$A239,'Agg prdcrv NYC'!$B$6:$B$100,H$11)*K4</f>
        <v>39.908000000000001</v>
      </c>
      <c r="I239" s="239">
        <f>SUMIFS('Agg prdcrv NYC'!$O$6:$O$100,'Agg prdcrv NYC'!$A$6:$A$100,'Imp Refined NYC'!$A239,'Agg prdcrv NYC'!$B$6:$B$100,I$11)*K4</f>
        <v>29.59</v>
      </c>
      <c r="J239" s="239">
        <f t="array" ref="J239">SUMIFS('Agg prdcrv NYC'!$O$6:$O$100,'Agg prdcrv NYC'!$A$6:$A$100,'Imp Refined NYC'!$A239,'Agg prdcrv NYC'!$B$6:$B$100,J$11)</f>
        <v>21.68</v>
      </c>
      <c r="K239" s="239">
        <f t="array" ref="K239">SUMIFS('Agg prdcrv NYC'!$O$6:$O$100,'Agg prdcrv NYC'!$A$6:$A$100,'Imp Refined NYC'!$A239,'Agg prdcrv NYC'!$B$6:$B$100,K$11)</f>
        <v>24.09</v>
      </c>
      <c r="L239" s="240">
        <f>H239*Conv!$J$20/10^6/VLOOKUP($B239,Types!$B$2:$D$13,3,FALSE)/Conv!$I$5</f>
        <v>10.199039250757771</v>
      </c>
      <c r="M239" s="240">
        <f>I239*Conv!$J$20/10^6/VLOOKUP($B239,Types!$B$2:$D$13,3,FALSE)/Conv!$I$5</f>
        <v>7.5621321897845659</v>
      </c>
      <c r="N239" s="240">
        <f>M239*'Imported Price Trends'!$K$19</f>
        <v>8.1425020740590064</v>
      </c>
      <c r="O239" s="240">
        <f>N239*'Imported Price Trends'!$L$19</f>
        <v>8.065082582713643</v>
      </c>
      <c r="P239" s="240">
        <f>O239*'Imported Price Trends'!$M$19</f>
        <v>8.7027905693085668</v>
      </c>
      <c r="Q239" s="240">
        <f>P239*'Imported Price Trends'!$N$19</f>
        <v>9.2026995320297509</v>
      </c>
      <c r="R239" s="240">
        <f>Q239*'Imported Price Trends'!$O$19</f>
        <v>9.887233521547385</v>
      </c>
      <c r="S239" s="240">
        <f>R239*'Imported Price Trends'!$O$19</f>
        <v>10.622685916167134</v>
      </c>
      <c r="T239" s="240">
        <f>S239*'Imported Price Trends'!$O$19</f>
        <v>11.412844232678294</v>
      </c>
      <c r="U239" s="240">
        <f>T239*'Imported Price Trends'!$O$19</f>
        <v>12.261777718678513</v>
      </c>
      <c r="V239" s="240">
        <f>U239*'Imported Price Trends'!$O$19</f>
        <v>13.173858308850095</v>
      </c>
      <c r="W239" s="219"/>
      <c r="X239" s="195">
        <f t="array" ref="X239">SUMIFS('Agg prdcrv NYC'!$G$6:$G$100,'Agg prdcrv NYC'!$A$6:$A$100,'Imp Refined NYC'!$A239,'Agg prdcrv NYC'!$B$6:$B$100,X$11)</f>
        <v>0</v>
      </c>
      <c r="Y239" s="195">
        <f t="array" ref="Y239">SUMIFS('Agg prdcrv NYC'!$G$6:$G$100,'Agg prdcrv NYC'!$A$6:$A$100,'Imp Refined NYC'!$A239,'Agg prdcrv NYC'!$B$6:$B$100,Y$11)</f>
        <v>0</v>
      </c>
      <c r="Z239" s="195">
        <f t="array" ref="Z239">SUMIFS('Agg prdcrv NYC'!$G$6:$G$100,'Agg prdcrv NYC'!$A$6:$A$100,'Imp Refined NYC'!$A239,'Agg prdcrv NYC'!$B$6:$B$100,Z$11)</f>
        <v>0</v>
      </c>
      <c r="AA239" s="195">
        <f t="array" ref="AA239">SUMIFS('Agg prdcrv NYC'!$G$6:$G$100,'Agg prdcrv NYC'!$A$6:$A$100,'Imp Refined NYC'!$A239,'Agg prdcrv NYC'!$B$6:$B$100,AA$11)</f>
        <v>0</v>
      </c>
      <c r="AB239" s="219">
        <f>X239*VLOOKUP($B239,Types!$B$2:$D$13,3,FALSE)*Conv!$I$5*1000*365</f>
        <v>0</v>
      </c>
      <c r="AC239" s="219">
        <f>Y239*VLOOKUP($B239,Types!$B$2:$D$13,3,FALSE)*Conv!$I$5*1000*365</f>
        <v>0</v>
      </c>
      <c r="AD239" s="219">
        <f>Z239*VLOOKUP($B239,Types!$B$2:$D$13,3,FALSE)*Conv!$I$5*1000*365</f>
        <v>0</v>
      </c>
      <c r="AE239" s="219">
        <f>AA239*VLOOKUP($B239,Types!$B$2:$D$13,3,FALSE)*Conv!$I$5*1000*365</f>
        <v>0</v>
      </c>
      <c r="AF239" s="219">
        <f>AB239-AB241</f>
        <v>0</v>
      </c>
      <c r="AG239" s="219">
        <f t="shared" ref="AG239:AI239" si="611">AC239-AC241</f>
        <v>0</v>
      </c>
      <c r="AH239" s="219">
        <f t="shared" si="611"/>
        <v>0</v>
      </c>
      <c r="AI239" s="219">
        <f t="shared" si="611"/>
        <v>0</v>
      </c>
      <c r="AJ239" s="219"/>
      <c r="AK239" s="219"/>
      <c r="AL239" s="219"/>
    </row>
    <row r="240" spans="1:38">
      <c r="A240" s="195" t="str">
        <f>A239</f>
        <v>Petchem. Feedstocks</v>
      </c>
      <c r="B240" s="195" t="str">
        <f>VLOOKUP($A240,Types!$A$2:$C$13,2,FALSE)</f>
        <v>PFS</v>
      </c>
      <c r="C240" s="195">
        <v>1</v>
      </c>
      <c r="D240" s="195">
        <v>4</v>
      </c>
      <c r="E240" s="195" t="str">
        <f t="shared" si="498"/>
        <v>IMPPFSP41</v>
      </c>
      <c r="F240" s="195" t="str">
        <f>CONCATENATE("Imported ",VLOOKUP($A240,Types!$A$2:$C$13,3,FALSE),", PADD ",D240,", Step ",RIGHT(C240,1))</f>
        <v>Imported Petrochemical Feedstocks, PADD 4, Step 1</v>
      </c>
      <c r="G240" s="195" t="str">
        <f>CONCATENATE(VLOOKUP($A240,Types!$A$2:$C$13,2,FALSE),"P",D240)</f>
        <v>PFSP4</v>
      </c>
      <c r="H240" s="239">
        <f>H239*$C$5</f>
        <v>37.912599999999998</v>
      </c>
      <c r="I240" s="239">
        <f t="shared" ref="I240:K240" si="612">I239*$C$5</f>
        <v>28.110499999999998</v>
      </c>
      <c r="J240" s="239">
        <f t="shared" si="612"/>
        <v>20.596</v>
      </c>
      <c r="K240" s="239">
        <f t="shared" si="612"/>
        <v>22.8855</v>
      </c>
      <c r="L240" s="240">
        <f>H240*Conv!$J$20/10^6/VLOOKUP($B240,Types!$B$2:$D$13,3,FALSE)/Conv!$I$5</f>
        <v>9.6890872882198806</v>
      </c>
      <c r="M240" s="240">
        <f>I240*Conv!$J$20/10^6/VLOOKUP($B240,Types!$B$2:$D$13,3,FALSE)/Conv!$I$5</f>
        <v>7.1840255802953363</v>
      </c>
      <c r="N240" s="240">
        <f>M240*'Imported Price Trends'!$K$19</f>
        <v>7.7353769703560546</v>
      </c>
      <c r="O240" s="240">
        <f>N240*'Imported Price Trends'!$L$19</f>
        <v>7.6618284535779582</v>
      </c>
      <c r="P240" s="240">
        <f>O240*'Imported Price Trends'!$M$19</f>
        <v>8.2676510408431341</v>
      </c>
      <c r="Q240" s="240">
        <f>P240*'Imported Price Trends'!$N$19</f>
        <v>8.7425645554282578</v>
      </c>
      <c r="R240" s="240">
        <f>Q240*'Imported Price Trends'!$O$19</f>
        <v>9.39287184547001</v>
      </c>
      <c r="S240" s="240">
        <f>R240*'Imported Price Trends'!$O$19</f>
        <v>10.091551620358771</v>
      </c>
      <c r="T240" s="240">
        <f>S240*'Imported Price Trends'!$O$19</f>
        <v>10.842202021044374</v>
      </c>
      <c r="U240" s="240">
        <f>T240*'Imported Price Trends'!$O$19</f>
        <v>11.648688832744581</v>
      </c>
      <c r="V240" s="240">
        <f>U240*'Imported Price Trends'!$O$19</f>
        <v>12.515165393407583</v>
      </c>
      <c r="W240" s="219"/>
      <c r="X240" s="195">
        <f>X239*$E$5</f>
        <v>0</v>
      </c>
      <c r="Y240" s="195">
        <f t="shared" ref="Y240:AA240" si="613">Y239*$E$5</f>
        <v>0</v>
      </c>
      <c r="Z240" s="195">
        <f t="shared" si="613"/>
        <v>0</v>
      </c>
      <c r="AA240" s="195">
        <f t="shared" si="613"/>
        <v>0</v>
      </c>
      <c r="AB240" s="219">
        <f>X240*VLOOKUP($B240,Types!$B$2:$D$13,3,FALSE)*Conv!$I$5*1000*365</f>
        <v>0</v>
      </c>
      <c r="AC240" s="219">
        <f>Y240*VLOOKUP($B240,Types!$B$2:$D$13,3,FALSE)*Conv!$I$5*1000*365</f>
        <v>0</v>
      </c>
      <c r="AD240" s="219">
        <f>Z240*VLOOKUP($B240,Types!$B$2:$D$13,3,FALSE)*Conv!$I$5*1000*365</f>
        <v>0</v>
      </c>
      <c r="AE240" s="219">
        <f>AA240*VLOOKUP($B240,Types!$B$2:$D$13,3,FALSE)*Conv!$I$5*1000*365</f>
        <v>0</v>
      </c>
      <c r="AF240" s="219">
        <f>AB240</f>
        <v>0</v>
      </c>
      <c r="AG240" s="219">
        <f t="shared" ref="AG240:AI240" si="614">AC240</f>
        <v>0</v>
      </c>
      <c r="AH240" s="219">
        <f t="shared" si="614"/>
        <v>0</v>
      </c>
      <c r="AI240" s="219">
        <f t="shared" si="614"/>
        <v>0</v>
      </c>
      <c r="AJ240" s="219"/>
      <c r="AK240" s="219"/>
      <c r="AL240" s="219"/>
    </row>
    <row r="241" spans="1:38">
      <c r="A241" s="195" t="str">
        <f t="shared" ref="A241:A242" si="615">A240</f>
        <v>Petchem. Feedstocks</v>
      </c>
      <c r="B241" s="195" t="str">
        <f>VLOOKUP($A241,Types!$A$2:$C$13,2,FALSE)</f>
        <v>PFS</v>
      </c>
      <c r="C241" s="195">
        <v>2</v>
      </c>
      <c r="D241" s="195">
        <v>4</v>
      </c>
      <c r="E241" s="195" t="str">
        <f t="shared" si="498"/>
        <v>IMPPFSP42</v>
      </c>
      <c r="F241" s="195" t="str">
        <f>CONCATENATE("Imported ",VLOOKUP($A241,Types!$A$2:$C$13,3,FALSE),", PADD ",D241,", Step ",RIGHT(C241,1))</f>
        <v>Imported Petrochemical Feedstocks, PADD 4, Step 2</v>
      </c>
      <c r="G241" s="195" t="str">
        <f>CONCATENATE(VLOOKUP($A241,Types!$A$2:$C$13,2,FALSE),"P",D241)</f>
        <v>PFSP4</v>
      </c>
      <c r="H241" s="239">
        <f>H239*$C$6</f>
        <v>39.109839999999998</v>
      </c>
      <c r="I241" s="239">
        <f t="shared" ref="I241:K241" si="616">I239*$C$6</f>
        <v>28.998200000000001</v>
      </c>
      <c r="J241" s="239">
        <f t="shared" si="616"/>
        <v>21.246399999999998</v>
      </c>
      <c r="K241" s="239">
        <f t="shared" si="616"/>
        <v>23.6082</v>
      </c>
      <c r="L241" s="240">
        <f>H241*Conv!$J$20/10^6/VLOOKUP($B241,Types!$B$2:$D$13,3,FALSE)/Conv!$I$5</f>
        <v>9.9950584657426145</v>
      </c>
      <c r="M241" s="240">
        <f>I241*Conv!$J$20/10^6/VLOOKUP($B241,Types!$B$2:$D$13,3,FALSE)/Conv!$I$5</f>
        <v>7.4108895459888746</v>
      </c>
      <c r="N241" s="240">
        <f>M241*'Imported Price Trends'!$K$19</f>
        <v>7.9796520325778264</v>
      </c>
      <c r="O241" s="240">
        <f>N241*'Imported Price Trends'!$L$19</f>
        <v>7.9037809310593694</v>
      </c>
      <c r="P241" s="240">
        <f>O241*'Imported Price Trends'!$M$19</f>
        <v>8.5287347579223933</v>
      </c>
      <c r="Q241" s="240">
        <f>P241*'Imported Price Trends'!$N$19</f>
        <v>9.0186455413891533</v>
      </c>
      <c r="R241" s="240">
        <f>Q241*'Imported Price Trends'!$O$19</f>
        <v>9.689488851116435</v>
      </c>
      <c r="S241" s="240">
        <f>R241*'Imported Price Trends'!$O$19</f>
        <v>10.410232197843788</v>
      </c>
      <c r="T241" s="240">
        <f>S241*'Imported Price Trends'!$O$19</f>
        <v>11.184587348024726</v>
      </c>
      <c r="U241" s="240">
        <f>T241*'Imported Price Trends'!$O$19</f>
        <v>12.016542164304941</v>
      </c>
      <c r="V241" s="240">
        <f>U241*'Imported Price Trends'!$O$19</f>
        <v>12.910381142673092</v>
      </c>
      <c r="W241" s="219"/>
      <c r="X241" s="195">
        <f>X239*$E$6</f>
        <v>0</v>
      </c>
      <c r="Y241" s="195">
        <f t="shared" ref="Y241:AA241" si="617">Y239*$E$6</f>
        <v>0</v>
      </c>
      <c r="Z241" s="195">
        <f t="shared" si="617"/>
        <v>0</v>
      </c>
      <c r="AA241" s="195">
        <f t="shared" si="617"/>
        <v>0</v>
      </c>
      <c r="AB241" s="219">
        <f>X241*VLOOKUP($B241,Types!$B$2:$D$13,3,FALSE)*Conv!$I$5*1000*365</f>
        <v>0</v>
      </c>
      <c r="AC241" s="219">
        <f>Y241*VLOOKUP($B241,Types!$B$2:$D$13,3,FALSE)*Conv!$I$5*1000*365</f>
        <v>0</v>
      </c>
      <c r="AD241" s="219">
        <f>Z241*VLOOKUP($B241,Types!$B$2:$D$13,3,FALSE)*Conv!$I$5*1000*365</f>
        <v>0</v>
      </c>
      <c r="AE241" s="219">
        <f>AA241*VLOOKUP($B241,Types!$B$2:$D$13,3,FALSE)*Conv!$I$5*1000*365</f>
        <v>0</v>
      </c>
      <c r="AF241" s="219">
        <f>AB241-AF240</f>
        <v>0</v>
      </c>
      <c r="AG241" s="219">
        <f t="shared" ref="AG241:AI241" si="618">AC241-AG240</f>
        <v>0</v>
      </c>
      <c r="AH241" s="219">
        <f t="shared" si="618"/>
        <v>0</v>
      </c>
      <c r="AI241" s="219">
        <f t="shared" si="618"/>
        <v>0</v>
      </c>
      <c r="AJ241" s="219"/>
      <c r="AK241" s="219"/>
      <c r="AL241" s="219"/>
    </row>
    <row r="242" spans="1:38">
      <c r="A242" s="195" t="str">
        <f t="shared" si="615"/>
        <v>Petchem. Feedstocks</v>
      </c>
      <c r="B242" s="195" t="str">
        <f>VLOOKUP($A242,Types!$A$2:$C$13,2,FALSE)</f>
        <v>PFS</v>
      </c>
      <c r="C242" s="195">
        <v>4</v>
      </c>
      <c r="D242" s="195">
        <v>4</v>
      </c>
      <c r="E242" s="195" t="str">
        <f t="shared" si="498"/>
        <v>IMPPFSP44</v>
      </c>
      <c r="F242" s="195" t="str">
        <f>CONCATENATE("Imported ",VLOOKUP($A242,Types!$A$2:$C$13,3,FALSE),", PADD ",D242,", Step ",RIGHT(C242,1))</f>
        <v>Imported Petrochemical Feedstocks, PADD 4, Step 4</v>
      </c>
      <c r="G242" s="195" t="str">
        <f>CONCATENATE(VLOOKUP($A242,Types!$A$2:$C$13,2,FALSE),"P",D242)</f>
        <v>PFSP4</v>
      </c>
      <c r="H242" s="239">
        <f>H239*$C$8</f>
        <v>43.499720000000003</v>
      </c>
      <c r="I242" s="239">
        <f t="shared" ref="I242:K242" si="619">I239*$C$8</f>
        <v>32.253100000000003</v>
      </c>
      <c r="J242" s="239">
        <f t="shared" si="619"/>
        <v>23.6312</v>
      </c>
      <c r="K242" s="239">
        <f t="shared" si="619"/>
        <v>26.258100000000002</v>
      </c>
      <c r="L242" s="240">
        <f>H242*Conv!$J$20/10^6/VLOOKUP($B242,Types!$B$2:$D$13,3,FALSE)/Conv!$I$5</f>
        <v>11.116952783325969</v>
      </c>
      <c r="M242" s="240">
        <f>I242*Conv!$J$20/10^6/VLOOKUP($B242,Types!$B$2:$D$13,3,FALSE)/Conv!$I$5</f>
        <v>8.2427240868651772</v>
      </c>
      <c r="N242" s="240">
        <f>M242*'Imported Price Trends'!$K$19</f>
        <v>8.8753272607243172</v>
      </c>
      <c r="O242" s="240">
        <f>N242*'Imported Price Trends'!$L$19</f>
        <v>8.7909400151578705</v>
      </c>
      <c r="P242" s="240">
        <f>O242*'Imported Price Trends'!$M$19</f>
        <v>9.4860417205463374</v>
      </c>
      <c r="Q242" s="240">
        <f>P242*'Imported Price Trends'!$N$19</f>
        <v>10.030942489912428</v>
      </c>
      <c r="R242" s="240">
        <f>Q242*'Imported Price Trends'!$O$19</f>
        <v>10.777084538486649</v>
      </c>
      <c r="S242" s="240">
        <f>R242*'Imported Price Trends'!$O$19</f>
        <v>11.578727648622175</v>
      </c>
      <c r="T242" s="240">
        <f>S242*'Imported Price Trends'!$O$19</f>
        <v>12.44000021361934</v>
      </c>
      <c r="U242" s="240">
        <f>T242*'Imported Price Trends'!$O$19</f>
        <v>13.36533771335958</v>
      </c>
      <c r="V242" s="240">
        <f>U242*'Imported Price Trends'!$O$19</f>
        <v>14.359505556646605</v>
      </c>
      <c r="W242" s="219"/>
      <c r="X242" s="195">
        <f>X239*$E$8</f>
        <v>0</v>
      </c>
      <c r="Y242" s="195">
        <f t="shared" ref="Y242:AA242" si="620">Y239*$E$8</f>
        <v>0</v>
      </c>
      <c r="Z242" s="195">
        <f t="shared" si="620"/>
        <v>0</v>
      </c>
      <c r="AA242" s="195">
        <f t="shared" si="620"/>
        <v>0</v>
      </c>
      <c r="AB242" s="219">
        <f>X242*VLOOKUP($B242,Types!$B$2:$D$13,3,FALSE)*Conv!$I$5*1000*365</f>
        <v>0</v>
      </c>
      <c r="AC242" s="219">
        <f>Y242*VLOOKUP($B242,Types!$B$2:$D$13,3,FALSE)*Conv!$I$5*1000*365</f>
        <v>0</v>
      </c>
      <c r="AD242" s="219">
        <f>Z242*VLOOKUP($B242,Types!$B$2:$D$13,3,FALSE)*Conv!$I$5*1000*365</f>
        <v>0</v>
      </c>
      <c r="AE242" s="219">
        <f>AA242*VLOOKUP($B242,Types!$B$2:$D$13,3,FALSE)*Conv!$I$5*1000*365</f>
        <v>0</v>
      </c>
      <c r="AF242" s="219">
        <f>AB242-AB239</f>
        <v>0</v>
      </c>
      <c r="AG242" s="219">
        <f t="shared" ref="AG242:AI242" si="621">AC242-AC239</f>
        <v>0</v>
      </c>
      <c r="AH242" s="219">
        <f t="shared" si="621"/>
        <v>0</v>
      </c>
      <c r="AI242" s="219">
        <f t="shared" si="621"/>
        <v>0</v>
      </c>
      <c r="AJ242" s="219"/>
      <c r="AK242" s="219"/>
      <c r="AL242" s="219"/>
    </row>
    <row r="243" spans="1:38">
      <c r="A243" s="195" t="str">
        <f>A242</f>
        <v>Petchem. Feedstocks</v>
      </c>
      <c r="B243" s="195" t="str">
        <f>VLOOKUP($A243,Types!$A$2:$C$13,2,FALSE)</f>
        <v>PFS</v>
      </c>
      <c r="C243" s="195">
        <v>5</v>
      </c>
      <c r="D243" s="195">
        <v>4</v>
      </c>
      <c r="E243" s="195" t="str">
        <f>CONCATENATE("IMP",G243,RIGHT(C243,1))</f>
        <v>IMPPFSP45</v>
      </c>
      <c r="F243" s="195" t="str">
        <f>CONCATENATE("Imported ",VLOOKUP($A243,Types!$A$2:$C$13,3,FALSE),", PADD ",D243,", Step ",RIGHT(C243,1))</f>
        <v>Imported Petrochemical Feedstocks, PADD 4, Step 5</v>
      </c>
      <c r="G243" s="195" t="str">
        <f>CONCATENATE(VLOOKUP($A243,Types!$A$2:$C$13,2,FALSE),"P",D243)</f>
        <v>PFSP4</v>
      </c>
      <c r="H243" s="239">
        <f>H239*$C$9</f>
        <v>51.880400000000002</v>
      </c>
      <c r="I243" s="239">
        <f t="shared" ref="I243:K243" si="622">I239*$C$9</f>
        <v>38.466999999999999</v>
      </c>
      <c r="J243" s="239">
        <f t="shared" si="622"/>
        <v>28.184000000000001</v>
      </c>
      <c r="K243" s="239">
        <f t="shared" si="622"/>
        <v>31.317</v>
      </c>
      <c r="L243" s="240">
        <f>H243*Conv!$J$20/10^6/VLOOKUP($B243,Types!$B$2:$D$13,3,FALSE)/Conv!$I$5</f>
        <v>13.2587510259851</v>
      </c>
      <c r="M243" s="240">
        <f>I243*Conv!$J$20/10^6/VLOOKUP($B243,Types!$B$2:$D$13,3,FALSE)/Conv!$I$5</f>
        <v>9.8307718467199336</v>
      </c>
      <c r="N243" s="240">
        <f>M243*'Imported Price Trends'!$K$19</f>
        <v>10.585252696276706</v>
      </c>
      <c r="O243" s="240">
        <f>N243*'Imported Price Trends'!$L$19</f>
        <v>10.484607357527732</v>
      </c>
      <c r="P243" s="240">
        <f>O243*'Imported Price Trends'!$M$19</f>
        <v>11.313627740101133</v>
      </c>
      <c r="Q243" s="240">
        <f>P243*'Imported Price Trends'!$N$19</f>
        <v>11.963509391638672</v>
      </c>
      <c r="R243" s="240">
        <f>Q243*'Imported Price Trends'!$O$19</f>
        <v>12.853403578011596</v>
      </c>
      <c r="S243" s="240">
        <f>R243*'Imported Price Trends'!$O$19</f>
        <v>13.80949169101727</v>
      </c>
      <c r="T243" s="240">
        <f>S243*'Imported Price Trends'!$O$19</f>
        <v>14.836697502481778</v>
      </c>
      <c r="U243" s="240">
        <f>T243*'Imported Price Trends'!$O$19</f>
        <v>15.940311034282063</v>
      </c>
      <c r="V243" s="240">
        <f>U243*'Imported Price Trends'!$O$19</f>
        <v>17.126015801505119</v>
      </c>
      <c r="W243" s="219"/>
      <c r="X243" s="195">
        <f>X239*$E$9</f>
        <v>0</v>
      </c>
      <c r="Y243" s="195">
        <f t="shared" ref="Y243:AA243" si="623">Y239*$E$9</f>
        <v>0</v>
      </c>
      <c r="Z243" s="195">
        <f t="shared" si="623"/>
        <v>0</v>
      </c>
      <c r="AA243" s="195">
        <f t="shared" si="623"/>
        <v>0</v>
      </c>
      <c r="AB243" s="219">
        <f>X243*VLOOKUP($B243,Types!$B$2:$D$13,3,FALSE)*Conv!$I$5*1000*365</f>
        <v>0</v>
      </c>
      <c r="AC243" s="219">
        <f>Y243*VLOOKUP($B243,Types!$B$2:$D$13,3,FALSE)*Conv!$I$5*1000*365</f>
        <v>0</v>
      </c>
      <c r="AD243" s="219">
        <f>Z243*VLOOKUP($B243,Types!$B$2:$D$13,3,FALSE)*Conv!$I$5*1000*365</f>
        <v>0</v>
      </c>
      <c r="AE243" s="219">
        <f>AA243*VLOOKUP($B243,Types!$B$2:$D$13,3,FALSE)*Conv!$I$5*1000*365</f>
        <v>0</v>
      </c>
      <c r="AF243" s="219">
        <f>AB243-AB242</f>
        <v>0</v>
      </c>
      <c r="AG243" s="219">
        <f t="shared" ref="AG243:AI243" si="624">AC243-AC242</f>
        <v>0</v>
      </c>
      <c r="AH243" s="219">
        <f t="shared" si="624"/>
        <v>0</v>
      </c>
      <c r="AI243" s="219">
        <f t="shared" si="624"/>
        <v>0</v>
      </c>
      <c r="AJ243" s="219"/>
      <c r="AK243" s="219"/>
      <c r="AL243" s="219"/>
    </row>
    <row r="244" spans="1:38">
      <c r="A244" s="195" t="str">
        <f>'Agg prdcrv'!$A$15</f>
        <v>Other Refined Prod.</v>
      </c>
      <c r="B244" s="195" t="str">
        <f>VLOOKUP($A244,Types!$A$2:$C$13,2,FALSE)</f>
        <v>KER</v>
      </c>
      <c r="C244" s="195">
        <v>3</v>
      </c>
      <c r="D244" s="195">
        <v>4</v>
      </c>
      <c r="E244" s="195" t="str">
        <f>CONCATENATE("IMP",G244,RIGHT(C244,1))</f>
        <v>IMPKERP43</v>
      </c>
      <c r="F244" s="195" t="str">
        <f>CONCATENATE("Imported ",VLOOKUP($A244,Types!$A$2:$C$13,3,FALSE),", PADD ",D244,", Step ",RIGHT(C244,1))</f>
        <v>Imported Kerosene and Other Refined Products, PADD 4, Step 3</v>
      </c>
      <c r="G244" s="195" t="str">
        <f>CONCATENATE(VLOOKUP($A244,Types!$A$2:$C$13,2,FALSE),"P",D244)</f>
        <v>KERP4</v>
      </c>
      <c r="H244" s="239">
        <f>SUMIFS('Agg prdcrv NYC'!$O$6:$O$100,'Agg prdcrv NYC'!$A$6:$A$100,'Imp Refined NYC'!$A244,'Agg prdcrv NYC'!$B$6:$B$100,H$11)*K4</f>
        <v>66.099000000000004</v>
      </c>
      <c r="I244" s="239">
        <f>SUMIFS('Agg prdcrv NYC'!$O$6:$O$100,'Agg prdcrv NYC'!$A$6:$A$100,'Imp Refined NYC'!$A244,'Agg prdcrv NYC'!$B$6:$B$100,I$11)*K4</f>
        <v>40.204999999999998</v>
      </c>
      <c r="J244" s="239">
        <f t="array" ref="J244">SUMIFS('Agg prdcrv NYC'!$O$6:$O$100,'Agg prdcrv NYC'!$A$6:$A$100,'Imp Refined NYC'!$A244,'Agg prdcrv NYC'!$B$6:$B$100,J$11)</f>
        <v>32.549999999999997</v>
      </c>
      <c r="K244" s="239">
        <f t="array" ref="K244">SUMIFS('Agg prdcrv NYC'!$O$6:$O$100,'Agg prdcrv NYC'!$A$6:$A$100,'Imp Refined NYC'!$A244,'Agg prdcrv NYC'!$B$6:$B$100,K$11)</f>
        <v>41.27</v>
      </c>
      <c r="L244" s="240">
        <f>H244*Conv!$J$20/10^6/VLOOKUP($B244,Types!$B$2:$D$13,3,FALSE)/Conv!$I$5</f>
        <v>16.955075011703961</v>
      </c>
      <c r="M244" s="240">
        <f>I244*Conv!$J$20/10^6/VLOOKUP($B244,Types!$B$2:$D$13,3,FALSE)/Conv!$I$5</f>
        <v>10.312997032414376</v>
      </c>
      <c r="N244" s="240">
        <f>M244*'Imported Price Trends'!$K$19</f>
        <v>11.104487149753293</v>
      </c>
      <c r="O244" s="240">
        <f>N244*'Imported Price Trends'!$L$19</f>
        <v>10.998904892731346</v>
      </c>
      <c r="P244" s="240">
        <f>O244*'Imported Price Trends'!$M$19</f>
        <v>11.868590903005618</v>
      </c>
      <c r="Q244" s="240">
        <f>P244*'Imported Price Trends'!$N$19</f>
        <v>12.55035095686786</v>
      </c>
      <c r="R244" s="240">
        <f>Q244*'Imported Price Trends'!$O$19</f>
        <v>13.483896790940783</v>
      </c>
      <c r="S244" s="240">
        <f>R244*'Imported Price Trends'!$O$19</f>
        <v>14.486883537647151</v>
      </c>
      <c r="T244" s="240">
        <f>S244*'Imported Price Trends'!$O$19</f>
        <v>15.564476492756455</v>
      </c>
      <c r="U244" s="240">
        <f>T244*'Imported Price Trends'!$O$19</f>
        <v>16.722225167616219</v>
      </c>
      <c r="V244" s="240">
        <f>U244*'Imported Price Trends'!$O$19</f>
        <v>17.966091868659731</v>
      </c>
      <c r="W244" s="219"/>
      <c r="X244" s="195">
        <f t="array" ref="X244">SUMIFS('Agg prdcrv NYC'!$G$6:$G$100,'Agg prdcrv NYC'!$A$6:$A$100,'Imp Refined NYC'!$A244,'Agg prdcrv NYC'!$B$6:$B$100,X$11)</f>
        <v>1</v>
      </c>
      <c r="Y244" s="195">
        <f t="array" ref="Y244">SUMIFS('Agg prdcrv NYC'!$G$6:$G$100,'Agg prdcrv NYC'!$A$6:$A$100,'Imp Refined NYC'!$A244,'Agg prdcrv NYC'!$B$6:$B$100,Y$11)</f>
        <v>0.86</v>
      </c>
      <c r="Z244" s="195">
        <f t="array" ref="Z244">SUMIFS('Agg prdcrv NYC'!$G$6:$G$100,'Agg prdcrv NYC'!$A$6:$A$100,'Imp Refined NYC'!$A244,'Agg prdcrv NYC'!$B$6:$B$100,Z$11)</f>
        <v>0.94</v>
      </c>
      <c r="AA244" s="195">
        <f t="array" ref="AA244">SUMIFS('Agg prdcrv NYC'!$G$6:$G$100,'Agg prdcrv NYC'!$A$6:$A$100,'Imp Refined NYC'!$A244,'Agg prdcrv NYC'!$B$6:$B$100,AA$11)</f>
        <v>1.01</v>
      </c>
      <c r="AB244" s="219">
        <f>X244*VLOOKUP($B244,Types!$B$2:$D$13,3,FALSE)*Conv!$I$5*1000*365</f>
        <v>2.1834911447999996</v>
      </c>
      <c r="AC244" s="219">
        <f>Y244*VLOOKUP($B244,Types!$B$2:$D$13,3,FALSE)*Conv!$I$5*1000*365</f>
        <v>1.8778023845279996</v>
      </c>
      <c r="AD244" s="219">
        <f>Z244*VLOOKUP($B244,Types!$B$2:$D$13,3,FALSE)*Conv!$I$5*1000*365</f>
        <v>2.0524816761119999</v>
      </c>
      <c r="AE244" s="219">
        <f>AA244*VLOOKUP($B244,Types!$B$2:$D$13,3,FALSE)*Conv!$I$5*1000*365</f>
        <v>2.2053260562479999</v>
      </c>
      <c r="AF244" s="219">
        <f>AB244-AB246</f>
        <v>0.21834911448000005</v>
      </c>
      <c r="AG244" s="219">
        <f t="shared" ref="AG244:AI244" si="625">AC244-AC246</f>
        <v>0.18778023845279979</v>
      </c>
      <c r="AH244" s="219">
        <f t="shared" si="625"/>
        <v>0.20524816761120035</v>
      </c>
      <c r="AI244" s="219">
        <f t="shared" si="625"/>
        <v>0.22053260562480026</v>
      </c>
      <c r="AJ244" s="219"/>
      <c r="AK244" s="219"/>
      <c r="AL244" s="219"/>
    </row>
    <row r="245" spans="1:38">
      <c r="A245" s="195" t="str">
        <f>A244</f>
        <v>Other Refined Prod.</v>
      </c>
      <c r="B245" s="195" t="str">
        <f>VLOOKUP($A245,Types!$A$2:$C$13,2,FALSE)</f>
        <v>KER</v>
      </c>
      <c r="C245" s="195">
        <v>1</v>
      </c>
      <c r="D245" s="195">
        <v>4</v>
      </c>
      <c r="E245" s="195" t="str">
        <f t="shared" ref="E245:E258" si="626">CONCATENATE("IMP",G245,RIGHT(C245,1))</f>
        <v>IMPKERP41</v>
      </c>
      <c r="F245" s="195" t="str">
        <f>CONCATENATE("Imported ",VLOOKUP($A245,Types!$A$2:$C$13,3,FALSE),", PADD ",D245,", Step ",RIGHT(C245,1))</f>
        <v>Imported Kerosene and Other Refined Products, PADD 4, Step 1</v>
      </c>
      <c r="G245" s="195" t="str">
        <f>CONCATENATE(VLOOKUP($A245,Types!$A$2:$C$13,2,FALSE),"P",D245)</f>
        <v>KERP4</v>
      </c>
      <c r="H245" s="239">
        <f>H244*$C$5</f>
        <v>62.794049999999999</v>
      </c>
      <c r="I245" s="239">
        <f t="shared" ref="I245:K245" si="627">I244*$C$5</f>
        <v>38.194749999999999</v>
      </c>
      <c r="J245" s="239">
        <f t="shared" si="627"/>
        <v>30.922499999999996</v>
      </c>
      <c r="K245" s="239">
        <f t="shared" si="627"/>
        <v>39.206499999999998</v>
      </c>
      <c r="L245" s="240">
        <f>H245*Conv!$J$20/10^6/VLOOKUP($B245,Types!$B$2:$D$13,3,FALSE)/Conv!$I$5</f>
        <v>16.107321261118763</v>
      </c>
      <c r="M245" s="240">
        <f>I245*Conv!$J$20/10^6/VLOOKUP($B245,Types!$B$2:$D$13,3,FALSE)/Conv!$I$5</f>
        <v>9.7973471807936559</v>
      </c>
      <c r="N245" s="240">
        <f>M245*'Imported Price Trends'!$K$19</f>
        <v>10.549262792265626</v>
      </c>
      <c r="O245" s="240">
        <f>N245*'Imported Price Trends'!$L$19</f>
        <v>10.448959648094776</v>
      </c>
      <c r="P245" s="240">
        <f>O245*'Imported Price Trends'!$M$19</f>
        <v>11.275161357855335</v>
      </c>
      <c r="Q245" s="240">
        <f>P245*'Imported Price Trends'!$N$19</f>
        <v>11.922833409024465</v>
      </c>
      <c r="R245" s="240">
        <f>Q245*'Imported Price Trends'!$O$19</f>
        <v>12.809701951393743</v>
      </c>
      <c r="S245" s="240">
        <f>R245*'Imported Price Trends'!$O$19</f>
        <v>13.762539360764791</v>
      </c>
      <c r="T245" s="240">
        <f>S245*'Imported Price Trends'!$O$19</f>
        <v>14.78625266811863</v>
      </c>
      <c r="U245" s="240">
        <f>T245*'Imported Price Trends'!$O$19</f>
        <v>15.886113909235405</v>
      </c>
      <c r="V245" s="240">
        <f>U245*'Imported Price Trends'!$O$19</f>
        <v>17.067787275226742</v>
      </c>
      <c r="W245" s="219"/>
      <c r="X245" s="195">
        <f>X244*$E$5</f>
        <v>0.8</v>
      </c>
      <c r="Y245" s="195">
        <f t="shared" ref="Y245:AA245" si="628">Y244*$E$5</f>
        <v>0.68800000000000006</v>
      </c>
      <c r="Z245" s="195">
        <f t="shared" si="628"/>
        <v>0.752</v>
      </c>
      <c r="AA245" s="195">
        <f t="shared" si="628"/>
        <v>0.80800000000000005</v>
      </c>
      <c r="AB245" s="219">
        <f>X245*VLOOKUP($B245,Types!$B$2:$D$13,3,FALSE)*Conv!$I$5*1000*365</f>
        <v>1.7467929158400002</v>
      </c>
      <c r="AC245" s="219">
        <f>Y245*VLOOKUP($B245,Types!$B$2:$D$13,3,FALSE)*Conv!$I$5*1000*365</f>
        <v>1.5022419076224001</v>
      </c>
      <c r="AD245" s="219">
        <f>Z245*VLOOKUP($B245,Types!$B$2:$D$13,3,FALSE)*Conv!$I$5*1000*365</f>
        <v>1.6419853408895999</v>
      </c>
      <c r="AE245" s="219">
        <f>AA245*VLOOKUP($B245,Types!$B$2:$D$13,3,FALSE)*Conv!$I$5*1000*365</f>
        <v>1.7642608449983999</v>
      </c>
      <c r="AF245" s="219">
        <f>AB245</f>
        <v>1.7467929158400002</v>
      </c>
      <c r="AG245" s="219">
        <f t="shared" ref="AG245:AI245" si="629">AC245</f>
        <v>1.5022419076224001</v>
      </c>
      <c r="AH245" s="219">
        <f t="shared" si="629"/>
        <v>1.6419853408895999</v>
      </c>
      <c r="AI245" s="219">
        <f t="shared" si="629"/>
        <v>1.7642608449983999</v>
      </c>
      <c r="AJ245" s="219"/>
      <c r="AK245" s="219"/>
      <c r="AL245" s="219"/>
    </row>
    <row r="246" spans="1:38">
      <c r="A246" s="195" t="str">
        <f t="shared" ref="A246:A248" si="630">A245</f>
        <v>Other Refined Prod.</v>
      </c>
      <c r="B246" s="195" t="str">
        <f>VLOOKUP($A246,Types!$A$2:$C$13,2,FALSE)</f>
        <v>KER</v>
      </c>
      <c r="C246" s="195">
        <v>2</v>
      </c>
      <c r="D246" s="195">
        <v>4</v>
      </c>
      <c r="E246" s="195" t="str">
        <f t="shared" si="626"/>
        <v>IMPKERP42</v>
      </c>
      <c r="F246" s="195" t="str">
        <f>CONCATENATE("Imported ",VLOOKUP($A246,Types!$A$2:$C$13,3,FALSE),", PADD ",D246,", Step ",RIGHT(C246,1))</f>
        <v>Imported Kerosene and Other Refined Products, PADD 4, Step 2</v>
      </c>
      <c r="G246" s="195" t="str">
        <f>CONCATENATE(VLOOKUP($A246,Types!$A$2:$C$13,2,FALSE),"P",D246)</f>
        <v>KERP4</v>
      </c>
      <c r="H246" s="239">
        <f>H244*$C$6</f>
        <v>64.777020000000007</v>
      </c>
      <c r="I246" s="239">
        <f t="shared" ref="I246:K246" si="631">I244*$C$6</f>
        <v>39.4009</v>
      </c>
      <c r="J246" s="239">
        <f t="shared" si="631"/>
        <v>31.898999999999997</v>
      </c>
      <c r="K246" s="239">
        <f t="shared" si="631"/>
        <v>40.444600000000001</v>
      </c>
      <c r="L246" s="240">
        <f>H246*Conv!$J$20/10^6/VLOOKUP($B246,Types!$B$2:$D$13,3,FALSE)/Conv!$I$5</f>
        <v>16.615973511469882</v>
      </c>
      <c r="M246" s="240">
        <f>I246*Conv!$J$20/10^6/VLOOKUP($B246,Types!$B$2:$D$13,3,FALSE)/Conv!$I$5</f>
        <v>10.106737091766087</v>
      </c>
      <c r="N246" s="240">
        <f>M246*'Imported Price Trends'!$K$19</f>
        <v>10.882397406758225</v>
      </c>
      <c r="O246" s="240">
        <f>N246*'Imported Price Trends'!$L$19</f>
        <v>10.778926794876716</v>
      </c>
      <c r="P246" s="240">
        <f>O246*'Imported Price Trends'!$M$19</f>
        <v>11.631219084945503</v>
      </c>
      <c r="Q246" s="240">
        <f>P246*'Imported Price Trends'!$N$19</f>
        <v>12.2993439377305</v>
      </c>
      <c r="R246" s="240">
        <f>Q246*'Imported Price Trends'!$O$19</f>
        <v>13.214218855121965</v>
      </c>
      <c r="S246" s="240">
        <f>R246*'Imported Price Trends'!$O$19</f>
        <v>14.197145866894205</v>
      </c>
      <c r="T246" s="240">
        <f>S246*'Imported Price Trends'!$O$19</f>
        <v>15.253186962901323</v>
      </c>
      <c r="U246" s="240">
        <f>T246*'Imported Price Trends'!$O$19</f>
        <v>16.387780664263893</v>
      </c>
      <c r="V246" s="240">
        <f>U246*'Imported Price Trends'!$O$19</f>
        <v>17.606770031286537</v>
      </c>
      <c r="W246" s="219"/>
      <c r="X246" s="195">
        <f>X244*$E$6</f>
        <v>0.9</v>
      </c>
      <c r="Y246" s="195">
        <f t="shared" ref="Y246:AA246" si="632">Y244*$E$6</f>
        <v>0.77400000000000002</v>
      </c>
      <c r="Z246" s="195">
        <f t="shared" si="632"/>
        <v>0.84599999999999997</v>
      </c>
      <c r="AA246" s="195">
        <f t="shared" si="632"/>
        <v>0.90900000000000003</v>
      </c>
      <c r="AB246" s="219">
        <f>X246*VLOOKUP($B246,Types!$B$2:$D$13,3,FALSE)*Conv!$I$5*1000*365</f>
        <v>1.9651420303199996</v>
      </c>
      <c r="AC246" s="219">
        <f>Y246*VLOOKUP($B246,Types!$B$2:$D$13,3,FALSE)*Conv!$I$5*1000*365</f>
        <v>1.6900221460751998</v>
      </c>
      <c r="AD246" s="219">
        <f>Z246*VLOOKUP($B246,Types!$B$2:$D$13,3,FALSE)*Conv!$I$5*1000*365</f>
        <v>1.8472335085007996</v>
      </c>
      <c r="AE246" s="219">
        <f>AA246*VLOOKUP($B246,Types!$B$2:$D$13,3,FALSE)*Conv!$I$5*1000*365</f>
        <v>1.9847934506231997</v>
      </c>
      <c r="AF246" s="219">
        <f>AB246-AF245</f>
        <v>0.21834911447999938</v>
      </c>
      <c r="AG246" s="219">
        <f t="shared" ref="AG246:AI246" si="633">AC246-AG245</f>
        <v>0.18778023845279979</v>
      </c>
      <c r="AH246" s="219">
        <f t="shared" si="633"/>
        <v>0.20524816761119968</v>
      </c>
      <c r="AI246" s="219">
        <f t="shared" si="633"/>
        <v>0.22053260562479982</v>
      </c>
      <c r="AJ246" s="219"/>
      <c r="AK246" s="219"/>
      <c r="AL246" s="219"/>
    </row>
    <row r="247" spans="1:38">
      <c r="A247" s="195" t="str">
        <f t="shared" si="630"/>
        <v>Other Refined Prod.</v>
      </c>
      <c r="B247" s="195" t="str">
        <f>VLOOKUP($A247,Types!$A$2:$C$13,2,FALSE)</f>
        <v>KER</v>
      </c>
      <c r="C247" s="195">
        <v>4</v>
      </c>
      <c r="D247" s="195">
        <v>4</v>
      </c>
      <c r="E247" s="195" t="str">
        <f t="shared" si="626"/>
        <v>IMPKERP44</v>
      </c>
      <c r="F247" s="195" t="str">
        <f>CONCATENATE("Imported ",VLOOKUP($A247,Types!$A$2:$C$13,3,FALSE),", PADD ",D247,", Step ",RIGHT(C247,1))</f>
        <v>Imported Kerosene and Other Refined Products, PADD 4, Step 4</v>
      </c>
      <c r="G247" s="195" t="str">
        <f>CONCATENATE(VLOOKUP($A247,Types!$A$2:$C$13,2,FALSE),"P",D247)</f>
        <v>KERP4</v>
      </c>
      <c r="H247" s="239">
        <f>H244*$C$8</f>
        <v>72.047910000000016</v>
      </c>
      <c r="I247" s="239">
        <f t="shared" ref="I247:K247" si="634">I244*$C$8</f>
        <v>43.823450000000001</v>
      </c>
      <c r="J247" s="239">
        <f t="shared" si="634"/>
        <v>35.479500000000002</v>
      </c>
      <c r="K247" s="239">
        <f t="shared" si="634"/>
        <v>44.984300000000005</v>
      </c>
      <c r="L247" s="240">
        <f>H247*Conv!$J$20/10^6/VLOOKUP($B247,Types!$B$2:$D$13,3,FALSE)/Conv!$I$5</f>
        <v>18.481031762757318</v>
      </c>
      <c r="M247" s="240">
        <f>I247*Conv!$J$20/10^6/VLOOKUP($B247,Types!$B$2:$D$13,3,FALSE)/Conv!$I$5</f>
        <v>11.241166765331668</v>
      </c>
      <c r="N247" s="240">
        <f>M247*'Imported Price Trends'!$K$19</f>
        <v>12.103890993231087</v>
      </c>
      <c r="O247" s="240">
        <f>N247*'Imported Price Trends'!$L$19</f>
        <v>11.988806333077164</v>
      </c>
      <c r="P247" s="240">
        <f>O247*'Imported Price Trends'!$M$19</f>
        <v>12.936764084276122</v>
      </c>
      <c r="Q247" s="240">
        <f>P247*'Imported Price Trends'!$N$19</f>
        <v>13.679882542985965</v>
      </c>
      <c r="R247" s="240">
        <f>Q247*'Imported Price Trends'!$O$19</f>
        <v>14.697447502125451</v>
      </c>
      <c r="S247" s="240">
        <f>R247*'Imported Price Trends'!$O$19</f>
        <v>15.79070305603539</v>
      </c>
      <c r="T247" s="240">
        <f>S247*'Imported Price Trends'!$O$19</f>
        <v>16.96527937710453</v>
      </c>
      <c r="U247" s="240">
        <f>T247*'Imported Price Trends'!$O$19</f>
        <v>18.227225432701673</v>
      </c>
      <c r="V247" s="240">
        <f>U247*'Imported Price Trends'!$O$19</f>
        <v>19.583040136839102</v>
      </c>
      <c r="W247" s="219"/>
      <c r="X247" s="195">
        <f>X244*$E$8</f>
        <v>1.2</v>
      </c>
      <c r="Y247" s="195">
        <f t="shared" ref="Y247:AA247" si="635">Y244*$E$8</f>
        <v>1.032</v>
      </c>
      <c r="Z247" s="195">
        <f t="shared" si="635"/>
        <v>1.1279999999999999</v>
      </c>
      <c r="AA247" s="195">
        <f t="shared" si="635"/>
        <v>1.212</v>
      </c>
      <c r="AB247" s="219">
        <f>X247*VLOOKUP($B247,Types!$B$2:$D$13,3,FALSE)*Conv!$I$5*1000*365</f>
        <v>2.6201893737599997</v>
      </c>
      <c r="AC247" s="219">
        <f>Y247*VLOOKUP($B247,Types!$B$2:$D$13,3,FALSE)*Conv!$I$5*1000*365</f>
        <v>2.2533628614335997</v>
      </c>
      <c r="AD247" s="219">
        <f>Z247*VLOOKUP($B247,Types!$B$2:$D$13,3,FALSE)*Conv!$I$5*1000*365</f>
        <v>2.4629780113343998</v>
      </c>
      <c r="AE247" s="219">
        <f>AA247*VLOOKUP($B247,Types!$B$2:$D$13,3,FALSE)*Conv!$I$5*1000*365</f>
        <v>2.6463912674975996</v>
      </c>
      <c r="AF247" s="219">
        <f>AB247-AB244</f>
        <v>0.4366982289600001</v>
      </c>
      <c r="AG247" s="219">
        <f t="shared" ref="AG247:AI247" si="636">AC247-AC244</f>
        <v>0.37556047690560002</v>
      </c>
      <c r="AH247" s="219">
        <f t="shared" si="636"/>
        <v>0.41049633522239981</v>
      </c>
      <c r="AI247" s="219">
        <f t="shared" si="636"/>
        <v>0.44106521124959963</v>
      </c>
      <c r="AJ247" s="219"/>
      <c r="AK247" s="219"/>
      <c r="AL247" s="219"/>
    </row>
    <row r="248" spans="1:38">
      <c r="A248" s="195" t="str">
        <f t="shared" si="630"/>
        <v>Other Refined Prod.</v>
      </c>
      <c r="B248" s="195" t="str">
        <f>VLOOKUP($A248,Types!$A$2:$C$13,2,FALSE)</f>
        <v>KER</v>
      </c>
      <c r="C248" s="195">
        <v>5</v>
      </c>
      <c r="D248" s="195">
        <v>4</v>
      </c>
      <c r="E248" s="195" t="str">
        <f t="shared" si="626"/>
        <v>IMPKERP45</v>
      </c>
      <c r="F248" s="195" t="str">
        <f>CONCATENATE("Imported ",VLOOKUP($A248,Types!$A$2:$C$13,3,FALSE),", PADD ",D248,", Step ",RIGHT(C248,1))</f>
        <v>Imported Kerosene and Other Refined Products, PADD 4, Step 5</v>
      </c>
      <c r="G248" s="195" t="str">
        <f>CONCATENATE(VLOOKUP($A248,Types!$A$2:$C$13,2,FALSE),"P",D248)</f>
        <v>KERP4</v>
      </c>
      <c r="H248" s="239">
        <f>H244*$C$9</f>
        <v>85.928700000000006</v>
      </c>
      <c r="I248" s="239">
        <f t="shared" ref="I248:K248" si="637">I244*$C$9</f>
        <v>52.266500000000001</v>
      </c>
      <c r="J248" s="239">
        <f t="shared" si="637"/>
        <v>42.314999999999998</v>
      </c>
      <c r="K248" s="239">
        <f t="shared" si="637"/>
        <v>53.651000000000003</v>
      </c>
      <c r="L248" s="240">
        <f>H248*Conv!$J$20/10^6/VLOOKUP($B248,Types!$B$2:$D$13,3,FALSE)/Conv!$I$5</f>
        <v>22.041597515215152</v>
      </c>
      <c r="M248" s="240">
        <f>I248*Conv!$J$20/10^6/VLOOKUP($B248,Types!$B$2:$D$13,3,FALSE)/Conv!$I$5</f>
        <v>13.406896142138688</v>
      </c>
      <c r="N248" s="240">
        <f>M248*'Imported Price Trends'!$K$19</f>
        <v>14.435833294679279</v>
      </c>
      <c r="O248" s="240">
        <f>N248*'Imported Price Trends'!$L$19</f>
        <v>14.298576360550747</v>
      </c>
      <c r="P248" s="240">
        <f>O248*'Imported Price Trends'!$M$19</f>
        <v>15.429168173907302</v>
      </c>
      <c r="Q248" s="240">
        <f>P248*'Imported Price Trends'!$N$19</f>
        <v>16.315456243928214</v>
      </c>
      <c r="R248" s="240">
        <f>Q248*'Imported Price Trends'!$O$19</f>
        <v>17.529065828223015</v>
      </c>
      <c r="S248" s="240">
        <f>R248*'Imported Price Trends'!$O$19</f>
        <v>18.832948598941293</v>
      </c>
      <c r="T248" s="240">
        <f>S248*'Imported Price Trends'!$O$19</f>
        <v>20.233819440583389</v>
      </c>
      <c r="U248" s="240">
        <f>T248*'Imported Price Trends'!$O$19</f>
        <v>21.738892717901081</v>
      </c>
      <c r="V248" s="240">
        <f>U248*'Imported Price Trends'!$O$19</f>
        <v>23.355919429257646</v>
      </c>
      <c r="W248" s="219"/>
      <c r="X248" s="195">
        <f>X244*$E$9</f>
        <v>2</v>
      </c>
      <c r="Y248" s="195">
        <f t="shared" ref="Y248:AA248" si="638">Y244*$E$9</f>
        <v>1.72</v>
      </c>
      <c r="Z248" s="195">
        <f t="shared" si="638"/>
        <v>1.88</v>
      </c>
      <c r="AA248" s="195">
        <f t="shared" si="638"/>
        <v>2.02</v>
      </c>
      <c r="AB248" s="219">
        <f>X248*VLOOKUP($B248,Types!$B$2:$D$13,3,FALSE)*Conv!$I$5*1000*365</f>
        <v>4.3669822895999992</v>
      </c>
      <c r="AC248" s="219">
        <f>Y248*VLOOKUP($B248,Types!$B$2:$D$13,3,FALSE)*Conv!$I$5*1000*365</f>
        <v>3.7556047690559993</v>
      </c>
      <c r="AD248" s="219">
        <f>Z248*VLOOKUP($B248,Types!$B$2:$D$13,3,FALSE)*Conv!$I$5*1000*365</f>
        <v>4.1049633522239999</v>
      </c>
      <c r="AE248" s="219">
        <f>AA248*VLOOKUP($B248,Types!$B$2:$D$13,3,FALSE)*Conv!$I$5*1000*365</f>
        <v>4.4106521124959999</v>
      </c>
      <c r="AF248" s="219">
        <f>AB248-AB247</f>
        <v>1.7467929158399995</v>
      </c>
      <c r="AG248" s="219">
        <f t="shared" ref="AG248:AI248" si="639">AC248-AC247</f>
        <v>1.5022419076223996</v>
      </c>
      <c r="AH248" s="219">
        <f t="shared" si="639"/>
        <v>1.6419853408896001</v>
      </c>
      <c r="AI248" s="219">
        <f t="shared" si="639"/>
        <v>1.7642608449984003</v>
      </c>
      <c r="AJ248" s="219"/>
      <c r="AK248" s="219"/>
      <c r="AL248" s="219"/>
    </row>
    <row r="249" spans="1:38">
      <c r="A249" s="195" t="str">
        <f>'Agg prdcrv'!$A$16</f>
        <v>Methanol</v>
      </c>
      <c r="B249" s="195" t="str">
        <f>VLOOKUP($A249,Types!$A$2:$C$13,2,FALSE)</f>
        <v>MTH</v>
      </c>
      <c r="C249" s="195">
        <v>3</v>
      </c>
      <c r="D249" s="195">
        <v>4</v>
      </c>
      <c r="E249" s="195" t="str">
        <f t="shared" si="626"/>
        <v>IMPMTHP43</v>
      </c>
      <c r="F249" s="195" t="str">
        <f>CONCATENATE("Imported ",VLOOKUP($A249,Types!$A$2:$C$13,3,FALSE),", PADD ",D249,", Step ",RIGHT(C249,1))</f>
        <v>Imported Methanol, PADD 4, Step 3</v>
      </c>
      <c r="G249" s="195" t="str">
        <f>CONCATENATE(VLOOKUP($A249,Types!$A$2:$C$13,2,FALSE),"P",D249)</f>
        <v>MTHP4</v>
      </c>
      <c r="H249" s="239">
        <f>SUMIFS('Agg prdcrv NYC'!$O$6:$O$100,'Agg prdcrv NYC'!$A$6:$A$100,'Imp Refined NYC'!$A249,'Agg prdcrv NYC'!$B$6:$B$100,H$11)*K4</f>
        <v>53.867000000000004</v>
      </c>
      <c r="I249" s="239">
        <f>SUMIFS('Agg prdcrv NYC'!$O$6:$O$100,'Agg prdcrv NYC'!$A$6:$A$100,'Imp Refined NYC'!$A249,'Agg prdcrv NYC'!$B$6:$B$100,I$11)*K4</f>
        <v>53.283999999999999</v>
      </c>
      <c r="J249" s="239">
        <f t="array" ref="J249">SUMIFS('Agg prdcrv NYC'!$O$6:$O$100,'Agg prdcrv NYC'!$A$6:$A$100,'Imp Refined NYC'!$A249,'Agg prdcrv NYC'!$B$6:$B$100,J$11)</f>
        <v>48.44</v>
      </c>
      <c r="K249" s="239">
        <f t="array" ref="K249">SUMIFS('Agg prdcrv NYC'!$O$6:$O$100,'Agg prdcrv NYC'!$A$6:$A$100,'Imp Refined NYC'!$A249,'Agg prdcrv NYC'!$B$6:$B$100,K$11)</f>
        <v>48.44</v>
      </c>
      <c r="L249" s="240">
        <f>H249*Conv!$J$20/10^6/VLOOKUP($B249,Types!$B$2:$D$13,3,FALSE)/Conv!$I$5</f>
        <v>28.522240377615105</v>
      </c>
      <c r="M249" s="240">
        <f>I249*Conv!$J$20/10^6/VLOOKUP($B249,Types!$B$2:$D$13,3,FALSE)/Conv!$I$5</f>
        <v>28.21354551545182</v>
      </c>
      <c r="N249" s="240">
        <f>M249*'Imported Price Trends'!$K$19</f>
        <v>30.378846482802526</v>
      </c>
      <c r="O249" s="240">
        <f>N249*'Imported Price Trends'!$L$19</f>
        <v>30.090002240459576</v>
      </c>
      <c r="P249" s="240">
        <f>O249*'Imported Price Trends'!$M$19</f>
        <v>32.469225831613905</v>
      </c>
      <c r="Q249" s="240">
        <f>P249*'Imported Price Trends'!$N$19</f>
        <v>34.334335290077128</v>
      </c>
      <c r="R249" s="240">
        <f>Q249*'Imported Price Trends'!$O$19</f>
        <v>36.888261932118517</v>
      </c>
      <c r="S249" s="240">
        <f>R249*'Imported Price Trends'!$O$19</f>
        <v>39.632159961047769</v>
      </c>
      <c r="T249" s="240">
        <f>S249*'Imported Price Trends'!$O$19</f>
        <v>42.580160216506876</v>
      </c>
      <c r="U249" s="240">
        <f>T249*'Imported Price Trends'!$O$19</f>
        <v>45.747444647108807</v>
      </c>
      <c r="V249" s="240">
        <f>U249*'Imported Price Trends'!$O$19</f>
        <v>49.150324496171486</v>
      </c>
      <c r="W249" s="219"/>
      <c r="X249" s="195">
        <f t="array" ref="X249">SUMIFS('Agg prdcrv NYC'!$G$6:$G$100,'Agg prdcrv NYC'!$A$6:$A$100,'Imp Refined NYC'!$A249,'Agg prdcrv NYC'!$B$6:$B$100,X$11)</f>
        <v>0</v>
      </c>
      <c r="Y249" s="195">
        <f t="array" ref="Y249">SUMIFS('Agg prdcrv NYC'!$G$6:$G$100,'Agg prdcrv NYC'!$A$6:$A$100,'Imp Refined NYC'!$A249,'Agg prdcrv NYC'!$B$6:$B$100,Y$11)</f>
        <v>0</v>
      </c>
      <c r="Z249" s="195">
        <f t="array" ref="Z249">SUMIFS('Agg prdcrv NYC'!$G$6:$G$100,'Agg prdcrv NYC'!$A$6:$A$100,'Imp Refined NYC'!$A249,'Agg prdcrv NYC'!$B$6:$B$100,Z$11)</f>
        <v>0</v>
      </c>
      <c r="AA249" s="195">
        <f t="array" ref="AA249">SUMIFS('Agg prdcrv NYC'!$G$6:$G$100,'Agg prdcrv NYC'!$A$6:$A$100,'Imp Refined NYC'!$A249,'Agg prdcrv NYC'!$B$6:$B$100,AA$11)</f>
        <v>0</v>
      </c>
      <c r="AB249" s="219">
        <f>X249*VLOOKUP($B249,Types!$B$2:$D$13,3,FALSE)*Conv!$I$5*1000*365</f>
        <v>0</v>
      </c>
      <c r="AC249" s="219">
        <f>Y249*VLOOKUP($B249,Types!$B$2:$D$13,3,FALSE)*Conv!$I$5*1000*365</f>
        <v>0</v>
      </c>
      <c r="AD249" s="219">
        <f>Z249*VLOOKUP($B249,Types!$B$2:$D$13,3,FALSE)*Conv!$I$5*1000*365</f>
        <v>0</v>
      </c>
      <c r="AE249" s="219">
        <f>AA249*VLOOKUP($B249,Types!$B$2:$D$13,3,FALSE)*Conv!$I$5*1000*365</f>
        <v>0</v>
      </c>
      <c r="AF249" s="219">
        <f>AB249-AB251</f>
        <v>0</v>
      </c>
      <c r="AG249" s="219">
        <f t="shared" ref="AG249:AI249" si="640">AC249-AC251</f>
        <v>0</v>
      </c>
      <c r="AH249" s="219">
        <f t="shared" si="640"/>
        <v>0</v>
      </c>
      <c r="AI249" s="219">
        <f t="shared" si="640"/>
        <v>0</v>
      </c>
      <c r="AJ249" s="219"/>
      <c r="AK249" s="219"/>
      <c r="AL249" s="219"/>
    </row>
    <row r="250" spans="1:38">
      <c r="A250" s="195" t="str">
        <f>A249</f>
        <v>Methanol</v>
      </c>
      <c r="B250" s="195" t="str">
        <f>VLOOKUP($A250,Types!$A$2:$C$13,2,FALSE)</f>
        <v>MTH</v>
      </c>
      <c r="C250" s="195">
        <v>1</v>
      </c>
      <c r="D250" s="195">
        <v>4</v>
      </c>
      <c r="E250" s="195" t="str">
        <f t="shared" si="626"/>
        <v>IMPMTHP41</v>
      </c>
      <c r="F250" s="195" t="str">
        <f>CONCATENATE("Imported ",VLOOKUP($A250,Types!$A$2:$C$13,3,FALSE),", PADD ",D250,", Step ",RIGHT(C250,1))</f>
        <v>Imported Methanol, PADD 4, Step 1</v>
      </c>
      <c r="G250" s="195" t="str">
        <f>CONCATENATE(VLOOKUP($A250,Types!$A$2:$C$13,2,FALSE),"P",D250)</f>
        <v>MTHP4</v>
      </c>
      <c r="H250" s="239">
        <f>H249*$C$5</f>
        <v>51.173650000000002</v>
      </c>
      <c r="I250" s="239">
        <f t="shared" ref="I250:K250" si="641">I249*$C$5</f>
        <v>50.619799999999998</v>
      </c>
      <c r="J250" s="239">
        <f t="shared" si="641"/>
        <v>46.017999999999994</v>
      </c>
      <c r="K250" s="239">
        <f t="shared" si="641"/>
        <v>46.017999999999994</v>
      </c>
      <c r="L250" s="240">
        <f>H250*Conv!$J$20/10^6/VLOOKUP($B250,Types!$B$2:$D$13,3,FALSE)/Conv!$I$5</f>
        <v>27.096128358734344</v>
      </c>
      <c r="M250" s="240">
        <f>I250*Conv!$J$20/10^6/VLOOKUP($B250,Types!$B$2:$D$13,3,FALSE)/Conv!$I$5</f>
        <v>26.802868239679228</v>
      </c>
      <c r="N250" s="240">
        <f>M250*'Imported Price Trends'!$K$19</f>
        <v>28.859904158662399</v>
      </c>
      <c r="O250" s="240">
        <f>N250*'Imported Price Trends'!$L$19</f>
        <v>28.585502128436595</v>
      </c>
      <c r="P250" s="240">
        <f>O250*'Imported Price Trends'!$M$19</f>
        <v>30.845764540033208</v>
      </c>
      <c r="Q250" s="240">
        <f>P250*'Imported Price Trends'!$N$19</f>
        <v>32.61761852557327</v>
      </c>
      <c r="R250" s="240">
        <f>Q250*'Imported Price Trends'!$O$19</f>
        <v>35.043848835512591</v>
      </c>
      <c r="S250" s="240">
        <f>R250*'Imported Price Trends'!$O$19</f>
        <v>37.65055196299538</v>
      </c>
      <c r="T250" s="240">
        <f>S250*'Imported Price Trends'!$O$19</f>
        <v>40.451152205681531</v>
      </c>
      <c r="U250" s="240">
        <f>T250*'Imported Price Trends'!$O$19</f>
        <v>43.46007241475337</v>
      </c>
      <c r="V250" s="240">
        <f>U250*'Imported Price Trends'!$O$19</f>
        <v>46.692808271362914</v>
      </c>
      <c r="W250" s="219"/>
      <c r="X250" s="195">
        <f>X249*$E$5</f>
        <v>0</v>
      </c>
      <c r="Y250" s="195">
        <f t="shared" ref="Y250:AA250" si="642">Y249*$E$5</f>
        <v>0</v>
      </c>
      <c r="Z250" s="195">
        <f t="shared" si="642"/>
        <v>0</v>
      </c>
      <c r="AA250" s="195">
        <f t="shared" si="642"/>
        <v>0</v>
      </c>
      <c r="AB250" s="219">
        <f>X250*VLOOKUP($B250,Types!$B$2:$D$13,3,FALSE)*Conv!$I$5*1000*365</f>
        <v>0</v>
      </c>
      <c r="AC250" s="219">
        <f>Y250*VLOOKUP($B250,Types!$B$2:$D$13,3,FALSE)*Conv!$I$5*1000*365</f>
        <v>0</v>
      </c>
      <c r="AD250" s="219">
        <f>Z250*VLOOKUP($B250,Types!$B$2:$D$13,3,FALSE)*Conv!$I$5*1000*365</f>
        <v>0</v>
      </c>
      <c r="AE250" s="219">
        <f>AA250*VLOOKUP($B250,Types!$B$2:$D$13,3,FALSE)*Conv!$I$5*1000*365</f>
        <v>0</v>
      </c>
      <c r="AF250" s="219">
        <f>AB250</f>
        <v>0</v>
      </c>
      <c r="AG250" s="219">
        <f t="shared" ref="AG250:AI250" si="643">AC250</f>
        <v>0</v>
      </c>
      <c r="AH250" s="219">
        <f t="shared" si="643"/>
        <v>0</v>
      </c>
      <c r="AI250" s="219">
        <f t="shared" si="643"/>
        <v>0</v>
      </c>
      <c r="AJ250" s="219"/>
      <c r="AK250" s="219"/>
      <c r="AL250" s="219"/>
    </row>
    <row r="251" spans="1:38">
      <c r="A251" s="195" t="str">
        <f t="shared" ref="A251:A253" si="644">A250</f>
        <v>Methanol</v>
      </c>
      <c r="B251" s="195" t="str">
        <f>VLOOKUP($A251,Types!$A$2:$C$13,2,FALSE)</f>
        <v>MTH</v>
      </c>
      <c r="C251" s="195">
        <v>2</v>
      </c>
      <c r="D251" s="195">
        <v>4</v>
      </c>
      <c r="E251" s="195" t="str">
        <f t="shared" si="626"/>
        <v>IMPMTHP42</v>
      </c>
      <c r="F251" s="195" t="str">
        <f>CONCATENATE("Imported ",VLOOKUP($A251,Types!$A$2:$C$13,3,FALSE),", PADD ",D251,", Step ",RIGHT(C251,1))</f>
        <v>Imported Methanol, PADD 4, Step 2</v>
      </c>
      <c r="G251" s="195" t="str">
        <f>CONCATENATE(VLOOKUP($A251,Types!$A$2:$C$13,2,FALSE),"P",D251)</f>
        <v>MTHP4</v>
      </c>
      <c r="H251" s="239">
        <f>H249*$C$6</f>
        <v>52.789660000000005</v>
      </c>
      <c r="I251" s="239">
        <f t="shared" ref="I251:K251" si="645">I249*$C$6</f>
        <v>52.218319999999999</v>
      </c>
      <c r="J251" s="239">
        <f t="shared" si="645"/>
        <v>47.471199999999996</v>
      </c>
      <c r="K251" s="239">
        <f t="shared" si="645"/>
        <v>47.471199999999996</v>
      </c>
      <c r="L251" s="240">
        <f>H251*Conv!$J$20/10^6/VLOOKUP($B251,Types!$B$2:$D$13,3,FALSE)/Conv!$I$5</f>
        <v>27.951795570062803</v>
      </c>
      <c r="M251" s="240">
        <f>I251*Conv!$J$20/10^6/VLOOKUP($B251,Types!$B$2:$D$13,3,FALSE)/Conv!$I$5</f>
        <v>27.649274605142782</v>
      </c>
      <c r="N251" s="240">
        <f>M251*'Imported Price Trends'!$K$19</f>
        <v>29.771269553146475</v>
      </c>
      <c r="O251" s="240">
        <f>N251*'Imported Price Trends'!$L$19</f>
        <v>29.488202195650384</v>
      </c>
      <c r="P251" s="240">
        <f>O251*'Imported Price Trends'!$M$19</f>
        <v>31.819841314981627</v>
      </c>
      <c r="Q251" s="240">
        <f>P251*'Imported Price Trends'!$N$19</f>
        <v>33.647648584275586</v>
      </c>
      <c r="R251" s="240">
        <f>Q251*'Imported Price Trends'!$O$19</f>
        <v>36.15049669347615</v>
      </c>
      <c r="S251" s="240">
        <f>R251*'Imported Price Trends'!$O$19</f>
        <v>38.839516761826815</v>
      </c>
      <c r="T251" s="240">
        <f>S251*'Imported Price Trends'!$O$19</f>
        <v>41.728557012176736</v>
      </c>
      <c r="U251" s="240">
        <f>T251*'Imported Price Trends'!$O$19</f>
        <v>44.832495754166629</v>
      </c>
      <c r="V251" s="240">
        <f>U251*'Imported Price Trends'!$O$19</f>
        <v>48.167318006248053</v>
      </c>
      <c r="W251" s="219"/>
      <c r="X251" s="195">
        <f>X249*$E$6</f>
        <v>0</v>
      </c>
      <c r="Y251" s="195">
        <f t="shared" ref="Y251:AA251" si="646">Y249*$E$6</f>
        <v>0</v>
      </c>
      <c r="Z251" s="195">
        <f t="shared" si="646"/>
        <v>0</v>
      </c>
      <c r="AA251" s="195">
        <f t="shared" si="646"/>
        <v>0</v>
      </c>
      <c r="AB251" s="219">
        <f>X251*VLOOKUP($B251,Types!$B$2:$D$13,3,FALSE)*Conv!$I$5*1000*365</f>
        <v>0</v>
      </c>
      <c r="AC251" s="219">
        <f>Y251*VLOOKUP($B251,Types!$B$2:$D$13,3,FALSE)*Conv!$I$5*1000*365</f>
        <v>0</v>
      </c>
      <c r="AD251" s="219">
        <f>Z251*VLOOKUP($B251,Types!$B$2:$D$13,3,FALSE)*Conv!$I$5*1000*365</f>
        <v>0</v>
      </c>
      <c r="AE251" s="219">
        <f>AA251*VLOOKUP($B251,Types!$B$2:$D$13,3,FALSE)*Conv!$I$5*1000*365</f>
        <v>0</v>
      </c>
      <c r="AF251" s="219">
        <f>AB251-AF250</f>
        <v>0</v>
      </c>
      <c r="AG251" s="219">
        <f t="shared" ref="AG251:AI251" si="647">AC251-AG250</f>
        <v>0</v>
      </c>
      <c r="AH251" s="219">
        <f t="shared" si="647"/>
        <v>0</v>
      </c>
      <c r="AI251" s="219">
        <f t="shared" si="647"/>
        <v>0</v>
      </c>
      <c r="AJ251" s="219"/>
      <c r="AK251" s="219"/>
      <c r="AL251" s="219"/>
    </row>
    <row r="252" spans="1:38">
      <c r="A252" s="195" t="str">
        <f t="shared" si="644"/>
        <v>Methanol</v>
      </c>
      <c r="B252" s="195" t="str">
        <f>VLOOKUP($A252,Types!$A$2:$C$13,2,FALSE)</f>
        <v>MTH</v>
      </c>
      <c r="C252" s="195">
        <v>4</v>
      </c>
      <c r="D252" s="195">
        <v>4</v>
      </c>
      <c r="E252" s="195" t="str">
        <f t="shared" si="626"/>
        <v>IMPMTHP44</v>
      </c>
      <c r="F252" s="195" t="str">
        <f>CONCATENATE("Imported ",VLOOKUP($A252,Types!$A$2:$C$13,3,FALSE),", PADD ",D252,", Step ",RIGHT(C252,1))</f>
        <v>Imported Methanol, PADD 4, Step 4</v>
      </c>
      <c r="G252" s="195" t="str">
        <f>CONCATENATE(VLOOKUP($A252,Types!$A$2:$C$13,2,FALSE),"P",D252)</f>
        <v>MTHP4</v>
      </c>
      <c r="H252" s="239">
        <f>H249*$C$8</f>
        <v>58.715030000000006</v>
      </c>
      <c r="I252" s="239">
        <f t="shared" ref="I252:K252" si="648">I249*$C$8</f>
        <v>58.079560000000001</v>
      </c>
      <c r="J252" s="239">
        <f t="shared" si="648"/>
        <v>52.799599999999998</v>
      </c>
      <c r="K252" s="239">
        <f t="shared" si="648"/>
        <v>52.799599999999998</v>
      </c>
      <c r="L252" s="240">
        <f>H252*Conv!$J$20/10^6/VLOOKUP($B252,Types!$B$2:$D$13,3,FALSE)/Conv!$I$5</f>
        <v>31.089242011600458</v>
      </c>
      <c r="M252" s="240">
        <f>I252*Conv!$J$20/10^6/VLOOKUP($B252,Types!$B$2:$D$13,3,FALSE)/Conv!$I$5</f>
        <v>30.752764611842483</v>
      </c>
      <c r="N252" s="240">
        <f>M252*'Imported Price Trends'!$K$19</f>
        <v>33.112942666254753</v>
      </c>
      <c r="O252" s="240">
        <f>N252*'Imported Price Trends'!$L$19</f>
        <v>32.798102442100934</v>
      </c>
      <c r="P252" s="240">
        <f>O252*'Imported Price Trends'!$M$19</f>
        <v>35.391456156459157</v>
      </c>
      <c r="Q252" s="240">
        <f>P252*'Imported Price Trends'!$N$19</f>
        <v>37.424425466184076</v>
      </c>
      <c r="R252" s="240">
        <f>Q252*'Imported Price Trends'!$O$19</f>
        <v>40.208205506009193</v>
      </c>
      <c r="S252" s="240">
        <f>R252*'Imported Price Trends'!$O$19</f>
        <v>43.199054357542082</v>
      </c>
      <c r="T252" s="240">
        <f>S252*'Imported Price Trends'!$O$19</f>
        <v>46.412374635992506</v>
      </c>
      <c r="U252" s="240">
        <f>T252*'Imported Price Trends'!$O$19</f>
        <v>49.864714665348615</v>
      </c>
      <c r="V252" s="240">
        <f>U252*'Imported Price Trends'!$O$19</f>
        <v>53.57385370082693</v>
      </c>
      <c r="W252" s="219"/>
      <c r="X252" s="195">
        <f>X249*$E$8</f>
        <v>0</v>
      </c>
      <c r="Y252" s="195">
        <f t="shared" ref="Y252:AA252" si="649">Y249*$E$8</f>
        <v>0</v>
      </c>
      <c r="Z252" s="195">
        <f t="shared" si="649"/>
        <v>0</v>
      </c>
      <c r="AA252" s="195">
        <f t="shared" si="649"/>
        <v>0</v>
      </c>
      <c r="AB252" s="219">
        <f>X252*VLOOKUP($B252,Types!$B$2:$D$13,3,FALSE)*Conv!$I$5*1000*365</f>
        <v>0</v>
      </c>
      <c r="AC252" s="219">
        <f>Y252*VLOOKUP($B252,Types!$B$2:$D$13,3,FALSE)*Conv!$I$5*1000*365</f>
        <v>0</v>
      </c>
      <c r="AD252" s="219">
        <f>Z252*VLOOKUP($B252,Types!$B$2:$D$13,3,FALSE)*Conv!$I$5*1000*365</f>
        <v>0</v>
      </c>
      <c r="AE252" s="219">
        <f>AA252*VLOOKUP($B252,Types!$B$2:$D$13,3,FALSE)*Conv!$I$5*1000*365</f>
        <v>0</v>
      </c>
      <c r="AF252" s="219">
        <f>AB252-AB249</f>
        <v>0</v>
      </c>
      <c r="AG252" s="219">
        <f t="shared" ref="AG252:AI252" si="650">AC252-AC249</f>
        <v>0</v>
      </c>
      <c r="AH252" s="219">
        <f t="shared" si="650"/>
        <v>0</v>
      </c>
      <c r="AI252" s="219">
        <f t="shared" si="650"/>
        <v>0</v>
      </c>
      <c r="AJ252" s="219"/>
      <c r="AK252" s="219"/>
      <c r="AL252" s="219"/>
    </row>
    <row r="253" spans="1:38">
      <c r="A253" s="195" t="str">
        <f t="shared" si="644"/>
        <v>Methanol</v>
      </c>
      <c r="B253" s="195" t="str">
        <f>VLOOKUP($A253,Types!$A$2:$C$13,2,FALSE)</f>
        <v>MTH</v>
      </c>
      <c r="C253" s="195">
        <v>5</v>
      </c>
      <c r="D253" s="195">
        <v>4</v>
      </c>
      <c r="E253" s="195" t="str">
        <f t="shared" si="626"/>
        <v>IMPMTHP45</v>
      </c>
      <c r="F253" s="195" t="str">
        <f>CONCATENATE("Imported ",VLOOKUP($A253,Types!$A$2:$C$13,3,FALSE),", PADD ",D253,", Step ",RIGHT(C253,1))</f>
        <v>Imported Methanol, PADD 4, Step 5</v>
      </c>
      <c r="G253" s="195" t="str">
        <f>CONCATENATE(VLOOKUP($A253,Types!$A$2:$C$13,2,FALSE),"P",D253)</f>
        <v>MTHP4</v>
      </c>
      <c r="H253" s="239">
        <f>H249*$C$9</f>
        <v>70.027100000000004</v>
      </c>
      <c r="I253" s="239">
        <f t="shared" ref="I253:K253" si="651">I249*$C$9</f>
        <v>69.269199999999998</v>
      </c>
      <c r="J253" s="239">
        <f t="shared" si="651"/>
        <v>62.972000000000001</v>
      </c>
      <c r="K253" s="239">
        <f t="shared" si="651"/>
        <v>62.972000000000001</v>
      </c>
      <c r="L253" s="240">
        <f>H253*Conv!$J$20/10^6/VLOOKUP($B253,Types!$B$2:$D$13,3,FALSE)/Conv!$I$5</f>
        <v>37.078912490899633</v>
      </c>
      <c r="M253" s="240">
        <f>I253*Conv!$J$20/10^6/VLOOKUP($B253,Types!$B$2:$D$13,3,FALSE)/Conv!$I$5</f>
        <v>36.677609170087358</v>
      </c>
      <c r="N253" s="240">
        <f>M253*'Imported Price Trends'!$K$19</f>
        <v>39.492500427643279</v>
      </c>
      <c r="O253" s="240">
        <f>N253*'Imported Price Trends'!$L$19</f>
        <v>39.117002912597442</v>
      </c>
      <c r="P253" s="240">
        <f>O253*'Imported Price Trends'!$M$19</f>
        <v>42.209993581098075</v>
      </c>
      <c r="Q253" s="240">
        <f>P253*'Imported Price Trends'!$N$19</f>
        <v>44.634635877100266</v>
      </c>
      <c r="R253" s="240">
        <f>Q253*'Imported Price Trends'!$O$19</f>
        <v>47.954740511754075</v>
      </c>
      <c r="S253" s="240">
        <f>R253*'Imported Price Trends'!$O$19</f>
        <v>51.521807949362099</v>
      </c>
      <c r="T253" s="240">
        <f>S253*'Imported Price Trends'!$O$19</f>
        <v>55.354208281458938</v>
      </c>
      <c r="U253" s="240">
        <f>T253*'Imported Price Trends'!$O$19</f>
        <v>59.471678041241454</v>
      </c>
      <c r="V253" s="240">
        <f>U253*'Imported Price Trends'!$O$19</f>
        <v>63.895421845022931</v>
      </c>
      <c r="W253" s="219"/>
      <c r="X253" s="195">
        <f>X249*$E$9</f>
        <v>0</v>
      </c>
      <c r="Y253" s="195">
        <f t="shared" ref="Y253:AA253" si="652">Y249*$E$9</f>
        <v>0</v>
      </c>
      <c r="Z253" s="195">
        <f t="shared" si="652"/>
        <v>0</v>
      </c>
      <c r="AA253" s="195">
        <f t="shared" si="652"/>
        <v>0</v>
      </c>
      <c r="AB253" s="219">
        <f>X253*VLOOKUP($B253,Types!$B$2:$D$13,3,FALSE)*Conv!$I$5*1000*365</f>
        <v>0</v>
      </c>
      <c r="AC253" s="219">
        <f>Y253*VLOOKUP($B253,Types!$B$2:$D$13,3,FALSE)*Conv!$I$5*1000*365</f>
        <v>0</v>
      </c>
      <c r="AD253" s="219">
        <f>Z253*VLOOKUP($B253,Types!$B$2:$D$13,3,FALSE)*Conv!$I$5*1000*365</f>
        <v>0</v>
      </c>
      <c r="AE253" s="219">
        <f>AA253*VLOOKUP($B253,Types!$B$2:$D$13,3,FALSE)*Conv!$I$5*1000*365</f>
        <v>0</v>
      </c>
      <c r="AF253" s="219">
        <f>AB253-AB252</f>
        <v>0</v>
      </c>
      <c r="AG253" s="219">
        <f t="shared" ref="AG253:AI253" si="653">AC253-AC252</f>
        <v>0</v>
      </c>
      <c r="AH253" s="219">
        <f t="shared" si="653"/>
        <v>0</v>
      </c>
      <c r="AI253" s="219">
        <f t="shared" si="653"/>
        <v>0</v>
      </c>
      <c r="AJ253" s="219"/>
      <c r="AK253" s="219"/>
      <c r="AL253" s="219"/>
    </row>
    <row r="254" spans="1:38">
      <c r="A254" s="195" t="str">
        <f>'Agg prdcrv'!$A$19</f>
        <v>ULS Diesel (15 ppm)</v>
      </c>
      <c r="B254" s="195" t="str">
        <f>VLOOKUP($A254,Types!$A$2:$C$13,2,FALSE)</f>
        <v>DSU</v>
      </c>
      <c r="C254" s="195">
        <v>3</v>
      </c>
      <c r="D254" s="195">
        <v>4</v>
      </c>
      <c r="E254" s="195" t="str">
        <f t="shared" si="626"/>
        <v>IMPDSUP43</v>
      </c>
      <c r="F254" s="195" t="str">
        <f>CONCATENATE("Imported ",VLOOKUP($A254,Types!$A$2:$C$13,3,FALSE),", PADD ",D254,", Step ",RIGHT(C254,1))</f>
        <v>Imported Distillate-Ultralow Sulfur Highway Diesel (15 ppm), PADD 4, Step 3</v>
      </c>
      <c r="G254" s="195" t="str">
        <f>CONCATENATE(VLOOKUP($A254,Types!$A$2:$C$13,2,FALSE),"P",D254)</f>
        <v>DSUP4</v>
      </c>
      <c r="H254" s="239">
        <f>SUMIFS('Agg prdcrv NYC'!$O$6:$O$100,'Agg prdcrv NYC'!$A$6:$A$100,'Imp Refined NYC'!$A254,'Agg prdcrv NYC'!$B$6:$B$100,H$11)*K4</f>
        <v>75.229000000000013</v>
      </c>
      <c r="I254" s="239">
        <f>SUMIFS('Agg prdcrv NYC'!$O$6:$O$100,'Agg prdcrv NYC'!$A$6:$A$100,'Imp Refined NYC'!$A254,'Agg prdcrv NYC'!$B$6:$B$100,I$11)*K4</f>
        <v>54.856999999999999</v>
      </c>
      <c r="J254" s="239">
        <f t="array" ref="J254">SUMIFS('Agg prdcrv NYC'!$O$6:$O$100,'Agg prdcrv NYC'!$A$6:$A$100,'Imp Refined NYC'!$A254,'Agg prdcrv NYC'!$B$6:$B$100,J$11)</f>
        <v>43.49</v>
      </c>
      <c r="K254" s="239">
        <f t="array" ref="K254">SUMIFS('Agg prdcrv NYC'!$O$6:$O$100,'Agg prdcrv NYC'!$A$6:$A$100,'Imp Refined NYC'!$A254,'Agg prdcrv NYC'!$B$6:$B$100,K$11)</f>
        <v>44.76</v>
      </c>
      <c r="L254" s="240">
        <f>H254*Conv!$J$20/10^6/VLOOKUP($B254,Types!$B$2:$D$13,3,FALSE)/Conv!$I$5</f>
        <v>18.783531366429504</v>
      </c>
      <c r="M254" s="240">
        <f>I254*Conv!$J$20/10^6/VLOOKUP($B254,Types!$B$2:$D$13,3,FALSE)/Conv!$I$5</f>
        <v>13.696954368238618</v>
      </c>
      <c r="N254" s="240">
        <f>M254*'Imported Price Trends'!$K$19</f>
        <v>14.748152578228307</v>
      </c>
      <c r="O254" s="240">
        <f>N254*'Imported Price Trends'!$L$19</f>
        <v>14.607926090042584</v>
      </c>
      <c r="P254" s="240">
        <f>O254*'Imported Price Trends'!$M$19</f>
        <v>15.762978259647785</v>
      </c>
      <c r="Q254" s="240">
        <f>P254*'Imported Price Trends'!$N$19</f>
        <v>16.668441173918875</v>
      </c>
      <c r="R254" s="240">
        <f>Q254*'Imported Price Trends'!$O$19</f>
        <v>17.908307204110354</v>
      </c>
      <c r="S254" s="240">
        <f>R254*'Imported Price Trends'!$O$19</f>
        <v>19.24039948130255</v>
      </c>
      <c r="T254" s="240">
        <f>S254*'Imported Price Trends'!$O$19</f>
        <v>20.671578166536026</v>
      </c>
      <c r="U254" s="240">
        <f>T254*'Imported Price Trends'!$O$19</f>
        <v>22.209213707359069</v>
      </c>
      <c r="V254" s="240">
        <f>U254*'Imported Price Trends'!$O$19</f>
        <v>23.861224795000769</v>
      </c>
      <c r="W254" s="219"/>
      <c r="X254" s="195">
        <f t="array" ref="X254">SUMIFS('Agg prdcrv NYC'!$G$6:$G$100,'Agg prdcrv NYC'!$A$6:$A$100,'Imp Refined NYC'!$A254,'Agg prdcrv NYC'!$B$6:$B$100,X$11)</f>
        <v>0</v>
      </c>
      <c r="Y254" s="195">
        <f t="array" ref="Y254">SUMIFS('Agg prdcrv NYC'!$G$6:$G$100,'Agg prdcrv NYC'!$A$6:$A$100,'Imp Refined NYC'!$A254,'Agg prdcrv NYC'!$B$6:$B$100,Y$11)</f>
        <v>0</v>
      </c>
      <c r="Z254" s="195">
        <f t="array" ref="Z254">SUMIFS('Agg prdcrv NYC'!$G$6:$G$100,'Agg prdcrv NYC'!$A$6:$A$100,'Imp Refined NYC'!$A254,'Agg prdcrv NYC'!$B$6:$B$100,Z$11)</f>
        <v>0</v>
      </c>
      <c r="AA254" s="195">
        <f t="array" ref="AA254">SUMIFS('Agg prdcrv NYC'!$G$6:$G$100,'Agg prdcrv NYC'!$A$6:$A$100,'Imp Refined NYC'!$A254,'Agg prdcrv NYC'!$B$6:$B$100,AA$11)</f>
        <v>0</v>
      </c>
      <c r="AB254" s="219">
        <f>X254*VLOOKUP($B254,Types!$B$2:$D$13,3,FALSE)*Conv!$I$5*1000*365</f>
        <v>0</v>
      </c>
      <c r="AC254" s="219">
        <f>Y254*VLOOKUP($B254,Types!$B$2:$D$13,3,FALSE)*Conv!$I$5*1000*365</f>
        <v>0</v>
      </c>
      <c r="AD254" s="219">
        <f>Z254*VLOOKUP($B254,Types!$B$2:$D$13,3,FALSE)*Conv!$I$5*1000*365</f>
        <v>0</v>
      </c>
      <c r="AE254" s="219">
        <f>AA254*VLOOKUP($B254,Types!$B$2:$D$13,3,FALSE)*Conv!$I$5*1000*365</f>
        <v>0</v>
      </c>
      <c r="AF254" s="219">
        <f>AB254-AB256</f>
        <v>0</v>
      </c>
      <c r="AG254" s="219">
        <f t="shared" ref="AG254:AI254" si="654">AC254-AC256</f>
        <v>0</v>
      </c>
      <c r="AH254" s="219">
        <f t="shared" si="654"/>
        <v>0</v>
      </c>
      <c r="AI254" s="219">
        <f t="shared" si="654"/>
        <v>0</v>
      </c>
      <c r="AJ254" s="219"/>
      <c r="AK254" s="219"/>
      <c r="AL254" s="219"/>
    </row>
    <row r="255" spans="1:38">
      <c r="A255" s="195" t="str">
        <f>A254</f>
        <v>ULS Diesel (15 ppm)</v>
      </c>
      <c r="B255" s="195" t="str">
        <f>VLOOKUP($A255,Types!$A$2:$C$13,2,FALSE)</f>
        <v>DSU</v>
      </c>
      <c r="C255" s="195">
        <v>1</v>
      </c>
      <c r="D255" s="195">
        <v>4</v>
      </c>
      <c r="E255" s="195" t="str">
        <f t="shared" si="626"/>
        <v>IMPDSUP41</v>
      </c>
      <c r="F255" s="195" t="str">
        <f>CONCATENATE("Imported ",VLOOKUP($A255,Types!$A$2:$C$13,3,FALSE),", PADD ",D255,", Step ",RIGHT(C255,1))</f>
        <v>Imported Distillate-Ultralow Sulfur Highway Diesel (15 ppm), PADD 4, Step 1</v>
      </c>
      <c r="G255" s="195" t="str">
        <f>CONCATENATE(VLOOKUP($A255,Types!$A$2:$C$13,2,FALSE),"P",D255)</f>
        <v>DSUP4</v>
      </c>
      <c r="H255" s="239">
        <f>H254*$C$5</f>
        <v>71.467550000000003</v>
      </c>
      <c r="I255" s="239">
        <f t="shared" ref="I255:K255" si="655">I254*$C$5</f>
        <v>52.114149999999995</v>
      </c>
      <c r="J255" s="239">
        <f t="shared" si="655"/>
        <v>41.3155</v>
      </c>
      <c r="K255" s="239">
        <f t="shared" si="655"/>
        <v>42.521999999999998</v>
      </c>
      <c r="L255" s="240">
        <f>H255*Conv!$J$20/10^6/VLOOKUP($B255,Types!$B$2:$D$13,3,FALSE)/Conv!$I$5</f>
        <v>17.844354798108021</v>
      </c>
      <c r="M255" s="240">
        <f>I255*Conv!$J$20/10^6/VLOOKUP($B255,Types!$B$2:$D$13,3,FALSE)/Conv!$I$5</f>
        <v>13.012106649826684</v>
      </c>
      <c r="N255" s="240">
        <f>M255*'Imported Price Trends'!$K$19</f>
        <v>14.010744949316889</v>
      </c>
      <c r="O255" s="240">
        <f>N255*'Imported Price Trends'!$L$19</f>
        <v>13.877529785540453</v>
      </c>
      <c r="P255" s="240">
        <f>O255*'Imported Price Trends'!$M$19</f>
        <v>14.974829346665393</v>
      </c>
      <c r="Q255" s="240">
        <f>P255*'Imported Price Trends'!$N$19</f>
        <v>15.835019115222929</v>
      </c>
      <c r="R255" s="240">
        <f>Q255*'Imported Price Trends'!$O$19</f>
        <v>17.012891843904832</v>
      </c>
      <c r="S255" s="240">
        <f>R255*'Imported Price Trends'!$O$19</f>
        <v>18.278379507237418</v>
      </c>
      <c r="T255" s="240">
        <f>S255*'Imported Price Trends'!$O$19</f>
        <v>19.63799925820922</v>
      </c>
      <c r="U255" s="240">
        <f>T255*'Imported Price Trends'!$O$19</f>
        <v>21.098753021991111</v>
      </c>
      <c r="V255" s="240">
        <f>U255*'Imported Price Trends'!$O$19</f>
        <v>22.668163555250729</v>
      </c>
      <c r="W255" s="219"/>
      <c r="X255" s="195">
        <f>X254*$E$5</f>
        <v>0</v>
      </c>
      <c r="Y255" s="195">
        <f t="shared" ref="Y255:AA255" si="656">Y254*$E$5</f>
        <v>0</v>
      </c>
      <c r="Z255" s="195">
        <f t="shared" si="656"/>
        <v>0</v>
      </c>
      <c r="AA255" s="195">
        <f t="shared" si="656"/>
        <v>0</v>
      </c>
      <c r="AB255" s="219">
        <f>X255*VLOOKUP($B255,Types!$B$2:$D$13,3,FALSE)*Conv!$I$5*1000*365</f>
        <v>0</v>
      </c>
      <c r="AC255" s="219">
        <f>Y255*VLOOKUP($B255,Types!$B$2:$D$13,3,FALSE)*Conv!$I$5*1000*365</f>
        <v>0</v>
      </c>
      <c r="AD255" s="219">
        <f>Z255*VLOOKUP($B255,Types!$B$2:$D$13,3,FALSE)*Conv!$I$5*1000*365</f>
        <v>0</v>
      </c>
      <c r="AE255" s="219">
        <f>AA255*VLOOKUP($B255,Types!$B$2:$D$13,3,FALSE)*Conv!$I$5*1000*365</f>
        <v>0</v>
      </c>
      <c r="AF255" s="219">
        <f>AB255</f>
        <v>0</v>
      </c>
      <c r="AG255" s="219">
        <f t="shared" ref="AG255:AI255" si="657">AC255</f>
        <v>0</v>
      </c>
      <c r="AH255" s="219">
        <f t="shared" si="657"/>
        <v>0</v>
      </c>
      <c r="AI255" s="219">
        <f t="shared" si="657"/>
        <v>0</v>
      </c>
      <c r="AJ255" s="219"/>
      <c r="AK255" s="219"/>
      <c r="AL255" s="219"/>
    </row>
    <row r="256" spans="1:38">
      <c r="A256" s="195" t="str">
        <f t="shared" ref="A256:A258" si="658">A255</f>
        <v>ULS Diesel (15 ppm)</v>
      </c>
      <c r="B256" s="195" t="str">
        <f>VLOOKUP($A256,Types!$A$2:$C$13,2,FALSE)</f>
        <v>DSU</v>
      </c>
      <c r="C256" s="195">
        <v>2</v>
      </c>
      <c r="D256" s="195">
        <v>4</v>
      </c>
      <c r="E256" s="195" t="str">
        <f t="shared" si="626"/>
        <v>IMPDSUP42</v>
      </c>
      <c r="F256" s="195" t="str">
        <f>CONCATENATE("Imported ",VLOOKUP($A256,Types!$A$2:$C$13,3,FALSE),", PADD ",D256,", Step ",RIGHT(C256,1))</f>
        <v>Imported Distillate-Ultralow Sulfur Highway Diesel (15 ppm), PADD 4, Step 2</v>
      </c>
      <c r="G256" s="195" t="str">
        <f>CONCATENATE(VLOOKUP($A256,Types!$A$2:$C$13,2,FALSE),"P",D256)</f>
        <v>DSUP4</v>
      </c>
      <c r="H256" s="239">
        <f>H254*$C$6</f>
        <v>73.724420000000009</v>
      </c>
      <c r="I256" s="239">
        <f t="shared" ref="I256:K256" si="659">I254*$C$6</f>
        <v>53.759859999999996</v>
      </c>
      <c r="J256" s="239">
        <f t="shared" si="659"/>
        <v>42.620200000000004</v>
      </c>
      <c r="K256" s="239">
        <f t="shared" si="659"/>
        <v>43.864799999999995</v>
      </c>
      <c r="L256" s="240">
        <f>H256*Conv!$J$20/10^6/VLOOKUP($B256,Types!$B$2:$D$13,3,FALSE)/Conv!$I$5</f>
        <v>18.407860739100908</v>
      </c>
      <c r="M256" s="240">
        <f>I256*Conv!$J$20/10^6/VLOOKUP($B256,Types!$B$2:$D$13,3,FALSE)/Conv!$I$5</f>
        <v>13.423015280873843</v>
      </c>
      <c r="N256" s="240">
        <f>M256*'Imported Price Trends'!$K$19</f>
        <v>14.453189526663738</v>
      </c>
      <c r="O256" s="240">
        <f>N256*'Imported Price Trends'!$L$19</f>
        <v>14.31576756824173</v>
      </c>
      <c r="P256" s="240">
        <f>O256*'Imported Price Trends'!$M$19</f>
        <v>15.447718694454826</v>
      </c>
      <c r="Q256" s="240">
        <f>P256*'Imported Price Trends'!$N$19</f>
        <v>16.335072350440495</v>
      </c>
      <c r="R256" s="240">
        <f>Q256*'Imported Price Trends'!$O$19</f>
        <v>17.550141060028142</v>
      </c>
      <c r="S256" s="240">
        <f>R256*'Imported Price Trends'!$O$19</f>
        <v>18.855591491676492</v>
      </c>
      <c r="T256" s="240">
        <f>S256*'Imported Price Trends'!$O$19</f>
        <v>20.258146603205297</v>
      </c>
      <c r="U256" s="240">
        <f>T256*'Imported Price Trends'!$O$19</f>
        <v>21.765029433211879</v>
      </c>
      <c r="V256" s="240">
        <f>U256*'Imported Price Trends'!$O$19</f>
        <v>23.384000299100745</v>
      </c>
      <c r="W256" s="219"/>
      <c r="X256" s="195">
        <f>X254*$E$6</f>
        <v>0</v>
      </c>
      <c r="Y256" s="195">
        <f t="shared" ref="Y256:AA256" si="660">Y254*$E$6</f>
        <v>0</v>
      </c>
      <c r="Z256" s="195">
        <f t="shared" si="660"/>
        <v>0</v>
      </c>
      <c r="AA256" s="195">
        <f t="shared" si="660"/>
        <v>0</v>
      </c>
      <c r="AB256" s="219">
        <f>X256*VLOOKUP($B256,Types!$B$2:$D$13,3,FALSE)*Conv!$I$5*1000*365</f>
        <v>0</v>
      </c>
      <c r="AC256" s="219">
        <f>Y256*VLOOKUP($B256,Types!$B$2:$D$13,3,FALSE)*Conv!$I$5*1000*365</f>
        <v>0</v>
      </c>
      <c r="AD256" s="219">
        <f>Z256*VLOOKUP($B256,Types!$B$2:$D$13,3,FALSE)*Conv!$I$5*1000*365</f>
        <v>0</v>
      </c>
      <c r="AE256" s="219">
        <f>AA256*VLOOKUP($B256,Types!$B$2:$D$13,3,FALSE)*Conv!$I$5*1000*365</f>
        <v>0</v>
      </c>
      <c r="AF256" s="219">
        <f>AB256-AF255</f>
        <v>0</v>
      </c>
      <c r="AG256" s="219">
        <f t="shared" ref="AG256:AI256" si="661">AC256-AG255</f>
        <v>0</v>
      </c>
      <c r="AH256" s="219">
        <f t="shared" si="661"/>
        <v>0</v>
      </c>
      <c r="AI256" s="219">
        <f t="shared" si="661"/>
        <v>0</v>
      </c>
      <c r="AJ256" s="219"/>
      <c r="AK256" s="219"/>
      <c r="AL256" s="219"/>
    </row>
    <row r="257" spans="1:38">
      <c r="A257" s="195" t="str">
        <f t="shared" si="658"/>
        <v>ULS Diesel (15 ppm)</v>
      </c>
      <c r="B257" s="195" t="str">
        <f>VLOOKUP($A257,Types!$A$2:$C$13,2,FALSE)</f>
        <v>DSU</v>
      </c>
      <c r="C257" s="195">
        <v>4</v>
      </c>
      <c r="D257" s="195">
        <v>4</v>
      </c>
      <c r="E257" s="195" t="str">
        <f t="shared" si="626"/>
        <v>IMPDSUP44</v>
      </c>
      <c r="F257" s="195" t="str">
        <f>CONCATENATE("Imported ",VLOOKUP($A257,Types!$A$2:$C$13,3,FALSE),", PADD ",D257,", Step ",RIGHT(C257,1))</f>
        <v>Imported Distillate-Ultralow Sulfur Highway Diesel (15 ppm), PADD 4, Step 4</v>
      </c>
      <c r="G257" s="195" t="str">
        <f>CONCATENATE(VLOOKUP($A257,Types!$A$2:$C$13,2,FALSE),"P",D257)</f>
        <v>DSUP4</v>
      </c>
      <c r="H257" s="239">
        <f>H254*$C$8</f>
        <v>81.999610000000018</v>
      </c>
      <c r="I257" s="239">
        <f t="shared" ref="I257:K257" si="662">I254*$C$8</f>
        <v>59.794130000000003</v>
      </c>
      <c r="J257" s="239">
        <f t="shared" si="662"/>
        <v>47.404100000000007</v>
      </c>
      <c r="K257" s="239">
        <f t="shared" si="662"/>
        <v>48.788400000000003</v>
      </c>
      <c r="L257" s="240">
        <f>H257*Conv!$J$20/10^6/VLOOKUP($B257,Types!$B$2:$D$13,3,FALSE)/Conv!$I$5</f>
        <v>20.474049189408159</v>
      </c>
      <c r="M257" s="240">
        <f>I257*Conv!$J$20/10^6/VLOOKUP($B257,Types!$B$2:$D$13,3,FALSE)/Conv!$I$5</f>
        <v>14.929680261380094</v>
      </c>
      <c r="N257" s="240">
        <f>M257*'Imported Price Trends'!$K$19</f>
        <v>16.075486310268854</v>
      </c>
      <c r="O257" s="240">
        <f>N257*'Imported Price Trends'!$L$19</f>
        <v>15.922639438146415</v>
      </c>
      <c r="P257" s="240">
        <f>O257*'Imported Price Trends'!$M$19</f>
        <v>17.181646303016084</v>
      </c>
      <c r="Q257" s="240">
        <f>P257*'Imported Price Trends'!$N$19</f>
        <v>18.168600879571571</v>
      </c>
      <c r="R257" s="240">
        <f>Q257*'Imported Price Trends'!$O$19</f>
        <v>19.520054852480282</v>
      </c>
      <c r="S257" s="240">
        <f>R257*'Imported Price Trends'!$O$19</f>
        <v>20.972035434619773</v>
      </c>
      <c r="T257" s="240">
        <f>S257*'Imported Price Trends'!$O$19</f>
        <v>22.532020201524261</v>
      </c>
      <c r="U257" s="240">
        <f>T257*'Imported Price Trends'!$O$19</f>
        <v>24.208042941021379</v>
      </c>
      <c r="V257" s="240">
        <f>U257*'Imported Price Trends'!$O$19</f>
        <v>26.008735026550834</v>
      </c>
      <c r="W257" s="219"/>
      <c r="X257" s="195">
        <f>X254*$E$8</f>
        <v>0</v>
      </c>
      <c r="Y257" s="195">
        <f t="shared" ref="Y257:AA257" si="663">Y254*$E$8</f>
        <v>0</v>
      </c>
      <c r="Z257" s="195">
        <f t="shared" si="663"/>
        <v>0</v>
      </c>
      <c r="AA257" s="195">
        <f t="shared" si="663"/>
        <v>0</v>
      </c>
      <c r="AB257" s="219">
        <f>X257*VLOOKUP($B257,Types!$B$2:$D$13,3,FALSE)*Conv!$I$5*1000*365</f>
        <v>0</v>
      </c>
      <c r="AC257" s="219">
        <f>Y257*VLOOKUP($B257,Types!$B$2:$D$13,3,FALSE)*Conv!$I$5*1000*365</f>
        <v>0</v>
      </c>
      <c r="AD257" s="219">
        <f>Z257*VLOOKUP($B257,Types!$B$2:$D$13,3,FALSE)*Conv!$I$5*1000*365</f>
        <v>0</v>
      </c>
      <c r="AE257" s="219">
        <f>AA257*VLOOKUP($B257,Types!$B$2:$D$13,3,FALSE)*Conv!$I$5*1000*365</f>
        <v>0</v>
      </c>
      <c r="AF257" s="219">
        <f>AB257-AB254</f>
        <v>0</v>
      </c>
      <c r="AG257" s="219">
        <f t="shared" ref="AG257:AI257" si="664">AC257-AC254</f>
        <v>0</v>
      </c>
      <c r="AH257" s="219">
        <f t="shared" si="664"/>
        <v>0</v>
      </c>
      <c r="AI257" s="219">
        <f t="shared" si="664"/>
        <v>0</v>
      </c>
      <c r="AJ257" s="219"/>
      <c r="AK257" s="219"/>
      <c r="AL257" s="219"/>
    </row>
    <row r="258" spans="1:38">
      <c r="A258" s="195" t="str">
        <f t="shared" si="658"/>
        <v>ULS Diesel (15 ppm)</v>
      </c>
      <c r="B258" s="195" t="str">
        <f>VLOOKUP($A258,Types!$A$2:$C$13,2,FALSE)</f>
        <v>DSU</v>
      </c>
      <c r="C258" s="195">
        <v>5</v>
      </c>
      <c r="D258" s="195">
        <v>4</v>
      </c>
      <c r="E258" s="195" t="str">
        <f t="shared" si="626"/>
        <v>IMPDSUP45</v>
      </c>
      <c r="F258" s="195" t="str">
        <f>CONCATENATE("Imported ",VLOOKUP($A258,Types!$A$2:$C$13,3,FALSE),", PADD ",D258,", Step ",RIGHT(C258,1))</f>
        <v>Imported Distillate-Ultralow Sulfur Highway Diesel (15 ppm), PADD 4, Step 5</v>
      </c>
      <c r="G258" s="195" t="str">
        <f>CONCATENATE(VLOOKUP($A258,Types!$A$2:$C$13,2,FALSE),"P",D258)</f>
        <v>DSUP4</v>
      </c>
      <c r="H258" s="239">
        <f>H254*$C$9</f>
        <v>97.79770000000002</v>
      </c>
      <c r="I258" s="239">
        <f t="shared" ref="I258:K258" si="665">I254*$C$9</f>
        <v>71.314099999999996</v>
      </c>
      <c r="J258" s="239">
        <f t="shared" si="665"/>
        <v>56.537000000000006</v>
      </c>
      <c r="K258" s="239">
        <f t="shared" si="665"/>
        <v>58.188000000000002</v>
      </c>
      <c r="L258" s="240">
        <f>H258*Conv!$J$20/10^6/VLOOKUP($B258,Types!$B$2:$D$13,3,FALSE)/Conv!$I$5</f>
        <v>24.418590776358354</v>
      </c>
      <c r="M258" s="240">
        <f>I258*Conv!$J$20/10^6/VLOOKUP($B258,Types!$B$2:$D$13,3,FALSE)/Conv!$I$5</f>
        <v>17.806040678710204</v>
      </c>
      <c r="N258" s="240">
        <f>M258*'Imported Price Trends'!$K$19</f>
        <v>19.172598351696799</v>
      </c>
      <c r="O258" s="240">
        <f>N258*'Imported Price Trends'!$L$19</f>
        <v>18.99030391705536</v>
      </c>
      <c r="P258" s="240">
        <f>O258*'Imported Price Trends'!$M$19</f>
        <v>20.49187173754212</v>
      </c>
      <c r="Q258" s="240">
        <f>P258*'Imported Price Trends'!$N$19</f>
        <v>21.668973526094536</v>
      </c>
      <c r="R258" s="240">
        <f>Q258*'Imported Price Trends'!$O$19</f>
        <v>23.280799365343455</v>
      </c>
      <c r="S258" s="240">
        <f>R258*'Imported Price Trends'!$O$19</f>
        <v>25.012519325693308</v>
      </c>
      <c r="T258" s="240">
        <f>S258*'Imported Price Trends'!$O$19</f>
        <v>26.873051616496827</v>
      </c>
      <c r="U258" s="240">
        <f>T258*'Imported Price Trends'!$O$19</f>
        <v>28.871977819566784</v>
      </c>
      <c r="V258" s="240">
        <f>U258*'Imported Price Trends'!$O$19</f>
        <v>31.019592233500994</v>
      </c>
      <c r="W258" s="219"/>
      <c r="X258" s="195">
        <f>X254*$E$9</f>
        <v>0</v>
      </c>
      <c r="Y258" s="195">
        <f t="shared" ref="Y258:AA258" si="666">Y254*$E$9</f>
        <v>0</v>
      </c>
      <c r="Z258" s="195">
        <f t="shared" si="666"/>
        <v>0</v>
      </c>
      <c r="AA258" s="195">
        <f t="shared" si="666"/>
        <v>0</v>
      </c>
      <c r="AB258" s="219">
        <f>X258*VLOOKUP($B258,Types!$B$2:$D$13,3,FALSE)*Conv!$I$5*1000*365</f>
        <v>0</v>
      </c>
      <c r="AC258" s="219">
        <f>Y258*VLOOKUP($B258,Types!$B$2:$D$13,3,FALSE)*Conv!$I$5*1000*365</f>
        <v>0</v>
      </c>
      <c r="AD258" s="219">
        <f>Z258*VLOOKUP($B258,Types!$B$2:$D$13,3,FALSE)*Conv!$I$5*1000*365</f>
        <v>0</v>
      </c>
      <c r="AE258" s="219">
        <f>AA258*VLOOKUP($B258,Types!$B$2:$D$13,3,FALSE)*Conv!$I$5*1000*365</f>
        <v>0</v>
      </c>
      <c r="AF258" s="219">
        <f>AB258-AB257</f>
        <v>0</v>
      </c>
      <c r="AG258" s="219">
        <f t="shared" ref="AG258:AI258" si="667">AC258-AC257</f>
        <v>0</v>
      </c>
      <c r="AH258" s="219">
        <f t="shared" si="667"/>
        <v>0</v>
      </c>
      <c r="AI258" s="219">
        <f t="shared" si="667"/>
        <v>0</v>
      </c>
      <c r="AJ258" s="219"/>
      <c r="AK258" s="219"/>
      <c r="AL258" s="219"/>
    </row>
    <row r="259" spans="1:38">
      <c r="A259" s="195" t="s">
        <v>588</v>
      </c>
      <c r="H259" s="239"/>
      <c r="I259" s="239"/>
      <c r="J259" s="239"/>
      <c r="K259" s="239"/>
      <c r="L259" s="240"/>
      <c r="M259" s="240"/>
      <c r="N259" s="240"/>
      <c r="O259" s="240"/>
      <c r="P259" s="240"/>
      <c r="Q259" s="240"/>
      <c r="R259" s="240"/>
      <c r="S259" s="240"/>
      <c r="T259" s="240"/>
      <c r="U259" s="240"/>
      <c r="V259" s="240"/>
      <c r="W259" s="219"/>
      <c r="AB259" s="219"/>
      <c r="AC259" s="219"/>
      <c r="AD259" s="219"/>
      <c r="AE259" s="219"/>
      <c r="AF259" s="219"/>
      <c r="AG259" s="219"/>
      <c r="AH259" s="219"/>
      <c r="AI259" s="219"/>
      <c r="AJ259" s="219"/>
      <c r="AK259" s="219"/>
      <c r="AL259" s="219"/>
    </row>
    <row r="260" spans="1:38" s="202" customFormat="1">
      <c r="A260" s="202" t="s">
        <v>728</v>
      </c>
      <c r="H260" s="241"/>
      <c r="I260" s="241"/>
      <c r="J260" s="241"/>
      <c r="K260" s="241"/>
      <c r="L260" s="242"/>
      <c r="M260" s="242"/>
      <c r="N260" s="242"/>
      <c r="O260" s="242"/>
      <c r="P260" s="242"/>
      <c r="Q260" s="242"/>
      <c r="R260" s="242"/>
      <c r="S260" s="242"/>
      <c r="T260" s="242"/>
      <c r="U260" s="242"/>
      <c r="V260" s="242"/>
    </row>
    <row r="261" spans="1:38">
      <c r="A261" s="195" t="str">
        <f>'Agg prdcrv'!$A$6</f>
        <v>Reformulated Mogas</v>
      </c>
      <c r="B261" s="195" t="str">
        <f>VLOOKUP($A261,Types!$A$2:$C$13,2,FALSE)</f>
        <v>GSR</v>
      </c>
      <c r="C261" s="195">
        <v>3</v>
      </c>
      <c r="D261" s="195">
        <v>5</v>
      </c>
      <c r="E261" s="195" t="str">
        <f t="shared" ref="E261:E304" si="668">CONCATENATE("IMP",G261,RIGHT(C261,1))</f>
        <v>IMPGSRP53</v>
      </c>
      <c r="F261" s="195" t="str">
        <f>CONCATENATE("Imported ",VLOOKUP($A261,Types!$A$2:$C$13,3,FALSE),", PADD ",D261,", Step ",RIGHT(C261,1))</f>
        <v>Imported Reformulated Gasoline, PADD 5, Step 3</v>
      </c>
      <c r="G261" s="195" t="str">
        <f>CONCATENATE(VLOOKUP($A261,Types!$A$2:$C$13,2,FALSE),"P",D261)</f>
        <v>GSRP5</v>
      </c>
      <c r="H261" s="239">
        <f>SUMIFS('Agg prdcrv NYC'!$P$6:$P$100,'Agg prdcrv NYC'!$A$6:$A$100,'Imp Refined NYC'!$A261,'Agg prdcrv NYC'!$B$6:$B$100,H$11)*K4</f>
        <v>39.479000000000006</v>
      </c>
      <c r="I261" s="239">
        <f>SUMIFS('Agg prdcrv NYC'!$P$6:$P$100,'Agg prdcrv NYC'!$A$6:$A$100,'Imp Refined NYC'!$A261,'Agg prdcrv NYC'!$B$6:$B$100,I$11)*K4</f>
        <v>124.85000000000001</v>
      </c>
      <c r="J261" s="239">
        <f t="array" ref="J261">SUMIFS('Agg prdcrv NYC'!$P$6:$P$100,'Agg prdcrv NYC'!$A$6:$A$100,'Imp Refined NYC'!$A261,'Agg prdcrv NYC'!$B$6:$B$100,J$11)</f>
        <v>113.5</v>
      </c>
      <c r="K261" s="239">
        <f t="array" ref="K261">SUMIFS('Agg prdcrv NYC'!$P$6:$P$100,'Agg prdcrv NYC'!$A$6:$A$100,'Imp Refined NYC'!$A261,'Agg prdcrv NYC'!$B$6:$B$100,K$11)</f>
        <v>113.5</v>
      </c>
      <c r="L261" s="240">
        <f>H261*Conv!$J$20/10^6/VLOOKUP($B261,Types!$B$2:$D$13,3,FALSE)/Conv!$I$5</f>
        <v>11.149279417780168</v>
      </c>
      <c r="M261" s="240">
        <f>I261*Conv!$J$20/10^6/VLOOKUP($B261,Types!$B$2:$D$13,3,FALSE)/Conv!$I$5</f>
        <v>35.258936024465008</v>
      </c>
      <c r="N261" s="240">
        <f>M261*'Imported Price Trends'!$K$19</f>
        <v>37.964948575766577</v>
      </c>
      <c r="O261" s="240">
        <f>N261*'Imported Price Trends'!$L$19</f>
        <v>37.603975132842592</v>
      </c>
      <c r="P261" s="240">
        <f>O261*'Imported Price Trends'!$M$19</f>
        <v>40.577330337081797</v>
      </c>
      <c r="Q261" s="240">
        <f>P261*'Imported Price Trends'!$N$19</f>
        <v>42.908188578154814</v>
      </c>
      <c r="R261" s="240">
        <f>Q261*'Imported Price Trends'!$O$19</f>
        <v>46.099873084222892</v>
      </c>
      <c r="S261" s="240">
        <f>R261*'Imported Price Trends'!$O$19</f>
        <v>49.528967984992676</v>
      </c>
      <c r="T261" s="240">
        <f>S261*'Imported Price Trends'!$O$19</f>
        <v>53.213132825261049</v>
      </c>
      <c r="U261" s="240">
        <f>T261*'Imported Price Trends'!$O$19</f>
        <v>57.171340738148714</v>
      </c>
      <c r="V261" s="240">
        <f>U261*'Imported Price Trends'!$O$19</f>
        <v>61.423976155109372</v>
      </c>
      <c r="W261" s="219"/>
      <c r="X261" s="195">
        <f t="array" ref="X261">SUMIFS('Agg prdcrv NYC'!$H$6:$H$100,'Agg prdcrv NYC'!$A$6:$A$100,'Imp Refined NYC'!$A261,'Agg prdcrv NYC'!$B$6:$B$100,X$11)</f>
        <v>6.45</v>
      </c>
      <c r="Y261" s="195">
        <f t="array" ref="Y261">SUMIFS('Agg prdcrv NYC'!$H$6:$H$100,'Agg prdcrv NYC'!$A$6:$A$100,'Imp Refined NYC'!$A261,'Agg prdcrv NYC'!$B$6:$B$100,Y$11)</f>
        <v>0</v>
      </c>
      <c r="Z261" s="195">
        <f t="array" ref="Z261">SUMIFS('Agg prdcrv NYC'!$H$6:$H$100,'Agg prdcrv NYC'!$A$6:$A$100,'Imp Refined NYC'!$A261,'Agg prdcrv NYC'!$B$6:$B$100,Z$11)</f>
        <v>0</v>
      </c>
      <c r="AA261" s="195">
        <f t="array" ref="AA261">SUMIFS('Agg prdcrv NYC'!$H$6:$H$100,'Agg prdcrv NYC'!$A$6:$A$100,'Imp Refined NYC'!$A261,'Agg prdcrv NYC'!$B$6:$B$100,AA$11)</f>
        <v>0</v>
      </c>
      <c r="AB261" s="219">
        <f>X261*VLOOKUP($B261,Types!$B$2:$D$13,3,FALSE)*Conv!$I$5*1000*365</f>
        <v>12.791907778199999</v>
      </c>
      <c r="AC261" s="219">
        <f>Y261*VLOOKUP($B261,Types!$B$2:$D$13,3,FALSE)*Conv!$I$5*1000*365</f>
        <v>0</v>
      </c>
      <c r="AD261" s="219">
        <f>Z261*VLOOKUP($B261,Types!$B$2:$D$13,3,FALSE)*Conv!$I$5*1000*365</f>
        <v>0</v>
      </c>
      <c r="AE261" s="219">
        <f>AA261*VLOOKUP($B261,Types!$B$2:$D$13,3,FALSE)*Conv!$I$5*1000*365</f>
        <v>0</v>
      </c>
      <c r="AF261" s="219">
        <f>AB261-AB263</f>
        <v>1.2791907778199967</v>
      </c>
      <c r="AG261" s="219">
        <f t="shared" ref="AG261:AI261" si="669">AC261-AC263</f>
        <v>0</v>
      </c>
      <c r="AH261" s="219">
        <f t="shared" si="669"/>
        <v>0</v>
      </c>
      <c r="AI261" s="219">
        <f t="shared" si="669"/>
        <v>0</v>
      </c>
      <c r="AJ261" s="219"/>
      <c r="AK261" s="219"/>
      <c r="AL261" s="219"/>
    </row>
    <row r="262" spans="1:38">
      <c r="A262" s="195" t="str">
        <f>A261</f>
        <v>Reformulated Mogas</v>
      </c>
      <c r="B262" s="195" t="str">
        <f>VLOOKUP($A262,Types!$A$2:$C$13,2,FALSE)</f>
        <v>GSR</v>
      </c>
      <c r="C262" s="195">
        <v>1</v>
      </c>
      <c r="D262" s="195">
        <v>5</v>
      </c>
      <c r="E262" s="195" t="str">
        <f t="shared" si="668"/>
        <v>IMPGSRP51</v>
      </c>
      <c r="F262" s="195" t="str">
        <f>CONCATENATE("Imported ",VLOOKUP($A262,Types!$A$2:$C$13,3,FALSE),", PADD ",D262,", Step ",RIGHT(C262,1))</f>
        <v>Imported Reformulated Gasoline, PADD 5, Step 1</v>
      </c>
      <c r="G262" s="195" t="str">
        <f>CONCATENATE(VLOOKUP($A262,Types!$A$2:$C$13,2,FALSE),"P",D262)</f>
        <v>GSRP5</v>
      </c>
      <c r="H262" s="239">
        <f>H261*$C$5</f>
        <v>37.505050000000004</v>
      </c>
      <c r="I262" s="239">
        <f t="shared" ref="I262:K262" si="670">I261*$C$5</f>
        <v>118.6075</v>
      </c>
      <c r="J262" s="239">
        <f t="shared" si="670"/>
        <v>107.82499999999999</v>
      </c>
      <c r="K262" s="239">
        <f t="shared" si="670"/>
        <v>107.82499999999999</v>
      </c>
      <c r="L262" s="240">
        <f>H262*Conv!$J$20/10^6/VLOOKUP($B262,Types!$B$2:$D$13,3,FALSE)/Conv!$I$5</f>
        <v>10.591815446891161</v>
      </c>
      <c r="M262" s="240">
        <f>I262*Conv!$J$20/10^6/VLOOKUP($B262,Types!$B$2:$D$13,3,FALSE)/Conv!$I$5</f>
        <v>33.495989223241757</v>
      </c>
      <c r="N262" s="240">
        <f>M262*'Imported Price Trends'!$K$19</f>
        <v>36.066701146978247</v>
      </c>
      <c r="O262" s="240">
        <f>N262*'Imported Price Trends'!$L$19</f>
        <v>35.723776376200462</v>
      </c>
      <c r="P262" s="240">
        <f>O262*'Imported Price Trends'!$M$19</f>
        <v>38.54846382022771</v>
      </c>
      <c r="Q262" s="240">
        <f>P262*'Imported Price Trends'!$N$19</f>
        <v>40.762779149247073</v>
      </c>
      <c r="R262" s="240">
        <f>Q262*'Imported Price Trends'!$O$19</f>
        <v>43.794879430011747</v>
      </c>
      <c r="S262" s="240">
        <f>R262*'Imported Price Trends'!$O$19</f>
        <v>47.052519585743042</v>
      </c>
      <c r="T262" s="240">
        <f>S262*'Imported Price Trends'!$O$19</f>
        <v>50.552476183997996</v>
      </c>
      <c r="U262" s="240">
        <f>T262*'Imported Price Trends'!$O$19</f>
        <v>54.312773701241277</v>
      </c>
      <c r="V262" s="240">
        <f>U262*'Imported Price Trends'!$O$19</f>
        <v>58.3527773473539</v>
      </c>
      <c r="W262" s="219"/>
      <c r="X262" s="195">
        <f>X261*$E$5</f>
        <v>5.16</v>
      </c>
      <c r="Y262" s="195">
        <f t="shared" ref="Y262:AA262" si="671">Y261*$E$5</f>
        <v>0</v>
      </c>
      <c r="Z262" s="195">
        <f t="shared" si="671"/>
        <v>0</v>
      </c>
      <c r="AA262" s="195">
        <f t="shared" si="671"/>
        <v>0</v>
      </c>
      <c r="AB262" s="219">
        <f>X262*VLOOKUP($B262,Types!$B$2:$D$13,3,FALSE)*Conv!$I$5*1000*365</f>
        <v>10.23352622256</v>
      </c>
      <c r="AC262" s="219">
        <f>Y262*VLOOKUP($B262,Types!$B$2:$D$13,3,FALSE)*Conv!$I$5*1000*365</f>
        <v>0</v>
      </c>
      <c r="AD262" s="219">
        <f>Z262*VLOOKUP($B262,Types!$B$2:$D$13,3,FALSE)*Conv!$I$5*1000*365</f>
        <v>0</v>
      </c>
      <c r="AE262" s="219">
        <f>AA262*VLOOKUP($B262,Types!$B$2:$D$13,3,FALSE)*Conv!$I$5*1000*365</f>
        <v>0</v>
      </c>
      <c r="AF262" s="219">
        <f>AB262</f>
        <v>10.23352622256</v>
      </c>
      <c r="AG262" s="219">
        <f t="shared" ref="AG262:AI262" si="672">AC262</f>
        <v>0</v>
      </c>
      <c r="AH262" s="219">
        <f t="shared" si="672"/>
        <v>0</v>
      </c>
      <c r="AI262" s="219">
        <f t="shared" si="672"/>
        <v>0</v>
      </c>
      <c r="AJ262" s="219"/>
      <c r="AK262" s="219"/>
      <c r="AL262" s="219"/>
    </row>
    <row r="263" spans="1:38">
      <c r="A263" s="195" t="str">
        <f t="shared" ref="A263:A265" si="673">A262</f>
        <v>Reformulated Mogas</v>
      </c>
      <c r="B263" s="195" t="str">
        <f>VLOOKUP($A263,Types!$A$2:$C$13,2,FALSE)</f>
        <v>GSR</v>
      </c>
      <c r="C263" s="195">
        <v>2</v>
      </c>
      <c r="D263" s="195">
        <v>5</v>
      </c>
      <c r="E263" s="195" t="str">
        <f t="shared" si="668"/>
        <v>IMPGSRP52</v>
      </c>
      <c r="F263" s="195" t="str">
        <f>CONCATENATE("Imported ",VLOOKUP($A263,Types!$A$2:$C$13,3,FALSE),", PADD ",D263,", Step ",RIGHT(C263,1))</f>
        <v>Imported Reformulated Gasoline, PADD 5, Step 2</v>
      </c>
      <c r="G263" s="195" t="str">
        <f>CONCATENATE(VLOOKUP($A263,Types!$A$2:$C$13,2,FALSE),"P",D263)</f>
        <v>GSRP5</v>
      </c>
      <c r="H263" s="239">
        <f>H261*$C$6</f>
        <v>38.689420000000005</v>
      </c>
      <c r="I263" s="239">
        <f t="shared" ref="I263:K263" si="674">I261*$C$6</f>
        <v>122.35300000000001</v>
      </c>
      <c r="J263" s="239">
        <f t="shared" si="674"/>
        <v>111.23</v>
      </c>
      <c r="K263" s="239">
        <f t="shared" si="674"/>
        <v>111.23</v>
      </c>
      <c r="L263" s="240">
        <f>H263*Conv!$J$20/10^6/VLOOKUP($B263,Types!$B$2:$D$13,3,FALSE)/Conv!$I$5</f>
        <v>10.926293829424566</v>
      </c>
      <c r="M263" s="240">
        <f>I263*Conv!$J$20/10^6/VLOOKUP($B263,Types!$B$2:$D$13,3,FALSE)/Conv!$I$5</f>
        <v>34.553757303975701</v>
      </c>
      <c r="N263" s="240">
        <f>M263*'Imported Price Trends'!$K$19</f>
        <v>37.205649604251242</v>
      </c>
      <c r="O263" s="240">
        <f>N263*'Imported Price Trends'!$L$19</f>
        <v>36.851895630185737</v>
      </c>
      <c r="P263" s="240">
        <f>O263*'Imported Price Trends'!$M$19</f>
        <v>39.765783730340161</v>
      </c>
      <c r="Q263" s="240">
        <f>P263*'Imported Price Trends'!$N$19</f>
        <v>42.050024806591715</v>
      </c>
      <c r="R263" s="240">
        <f>Q263*'Imported Price Trends'!$O$19</f>
        <v>45.17787562253843</v>
      </c>
      <c r="S263" s="240">
        <f>R263*'Imported Price Trends'!$O$19</f>
        <v>48.538388625292818</v>
      </c>
      <c r="T263" s="240">
        <f>S263*'Imported Price Trends'!$O$19</f>
        <v>52.148870168755828</v>
      </c>
      <c r="U263" s="240">
        <f>T263*'Imported Price Trends'!$O$19</f>
        <v>56.027913923385739</v>
      </c>
      <c r="V263" s="240">
        <f>U263*'Imported Price Trends'!$O$19</f>
        <v>60.195496632007185</v>
      </c>
      <c r="W263" s="219"/>
      <c r="X263" s="195">
        <f>X261*$E$6</f>
        <v>5.8050000000000006</v>
      </c>
      <c r="Y263" s="195">
        <f t="shared" ref="Y263:AA263" si="675">Y261*$E$6</f>
        <v>0</v>
      </c>
      <c r="Z263" s="195">
        <f t="shared" si="675"/>
        <v>0</v>
      </c>
      <c r="AA263" s="195">
        <f t="shared" si="675"/>
        <v>0</v>
      </c>
      <c r="AB263" s="219">
        <f>X263*VLOOKUP($B263,Types!$B$2:$D$13,3,FALSE)*Conv!$I$5*1000*365</f>
        <v>11.512717000380002</v>
      </c>
      <c r="AC263" s="219">
        <f>Y263*VLOOKUP($B263,Types!$B$2:$D$13,3,FALSE)*Conv!$I$5*1000*365</f>
        <v>0</v>
      </c>
      <c r="AD263" s="219">
        <f>Z263*VLOOKUP($B263,Types!$B$2:$D$13,3,FALSE)*Conv!$I$5*1000*365</f>
        <v>0</v>
      </c>
      <c r="AE263" s="219">
        <f>AA263*VLOOKUP($B263,Types!$B$2:$D$13,3,FALSE)*Conv!$I$5*1000*365</f>
        <v>0</v>
      </c>
      <c r="AF263" s="219">
        <f>AB263-AF262</f>
        <v>1.279190777820002</v>
      </c>
      <c r="AG263" s="219">
        <f t="shared" ref="AG263:AI263" si="676">AC263-AG262</f>
        <v>0</v>
      </c>
      <c r="AH263" s="219">
        <f t="shared" si="676"/>
        <v>0</v>
      </c>
      <c r="AI263" s="219">
        <f t="shared" si="676"/>
        <v>0</v>
      </c>
      <c r="AJ263" s="219"/>
      <c r="AK263" s="219"/>
      <c r="AL263" s="219"/>
    </row>
    <row r="264" spans="1:38">
      <c r="A264" s="195" t="str">
        <f t="shared" si="673"/>
        <v>Reformulated Mogas</v>
      </c>
      <c r="B264" s="195" t="str">
        <f>VLOOKUP($A264,Types!$A$2:$C$13,2,FALSE)</f>
        <v>GSR</v>
      </c>
      <c r="C264" s="195">
        <v>4</v>
      </c>
      <c r="D264" s="195">
        <v>5</v>
      </c>
      <c r="E264" s="195" t="str">
        <f t="shared" si="668"/>
        <v>IMPGSRP54</v>
      </c>
      <c r="F264" s="195" t="str">
        <f>CONCATENATE("Imported ",VLOOKUP($A264,Types!$A$2:$C$13,3,FALSE),", PADD ",D264,", Step ",RIGHT(C264,1))</f>
        <v>Imported Reformulated Gasoline, PADD 5, Step 4</v>
      </c>
      <c r="G264" s="195" t="str">
        <f>CONCATENATE(VLOOKUP($A264,Types!$A$2:$C$13,2,FALSE),"P",D264)</f>
        <v>GSRP5</v>
      </c>
      <c r="H264" s="239">
        <f>H261*$C$8</f>
        <v>43.03211000000001</v>
      </c>
      <c r="I264" s="239">
        <f t="shared" ref="I264:K264" si="677">I261*$C$8</f>
        <v>136.08650000000003</v>
      </c>
      <c r="J264" s="239">
        <f t="shared" si="677"/>
        <v>123.715</v>
      </c>
      <c r="K264" s="239">
        <f t="shared" si="677"/>
        <v>123.715</v>
      </c>
      <c r="L264" s="240">
        <f>H264*Conv!$J$20/10^6/VLOOKUP($B264,Types!$B$2:$D$13,3,FALSE)/Conv!$I$5</f>
        <v>12.152714565380384</v>
      </c>
      <c r="M264" s="240">
        <f>I264*Conv!$J$20/10^6/VLOOKUP($B264,Types!$B$2:$D$13,3,FALSE)/Conv!$I$5</f>
        <v>38.432240266666867</v>
      </c>
      <c r="N264" s="240">
        <f>M264*'Imported Price Trends'!$K$19</f>
        <v>41.381793947585578</v>
      </c>
      <c r="O264" s="240">
        <f>N264*'Imported Price Trends'!$L$19</f>
        <v>40.988332894798432</v>
      </c>
      <c r="P264" s="240">
        <f>O264*'Imported Price Trends'!$M$19</f>
        <v>44.229290067419171</v>
      </c>
      <c r="Q264" s="240">
        <f>P264*'Imported Price Trends'!$N$19</f>
        <v>46.769925550188759</v>
      </c>
      <c r="R264" s="240">
        <f>Q264*'Imported Price Trends'!$O$19</f>
        <v>50.24886166180297</v>
      </c>
      <c r="S264" s="240">
        <f>R264*'Imported Price Trends'!$O$19</f>
        <v>53.986575103642039</v>
      </c>
      <c r="T264" s="240">
        <f>S264*'Imported Price Trends'!$O$19</f>
        <v>58.002314779534572</v>
      </c>
      <c r="U264" s="240">
        <f>T264*'Imported Price Trends'!$O$19</f>
        <v>62.316761404582124</v>
      </c>
      <c r="V264" s="240">
        <f>U264*'Imported Price Trends'!$O$19</f>
        <v>66.952134009069241</v>
      </c>
      <c r="W264" s="219"/>
      <c r="X264" s="195">
        <f>X261*$E$8</f>
        <v>7.74</v>
      </c>
      <c r="Y264" s="195">
        <f t="shared" ref="Y264:AA264" si="678">Y261*$E$8</f>
        <v>0</v>
      </c>
      <c r="Z264" s="195">
        <f t="shared" si="678"/>
        <v>0</v>
      </c>
      <c r="AA264" s="195">
        <f t="shared" si="678"/>
        <v>0</v>
      </c>
      <c r="AB264" s="219">
        <f>X264*VLOOKUP($B264,Types!$B$2:$D$13,3,FALSE)*Conv!$I$5*1000*365</f>
        <v>15.350289333840001</v>
      </c>
      <c r="AC264" s="219">
        <f>Y264*VLOOKUP($B264,Types!$B$2:$D$13,3,FALSE)*Conv!$I$5*1000*365</f>
        <v>0</v>
      </c>
      <c r="AD264" s="219">
        <f>Z264*VLOOKUP($B264,Types!$B$2:$D$13,3,FALSE)*Conv!$I$5*1000*365</f>
        <v>0</v>
      </c>
      <c r="AE264" s="219">
        <f>AA264*VLOOKUP($B264,Types!$B$2:$D$13,3,FALSE)*Conv!$I$5*1000*365</f>
        <v>0</v>
      </c>
      <c r="AF264" s="219">
        <f>AB264-AB261</f>
        <v>2.5583815556400022</v>
      </c>
      <c r="AG264" s="219">
        <f t="shared" ref="AG264:AI264" si="679">AC264-AC261</f>
        <v>0</v>
      </c>
      <c r="AH264" s="219">
        <f t="shared" si="679"/>
        <v>0</v>
      </c>
      <c r="AI264" s="219">
        <f t="shared" si="679"/>
        <v>0</v>
      </c>
      <c r="AJ264" s="219"/>
      <c r="AK264" s="219"/>
      <c r="AL264" s="219"/>
    </row>
    <row r="265" spans="1:38">
      <c r="A265" s="195" t="str">
        <f t="shared" si="673"/>
        <v>Reformulated Mogas</v>
      </c>
      <c r="B265" s="195" t="str">
        <f>VLOOKUP($A265,Types!$A$2:$C$13,2,FALSE)</f>
        <v>GSR</v>
      </c>
      <c r="C265" s="195">
        <v>5</v>
      </c>
      <c r="D265" s="195">
        <v>5</v>
      </c>
      <c r="E265" s="195" t="str">
        <f t="shared" si="668"/>
        <v>IMPGSRP55</v>
      </c>
      <c r="F265" s="195" t="str">
        <f>CONCATENATE("Imported ",VLOOKUP($A265,Types!$A$2:$C$13,3,FALSE),", PADD ",D265,", Step ",RIGHT(C265,1))</f>
        <v>Imported Reformulated Gasoline, PADD 5, Step 5</v>
      </c>
      <c r="G265" s="195" t="str">
        <f>CONCATENATE(VLOOKUP($A265,Types!$A$2:$C$13,2,FALSE),"P",D265)</f>
        <v>GSRP5</v>
      </c>
      <c r="H265" s="239">
        <f>H261*$C$9</f>
        <v>51.322700000000012</v>
      </c>
      <c r="I265" s="239">
        <f t="shared" ref="I265:K265" si="680">I261*$C$9</f>
        <v>162.30500000000001</v>
      </c>
      <c r="J265" s="239">
        <f t="shared" si="680"/>
        <v>147.55000000000001</v>
      </c>
      <c r="K265" s="239">
        <f t="shared" si="680"/>
        <v>147.55000000000001</v>
      </c>
      <c r="L265" s="240">
        <f>H265*Conv!$J$20/10^6/VLOOKUP($B265,Types!$B$2:$D$13,3,FALSE)/Conv!$I$5</f>
        <v>14.494063243114219</v>
      </c>
      <c r="M265" s="240">
        <f>I265*Conv!$J$20/10^6/VLOOKUP($B265,Types!$B$2:$D$13,3,FALSE)/Conv!$I$5</f>
        <v>45.836616831804506</v>
      </c>
      <c r="N265" s="240">
        <f>M265*'Imported Price Trends'!$K$19</f>
        <v>49.354433148496547</v>
      </c>
      <c r="O265" s="240">
        <f>N265*'Imported Price Trends'!$L$19</f>
        <v>48.885167672695367</v>
      </c>
      <c r="P265" s="240">
        <f>O265*'Imported Price Trends'!$M$19</f>
        <v>52.750529438206335</v>
      </c>
      <c r="Q265" s="240">
        <f>P265*'Imported Price Trends'!$N$19</f>
        <v>55.780645151601256</v>
      </c>
      <c r="R265" s="240">
        <f>Q265*'Imported Price Trends'!$O$19</f>
        <v>59.929835009489757</v>
      </c>
      <c r="S265" s="240">
        <f>R265*'Imported Price Trends'!$O$19</f>
        <v>64.387658380490478</v>
      </c>
      <c r="T265" s="240">
        <f>S265*'Imported Price Trends'!$O$19</f>
        <v>69.177072672839373</v>
      </c>
      <c r="U265" s="240">
        <f>T265*'Imported Price Trends'!$O$19</f>
        <v>74.322742959593327</v>
      </c>
      <c r="V265" s="240">
        <f>U265*'Imported Price Trends'!$O$19</f>
        <v>79.851169001642191</v>
      </c>
      <c r="W265" s="219"/>
      <c r="X265" s="195">
        <f>X261*$E$9</f>
        <v>12.9</v>
      </c>
      <c r="Y265" s="195">
        <f t="shared" ref="Y265:AA265" si="681">Y261*$E$9</f>
        <v>0</v>
      </c>
      <c r="Z265" s="195">
        <f t="shared" si="681"/>
        <v>0</v>
      </c>
      <c r="AA265" s="195">
        <f t="shared" si="681"/>
        <v>0</v>
      </c>
      <c r="AB265" s="219">
        <f>X265*VLOOKUP($B265,Types!$B$2:$D$13,3,FALSE)*Conv!$I$5*1000*365</f>
        <v>25.583815556399998</v>
      </c>
      <c r="AC265" s="219">
        <f>Y265*VLOOKUP($B265,Types!$B$2:$D$13,3,FALSE)*Conv!$I$5*1000*365</f>
        <v>0</v>
      </c>
      <c r="AD265" s="219">
        <f>Z265*VLOOKUP($B265,Types!$B$2:$D$13,3,FALSE)*Conv!$I$5*1000*365</f>
        <v>0</v>
      </c>
      <c r="AE265" s="219">
        <f>AA265*VLOOKUP($B265,Types!$B$2:$D$13,3,FALSE)*Conv!$I$5*1000*365</f>
        <v>0</v>
      </c>
      <c r="AF265" s="219">
        <f>AB265-AB264</f>
        <v>10.233526222559997</v>
      </c>
      <c r="AG265" s="219">
        <f t="shared" ref="AG265:AI265" si="682">AC265-AC264</f>
        <v>0</v>
      </c>
      <c r="AH265" s="219">
        <f t="shared" si="682"/>
        <v>0</v>
      </c>
      <c r="AI265" s="219">
        <f t="shared" si="682"/>
        <v>0</v>
      </c>
      <c r="AJ265" s="219"/>
      <c r="AK265" s="219"/>
      <c r="AL265" s="219"/>
    </row>
    <row r="266" spans="1:38">
      <c r="A266" s="195" t="str">
        <f>'Agg prdcrv'!$A$7</f>
        <v>Conventional Mogas</v>
      </c>
      <c r="B266" s="195" t="str">
        <f>VLOOKUP($A266,Types!$A$2:$C$13,2,FALSE)</f>
        <v>GSC</v>
      </c>
      <c r="C266" s="195">
        <v>3</v>
      </c>
      <c r="D266" s="195">
        <v>5</v>
      </c>
      <c r="E266" s="195" t="str">
        <f t="shared" si="668"/>
        <v>IMPGSCP53</v>
      </c>
      <c r="F266" s="195" t="str">
        <f>CONCATENATE("Imported ",VLOOKUP($A266,Types!$A$2:$C$13,3,FALSE),", PADD ",D266,", Step ",RIGHT(C266,1))</f>
        <v>Imported Conventional Gasoline, PADD 5, Step 3</v>
      </c>
      <c r="G266" s="195" t="str">
        <f>CONCATENATE(VLOOKUP($A266,Types!$A$2:$C$13,2,FALSE),"P",D266)</f>
        <v>GSCP5</v>
      </c>
      <c r="H266" s="239">
        <f>SUMIFS('Agg prdcrv NYC'!$P$6:$P$100,'Agg prdcrv NYC'!$A$6:$A$100,'Imp Refined NYC'!$A266,'Agg prdcrv NYC'!$B$6:$B$100,H$11)*K4</f>
        <v>37.323</v>
      </c>
      <c r="I266" s="239">
        <f>SUMIFS('Agg prdcrv NYC'!$P$6:$P$100,'Agg prdcrv NYC'!$A$6:$A$100,'Imp Refined NYC'!$A266,'Agg prdcrv NYC'!$B$6:$B$100,I$11)*K4</f>
        <v>38.28</v>
      </c>
      <c r="J266" s="239">
        <f t="array" ref="J266">SUMIFS('Agg prdcrv NYC'!$P$6:$P$100,'Agg prdcrv NYC'!$A$6:$A$100,'Imp Refined NYC'!$A266,'Agg prdcrv NYC'!$B$6:$B$100,J$11)</f>
        <v>30.68</v>
      </c>
      <c r="K266" s="239">
        <f t="array" ref="K266">SUMIFS('Agg prdcrv NYC'!$P$6:$P$100,'Agg prdcrv NYC'!$A$6:$A$100,'Imp Refined NYC'!$A266,'Agg prdcrv NYC'!$B$6:$B$100,K$11)</f>
        <v>30.65</v>
      </c>
      <c r="L266" s="240">
        <f>H266*Conv!$J$20/10^6/VLOOKUP($B266,Types!$B$2:$D$13,3,FALSE)/Conv!$I$5</f>
        <v>10.333728075581737</v>
      </c>
      <c r="M266" s="240">
        <f>I266*Conv!$J$20/10^6/VLOOKUP($B266,Types!$B$2:$D$13,3,FALSE)/Conv!$I$5</f>
        <v>10.598695462135115</v>
      </c>
      <c r="N266" s="240">
        <f>M266*'Imported Price Trends'!$K$19</f>
        <v>11.412112036250125</v>
      </c>
      <c r="O266" s="240">
        <f>N266*'Imported Price Trends'!$L$19</f>
        <v>11.303604859833483</v>
      </c>
      <c r="P266" s="240">
        <f>O266*'Imported Price Trends'!$M$19</f>
        <v>12.197383568544932</v>
      </c>
      <c r="Q266" s="240">
        <f>P266*'Imported Price Trends'!$N$19</f>
        <v>12.898030254122723</v>
      </c>
      <c r="R266" s="240">
        <f>Q266*'Imported Price Trends'!$O$19</f>
        <v>13.857437879683483</v>
      </c>
      <c r="S266" s="240">
        <f>R266*'Imported Price Trends'!$O$19</f>
        <v>14.888210122464761</v>
      </c>
      <c r="T266" s="240">
        <f>S266*'Imported Price Trends'!$O$19</f>
        <v>15.995655371159064</v>
      </c>
      <c r="U266" s="240">
        <f>T266*'Imported Price Trends'!$O$19</f>
        <v>17.185476873866939</v>
      </c>
      <c r="V266" s="240">
        <f>U266*'Imported Price Trends'!$O$19</f>
        <v>18.463802109335809</v>
      </c>
      <c r="W266" s="219"/>
      <c r="X266" s="195">
        <f t="array" ref="X266">SUMIFS('Agg prdcrv NYC'!$H$6:$H$100,'Agg prdcrv NYC'!$A$6:$A$100,'Imp Refined NYC'!$A266,'Agg prdcrv NYC'!$B$6:$B$100,X$11)</f>
        <v>23.07</v>
      </c>
      <c r="Y266" s="195">
        <f t="array" ref="Y266">SUMIFS('Agg prdcrv NYC'!$H$6:$H$100,'Agg prdcrv NYC'!$A$6:$A$100,'Imp Refined NYC'!$A266,'Agg prdcrv NYC'!$B$6:$B$100,Y$11)</f>
        <v>19.77</v>
      </c>
      <c r="Z266" s="195">
        <f t="array" ref="Z266">SUMIFS('Agg prdcrv NYC'!$H$6:$H$100,'Agg prdcrv NYC'!$A$6:$A$100,'Imp Refined NYC'!$A266,'Agg prdcrv NYC'!$B$6:$B$100,Z$11)</f>
        <v>21.3</v>
      </c>
      <c r="AA266" s="195">
        <f t="array" ref="AA266">SUMIFS('Agg prdcrv NYC'!$H$6:$H$100,'Agg prdcrv NYC'!$A$6:$A$100,'Imp Refined NYC'!$A266,'Agg prdcrv NYC'!$B$6:$B$100,AA$11)</f>
        <v>22.94</v>
      </c>
      <c r="AB266" s="219">
        <f>X266*VLOOKUP($B266,Types!$B$2:$D$13,3,FALSE)*Conv!$I$5*1000*365</f>
        <v>46.668449409602403</v>
      </c>
      <c r="AC266" s="219">
        <f>Y266*VLOOKUP($B266,Types!$B$2:$D$13,3,FALSE)*Conv!$I$5*1000*365</f>
        <v>39.992858466746398</v>
      </c>
      <c r="AD266" s="219">
        <f>Z266*VLOOKUP($B266,Types!$B$2:$D$13,3,FALSE)*Conv!$I$5*1000*365</f>
        <v>43.087905176615998</v>
      </c>
      <c r="AE266" s="219">
        <f>AA266*VLOOKUP($B266,Types!$B$2:$D$13,3,FALSE)*Conv!$I$5*1000*365</f>
        <v>46.405471584580795</v>
      </c>
      <c r="AF266" s="219">
        <f>AB266-AB268</f>
        <v>4.6668449409602459</v>
      </c>
      <c r="AG266" s="219">
        <f t="shared" ref="AG266:AI266" si="683">AC266-AC268</f>
        <v>3.9992858466746455</v>
      </c>
      <c r="AH266" s="219">
        <f t="shared" si="683"/>
        <v>4.308790517661599</v>
      </c>
      <c r="AI266" s="219">
        <f t="shared" si="683"/>
        <v>4.6405471584580766</v>
      </c>
      <c r="AJ266" s="219"/>
      <c r="AK266" s="219"/>
      <c r="AL266" s="219"/>
    </row>
    <row r="267" spans="1:38">
      <c r="A267" s="195" t="str">
        <f>A266</f>
        <v>Conventional Mogas</v>
      </c>
      <c r="B267" s="195" t="str">
        <f>VLOOKUP($A267,Types!$A$2:$C$13,2,FALSE)</f>
        <v>GSC</v>
      </c>
      <c r="C267" s="195">
        <v>1</v>
      </c>
      <c r="D267" s="195">
        <v>5</v>
      </c>
      <c r="E267" s="195" t="str">
        <f t="shared" si="668"/>
        <v>IMPGSCP51</v>
      </c>
      <c r="F267" s="195" t="str">
        <f>CONCATENATE("Imported ",VLOOKUP($A267,Types!$A$2:$C$13,3,FALSE),", PADD ",D267,", Step ",RIGHT(C267,1))</f>
        <v>Imported Conventional Gasoline, PADD 5, Step 1</v>
      </c>
      <c r="G267" s="195" t="str">
        <f>CONCATENATE(VLOOKUP($A267,Types!$A$2:$C$13,2,FALSE),"P",D267)</f>
        <v>GSCP5</v>
      </c>
      <c r="H267" s="239">
        <f>H266*$C$5</f>
        <v>35.456849999999996</v>
      </c>
      <c r="I267" s="239">
        <f t="shared" ref="I267:K267" si="684">I266*$C$5</f>
        <v>36.366</v>
      </c>
      <c r="J267" s="239">
        <f t="shared" si="684"/>
        <v>29.145999999999997</v>
      </c>
      <c r="K267" s="239">
        <f t="shared" si="684"/>
        <v>29.117499999999996</v>
      </c>
      <c r="L267" s="240">
        <f>H267*Conv!$J$20/10^6/VLOOKUP($B267,Types!$B$2:$D$13,3,FALSE)/Conv!$I$5</f>
        <v>9.8170416718026488</v>
      </c>
      <c r="M267" s="240">
        <f>I267*Conv!$J$20/10^6/VLOOKUP($B267,Types!$B$2:$D$13,3,FALSE)/Conv!$I$5</f>
        <v>10.068760689028357</v>
      </c>
      <c r="N267" s="240">
        <f>M267*'Imported Price Trends'!$K$19</f>
        <v>10.841506434437616</v>
      </c>
      <c r="O267" s="240">
        <f>N267*'Imported Price Trends'!$L$19</f>
        <v>10.738424616841806</v>
      </c>
      <c r="P267" s="240">
        <f>O267*'Imported Price Trends'!$M$19</f>
        <v>11.587514390117683</v>
      </c>
      <c r="Q267" s="240">
        <f>P267*'Imported Price Trends'!$N$19</f>
        <v>12.253128741416583</v>
      </c>
      <c r="R267" s="240">
        <f>Q267*'Imported Price Trends'!$O$19</f>
        <v>13.164565985699305</v>
      </c>
      <c r="S267" s="240">
        <f>R267*'Imported Price Trends'!$O$19</f>
        <v>14.14379961634152</v>
      </c>
      <c r="T267" s="240">
        <f>S267*'Imported Price Trends'!$O$19</f>
        <v>15.195872602601108</v>
      </c>
      <c r="U267" s="240">
        <f>T267*'Imported Price Trends'!$O$19</f>
        <v>16.326203030173588</v>
      </c>
      <c r="V267" s="240">
        <f>U267*'Imported Price Trends'!$O$19</f>
        <v>17.540612003869015</v>
      </c>
      <c r="W267" s="219"/>
      <c r="X267" s="195">
        <f>X266*$E$5</f>
        <v>18.456</v>
      </c>
      <c r="Y267" s="195">
        <f t="shared" ref="Y267:AA267" si="685">Y266*$E$5</f>
        <v>15.816000000000001</v>
      </c>
      <c r="Z267" s="195">
        <f t="shared" si="685"/>
        <v>17.040000000000003</v>
      </c>
      <c r="AA267" s="195">
        <f t="shared" si="685"/>
        <v>18.352</v>
      </c>
      <c r="AB267" s="219">
        <f>X267*VLOOKUP($B267,Types!$B$2:$D$13,3,FALSE)*Conv!$I$5*1000*365</f>
        <v>37.334759527681911</v>
      </c>
      <c r="AC267" s="219">
        <f>Y267*VLOOKUP($B267,Types!$B$2:$D$13,3,FALSE)*Conv!$I$5*1000*365</f>
        <v>31.994286773397121</v>
      </c>
      <c r="AD267" s="219">
        <f>Z267*VLOOKUP($B267,Types!$B$2:$D$13,3,FALSE)*Conv!$I$5*1000*365</f>
        <v>34.470324141292807</v>
      </c>
      <c r="AE267" s="219">
        <f>AA267*VLOOKUP($B267,Types!$B$2:$D$13,3,FALSE)*Conv!$I$5*1000*365</f>
        <v>37.124377267664642</v>
      </c>
      <c r="AF267" s="219">
        <f>AB267</f>
        <v>37.334759527681911</v>
      </c>
      <c r="AG267" s="219">
        <f t="shared" ref="AG267:AI267" si="686">AC267</f>
        <v>31.994286773397121</v>
      </c>
      <c r="AH267" s="219">
        <f t="shared" si="686"/>
        <v>34.470324141292807</v>
      </c>
      <c r="AI267" s="219">
        <f t="shared" si="686"/>
        <v>37.124377267664642</v>
      </c>
      <c r="AJ267" s="219"/>
      <c r="AK267" s="219"/>
      <c r="AL267" s="219"/>
    </row>
    <row r="268" spans="1:38">
      <c r="A268" s="195" t="str">
        <f t="shared" ref="A268:A270" si="687">A267</f>
        <v>Conventional Mogas</v>
      </c>
      <c r="B268" s="195" t="str">
        <f>VLOOKUP($A268,Types!$A$2:$C$13,2,FALSE)</f>
        <v>GSC</v>
      </c>
      <c r="C268" s="195">
        <v>2</v>
      </c>
      <c r="D268" s="195">
        <v>5</v>
      </c>
      <c r="E268" s="195" t="str">
        <f t="shared" si="668"/>
        <v>IMPGSCP52</v>
      </c>
      <c r="F268" s="195" t="str">
        <f>CONCATENATE("Imported ",VLOOKUP($A268,Types!$A$2:$C$13,3,FALSE),", PADD ",D268,", Step ",RIGHT(C268,1))</f>
        <v>Imported Conventional Gasoline, PADD 5, Step 2</v>
      </c>
      <c r="G268" s="195" t="str">
        <f>CONCATENATE(VLOOKUP($A268,Types!$A$2:$C$13,2,FALSE),"P",D268)</f>
        <v>GSCP5</v>
      </c>
      <c r="H268" s="239">
        <f>H266*$C$6</f>
        <v>36.576540000000001</v>
      </c>
      <c r="I268" s="239">
        <f t="shared" ref="I268:K268" si="688">I266*$C$6</f>
        <v>37.514400000000002</v>
      </c>
      <c r="J268" s="239">
        <f t="shared" si="688"/>
        <v>30.066399999999998</v>
      </c>
      <c r="K268" s="239">
        <f t="shared" si="688"/>
        <v>30.036999999999999</v>
      </c>
      <c r="L268" s="240">
        <f>H268*Conv!$J$20/10^6/VLOOKUP($B268,Types!$B$2:$D$13,3,FALSE)/Conv!$I$5</f>
        <v>10.1270535140701</v>
      </c>
      <c r="M268" s="240">
        <f>I268*Conv!$J$20/10^6/VLOOKUP($B268,Types!$B$2:$D$13,3,FALSE)/Conv!$I$5</f>
        <v>10.386721552892412</v>
      </c>
      <c r="N268" s="240">
        <f>M268*'Imported Price Trends'!$K$19</f>
        <v>11.183869795525123</v>
      </c>
      <c r="O268" s="240">
        <f>N268*'Imported Price Trends'!$L$19</f>
        <v>11.077532762636814</v>
      </c>
      <c r="P268" s="240">
        <f>O268*'Imported Price Trends'!$M$19</f>
        <v>11.953435897174034</v>
      </c>
      <c r="Q268" s="240">
        <f>P268*'Imported Price Trends'!$N$19</f>
        <v>12.640069649040269</v>
      </c>
      <c r="R268" s="240">
        <f>Q268*'Imported Price Trends'!$O$19</f>
        <v>13.580289122089814</v>
      </c>
      <c r="S268" s="240">
        <f>R268*'Imported Price Trends'!$O$19</f>
        <v>14.590445920015467</v>
      </c>
      <c r="T268" s="240">
        <f>S268*'Imported Price Trends'!$O$19</f>
        <v>15.675742263735884</v>
      </c>
      <c r="U268" s="240">
        <f>T268*'Imported Price Trends'!$O$19</f>
        <v>16.841767336389601</v>
      </c>
      <c r="V268" s="240">
        <f>U268*'Imported Price Trends'!$O$19</f>
        <v>18.094526067149094</v>
      </c>
      <c r="W268" s="219"/>
      <c r="X268" s="195">
        <f>X266*$E$6</f>
        <v>20.763000000000002</v>
      </c>
      <c r="Y268" s="195">
        <f t="shared" ref="Y268:AA268" si="689">Y266*$E$6</f>
        <v>17.792999999999999</v>
      </c>
      <c r="Z268" s="195">
        <f t="shared" si="689"/>
        <v>19.170000000000002</v>
      </c>
      <c r="AA268" s="195">
        <f t="shared" si="689"/>
        <v>20.646000000000001</v>
      </c>
      <c r="AB268" s="219">
        <f>X268*VLOOKUP($B268,Types!$B$2:$D$13,3,FALSE)*Conv!$I$5*1000*365</f>
        <v>42.001604468642157</v>
      </c>
      <c r="AC268" s="219">
        <f>Y268*VLOOKUP($B268,Types!$B$2:$D$13,3,FALSE)*Conv!$I$5*1000*365</f>
        <v>35.993572620071753</v>
      </c>
      <c r="AD268" s="219">
        <f>Z268*VLOOKUP($B268,Types!$B$2:$D$13,3,FALSE)*Conv!$I$5*1000*365</f>
        <v>38.779114658954398</v>
      </c>
      <c r="AE268" s="219">
        <f>AA268*VLOOKUP($B268,Types!$B$2:$D$13,3,FALSE)*Conv!$I$5*1000*365</f>
        <v>41.764924426122718</v>
      </c>
      <c r="AF268" s="219">
        <f>AB268-AF267</f>
        <v>4.6668449409602459</v>
      </c>
      <c r="AG268" s="219">
        <f t="shared" ref="AG268:AI268" si="690">AC268-AG267</f>
        <v>3.9992858466746313</v>
      </c>
      <c r="AH268" s="219">
        <f t="shared" si="690"/>
        <v>4.3087905176615919</v>
      </c>
      <c r="AI268" s="219">
        <f t="shared" si="690"/>
        <v>4.6405471584580766</v>
      </c>
      <c r="AJ268" s="219"/>
      <c r="AK268" s="219"/>
      <c r="AL268" s="219"/>
    </row>
    <row r="269" spans="1:38">
      <c r="A269" s="195" t="str">
        <f t="shared" si="687"/>
        <v>Conventional Mogas</v>
      </c>
      <c r="B269" s="195" t="str">
        <f>VLOOKUP($A269,Types!$A$2:$C$13,2,FALSE)</f>
        <v>GSC</v>
      </c>
      <c r="C269" s="195">
        <v>4</v>
      </c>
      <c r="D269" s="195">
        <v>5</v>
      </c>
      <c r="E269" s="195" t="str">
        <f t="shared" si="668"/>
        <v>IMPGSCP54</v>
      </c>
      <c r="F269" s="195" t="str">
        <f>CONCATENATE("Imported ",VLOOKUP($A269,Types!$A$2:$C$13,3,FALSE),", PADD ",D269,", Step ",RIGHT(C269,1))</f>
        <v>Imported Conventional Gasoline, PADD 5, Step 4</v>
      </c>
      <c r="G269" s="195" t="str">
        <f>CONCATENATE(VLOOKUP($A269,Types!$A$2:$C$13,2,FALSE),"P",D269)</f>
        <v>GSCP5</v>
      </c>
      <c r="H269" s="239">
        <f>H266*$C$8</f>
        <v>40.682070000000003</v>
      </c>
      <c r="I269" s="239">
        <f t="shared" ref="I269:K269" si="691">I266*$C$8</f>
        <v>41.725200000000001</v>
      </c>
      <c r="J269" s="239">
        <f t="shared" si="691"/>
        <v>33.441200000000002</v>
      </c>
      <c r="K269" s="239">
        <f t="shared" si="691"/>
        <v>33.408500000000004</v>
      </c>
      <c r="L269" s="240">
        <f>H269*Conv!$J$20/10^6/VLOOKUP($B269,Types!$B$2:$D$13,3,FALSE)/Conv!$I$5</f>
        <v>11.263763602384094</v>
      </c>
      <c r="M269" s="240">
        <f>I269*Conv!$J$20/10^6/VLOOKUP($B269,Types!$B$2:$D$13,3,FALSE)/Conv!$I$5</f>
        <v>11.552578053727274</v>
      </c>
      <c r="N269" s="240">
        <f>M269*'Imported Price Trends'!$K$19</f>
        <v>12.439202119512634</v>
      </c>
      <c r="O269" s="240">
        <f>N269*'Imported Price Trends'!$L$19</f>
        <v>12.320929297218495</v>
      </c>
      <c r="P269" s="240">
        <f>O269*'Imported Price Trends'!$M$19</f>
        <v>13.295148089713974</v>
      </c>
      <c r="Q269" s="240">
        <f>P269*'Imported Price Trends'!$N$19</f>
        <v>14.058852976993766</v>
      </c>
      <c r="R269" s="240">
        <f>Q269*'Imported Price Trends'!$O$19</f>
        <v>15.104607288854993</v>
      </c>
      <c r="S269" s="240">
        <f>R269*'Imported Price Trends'!$O$19</f>
        <v>16.228149033486584</v>
      </c>
      <c r="T269" s="240">
        <f>S269*'Imported Price Trends'!$O$19</f>
        <v>17.435264354563376</v>
      </c>
      <c r="U269" s="240">
        <f>T269*'Imported Price Trends'!$O$19</f>
        <v>18.732169792514959</v>
      </c>
      <c r="V269" s="240">
        <f>U269*'Imported Price Trends'!$O$19</f>
        <v>20.125544299176028</v>
      </c>
      <c r="W269" s="219"/>
      <c r="X269" s="195">
        <f>X266*$E$8</f>
        <v>27.684000000000001</v>
      </c>
      <c r="Y269" s="195">
        <f t="shared" ref="Y269:AA269" si="692">Y266*$E$8</f>
        <v>23.724</v>
      </c>
      <c r="Z269" s="195">
        <f t="shared" si="692"/>
        <v>25.56</v>
      </c>
      <c r="AA269" s="195">
        <f t="shared" si="692"/>
        <v>27.528000000000002</v>
      </c>
      <c r="AB269" s="219">
        <f>X269*VLOOKUP($B269,Types!$B$2:$D$13,3,FALSE)*Conv!$I$5*1000*365</f>
        <v>56.00213929152288</v>
      </c>
      <c r="AC269" s="219">
        <f>Y269*VLOOKUP($B269,Types!$B$2:$D$13,3,FALSE)*Conv!$I$5*1000*365</f>
        <v>47.991430160095675</v>
      </c>
      <c r="AD269" s="219">
        <f>Z269*VLOOKUP($B269,Types!$B$2:$D$13,3,FALSE)*Conv!$I$5*1000*365</f>
        <v>51.705486211939196</v>
      </c>
      <c r="AE269" s="219">
        <f>AA269*VLOOKUP($B269,Types!$B$2:$D$13,3,FALSE)*Conv!$I$5*1000*365</f>
        <v>55.686565901496962</v>
      </c>
      <c r="AF269" s="219">
        <f>AB269-AB266</f>
        <v>9.3336898819204777</v>
      </c>
      <c r="AG269" s="219">
        <f t="shared" ref="AG269:AI269" si="693">AC269-AC266</f>
        <v>7.9985716933492768</v>
      </c>
      <c r="AH269" s="219">
        <f t="shared" si="693"/>
        <v>8.6175810353231981</v>
      </c>
      <c r="AI269" s="219">
        <f t="shared" si="693"/>
        <v>9.2810943169161675</v>
      </c>
      <c r="AJ269" s="219"/>
      <c r="AK269" s="219"/>
      <c r="AL269" s="219"/>
    </row>
    <row r="270" spans="1:38">
      <c r="A270" s="195" t="str">
        <f t="shared" si="687"/>
        <v>Conventional Mogas</v>
      </c>
      <c r="B270" s="195" t="str">
        <f>VLOOKUP($A270,Types!$A$2:$C$13,2,FALSE)</f>
        <v>GSC</v>
      </c>
      <c r="C270" s="195">
        <v>5</v>
      </c>
      <c r="D270" s="195">
        <v>5</v>
      </c>
      <c r="E270" s="195" t="str">
        <f t="shared" si="668"/>
        <v>IMPGSCP55</v>
      </c>
      <c r="F270" s="195" t="str">
        <f>CONCATENATE("Imported ",VLOOKUP($A270,Types!$A$2:$C$13,3,FALSE),", PADD ",D270,", Step ",RIGHT(C270,1))</f>
        <v>Imported Conventional Gasoline, PADD 5, Step 5</v>
      </c>
      <c r="G270" s="195" t="str">
        <f>CONCATENATE(VLOOKUP($A270,Types!$A$2:$C$13,2,FALSE),"P",D270)</f>
        <v>GSCP5</v>
      </c>
      <c r="H270" s="239">
        <f>H266*$C$9</f>
        <v>48.5199</v>
      </c>
      <c r="I270" s="239">
        <f t="shared" ref="I270:K270" si="694">I266*$C$9</f>
        <v>49.764000000000003</v>
      </c>
      <c r="J270" s="239">
        <f t="shared" si="694"/>
        <v>39.884</v>
      </c>
      <c r="K270" s="239">
        <f t="shared" si="694"/>
        <v>39.844999999999999</v>
      </c>
      <c r="L270" s="240">
        <f>H270*Conv!$J$20/10^6/VLOOKUP($B270,Types!$B$2:$D$13,3,FALSE)/Conv!$I$5</f>
        <v>13.433846498256257</v>
      </c>
      <c r="M270" s="240">
        <f>I270*Conv!$J$20/10^6/VLOOKUP($B270,Types!$B$2:$D$13,3,FALSE)/Conv!$I$5</f>
        <v>13.778304100775649</v>
      </c>
      <c r="N270" s="240">
        <f>M270*'Imported Price Trends'!$K$19</f>
        <v>14.835745647125162</v>
      </c>
      <c r="O270" s="240">
        <f>N270*'Imported Price Trends'!$L$19</f>
        <v>14.694686317783527</v>
      </c>
      <c r="P270" s="240">
        <f>O270*'Imported Price Trends'!$M$19</f>
        <v>15.856598639108411</v>
      </c>
      <c r="Q270" s="240">
        <f>P270*'Imported Price Trends'!$N$19</f>
        <v>16.76743933035954</v>
      </c>
      <c r="R270" s="240">
        <f>Q270*'Imported Price Trends'!$O$19</f>
        <v>18.014669243588529</v>
      </c>
      <c r="S270" s="240">
        <f>R270*'Imported Price Trends'!$O$19</f>
        <v>19.354673159204189</v>
      </c>
      <c r="T270" s="240">
        <f>S270*'Imported Price Trends'!$O$19</f>
        <v>20.794351982506782</v>
      </c>
      <c r="U270" s="240">
        <f>T270*'Imported Price Trends'!$O$19</f>
        <v>22.34111993602702</v>
      </c>
      <c r="V270" s="240">
        <f>U270*'Imported Price Trends'!$O$19</f>
        <v>24.00294274213655</v>
      </c>
      <c r="W270" s="219"/>
      <c r="X270" s="195">
        <f>X266*$E$9</f>
        <v>46.14</v>
      </c>
      <c r="Y270" s="195">
        <f t="shared" ref="Y270:AA270" si="695">Y266*$E$9</f>
        <v>39.54</v>
      </c>
      <c r="Z270" s="195">
        <f t="shared" si="695"/>
        <v>42.6</v>
      </c>
      <c r="AA270" s="195">
        <f t="shared" si="695"/>
        <v>45.88</v>
      </c>
      <c r="AB270" s="219">
        <f>X270*VLOOKUP($B270,Types!$B$2:$D$13,3,FALSE)*Conv!$I$5*1000*365</f>
        <v>93.336898819204805</v>
      </c>
      <c r="AC270" s="219">
        <f>Y270*VLOOKUP($B270,Types!$B$2:$D$13,3,FALSE)*Conv!$I$5*1000*365</f>
        <v>79.985716933492796</v>
      </c>
      <c r="AD270" s="219">
        <f>Z270*VLOOKUP($B270,Types!$B$2:$D$13,3,FALSE)*Conv!$I$5*1000*365</f>
        <v>86.175810353231995</v>
      </c>
      <c r="AE270" s="219">
        <f>AA270*VLOOKUP($B270,Types!$B$2:$D$13,3,FALSE)*Conv!$I$5*1000*365</f>
        <v>92.81094316916159</v>
      </c>
      <c r="AF270" s="219">
        <f>AB270-AB269</f>
        <v>37.334759527681925</v>
      </c>
      <c r="AG270" s="219">
        <f t="shared" ref="AG270:AI270" si="696">AC270-AC269</f>
        <v>31.994286773397121</v>
      </c>
      <c r="AH270" s="219">
        <f t="shared" si="696"/>
        <v>34.470324141292799</v>
      </c>
      <c r="AI270" s="219">
        <f t="shared" si="696"/>
        <v>37.124377267664627</v>
      </c>
      <c r="AJ270" s="219"/>
      <c r="AK270" s="219"/>
      <c r="AL270" s="219"/>
    </row>
    <row r="271" spans="1:38">
      <c r="A271" s="195" t="str">
        <f>'Agg prdcrv'!$A$8</f>
        <v>Heating No. 2</v>
      </c>
      <c r="B271" s="195" t="str">
        <f>VLOOKUP($A271,Types!$A$2:$C$13,2,FALSE)</f>
        <v>DSH</v>
      </c>
      <c r="C271" s="195">
        <v>3</v>
      </c>
      <c r="D271" s="195">
        <v>5</v>
      </c>
      <c r="E271" s="195" t="str">
        <f t="shared" si="668"/>
        <v>IMPDSHP53</v>
      </c>
      <c r="F271" s="195" t="str">
        <f>CONCATENATE("Imported ",VLOOKUP($A271,Types!$A$2:$C$13,3,FALSE),", PADD ",D271,", Step ",RIGHT(C271,1))</f>
        <v>Imported Distillate-Heating Oil No. 2, PADD 5, Step 3</v>
      </c>
      <c r="G271" s="195" t="str">
        <f>CONCATENATE(VLOOKUP($A271,Types!$A$2:$C$13,2,FALSE),"P",D271)</f>
        <v>DSHP5</v>
      </c>
      <c r="H271" s="239">
        <f>SUMIFS('Agg prdcrv NYC'!$P$6:$P$100,'Agg prdcrv NYC'!$A$6:$A$100,'Imp Refined NYC'!$A271,'Agg prdcrv NYC'!$B$6:$B$100,H$11)*K4</f>
        <v>55.671000000000006</v>
      </c>
      <c r="I271" s="239">
        <f>SUMIFS('Agg prdcrv NYC'!$P$6:$P$100,'Agg prdcrv NYC'!$A$6:$A$100,'Imp Refined NYC'!$A271,'Agg prdcrv NYC'!$B$6:$B$100,I$11)*K4</f>
        <v>50.699000000000005</v>
      </c>
      <c r="J271" s="239">
        <f t="array" ref="J271">SUMIFS('Agg prdcrv NYC'!$P$6:$P$100,'Agg prdcrv NYC'!$A$6:$A$100,'Imp Refined NYC'!$A271,'Agg prdcrv NYC'!$B$6:$B$100,J$11)</f>
        <v>37.53</v>
      </c>
      <c r="K271" s="239">
        <f t="array" ref="K271">SUMIFS('Agg prdcrv NYC'!$P$6:$P$100,'Agg prdcrv NYC'!$A$6:$A$100,'Imp Refined NYC'!$A271,'Agg prdcrv NYC'!$B$6:$B$100,K$11)</f>
        <v>40.35</v>
      </c>
      <c r="L271" s="240">
        <f>H271*Conv!$J$20/10^6/VLOOKUP($B271,Types!$B$2:$D$13,3,FALSE)/Conv!$I$5</f>
        <v>13.900197725617737</v>
      </c>
      <c r="M271" s="240">
        <f>I271*Conv!$J$20/10^6/VLOOKUP($B271,Types!$B$2:$D$13,3,FALSE)/Conv!$I$5</f>
        <v>12.658765326491235</v>
      </c>
      <c r="N271" s="240">
        <f>M271*'Imported Price Trends'!$K$19</f>
        <v>13.630285789663979</v>
      </c>
      <c r="O271" s="240">
        <f>N271*'Imported Price Trends'!$L$19</f>
        <v>13.500688058754013</v>
      </c>
      <c r="P271" s="240">
        <f>O271*'Imported Price Trends'!$M$19</f>
        <v>14.56819065544749</v>
      </c>
      <c r="Q271" s="240">
        <f>P271*'Imported Price Trends'!$N$19</f>
        <v>15.405022131660735</v>
      </c>
      <c r="R271" s="240">
        <f>Q271*'Imported Price Trends'!$O$19</f>
        <v>16.550909946610105</v>
      </c>
      <c r="S271" s="240">
        <f>R271*'Imported Price Trends'!$O$19</f>
        <v>17.782033529040188</v>
      </c>
      <c r="T271" s="240">
        <f>S271*'Imported Price Trends'!$O$19</f>
        <v>19.104733059868558</v>
      </c>
      <c r="U271" s="240">
        <f>T271*'Imported Price Trends'!$O$19</f>
        <v>20.525820328297154</v>
      </c>
      <c r="V271" s="240">
        <f>U271*'Imported Price Trends'!$O$19</f>
        <v>22.052613811942752</v>
      </c>
      <c r="W271" s="219"/>
      <c r="X271" s="195">
        <f t="array" ref="X271">SUMIFS('Agg prdcrv NYC'!$H$6:$H$100,'Agg prdcrv NYC'!$A$6:$A$100,'Imp Refined NYC'!$A271,'Agg prdcrv NYC'!$B$6:$B$100,X$11)</f>
        <v>5.07</v>
      </c>
      <c r="Y271" s="195">
        <f t="array" ref="Y271">SUMIFS('Agg prdcrv NYC'!$H$6:$H$100,'Agg prdcrv NYC'!$A$6:$A$100,'Imp Refined NYC'!$A271,'Agg prdcrv NYC'!$B$6:$B$100,Y$11)</f>
        <v>4.91</v>
      </c>
      <c r="Z271" s="195">
        <f t="array" ref="Z271">SUMIFS('Agg prdcrv NYC'!$H$6:$H$100,'Agg prdcrv NYC'!$A$6:$A$100,'Imp Refined NYC'!$A271,'Agg prdcrv NYC'!$B$6:$B$100,Z$11)</f>
        <v>5.42</v>
      </c>
      <c r="AA271" s="195">
        <f t="array" ref="AA271">SUMIFS('Agg prdcrv NYC'!$H$6:$H$100,'Agg prdcrv NYC'!$A$6:$A$100,'Imp Refined NYC'!$A271,'Agg prdcrv NYC'!$B$6:$B$100,AA$11)</f>
        <v>5.98</v>
      </c>
      <c r="AB271" s="219">
        <f>X271*VLOOKUP($B271,Types!$B$2:$D$13,3,FALSE)*Conv!$I$5*1000*365</f>
        <v>11.372927355660002</v>
      </c>
      <c r="AC271" s="219">
        <f>Y271*VLOOKUP($B271,Types!$B$2:$D$13,3,FALSE)*Conv!$I$5*1000*365</f>
        <v>11.01401840558</v>
      </c>
      <c r="AD271" s="219">
        <f>Z271*VLOOKUP($B271,Types!$B$2:$D$13,3,FALSE)*Conv!$I$5*1000*365</f>
        <v>12.158040683959999</v>
      </c>
      <c r="AE271" s="219">
        <f>AA271*VLOOKUP($B271,Types!$B$2:$D$13,3,FALSE)*Conv!$I$5*1000*365</f>
        <v>13.41422200924</v>
      </c>
      <c r="AF271" s="219">
        <f>AB271-AB273</f>
        <v>1.1372927355659996</v>
      </c>
      <c r="AG271" s="219">
        <f t="shared" ref="AG271:AI271" si="697">AC271-AC273</f>
        <v>1.1014018405579993</v>
      </c>
      <c r="AH271" s="219">
        <f t="shared" si="697"/>
        <v>1.2158040683960003</v>
      </c>
      <c r="AI271" s="219">
        <f t="shared" si="697"/>
        <v>1.3414222009239989</v>
      </c>
      <c r="AJ271" s="219"/>
      <c r="AK271" s="219"/>
      <c r="AL271" s="219"/>
    </row>
    <row r="272" spans="1:38">
      <c r="A272" s="195" t="str">
        <f>A271</f>
        <v>Heating No. 2</v>
      </c>
      <c r="B272" s="195" t="str">
        <f>VLOOKUP($A272,Types!$A$2:$C$13,2,FALSE)</f>
        <v>DSH</v>
      </c>
      <c r="C272" s="195">
        <v>1</v>
      </c>
      <c r="D272" s="195">
        <v>5</v>
      </c>
      <c r="E272" s="195" t="str">
        <f t="shared" si="668"/>
        <v>IMPDSHP51</v>
      </c>
      <c r="F272" s="195" t="str">
        <f>CONCATENATE("Imported ",VLOOKUP($A272,Types!$A$2:$C$13,3,FALSE),", PADD ",D272,", Step ",RIGHT(C272,1))</f>
        <v>Imported Distillate-Heating Oil No. 2, PADD 5, Step 1</v>
      </c>
      <c r="G272" s="195" t="str">
        <f>CONCATENATE(VLOOKUP($A272,Types!$A$2:$C$13,2,FALSE),"P",D272)</f>
        <v>DSHP5</v>
      </c>
      <c r="H272" s="239">
        <f>H271*$C$5</f>
        <v>52.887450000000001</v>
      </c>
      <c r="I272" s="239">
        <f t="shared" ref="I272:K272" si="698">I271*$C$5</f>
        <v>48.164050000000003</v>
      </c>
      <c r="J272" s="239">
        <f t="shared" si="698"/>
        <v>35.653500000000001</v>
      </c>
      <c r="K272" s="239">
        <f t="shared" si="698"/>
        <v>38.332499999999996</v>
      </c>
      <c r="L272" s="240">
        <f>H272*Conv!$J$20/10^6/VLOOKUP($B272,Types!$B$2:$D$13,3,FALSE)/Conv!$I$5</f>
        <v>13.205187839336849</v>
      </c>
      <c r="M272" s="240">
        <f>I272*Conv!$J$20/10^6/VLOOKUP($B272,Types!$B$2:$D$13,3,FALSE)/Conv!$I$5</f>
        <v>12.025827060166675</v>
      </c>
      <c r="N272" s="240">
        <f>M272*'Imported Price Trends'!$K$19</f>
        <v>12.948771500180783</v>
      </c>
      <c r="O272" s="240">
        <f>N272*'Imported Price Trends'!$L$19</f>
        <v>12.825653655816316</v>
      </c>
      <c r="P272" s="240">
        <f>O272*'Imported Price Trends'!$M$19</f>
        <v>13.839781122675118</v>
      </c>
      <c r="Q272" s="240">
        <f>P272*'Imported Price Trends'!$N$19</f>
        <v>14.634771025077701</v>
      </c>
      <c r="R272" s="240">
        <f>Q272*'Imported Price Trends'!$O$19</f>
        <v>15.723364449279604</v>
      </c>
      <c r="S272" s="240">
        <f>R272*'Imported Price Trends'!$O$19</f>
        <v>16.892931852588184</v>
      </c>
      <c r="T272" s="240">
        <f>S272*'Imported Price Trends'!$O$19</f>
        <v>18.149496406875137</v>
      </c>
      <c r="U272" s="240">
        <f>T272*'Imported Price Trends'!$O$19</f>
        <v>19.499529311882302</v>
      </c>
      <c r="V272" s="240">
        <f>U272*'Imported Price Trends'!$O$19</f>
        <v>20.949983121345621</v>
      </c>
      <c r="W272" s="219"/>
      <c r="X272" s="195">
        <f>X271*$E$5</f>
        <v>4.056</v>
      </c>
      <c r="Y272" s="195">
        <f t="shared" ref="Y272:AA272" si="699">Y271*$E$5</f>
        <v>3.9280000000000004</v>
      </c>
      <c r="Z272" s="195">
        <f t="shared" si="699"/>
        <v>4.3360000000000003</v>
      </c>
      <c r="AA272" s="195">
        <f t="shared" si="699"/>
        <v>4.7840000000000007</v>
      </c>
      <c r="AB272" s="219">
        <f>X272*VLOOKUP($B272,Types!$B$2:$D$13,3,FALSE)*Conv!$I$5*1000*365</f>
        <v>9.0983418845279989</v>
      </c>
      <c r="AC272" s="219">
        <f>Y272*VLOOKUP($B272,Types!$B$2:$D$13,3,FALSE)*Conv!$I$5*1000*365</f>
        <v>8.8112147244639996</v>
      </c>
      <c r="AD272" s="219">
        <f>Z272*VLOOKUP($B272,Types!$B$2:$D$13,3,FALSE)*Conv!$I$5*1000*365</f>
        <v>9.7264325471679989</v>
      </c>
      <c r="AE272" s="219">
        <f>AA272*VLOOKUP($B272,Types!$B$2:$D$13,3,FALSE)*Conv!$I$5*1000*365</f>
        <v>10.731377607392</v>
      </c>
      <c r="AF272" s="219">
        <f>AB272</f>
        <v>9.0983418845279989</v>
      </c>
      <c r="AG272" s="219">
        <f t="shared" ref="AG272:AI272" si="700">AC272</f>
        <v>8.8112147244639996</v>
      </c>
      <c r="AH272" s="219">
        <f t="shared" si="700"/>
        <v>9.7264325471679989</v>
      </c>
      <c r="AI272" s="219">
        <f t="shared" si="700"/>
        <v>10.731377607392</v>
      </c>
      <c r="AJ272" s="219"/>
      <c r="AK272" s="219"/>
      <c r="AL272" s="219"/>
    </row>
    <row r="273" spans="1:38">
      <c r="A273" s="195" t="str">
        <f t="shared" ref="A273:A275" si="701">A272</f>
        <v>Heating No. 2</v>
      </c>
      <c r="B273" s="195" t="str">
        <f>VLOOKUP($A273,Types!$A$2:$C$13,2,FALSE)</f>
        <v>DSH</v>
      </c>
      <c r="C273" s="195">
        <v>2</v>
      </c>
      <c r="D273" s="195">
        <v>5</v>
      </c>
      <c r="E273" s="195" t="str">
        <f t="shared" si="668"/>
        <v>IMPDSHP52</v>
      </c>
      <c r="F273" s="195" t="str">
        <f>CONCATENATE("Imported ",VLOOKUP($A273,Types!$A$2:$C$13,3,FALSE),", PADD ",D273,", Step ",RIGHT(C273,1))</f>
        <v>Imported Distillate-Heating Oil No. 2, PADD 5, Step 2</v>
      </c>
      <c r="G273" s="195" t="str">
        <f>CONCATENATE(VLOOKUP($A273,Types!$A$2:$C$13,2,FALSE),"P",D273)</f>
        <v>DSHP5</v>
      </c>
      <c r="H273" s="239">
        <f>H271*$C$6</f>
        <v>54.557580000000009</v>
      </c>
      <c r="I273" s="239">
        <f t="shared" ref="I273:K273" si="702">I271*$C$6</f>
        <v>49.685020000000002</v>
      </c>
      <c r="J273" s="239">
        <f t="shared" si="702"/>
        <v>36.779400000000003</v>
      </c>
      <c r="K273" s="239">
        <f t="shared" si="702"/>
        <v>39.542999999999999</v>
      </c>
      <c r="L273" s="240">
        <f>H273*Conv!$J$20/10^6/VLOOKUP($B273,Types!$B$2:$D$13,3,FALSE)/Conv!$I$5</f>
        <v>13.62219377110538</v>
      </c>
      <c r="M273" s="240">
        <f>I273*Conv!$J$20/10^6/VLOOKUP($B273,Types!$B$2:$D$13,3,FALSE)/Conv!$I$5</f>
        <v>12.40559001996141</v>
      </c>
      <c r="N273" s="240">
        <f>M273*'Imported Price Trends'!$K$19</f>
        <v>13.3576800738707</v>
      </c>
      <c r="O273" s="240">
        <f>N273*'Imported Price Trends'!$L$19</f>
        <v>13.230674297578934</v>
      </c>
      <c r="P273" s="240">
        <f>O273*'Imported Price Trends'!$M$19</f>
        <v>14.276826842338542</v>
      </c>
      <c r="Q273" s="240">
        <f>P273*'Imported Price Trends'!$N$19</f>
        <v>15.096921689027521</v>
      </c>
      <c r="R273" s="240">
        <f>Q273*'Imported Price Trends'!$O$19</f>
        <v>16.219891747677906</v>
      </c>
      <c r="S273" s="240">
        <f>R273*'Imported Price Trends'!$O$19</f>
        <v>17.426392858459387</v>
      </c>
      <c r="T273" s="240">
        <f>S273*'Imported Price Trends'!$O$19</f>
        <v>18.72263839867119</v>
      </c>
      <c r="U273" s="240">
        <f>T273*'Imported Price Trends'!$O$19</f>
        <v>20.115303921731215</v>
      </c>
      <c r="V273" s="240">
        <f>U273*'Imported Price Trends'!$O$19</f>
        <v>21.611561535703903</v>
      </c>
      <c r="W273" s="219"/>
      <c r="X273" s="195">
        <f>X271*$E$6</f>
        <v>4.5630000000000006</v>
      </c>
      <c r="Y273" s="195">
        <f t="shared" ref="Y273:AA273" si="703">Y271*$E$6</f>
        <v>4.4190000000000005</v>
      </c>
      <c r="Z273" s="195">
        <f t="shared" si="703"/>
        <v>4.8780000000000001</v>
      </c>
      <c r="AA273" s="195">
        <f t="shared" si="703"/>
        <v>5.3820000000000006</v>
      </c>
      <c r="AB273" s="219">
        <f>X273*VLOOKUP($B273,Types!$B$2:$D$13,3,FALSE)*Conv!$I$5*1000*365</f>
        <v>10.235634620094002</v>
      </c>
      <c r="AC273" s="219">
        <f>Y273*VLOOKUP($B273,Types!$B$2:$D$13,3,FALSE)*Conv!$I$5*1000*365</f>
        <v>9.9126165650220006</v>
      </c>
      <c r="AD273" s="219">
        <f>Z273*VLOOKUP($B273,Types!$B$2:$D$13,3,FALSE)*Conv!$I$5*1000*365</f>
        <v>10.942236615563999</v>
      </c>
      <c r="AE273" s="219">
        <f>AA273*VLOOKUP($B273,Types!$B$2:$D$13,3,FALSE)*Conv!$I$5*1000*365</f>
        <v>12.072799808316001</v>
      </c>
      <c r="AF273" s="219">
        <f>AB273-AF272</f>
        <v>1.1372927355660032</v>
      </c>
      <c r="AG273" s="219">
        <f t="shared" ref="AG273:AI273" si="704">AC273-AG272</f>
        <v>1.1014018405580011</v>
      </c>
      <c r="AH273" s="219">
        <f t="shared" si="704"/>
        <v>1.2158040683960003</v>
      </c>
      <c r="AI273" s="219">
        <f t="shared" si="704"/>
        <v>1.3414222009240007</v>
      </c>
      <c r="AJ273" s="219"/>
      <c r="AK273" s="219"/>
      <c r="AL273" s="219"/>
    </row>
    <row r="274" spans="1:38">
      <c r="A274" s="195" t="str">
        <f t="shared" si="701"/>
        <v>Heating No. 2</v>
      </c>
      <c r="B274" s="195" t="str">
        <f>VLOOKUP($A274,Types!$A$2:$C$13,2,FALSE)</f>
        <v>DSH</v>
      </c>
      <c r="C274" s="195">
        <v>4</v>
      </c>
      <c r="D274" s="195">
        <v>5</v>
      </c>
      <c r="E274" s="195" t="str">
        <f t="shared" si="668"/>
        <v>IMPDSHP54</v>
      </c>
      <c r="F274" s="195" t="str">
        <f>CONCATENATE("Imported ",VLOOKUP($A274,Types!$A$2:$C$13,3,FALSE),", PADD ",D274,", Step ",RIGHT(C274,1))</f>
        <v>Imported Distillate-Heating Oil No. 2, PADD 5, Step 4</v>
      </c>
      <c r="G274" s="195" t="str">
        <f>CONCATENATE(VLOOKUP($A274,Types!$A$2:$C$13,2,FALSE),"P",D274)</f>
        <v>DSHP5</v>
      </c>
      <c r="H274" s="239">
        <f>H271*$C$8</f>
        <v>60.681390000000015</v>
      </c>
      <c r="I274" s="239">
        <f t="shared" ref="I274:K274" si="705">I271*$C$8</f>
        <v>55.261910000000007</v>
      </c>
      <c r="J274" s="239">
        <f t="shared" si="705"/>
        <v>40.907700000000006</v>
      </c>
      <c r="K274" s="239">
        <f t="shared" si="705"/>
        <v>43.981500000000004</v>
      </c>
      <c r="L274" s="240">
        <f>H274*Conv!$J$20/10^6/VLOOKUP($B274,Types!$B$2:$D$13,3,FALSE)/Conv!$I$5</f>
        <v>15.151215520923333</v>
      </c>
      <c r="M274" s="240">
        <f>I274*Conv!$J$20/10^6/VLOOKUP($B274,Types!$B$2:$D$13,3,FALSE)/Conv!$I$5</f>
        <v>13.798054205875449</v>
      </c>
      <c r="N274" s="240">
        <f>M274*'Imported Price Trends'!$K$19</f>
        <v>14.85701151073374</v>
      </c>
      <c r="O274" s="240">
        <f>N274*'Imported Price Trends'!$L$19</f>
        <v>14.715749984041878</v>
      </c>
      <c r="P274" s="240">
        <f>O274*'Imported Price Trends'!$M$19</f>
        <v>15.879327814437767</v>
      </c>
      <c r="Q274" s="240">
        <f>P274*'Imported Price Trends'!$N$19</f>
        <v>16.791474123510206</v>
      </c>
      <c r="R274" s="240">
        <f>Q274*'Imported Price Trends'!$O$19</f>
        <v>18.040491841805022</v>
      </c>
      <c r="S274" s="240">
        <f>R274*'Imported Price Trends'!$O$19</f>
        <v>19.382416546653811</v>
      </c>
      <c r="T274" s="240">
        <f>S274*'Imported Price Trends'!$O$19</f>
        <v>20.824159035256738</v>
      </c>
      <c r="U274" s="240">
        <f>T274*'Imported Price Trends'!$O$19</f>
        <v>22.373144157843907</v>
      </c>
      <c r="V274" s="240">
        <f>U274*'Imported Price Trends'!$O$19</f>
        <v>24.037349055017611</v>
      </c>
      <c r="W274" s="219"/>
      <c r="X274" s="195">
        <f>X271*$E$8</f>
        <v>6.0840000000000005</v>
      </c>
      <c r="Y274" s="195">
        <f t="shared" ref="Y274:AA274" si="706">Y271*$E$8</f>
        <v>5.8920000000000003</v>
      </c>
      <c r="Z274" s="195">
        <f t="shared" si="706"/>
        <v>6.5039999999999996</v>
      </c>
      <c r="AA274" s="195">
        <f t="shared" si="706"/>
        <v>7.1760000000000002</v>
      </c>
      <c r="AB274" s="219">
        <f>X274*VLOOKUP($B274,Types!$B$2:$D$13,3,FALSE)*Conv!$I$5*1000*365</f>
        <v>13.647512826792001</v>
      </c>
      <c r="AC274" s="219">
        <f>Y274*VLOOKUP($B274,Types!$B$2:$D$13,3,FALSE)*Conv!$I$5*1000*365</f>
        <v>13.216822086695998</v>
      </c>
      <c r="AD274" s="219">
        <f>Z274*VLOOKUP($B274,Types!$B$2:$D$13,3,FALSE)*Conv!$I$5*1000*365</f>
        <v>14.589648820751998</v>
      </c>
      <c r="AE274" s="219">
        <f>AA274*VLOOKUP($B274,Types!$B$2:$D$13,3,FALSE)*Conv!$I$5*1000*365</f>
        <v>16.097066411088001</v>
      </c>
      <c r="AF274" s="219">
        <f>AB274-AB271</f>
        <v>2.2745854711319993</v>
      </c>
      <c r="AG274" s="219">
        <f t="shared" ref="AG274:AI274" si="707">AC274-AC271</f>
        <v>2.2028036811159986</v>
      </c>
      <c r="AH274" s="219">
        <f t="shared" si="707"/>
        <v>2.4316081367919988</v>
      </c>
      <c r="AI274" s="219">
        <f t="shared" si="707"/>
        <v>2.6828444018480013</v>
      </c>
      <c r="AJ274" s="219"/>
      <c r="AK274" s="219"/>
      <c r="AL274" s="219"/>
    </row>
    <row r="275" spans="1:38">
      <c r="A275" s="195" t="str">
        <f t="shared" si="701"/>
        <v>Heating No. 2</v>
      </c>
      <c r="B275" s="195" t="str">
        <f>VLOOKUP($A275,Types!$A$2:$C$13,2,FALSE)</f>
        <v>DSH</v>
      </c>
      <c r="C275" s="195">
        <v>5</v>
      </c>
      <c r="D275" s="195">
        <v>5</v>
      </c>
      <c r="E275" s="195" t="str">
        <f t="shared" si="668"/>
        <v>IMPDSHP55</v>
      </c>
      <c r="F275" s="195" t="str">
        <f>CONCATENATE("Imported ",VLOOKUP($A275,Types!$A$2:$C$13,3,FALSE),", PADD ",D275,", Step ",RIGHT(C275,1))</f>
        <v>Imported Distillate-Heating Oil No. 2, PADD 5, Step 5</v>
      </c>
      <c r="G275" s="195" t="str">
        <f>CONCATENATE(VLOOKUP($A275,Types!$A$2:$C$13,2,FALSE),"P",D275)</f>
        <v>DSHP5</v>
      </c>
      <c r="H275" s="239">
        <f>H271*$C$9</f>
        <v>72.37230000000001</v>
      </c>
      <c r="I275" s="239">
        <f t="shared" ref="I275:K275" si="708">I271*$C$9</f>
        <v>65.90870000000001</v>
      </c>
      <c r="J275" s="239">
        <f t="shared" si="708"/>
        <v>48.789000000000001</v>
      </c>
      <c r="K275" s="239">
        <f t="shared" si="708"/>
        <v>52.455000000000005</v>
      </c>
      <c r="L275" s="240">
        <f>H275*Conv!$J$20/10^6/VLOOKUP($B275,Types!$B$2:$D$13,3,FALSE)/Conv!$I$5</f>
        <v>18.070257043303059</v>
      </c>
      <c r="M275" s="240">
        <f>I275*Conv!$J$20/10^6/VLOOKUP($B275,Types!$B$2:$D$13,3,FALSE)/Conv!$I$5</f>
        <v>16.456394924438605</v>
      </c>
      <c r="N275" s="240">
        <f>M275*'Imported Price Trends'!$K$19</f>
        <v>17.719371526563172</v>
      </c>
      <c r="O275" s="240">
        <f>N275*'Imported Price Trends'!$L$19</f>
        <v>17.550894476380218</v>
      </c>
      <c r="P275" s="240">
        <f>O275*'Imported Price Trends'!$M$19</f>
        <v>18.938647852081736</v>
      </c>
      <c r="Q275" s="240">
        <f>P275*'Imported Price Trends'!$N$19</f>
        <v>20.026528771158954</v>
      </c>
      <c r="R275" s="240">
        <f>Q275*'Imported Price Trends'!$O$19</f>
        <v>21.516182930593139</v>
      </c>
      <c r="S275" s="240">
        <f>R275*'Imported Price Trends'!$O$19</f>
        <v>23.116643587752247</v>
      </c>
      <c r="T275" s="240">
        <f>S275*'Imported Price Trends'!$O$19</f>
        <v>24.83615297782913</v>
      </c>
      <c r="U275" s="240">
        <f>T275*'Imported Price Trends'!$O$19</f>
        <v>26.683566426786303</v>
      </c>
      <c r="V275" s="240">
        <f>U275*'Imported Price Trends'!$O$19</f>
        <v>28.668397955525581</v>
      </c>
      <c r="W275" s="219"/>
      <c r="X275" s="195">
        <f>X271*$E$9</f>
        <v>10.14</v>
      </c>
      <c r="Y275" s="195">
        <f t="shared" ref="Y275:AA275" si="709">Y271*$E$9</f>
        <v>9.82</v>
      </c>
      <c r="Z275" s="195">
        <f t="shared" si="709"/>
        <v>10.84</v>
      </c>
      <c r="AA275" s="195">
        <f t="shared" si="709"/>
        <v>11.96</v>
      </c>
      <c r="AB275" s="219">
        <f>X275*VLOOKUP($B275,Types!$B$2:$D$13,3,FALSE)*Conv!$I$5*1000*365</f>
        <v>22.745854711320003</v>
      </c>
      <c r="AC275" s="219">
        <f>Y275*VLOOKUP($B275,Types!$B$2:$D$13,3,FALSE)*Conv!$I$5*1000*365</f>
        <v>22.02803681116</v>
      </c>
      <c r="AD275" s="219">
        <f>Z275*VLOOKUP($B275,Types!$B$2:$D$13,3,FALSE)*Conv!$I$5*1000*365</f>
        <v>24.316081367919999</v>
      </c>
      <c r="AE275" s="219">
        <f>AA275*VLOOKUP($B275,Types!$B$2:$D$13,3,FALSE)*Conv!$I$5*1000*365</f>
        <v>26.828444018479999</v>
      </c>
      <c r="AF275" s="219">
        <f>AB275-AB274</f>
        <v>9.0983418845280024</v>
      </c>
      <c r="AG275" s="219">
        <f t="shared" ref="AG275:AI275" si="710">AC275-AC274</f>
        <v>8.8112147244640013</v>
      </c>
      <c r="AH275" s="219">
        <f t="shared" si="710"/>
        <v>9.7264325471680007</v>
      </c>
      <c r="AI275" s="219">
        <f t="shared" si="710"/>
        <v>10.731377607391998</v>
      </c>
      <c r="AJ275" s="219"/>
      <c r="AK275" s="219"/>
      <c r="AL275" s="219"/>
    </row>
    <row r="276" spans="1:38">
      <c r="A276" s="195" t="str">
        <f>'Agg prdcrv'!$A$9</f>
        <v>LS Diesel (500 ppm)</v>
      </c>
      <c r="B276" s="195" t="str">
        <f>VLOOKUP($A276,Types!$A$2:$C$13,2,FALSE)</f>
        <v>DSL</v>
      </c>
      <c r="C276" s="195">
        <v>3</v>
      </c>
      <c r="D276" s="195">
        <v>5</v>
      </c>
      <c r="E276" s="195" t="str">
        <f t="shared" si="668"/>
        <v>IMPDSLP53</v>
      </c>
      <c r="F276" s="195" t="str">
        <f>CONCATENATE("Imported ",VLOOKUP($A276,Types!$A$2:$C$13,3,FALSE),", PADD ",D276,", Step ",RIGHT(C276,1))</f>
        <v>Imported Distillate-Low Sulfur Highway Diesel (500 ppm), PADD 5, Step 3</v>
      </c>
      <c r="G276" s="195" t="str">
        <f>CONCATENATE(VLOOKUP($A276,Types!$A$2:$C$13,2,FALSE),"P",D276)</f>
        <v>DSLP5</v>
      </c>
      <c r="H276" s="239">
        <f>SUMIFS('Agg prdcrv NYC'!$P$6:$P$100,'Agg prdcrv NYC'!$A$6:$A$100,'Imp Refined NYC'!$A276,'Agg prdcrv NYC'!$B$6:$B$100,H$11)*K4</f>
        <v>64.954999999999998</v>
      </c>
      <c r="I276" s="239">
        <f>SUMIFS('Agg prdcrv NYC'!$P$6:$P$100,'Agg prdcrv NYC'!$A$6:$A$100,'Imp Refined NYC'!$A276,'Agg prdcrv NYC'!$B$6:$B$100,I$11)*K4</f>
        <v>50.875000000000007</v>
      </c>
      <c r="J276" s="239">
        <f t="array" ref="J276">SUMIFS('Agg prdcrv NYC'!$P$6:$P$100,'Agg prdcrv NYC'!$A$6:$A$100,'Imp Refined NYC'!$A276,'Agg prdcrv NYC'!$B$6:$B$100,J$11)</f>
        <v>113.5</v>
      </c>
      <c r="K276" s="239">
        <f t="array" ref="K276">SUMIFS('Agg prdcrv NYC'!$P$6:$P$100,'Agg prdcrv NYC'!$A$6:$A$100,'Imp Refined NYC'!$A276,'Agg prdcrv NYC'!$B$6:$B$100,K$11)</f>
        <v>113.5</v>
      </c>
      <c r="L276" s="240">
        <f>H276*Conv!$J$20/10^6/VLOOKUP($B276,Types!$B$2:$D$13,3,FALSE)/Conv!$I$5</f>
        <v>16.218270612482261</v>
      </c>
      <c r="M276" s="240">
        <f>I276*Conv!$J$20/10^6/VLOOKUP($B276,Types!$B$2:$D$13,3,FALSE)/Conv!$I$5</f>
        <v>12.702709836194831</v>
      </c>
      <c r="N276" s="240">
        <f>M276*'Imported Price Trends'!$K$19</f>
        <v>13.677602902407447</v>
      </c>
      <c r="O276" s="240">
        <f>N276*'Imported Price Trends'!$L$19</f>
        <v>13.54755527700962</v>
      </c>
      <c r="P276" s="240">
        <f>O276*'Imported Price Trends'!$M$19</f>
        <v>14.618763675731106</v>
      </c>
      <c r="Q276" s="240">
        <f>P276*'Imported Price Trends'!$N$19</f>
        <v>15.458500186359499</v>
      </c>
      <c r="R276" s="240">
        <f>Q276*'Imported Price Trends'!$O$19</f>
        <v>16.608365915181555</v>
      </c>
      <c r="S276" s="240">
        <f>R276*'Imported Price Trends'!$O$19</f>
        <v>17.843763304797335</v>
      </c>
      <c r="T276" s="240">
        <f>S276*'Imported Price Trends'!$O$19</f>
        <v>19.171054545865076</v>
      </c>
      <c r="U276" s="240">
        <f>T276*'Imported Price Trends'!$O$19</f>
        <v>20.597075074500843</v>
      </c>
      <c r="V276" s="240">
        <f>U276*'Imported Price Trends'!$O$19</f>
        <v>22.129168774188607</v>
      </c>
      <c r="W276" s="219"/>
      <c r="X276" s="195">
        <f t="array" ref="X276">SUMIFS('Agg prdcrv NYC'!$H$6:$H$100,'Agg prdcrv NYC'!$A$6:$A$100,'Imp Refined NYC'!$A276,'Agg prdcrv NYC'!$B$6:$B$100,X$11)</f>
        <v>13.73</v>
      </c>
      <c r="Y276" s="195">
        <f t="array" ref="Y276">SUMIFS('Agg prdcrv NYC'!$H$6:$H$100,'Agg prdcrv NYC'!$A$6:$A$100,'Imp Refined NYC'!$A276,'Agg prdcrv NYC'!$B$6:$B$100,Y$11)</f>
        <v>4.3</v>
      </c>
      <c r="Z276" s="195">
        <f t="array" ref="Z276">SUMIFS('Agg prdcrv NYC'!$H$6:$H$100,'Agg prdcrv NYC'!$A$6:$A$100,'Imp Refined NYC'!$A276,'Agg prdcrv NYC'!$B$6:$B$100,Z$11)</f>
        <v>1.02</v>
      </c>
      <c r="AA276" s="195">
        <f t="array" ref="AA276">SUMIFS('Agg prdcrv NYC'!$H$6:$H$100,'Agg prdcrv NYC'!$A$6:$A$100,'Imp Refined NYC'!$A276,'Agg prdcrv NYC'!$B$6:$B$100,AA$11)</f>
        <v>0.24</v>
      </c>
      <c r="AB276" s="219">
        <f>X276*VLOOKUP($B276,Types!$B$2:$D$13,3,FALSE)*Conv!$I$5*1000*365</f>
        <v>30.798874278739998</v>
      </c>
      <c r="AC276" s="219">
        <f>Y276*VLOOKUP($B276,Types!$B$2:$D$13,3,FALSE)*Conv!$I$5*1000*365</f>
        <v>9.6456780333999994</v>
      </c>
      <c r="AD276" s="219">
        <f>Z276*VLOOKUP($B276,Types!$B$2:$D$13,3,FALSE)*Conv!$I$5*1000*365</f>
        <v>2.2880445567600001</v>
      </c>
      <c r="AE276" s="219">
        <f>AA276*VLOOKUP($B276,Types!$B$2:$D$13,3,FALSE)*Conv!$I$5*1000*365</f>
        <v>0.53836342511999991</v>
      </c>
      <c r="AF276" s="219">
        <f>AB276-AB278</f>
        <v>3.0798874278739987</v>
      </c>
      <c r="AG276" s="219">
        <f t="shared" ref="AG276:AI276" si="711">AC276-AC278</f>
        <v>0.96456780333999959</v>
      </c>
      <c r="AH276" s="219">
        <f t="shared" si="711"/>
        <v>0.22880445567599983</v>
      </c>
      <c r="AI276" s="219">
        <f t="shared" si="711"/>
        <v>5.3836342511999979E-2</v>
      </c>
      <c r="AJ276" s="219"/>
      <c r="AK276" s="219"/>
      <c r="AL276" s="219"/>
    </row>
    <row r="277" spans="1:38">
      <c r="A277" s="195" t="str">
        <f>A276</f>
        <v>LS Diesel (500 ppm)</v>
      </c>
      <c r="B277" s="195" t="str">
        <f>VLOOKUP($A277,Types!$A$2:$C$13,2,FALSE)</f>
        <v>DSL</v>
      </c>
      <c r="C277" s="195">
        <v>1</v>
      </c>
      <c r="D277" s="195">
        <v>5</v>
      </c>
      <c r="E277" s="195" t="str">
        <f t="shared" si="668"/>
        <v>IMPDSLP51</v>
      </c>
      <c r="F277" s="195" t="str">
        <f>CONCATENATE("Imported ",VLOOKUP($A277,Types!$A$2:$C$13,3,FALSE),", PADD ",D277,", Step ",RIGHT(C277,1))</f>
        <v>Imported Distillate-Low Sulfur Highway Diesel (500 ppm), PADD 5, Step 1</v>
      </c>
      <c r="G277" s="195" t="str">
        <f>CONCATENATE(VLOOKUP($A277,Types!$A$2:$C$13,2,FALSE),"P",D277)</f>
        <v>DSLP5</v>
      </c>
      <c r="H277" s="239">
        <f>H276*$C$5</f>
        <v>61.707249999999995</v>
      </c>
      <c r="I277" s="239">
        <f t="shared" ref="I277:K277" si="712">I276*$C$5</f>
        <v>48.331250000000004</v>
      </c>
      <c r="J277" s="239">
        <f t="shared" si="712"/>
        <v>107.82499999999999</v>
      </c>
      <c r="K277" s="239">
        <f t="shared" si="712"/>
        <v>107.82499999999999</v>
      </c>
      <c r="L277" s="240">
        <f>H277*Conv!$J$20/10^6/VLOOKUP($B277,Types!$B$2:$D$13,3,FALSE)/Conv!$I$5</f>
        <v>15.407357081858146</v>
      </c>
      <c r="M277" s="240">
        <f>I277*Conv!$J$20/10^6/VLOOKUP($B277,Types!$B$2:$D$13,3,FALSE)/Conv!$I$5</f>
        <v>12.067574344385086</v>
      </c>
      <c r="N277" s="240">
        <f>M277*'Imported Price Trends'!$K$19</f>
        <v>12.99372275728707</v>
      </c>
      <c r="O277" s="240">
        <f>N277*'Imported Price Trends'!$L$19</f>
        <v>12.870177513159135</v>
      </c>
      <c r="P277" s="240">
        <f>O277*'Imported Price Trends'!$M$19</f>
        <v>13.887825491944547</v>
      </c>
      <c r="Q277" s="240">
        <f>P277*'Imported Price Trends'!$N$19</f>
        <v>14.685575177041519</v>
      </c>
      <c r="R277" s="240">
        <f>Q277*'Imported Price Trends'!$O$19</f>
        <v>15.77794761942247</v>
      </c>
      <c r="S277" s="240">
        <f>R277*'Imported Price Trends'!$O$19</f>
        <v>16.951575139557463</v>
      </c>
      <c r="T277" s="240">
        <f>S277*'Imported Price Trends'!$O$19</f>
        <v>18.212501818571816</v>
      </c>
      <c r="U277" s="240">
        <f>T277*'Imported Price Trends'!$O$19</f>
        <v>19.567221320775797</v>
      </c>
      <c r="V277" s="240">
        <f>U277*'Imported Price Trends'!$O$19</f>
        <v>21.022710335479172</v>
      </c>
      <c r="W277" s="219"/>
      <c r="X277" s="195">
        <f>X276*$E$5</f>
        <v>10.984000000000002</v>
      </c>
      <c r="Y277" s="195">
        <f t="shared" ref="Y277:AA277" si="713">Y276*$E$5</f>
        <v>3.44</v>
      </c>
      <c r="Z277" s="195">
        <f t="shared" si="713"/>
        <v>0.81600000000000006</v>
      </c>
      <c r="AA277" s="195">
        <f t="shared" si="713"/>
        <v>0.192</v>
      </c>
      <c r="AB277" s="219">
        <f>X277*VLOOKUP($B277,Types!$B$2:$D$13,3,FALSE)*Conv!$I$5*1000*365</f>
        <v>24.639099422992004</v>
      </c>
      <c r="AC277" s="219">
        <f>Y277*VLOOKUP($B277,Types!$B$2:$D$13,3,FALSE)*Conv!$I$5*1000*365</f>
        <v>7.7165424267199993</v>
      </c>
      <c r="AD277" s="219">
        <f>Z277*VLOOKUP($B277,Types!$B$2:$D$13,3,FALSE)*Conv!$I$5*1000*365</f>
        <v>1.8304356454080002</v>
      </c>
      <c r="AE277" s="219">
        <f>AA277*VLOOKUP($B277,Types!$B$2:$D$13,3,FALSE)*Conv!$I$5*1000*365</f>
        <v>0.43069074009599995</v>
      </c>
      <c r="AF277" s="219">
        <f>AB277</f>
        <v>24.639099422992004</v>
      </c>
      <c r="AG277" s="219">
        <f t="shared" ref="AG277:AI277" si="714">AC277</f>
        <v>7.7165424267199993</v>
      </c>
      <c r="AH277" s="219">
        <f t="shared" si="714"/>
        <v>1.8304356454080002</v>
      </c>
      <c r="AI277" s="219">
        <f t="shared" si="714"/>
        <v>0.43069074009599995</v>
      </c>
      <c r="AJ277" s="219"/>
      <c r="AK277" s="219"/>
      <c r="AL277" s="219"/>
    </row>
    <row r="278" spans="1:38">
      <c r="A278" s="195" t="str">
        <f t="shared" ref="A278:A280" si="715">A277</f>
        <v>LS Diesel (500 ppm)</v>
      </c>
      <c r="B278" s="195" t="str">
        <f>VLOOKUP($A278,Types!$A$2:$C$13,2,FALSE)</f>
        <v>DSL</v>
      </c>
      <c r="C278" s="195">
        <v>2</v>
      </c>
      <c r="D278" s="195">
        <v>5</v>
      </c>
      <c r="E278" s="195" t="str">
        <f t="shared" si="668"/>
        <v>IMPDSLP52</v>
      </c>
      <c r="F278" s="195" t="str">
        <f>CONCATENATE("Imported ",VLOOKUP($A278,Types!$A$2:$C$13,3,FALSE),", PADD ",D278,", Step ",RIGHT(C278,1))</f>
        <v>Imported Distillate-Low Sulfur Highway Diesel (500 ppm), PADD 5, Step 2</v>
      </c>
      <c r="G278" s="195" t="str">
        <f>CONCATENATE(VLOOKUP($A278,Types!$A$2:$C$13,2,FALSE),"P",D278)</f>
        <v>DSLP5</v>
      </c>
      <c r="H278" s="239">
        <f>H276*$C$6</f>
        <v>63.655899999999995</v>
      </c>
      <c r="I278" s="239">
        <f t="shared" ref="I278:K278" si="716">I276*$C$6</f>
        <v>49.857500000000009</v>
      </c>
      <c r="J278" s="239">
        <f t="shared" si="716"/>
        <v>111.23</v>
      </c>
      <c r="K278" s="239">
        <f t="shared" si="716"/>
        <v>111.23</v>
      </c>
      <c r="L278" s="240">
        <f>H278*Conv!$J$20/10^6/VLOOKUP($B278,Types!$B$2:$D$13,3,FALSE)/Conv!$I$5</f>
        <v>15.893905200232616</v>
      </c>
      <c r="M278" s="240">
        <f>I278*Conv!$J$20/10^6/VLOOKUP($B278,Types!$B$2:$D$13,3,FALSE)/Conv!$I$5</f>
        <v>12.448655639470932</v>
      </c>
      <c r="N278" s="240">
        <f>M278*'Imported Price Trends'!$K$19</f>
        <v>13.404050844359295</v>
      </c>
      <c r="O278" s="240">
        <f>N278*'Imported Price Trends'!$L$19</f>
        <v>13.276604171469424</v>
      </c>
      <c r="P278" s="240">
        <f>O278*'Imported Price Trends'!$M$19</f>
        <v>14.32638840221648</v>
      </c>
      <c r="Q278" s="240">
        <f>P278*'Imported Price Trends'!$N$19</f>
        <v>15.149330182632305</v>
      </c>
      <c r="R278" s="240">
        <f>Q278*'Imported Price Trends'!$O$19</f>
        <v>16.276198596877919</v>
      </c>
      <c r="S278" s="240">
        <f>R278*'Imported Price Trends'!$O$19</f>
        <v>17.486888038701384</v>
      </c>
      <c r="T278" s="240">
        <f>S278*'Imported Price Trends'!$O$19</f>
        <v>18.78763345494777</v>
      </c>
      <c r="U278" s="240">
        <f>T278*'Imported Price Trends'!$O$19</f>
        <v>20.185133573010823</v>
      </c>
      <c r="V278" s="240">
        <f>U278*'Imported Price Trends'!$O$19</f>
        <v>21.686585398704828</v>
      </c>
      <c r="W278" s="219"/>
      <c r="X278" s="195">
        <f>X276*$E$6</f>
        <v>12.357000000000001</v>
      </c>
      <c r="Y278" s="195">
        <f t="shared" ref="Y278:AA278" si="717">Y276*$E$6</f>
        <v>3.87</v>
      </c>
      <c r="Z278" s="195">
        <f t="shared" si="717"/>
        <v>0.91800000000000004</v>
      </c>
      <c r="AA278" s="195">
        <f t="shared" si="717"/>
        <v>0.216</v>
      </c>
      <c r="AB278" s="219">
        <f>X278*VLOOKUP($B278,Types!$B$2:$D$13,3,FALSE)*Conv!$I$5*1000*365</f>
        <v>27.718986850865999</v>
      </c>
      <c r="AC278" s="219">
        <f>Y278*VLOOKUP($B278,Types!$B$2:$D$13,3,FALSE)*Conv!$I$5*1000*365</f>
        <v>8.6811102300599998</v>
      </c>
      <c r="AD278" s="219">
        <f>Z278*VLOOKUP($B278,Types!$B$2:$D$13,3,FALSE)*Conv!$I$5*1000*365</f>
        <v>2.0592401010840002</v>
      </c>
      <c r="AE278" s="219">
        <f>AA278*VLOOKUP($B278,Types!$B$2:$D$13,3,FALSE)*Conv!$I$5*1000*365</f>
        <v>0.48452708260799993</v>
      </c>
      <c r="AF278" s="219">
        <f>AB278-AF277</f>
        <v>3.0798874278739952</v>
      </c>
      <c r="AG278" s="219">
        <f t="shared" ref="AG278:AI278" si="718">AC278-AG277</f>
        <v>0.96456780334000047</v>
      </c>
      <c r="AH278" s="219">
        <f t="shared" si="718"/>
        <v>0.22880445567600005</v>
      </c>
      <c r="AI278" s="219">
        <f t="shared" si="718"/>
        <v>5.3836342511999979E-2</v>
      </c>
      <c r="AJ278" s="219"/>
      <c r="AK278" s="219"/>
      <c r="AL278" s="219"/>
    </row>
    <row r="279" spans="1:38">
      <c r="A279" s="195" t="str">
        <f t="shared" si="715"/>
        <v>LS Diesel (500 ppm)</v>
      </c>
      <c r="B279" s="195" t="str">
        <f>VLOOKUP($A279,Types!$A$2:$C$13,2,FALSE)</f>
        <v>DSL</v>
      </c>
      <c r="C279" s="195">
        <v>4</v>
      </c>
      <c r="D279" s="195">
        <v>5</v>
      </c>
      <c r="E279" s="195" t="str">
        <f t="shared" si="668"/>
        <v>IMPDSLP54</v>
      </c>
      <c r="F279" s="195" t="str">
        <f>CONCATENATE("Imported ",VLOOKUP($A279,Types!$A$2:$C$13,3,FALSE),", PADD ",D279,", Step ",RIGHT(C279,1))</f>
        <v>Imported Distillate-Low Sulfur Highway Diesel (500 ppm), PADD 5, Step 4</v>
      </c>
      <c r="G279" s="195" t="str">
        <f>CONCATENATE(VLOOKUP($A279,Types!$A$2:$C$13,2,FALSE),"P",D279)</f>
        <v>DSLP5</v>
      </c>
      <c r="H279" s="239">
        <f>H276*$C$8</f>
        <v>70.80095</v>
      </c>
      <c r="I279" s="239">
        <f t="shared" ref="I279:K279" si="719">I276*$C$8</f>
        <v>55.453750000000014</v>
      </c>
      <c r="J279" s="239">
        <f t="shared" si="719"/>
        <v>123.715</v>
      </c>
      <c r="K279" s="239">
        <f t="shared" si="719"/>
        <v>123.715</v>
      </c>
      <c r="L279" s="240">
        <f>H279*Conv!$J$20/10^6/VLOOKUP($B279,Types!$B$2:$D$13,3,FALSE)/Conv!$I$5</f>
        <v>17.677914967605663</v>
      </c>
      <c r="M279" s="240">
        <f>I279*Conv!$J$20/10^6/VLOOKUP($B279,Types!$B$2:$D$13,3,FALSE)/Conv!$I$5</f>
        <v>13.845953721452368</v>
      </c>
      <c r="N279" s="240">
        <f>M279*'Imported Price Trends'!$K$19</f>
        <v>14.908587163624119</v>
      </c>
      <c r="O279" s="240">
        <f>N279*'Imported Price Trends'!$L$19</f>
        <v>14.766835251940487</v>
      </c>
      <c r="P279" s="240">
        <f>O279*'Imported Price Trends'!$M$19</f>
        <v>15.934452406546907</v>
      </c>
      <c r="Q279" s="240">
        <f>P279*'Imported Price Trends'!$N$19</f>
        <v>16.849765203131856</v>
      </c>
      <c r="R279" s="240">
        <f>Q279*'Imported Price Trends'!$O$19</f>
        <v>18.103118847547893</v>
      </c>
      <c r="S279" s="240">
        <f>R279*'Imported Price Trends'!$O$19</f>
        <v>19.449702002229095</v>
      </c>
      <c r="T279" s="240">
        <f>S279*'Imported Price Trends'!$O$19</f>
        <v>20.896449454992933</v>
      </c>
      <c r="U279" s="240">
        <f>T279*'Imported Price Trends'!$O$19</f>
        <v>22.450811831205922</v>
      </c>
      <c r="V279" s="240">
        <f>U279*'Imported Price Trends'!$O$19</f>
        <v>24.120793963865584</v>
      </c>
      <c r="W279" s="219"/>
      <c r="X279" s="195">
        <f>X276*$E$8</f>
        <v>16.475999999999999</v>
      </c>
      <c r="Y279" s="195">
        <f t="shared" ref="Y279:AA279" si="720">Y276*$E$8</f>
        <v>5.1599999999999993</v>
      </c>
      <c r="Z279" s="195">
        <f t="shared" si="720"/>
        <v>1.224</v>
      </c>
      <c r="AA279" s="195">
        <f t="shared" si="720"/>
        <v>0.28799999999999998</v>
      </c>
      <c r="AB279" s="219">
        <f>X279*VLOOKUP($B279,Types!$B$2:$D$13,3,FALSE)*Conv!$I$5*1000*365</f>
        <v>36.958649134487999</v>
      </c>
      <c r="AC279" s="219">
        <f>Y279*VLOOKUP($B279,Types!$B$2:$D$13,3,FALSE)*Conv!$I$5*1000*365</f>
        <v>11.574813640079999</v>
      </c>
      <c r="AD279" s="219">
        <f>Z279*VLOOKUP($B279,Types!$B$2:$D$13,3,FALSE)*Conv!$I$5*1000*365</f>
        <v>2.7456534681120002</v>
      </c>
      <c r="AE279" s="219">
        <f>AA279*VLOOKUP($B279,Types!$B$2:$D$13,3,FALSE)*Conv!$I$5*1000*365</f>
        <v>0.64603611014399998</v>
      </c>
      <c r="AF279" s="219">
        <f>AB279-AB276</f>
        <v>6.159774855748001</v>
      </c>
      <c r="AG279" s="219">
        <f t="shared" ref="AG279:AI279" si="721">AC279-AC276</f>
        <v>1.9291356066799992</v>
      </c>
      <c r="AH279" s="219">
        <f t="shared" si="721"/>
        <v>0.4576089113520001</v>
      </c>
      <c r="AI279" s="219">
        <f t="shared" si="721"/>
        <v>0.10767268502400007</v>
      </c>
      <c r="AJ279" s="219"/>
      <c r="AK279" s="219"/>
      <c r="AL279" s="219"/>
    </row>
    <row r="280" spans="1:38">
      <c r="A280" s="195" t="str">
        <f t="shared" si="715"/>
        <v>LS Diesel (500 ppm)</v>
      </c>
      <c r="B280" s="195" t="str">
        <f>VLOOKUP($A280,Types!$A$2:$C$13,2,FALSE)</f>
        <v>DSL</v>
      </c>
      <c r="C280" s="195">
        <v>5</v>
      </c>
      <c r="D280" s="195">
        <v>5</v>
      </c>
      <c r="E280" s="195" t="str">
        <f t="shared" si="668"/>
        <v>IMPDSLP55</v>
      </c>
      <c r="F280" s="195" t="str">
        <f>CONCATENATE("Imported ",VLOOKUP($A280,Types!$A$2:$C$13,3,FALSE),", PADD ",D280,", Step ",RIGHT(C280,1))</f>
        <v>Imported Distillate-Low Sulfur Highway Diesel (500 ppm), PADD 5, Step 5</v>
      </c>
      <c r="G280" s="195" t="str">
        <f>CONCATENATE(VLOOKUP($A280,Types!$A$2:$C$13,2,FALSE),"P",D280)</f>
        <v>DSLP5</v>
      </c>
      <c r="H280" s="239">
        <f>H276*$C$9</f>
        <v>84.441500000000005</v>
      </c>
      <c r="I280" s="239">
        <f t="shared" ref="I280:K280" si="722">I276*$C$9</f>
        <v>66.137500000000017</v>
      </c>
      <c r="J280" s="239">
        <f t="shared" si="722"/>
        <v>147.55000000000001</v>
      </c>
      <c r="K280" s="239">
        <f t="shared" si="722"/>
        <v>147.55000000000001</v>
      </c>
      <c r="L280" s="240">
        <f>H280*Conv!$J$20/10^6/VLOOKUP($B280,Types!$B$2:$D$13,3,FALSE)/Conv!$I$5</f>
        <v>21.083751796226942</v>
      </c>
      <c r="M280" s="240">
        <f>I280*Conv!$J$20/10^6/VLOOKUP($B280,Types!$B$2:$D$13,3,FALSE)/Conv!$I$5</f>
        <v>16.513522787053279</v>
      </c>
      <c r="N280" s="240">
        <f>M280*'Imported Price Trends'!$K$19</f>
        <v>17.78088377312968</v>
      </c>
      <c r="O280" s="240">
        <f>N280*'Imported Price Trends'!$L$19</f>
        <v>17.611821860112503</v>
      </c>
      <c r="P280" s="240">
        <f>O280*'Imported Price Trends'!$M$19</f>
        <v>19.004392778450434</v>
      </c>
      <c r="Q280" s="240">
        <f>P280*'Imported Price Trends'!$N$19</f>
        <v>20.096050242267342</v>
      </c>
      <c r="R280" s="240">
        <f>Q280*'Imported Price Trends'!$O$19</f>
        <v>21.590875689736013</v>
      </c>
      <c r="S280" s="240">
        <f>R280*'Imported Price Trends'!$O$19</f>
        <v>23.196892296236527</v>
      </c>
      <c r="T280" s="240">
        <f>S280*'Imported Price Trends'!$O$19</f>
        <v>24.92237090962459</v>
      </c>
      <c r="U280" s="240">
        <f>T280*'Imported Price Trends'!$O$19</f>
        <v>26.776197596851087</v>
      </c>
      <c r="V280" s="240">
        <f>U280*'Imported Price Trends'!$O$19</f>
        <v>28.767919406445177</v>
      </c>
      <c r="W280" s="219"/>
      <c r="X280" s="195">
        <f>X276*$E$9</f>
        <v>27.46</v>
      </c>
      <c r="Y280" s="195">
        <f t="shared" ref="Y280:AA280" si="723">Y276*$E$9</f>
        <v>8.6</v>
      </c>
      <c r="Z280" s="195">
        <f t="shared" si="723"/>
        <v>2.04</v>
      </c>
      <c r="AA280" s="195">
        <f t="shared" si="723"/>
        <v>0.48</v>
      </c>
      <c r="AB280" s="219">
        <f>X280*VLOOKUP($B280,Types!$B$2:$D$13,3,FALSE)*Conv!$I$5*1000*365</f>
        <v>61.597748557479996</v>
      </c>
      <c r="AC280" s="219">
        <f>Y280*VLOOKUP($B280,Types!$B$2:$D$13,3,FALSE)*Conv!$I$5*1000*365</f>
        <v>19.291356066799999</v>
      </c>
      <c r="AD280" s="219">
        <f>Z280*VLOOKUP($B280,Types!$B$2:$D$13,3,FALSE)*Conv!$I$5*1000*365</f>
        <v>4.5760891135200001</v>
      </c>
      <c r="AE280" s="219">
        <f>AA280*VLOOKUP($B280,Types!$B$2:$D$13,3,FALSE)*Conv!$I$5*1000*365</f>
        <v>1.0767268502399998</v>
      </c>
      <c r="AF280" s="219">
        <f>AB280-AB279</f>
        <v>24.639099422991997</v>
      </c>
      <c r="AG280" s="219">
        <f t="shared" ref="AG280:AI280" si="724">AC280-AC279</f>
        <v>7.7165424267200002</v>
      </c>
      <c r="AH280" s="219">
        <f t="shared" si="724"/>
        <v>1.830435645408</v>
      </c>
      <c r="AI280" s="219">
        <f t="shared" si="724"/>
        <v>0.43069074009599984</v>
      </c>
      <c r="AJ280" s="219"/>
      <c r="AK280" s="219"/>
      <c r="AL280" s="219"/>
    </row>
    <row r="281" spans="1:38">
      <c r="A281" s="195" t="str">
        <f>'Agg prdcrv'!$A$10</f>
        <v>Low Sulfur Fuel Oil</v>
      </c>
      <c r="B281" s="195" t="str">
        <f>VLOOKUP($A281,Types!$A$2:$C$13,2,FALSE)</f>
        <v>RFL</v>
      </c>
      <c r="C281" s="195">
        <v>3</v>
      </c>
      <c r="D281" s="195">
        <v>5</v>
      </c>
      <c r="E281" s="195" t="str">
        <f t="shared" si="668"/>
        <v>IMPRFLP53</v>
      </c>
      <c r="F281" s="195" t="str">
        <f>CONCATENATE("Imported ",VLOOKUP($A281,Types!$A$2:$C$13,3,FALSE),", PADD ",D281,", Step ",RIGHT(C281,1))</f>
        <v>Imported Low Sulfur Residual Fuel Oil, PADD 5, Step 3</v>
      </c>
      <c r="G281" s="195" t="str">
        <f>CONCATENATE(VLOOKUP($A281,Types!$A$2:$C$13,2,FALSE),"P",D281)</f>
        <v>RFLP5</v>
      </c>
      <c r="H281" s="239">
        <f>SUMIFS('Agg prdcrv NYC'!$P$6:$P$100,'Agg prdcrv NYC'!$A$6:$A$100,'Imp Refined NYC'!$A281,'Agg prdcrv NYC'!$B$6:$B$100,H$11)*K4</f>
        <v>35.816000000000003</v>
      </c>
      <c r="I281" s="239">
        <f>SUMIFS('Agg prdcrv NYC'!$P$6:$P$100,'Agg prdcrv NYC'!$A$6:$A$100,'Imp Refined NYC'!$A281,'Agg prdcrv NYC'!$B$6:$B$100,I$11)*K4</f>
        <v>36.113</v>
      </c>
      <c r="J281" s="239">
        <f t="array" ref="J281">SUMIFS('Agg prdcrv NYC'!$P$6:$P$100,'Agg prdcrv NYC'!$A$6:$A$100,'Imp Refined NYC'!$A281,'Agg prdcrv NYC'!$B$6:$B$100,J$11)</f>
        <v>29.74</v>
      </c>
      <c r="K281" s="239">
        <f t="array" ref="K281">SUMIFS('Agg prdcrv NYC'!$P$6:$P$100,'Agg prdcrv NYC'!$A$6:$A$100,'Imp Refined NYC'!$A281,'Agg prdcrv NYC'!$B$6:$B$100,K$11)</f>
        <v>30.83</v>
      </c>
      <c r="L281" s="240">
        <f>H281*Conv!$J$20/10^6/VLOOKUP($B281,Types!$B$2:$D$13,3,FALSE)/Conv!$I$5</f>
        <v>8.285553124903414</v>
      </c>
      <c r="M281" s="240">
        <f>I281*Conv!$J$20/10^6/VLOOKUP($B281,Types!$B$2:$D$13,3,FALSE)/Conv!$I$5</f>
        <v>8.3542601072045137</v>
      </c>
      <c r="N281" s="240">
        <f>M281*'Imported Price Trends'!$K$19</f>
        <v>8.9954233201627076</v>
      </c>
      <c r="O281" s="240">
        <f>N281*'Imported Price Trends'!$L$19</f>
        <v>8.9098941926845665</v>
      </c>
      <c r="P281" s="240">
        <f>O281*'Imported Price Trends'!$M$19</f>
        <v>9.614401633013701</v>
      </c>
      <c r="Q281" s="240">
        <f>P281*'Imported Price Trends'!$N$19</f>
        <v>10.16667570065527</v>
      </c>
      <c r="R281" s="240">
        <f>Q281*'Imported Price Trends'!$O$19</f>
        <v>10.922914134093135</v>
      </c>
      <c r="S281" s="240">
        <f>R281*'Imported Price Trends'!$O$19</f>
        <v>11.735404639009161</v>
      </c>
      <c r="T281" s="240">
        <f>S281*'Imported Price Trends'!$O$19</f>
        <v>12.608331471856966</v>
      </c>
      <c r="U281" s="240">
        <f>T281*'Imported Price Trends'!$O$19</f>
        <v>13.546190130998408</v>
      </c>
      <c r="V281" s="240">
        <f>U281*'Imported Price Trends'!$O$19</f>
        <v>14.553810508134804</v>
      </c>
      <c r="W281" s="219"/>
      <c r="X281" s="195">
        <f t="array" ref="X281">SUMIFS('Agg prdcrv NYC'!$H$6:$H$100,'Agg prdcrv NYC'!$A$6:$A$100,'Imp Refined NYC'!$A281,'Agg prdcrv NYC'!$B$6:$B$100,X$11)</f>
        <v>10.5</v>
      </c>
      <c r="Y281" s="195">
        <f t="array" ref="Y281">SUMIFS('Agg prdcrv NYC'!$H$6:$H$100,'Agg prdcrv NYC'!$A$6:$A$100,'Imp Refined NYC'!$A281,'Agg prdcrv NYC'!$B$6:$B$100,Y$11)</f>
        <v>8.66</v>
      </c>
      <c r="Z281" s="195">
        <f t="array" ref="Z281">SUMIFS('Agg prdcrv NYC'!$H$6:$H$100,'Agg prdcrv NYC'!$A$6:$A$100,'Imp Refined NYC'!$A281,'Agg prdcrv NYC'!$B$6:$B$100,Z$11)</f>
        <v>9.56</v>
      </c>
      <c r="AA281" s="195">
        <f t="array" ref="AA281">SUMIFS('Agg prdcrv NYC'!$H$6:$H$100,'Agg prdcrv NYC'!$A$6:$A$100,'Imp Refined NYC'!$A281,'Agg prdcrv NYC'!$B$6:$B$100,AA$11)</f>
        <v>10.56</v>
      </c>
      <c r="AB281" s="219">
        <f>X281*VLOOKUP($B281,Types!$B$2:$D$13,3,FALSE)*Conv!$I$5*1000*365</f>
        <v>25.421497828439993</v>
      </c>
      <c r="AC281" s="219">
        <f>Y281*VLOOKUP($B281,Types!$B$2:$D$13,3,FALSE)*Conv!$I$5*1000*365</f>
        <v>20.966682970884797</v>
      </c>
      <c r="AD281" s="219">
        <f>Z281*VLOOKUP($B281,Types!$B$2:$D$13,3,FALSE)*Conv!$I$5*1000*365</f>
        <v>23.145668499036798</v>
      </c>
      <c r="AE281" s="219">
        <f>AA281*VLOOKUP($B281,Types!$B$2:$D$13,3,FALSE)*Conv!$I$5*1000*365</f>
        <v>25.566763530316798</v>
      </c>
      <c r="AF281" s="219">
        <f>AB281-AB283</f>
        <v>2.5421497828439961</v>
      </c>
      <c r="AG281" s="219">
        <f t="shared" ref="AG281:AI281" si="725">AC281-AC283</f>
        <v>2.0966682970884776</v>
      </c>
      <c r="AH281" s="219">
        <f t="shared" si="725"/>
        <v>2.3145668499036773</v>
      </c>
      <c r="AI281" s="219">
        <f t="shared" si="725"/>
        <v>2.5566763530316727</v>
      </c>
      <c r="AJ281" s="219"/>
      <c r="AK281" s="219"/>
      <c r="AL281" s="219"/>
    </row>
    <row r="282" spans="1:38">
      <c r="A282" s="195" t="str">
        <f>A281</f>
        <v>Low Sulfur Fuel Oil</v>
      </c>
      <c r="B282" s="195" t="str">
        <f>VLOOKUP($A282,Types!$A$2:$C$13,2,FALSE)</f>
        <v>RFL</v>
      </c>
      <c r="C282" s="195">
        <v>1</v>
      </c>
      <c r="D282" s="195">
        <v>5</v>
      </c>
      <c r="E282" s="195" t="str">
        <f t="shared" si="668"/>
        <v>IMPRFLP51</v>
      </c>
      <c r="F282" s="195" t="str">
        <f>CONCATENATE("Imported ",VLOOKUP($A282,Types!$A$2:$C$13,3,FALSE),", PADD ",D282,", Step ",RIGHT(C282,1))</f>
        <v>Imported Low Sulfur Residual Fuel Oil, PADD 5, Step 1</v>
      </c>
      <c r="G282" s="195" t="str">
        <f>CONCATENATE(VLOOKUP($A282,Types!$A$2:$C$13,2,FALSE),"P",D282)</f>
        <v>RFLP5</v>
      </c>
      <c r="H282" s="239">
        <f>H281*$C$5</f>
        <v>34.025199999999998</v>
      </c>
      <c r="I282" s="239">
        <f t="shared" ref="I282:K282" si="726">I281*$C$5</f>
        <v>34.30735</v>
      </c>
      <c r="J282" s="239">
        <f t="shared" si="726"/>
        <v>28.252999999999997</v>
      </c>
      <c r="K282" s="239">
        <f t="shared" si="726"/>
        <v>29.288499999999996</v>
      </c>
      <c r="L282" s="240">
        <f>H282*Conv!$J$20/10^6/VLOOKUP($B282,Types!$B$2:$D$13,3,FALSE)/Conv!$I$5</f>
        <v>7.8712754686582391</v>
      </c>
      <c r="M282" s="240">
        <f>I282*Conv!$J$20/10^6/VLOOKUP($B282,Types!$B$2:$D$13,3,FALSE)/Conv!$I$5</f>
        <v>7.9365471018442895</v>
      </c>
      <c r="N282" s="240">
        <f>M282*'Imported Price Trends'!$K$19</f>
        <v>8.545652154154574</v>
      </c>
      <c r="O282" s="240">
        <f>N282*'Imported Price Trends'!$L$19</f>
        <v>8.4643994830503395</v>
      </c>
      <c r="P282" s="240">
        <f>O282*'Imported Price Trends'!$M$19</f>
        <v>9.1336815513630167</v>
      </c>
      <c r="Q282" s="240">
        <f>P282*'Imported Price Trends'!$N$19</f>
        <v>9.6583419156225077</v>
      </c>
      <c r="R282" s="240">
        <f>Q282*'Imported Price Trends'!$O$19</f>
        <v>10.376768427388479</v>
      </c>
      <c r="S282" s="240">
        <f>R282*'Imported Price Trends'!$O$19</f>
        <v>11.148634407058704</v>
      </c>
      <c r="T282" s="240">
        <f>S282*'Imported Price Trends'!$O$19</f>
        <v>11.977914898264117</v>
      </c>
      <c r="U282" s="240">
        <f>T282*'Imported Price Trends'!$O$19</f>
        <v>12.868880624448488</v>
      </c>
      <c r="V282" s="240">
        <f>U282*'Imported Price Trends'!$O$19</f>
        <v>13.826119982728065</v>
      </c>
      <c r="W282" s="219"/>
      <c r="X282" s="195">
        <f>X281*$E$5</f>
        <v>8.4</v>
      </c>
      <c r="Y282" s="195">
        <f t="shared" ref="Y282:AA282" si="727">Y281*$E$5</f>
        <v>6.9280000000000008</v>
      </c>
      <c r="Z282" s="195">
        <f t="shared" si="727"/>
        <v>7.6480000000000006</v>
      </c>
      <c r="AA282" s="195">
        <f t="shared" si="727"/>
        <v>8.4480000000000004</v>
      </c>
      <c r="AB282" s="219">
        <f>X282*VLOOKUP($B282,Types!$B$2:$D$13,3,FALSE)*Conv!$I$5*1000*365</f>
        <v>20.337198262752</v>
      </c>
      <c r="AC282" s="219">
        <f>Y282*VLOOKUP($B282,Types!$B$2:$D$13,3,FALSE)*Conv!$I$5*1000*365</f>
        <v>16.773346376707838</v>
      </c>
      <c r="AD282" s="219">
        <f>Z282*VLOOKUP($B282,Types!$B$2:$D$13,3,FALSE)*Conv!$I$5*1000*365</f>
        <v>18.51653479922944</v>
      </c>
      <c r="AE282" s="219">
        <f>AA282*VLOOKUP($B282,Types!$B$2:$D$13,3,FALSE)*Conv!$I$5*1000*365</f>
        <v>20.453410824253442</v>
      </c>
      <c r="AF282" s="219">
        <f>AB282</f>
        <v>20.337198262752</v>
      </c>
      <c r="AG282" s="219">
        <f t="shared" ref="AG282:AI282" si="728">AC282</f>
        <v>16.773346376707838</v>
      </c>
      <c r="AH282" s="219">
        <f t="shared" si="728"/>
        <v>18.51653479922944</v>
      </c>
      <c r="AI282" s="219">
        <f t="shared" si="728"/>
        <v>20.453410824253442</v>
      </c>
      <c r="AJ282" s="219"/>
      <c r="AK282" s="219"/>
      <c r="AL282" s="219"/>
    </row>
    <row r="283" spans="1:38">
      <c r="A283" s="195" t="str">
        <f t="shared" ref="A283:A285" si="729">A282</f>
        <v>Low Sulfur Fuel Oil</v>
      </c>
      <c r="B283" s="195" t="str">
        <f>VLOOKUP($A283,Types!$A$2:$C$13,2,FALSE)</f>
        <v>RFL</v>
      </c>
      <c r="C283" s="195">
        <v>2</v>
      </c>
      <c r="D283" s="195">
        <v>5</v>
      </c>
      <c r="E283" s="195" t="str">
        <f t="shared" si="668"/>
        <v>IMPRFLP52</v>
      </c>
      <c r="F283" s="195" t="str">
        <f>CONCATENATE("Imported ",VLOOKUP($A283,Types!$A$2:$C$13,3,FALSE),", PADD ",D283,", Step ",RIGHT(C283,1))</f>
        <v>Imported Low Sulfur Residual Fuel Oil, PADD 5, Step 2</v>
      </c>
      <c r="G283" s="195" t="str">
        <f>CONCATENATE(VLOOKUP($A283,Types!$A$2:$C$13,2,FALSE),"P",D283)</f>
        <v>RFLP5</v>
      </c>
      <c r="H283" s="239">
        <f>H281*$C$6</f>
        <v>35.099679999999999</v>
      </c>
      <c r="I283" s="239">
        <f t="shared" ref="I283:K283" si="730">I281*$C$6</f>
        <v>35.390740000000001</v>
      </c>
      <c r="J283" s="239">
        <f t="shared" si="730"/>
        <v>29.145199999999999</v>
      </c>
      <c r="K283" s="239">
        <f t="shared" si="730"/>
        <v>30.213399999999996</v>
      </c>
      <c r="L283" s="240">
        <f>H283*Conv!$J$20/10^6/VLOOKUP($B283,Types!$B$2:$D$13,3,FALSE)/Conv!$I$5</f>
        <v>8.1198420624053433</v>
      </c>
      <c r="M283" s="240">
        <f>I283*Conv!$J$20/10^6/VLOOKUP($B283,Types!$B$2:$D$13,3,FALSE)/Conv!$I$5</f>
        <v>8.1871749050604254</v>
      </c>
      <c r="N283" s="240">
        <f>M283*'Imported Price Trends'!$K$19</f>
        <v>8.8155148537594563</v>
      </c>
      <c r="O283" s="240">
        <f>N283*'Imported Price Trends'!$L$19</f>
        <v>8.7316963088308768</v>
      </c>
      <c r="P283" s="240">
        <f>O283*'Imported Price Trends'!$M$19</f>
        <v>9.4221136003534287</v>
      </c>
      <c r="Q283" s="240">
        <f>P283*'Imported Price Trends'!$N$19</f>
        <v>9.9633421866421674</v>
      </c>
      <c r="R283" s="240">
        <f>Q283*'Imported Price Trends'!$O$19</f>
        <v>10.704455851411275</v>
      </c>
      <c r="S283" s="240">
        <f>R283*'Imported Price Trends'!$O$19</f>
        <v>11.500696546228982</v>
      </c>
      <c r="T283" s="240">
        <f>S283*'Imported Price Trends'!$O$19</f>
        <v>12.35616484241983</v>
      </c>
      <c r="U283" s="240">
        <f>T283*'Imported Price Trends'!$O$19</f>
        <v>13.275266328378443</v>
      </c>
      <c r="V283" s="240">
        <f>U283*'Imported Price Trends'!$O$19</f>
        <v>14.262734297972111</v>
      </c>
      <c r="W283" s="219"/>
      <c r="X283" s="195">
        <f>X281*$E$6</f>
        <v>9.4500000000000011</v>
      </c>
      <c r="Y283" s="195">
        <f t="shared" ref="Y283:AA283" si="731">Y281*$E$6</f>
        <v>7.7940000000000005</v>
      </c>
      <c r="Z283" s="195">
        <f t="shared" si="731"/>
        <v>8.604000000000001</v>
      </c>
      <c r="AA283" s="195">
        <f t="shared" si="731"/>
        <v>9.5040000000000013</v>
      </c>
      <c r="AB283" s="219">
        <f>X283*VLOOKUP($B283,Types!$B$2:$D$13,3,FALSE)*Conv!$I$5*1000*365</f>
        <v>22.879348045595997</v>
      </c>
      <c r="AC283" s="219">
        <f>Y283*VLOOKUP($B283,Types!$B$2:$D$13,3,FALSE)*Conv!$I$5*1000*365</f>
        <v>18.870014673796319</v>
      </c>
      <c r="AD283" s="219">
        <f>Z283*VLOOKUP($B283,Types!$B$2:$D$13,3,FALSE)*Conv!$I$5*1000*365</f>
        <v>20.831101649133121</v>
      </c>
      <c r="AE283" s="219">
        <f>AA283*VLOOKUP($B283,Types!$B$2:$D$13,3,FALSE)*Conv!$I$5*1000*365</f>
        <v>23.010087177285126</v>
      </c>
      <c r="AF283" s="219">
        <f>AB283-AF282</f>
        <v>2.5421497828439961</v>
      </c>
      <c r="AG283" s="219">
        <f t="shared" ref="AG283:AI283" si="732">AC283-AG282</f>
        <v>2.0966682970884811</v>
      </c>
      <c r="AH283" s="219">
        <f t="shared" si="732"/>
        <v>2.3145668499036809</v>
      </c>
      <c r="AI283" s="219">
        <f t="shared" si="732"/>
        <v>2.5566763530316834</v>
      </c>
      <c r="AJ283" s="219"/>
      <c r="AK283" s="219"/>
      <c r="AL283" s="219"/>
    </row>
    <row r="284" spans="1:38">
      <c r="A284" s="195" t="str">
        <f t="shared" si="729"/>
        <v>Low Sulfur Fuel Oil</v>
      </c>
      <c r="B284" s="195" t="str">
        <f>VLOOKUP($A284,Types!$A$2:$C$13,2,FALSE)</f>
        <v>RFL</v>
      </c>
      <c r="C284" s="195">
        <v>4</v>
      </c>
      <c r="D284" s="195">
        <v>5</v>
      </c>
      <c r="E284" s="195" t="str">
        <f t="shared" si="668"/>
        <v>IMPRFLP54</v>
      </c>
      <c r="F284" s="195" t="str">
        <f>CONCATENATE("Imported ",VLOOKUP($A284,Types!$A$2:$C$13,3,FALSE),", PADD ",D284,", Step ",RIGHT(C284,1))</f>
        <v>Imported Low Sulfur Residual Fuel Oil, PADD 5, Step 4</v>
      </c>
      <c r="G284" s="195" t="str">
        <f>CONCATENATE(VLOOKUP($A284,Types!$A$2:$C$13,2,FALSE),"P",D284)</f>
        <v>RFLP5</v>
      </c>
      <c r="H284" s="239">
        <f>H281*$C$8</f>
        <v>39.039440000000006</v>
      </c>
      <c r="I284" s="239">
        <f t="shared" ref="I284:K284" si="733">I281*$C$8</f>
        <v>39.363170000000004</v>
      </c>
      <c r="J284" s="239">
        <f t="shared" si="733"/>
        <v>32.416600000000003</v>
      </c>
      <c r="K284" s="239">
        <f t="shared" si="733"/>
        <v>33.604700000000001</v>
      </c>
      <c r="L284" s="240">
        <f>H284*Conv!$J$20/10^6/VLOOKUP($B284,Types!$B$2:$D$13,3,FALSE)/Conv!$I$5</f>
        <v>9.0312529061447204</v>
      </c>
      <c r="M284" s="240">
        <f>I284*Conv!$J$20/10^6/VLOOKUP($B284,Types!$B$2:$D$13,3,FALSE)/Conv!$I$5</f>
        <v>9.1061435168529226</v>
      </c>
      <c r="N284" s="240">
        <f>M284*'Imported Price Trends'!$K$19</f>
        <v>9.8050114189773545</v>
      </c>
      <c r="O284" s="240">
        <f>N284*'Imported Price Trends'!$L$19</f>
        <v>9.7117846700261801</v>
      </c>
      <c r="P284" s="240">
        <f>O284*'Imported Price Trends'!$M$19</f>
        <v>10.479697779984937</v>
      </c>
      <c r="Q284" s="240">
        <f>P284*'Imported Price Trends'!$N$19</f>
        <v>11.081676513714248</v>
      </c>
      <c r="R284" s="240">
        <f>Q284*'Imported Price Trends'!$O$19</f>
        <v>11.905976406161519</v>
      </c>
      <c r="S284" s="240">
        <f>R284*'Imported Price Trends'!$O$19</f>
        <v>12.791591056519989</v>
      </c>
      <c r="T284" s="240">
        <f>S284*'Imported Price Trends'!$O$19</f>
        <v>13.743081304324095</v>
      </c>
      <c r="U284" s="240">
        <f>T284*'Imported Price Trends'!$O$19</f>
        <v>14.765347242788266</v>
      </c>
      <c r="V284" s="240">
        <f>U284*'Imported Price Trends'!$O$19</f>
        <v>15.863653453866938</v>
      </c>
      <c r="W284" s="219"/>
      <c r="X284" s="195">
        <f>X281*$E$8</f>
        <v>12.6</v>
      </c>
      <c r="Y284" s="195">
        <f t="shared" ref="Y284:AA284" si="734">Y281*$E$8</f>
        <v>10.391999999999999</v>
      </c>
      <c r="Z284" s="195">
        <f t="shared" si="734"/>
        <v>11.472</v>
      </c>
      <c r="AA284" s="195">
        <f t="shared" si="734"/>
        <v>12.672000000000001</v>
      </c>
      <c r="AB284" s="219">
        <f>X284*VLOOKUP($B284,Types!$B$2:$D$13,3,FALSE)*Conv!$I$5*1000*365</f>
        <v>30.505797394127999</v>
      </c>
      <c r="AC284" s="219">
        <f>Y284*VLOOKUP($B284,Types!$B$2:$D$13,3,FALSE)*Conv!$I$5*1000*365</f>
        <v>25.160019565061752</v>
      </c>
      <c r="AD284" s="219">
        <f>Z284*VLOOKUP($B284,Types!$B$2:$D$13,3,FALSE)*Conv!$I$5*1000*365</f>
        <v>27.774802198844164</v>
      </c>
      <c r="AE284" s="219">
        <f>AA284*VLOOKUP($B284,Types!$B$2:$D$13,3,FALSE)*Conv!$I$5*1000*365</f>
        <v>30.680116236380155</v>
      </c>
      <c r="AF284" s="219">
        <f>AB284-AB281</f>
        <v>5.0842995656880063</v>
      </c>
      <c r="AG284" s="219">
        <f t="shared" ref="AG284:AI284" si="735">AC284-AC281</f>
        <v>4.1933365941769551</v>
      </c>
      <c r="AH284" s="219">
        <f t="shared" si="735"/>
        <v>4.6291336998073653</v>
      </c>
      <c r="AI284" s="219">
        <f t="shared" si="735"/>
        <v>5.1133527060633561</v>
      </c>
      <c r="AJ284" s="219"/>
      <c r="AK284" s="219"/>
      <c r="AL284" s="219"/>
    </row>
    <row r="285" spans="1:38">
      <c r="A285" s="195" t="str">
        <f t="shared" si="729"/>
        <v>Low Sulfur Fuel Oil</v>
      </c>
      <c r="B285" s="195" t="str">
        <f>VLOOKUP($A285,Types!$A$2:$C$13,2,FALSE)</f>
        <v>RFL</v>
      </c>
      <c r="C285" s="195">
        <v>5</v>
      </c>
      <c r="D285" s="195">
        <v>5</v>
      </c>
      <c r="E285" s="195" t="str">
        <f t="shared" si="668"/>
        <v>IMPRFLP55</v>
      </c>
      <c r="F285" s="195" t="str">
        <f>CONCATENATE("Imported ",VLOOKUP($A285,Types!$A$2:$C$13,3,FALSE),", PADD ",D285,", Step ",RIGHT(C285,1))</f>
        <v>Imported Low Sulfur Residual Fuel Oil, PADD 5, Step 5</v>
      </c>
      <c r="G285" s="195" t="str">
        <f>CONCATENATE(VLOOKUP($A285,Types!$A$2:$C$13,2,FALSE),"P",D285)</f>
        <v>RFLP5</v>
      </c>
      <c r="H285" s="239">
        <f>H281*$C$9</f>
        <v>46.560800000000008</v>
      </c>
      <c r="I285" s="239">
        <f t="shared" ref="I285:K285" si="736">I281*$C$9</f>
        <v>46.946899999999999</v>
      </c>
      <c r="J285" s="239">
        <f t="shared" si="736"/>
        <v>38.661999999999999</v>
      </c>
      <c r="K285" s="239">
        <f t="shared" si="736"/>
        <v>40.079000000000001</v>
      </c>
      <c r="L285" s="240">
        <f>H285*Conv!$J$20/10^6/VLOOKUP($B285,Types!$B$2:$D$13,3,FALSE)/Conv!$I$5</f>
        <v>10.771219062374437</v>
      </c>
      <c r="M285" s="240">
        <f>I285*Conv!$J$20/10^6/VLOOKUP($B285,Types!$B$2:$D$13,3,FALSE)/Conv!$I$5</f>
        <v>10.860538139365872</v>
      </c>
      <c r="N285" s="240">
        <f>M285*'Imported Price Trends'!$K$19</f>
        <v>11.694050316211525</v>
      </c>
      <c r="O285" s="240">
        <f>N285*'Imported Price Trends'!$L$19</f>
        <v>11.582862450489941</v>
      </c>
      <c r="P285" s="240">
        <f>O285*'Imported Price Trends'!$M$19</f>
        <v>12.498722122917815</v>
      </c>
      <c r="Q285" s="240">
        <f>P285*'Imported Price Trends'!$N$19</f>
        <v>13.216678410851856</v>
      </c>
      <c r="R285" s="240">
        <f>Q285*'Imported Price Trends'!$O$19</f>
        <v>14.199788374321079</v>
      </c>
      <c r="S285" s="240">
        <f>R285*'Imported Price Trends'!$O$19</f>
        <v>15.256026030711913</v>
      </c>
      <c r="T285" s="240">
        <f>S285*'Imported Price Trends'!$O$19</f>
        <v>16.39083091341406</v>
      </c>
      <c r="U285" s="240">
        <f>T285*'Imported Price Trends'!$O$19</f>
        <v>17.610047170297936</v>
      </c>
      <c r="V285" s="240">
        <f>U285*'Imported Price Trends'!$O$19</f>
        <v>18.919953660575249</v>
      </c>
      <c r="W285" s="219"/>
      <c r="X285" s="195">
        <f>X281*$E$9</f>
        <v>21</v>
      </c>
      <c r="Y285" s="195">
        <f t="shared" ref="Y285:AA285" si="737">Y281*$E$9</f>
        <v>17.32</v>
      </c>
      <c r="Z285" s="195">
        <f t="shared" si="737"/>
        <v>19.12</v>
      </c>
      <c r="AA285" s="195">
        <f t="shared" si="737"/>
        <v>21.12</v>
      </c>
      <c r="AB285" s="219">
        <f>X285*VLOOKUP($B285,Types!$B$2:$D$13,3,FALSE)*Conv!$I$5*1000*365</f>
        <v>50.842995656879985</v>
      </c>
      <c r="AC285" s="219">
        <f>Y285*VLOOKUP($B285,Types!$B$2:$D$13,3,FALSE)*Conv!$I$5*1000*365</f>
        <v>41.933365941769594</v>
      </c>
      <c r="AD285" s="219">
        <f>Z285*VLOOKUP($B285,Types!$B$2:$D$13,3,FALSE)*Conv!$I$5*1000*365</f>
        <v>46.291336998073596</v>
      </c>
      <c r="AE285" s="219">
        <f>AA285*VLOOKUP($B285,Types!$B$2:$D$13,3,FALSE)*Conv!$I$5*1000*365</f>
        <v>51.133527060633597</v>
      </c>
      <c r="AF285" s="219">
        <f>AB285-AB284</f>
        <v>20.337198262751986</v>
      </c>
      <c r="AG285" s="219">
        <f t="shared" ref="AG285:AI285" si="738">AC285-AC284</f>
        <v>16.773346376707842</v>
      </c>
      <c r="AH285" s="219">
        <f t="shared" si="738"/>
        <v>18.516534799229433</v>
      </c>
      <c r="AI285" s="219">
        <f t="shared" si="738"/>
        <v>20.453410824253442</v>
      </c>
      <c r="AJ285" s="219"/>
      <c r="AK285" s="219"/>
      <c r="AL285" s="219"/>
    </row>
    <row r="286" spans="1:38">
      <c r="A286" s="195" t="str">
        <f>'Agg prdcrv'!$A$11</f>
        <v>High Sulfur Fuel Oil</v>
      </c>
      <c r="B286" s="195" t="str">
        <f>VLOOKUP($A286,Types!$A$2:$C$13,2,FALSE)</f>
        <v>RFH</v>
      </c>
      <c r="C286" s="195">
        <v>3</v>
      </c>
      <c r="D286" s="195">
        <v>5</v>
      </c>
      <c r="E286" s="195" t="str">
        <f t="shared" si="668"/>
        <v>IMPRFHP53</v>
      </c>
      <c r="F286" s="195" t="str">
        <f>CONCATENATE("Imported ",VLOOKUP($A286,Types!$A$2:$C$13,3,FALSE),", PADD ",D286,", Step ",RIGHT(C286,1))</f>
        <v>Imported High Sulfur Residual Fuel Oil, PADD 5, Step 3</v>
      </c>
      <c r="G286" s="195" t="str">
        <f>CONCATENATE(VLOOKUP($A286,Types!$A$2:$C$13,2,FALSE),"P",D286)</f>
        <v>RFHP5</v>
      </c>
      <c r="H286" s="239">
        <f>SUMIFS('Agg prdcrv NYC'!$P$6:$P$100,'Agg prdcrv NYC'!$A$6:$A$100,'Imp Refined NYC'!$A286,'Agg prdcrv NYC'!$B$6:$B$100,H$11)*K4</f>
        <v>36.08</v>
      </c>
      <c r="I286" s="239">
        <f>SUMIFS('Agg prdcrv NYC'!$P$6:$P$100,'Agg prdcrv NYC'!$A$6:$A$100,'Imp Refined NYC'!$A286,'Agg prdcrv NYC'!$B$6:$B$100,I$11)*K4</f>
        <v>36.630000000000003</v>
      </c>
      <c r="J286" s="239">
        <f t="array" ref="J286">SUMIFS('Agg prdcrv NYC'!$P$6:$P$100,'Agg prdcrv NYC'!$A$6:$A$100,'Imp Refined NYC'!$A286,'Agg prdcrv NYC'!$B$6:$B$100,J$11)</f>
        <v>29.74</v>
      </c>
      <c r="K286" s="239">
        <f t="array" ref="K286">SUMIFS('Agg prdcrv NYC'!$P$6:$P$100,'Agg prdcrv NYC'!$A$6:$A$100,'Imp Refined NYC'!$A286,'Agg prdcrv NYC'!$B$6:$B$100,K$11)</f>
        <v>30.96</v>
      </c>
      <c r="L286" s="240">
        <f>H286*Conv!$J$20/10^6/VLOOKUP($B286,Types!$B$2:$D$13,3,FALSE)/Conv!$I$5</f>
        <v>8.3466259980599489</v>
      </c>
      <c r="M286" s="240">
        <f>I286*Conv!$J$20/10^6/VLOOKUP($B286,Types!$B$2:$D$13,3,FALSE)/Conv!$I$5</f>
        <v>8.4738611504693981</v>
      </c>
      <c r="N286" s="240">
        <f>M286*'Imported Price Trends'!$K$19</f>
        <v>9.1242033676947365</v>
      </c>
      <c r="O286" s="240">
        <f>N286*'Imported Price Trends'!$L$19</f>
        <v>9.0374497903258018</v>
      </c>
      <c r="P286" s="240">
        <f>O286*'Imported Price Trends'!$M$19</f>
        <v>9.7520430819176447</v>
      </c>
      <c r="Q286" s="240">
        <f>P286*'Imported Price Trends'!$N$19</f>
        <v>10.312223601334772</v>
      </c>
      <c r="R286" s="240">
        <f>Q286*'Imported Price Trends'!$O$19</f>
        <v>11.079288475945825</v>
      </c>
      <c r="S286" s="240">
        <f>R286*'Imported Price Trends'!$O$19</f>
        <v>11.903410736491171</v>
      </c>
      <c r="T286" s="240">
        <f>S286*'Imported Price Trends'!$O$19</f>
        <v>12.788834541968841</v>
      </c>
      <c r="U286" s="240">
        <f>T286*'Imported Price Trends'!$O$19</f>
        <v>13.740119749078497</v>
      </c>
      <c r="V286" s="240">
        <f>U286*'Imported Price Trends'!$O$19</f>
        <v>14.76216539509257</v>
      </c>
      <c r="W286" s="219"/>
      <c r="X286" s="195">
        <f t="array" ref="X286">SUMIFS('Agg prdcrv NYC'!$H$6:$H$100,'Agg prdcrv NYC'!$A$6:$A$100,'Imp Refined NYC'!$A286,'Agg prdcrv NYC'!$B$6:$B$100,X$11)</f>
        <v>31.98</v>
      </c>
      <c r="Y286" s="195">
        <f t="array" ref="Y286">SUMIFS('Agg prdcrv NYC'!$H$6:$H$100,'Agg prdcrv NYC'!$A$6:$A$100,'Imp Refined NYC'!$A286,'Agg prdcrv NYC'!$B$6:$B$100,Y$11)</f>
        <v>28.14</v>
      </c>
      <c r="Z286" s="195">
        <f t="array" ref="Z286">SUMIFS('Agg prdcrv NYC'!$H$6:$H$100,'Agg prdcrv NYC'!$A$6:$A$100,'Imp Refined NYC'!$A286,'Agg prdcrv NYC'!$B$6:$B$100,Z$11)</f>
        <v>26.76</v>
      </c>
      <c r="AA286" s="195">
        <f t="array" ref="AA286">SUMIFS('Agg prdcrv NYC'!$H$6:$H$100,'Agg prdcrv NYC'!$A$6:$A$100,'Imp Refined NYC'!$A286,'Agg prdcrv NYC'!$B$6:$B$100,AA$11)</f>
        <v>25.45</v>
      </c>
      <c r="AB286" s="219">
        <f>X286*VLOOKUP($B286,Types!$B$2:$D$13,3,FALSE)*Conv!$I$5*1000*365</f>
        <v>77.426619100334392</v>
      </c>
      <c r="AC286" s="219">
        <f>Y286*VLOOKUP($B286,Types!$B$2:$D$13,3,FALSE)*Conv!$I$5*1000*365</f>
        <v>68.129614180219193</v>
      </c>
      <c r="AD286" s="219">
        <f>Z286*VLOOKUP($B286,Types!$B$2:$D$13,3,FALSE)*Conv!$I$5*1000*365</f>
        <v>64.788503037052806</v>
      </c>
      <c r="AE286" s="219">
        <f>AA286*VLOOKUP($B286,Types!$B$2:$D$13,3,FALSE)*Conv!$I$5*1000*365</f>
        <v>61.616868546075985</v>
      </c>
      <c r="AF286" s="219">
        <f>AB286-AB288</f>
        <v>7.7426619100334335</v>
      </c>
      <c r="AG286" s="219">
        <f t="shared" ref="AG286:AI286" si="739">AC286-AC288</f>
        <v>6.8129614180219207</v>
      </c>
      <c r="AH286" s="219">
        <f t="shared" si="739"/>
        <v>6.4788503037052863</v>
      </c>
      <c r="AI286" s="219">
        <f t="shared" si="739"/>
        <v>6.1616868546075878</v>
      </c>
      <c r="AJ286" s="219"/>
      <c r="AK286" s="219"/>
      <c r="AL286" s="219"/>
    </row>
    <row r="287" spans="1:38">
      <c r="A287" s="195" t="str">
        <f>A286</f>
        <v>High Sulfur Fuel Oil</v>
      </c>
      <c r="B287" s="195" t="str">
        <f>VLOOKUP($A287,Types!$A$2:$C$13,2,FALSE)</f>
        <v>RFH</v>
      </c>
      <c r="C287" s="195">
        <v>1</v>
      </c>
      <c r="D287" s="195">
        <v>5</v>
      </c>
      <c r="E287" s="195" t="str">
        <f t="shared" si="668"/>
        <v>IMPRFHP51</v>
      </c>
      <c r="F287" s="195" t="str">
        <f>CONCATENATE("Imported ",VLOOKUP($A287,Types!$A$2:$C$13,3,FALSE),", PADD ",D287,", Step ",RIGHT(C287,1))</f>
        <v>Imported High Sulfur Residual Fuel Oil, PADD 5, Step 1</v>
      </c>
      <c r="G287" s="195" t="str">
        <f>CONCATENATE(VLOOKUP($A287,Types!$A$2:$C$13,2,FALSE),"P",D287)</f>
        <v>RFHP5</v>
      </c>
      <c r="H287" s="239">
        <f>H286*$C$5</f>
        <v>34.275999999999996</v>
      </c>
      <c r="I287" s="239">
        <f t="shared" ref="I287:K287" si="740">I286*$C$5</f>
        <v>34.798500000000004</v>
      </c>
      <c r="J287" s="239">
        <f t="shared" si="740"/>
        <v>28.252999999999997</v>
      </c>
      <c r="K287" s="239">
        <f t="shared" si="740"/>
        <v>29.411999999999999</v>
      </c>
      <c r="L287" s="240">
        <f>H287*Conv!$J$20/10^6/VLOOKUP($B287,Types!$B$2:$D$13,3,FALSE)/Conv!$I$5</f>
        <v>7.9292946981569497</v>
      </c>
      <c r="M287" s="240">
        <f>I287*Conv!$J$20/10^6/VLOOKUP($B287,Types!$B$2:$D$13,3,FALSE)/Conv!$I$5</f>
        <v>8.0501680929459294</v>
      </c>
      <c r="N287" s="240">
        <f>M287*'Imported Price Trends'!$K$19</f>
        <v>8.6679931993100023</v>
      </c>
      <c r="O287" s="240">
        <f>N287*'Imported Price Trends'!$L$19</f>
        <v>8.5855773008095149</v>
      </c>
      <c r="P287" s="240">
        <f>O287*'Imported Price Trends'!$M$19</f>
        <v>9.2644409278217648</v>
      </c>
      <c r="Q287" s="240">
        <f>P287*'Imported Price Trends'!$N$19</f>
        <v>9.7966124212680352</v>
      </c>
      <c r="R287" s="240">
        <f>Q287*'Imported Price Trends'!$O$19</f>
        <v>10.525324052148536</v>
      </c>
      <c r="S287" s="240">
        <f>R287*'Imported Price Trends'!$O$19</f>
        <v>11.308240199666614</v>
      </c>
      <c r="T287" s="240">
        <f>S287*'Imported Price Trends'!$O$19</f>
        <v>12.149392814870399</v>
      </c>
      <c r="U287" s="240">
        <f>T287*'Imported Price Trends'!$O$19</f>
        <v>13.053113761624573</v>
      </c>
      <c r="V287" s="240">
        <f>U287*'Imported Price Trends'!$O$19</f>
        <v>14.024057125337942</v>
      </c>
      <c r="W287" s="219"/>
      <c r="X287" s="195">
        <f>X286*$E$5</f>
        <v>25.584000000000003</v>
      </c>
      <c r="Y287" s="195">
        <f t="shared" ref="Y287:AA287" si="741">Y286*$E$5</f>
        <v>22.512</v>
      </c>
      <c r="Z287" s="195">
        <f t="shared" si="741"/>
        <v>21.408000000000001</v>
      </c>
      <c r="AA287" s="195">
        <f t="shared" si="741"/>
        <v>20.36</v>
      </c>
      <c r="AB287" s="219">
        <f>X287*VLOOKUP($B287,Types!$B$2:$D$13,3,FALSE)*Conv!$I$5*1000*365</f>
        <v>61.941295280267525</v>
      </c>
      <c r="AC287" s="219">
        <f>Y287*VLOOKUP($B287,Types!$B$2:$D$13,3,FALSE)*Conv!$I$5*1000*365</f>
        <v>54.503691344175365</v>
      </c>
      <c r="AD287" s="219">
        <f>Z287*VLOOKUP($B287,Types!$B$2:$D$13,3,FALSE)*Conv!$I$5*1000*365</f>
        <v>51.830802429642226</v>
      </c>
      <c r="AE287" s="219">
        <f>AA287*VLOOKUP($B287,Types!$B$2:$D$13,3,FALSE)*Conv!$I$5*1000*365</f>
        <v>49.293494836860802</v>
      </c>
      <c r="AF287" s="219">
        <f>AB287</f>
        <v>61.941295280267525</v>
      </c>
      <c r="AG287" s="219">
        <f t="shared" ref="AG287:AI287" si="742">AC287</f>
        <v>54.503691344175365</v>
      </c>
      <c r="AH287" s="219">
        <f t="shared" si="742"/>
        <v>51.830802429642226</v>
      </c>
      <c r="AI287" s="219">
        <f t="shared" si="742"/>
        <v>49.293494836860802</v>
      </c>
      <c r="AJ287" s="219"/>
      <c r="AK287" s="219"/>
      <c r="AL287" s="219"/>
    </row>
    <row r="288" spans="1:38">
      <c r="A288" s="195" t="str">
        <f t="shared" ref="A288:A290" si="743">A287</f>
        <v>High Sulfur Fuel Oil</v>
      </c>
      <c r="B288" s="195" t="str">
        <f>VLOOKUP($A288,Types!$A$2:$C$13,2,FALSE)</f>
        <v>RFH</v>
      </c>
      <c r="C288" s="195">
        <v>2</v>
      </c>
      <c r="D288" s="195">
        <v>5</v>
      </c>
      <c r="E288" s="195" t="str">
        <f t="shared" si="668"/>
        <v>IMPRFHP52</v>
      </c>
      <c r="F288" s="195" t="str">
        <f>CONCATENATE("Imported ",VLOOKUP($A288,Types!$A$2:$C$13,3,FALSE),", PADD ",D288,", Step ",RIGHT(C288,1))</f>
        <v>Imported High Sulfur Residual Fuel Oil, PADD 5, Step 2</v>
      </c>
      <c r="G288" s="195" t="str">
        <f>CONCATENATE(VLOOKUP($A288,Types!$A$2:$C$13,2,FALSE),"P",D288)</f>
        <v>RFHP5</v>
      </c>
      <c r="H288" s="239">
        <f>H286*$C$6</f>
        <v>35.358399999999996</v>
      </c>
      <c r="I288" s="239">
        <f t="shared" ref="I288:K288" si="744">I286*$C$6</f>
        <v>35.897400000000005</v>
      </c>
      <c r="J288" s="239">
        <f t="shared" si="744"/>
        <v>29.145199999999999</v>
      </c>
      <c r="K288" s="239">
        <f t="shared" si="744"/>
        <v>30.340800000000002</v>
      </c>
      <c r="L288" s="240">
        <f>H288*Conv!$J$20/10^6/VLOOKUP($B288,Types!$B$2:$D$13,3,FALSE)/Conv!$I$5</f>
        <v>8.1796934780987485</v>
      </c>
      <c r="M288" s="240">
        <f>I288*Conv!$J$20/10^6/VLOOKUP($B288,Types!$B$2:$D$13,3,FALSE)/Conv!$I$5</f>
        <v>8.3043839274600106</v>
      </c>
      <c r="N288" s="240">
        <f>M288*'Imported Price Trends'!$K$19</f>
        <v>8.9417193003408428</v>
      </c>
      <c r="O288" s="240">
        <f>N288*'Imported Price Trends'!$L$19</f>
        <v>8.8567007945192877</v>
      </c>
      <c r="P288" s="240">
        <f>O288*'Imported Price Trends'!$M$19</f>
        <v>9.5570022202792924</v>
      </c>
      <c r="Q288" s="240">
        <f>P288*'Imported Price Trends'!$N$19</f>
        <v>10.105979129308077</v>
      </c>
      <c r="R288" s="240">
        <f>Q288*'Imported Price Trends'!$O$19</f>
        <v>10.85770270642691</v>
      </c>
      <c r="S288" s="240">
        <f>R288*'Imported Price Trends'!$O$19</f>
        <v>11.665342521761348</v>
      </c>
      <c r="T288" s="240">
        <f>S288*'Imported Price Trends'!$O$19</f>
        <v>12.533057851129463</v>
      </c>
      <c r="U288" s="240">
        <f>T288*'Imported Price Trends'!$O$19</f>
        <v>13.465317354096927</v>
      </c>
      <c r="V288" s="240">
        <f>U288*'Imported Price Trends'!$O$19</f>
        <v>14.466922087190717</v>
      </c>
      <c r="W288" s="219"/>
      <c r="X288" s="195">
        <f>X286*$E$6</f>
        <v>28.782</v>
      </c>
      <c r="Y288" s="195">
        <f t="shared" ref="Y288:AA288" si="745">Y286*$E$6</f>
        <v>25.326000000000001</v>
      </c>
      <c r="Z288" s="195">
        <f t="shared" si="745"/>
        <v>24.084000000000003</v>
      </c>
      <c r="AA288" s="195">
        <f t="shared" si="745"/>
        <v>22.905000000000001</v>
      </c>
      <c r="AB288" s="219">
        <f>X288*VLOOKUP($B288,Types!$B$2:$D$13,3,FALSE)*Conv!$I$5*1000*365</f>
        <v>69.683957190300958</v>
      </c>
      <c r="AC288" s="219">
        <f>Y288*VLOOKUP($B288,Types!$B$2:$D$13,3,FALSE)*Conv!$I$5*1000*365</f>
        <v>61.316652762197272</v>
      </c>
      <c r="AD288" s="219">
        <f>Z288*VLOOKUP($B288,Types!$B$2:$D$13,3,FALSE)*Conv!$I$5*1000*365</f>
        <v>58.309652733347519</v>
      </c>
      <c r="AE288" s="219">
        <f>AA288*VLOOKUP($B288,Types!$B$2:$D$13,3,FALSE)*Conv!$I$5*1000*365</f>
        <v>55.455181691468397</v>
      </c>
      <c r="AF288" s="219">
        <f>AB288-AF287</f>
        <v>7.7426619100334335</v>
      </c>
      <c r="AG288" s="219">
        <f t="shared" ref="AG288:AI288" si="746">AC288-AG287</f>
        <v>6.8129614180219065</v>
      </c>
      <c r="AH288" s="219">
        <f t="shared" si="746"/>
        <v>6.4788503037052934</v>
      </c>
      <c r="AI288" s="219">
        <f t="shared" si="746"/>
        <v>6.1616868546075949</v>
      </c>
      <c r="AJ288" s="219"/>
      <c r="AK288" s="219"/>
      <c r="AL288" s="219"/>
    </row>
    <row r="289" spans="1:38">
      <c r="A289" s="195" t="str">
        <f t="shared" si="743"/>
        <v>High Sulfur Fuel Oil</v>
      </c>
      <c r="B289" s="195" t="str">
        <f>VLOOKUP($A289,Types!$A$2:$C$13,2,FALSE)</f>
        <v>RFH</v>
      </c>
      <c r="C289" s="195">
        <v>4</v>
      </c>
      <c r="D289" s="195">
        <v>5</v>
      </c>
      <c r="E289" s="195" t="str">
        <f t="shared" si="668"/>
        <v>IMPRFHP54</v>
      </c>
      <c r="F289" s="195" t="str">
        <f>CONCATENATE("Imported ",VLOOKUP($A289,Types!$A$2:$C$13,3,FALSE),", PADD ",D289,", Step ",RIGHT(C289,1))</f>
        <v>Imported High Sulfur Residual Fuel Oil, PADD 5, Step 4</v>
      </c>
      <c r="G289" s="195" t="str">
        <f>CONCATENATE(VLOOKUP($A289,Types!$A$2:$C$13,2,FALSE),"P",D289)</f>
        <v>RFHP5</v>
      </c>
      <c r="H289" s="239">
        <f>H286*$C$8</f>
        <v>39.327199999999998</v>
      </c>
      <c r="I289" s="239">
        <f t="shared" ref="I289:K289" si="747">I286*$C$8</f>
        <v>39.926700000000004</v>
      </c>
      <c r="J289" s="239">
        <f t="shared" si="747"/>
        <v>32.416600000000003</v>
      </c>
      <c r="K289" s="239">
        <f t="shared" si="747"/>
        <v>33.746400000000001</v>
      </c>
      <c r="L289" s="240">
        <f>H289*Conv!$J$20/10^6/VLOOKUP($B289,Types!$B$2:$D$13,3,FALSE)/Conv!$I$5</f>
        <v>9.0978223378853436</v>
      </c>
      <c r="M289" s="240">
        <f>I289*Conv!$J$20/10^6/VLOOKUP($B289,Types!$B$2:$D$13,3,FALSE)/Conv!$I$5</f>
        <v>9.2365086540116454</v>
      </c>
      <c r="N289" s="240">
        <f>M289*'Imported Price Trends'!$K$19</f>
        <v>9.9453816707872651</v>
      </c>
      <c r="O289" s="240">
        <f>N289*'Imported Price Trends'!$L$19</f>
        <v>9.8508202714551274</v>
      </c>
      <c r="P289" s="240">
        <f>O289*'Imported Price Trends'!$M$19</f>
        <v>10.629726959290236</v>
      </c>
      <c r="Q289" s="240">
        <f>P289*'Imported Price Trends'!$N$19</f>
        <v>11.240323725454905</v>
      </c>
      <c r="R289" s="240">
        <f>Q289*'Imported Price Trends'!$O$19</f>
        <v>12.076424438780954</v>
      </c>
      <c r="S289" s="240">
        <f>R289*'Imported Price Trends'!$O$19</f>
        <v>12.974717702775381</v>
      </c>
      <c r="T289" s="240">
        <f>S289*'Imported Price Trends'!$O$19</f>
        <v>13.939829650746042</v>
      </c>
      <c r="U289" s="240">
        <f>T289*'Imported Price Trends'!$O$19</f>
        <v>14.976730526495567</v>
      </c>
      <c r="V289" s="240">
        <f>U289*'Imported Price Trends'!$O$19</f>
        <v>16.090760280650905</v>
      </c>
      <c r="W289" s="219"/>
      <c r="X289" s="195">
        <f>X286*$E$8</f>
        <v>38.375999999999998</v>
      </c>
      <c r="Y289" s="195">
        <f t="shared" ref="Y289:AA289" si="748">Y286*$E$8</f>
        <v>33.768000000000001</v>
      </c>
      <c r="Z289" s="195">
        <f t="shared" si="748"/>
        <v>32.112000000000002</v>
      </c>
      <c r="AA289" s="195">
        <f t="shared" si="748"/>
        <v>30.54</v>
      </c>
      <c r="AB289" s="219">
        <f>X289*VLOOKUP($B289,Types!$B$2:$D$13,3,FALSE)*Conv!$I$5*1000*365</f>
        <v>92.911942920401273</v>
      </c>
      <c r="AC289" s="219">
        <f>Y289*VLOOKUP($B289,Types!$B$2:$D$13,3,FALSE)*Conv!$I$5*1000*365</f>
        <v>81.755537016263034</v>
      </c>
      <c r="AD289" s="219">
        <f>Z289*VLOOKUP($B289,Types!$B$2:$D$13,3,FALSE)*Conv!$I$5*1000*365</f>
        <v>77.74620364446335</v>
      </c>
      <c r="AE289" s="219">
        <f>AA289*VLOOKUP($B289,Types!$B$2:$D$13,3,FALSE)*Conv!$I$5*1000*365</f>
        <v>73.940242255291196</v>
      </c>
      <c r="AF289" s="219">
        <f>AB289-AB286</f>
        <v>15.485323820066881</v>
      </c>
      <c r="AG289" s="219">
        <f t="shared" ref="AG289:AI289" si="749">AC289-AC286</f>
        <v>13.625922836043841</v>
      </c>
      <c r="AH289" s="219">
        <f t="shared" si="749"/>
        <v>12.957700607410544</v>
      </c>
      <c r="AI289" s="219">
        <f t="shared" si="749"/>
        <v>12.323373709215211</v>
      </c>
      <c r="AJ289" s="219"/>
      <c r="AK289" s="219"/>
      <c r="AL289" s="219"/>
    </row>
    <row r="290" spans="1:38">
      <c r="A290" s="195" t="str">
        <f t="shared" si="743"/>
        <v>High Sulfur Fuel Oil</v>
      </c>
      <c r="B290" s="195" t="str">
        <f>VLOOKUP($A290,Types!$A$2:$C$13,2,FALSE)</f>
        <v>RFH</v>
      </c>
      <c r="C290" s="195">
        <v>5</v>
      </c>
      <c r="D290" s="195">
        <v>5</v>
      </c>
      <c r="E290" s="195" t="str">
        <f t="shared" si="668"/>
        <v>IMPRFHP55</v>
      </c>
      <c r="F290" s="195" t="str">
        <f>CONCATENATE("Imported ",VLOOKUP($A290,Types!$A$2:$C$13,3,FALSE),", PADD ",D290,", Step ",RIGHT(C290,1))</f>
        <v>Imported High Sulfur Residual Fuel Oil, PADD 5, Step 5</v>
      </c>
      <c r="G290" s="195" t="str">
        <f>CONCATENATE(VLOOKUP($A290,Types!$A$2:$C$13,2,FALSE),"P",D290)</f>
        <v>RFHP5</v>
      </c>
      <c r="H290" s="239">
        <f>H286*$C$9</f>
        <v>46.903999999999996</v>
      </c>
      <c r="I290" s="239">
        <f t="shared" ref="I290:K290" si="750">I286*$C$9</f>
        <v>47.619000000000007</v>
      </c>
      <c r="J290" s="239">
        <f t="shared" si="750"/>
        <v>38.661999999999999</v>
      </c>
      <c r="K290" s="239">
        <f t="shared" si="750"/>
        <v>40.248000000000005</v>
      </c>
      <c r="L290" s="240">
        <f>H290*Conv!$J$20/10^6/VLOOKUP($B290,Types!$B$2:$D$13,3,FALSE)/Conv!$I$5</f>
        <v>10.850613797477934</v>
      </c>
      <c r="M290" s="240">
        <f>I290*Conv!$J$20/10^6/VLOOKUP($B290,Types!$B$2:$D$13,3,FALSE)/Conv!$I$5</f>
        <v>11.01601949561022</v>
      </c>
      <c r="N290" s="240">
        <f>M290*'Imported Price Trends'!$K$19</f>
        <v>11.861464378003161</v>
      </c>
      <c r="O290" s="240">
        <f>N290*'Imported Price Trends'!$L$19</f>
        <v>11.748684727423546</v>
      </c>
      <c r="P290" s="240">
        <f>O290*'Imported Price Trends'!$M$19</f>
        <v>12.677656006492942</v>
      </c>
      <c r="Q290" s="240">
        <f>P290*'Imported Price Trends'!$N$19</f>
        <v>13.405890681735206</v>
      </c>
      <c r="R290" s="240">
        <f>Q290*'Imported Price Trends'!$O$19</f>
        <v>14.403075018729576</v>
      </c>
      <c r="S290" s="240">
        <f>R290*'Imported Price Trends'!$O$19</f>
        <v>15.474433957438524</v>
      </c>
      <c r="T290" s="240">
        <f>S290*'Imported Price Trends'!$O$19</f>
        <v>16.625484904559496</v>
      </c>
      <c r="U290" s="240">
        <f>T290*'Imported Price Trends'!$O$19</f>
        <v>17.86215567380205</v>
      </c>
      <c r="V290" s="240">
        <f>U290*'Imported Price Trends'!$O$19</f>
        <v>19.190815013620345</v>
      </c>
      <c r="W290" s="219"/>
      <c r="X290" s="195">
        <f>X286*$E$9</f>
        <v>63.96</v>
      </c>
      <c r="Y290" s="195">
        <f t="shared" ref="Y290:AA290" si="751">Y286*$E$9</f>
        <v>56.28</v>
      </c>
      <c r="Z290" s="195">
        <f t="shared" si="751"/>
        <v>53.52</v>
      </c>
      <c r="AA290" s="195">
        <f t="shared" si="751"/>
        <v>50.9</v>
      </c>
      <c r="AB290" s="219">
        <f>X290*VLOOKUP($B290,Types!$B$2:$D$13,3,FALSE)*Conv!$I$5*1000*365</f>
        <v>154.85323820066878</v>
      </c>
      <c r="AC290" s="219">
        <f>Y290*VLOOKUP($B290,Types!$B$2:$D$13,3,FALSE)*Conv!$I$5*1000*365</f>
        <v>136.25922836043839</v>
      </c>
      <c r="AD290" s="219">
        <f>Z290*VLOOKUP($B290,Types!$B$2:$D$13,3,FALSE)*Conv!$I$5*1000*365</f>
        <v>129.57700607410561</v>
      </c>
      <c r="AE290" s="219">
        <f>AA290*VLOOKUP($B290,Types!$B$2:$D$13,3,FALSE)*Conv!$I$5*1000*365</f>
        <v>123.23373709215197</v>
      </c>
      <c r="AF290" s="219">
        <f>AB290-AB289</f>
        <v>61.941295280267511</v>
      </c>
      <c r="AG290" s="219">
        <f t="shared" ref="AG290:AI290" si="752">AC290-AC289</f>
        <v>54.503691344175351</v>
      </c>
      <c r="AH290" s="219">
        <f t="shared" si="752"/>
        <v>51.830802429642262</v>
      </c>
      <c r="AI290" s="219">
        <f t="shared" si="752"/>
        <v>49.293494836860773</v>
      </c>
      <c r="AJ290" s="219"/>
      <c r="AK290" s="219"/>
      <c r="AL290" s="219"/>
    </row>
    <row r="291" spans="1:38">
      <c r="A291" s="195" t="str">
        <f>'Agg prdcrv'!$A$12</f>
        <v>Jet Fuel</v>
      </c>
      <c r="B291" s="195" t="str">
        <f>VLOOKUP($A291,Types!$A$2:$C$13,2,FALSE)</f>
        <v>JTF</v>
      </c>
      <c r="C291" s="195">
        <v>3</v>
      </c>
      <c r="D291" s="195">
        <v>5</v>
      </c>
      <c r="E291" s="195" t="str">
        <f t="shared" si="668"/>
        <v>IMPJTFP53</v>
      </c>
      <c r="F291" s="195" t="str">
        <f>CONCATENATE("Imported ",VLOOKUP($A291,Types!$A$2:$C$13,3,FALSE),", PADD ",D291,", Step ",RIGHT(C291,1))</f>
        <v>Imported Jet Fuel, PADD 5, Step 3</v>
      </c>
      <c r="G291" s="195" t="str">
        <f>CONCATENATE(VLOOKUP($A291,Types!$A$2:$C$13,2,FALSE),"P",D291)</f>
        <v>JTFP5</v>
      </c>
      <c r="H291" s="239">
        <f>SUMIFS('Agg prdcrv NYC'!$P$6:$P$100,'Agg prdcrv NYC'!$A$6:$A$100,'Imp Refined NYC'!$A291,'Agg prdcrv NYC'!$B$6:$B$100,H$11)*K4</f>
        <v>56.573000000000008</v>
      </c>
      <c r="I291" s="239">
        <f>SUMIFS('Agg prdcrv NYC'!$P$6:$P$100,'Agg prdcrv NYC'!$A$6:$A$100,'Imp Refined NYC'!$A291,'Agg prdcrv NYC'!$B$6:$B$100,I$11)*K4</f>
        <v>45.914000000000009</v>
      </c>
      <c r="J291" s="239">
        <f t="array" ref="J291">SUMIFS('Agg prdcrv NYC'!$P$6:$P$100,'Agg prdcrv NYC'!$A$6:$A$100,'Imp Refined NYC'!$A291,'Agg prdcrv NYC'!$B$6:$B$100,J$11)</f>
        <v>36.26</v>
      </c>
      <c r="K291" s="239">
        <f t="array" ref="K291">SUMIFS('Agg prdcrv NYC'!$P$6:$P$100,'Agg prdcrv NYC'!$A$6:$A$100,'Imp Refined NYC'!$A291,'Agg prdcrv NYC'!$B$6:$B$100,K$11)</f>
        <v>38.729999999999997</v>
      </c>
      <c r="L291" s="240">
        <f>H291*Conv!$J$20/10^6/VLOOKUP($B291,Types!$B$2:$D$13,3,FALSE)/Conv!$I$5</f>
        <v>14.511557794174321</v>
      </c>
      <c r="M291" s="240">
        <f>I291*Conv!$J$20/10^6/VLOOKUP($B291,Types!$B$2:$D$13,3,FALSE)/Conv!$I$5</f>
        <v>11.777414394883067</v>
      </c>
      <c r="N291" s="240">
        <f>M291*'Imported Price Trends'!$K$19</f>
        <v>12.681293943384473</v>
      </c>
      <c r="O291" s="240">
        <f>N291*'Imported Price Trends'!$L$19</f>
        <v>12.560719294736154</v>
      </c>
      <c r="P291" s="240">
        <f>O291*'Imported Price Trends'!$M$19</f>
        <v>13.553898339027485</v>
      </c>
      <c r="Q291" s="240">
        <f>P291*'Imported Price Trends'!$N$19</f>
        <v>14.332466455257579</v>
      </c>
      <c r="R291" s="240">
        <f>Q291*'Imported Price Trends'!$O$19</f>
        <v>15.39857324360789</v>
      </c>
      <c r="S291" s="240">
        <f>R291*'Imported Price Trends'!$O$19</f>
        <v>16.543981364196775</v>
      </c>
      <c r="T291" s="240">
        <f>S291*'Imported Price Trends'!$O$19</f>
        <v>17.774589570660861</v>
      </c>
      <c r="U291" s="240">
        <f>T291*'Imported Price Trends'!$O$19</f>
        <v>19.096735389775677</v>
      </c>
      <c r="V291" s="240">
        <f>U291*'Imported Price Trends'!$O$19</f>
        <v>20.517227759175302</v>
      </c>
      <c r="W291" s="219"/>
      <c r="X291" s="195">
        <f t="array" ref="X291">SUMIFS('Agg prdcrv NYC'!$H$6:$H$100,'Agg prdcrv NYC'!$A$6:$A$100,'Imp Refined NYC'!$A291,'Agg prdcrv NYC'!$B$6:$B$100,X$11)</f>
        <v>100.3</v>
      </c>
      <c r="Y291" s="195">
        <f t="array" ref="Y291">SUMIFS('Agg prdcrv NYC'!$H$6:$H$100,'Agg prdcrv NYC'!$A$6:$A$100,'Imp Refined NYC'!$A291,'Agg prdcrv NYC'!$B$6:$B$100,Y$11)</f>
        <v>55.38</v>
      </c>
      <c r="Z291" s="195">
        <f t="array" ref="Z291">SUMIFS('Agg prdcrv NYC'!$H$6:$H$100,'Agg prdcrv NYC'!$A$6:$A$100,'Imp Refined NYC'!$A291,'Agg prdcrv NYC'!$B$6:$B$100,Z$11)</f>
        <v>50.1</v>
      </c>
      <c r="AA291" s="195">
        <f t="array" ref="AA291">SUMIFS('Agg prdcrv NYC'!$H$6:$H$100,'Agg prdcrv NYC'!$A$6:$A$100,'Imp Refined NYC'!$A291,'Agg prdcrv NYC'!$B$6:$B$100,AA$11)</f>
        <v>55.32</v>
      </c>
      <c r="AB291" s="219">
        <f>X291*VLOOKUP($B291,Types!$B$2:$D$13,3,FALSE)*Conv!$I$5*1000*365</f>
        <v>219.00416182344</v>
      </c>
      <c r="AC291" s="219">
        <f>Y291*VLOOKUP($B291,Types!$B$2:$D$13,3,FALSE)*Conv!$I$5*1000*365</f>
        <v>120.92173959902398</v>
      </c>
      <c r="AD291" s="219">
        <f>Z291*VLOOKUP($B291,Types!$B$2:$D$13,3,FALSE)*Conv!$I$5*1000*365</f>
        <v>109.39290635448</v>
      </c>
      <c r="AE291" s="219">
        <f>AA291*VLOOKUP($B291,Types!$B$2:$D$13,3,FALSE)*Conv!$I$5*1000*365</f>
        <v>120.79073013033599</v>
      </c>
      <c r="AF291" s="219">
        <f>AB291-AB293</f>
        <v>21.900416182344031</v>
      </c>
      <c r="AG291" s="219">
        <f t="shared" ref="AG291:AI291" si="753">AC291-AC293</f>
        <v>12.092173959902382</v>
      </c>
      <c r="AH291" s="219">
        <f t="shared" si="753"/>
        <v>10.939290635448017</v>
      </c>
      <c r="AI291" s="219">
        <f t="shared" si="753"/>
        <v>12.079073013033579</v>
      </c>
      <c r="AJ291" s="219"/>
      <c r="AK291" s="219"/>
      <c r="AL291" s="219"/>
    </row>
    <row r="292" spans="1:38">
      <c r="A292" s="195" t="str">
        <f>A291</f>
        <v>Jet Fuel</v>
      </c>
      <c r="B292" s="195" t="str">
        <f>VLOOKUP($A292,Types!$A$2:$C$13,2,FALSE)</f>
        <v>JTF</v>
      </c>
      <c r="C292" s="195">
        <v>1</v>
      </c>
      <c r="D292" s="195">
        <v>5</v>
      </c>
      <c r="E292" s="195" t="str">
        <f t="shared" si="668"/>
        <v>IMPJTFP51</v>
      </c>
      <c r="F292" s="195" t="str">
        <f>CONCATENATE("Imported ",VLOOKUP($A292,Types!$A$2:$C$13,3,FALSE),", PADD ",D292,", Step ",RIGHT(C292,1))</f>
        <v>Imported Jet Fuel, PADD 5, Step 1</v>
      </c>
      <c r="G292" s="195" t="str">
        <f>CONCATENATE(VLOOKUP($A292,Types!$A$2:$C$13,2,FALSE),"P",D292)</f>
        <v>JTFP5</v>
      </c>
      <c r="H292" s="239">
        <f>H291*$C$5</f>
        <v>53.744350000000004</v>
      </c>
      <c r="I292" s="239">
        <f t="shared" ref="I292:K292" si="754">I291*$C$5</f>
        <v>43.618300000000005</v>
      </c>
      <c r="J292" s="239">
        <f t="shared" si="754"/>
        <v>34.446999999999996</v>
      </c>
      <c r="K292" s="239">
        <f t="shared" si="754"/>
        <v>36.793499999999995</v>
      </c>
      <c r="L292" s="240">
        <f>H292*Conv!$J$20/10^6/VLOOKUP($B292,Types!$B$2:$D$13,3,FALSE)/Conv!$I$5</f>
        <v>13.785979904465604</v>
      </c>
      <c r="M292" s="240">
        <f>I292*Conv!$J$20/10^6/VLOOKUP($B292,Types!$B$2:$D$13,3,FALSE)/Conv!$I$5</f>
        <v>11.188543675138913</v>
      </c>
      <c r="N292" s="240">
        <f>M292*'Imported Price Trends'!$K$19</f>
        <v>12.047229246215249</v>
      </c>
      <c r="O292" s="240">
        <f>N292*'Imported Price Trends'!$L$19</f>
        <v>11.932683329999346</v>
      </c>
      <c r="P292" s="240">
        <f>O292*'Imported Price Trends'!$M$19</f>
        <v>12.876203422076111</v>
      </c>
      <c r="Q292" s="240">
        <f>P292*'Imported Price Trends'!$N$19</f>
        <v>13.615843132494701</v>
      </c>
      <c r="R292" s="240">
        <f>Q292*'Imported Price Trends'!$O$19</f>
        <v>14.628644581427496</v>
      </c>
      <c r="S292" s="240">
        <f>R292*'Imported Price Trends'!$O$19</f>
        <v>15.716782295986937</v>
      </c>
      <c r="T292" s="240">
        <f>S292*'Imported Price Trends'!$O$19</f>
        <v>16.885860092127817</v>
      </c>
      <c r="U292" s="240">
        <f>T292*'Imported Price Trends'!$O$19</f>
        <v>18.141898620286895</v>
      </c>
      <c r="V292" s="240">
        <f>U292*'Imported Price Trends'!$O$19</f>
        <v>19.491366371216536</v>
      </c>
      <c r="W292" s="219"/>
      <c r="X292" s="195">
        <f>X291*$E$5</f>
        <v>80.240000000000009</v>
      </c>
      <c r="Y292" s="195">
        <f t="shared" ref="Y292:AA292" si="755">Y291*$E$5</f>
        <v>44.304000000000002</v>
      </c>
      <c r="Z292" s="195">
        <f t="shared" si="755"/>
        <v>40.080000000000005</v>
      </c>
      <c r="AA292" s="195">
        <f t="shared" si="755"/>
        <v>44.256</v>
      </c>
      <c r="AB292" s="219">
        <f>X292*VLOOKUP($B292,Types!$B$2:$D$13,3,FALSE)*Conv!$I$5*1000*365</f>
        <v>175.20332945875202</v>
      </c>
      <c r="AC292" s="219">
        <f>Y292*VLOOKUP($B292,Types!$B$2:$D$13,3,FALSE)*Conv!$I$5*1000*365</f>
        <v>96.737391679219215</v>
      </c>
      <c r="AD292" s="219">
        <f>Z292*VLOOKUP($B292,Types!$B$2:$D$13,3,FALSE)*Conv!$I$5*1000*365</f>
        <v>87.514325083584012</v>
      </c>
      <c r="AE292" s="219">
        <f>AA292*VLOOKUP($B292,Types!$B$2:$D$13,3,FALSE)*Conv!$I$5*1000*365</f>
        <v>96.632584104268801</v>
      </c>
      <c r="AF292" s="219">
        <f>AB292</f>
        <v>175.20332945875202</v>
      </c>
      <c r="AG292" s="219">
        <f t="shared" ref="AG292:AI292" si="756">AC292</f>
        <v>96.737391679219215</v>
      </c>
      <c r="AH292" s="219">
        <f t="shared" si="756"/>
        <v>87.514325083584012</v>
      </c>
      <c r="AI292" s="219">
        <f t="shared" si="756"/>
        <v>96.632584104268801</v>
      </c>
      <c r="AJ292" s="219"/>
      <c r="AK292" s="219"/>
      <c r="AL292" s="219"/>
    </row>
    <row r="293" spans="1:38">
      <c r="A293" s="195" t="str">
        <f t="shared" ref="A293:A295" si="757">A292</f>
        <v>Jet Fuel</v>
      </c>
      <c r="B293" s="195" t="str">
        <f>VLOOKUP($A293,Types!$A$2:$C$13,2,FALSE)</f>
        <v>JTF</v>
      </c>
      <c r="C293" s="195">
        <v>2</v>
      </c>
      <c r="D293" s="195">
        <v>5</v>
      </c>
      <c r="E293" s="195" t="str">
        <f t="shared" si="668"/>
        <v>IMPJTFP52</v>
      </c>
      <c r="F293" s="195" t="str">
        <f>CONCATENATE("Imported ",VLOOKUP($A293,Types!$A$2:$C$13,3,FALSE),", PADD ",D293,", Step ",RIGHT(C293,1))</f>
        <v>Imported Jet Fuel, PADD 5, Step 2</v>
      </c>
      <c r="G293" s="195" t="str">
        <f>CONCATENATE(VLOOKUP($A293,Types!$A$2:$C$13,2,FALSE),"P",D293)</f>
        <v>JTFP5</v>
      </c>
      <c r="H293" s="239">
        <f>H291*$C$6</f>
        <v>55.441540000000003</v>
      </c>
      <c r="I293" s="239">
        <f t="shared" ref="I293:K293" si="758">I291*$C$6</f>
        <v>44.995720000000006</v>
      </c>
      <c r="J293" s="239">
        <f t="shared" si="758"/>
        <v>35.534799999999997</v>
      </c>
      <c r="K293" s="239">
        <f t="shared" si="758"/>
        <v>37.955399999999997</v>
      </c>
      <c r="L293" s="240">
        <f>H293*Conv!$J$20/10^6/VLOOKUP($B293,Types!$B$2:$D$13,3,FALSE)/Conv!$I$5</f>
        <v>14.221326638290833</v>
      </c>
      <c r="M293" s="240">
        <f>I293*Conv!$J$20/10^6/VLOOKUP($B293,Types!$B$2:$D$13,3,FALSE)/Conv!$I$5</f>
        <v>11.541866106985402</v>
      </c>
      <c r="N293" s="240">
        <f>M293*'Imported Price Trends'!$K$19</f>
        <v>12.42766806451678</v>
      </c>
      <c r="O293" s="240">
        <f>N293*'Imported Price Trends'!$L$19</f>
        <v>12.309504908841427</v>
      </c>
      <c r="P293" s="240">
        <f>O293*'Imported Price Trends'!$M$19</f>
        <v>13.282820372246931</v>
      </c>
      <c r="Q293" s="240">
        <f>P293*'Imported Price Trends'!$N$19</f>
        <v>14.045817126152423</v>
      </c>
      <c r="R293" s="240">
        <f>Q293*'Imported Price Trends'!$O$19</f>
        <v>15.090601778735728</v>
      </c>
      <c r="S293" s="240">
        <f>R293*'Imported Price Trends'!$O$19</f>
        <v>16.213101736912837</v>
      </c>
      <c r="T293" s="240">
        <f>S293*'Imported Price Trends'!$O$19</f>
        <v>17.41909777924764</v>
      </c>
      <c r="U293" s="240">
        <f>T293*'Imported Price Trends'!$O$19</f>
        <v>18.714800681980162</v>
      </c>
      <c r="V293" s="240">
        <f>U293*'Imported Price Trends'!$O$19</f>
        <v>20.106883203991792</v>
      </c>
      <c r="W293" s="219"/>
      <c r="X293" s="195">
        <f>X291*$E$6</f>
        <v>90.27</v>
      </c>
      <c r="Y293" s="195">
        <f t="shared" ref="Y293:AA293" si="759">Y291*$E$6</f>
        <v>49.842000000000006</v>
      </c>
      <c r="Z293" s="195">
        <f t="shared" si="759"/>
        <v>45.09</v>
      </c>
      <c r="AA293" s="195">
        <f t="shared" si="759"/>
        <v>49.788000000000004</v>
      </c>
      <c r="AB293" s="219">
        <f>X293*VLOOKUP($B293,Types!$B$2:$D$13,3,FALSE)*Conv!$I$5*1000*365</f>
        <v>197.10374564109597</v>
      </c>
      <c r="AC293" s="219">
        <f>Y293*VLOOKUP($B293,Types!$B$2:$D$13,3,FALSE)*Conv!$I$5*1000*365</f>
        <v>108.8295656391216</v>
      </c>
      <c r="AD293" s="219">
        <f>Z293*VLOOKUP($B293,Types!$B$2:$D$13,3,FALSE)*Conv!$I$5*1000*365</f>
        <v>98.453615719031987</v>
      </c>
      <c r="AE293" s="219">
        <f>AA293*VLOOKUP($B293,Types!$B$2:$D$13,3,FALSE)*Conv!$I$5*1000*365</f>
        <v>108.71165711730241</v>
      </c>
      <c r="AF293" s="219">
        <f>AB293-AF292</f>
        <v>21.900416182343946</v>
      </c>
      <c r="AG293" s="219">
        <f t="shared" ref="AG293:AI293" si="760">AC293-AG292</f>
        <v>12.092173959902382</v>
      </c>
      <c r="AH293" s="219">
        <f t="shared" si="760"/>
        <v>10.939290635447975</v>
      </c>
      <c r="AI293" s="219">
        <f t="shared" si="760"/>
        <v>12.079073013033607</v>
      </c>
      <c r="AJ293" s="219"/>
      <c r="AK293" s="219"/>
      <c r="AL293" s="219"/>
    </row>
    <row r="294" spans="1:38">
      <c r="A294" s="195" t="str">
        <f t="shared" si="757"/>
        <v>Jet Fuel</v>
      </c>
      <c r="B294" s="195" t="str">
        <f>VLOOKUP($A294,Types!$A$2:$C$13,2,FALSE)</f>
        <v>JTF</v>
      </c>
      <c r="C294" s="195">
        <v>4</v>
      </c>
      <c r="D294" s="195">
        <v>5</v>
      </c>
      <c r="E294" s="195" t="str">
        <f t="shared" si="668"/>
        <v>IMPJTFP54</v>
      </c>
      <c r="F294" s="195" t="str">
        <f>CONCATENATE("Imported ",VLOOKUP($A294,Types!$A$2:$C$13,3,FALSE),", PADD ",D294,", Step ",RIGHT(C294,1))</f>
        <v>Imported Jet Fuel, PADD 5, Step 4</v>
      </c>
      <c r="G294" s="195" t="str">
        <f>CONCATENATE(VLOOKUP($A294,Types!$A$2:$C$13,2,FALSE),"P",D294)</f>
        <v>JTFP5</v>
      </c>
      <c r="H294" s="239">
        <f>H291*$C$8</f>
        <v>61.664570000000012</v>
      </c>
      <c r="I294" s="239">
        <f t="shared" ref="I294:K294" si="761">I291*$C$8</f>
        <v>50.046260000000011</v>
      </c>
      <c r="J294" s="239">
        <f t="shared" si="761"/>
        <v>39.523400000000002</v>
      </c>
      <c r="K294" s="239">
        <f t="shared" si="761"/>
        <v>42.215699999999998</v>
      </c>
      <c r="L294" s="240">
        <f>H294*Conv!$J$20/10^6/VLOOKUP($B294,Types!$B$2:$D$13,3,FALSE)/Conv!$I$5</f>
        <v>15.81759799565001</v>
      </c>
      <c r="M294" s="240">
        <f>I294*Conv!$J$20/10^6/VLOOKUP($B294,Types!$B$2:$D$13,3,FALSE)/Conv!$I$5</f>
        <v>12.837381690422541</v>
      </c>
      <c r="N294" s="240">
        <f>M294*'Imported Price Trends'!$K$19</f>
        <v>13.822610398289074</v>
      </c>
      <c r="O294" s="240">
        <f>N294*'Imported Price Trends'!$L$19</f>
        <v>13.691184031262406</v>
      </c>
      <c r="P294" s="240">
        <f>O294*'Imported Price Trends'!$M$19</f>
        <v>14.773749189539956</v>
      </c>
      <c r="Q294" s="240">
        <f>P294*'Imported Price Trends'!$N$19</f>
        <v>15.622388436230759</v>
      </c>
      <c r="R294" s="240">
        <f>Q294*'Imported Price Trends'!$O$19</f>
        <v>16.784444835532597</v>
      </c>
      <c r="S294" s="240">
        <f>R294*'Imported Price Trends'!$O$19</f>
        <v>18.03293968697448</v>
      </c>
      <c r="T294" s="240">
        <f>S294*'Imported Price Trends'!$O$19</f>
        <v>19.374302632020335</v>
      </c>
      <c r="U294" s="240">
        <f>T294*'Imported Price Trends'!$O$19</f>
        <v>20.815441574855484</v>
      </c>
      <c r="V294" s="240">
        <f>U294*'Imported Price Trends'!$O$19</f>
        <v>22.363778257501075</v>
      </c>
      <c r="W294" s="219"/>
      <c r="X294" s="195">
        <f>X291*$E$8</f>
        <v>120.35999999999999</v>
      </c>
      <c r="Y294" s="195">
        <f t="shared" ref="Y294:AA294" si="762">Y291*$E$8</f>
        <v>66.456000000000003</v>
      </c>
      <c r="Z294" s="195">
        <f t="shared" si="762"/>
        <v>60.12</v>
      </c>
      <c r="AA294" s="195">
        <f t="shared" si="762"/>
        <v>66.384</v>
      </c>
      <c r="AB294" s="219">
        <f>X294*VLOOKUP($B294,Types!$B$2:$D$13,3,FALSE)*Conv!$I$5*1000*365</f>
        <v>262.80499418812792</v>
      </c>
      <c r="AC294" s="219">
        <f>Y294*VLOOKUP($B294,Types!$B$2:$D$13,3,FALSE)*Conv!$I$5*1000*365</f>
        <v>145.10608751882879</v>
      </c>
      <c r="AD294" s="219">
        <f>Z294*VLOOKUP($B294,Types!$B$2:$D$13,3,FALSE)*Conv!$I$5*1000*365</f>
        <v>131.27148762537598</v>
      </c>
      <c r="AE294" s="219">
        <f>AA294*VLOOKUP($B294,Types!$B$2:$D$13,3,FALSE)*Conv!$I$5*1000*365</f>
        <v>144.9488761564032</v>
      </c>
      <c r="AF294" s="219">
        <f>AB294-AB291</f>
        <v>43.800832364687921</v>
      </c>
      <c r="AG294" s="219">
        <f t="shared" ref="AG294:AI294" si="763">AC294-AC291</f>
        <v>24.184347919804807</v>
      </c>
      <c r="AH294" s="219">
        <f t="shared" si="763"/>
        <v>21.878581270895978</v>
      </c>
      <c r="AI294" s="219">
        <f t="shared" si="763"/>
        <v>24.158146026067215</v>
      </c>
      <c r="AJ294" s="219"/>
      <c r="AK294" s="219"/>
      <c r="AL294" s="219"/>
    </row>
    <row r="295" spans="1:38">
      <c r="A295" s="195" t="str">
        <f t="shared" si="757"/>
        <v>Jet Fuel</v>
      </c>
      <c r="B295" s="195" t="str">
        <f>VLOOKUP($A295,Types!$A$2:$C$13,2,FALSE)</f>
        <v>JTF</v>
      </c>
      <c r="C295" s="195">
        <v>5</v>
      </c>
      <c r="D295" s="195">
        <v>5</v>
      </c>
      <c r="E295" s="195" t="str">
        <f t="shared" si="668"/>
        <v>IMPJTFP55</v>
      </c>
      <c r="F295" s="195" t="str">
        <f>CONCATENATE("Imported ",VLOOKUP($A295,Types!$A$2:$C$13,3,FALSE),", PADD ",D295,", Step ",RIGHT(C295,1))</f>
        <v>Imported Jet Fuel, PADD 5, Step 5</v>
      </c>
      <c r="G295" s="195" t="str">
        <f>CONCATENATE(VLOOKUP($A295,Types!$A$2:$C$13,2,FALSE),"P",D295)</f>
        <v>JTFP5</v>
      </c>
      <c r="H295" s="239">
        <f>H291*$C$9</f>
        <v>73.544900000000013</v>
      </c>
      <c r="I295" s="239">
        <f t="shared" ref="I295:K295" si="764">I291*$C$9</f>
        <v>59.688200000000016</v>
      </c>
      <c r="J295" s="239">
        <f t="shared" si="764"/>
        <v>47.137999999999998</v>
      </c>
      <c r="K295" s="239">
        <f t="shared" si="764"/>
        <v>50.348999999999997</v>
      </c>
      <c r="L295" s="240">
        <f>H295*Conv!$J$20/10^6/VLOOKUP($B295,Types!$B$2:$D$13,3,FALSE)/Conv!$I$5</f>
        <v>18.865025132426613</v>
      </c>
      <c r="M295" s="240">
        <f>I295*Conv!$J$20/10^6/VLOOKUP($B295,Types!$B$2:$D$13,3,FALSE)/Conv!$I$5</f>
        <v>15.310638713347988</v>
      </c>
      <c r="N295" s="240">
        <f>M295*'Imported Price Trends'!$K$19</f>
        <v>16.485682126399816</v>
      </c>
      <c r="O295" s="240">
        <f>N295*'Imported Price Trends'!$L$19</f>
        <v>16.328935083156999</v>
      </c>
      <c r="P295" s="240">
        <f>O295*'Imported Price Trends'!$M$19</f>
        <v>17.620067840735729</v>
      </c>
      <c r="Q295" s="240">
        <f>P295*'Imported Price Trends'!$N$19</f>
        <v>18.632206391834853</v>
      </c>
      <c r="R295" s="240">
        <f>Q295*'Imported Price Trends'!$O$19</f>
        <v>20.018145216690257</v>
      </c>
      <c r="S295" s="240">
        <f>R295*'Imported Price Trends'!$O$19</f>
        <v>21.50717577345581</v>
      </c>
      <c r="T295" s="240">
        <f>S295*'Imported Price Trends'!$O$19</f>
        <v>23.106966441859122</v>
      </c>
      <c r="U295" s="240">
        <f>T295*'Imported Price Trends'!$O$19</f>
        <v>24.825756006708385</v>
      </c>
      <c r="V295" s="240">
        <f>U295*'Imported Price Trends'!$O$19</f>
        <v>26.672396086927897</v>
      </c>
      <c r="W295" s="219"/>
      <c r="X295" s="195">
        <f>X291*$E$9</f>
        <v>200.6</v>
      </c>
      <c r="Y295" s="195">
        <f t="shared" ref="Y295:AA295" si="765">Y291*$E$9</f>
        <v>110.76</v>
      </c>
      <c r="Z295" s="195">
        <f t="shared" si="765"/>
        <v>100.2</v>
      </c>
      <c r="AA295" s="195">
        <f t="shared" si="765"/>
        <v>110.64</v>
      </c>
      <c r="AB295" s="219">
        <f>X295*VLOOKUP($B295,Types!$B$2:$D$13,3,FALSE)*Conv!$I$5*1000*365</f>
        <v>438.00832364688</v>
      </c>
      <c r="AC295" s="219">
        <f>Y295*VLOOKUP($B295,Types!$B$2:$D$13,3,FALSE)*Conv!$I$5*1000*365</f>
        <v>241.84347919804796</v>
      </c>
      <c r="AD295" s="219">
        <f>Z295*VLOOKUP($B295,Types!$B$2:$D$13,3,FALSE)*Conv!$I$5*1000*365</f>
        <v>218.78581270896001</v>
      </c>
      <c r="AE295" s="219">
        <f>AA295*VLOOKUP($B295,Types!$B$2:$D$13,3,FALSE)*Conv!$I$5*1000*365</f>
        <v>241.58146026067197</v>
      </c>
      <c r="AF295" s="219">
        <f>AB295-AB294</f>
        <v>175.20332945875208</v>
      </c>
      <c r="AG295" s="219">
        <f t="shared" ref="AG295:AI295" si="766">AC295-AC294</f>
        <v>96.737391679219172</v>
      </c>
      <c r="AH295" s="219">
        <f t="shared" si="766"/>
        <v>87.514325083584026</v>
      </c>
      <c r="AI295" s="219">
        <f t="shared" si="766"/>
        <v>96.632584104268773</v>
      </c>
      <c r="AJ295" s="219"/>
      <c r="AK295" s="219"/>
      <c r="AL295" s="219"/>
    </row>
    <row r="296" spans="1:38">
      <c r="A296" s="195" t="str">
        <f>'Agg prdcrv'!$A$13</f>
        <v>LPG</v>
      </c>
      <c r="B296" s="195" t="str">
        <f>VLOOKUP($A296,Types!$A$2:$C$13,2,FALSE)</f>
        <v>LPG</v>
      </c>
      <c r="C296" s="195">
        <v>3</v>
      </c>
      <c r="D296" s="195">
        <v>5</v>
      </c>
      <c r="E296" s="195" t="str">
        <f t="shared" si="668"/>
        <v>IMPLPGP53</v>
      </c>
      <c r="F296" s="195" t="str">
        <f>CONCATENATE("Imported ",VLOOKUP($A296,Types!$A$2:$C$13,3,FALSE),", PADD ",D296,", Step ",RIGHT(C296,1))</f>
        <v>Imported LPG, PADD 5, Step 3</v>
      </c>
      <c r="G296" s="195" t="str">
        <f>CONCATENATE(VLOOKUP($A296,Types!$A$2:$C$13,2,FALSE),"P",D296)</f>
        <v>LPGP5</v>
      </c>
      <c r="H296" s="239">
        <f>SUMIFS('Agg prdcrv NYC'!$P$6:$P$100,'Agg prdcrv NYC'!$A$6:$A$100,'Imp Refined NYC'!$A296,'Agg prdcrv NYC'!$B$6:$B$100,H$11)*K4</f>
        <v>31.691000000000003</v>
      </c>
      <c r="I296" s="239">
        <f>SUMIFS('Agg prdcrv NYC'!$P$6:$P$100,'Agg prdcrv NYC'!$A$6:$A$100,'Imp Refined NYC'!$A296,'Agg prdcrv NYC'!$B$6:$B$100,I$11)*K4</f>
        <v>31.35</v>
      </c>
      <c r="J296" s="239">
        <f t="array" ref="J296">SUMIFS('Agg prdcrv NYC'!$P$6:$P$100,'Agg prdcrv NYC'!$A$6:$A$100,'Imp Refined NYC'!$A296,'Agg prdcrv NYC'!$B$6:$B$100,J$11)</f>
        <v>28.5</v>
      </c>
      <c r="K296" s="239">
        <f t="array" ref="K296">SUMIFS('Agg prdcrv NYC'!$P$6:$P$100,'Agg prdcrv NYC'!$A$6:$A$100,'Imp Refined NYC'!$A296,'Agg prdcrv NYC'!$B$6:$B$100,K$11)</f>
        <v>28.5</v>
      </c>
      <c r="L296" s="240">
        <f>H296*Conv!$J$20/10^6/VLOOKUP($B296,Types!$B$2:$D$13,3,FALSE)/Conv!$I$5</f>
        <v>12.958059311858628</v>
      </c>
      <c r="M296" s="240">
        <f>I296*Conv!$J$20/10^6/VLOOKUP($B296,Types!$B$2:$D$13,3,FALSE)/Conv!$I$5</f>
        <v>12.818628614646682</v>
      </c>
      <c r="N296" s="240">
        <f>M296*'Imported Price Trends'!$K$19</f>
        <v>13.80241808287224</v>
      </c>
      <c r="O296" s="240">
        <f>N296*'Imported Price Trends'!$L$19</f>
        <v>13.671183705822909</v>
      </c>
      <c r="P296" s="240">
        <f>O296*'Imported Price Trends'!$M$19</f>
        <v>14.7521674336394</v>
      </c>
      <c r="Q296" s="240">
        <f>P296*'Imported Price Trends'!$N$19</f>
        <v>15.599566973006439</v>
      </c>
      <c r="R296" s="240">
        <f>Q296*'Imported Price Trends'!$O$19</f>
        <v>16.759925819626783</v>
      </c>
      <c r="S296" s="240">
        <f>R296*'Imported Price Trends'!$O$19</f>
        <v>18.006596847557031</v>
      </c>
      <c r="T296" s="240">
        <f>S296*'Imported Price Trends'!$O$19</f>
        <v>19.346000305726356</v>
      </c>
      <c r="U296" s="240">
        <f>T296*'Imported Price Trends'!$O$19</f>
        <v>20.785034007130641</v>
      </c>
      <c r="V296" s="240">
        <f>U296*'Imported Price Trends'!$O$19</f>
        <v>22.331108851978119</v>
      </c>
      <c r="W296" s="219"/>
      <c r="X296" s="195">
        <f t="array" ref="X296">SUMIFS('Agg prdcrv NYC'!$H$6:$H$100,'Agg prdcrv NYC'!$A$6:$A$100,'Imp Refined NYC'!$A296,'Agg prdcrv NYC'!$B$6:$B$100,X$11)</f>
        <v>7.33</v>
      </c>
      <c r="Y296" s="195">
        <f t="array" ref="Y296">SUMIFS('Agg prdcrv NYC'!$H$6:$H$100,'Agg prdcrv NYC'!$A$6:$A$100,'Imp Refined NYC'!$A296,'Agg prdcrv NYC'!$B$6:$B$100,Y$11)</f>
        <v>1.73</v>
      </c>
      <c r="Z296" s="195">
        <f t="array" ref="Z296">SUMIFS('Agg prdcrv NYC'!$H$6:$H$100,'Agg prdcrv NYC'!$A$6:$A$100,'Imp Refined NYC'!$A296,'Agg prdcrv NYC'!$B$6:$B$100,Z$11)</f>
        <v>1.91</v>
      </c>
      <c r="AA296" s="195">
        <f t="array" ref="AA296">SUMIFS('Agg prdcrv NYC'!$H$6:$H$100,'Agg prdcrv NYC'!$A$6:$A$100,'Imp Refined NYC'!$A296,'Agg prdcrv NYC'!$B$6:$B$100,AA$11)</f>
        <v>2.11</v>
      </c>
      <c r="AB296" s="219">
        <f>X296*VLOOKUP($B296,Types!$B$2:$D$13,3,FALSE)*Conv!$I$5*1000*365</f>
        <v>10.040520238986399</v>
      </c>
      <c r="AC296" s="219">
        <f>Y296*VLOOKUP($B296,Types!$B$2:$D$13,3,FALSE)*Conv!$I$5*1000*365</f>
        <v>2.3697271505383997</v>
      </c>
      <c r="AD296" s="219">
        <f>Z296*VLOOKUP($B296,Types!$B$2:$D$13,3,FALSE)*Conv!$I$5*1000*365</f>
        <v>2.6162883569527997</v>
      </c>
      <c r="AE296" s="219">
        <f>AA296*VLOOKUP($B296,Types!$B$2:$D$13,3,FALSE)*Conv!$I$5*1000*365</f>
        <v>2.8902452529687999</v>
      </c>
      <c r="AF296" s="219">
        <f>AB296-AB298</f>
        <v>1.004052023898641</v>
      </c>
      <c r="AG296" s="219">
        <f t="shared" ref="AG296:AI296" si="767">AC296-AC298</f>
        <v>0.23697271505383988</v>
      </c>
      <c r="AH296" s="219">
        <f t="shared" si="767"/>
        <v>0.2616288356952805</v>
      </c>
      <c r="AI296" s="219">
        <f t="shared" si="767"/>
        <v>0.28902452529687972</v>
      </c>
      <c r="AJ296" s="219"/>
      <c r="AK296" s="219"/>
      <c r="AL296" s="219"/>
    </row>
    <row r="297" spans="1:38">
      <c r="A297" s="195" t="str">
        <f>A296</f>
        <v>LPG</v>
      </c>
      <c r="B297" s="195" t="str">
        <f>VLOOKUP($A297,Types!$A$2:$C$13,2,FALSE)</f>
        <v>LPG</v>
      </c>
      <c r="C297" s="195">
        <v>1</v>
      </c>
      <c r="D297" s="195">
        <v>5</v>
      </c>
      <c r="E297" s="195" t="str">
        <f t="shared" si="668"/>
        <v>IMPLPGP51</v>
      </c>
      <c r="F297" s="195" t="str">
        <f>CONCATENATE("Imported ",VLOOKUP($A297,Types!$A$2:$C$13,3,FALSE),", PADD ",D297,", Step ",RIGHT(C297,1))</f>
        <v>Imported LPG, PADD 5, Step 1</v>
      </c>
      <c r="G297" s="195" t="str">
        <f>CONCATENATE(VLOOKUP($A297,Types!$A$2:$C$13,2,FALSE),"P",D297)</f>
        <v>LPGP5</v>
      </c>
      <c r="H297" s="239">
        <f>H296*$C$5</f>
        <v>30.106450000000002</v>
      </c>
      <c r="I297" s="239">
        <f t="shared" ref="I297:K297" si="768">I296*$C$5</f>
        <v>29.782499999999999</v>
      </c>
      <c r="J297" s="239">
        <f t="shared" si="768"/>
        <v>27.074999999999999</v>
      </c>
      <c r="K297" s="239">
        <f t="shared" si="768"/>
        <v>27.074999999999999</v>
      </c>
      <c r="L297" s="240">
        <f>H297*Conv!$J$20/10^6/VLOOKUP($B297,Types!$B$2:$D$13,3,FALSE)/Conv!$I$5</f>
        <v>12.310156346265698</v>
      </c>
      <c r="M297" s="240">
        <f>I297*Conv!$J$20/10^6/VLOOKUP($B297,Types!$B$2:$D$13,3,FALSE)/Conv!$I$5</f>
        <v>12.177697183914349</v>
      </c>
      <c r="N297" s="240">
        <f>M297*'Imported Price Trends'!$K$19</f>
        <v>13.112297178728628</v>
      </c>
      <c r="O297" s="240">
        <f>N297*'Imported Price Trends'!$L$19</f>
        <v>12.987624520531762</v>
      </c>
      <c r="P297" s="240">
        <f>O297*'Imported Price Trends'!$M$19</f>
        <v>14.014559061957428</v>
      </c>
      <c r="Q297" s="240">
        <f>P297*'Imported Price Trends'!$N$19</f>
        <v>14.819588624356115</v>
      </c>
      <c r="R297" s="240">
        <f>Q297*'Imported Price Trends'!$O$19</f>
        <v>15.921929528645443</v>
      </c>
      <c r="S297" s="240">
        <f>R297*'Imported Price Trends'!$O$19</f>
        <v>17.106267005179177</v>
      </c>
      <c r="T297" s="240">
        <f>S297*'Imported Price Trends'!$O$19</f>
        <v>18.378700290440037</v>
      </c>
      <c r="U297" s="240">
        <f>T297*'Imported Price Trends'!$O$19</f>
        <v>19.745782306774107</v>
      </c>
      <c r="V297" s="240">
        <f>U297*'Imported Price Trends'!$O$19</f>
        <v>21.21455340937921</v>
      </c>
      <c r="W297" s="219"/>
      <c r="X297" s="195">
        <f>X296*$E$5</f>
        <v>5.8640000000000008</v>
      </c>
      <c r="Y297" s="195">
        <f t="shared" ref="Y297:AA297" si="769">Y296*$E$5</f>
        <v>1.3840000000000001</v>
      </c>
      <c r="Z297" s="195">
        <f t="shared" si="769"/>
        <v>1.528</v>
      </c>
      <c r="AA297" s="195">
        <f t="shared" si="769"/>
        <v>1.6879999999999999</v>
      </c>
      <c r="AB297" s="219">
        <f>X297*VLOOKUP($B297,Types!$B$2:$D$13,3,FALSE)*Conv!$I$5*1000*365</f>
        <v>8.032416191189121</v>
      </c>
      <c r="AC297" s="219">
        <f>Y297*VLOOKUP($B297,Types!$B$2:$D$13,3,FALSE)*Conv!$I$5*1000*365</f>
        <v>1.8957817204307199</v>
      </c>
      <c r="AD297" s="219">
        <f>Z297*VLOOKUP($B297,Types!$B$2:$D$13,3,FALSE)*Conv!$I$5*1000*365</f>
        <v>2.0930306855622396</v>
      </c>
      <c r="AE297" s="219">
        <f>AA297*VLOOKUP($B297,Types!$B$2:$D$13,3,FALSE)*Conv!$I$5*1000*365</f>
        <v>2.3121962023750395</v>
      </c>
      <c r="AF297" s="219">
        <f>AB297</f>
        <v>8.032416191189121</v>
      </c>
      <c r="AG297" s="219">
        <f t="shared" ref="AG297:AI297" si="770">AC297</f>
        <v>1.8957817204307199</v>
      </c>
      <c r="AH297" s="219">
        <f t="shared" si="770"/>
        <v>2.0930306855622396</v>
      </c>
      <c r="AI297" s="219">
        <f t="shared" si="770"/>
        <v>2.3121962023750395</v>
      </c>
      <c r="AJ297" s="219"/>
      <c r="AK297" s="219"/>
      <c r="AL297" s="219"/>
    </row>
    <row r="298" spans="1:38">
      <c r="A298" s="195" t="str">
        <f t="shared" ref="A298:A300" si="771">A297</f>
        <v>LPG</v>
      </c>
      <c r="B298" s="195" t="str">
        <f>VLOOKUP($A298,Types!$A$2:$C$13,2,FALSE)</f>
        <v>LPG</v>
      </c>
      <c r="C298" s="195">
        <v>2</v>
      </c>
      <c r="D298" s="195">
        <v>5</v>
      </c>
      <c r="E298" s="195" t="str">
        <f t="shared" si="668"/>
        <v>IMPLPGP52</v>
      </c>
      <c r="F298" s="195" t="str">
        <f>CONCATENATE("Imported ",VLOOKUP($A298,Types!$A$2:$C$13,3,FALSE),", PADD ",D298,", Step ",RIGHT(C298,1))</f>
        <v>Imported LPG, PADD 5, Step 2</v>
      </c>
      <c r="G298" s="195" t="str">
        <f>CONCATENATE(VLOOKUP($A298,Types!$A$2:$C$13,2,FALSE),"P",D298)</f>
        <v>LPGP5</v>
      </c>
      <c r="H298" s="239">
        <f>H296*$C$6</f>
        <v>31.057180000000002</v>
      </c>
      <c r="I298" s="239">
        <f t="shared" ref="I298:K298" si="772">I296*$C$6</f>
        <v>30.723000000000003</v>
      </c>
      <c r="J298" s="239">
        <f t="shared" si="772"/>
        <v>27.93</v>
      </c>
      <c r="K298" s="239">
        <f t="shared" si="772"/>
        <v>27.93</v>
      </c>
      <c r="L298" s="240">
        <f>H298*Conv!$J$20/10^6/VLOOKUP($B298,Types!$B$2:$D$13,3,FALSE)/Conv!$I$5</f>
        <v>12.698898125621454</v>
      </c>
      <c r="M298" s="240">
        <f>I298*Conv!$J$20/10^6/VLOOKUP($B298,Types!$B$2:$D$13,3,FALSE)/Conv!$I$5</f>
        <v>12.56225604235375</v>
      </c>
      <c r="N298" s="240">
        <f>M298*'Imported Price Trends'!$K$19</f>
        <v>13.526369721214797</v>
      </c>
      <c r="O298" s="240">
        <f>N298*'Imported Price Trends'!$L$19</f>
        <v>13.397760031706452</v>
      </c>
      <c r="P298" s="240">
        <f>O298*'Imported Price Trends'!$M$19</f>
        <v>14.457124084966614</v>
      </c>
      <c r="Q298" s="240">
        <f>P298*'Imported Price Trends'!$N$19</f>
        <v>15.287575633546313</v>
      </c>
      <c r="R298" s="240">
        <f>Q298*'Imported Price Trends'!$O$19</f>
        <v>16.424727303234249</v>
      </c>
      <c r="S298" s="240">
        <f>R298*'Imported Price Trends'!$O$19</f>
        <v>17.646464910605893</v>
      </c>
      <c r="T298" s="240">
        <f>S298*'Imported Price Trends'!$O$19</f>
        <v>18.959080299611831</v>
      </c>
      <c r="U298" s="240">
        <f>T298*'Imported Price Trends'!$O$19</f>
        <v>20.369333326988031</v>
      </c>
      <c r="V298" s="240">
        <f>U298*'Imported Price Trends'!$O$19</f>
        <v>21.884486674938557</v>
      </c>
      <c r="W298" s="219"/>
      <c r="X298" s="195">
        <f>X296*$E$6</f>
        <v>6.5970000000000004</v>
      </c>
      <c r="Y298" s="195">
        <f t="shared" ref="Y298:AA298" si="773">Y296*$E$6</f>
        <v>1.5569999999999999</v>
      </c>
      <c r="Z298" s="195">
        <f t="shared" si="773"/>
        <v>1.7189999999999999</v>
      </c>
      <c r="AA298" s="195">
        <f t="shared" si="773"/>
        <v>1.899</v>
      </c>
      <c r="AB298" s="219">
        <f>X298*VLOOKUP($B298,Types!$B$2:$D$13,3,FALSE)*Conv!$I$5*1000*365</f>
        <v>9.0364682150877584</v>
      </c>
      <c r="AC298" s="219">
        <f>Y298*VLOOKUP($B298,Types!$B$2:$D$13,3,FALSE)*Conv!$I$5*1000*365</f>
        <v>2.1327544354845598</v>
      </c>
      <c r="AD298" s="219">
        <f>Z298*VLOOKUP($B298,Types!$B$2:$D$13,3,FALSE)*Conv!$I$5*1000*365</f>
        <v>2.3546595212575192</v>
      </c>
      <c r="AE298" s="219">
        <f>AA298*VLOOKUP($B298,Types!$B$2:$D$13,3,FALSE)*Conv!$I$5*1000*365</f>
        <v>2.6012207276719201</v>
      </c>
      <c r="AF298" s="219">
        <f>AB298-AF297</f>
        <v>1.0040520238986375</v>
      </c>
      <c r="AG298" s="219">
        <f t="shared" ref="AG298:AI298" si="774">AC298-AG297</f>
        <v>0.23697271505383988</v>
      </c>
      <c r="AH298" s="219">
        <f t="shared" si="774"/>
        <v>0.26162883569527962</v>
      </c>
      <c r="AI298" s="219">
        <f t="shared" si="774"/>
        <v>0.28902452529688061</v>
      </c>
      <c r="AJ298" s="219"/>
      <c r="AK298" s="219"/>
      <c r="AL298" s="219"/>
    </row>
    <row r="299" spans="1:38">
      <c r="A299" s="195" t="str">
        <f t="shared" si="771"/>
        <v>LPG</v>
      </c>
      <c r="B299" s="195" t="str">
        <f>VLOOKUP($A299,Types!$A$2:$C$13,2,FALSE)</f>
        <v>LPG</v>
      </c>
      <c r="C299" s="195">
        <v>4</v>
      </c>
      <c r="D299" s="195">
        <v>5</v>
      </c>
      <c r="E299" s="195" t="str">
        <f t="shared" si="668"/>
        <v>IMPLPGP54</v>
      </c>
      <c r="F299" s="195" t="str">
        <f>CONCATENATE("Imported ",VLOOKUP($A299,Types!$A$2:$C$13,3,FALSE),", PADD ",D299,", Step ",RIGHT(C299,1))</f>
        <v>Imported LPG, PADD 5, Step 4</v>
      </c>
      <c r="G299" s="195" t="str">
        <f>CONCATENATE(VLOOKUP($A299,Types!$A$2:$C$13,2,FALSE),"P",D299)</f>
        <v>LPGP5</v>
      </c>
      <c r="H299" s="239">
        <f>H296*$C$8</f>
        <v>34.543190000000003</v>
      </c>
      <c r="I299" s="239">
        <f t="shared" ref="I299:K299" si="775">I296*$C$8</f>
        <v>34.171500000000002</v>
      </c>
      <c r="J299" s="239">
        <f t="shared" si="775"/>
        <v>31.065000000000001</v>
      </c>
      <c r="K299" s="239">
        <f t="shared" si="775"/>
        <v>31.065000000000001</v>
      </c>
      <c r="L299" s="240">
        <f>H299*Conv!$J$20/10^6/VLOOKUP($B299,Types!$B$2:$D$13,3,FALSE)/Conv!$I$5</f>
        <v>14.124284649925904</v>
      </c>
      <c r="M299" s="240">
        <f>I299*Conv!$J$20/10^6/VLOOKUP($B299,Types!$B$2:$D$13,3,FALSE)/Conv!$I$5</f>
        <v>13.972305189964885</v>
      </c>
      <c r="N299" s="240">
        <f>M299*'Imported Price Trends'!$K$19</f>
        <v>15.044635710330743</v>
      </c>
      <c r="O299" s="240">
        <f>N299*'Imported Price Trends'!$L$19</f>
        <v>14.901590239346971</v>
      </c>
      <c r="P299" s="240">
        <f>O299*'Imported Price Trends'!$M$19</f>
        <v>16.079862502666945</v>
      </c>
      <c r="Q299" s="240">
        <f>P299*'Imported Price Trends'!$N$19</f>
        <v>17.003528000577017</v>
      </c>
      <c r="R299" s="240">
        <f>Q299*'Imported Price Trends'!$O$19</f>
        <v>18.268319143393192</v>
      </c>
      <c r="S299" s="240">
        <f>R299*'Imported Price Trends'!$O$19</f>
        <v>19.627190563837161</v>
      </c>
      <c r="T299" s="240">
        <f>S299*'Imported Price Trends'!$O$19</f>
        <v>21.087140333241724</v>
      </c>
      <c r="U299" s="240">
        <f>T299*'Imported Price Trends'!$O$19</f>
        <v>22.655687067772394</v>
      </c>
      <c r="V299" s="240">
        <f>U299*'Imported Price Trends'!$O$19</f>
        <v>24.340908648656143</v>
      </c>
      <c r="W299" s="219"/>
      <c r="X299" s="195">
        <f>X296*$E$8</f>
        <v>8.7959999999999994</v>
      </c>
      <c r="Y299" s="195">
        <f t="shared" ref="Y299:AA299" si="776">Y296*$E$8</f>
        <v>2.0760000000000001</v>
      </c>
      <c r="Z299" s="195">
        <f t="shared" si="776"/>
        <v>2.2919999999999998</v>
      </c>
      <c r="AA299" s="195">
        <f t="shared" si="776"/>
        <v>2.5319999999999996</v>
      </c>
      <c r="AB299" s="219">
        <f>X299*VLOOKUP($B299,Types!$B$2:$D$13,3,FALSE)*Conv!$I$5*1000*365</f>
        <v>12.048624286783678</v>
      </c>
      <c r="AC299" s="219">
        <f>Y299*VLOOKUP($B299,Types!$B$2:$D$13,3,FALSE)*Conv!$I$5*1000*365</f>
        <v>2.8436725806460799</v>
      </c>
      <c r="AD299" s="219">
        <f>Z299*VLOOKUP($B299,Types!$B$2:$D$13,3,FALSE)*Conv!$I$5*1000*365</f>
        <v>3.1395460283433589</v>
      </c>
      <c r="AE299" s="219">
        <f>AA299*VLOOKUP($B299,Types!$B$2:$D$13,3,FALSE)*Conv!$I$5*1000*365</f>
        <v>3.4682943035625589</v>
      </c>
      <c r="AF299" s="219">
        <f>AB299-AB296</f>
        <v>2.0081040477972785</v>
      </c>
      <c r="AG299" s="219">
        <f t="shared" ref="AG299:AI299" si="777">AC299-AC296</f>
        <v>0.4739454301076802</v>
      </c>
      <c r="AH299" s="219">
        <f t="shared" si="777"/>
        <v>0.52325767139055923</v>
      </c>
      <c r="AI299" s="219">
        <f t="shared" si="777"/>
        <v>0.578049050593759</v>
      </c>
      <c r="AJ299" s="219"/>
      <c r="AK299" s="219"/>
      <c r="AL299" s="219"/>
    </row>
    <row r="300" spans="1:38">
      <c r="A300" s="195" t="str">
        <f t="shared" si="771"/>
        <v>LPG</v>
      </c>
      <c r="B300" s="195" t="str">
        <f>VLOOKUP($A300,Types!$A$2:$C$13,2,FALSE)</f>
        <v>LPG</v>
      </c>
      <c r="C300" s="195">
        <v>5</v>
      </c>
      <c r="D300" s="195">
        <v>5</v>
      </c>
      <c r="E300" s="195" t="str">
        <f t="shared" si="668"/>
        <v>IMPLPGP55</v>
      </c>
      <c r="F300" s="195" t="str">
        <f>CONCATENATE("Imported ",VLOOKUP($A300,Types!$A$2:$C$13,3,FALSE),", PADD ",D300,", Step ",RIGHT(C300,1))</f>
        <v>Imported LPG, PADD 5, Step 5</v>
      </c>
      <c r="G300" s="195" t="str">
        <f>CONCATENATE(VLOOKUP($A300,Types!$A$2:$C$13,2,FALSE),"P",D300)</f>
        <v>LPGP5</v>
      </c>
      <c r="H300" s="239">
        <f>H296*$C$9</f>
        <v>41.198300000000003</v>
      </c>
      <c r="I300" s="239">
        <f t="shared" ref="I300:K300" si="778">I296*$C$9</f>
        <v>40.755000000000003</v>
      </c>
      <c r="J300" s="239">
        <f t="shared" si="778"/>
        <v>37.050000000000004</v>
      </c>
      <c r="K300" s="239">
        <f t="shared" si="778"/>
        <v>37.050000000000004</v>
      </c>
      <c r="L300" s="240">
        <f>H300*Conv!$J$20/10^6/VLOOKUP($B300,Types!$B$2:$D$13,3,FALSE)/Conv!$I$5</f>
        <v>16.845477105416219</v>
      </c>
      <c r="M300" s="240">
        <f>I300*Conv!$J$20/10^6/VLOOKUP($B300,Types!$B$2:$D$13,3,FALSE)/Conv!$I$5</f>
        <v>16.664217199040689</v>
      </c>
      <c r="N300" s="240">
        <f>M300*'Imported Price Trends'!$K$19</f>
        <v>17.943143507733915</v>
      </c>
      <c r="O300" s="240">
        <f>N300*'Imported Price Trends'!$L$19</f>
        <v>17.772538817569782</v>
      </c>
      <c r="P300" s="240">
        <f>O300*'Imported Price Trends'!$M$19</f>
        <v>19.177817663731219</v>
      </c>
      <c r="Q300" s="240">
        <f>P300*'Imported Price Trends'!$N$19</f>
        <v>20.279437064908372</v>
      </c>
      <c r="R300" s="240">
        <f>Q300*'Imported Price Trends'!$O$19</f>
        <v>21.787903565514821</v>
      </c>
      <c r="S300" s="240">
        <f>R300*'Imported Price Trends'!$O$19</f>
        <v>23.408575901824143</v>
      </c>
      <c r="T300" s="240">
        <f>S300*'Imported Price Trends'!$O$19</f>
        <v>25.149800397444267</v>
      </c>
      <c r="U300" s="240">
        <f>T300*'Imported Price Trends'!$O$19</f>
        <v>27.020544209269836</v>
      </c>
      <c r="V300" s="240">
        <f>U300*'Imported Price Trends'!$O$19</f>
        <v>29.030441507571556</v>
      </c>
      <c r="W300" s="219"/>
      <c r="X300" s="195">
        <f>X296*$E$9</f>
        <v>14.66</v>
      </c>
      <c r="Y300" s="195">
        <f t="shared" ref="Y300:AA300" si="779">Y296*$E$9</f>
        <v>3.46</v>
      </c>
      <c r="Z300" s="195">
        <f t="shared" si="779"/>
        <v>3.82</v>
      </c>
      <c r="AA300" s="195">
        <f t="shared" si="779"/>
        <v>4.22</v>
      </c>
      <c r="AB300" s="219">
        <f>X300*VLOOKUP($B300,Types!$B$2:$D$13,3,FALSE)*Conv!$I$5*1000*365</f>
        <v>20.081040477972799</v>
      </c>
      <c r="AC300" s="219">
        <f>Y300*VLOOKUP($B300,Types!$B$2:$D$13,3,FALSE)*Conv!$I$5*1000*365</f>
        <v>4.7394543010767993</v>
      </c>
      <c r="AD300" s="219">
        <f>Z300*VLOOKUP($B300,Types!$B$2:$D$13,3,FALSE)*Conv!$I$5*1000*365</f>
        <v>5.2325767139055994</v>
      </c>
      <c r="AE300" s="219">
        <f>AA300*VLOOKUP($B300,Types!$B$2:$D$13,3,FALSE)*Conv!$I$5*1000*365</f>
        <v>5.7804905059375997</v>
      </c>
      <c r="AF300" s="219">
        <f>AB300-AB299</f>
        <v>8.032416191189121</v>
      </c>
      <c r="AG300" s="219">
        <f t="shared" ref="AG300:AI300" si="780">AC300-AC299</f>
        <v>1.8957817204307195</v>
      </c>
      <c r="AH300" s="219">
        <f t="shared" si="780"/>
        <v>2.0930306855622405</v>
      </c>
      <c r="AI300" s="219">
        <f t="shared" si="780"/>
        <v>2.3121962023750409</v>
      </c>
      <c r="AJ300" s="219"/>
      <c r="AK300" s="219"/>
      <c r="AL300" s="219"/>
    </row>
    <row r="301" spans="1:38">
      <c r="A301" s="195" t="str">
        <f>'Agg prdcrv'!$A$14</f>
        <v>Petchem. Feedstocks</v>
      </c>
      <c r="B301" s="195" t="str">
        <f>VLOOKUP($A301,Types!$A$2:$C$13,2,FALSE)</f>
        <v>PFS</v>
      </c>
      <c r="C301" s="195">
        <v>3</v>
      </c>
      <c r="D301" s="195">
        <v>5</v>
      </c>
      <c r="E301" s="195" t="str">
        <f t="shared" si="668"/>
        <v>IMPPFSP53</v>
      </c>
      <c r="F301" s="195" t="str">
        <f>CONCATENATE("Imported ",VLOOKUP($A301,Types!$A$2:$C$13,3,FALSE),", PADD ",D301,", Step ",RIGHT(C301,1))</f>
        <v>Imported Petrochemical Feedstocks, PADD 5, Step 3</v>
      </c>
      <c r="G301" s="195" t="str">
        <f>CONCATENATE(VLOOKUP($A301,Types!$A$2:$C$13,2,FALSE),"P",D301)</f>
        <v>PFSP5</v>
      </c>
      <c r="H301" s="239">
        <f>SUMIFS('Agg prdcrv NYC'!$P$6:$P$100,'Agg prdcrv NYC'!$A$6:$A$100,'Imp Refined NYC'!$A301,'Agg prdcrv NYC'!$B$6:$B$100,H$11)*K4</f>
        <v>31.691000000000003</v>
      </c>
      <c r="I301" s="239">
        <f>SUMIFS('Agg prdcrv NYC'!$P$6:$P$100,'Agg prdcrv NYC'!$A$6:$A$100,'Imp Refined NYC'!$A301,'Agg prdcrv NYC'!$B$6:$B$100,I$11)*K4</f>
        <v>31.35</v>
      </c>
      <c r="J301" s="239">
        <f t="array" ref="J301">SUMIFS('Agg prdcrv NYC'!$P$6:$P$100,'Agg prdcrv NYC'!$A$6:$A$100,'Imp Refined NYC'!$A301,'Agg prdcrv NYC'!$B$6:$B$100,J$11)</f>
        <v>21.68</v>
      </c>
      <c r="K301" s="239">
        <f t="array" ref="K301">SUMIFS('Agg prdcrv NYC'!$P$6:$P$100,'Agg prdcrv NYC'!$A$6:$A$100,'Imp Refined NYC'!$A301,'Agg prdcrv NYC'!$B$6:$B$100,K$11)</f>
        <v>11.24</v>
      </c>
      <c r="L301" s="240">
        <f>H301*Conv!$J$20/10^6/VLOOKUP($B301,Types!$B$2:$D$13,3,FALSE)/Conv!$I$5</f>
        <v>8.0990716872748436</v>
      </c>
      <c r="M301" s="240">
        <f>I301*Conv!$J$20/10^6/VLOOKUP($B301,Types!$B$2:$D$13,3,FALSE)/Conv!$I$5</f>
        <v>8.0119244389910822</v>
      </c>
      <c r="N301" s="240">
        <f>M301*'Imported Price Trends'!$K$19</f>
        <v>8.6268144650811038</v>
      </c>
      <c r="O301" s="240">
        <f>N301*'Imported Price Trends'!$L$19</f>
        <v>8.5447900969270929</v>
      </c>
      <c r="P301" s="240">
        <f>O301*'Imported Price Trends'!$M$19</f>
        <v>9.2204286700852833</v>
      </c>
      <c r="Q301" s="240">
        <f>P301*'Imported Price Trends'!$N$19</f>
        <v>9.7500719949014076</v>
      </c>
      <c r="R301" s="240">
        <f>Q301*'Imported Price Trends'!$O$19</f>
        <v>10.475321760747228</v>
      </c>
      <c r="S301" s="240">
        <f>R301*'Imported Price Trends'!$O$19</f>
        <v>11.254518535716107</v>
      </c>
      <c r="T301" s="240">
        <f>S301*'Imported Price Trends'!$O$19</f>
        <v>12.091675116406371</v>
      </c>
      <c r="U301" s="240">
        <f>T301*'Imported Price Trends'!$O$19</f>
        <v>12.991102787447495</v>
      </c>
      <c r="V301" s="240">
        <f>U301*'Imported Price Trends'!$O$19</f>
        <v>13.957433524246385</v>
      </c>
      <c r="W301" s="219"/>
      <c r="X301" s="195">
        <f t="array" ref="X301">SUMIFS('Agg prdcrv NYC'!$H$6:$H$100,'Agg prdcrv NYC'!$A$6:$A$100,'Imp Refined NYC'!$A301,'Agg prdcrv NYC'!$B$6:$B$100,X$11)</f>
        <v>0</v>
      </c>
      <c r="Y301" s="195">
        <f t="array" ref="Y301">SUMIFS('Agg prdcrv NYC'!$H$6:$H$100,'Agg prdcrv NYC'!$A$6:$A$100,'Imp Refined NYC'!$A301,'Agg prdcrv NYC'!$B$6:$B$100,Y$11)</f>
        <v>2.89</v>
      </c>
      <c r="Z301" s="195">
        <f t="array" ref="Z301">SUMIFS('Agg prdcrv NYC'!$H$6:$H$100,'Agg prdcrv NYC'!$A$6:$A$100,'Imp Refined NYC'!$A301,'Agg prdcrv NYC'!$B$6:$B$100,Z$11)</f>
        <v>3.19</v>
      </c>
      <c r="AA301" s="195">
        <f t="array" ref="AA301">SUMIFS('Agg prdcrv NYC'!$H$6:$H$100,'Agg prdcrv NYC'!$A$6:$A$100,'Imp Refined NYC'!$A301,'Agg prdcrv NYC'!$B$6:$B$100,AA$11)</f>
        <v>3.52</v>
      </c>
      <c r="AB301" s="219">
        <f>X301*VLOOKUP($B301,Types!$B$2:$D$13,3,FALSE)*Conv!$I$5*1000*365</f>
        <v>0</v>
      </c>
      <c r="AC301" s="219">
        <f>Y301*VLOOKUP($B301,Types!$B$2:$D$13,3,FALSE)*Conv!$I$5*1000*365</f>
        <v>6.3336608507255994</v>
      </c>
      <c r="AD301" s="219">
        <f>Z301*VLOOKUP($B301,Types!$B$2:$D$13,3,FALSE)*Conv!$I$5*1000*365</f>
        <v>6.9911342954375995</v>
      </c>
      <c r="AE301" s="219">
        <f>AA301*VLOOKUP($B301,Types!$B$2:$D$13,3,FALSE)*Conv!$I$5*1000*365</f>
        <v>7.7143550846207987</v>
      </c>
      <c r="AF301" s="219">
        <f>AB301-AB303</f>
        <v>0</v>
      </c>
      <c r="AG301" s="219">
        <f t="shared" ref="AG301:AI301" si="781">AC301-AC303</f>
        <v>0.63336608507255931</v>
      </c>
      <c r="AH301" s="219">
        <f t="shared" si="781"/>
        <v>0.6991134295437611</v>
      </c>
      <c r="AI301" s="219">
        <f t="shared" si="781"/>
        <v>0.77143550846207809</v>
      </c>
      <c r="AJ301" s="219"/>
      <c r="AK301" s="219"/>
      <c r="AL301" s="219"/>
    </row>
    <row r="302" spans="1:38">
      <c r="A302" s="195" t="str">
        <f>A301</f>
        <v>Petchem. Feedstocks</v>
      </c>
      <c r="B302" s="195" t="str">
        <f>VLOOKUP($A302,Types!$A$2:$C$13,2,FALSE)</f>
        <v>PFS</v>
      </c>
      <c r="C302" s="195">
        <v>1</v>
      </c>
      <c r="D302" s="195">
        <v>5</v>
      </c>
      <c r="E302" s="195" t="str">
        <f t="shared" si="668"/>
        <v>IMPPFSP51</v>
      </c>
      <c r="F302" s="195" t="str">
        <f>CONCATENATE("Imported ",VLOOKUP($A302,Types!$A$2:$C$13,3,FALSE),", PADD ",D302,", Step ",RIGHT(C302,1))</f>
        <v>Imported Petrochemical Feedstocks, PADD 5, Step 1</v>
      </c>
      <c r="G302" s="195" t="str">
        <f>CONCATENATE(VLOOKUP($A302,Types!$A$2:$C$13,2,FALSE),"P",D302)</f>
        <v>PFSP5</v>
      </c>
      <c r="H302" s="239">
        <f>H301*$C$5</f>
        <v>30.106450000000002</v>
      </c>
      <c r="I302" s="239">
        <f t="shared" ref="I302:K302" si="782">I301*$C$5</f>
        <v>29.782499999999999</v>
      </c>
      <c r="J302" s="239">
        <f t="shared" si="782"/>
        <v>20.596</v>
      </c>
      <c r="K302" s="239">
        <f t="shared" si="782"/>
        <v>10.677999999999999</v>
      </c>
      <c r="L302" s="240">
        <f>H302*Conv!$J$20/10^6/VLOOKUP($B302,Types!$B$2:$D$13,3,FALSE)/Conv!$I$5</f>
        <v>7.6941181029111041</v>
      </c>
      <c r="M302" s="240">
        <f>I302*Conv!$J$20/10^6/VLOOKUP($B302,Types!$B$2:$D$13,3,FALSE)/Conv!$I$5</f>
        <v>7.6113282170415273</v>
      </c>
      <c r="N302" s="240">
        <f>M302*'Imported Price Trends'!$K$19</f>
        <v>8.1954737418270476</v>
      </c>
      <c r="O302" s="240">
        <f>N302*'Imported Price Trends'!$L$19</f>
        <v>8.1175505920807378</v>
      </c>
      <c r="P302" s="240">
        <f>O302*'Imported Price Trends'!$M$19</f>
        <v>8.7594072365810174</v>
      </c>
      <c r="Q302" s="240">
        <f>P302*'Imported Price Trends'!$N$19</f>
        <v>9.2625683951563342</v>
      </c>
      <c r="R302" s="240">
        <f>Q302*'Imported Price Trends'!$O$19</f>
        <v>9.9515556727098637</v>
      </c>
      <c r="S302" s="240">
        <f>R302*'Imported Price Trends'!$O$19</f>
        <v>10.691792608930298</v>
      </c>
      <c r="T302" s="240">
        <f>S302*'Imported Price Trends'!$O$19</f>
        <v>11.487091360586048</v>
      </c>
      <c r="U302" s="240">
        <f>T302*'Imported Price Trends'!$O$19</f>
        <v>12.341547648075116</v>
      </c>
      <c r="V302" s="240">
        <f>U302*'Imported Price Trends'!$O$19</f>
        <v>13.25956184803406</v>
      </c>
      <c r="W302" s="219"/>
      <c r="X302" s="195">
        <f>X301*$E$5</f>
        <v>0</v>
      </c>
      <c r="Y302" s="195">
        <f t="shared" ref="Y302:AA302" si="783">Y301*$E$5</f>
        <v>2.3120000000000003</v>
      </c>
      <c r="Z302" s="195">
        <f t="shared" si="783"/>
        <v>2.552</v>
      </c>
      <c r="AA302" s="195">
        <f t="shared" si="783"/>
        <v>2.8160000000000003</v>
      </c>
      <c r="AB302" s="219">
        <f>X302*VLOOKUP($B302,Types!$B$2:$D$13,3,FALSE)*Conv!$I$5*1000*365</f>
        <v>0</v>
      </c>
      <c r="AC302" s="219">
        <f>Y302*VLOOKUP($B302,Types!$B$2:$D$13,3,FALSE)*Conv!$I$5*1000*365</f>
        <v>5.0669286805804798</v>
      </c>
      <c r="AD302" s="219">
        <f>Z302*VLOOKUP($B302,Types!$B$2:$D$13,3,FALSE)*Conv!$I$5*1000*365</f>
        <v>5.5929074363500799</v>
      </c>
      <c r="AE302" s="219">
        <f>AA302*VLOOKUP($B302,Types!$B$2:$D$13,3,FALSE)*Conv!$I$5*1000*365</f>
        <v>6.1714840676966389</v>
      </c>
      <c r="AF302" s="219">
        <f>AB302</f>
        <v>0</v>
      </c>
      <c r="AG302" s="219">
        <f t="shared" ref="AG302:AI302" si="784">AC302</f>
        <v>5.0669286805804798</v>
      </c>
      <c r="AH302" s="219">
        <f t="shared" si="784"/>
        <v>5.5929074363500799</v>
      </c>
      <c r="AI302" s="219">
        <f t="shared" si="784"/>
        <v>6.1714840676966389</v>
      </c>
      <c r="AJ302" s="219"/>
      <c r="AK302" s="219"/>
      <c r="AL302" s="219"/>
    </row>
    <row r="303" spans="1:38">
      <c r="A303" s="195" t="str">
        <f t="shared" ref="A303:A304" si="785">A302</f>
        <v>Petchem. Feedstocks</v>
      </c>
      <c r="B303" s="195" t="str">
        <f>VLOOKUP($A303,Types!$A$2:$C$13,2,FALSE)</f>
        <v>PFS</v>
      </c>
      <c r="C303" s="195">
        <v>2</v>
      </c>
      <c r="D303" s="195">
        <v>5</v>
      </c>
      <c r="E303" s="195" t="str">
        <f t="shared" si="668"/>
        <v>IMPPFSP52</v>
      </c>
      <c r="F303" s="195" t="str">
        <f>CONCATENATE("Imported ",VLOOKUP($A303,Types!$A$2:$C$13,3,FALSE),", PADD ",D303,", Step ",RIGHT(C303,1))</f>
        <v>Imported Petrochemical Feedstocks, PADD 5, Step 2</v>
      </c>
      <c r="G303" s="195" t="str">
        <f>CONCATENATE(VLOOKUP($A303,Types!$A$2:$C$13,2,FALSE),"P",D303)</f>
        <v>PFSP5</v>
      </c>
      <c r="H303" s="239">
        <f>H301*$C$6</f>
        <v>31.057180000000002</v>
      </c>
      <c r="I303" s="239">
        <f t="shared" ref="I303:K303" si="786">I301*$C$6</f>
        <v>30.723000000000003</v>
      </c>
      <c r="J303" s="239">
        <f t="shared" si="786"/>
        <v>21.246399999999998</v>
      </c>
      <c r="K303" s="239">
        <f t="shared" si="786"/>
        <v>11.0152</v>
      </c>
      <c r="L303" s="240">
        <f>H303*Conv!$J$20/10^6/VLOOKUP($B303,Types!$B$2:$D$13,3,FALSE)/Conv!$I$5</f>
        <v>7.9370902535293482</v>
      </c>
      <c r="M303" s="240">
        <f>I303*Conv!$J$20/10^6/VLOOKUP($B303,Types!$B$2:$D$13,3,FALSE)/Conv!$I$5</f>
        <v>7.8516859502112615</v>
      </c>
      <c r="N303" s="240">
        <f>M303*'Imported Price Trends'!$K$19</f>
        <v>8.454278175779482</v>
      </c>
      <c r="O303" s="240">
        <f>N303*'Imported Price Trends'!$L$19</f>
        <v>8.3738942949885509</v>
      </c>
      <c r="P303" s="240">
        <f>O303*'Imported Price Trends'!$M$19</f>
        <v>9.0360200966835773</v>
      </c>
      <c r="Q303" s="240">
        <f>P303*'Imported Price Trends'!$N$19</f>
        <v>9.555070555003379</v>
      </c>
      <c r="R303" s="240">
        <f>Q303*'Imported Price Trends'!$O$19</f>
        <v>10.265815325532284</v>
      </c>
      <c r="S303" s="240">
        <f>R303*'Imported Price Trends'!$O$19</f>
        <v>11.029428165001786</v>
      </c>
      <c r="T303" s="240">
        <f>S303*'Imported Price Trends'!$O$19</f>
        <v>11.849841614078244</v>
      </c>
      <c r="U303" s="240">
        <f>T303*'Imported Price Trends'!$O$19</f>
        <v>12.731280731698545</v>
      </c>
      <c r="V303" s="240">
        <f>U303*'Imported Price Trends'!$O$19</f>
        <v>13.678284853761456</v>
      </c>
      <c r="W303" s="219"/>
      <c r="X303" s="195">
        <f>X301*$E$6</f>
        <v>0</v>
      </c>
      <c r="Y303" s="195">
        <f t="shared" ref="Y303:AA303" si="787">Y301*$E$6</f>
        <v>2.601</v>
      </c>
      <c r="Z303" s="195">
        <f t="shared" si="787"/>
        <v>2.871</v>
      </c>
      <c r="AA303" s="195">
        <f t="shared" si="787"/>
        <v>3.1680000000000001</v>
      </c>
      <c r="AB303" s="219">
        <f>X303*VLOOKUP($B303,Types!$B$2:$D$13,3,FALSE)*Conv!$I$5*1000*365</f>
        <v>0</v>
      </c>
      <c r="AC303" s="219">
        <f>Y303*VLOOKUP($B303,Types!$B$2:$D$13,3,FALSE)*Conv!$I$5*1000*365</f>
        <v>5.7002947656530401</v>
      </c>
      <c r="AD303" s="219">
        <f>Z303*VLOOKUP($B303,Types!$B$2:$D$13,3,FALSE)*Conv!$I$5*1000*365</f>
        <v>6.2920208658938384</v>
      </c>
      <c r="AE303" s="219">
        <f>AA303*VLOOKUP($B303,Types!$B$2:$D$13,3,FALSE)*Conv!$I$5*1000*365</f>
        <v>6.9429195761587206</v>
      </c>
      <c r="AF303" s="219">
        <f>AB303-AF302</f>
        <v>0</v>
      </c>
      <c r="AG303" s="219">
        <f t="shared" ref="AG303:AI303" si="788">AC303-AG302</f>
        <v>0.6333660850725602</v>
      </c>
      <c r="AH303" s="219">
        <f t="shared" si="788"/>
        <v>0.69911342954375844</v>
      </c>
      <c r="AI303" s="219">
        <f t="shared" si="788"/>
        <v>0.77143550846208164</v>
      </c>
      <c r="AJ303" s="219"/>
      <c r="AK303" s="219"/>
      <c r="AL303" s="219"/>
    </row>
    <row r="304" spans="1:38">
      <c r="A304" s="195" t="str">
        <f t="shared" si="785"/>
        <v>Petchem. Feedstocks</v>
      </c>
      <c r="B304" s="195" t="str">
        <f>VLOOKUP($A304,Types!$A$2:$C$13,2,FALSE)</f>
        <v>PFS</v>
      </c>
      <c r="C304" s="195">
        <v>4</v>
      </c>
      <c r="D304" s="195">
        <v>5</v>
      </c>
      <c r="E304" s="195" t="str">
        <f t="shared" si="668"/>
        <v>IMPPFSP54</v>
      </c>
      <c r="F304" s="195" t="str">
        <f>CONCATENATE("Imported ",VLOOKUP($A304,Types!$A$2:$C$13,3,FALSE),", PADD ",D304,", Step ",RIGHT(C304,1))</f>
        <v>Imported Petrochemical Feedstocks, PADD 5, Step 4</v>
      </c>
      <c r="G304" s="195" t="str">
        <f>CONCATENATE(VLOOKUP($A304,Types!$A$2:$C$13,2,FALSE),"P",D304)</f>
        <v>PFSP5</v>
      </c>
      <c r="H304" s="239">
        <f>H301*$C$8</f>
        <v>34.543190000000003</v>
      </c>
      <c r="I304" s="239">
        <f t="shared" ref="I304:K304" si="789">I301*$C$8</f>
        <v>34.171500000000002</v>
      </c>
      <c r="J304" s="239">
        <f t="shared" si="789"/>
        <v>23.6312</v>
      </c>
      <c r="K304" s="239">
        <f t="shared" si="789"/>
        <v>12.251600000000002</v>
      </c>
      <c r="L304" s="240">
        <f>H304*Conv!$J$20/10^6/VLOOKUP($B304,Types!$B$2:$D$13,3,FALSE)/Conv!$I$5</f>
        <v>8.827988139129582</v>
      </c>
      <c r="M304" s="240">
        <f>I304*Conv!$J$20/10^6/VLOOKUP($B304,Types!$B$2:$D$13,3,FALSE)/Conv!$I$5</f>
        <v>8.7329976385002794</v>
      </c>
      <c r="N304" s="240">
        <f>M304*'Imported Price Trends'!$K$19</f>
        <v>9.4032277669384019</v>
      </c>
      <c r="O304" s="240">
        <f>N304*'Imported Price Trends'!$L$19</f>
        <v>9.3138212056505303</v>
      </c>
      <c r="P304" s="240">
        <f>O304*'Imported Price Trends'!$M$19</f>
        <v>10.050267250392958</v>
      </c>
      <c r="Q304" s="240">
        <f>P304*'Imported Price Trends'!$N$19</f>
        <v>10.627578474442533</v>
      </c>
      <c r="R304" s="240">
        <f>Q304*'Imported Price Trends'!$O$19</f>
        <v>11.418100719214477</v>
      </c>
      <c r="S304" s="240">
        <f>R304*'Imported Price Trends'!$O$19</f>
        <v>12.267425203930555</v>
      </c>
      <c r="T304" s="240">
        <f>S304*'Imported Price Trends'!$O$19</f>
        <v>13.179925876882942</v>
      </c>
      <c r="U304" s="240">
        <f>T304*'Imported Price Trends'!$O$19</f>
        <v>14.160302038317768</v>
      </c>
      <c r="V304" s="240">
        <f>U304*'Imported Price Trends'!$O$19</f>
        <v>15.213602541428557</v>
      </c>
      <c r="W304" s="219"/>
      <c r="X304" s="195">
        <f>X301*$E$8</f>
        <v>0</v>
      </c>
      <c r="Y304" s="195">
        <f t="shared" ref="Y304:AA304" si="790">Y301*$E$8</f>
        <v>3.468</v>
      </c>
      <c r="Z304" s="195">
        <f t="shared" si="790"/>
        <v>3.8279999999999998</v>
      </c>
      <c r="AA304" s="195">
        <f t="shared" si="790"/>
        <v>4.2240000000000002</v>
      </c>
      <c r="AB304" s="219">
        <f>X304*VLOOKUP($B304,Types!$B$2:$D$13,3,FALSE)*Conv!$I$5*1000*365</f>
        <v>0</v>
      </c>
      <c r="AC304" s="219">
        <f>Y304*VLOOKUP($B304,Types!$B$2:$D$13,3,FALSE)*Conv!$I$5*1000*365</f>
        <v>7.6003930208707198</v>
      </c>
      <c r="AD304" s="219">
        <f>Z304*VLOOKUP($B304,Types!$B$2:$D$13,3,FALSE)*Conv!$I$5*1000*365</f>
        <v>8.389361154525119</v>
      </c>
      <c r="AE304" s="219">
        <f>AA304*VLOOKUP($B304,Types!$B$2:$D$13,3,FALSE)*Conv!$I$5*1000*365</f>
        <v>9.2572261015449584</v>
      </c>
      <c r="AF304" s="219">
        <f>AB304-AB301</f>
        <v>0</v>
      </c>
      <c r="AG304" s="219">
        <f t="shared" ref="AG304:AI304" si="791">AC304-AC301</f>
        <v>1.2667321701451204</v>
      </c>
      <c r="AH304" s="219">
        <f t="shared" si="791"/>
        <v>1.3982268590875195</v>
      </c>
      <c r="AI304" s="219">
        <f t="shared" si="791"/>
        <v>1.5428710169241597</v>
      </c>
      <c r="AJ304" s="219"/>
      <c r="AK304" s="219"/>
      <c r="AL304" s="219"/>
    </row>
    <row r="305" spans="1:38">
      <c r="A305" s="195" t="str">
        <f>A304</f>
        <v>Petchem. Feedstocks</v>
      </c>
      <c r="B305" s="195" t="str">
        <f>VLOOKUP($A305,Types!$A$2:$C$13,2,FALSE)</f>
        <v>PFS</v>
      </c>
      <c r="C305" s="195">
        <v>5</v>
      </c>
      <c r="D305" s="195">
        <v>5</v>
      </c>
      <c r="E305" s="195" t="str">
        <f>CONCATENATE("IMP",G305,RIGHT(C305,1))</f>
        <v>IMPPFSP55</v>
      </c>
      <c r="F305" s="195" t="str">
        <f>CONCATENATE("Imported ",VLOOKUP($A305,Types!$A$2:$C$13,3,FALSE),", PADD ",D305,", Step ",RIGHT(C305,1))</f>
        <v>Imported Petrochemical Feedstocks, PADD 5, Step 5</v>
      </c>
      <c r="G305" s="195" t="str">
        <f>CONCATENATE(VLOOKUP($A305,Types!$A$2:$C$13,2,FALSE),"P",D305)</f>
        <v>PFSP5</v>
      </c>
      <c r="H305" s="239">
        <f>H301*$C$9</f>
        <v>41.198300000000003</v>
      </c>
      <c r="I305" s="239">
        <f t="shared" ref="I305:K305" si="792">I301*$C$9</f>
        <v>40.755000000000003</v>
      </c>
      <c r="J305" s="239">
        <f t="shared" si="792"/>
        <v>28.184000000000001</v>
      </c>
      <c r="K305" s="239">
        <f t="shared" si="792"/>
        <v>14.612</v>
      </c>
      <c r="L305" s="240">
        <f>H305*Conv!$J$20/10^6/VLOOKUP($B305,Types!$B$2:$D$13,3,FALSE)/Conv!$I$5</f>
        <v>10.5287931934573</v>
      </c>
      <c r="M305" s="240">
        <f>I305*Conv!$J$20/10^6/VLOOKUP($B305,Types!$B$2:$D$13,3,FALSE)/Conv!$I$5</f>
        <v>10.415501770688406</v>
      </c>
      <c r="N305" s="240">
        <f>M305*'Imported Price Trends'!$K$19</f>
        <v>11.214858804605434</v>
      </c>
      <c r="O305" s="240">
        <f>N305*'Imported Price Trends'!$L$19</f>
        <v>11.10822712600522</v>
      </c>
      <c r="P305" s="240">
        <f>O305*'Imported Price Trends'!$M$19</f>
        <v>11.986557271110867</v>
      </c>
      <c r="Q305" s="240">
        <f>P305*'Imported Price Trends'!$N$19</f>
        <v>12.675093593371827</v>
      </c>
      <c r="R305" s="240">
        <f>Q305*'Imported Price Trends'!$O$19</f>
        <v>13.617918288971394</v>
      </c>
      <c r="S305" s="240">
        <f>R305*'Imported Price Trends'!$O$19</f>
        <v>14.630874096430937</v>
      </c>
      <c r="T305" s="240">
        <f>S305*'Imported Price Trends'!$O$19</f>
        <v>15.719177651328279</v>
      </c>
      <c r="U305" s="240">
        <f>T305*'Imported Price Trends'!$O$19</f>
        <v>16.888433623681738</v>
      </c>
      <c r="V305" s="240">
        <f>U305*'Imported Price Trends'!$O$19</f>
        <v>18.144663581520295</v>
      </c>
      <c r="W305" s="219"/>
      <c r="X305" s="195">
        <f>X301*$E$9</f>
        <v>0</v>
      </c>
      <c r="Y305" s="195">
        <f t="shared" ref="Y305:AA305" si="793">Y301*$E$9</f>
        <v>5.78</v>
      </c>
      <c r="Z305" s="195">
        <f t="shared" si="793"/>
        <v>6.38</v>
      </c>
      <c r="AA305" s="195">
        <f t="shared" si="793"/>
        <v>7.04</v>
      </c>
      <c r="AB305" s="219">
        <f>X305*VLOOKUP($B305,Types!$B$2:$D$13,3,FALSE)*Conv!$I$5*1000*365</f>
        <v>0</v>
      </c>
      <c r="AC305" s="219">
        <f>Y305*VLOOKUP($B305,Types!$B$2:$D$13,3,FALSE)*Conv!$I$5*1000*365</f>
        <v>12.667321701451199</v>
      </c>
      <c r="AD305" s="219">
        <f>Z305*VLOOKUP($B305,Types!$B$2:$D$13,3,FALSE)*Conv!$I$5*1000*365</f>
        <v>13.982268590875199</v>
      </c>
      <c r="AE305" s="219">
        <f>AA305*VLOOKUP($B305,Types!$B$2:$D$13,3,FALSE)*Conv!$I$5*1000*365</f>
        <v>15.428710169241597</v>
      </c>
      <c r="AF305" s="219">
        <f>AB305-AB304</f>
        <v>0</v>
      </c>
      <c r="AG305" s="219">
        <f t="shared" ref="AG305:AI305" si="794">AC305-AC304</f>
        <v>5.066928680580479</v>
      </c>
      <c r="AH305" s="219">
        <f t="shared" si="794"/>
        <v>5.5929074363500799</v>
      </c>
      <c r="AI305" s="219">
        <f t="shared" si="794"/>
        <v>6.1714840676966389</v>
      </c>
      <c r="AJ305" s="219"/>
      <c r="AK305" s="219"/>
      <c r="AL305" s="219"/>
    </row>
    <row r="306" spans="1:38">
      <c r="A306" s="195" t="str">
        <f>'Agg prdcrv'!$A$15</f>
        <v>Other Refined Prod.</v>
      </c>
      <c r="B306" s="195" t="str">
        <f>VLOOKUP($A306,Types!$A$2:$C$13,2,FALSE)</f>
        <v>KER</v>
      </c>
      <c r="C306" s="195">
        <v>3</v>
      </c>
      <c r="D306" s="195">
        <v>5</v>
      </c>
      <c r="E306" s="195" t="str">
        <f>CONCATENATE("IMP",G306,RIGHT(C306,1))</f>
        <v>IMPKERP53</v>
      </c>
      <c r="F306" s="195" t="str">
        <f>CONCATENATE("Imported ",VLOOKUP($A306,Types!$A$2:$C$13,3,FALSE),", PADD ",D306,", Step ",RIGHT(C306,1))</f>
        <v>Imported Kerosene and Other Refined Products, PADD 5, Step 3</v>
      </c>
      <c r="G306" s="195" t="str">
        <f>CONCATENATE(VLOOKUP($A306,Types!$A$2:$C$13,2,FALSE),"P",D306)</f>
        <v>KERP5</v>
      </c>
      <c r="H306" s="239">
        <f>SUMIFS('Agg prdcrv NYC'!$P$6:$P$100,'Agg prdcrv NYC'!$A$6:$A$100,'Imp Refined NYC'!$A306,'Agg prdcrv NYC'!$B$6:$B$100,H$11)*K4</f>
        <v>66.099000000000004</v>
      </c>
      <c r="I306" s="239">
        <f>SUMIFS('Agg prdcrv NYC'!$P$6:$P$100,'Agg prdcrv NYC'!$A$6:$A$100,'Imp Refined NYC'!$A306,'Agg prdcrv NYC'!$B$6:$B$100,I$11)*K4</f>
        <v>40.204999999999998</v>
      </c>
      <c r="J306" s="239">
        <f t="array" ref="J306">SUMIFS('Agg prdcrv NYC'!$P$6:$P$100,'Agg prdcrv NYC'!$A$6:$A$100,'Imp Refined NYC'!$A306,'Agg prdcrv NYC'!$B$6:$B$100,J$11)</f>
        <v>32.549999999999997</v>
      </c>
      <c r="K306" s="239">
        <f t="array" ref="K306">SUMIFS('Agg prdcrv NYC'!$P$6:$P$100,'Agg prdcrv NYC'!$A$6:$A$100,'Imp Refined NYC'!$A306,'Agg prdcrv NYC'!$B$6:$B$100,K$11)</f>
        <v>41.27</v>
      </c>
      <c r="L306" s="240">
        <f>H306*Conv!$J$20/10^6/VLOOKUP($B306,Types!$B$2:$D$13,3,FALSE)/Conv!$I$5</f>
        <v>16.955075011703961</v>
      </c>
      <c r="M306" s="240">
        <f>I306*Conv!$J$20/10^6/VLOOKUP($B306,Types!$B$2:$D$13,3,FALSE)/Conv!$I$5</f>
        <v>10.312997032414376</v>
      </c>
      <c r="N306" s="240">
        <f>M306*'Imported Price Trends'!$K$19</f>
        <v>11.104487149753293</v>
      </c>
      <c r="O306" s="240">
        <f>N306*'Imported Price Trends'!$L$19</f>
        <v>10.998904892731346</v>
      </c>
      <c r="P306" s="240">
        <f>O306*'Imported Price Trends'!$M$19</f>
        <v>11.868590903005618</v>
      </c>
      <c r="Q306" s="240">
        <f>P306*'Imported Price Trends'!$N$19</f>
        <v>12.55035095686786</v>
      </c>
      <c r="R306" s="240">
        <f>Q306*'Imported Price Trends'!$O$19</f>
        <v>13.483896790940783</v>
      </c>
      <c r="S306" s="240">
        <f>R306*'Imported Price Trends'!$O$19</f>
        <v>14.486883537647151</v>
      </c>
      <c r="T306" s="240">
        <f>S306*'Imported Price Trends'!$O$19</f>
        <v>15.564476492756455</v>
      </c>
      <c r="U306" s="240">
        <f>T306*'Imported Price Trends'!$O$19</f>
        <v>16.722225167616219</v>
      </c>
      <c r="V306" s="240">
        <f>U306*'Imported Price Trends'!$O$19</f>
        <v>17.966091868659731</v>
      </c>
      <c r="W306" s="219"/>
      <c r="X306" s="195">
        <f t="array" ref="X306">SUMIFS('Agg prdcrv NYC'!$H$6:$H$100,'Agg prdcrv NYC'!$A$6:$A$100,'Imp Refined NYC'!$A306,'Agg prdcrv NYC'!$B$6:$B$100,X$11)</f>
        <v>42</v>
      </c>
      <c r="Y306" s="195">
        <f t="array" ref="Y306">SUMIFS('Agg prdcrv NYC'!$H$6:$H$100,'Agg prdcrv NYC'!$A$6:$A$100,'Imp Refined NYC'!$A306,'Agg prdcrv NYC'!$B$6:$B$100,Y$11)</f>
        <v>27.25</v>
      </c>
      <c r="Z306" s="195">
        <f t="array" ref="Z306">SUMIFS('Agg prdcrv NYC'!$H$6:$H$100,'Agg prdcrv NYC'!$A$6:$A$100,'Imp Refined NYC'!$A306,'Agg prdcrv NYC'!$B$6:$B$100,Z$11)</f>
        <v>29.5</v>
      </c>
      <c r="AA306" s="195">
        <f t="array" ref="AA306">SUMIFS('Agg prdcrv NYC'!$H$6:$H$100,'Agg prdcrv NYC'!$A$6:$A$100,'Imp Refined NYC'!$A306,'Agg prdcrv NYC'!$B$6:$B$100,AA$11)</f>
        <v>31.94</v>
      </c>
      <c r="AB306" s="219">
        <f>X306*VLOOKUP($B306,Types!$B$2:$D$13,3,FALSE)*Conv!$I$5*1000*365</f>
        <v>91.706628081599987</v>
      </c>
      <c r="AC306" s="219">
        <f>Y306*VLOOKUP($B306,Types!$B$2:$D$13,3,FALSE)*Conv!$I$5*1000*365</f>
        <v>59.500133695799995</v>
      </c>
      <c r="AD306" s="219">
        <f>Z306*VLOOKUP($B306,Types!$B$2:$D$13,3,FALSE)*Conv!$I$5*1000*365</f>
        <v>64.412988771599998</v>
      </c>
      <c r="AE306" s="219">
        <f>AA306*VLOOKUP($B306,Types!$B$2:$D$13,3,FALSE)*Conv!$I$5*1000*365</f>
        <v>69.740707164911996</v>
      </c>
      <c r="AF306" s="219">
        <f>AB306-AB308</f>
        <v>9.1706628081599888</v>
      </c>
      <c r="AG306" s="219">
        <f t="shared" ref="AG306:AI306" si="795">AC306-AC308</f>
        <v>5.9500133695799846</v>
      </c>
      <c r="AH306" s="219">
        <f t="shared" si="795"/>
        <v>6.4412988771600013</v>
      </c>
      <c r="AI306" s="219">
        <f t="shared" si="795"/>
        <v>6.9740707164911981</v>
      </c>
      <c r="AJ306" s="219"/>
      <c r="AK306" s="219"/>
      <c r="AL306" s="219"/>
    </row>
    <row r="307" spans="1:38">
      <c r="A307" s="195" t="str">
        <f>A306</f>
        <v>Other Refined Prod.</v>
      </c>
      <c r="B307" s="195" t="str">
        <f>VLOOKUP($A307,Types!$A$2:$C$13,2,FALSE)</f>
        <v>KER</v>
      </c>
      <c r="C307" s="195">
        <v>1</v>
      </c>
      <c r="D307" s="195">
        <v>5</v>
      </c>
      <c r="E307" s="195" t="str">
        <f t="shared" ref="E307:E320" si="796">CONCATENATE("IMP",G307,RIGHT(C307,1))</f>
        <v>IMPKERP51</v>
      </c>
      <c r="F307" s="195" t="str">
        <f>CONCATENATE("Imported ",VLOOKUP($A307,Types!$A$2:$C$13,3,FALSE),", PADD ",D307,", Step ",RIGHT(C307,1))</f>
        <v>Imported Kerosene and Other Refined Products, PADD 5, Step 1</v>
      </c>
      <c r="G307" s="195" t="str">
        <f>CONCATENATE(VLOOKUP($A307,Types!$A$2:$C$13,2,FALSE),"P",D307)</f>
        <v>KERP5</v>
      </c>
      <c r="H307" s="239">
        <f>H306*$C$5</f>
        <v>62.794049999999999</v>
      </c>
      <c r="I307" s="239">
        <f t="shared" ref="I307:K307" si="797">I306*$C$5</f>
        <v>38.194749999999999</v>
      </c>
      <c r="J307" s="239">
        <f t="shared" si="797"/>
        <v>30.922499999999996</v>
      </c>
      <c r="K307" s="239">
        <f t="shared" si="797"/>
        <v>39.206499999999998</v>
      </c>
      <c r="L307" s="240">
        <f>H307*Conv!$J$20/10^6/VLOOKUP($B307,Types!$B$2:$D$13,3,FALSE)/Conv!$I$5</f>
        <v>16.107321261118763</v>
      </c>
      <c r="M307" s="240">
        <f>I307*Conv!$J$20/10^6/VLOOKUP($B307,Types!$B$2:$D$13,3,FALSE)/Conv!$I$5</f>
        <v>9.7973471807936559</v>
      </c>
      <c r="N307" s="240">
        <f>M307*'Imported Price Trends'!$K$19</f>
        <v>10.549262792265626</v>
      </c>
      <c r="O307" s="240">
        <f>N307*'Imported Price Trends'!$L$19</f>
        <v>10.448959648094776</v>
      </c>
      <c r="P307" s="240">
        <f>O307*'Imported Price Trends'!$M$19</f>
        <v>11.275161357855335</v>
      </c>
      <c r="Q307" s="240">
        <f>P307*'Imported Price Trends'!$N$19</f>
        <v>11.922833409024465</v>
      </c>
      <c r="R307" s="240">
        <f>Q307*'Imported Price Trends'!$O$19</f>
        <v>12.809701951393743</v>
      </c>
      <c r="S307" s="240">
        <f>R307*'Imported Price Trends'!$O$19</f>
        <v>13.762539360764791</v>
      </c>
      <c r="T307" s="240">
        <f>S307*'Imported Price Trends'!$O$19</f>
        <v>14.78625266811863</v>
      </c>
      <c r="U307" s="240">
        <f>T307*'Imported Price Trends'!$O$19</f>
        <v>15.886113909235405</v>
      </c>
      <c r="V307" s="240">
        <f>U307*'Imported Price Trends'!$O$19</f>
        <v>17.067787275226742</v>
      </c>
      <c r="W307" s="219"/>
      <c r="X307" s="195">
        <f>X306*$E$5</f>
        <v>33.6</v>
      </c>
      <c r="Y307" s="195">
        <f t="shared" ref="Y307:AA307" si="798">Y306*$E$5</f>
        <v>21.8</v>
      </c>
      <c r="Z307" s="195">
        <f t="shared" si="798"/>
        <v>23.6</v>
      </c>
      <c r="AA307" s="195">
        <f t="shared" si="798"/>
        <v>25.552000000000003</v>
      </c>
      <c r="AB307" s="219">
        <f>X307*VLOOKUP($B307,Types!$B$2:$D$13,3,FALSE)*Conv!$I$5*1000*365</f>
        <v>73.365302465279996</v>
      </c>
      <c r="AC307" s="219">
        <f>Y307*VLOOKUP($B307,Types!$B$2:$D$13,3,FALSE)*Conv!$I$5*1000*365</f>
        <v>47.600106956640005</v>
      </c>
      <c r="AD307" s="219">
        <f>Z307*VLOOKUP($B307,Types!$B$2:$D$13,3,FALSE)*Conv!$I$5*1000*365</f>
        <v>51.53039101728001</v>
      </c>
      <c r="AE307" s="219">
        <f>AA307*VLOOKUP($B307,Types!$B$2:$D$13,3,FALSE)*Conv!$I$5*1000*365</f>
        <v>55.792565731929614</v>
      </c>
      <c r="AF307" s="219">
        <f>AB307</f>
        <v>73.365302465279996</v>
      </c>
      <c r="AG307" s="219">
        <f t="shared" ref="AG307:AI307" si="799">AC307</f>
        <v>47.600106956640005</v>
      </c>
      <c r="AH307" s="219">
        <f t="shared" si="799"/>
        <v>51.53039101728001</v>
      </c>
      <c r="AI307" s="219">
        <f t="shared" si="799"/>
        <v>55.792565731929614</v>
      </c>
      <c r="AJ307" s="219"/>
      <c r="AK307" s="219"/>
      <c r="AL307" s="219"/>
    </row>
    <row r="308" spans="1:38">
      <c r="A308" s="195" t="str">
        <f t="shared" ref="A308:A310" si="800">A307</f>
        <v>Other Refined Prod.</v>
      </c>
      <c r="B308" s="195" t="str">
        <f>VLOOKUP($A308,Types!$A$2:$C$13,2,FALSE)</f>
        <v>KER</v>
      </c>
      <c r="C308" s="195">
        <v>2</v>
      </c>
      <c r="D308" s="195">
        <v>5</v>
      </c>
      <c r="E308" s="195" t="str">
        <f t="shared" si="796"/>
        <v>IMPKERP52</v>
      </c>
      <c r="F308" s="195" t="str">
        <f>CONCATENATE("Imported ",VLOOKUP($A308,Types!$A$2:$C$13,3,FALSE),", PADD ",D308,", Step ",RIGHT(C308,1))</f>
        <v>Imported Kerosene and Other Refined Products, PADD 5, Step 2</v>
      </c>
      <c r="G308" s="195" t="str">
        <f>CONCATENATE(VLOOKUP($A308,Types!$A$2:$C$13,2,FALSE),"P",D308)</f>
        <v>KERP5</v>
      </c>
      <c r="H308" s="239">
        <f>H306*$C$6</f>
        <v>64.777020000000007</v>
      </c>
      <c r="I308" s="239">
        <f t="shared" ref="I308:K308" si="801">I306*$C$6</f>
        <v>39.4009</v>
      </c>
      <c r="J308" s="239">
        <f t="shared" si="801"/>
        <v>31.898999999999997</v>
      </c>
      <c r="K308" s="239">
        <f t="shared" si="801"/>
        <v>40.444600000000001</v>
      </c>
      <c r="L308" s="240">
        <f>H308*Conv!$J$20/10^6/VLOOKUP($B308,Types!$B$2:$D$13,3,FALSE)/Conv!$I$5</f>
        <v>16.615973511469882</v>
      </c>
      <c r="M308" s="240">
        <f>I308*Conv!$J$20/10^6/VLOOKUP($B308,Types!$B$2:$D$13,3,FALSE)/Conv!$I$5</f>
        <v>10.106737091766087</v>
      </c>
      <c r="N308" s="240">
        <f>M308*'Imported Price Trends'!$K$19</f>
        <v>10.882397406758225</v>
      </c>
      <c r="O308" s="240">
        <f>N308*'Imported Price Trends'!$L$19</f>
        <v>10.778926794876716</v>
      </c>
      <c r="P308" s="240">
        <f>O308*'Imported Price Trends'!$M$19</f>
        <v>11.631219084945503</v>
      </c>
      <c r="Q308" s="240">
        <f>P308*'Imported Price Trends'!$N$19</f>
        <v>12.2993439377305</v>
      </c>
      <c r="R308" s="240">
        <f>Q308*'Imported Price Trends'!$O$19</f>
        <v>13.214218855121965</v>
      </c>
      <c r="S308" s="240">
        <f>R308*'Imported Price Trends'!$O$19</f>
        <v>14.197145866894205</v>
      </c>
      <c r="T308" s="240">
        <f>S308*'Imported Price Trends'!$O$19</f>
        <v>15.253186962901323</v>
      </c>
      <c r="U308" s="240">
        <f>T308*'Imported Price Trends'!$O$19</f>
        <v>16.387780664263893</v>
      </c>
      <c r="V308" s="240">
        <f>U308*'Imported Price Trends'!$O$19</f>
        <v>17.606770031286537</v>
      </c>
      <c r="W308" s="219"/>
      <c r="X308" s="195">
        <f>X306*$E$6</f>
        <v>37.800000000000004</v>
      </c>
      <c r="Y308" s="195">
        <f t="shared" ref="Y308:AA308" si="802">Y306*$E$6</f>
        <v>24.525000000000002</v>
      </c>
      <c r="Z308" s="195">
        <f t="shared" si="802"/>
        <v>26.55</v>
      </c>
      <c r="AA308" s="195">
        <f t="shared" si="802"/>
        <v>28.746000000000002</v>
      </c>
      <c r="AB308" s="219">
        <f>X308*VLOOKUP($B308,Types!$B$2:$D$13,3,FALSE)*Conv!$I$5*1000*365</f>
        <v>82.535965273439999</v>
      </c>
      <c r="AC308" s="219">
        <f>Y308*VLOOKUP($B308,Types!$B$2:$D$13,3,FALSE)*Conv!$I$5*1000*365</f>
        <v>53.550120326220011</v>
      </c>
      <c r="AD308" s="219">
        <f>Z308*VLOOKUP($B308,Types!$B$2:$D$13,3,FALSE)*Conv!$I$5*1000*365</f>
        <v>57.971689894439997</v>
      </c>
      <c r="AE308" s="219">
        <f>AA308*VLOOKUP($B308,Types!$B$2:$D$13,3,FALSE)*Conv!$I$5*1000*365</f>
        <v>62.766636448420797</v>
      </c>
      <c r="AF308" s="219">
        <f>AB308-AF307</f>
        <v>9.170662808160003</v>
      </c>
      <c r="AG308" s="219">
        <f t="shared" ref="AG308:AI308" si="803">AC308-AG307</f>
        <v>5.9500133695800059</v>
      </c>
      <c r="AH308" s="219">
        <f t="shared" si="803"/>
        <v>6.4412988771599871</v>
      </c>
      <c r="AI308" s="219">
        <f t="shared" si="803"/>
        <v>6.9740707164911839</v>
      </c>
      <c r="AJ308" s="219"/>
      <c r="AK308" s="219"/>
      <c r="AL308" s="219"/>
    </row>
    <row r="309" spans="1:38">
      <c r="A309" s="195" t="str">
        <f t="shared" si="800"/>
        <v>Other Refined Prod.</v>
      </c>
      <c r="B309" s="195" t="str">
        <f>VLOOKUP($A309,Types!$A$2:$C$13,2,FALSE)</f>
        <v>KER</v>
      </c>
      <c r="C309" s="195">
        <v>4</v>
      </c>
      <c r="D309" s="195">
        <v>5</v>
      </c>
      <c r="E309" s="195" t="str">
        <f t="shared" si="796"/>
        <v>IMPKERP54</v>
      </c>
      <c r="F309" s="195" t="str">
        <f>CONCATENATE("Imported ",VLOOKUP($A309,Types!$A$2:$C$13,3,FALSE),", PADD ",D309,", Step ",RIGHT(C309,1))</f>
        <v>Imported Kerosene and Other Refined Products, PADD 5, Step 4</v>
      </c>
      <c r="G309" s="195" t="str">
        <f>CONCATENATE(VLOOKUP($A309,Types!$A$2:$C$13,2,FALSE),"P",D309)</f>
        <v>KERP5</v>
      </c>
      <c r="H309" s="239">
        <f>H306*$C$8</f>
        <v>72.047910000000016</v>
      </c>
      <c r="I309" s="239">
        <f t="shared" ref="I309:K309" si="804">I306*$C$8</f>
        <v>43.823450000000001</v>
      </c>
      <c r="J309" s="239">
        <f t="shared" si="804"/>
        <v>35.479500000000002</v>
      </c>
      <c r="K309" s="239">
        <f t="shared" si="804"/>
        <v>44.984300000000005</v>
      </c>
      <c r="L309" s="240">
        <f>H309*Conv!$J$20/10^6/VLOOKUP($B309,Types!$B$2:$D$13,3,FALSE)/Conv!$I$5</f>
        <v>18.481031762757318</v>
      </c>
      <c r="M309" s="240">
        <f>I309*Conv!$J$20/10^6/VLOOKUP($B309,Types!$B$2:$D$13,3,FALSE)/Conv!$I$5</f>
        <v>11.241166765331668</v>
      </c>
      <c r="N309" s="240">
        <f>M309*'Imported Price Trends'!$K$19</f>
        <v>12.103890993231087</v>
      </c>
      <c r="O309" s="240">
        <f>N309*'Imported Price Trends'!$L$19</f>
        <v>11.988806333077164</v>
      </c>
      <c r="P309" s="240">
        <f>O309*'Imported Price Trends'!$M$19</f>
        <v>12.936764084276122</v>
      </c>
      <c r="Q309" s="240">
        <f>P309*'Imported Price Trends'!$N$19</f>
        <v>13.679882542985965</v>
      </c>
      <c r="R309" s="240">
        <f>Q309*'Imported Price Trends'!$O$19</f>
        <v>14.697447502125451</v>
      </c>
      <c r="S309" s="240">
        <f>R309*'Imported Price Trends'!$O$19</f>
        <v>15.79070305603539</v>
      </c>
      <c r="T309" s="240">
        <f>S309*'Imported Price Trends'!$O$19</f>
        <v>16.96527937710453</v>
      </c>
      <c r="U309" s="240">
        <f>T309*'Imported Price Trends'!$O$19</f>
        <v>18.227225432701673</v>
      </c>
      <c r="V309" s="240">
        <f>U309*'Imported Price Trends'!$O$19</f>
        <v>19.583040136839102</v>
      </c>
      <c r="W309" s="219"/>
      <c r="X309" s="195">
        <f>X306*$E$8</f>
        <v>50.4</v>
      </c>
      <c r="Y309" s="195">
        <f t="shared" ref="Y309:AA309" si="805">Y306*$E$8</f>
        <v>32.699999999999996</v>
      </c>
      <c r="Z309" s="195">
        <f t="shared" si="805"/>
        <v>35.4</v>
      </c>
      <c r="AA309" s="195">
        <f t="shared" si="805"/>
        <v>38.328000000000003</v>
      </c>
      <c r="AB309" s="219">
        <f>X309*VLOOKUP($B309,Types!$B$2:$D$13,3,FALSE)*Conv!$I$5*1000*365</f>
        <v>110.04795369791997</v>
      </c>
      <c r="AC309" s="219">
        <f>Y309*VLOOKUP($B309,Types!$B$2:$D$13,3,FALSE)*Conv!$I$5*1000*365</f>
        <v>71.400160434959986</v>
      </c>
      <c r="AD309" s="219">
        <f>Z309*VLOOKUP($B309,Types!$B$2:$D$13,3,FALSE)*Conv!$I$5*1000*365</f>
        <v>77.295586525919987</v>
      </c>
      <c r="AE309" s="219">
        <f>AA309*VLOOKUP($B309,Types!$B$2:$D$13,3,FALSE)*Conv!$I$5*1000*365</f>
        <v>83.688848597894392</v>
      </c>
      <c r="AF309" s="219">
        <f>AB309-AB306</f>
        <v>18.341325616319978</v>
      </c>
      <c r="AG309" s="219">
        <f t="shared" ref="AG309:AI309" si="806">AC309-AC306</f>
        <v>11.900026739159991</v>
      </c>
      <c r="AH309" s="219">
        <f t="shared" si="806"/>
        <v>12.882597754319988</v>
      </c>
      <c r="AI309" s="219">
        <f t="shared" si="806"/>
        <v>13.948141432982396</v>
      </c>
      <c r="AJ309" s="219"/>
      <c r="AK309" s="219"/>
      <c r="AL309" s="219"/>
    </row>
    <row r="310" spans="1:38">
      <c r="A310" s="195" t="str">
        <f t="shared" si="800"/>
        <v>Other Refined Prod.</v>
      </c>
      <c r="B310" s="195" t="str">
        <f>VLOOKUP($A310,Types!$A$2:$C$13,2,FALSE)</f>
        <v>KER</v>
      </c>
      <c r="C310" s="195">
        <v>5</v>
      </c>
      <c r="D310" s="195">
        <v>5</v>
      </c>
      <c r="E310" s="195" t="str">
        <f t="shared" si="796"/>
        <v>IMPKERP55</v>
      </c>
      <c r="F310" s="195" t="str">
        <f>CONCATENATE("Imported ",VLOOKUP($A310,Types!$A$2:$C$13,3,FALSE),", PADD ",D310,", Step ",RIGHT(C310,1))</f>
        <v>Imported Kerosene and Other Refined Products, PADD 5, Step 5</v>
      </c>
      <c r="G310" s="195" t="str">
        <f>CONCATENATE(VLOOKUP($A310,Types!$A$2:$C$13,2,FALSE),"P",D310)</f>
        <v>KERP5</v>
      </c>
      <c r="H310" s="239">
        <f>H306*$C$9</f>
        <v>85.928700000000006</v>
      </c>
      <c r="I310" s="239">
        <f t="shared" ref="I310:K310" si="807">I306*$C$9</f>
        <v>52.266500000000001</v>
      </c>
      <c r="J310" s="239">
        <f t="shared" si="807"/>
        <v>42.314999999999998</v>
      </c>
      <c r="K310" s="239">
        <f t="shared" si="807"/>
        <v>53.651000000000003</v>
      </c>
      <c r="L310" s="240">
        <f>H310*Conv!$J$20/10^6/VLOOKUP($B310,Types!$B$2:$D$13,3,FALSE)/Conv!$I$5</f>
        <v>22.041597515215152</v>
      </c>
      <c r="M310" s="240">
        <f>I310*Conv!$J$20/10^6/VLOOKUP($B310,Types!$B$2:$D$13,3,FALSE)/Conv!$I$5</f>
        <v>13.406896142138688</v>
      </c>
      <c r="N310" s="240">
        <f>M310*'Imported Price Trends'!$K$19</f>
        <v>14.435833294679279</v>
      </c>
      <c r="O310" s="240">
        <f>N310*'Imported Price Trends'!$L$19</f>
        <v>14.298576360550747</v>
      </c>
      <c r="P310" s="240">
        <f>O310*'Imported Price Trends'!$M$19</f>
        <v>15.429168173907302</v>
      </c>
      <c r="Q310" s="240">
        <f>P310*'Imported Price Trends'!$N$19</f>
        <v>16.315456243928214</v>
      </c>
      <c r="R310" s="240">
        <f>Q310*'Imported Price Trends'!$O$19</f>
        <v>17.529065828223015</v>
      </c>
      <c r="S310" s="240">
        <f>R310*'Imported Price Trends'!$O$19</f>
        <v>18.832948598941293</v>
      </c>
      <c r="T310" s="240">
        <f>S310*'Imported Price Trends'!$O$19</f>
        <v>20.233819440583389</v>
      </c>
      <c r="U310" s="240">
        <f>T310*'Imported Price Trends'!$O$19</f>
        <v>21.738892717901081</v>
      </c>
      <c r="V310" s="240">
        <f>U310*'Imported Price Trends'!$O$19</f>
        <v>23.355919429257646</v>
      </c>
      <c r="W310" s="219"/>
      <c r="X310" s="195">
        <f>X306*$E$9</f>
        <v>84</v>
      </c>
      <c r="Y310" s="195">
        <f t="shared" ref="Y310:AA310" si="808">Y306*$E$9</f>
        <v>54.5</v>
      </c>
      <c r="Z310" s="195">
        <f t="shared" si="808"/>
        <v>59</v>
      </c>
      <c r="AA310" s="195">
        <f t="shared" si="808"/>
        <v>63.88</v>
      </c>
      <c r="AB310" s="219">
        <f>X310*VLOOKUP($B310,Types!$B$2:$D$13,3,FALSE)*Conv!$I$5*1000*365</f>
        <v>183.41325616319997</v>
      </c>
      <c r="AC310" s="219">
        <f>Y310*VLOOKUP($B310,Types!$B$2:$D$13,3,FALSE)*Conv!$I$5*1000*365</f>
        <v>119.00026739159999</v>
      </c>
      <c r="AD310" s="219">
        <f>Z310*VLOOKUP($B310,Types!$B$2:$D$13,3,FALSE)*Conv!$I$5*1000*365</f>
        <v>128.8259775432</v>
      </c>
      <c r="AE310" s="219">
        <f>AA310*VLOOKUP($B310,Types!$B$2:$D$13,3,FALSE)*Conv!$I$5*1000*365</f>
        <v>139.48141432982399</v>
      </c>
      <c r="AF310" s="219">
        <f>AB310-AB309</f>
        <v>73.36530246528001</v>
      </c>
      <c r="AG310" s="219">
        <f t="shared" ref="AG310:AI310" si="809">AC310-AC309</f>
        <v>47.600106956640005</v>
      </c>
      <c r="AH310" s="219">
        <f t="shared" si="809"/>
        <v>51.53039101728001</v>
      </c>
      <c r="AI310" s="219">
        <f t="shared" si="809"/>
        <v>55.792565731929599</v>
      </c>
      <c r="AJ310" s="219"/>
      <c r="AK310" s="219"/>
      <c r="AL310" s="219"/>
    </row>
    <row r="311" spans="1:38">
      <c r="A311" s="195" t="str">
        <f>'Agg prdcrv'!$A$16</f>
        <v>Methanol</v>
      </c>
      <c r="B311" s="195" t="str">
        <f>VLOOKUP($A311,Types!$A$2:$C$13,2,FALSE)</f>
        <v>MTH</v>
      </c>
      <c r="C311" s="195">
        <v>3</v>
      </c>
      <c r="D311" s="195">
        <v>5</v>
      </c>
      <c r="E311" s="195" t="str">
        <f t="shared" si="796"/>
        <v>IMPMTHP53</v>
      </c>
      <c r="F311" s="195" t="str">
        <f>CONCATENATE("Imported ",VLOOKUP($A311,Types!$A$2:$C$13,3,FALSE),", PADD ",D311,", Step ",RIGHT(C311,1))</f>
        <v>Imported Methanol, PADD 5, Step 3</v>
      </c>
      <c r="G311" s="195" t="str">
        <f>CONCATENATE(VLOOKUP($A311,Types!$A$2:$C$13,2,FALSE),"P",D311)</f>
        <v>MTHP5</v>
      </c>
      <c r="H311" s="239">
        <f>SUMIFS('Agg prdcrv NYC'!$P$6:$P$100,'Agg prdcrv NYC'!$A$6:$A$100,'Imp Refined NYC'!$A311,'Agg prdcrv NYC'!$B$6:$B$100,H$11)*K4</f>
        <v>51.216000000000008</v>
      </c>
      <c r="I311" s="239">
        <f>SUMIFS('Agg prdcrv NYC'!$P$6:$P$100,'Agg prdcrv NYC'!$A$6:$A$100,'Imp Refined NYC'!$A311,'Agg prdcrv NYC'!$B$6:$B$100,I$11)*K4</f>
        <v>50.666000000000004</v>
      </c>
      <c r="J311" s="239">
        <f t="array" ref="J311">SUMIFS('Agg prdcrv NYC'!$P$6:$P$100,'Agg prdcrv NYC'!$A$6:$A$100,'Imp Refined NYC'!$A311,'Agg prdcrv NYC'!$B$6:$B$100,J$11)</f>
        <v>46.06</v>
      </c>
      <c r="K311" s="239">
        <f t="array" ref="K311">SUMIFS('Agg prdcrv NYC'!$P$6:$P$100,'Agg prdcrv NYC'!$A$6:$A$100,'Imp Refined NYC'!$A311,'Agg prdcrv NYC'!$B$6:$B$100,K$11)</f>
        <v>46.06</v>
      </c>
      <c r="L311" s="240">
        <f>H311*Conv!$J$20/10^6/VLOOKUP($B311,Types!$B$2:$D$13,3,FALSE)/Conv!$I$5</f>
        <v>27.118552419476401</v>
      </c>
      <c r="M311" s="240">
        <f>I311*Conv!$J$20/10^6/VLOOKUP($B311,Types!$B$2:$D$13,3,FALSE)/Conv!$I$5</f>
        <v>26.827330851397829</v>
      </c>
      <c r="N311" s="240">
        <f>M311*'Imported Price Trends'!$K$19</f>
        <v>28.886244198965407</v>
      </c>
      <c r="O311" s="240">
        <f>N311*'Imported Price Trends'!$L$19</f>
        <v>28.611591725754913</v>
      </c>
      <c r="P311" s="240">
        <f>O311*'Imported Price Trends'!$M$19</f>
        <v>30.873917047979695</v>
      </c>
      <c r="Q311" s="240">
        <f>P311*'Imported Price Trends'!$N$19</f>
        <v>32.647388180449063</v>
      </c>
      <c r="R311" s="240">
        <f>Q311*'Imported Price Trends'!$O$19</f>
        <v>35.075832877650271</v>
      </c>
      <c r="S311" s="240">
        <f>R311*'Imported Price Trends'!$O$19</f>
        <v>37.684915107470282</v>
      </c>
      <c r="T311" s="240">
        <f>S311*'Imported Price Trends'!$O$19</f>
        <v>40.488071419742091</v>
      </c>
      <c r="U311" s="240">
        <f>T311*'Imported Price Trends'!$O$19</f>
        <v>43.499737829187282</v>
      </c>
      <c r="V311" s="240">
        <f>U311*'Imported Price Trends'!$O$19</f>
        <v>46.735424159654393</v>
      </c>
      <c r="W311" s="219"/>
      <c r="X311" s="195">
        <f t="array" ref="X311">SUMIFS('Agg prdcrv NYC'!$H$6:$H$100,'Agg prdcrv NYC'!$A$6:$A$100,'Imp Refined NYC'!$A311,'Agg prdcrv NYC'!$B$6:$B$100,X$11)</f>
        <v>0.86</v>
      </c>
      <c r="Y311" s="195">
        <f t="array" ref="Y311">SUMIFS('Agg prdcrv NYC'!$H$6:$H$100,'Agg prdcrv NYC'!$A$6:$A$100,'Imp Refined NYC'!$A311,'Agg prdcrv NYC'!$B$6:$B$100,Y$11)</f>
        <v>0.77</v>
      </c>
      <c r="Z311" s="195">
        <f t="array" ref="Z311">SUMIFS('Agg prdcrv NYC'!$H$6:$H$100,'Agg prdcrv NYC'!$A$6:$A$100,'Imp Refined NYC'!$A311,'Agg prdcrv NYC'!$B$6:$B$100,Z$11)</f>
        <v>0.9</v>
      </c>
      <c r="AA311" s="195">
        <f t="array" ref="AA311">SUMIFS('Agg prdcrv NYC'!$H$6:$H$100,'Agg prdcrv NYC'!$A$6:$A$100,'Imp Refined NYC'!$A311,'Agg prdcrv NYC'!$B$6:$B$100,AA$11)</f>
        <v>1.04</v>
      </c>
      <c r="AB311" s="219">
        <f>X311*VLOOKUP($B311,Types!$B$2:$D$13,3,FALSE)*Conv!$I$5*1000*365</f>
        <v>0.90969093294911985</v>
      </c>
      <c r="AC311" s="219">
        <f>Y311*VLOOKUP($B311,Types!$B$2:$D$13,3,FALSE)*Conv!$I$5*1000*365</f>
        <v>0.81449071903583992</v>
      </c>
      <c r="AD311" s="219">
        <f>Z311*VLOOKUP($B311,Types!$B$2:$D$13,3,FALSE)*Conv!$I$5*1000*365</f>
        <v>0.95200213913279985</v>
      </c>
      <c r="AE311" s="219">
        <f>AA311*VLOOKUP($B311,Types!$B$2:$D$13,3,FALSE)*Conv!$I$5*1000*365</f>
        <v>1.1000913607756799</v>
      </c>
      <c r="AF311" s="219">
        <f>AB311-AB313</f>
        <v>9.0969093294911874E-2</v>
      </c>
      <c r="AG311" s="219">
        <f t="shared" ref="AG311:AI311" si="810">AC311-AC313</f>
        <v>8.144907190358408E-2</v>
      </c>
      <c r="AH311" s="219">
        <f t="shared" si="810"/>
        <v>9.5200213913279708E-2</v>
      </c>
      <c r="AI311" s="219">
        <f t="shared" si="810"/>
        <v>0.11000913607756801</v>
      </c>
      <c r="AJ311" s="219"/>
      <c r="AK311" s="219"/>
      <c r="AL311" s="219"/>
    </row>
    <row r="312" spans="1:38">
      <c r="A312" s="195" t="str">
        <f>A311</f>
        <v>Methanol</v>
      </c>
      <c r="B312" s="195" t="str">
        <f>VLOOKUP($A312,Types!$A$2:$C$13,2,FALSE)</f>
        <v>MTH</v>
      </c>
      <c r="C312" s="195">
        <v>1</v>
      </c>
      <c r="D312" s="195">
        <v>5</v>
      </c>
      <c r="E312" s="195" t="str">
        <f t="shared" si="796"/>
        <v>IMPMTHP51</v>
      </c>
      <c r="F312" s="195" t="str">
        <f>CONCATENATE("Imported ",VLOOKUP($A312,Types!$A$2:$C$13,3,FALSE),", PADD ",D312,", Step ",RIGHT(C312,1))</f>
        <v>Imported Methanol, PADD 5, Step 1</v>
      </c>
      <c r="G312" s="195" t="str">
        <f>CONCATENATE(VLOOKUP($A312,Types!$A$2:$C$13,2,FALSE),"P",D312)</f>
        <v>MTHP5</v>
      </c>
      <c r="H312" s="239">
        <f>H311*$C$5</f>
        <v>48.655200000000008</v>
      </c>
      <c r="I312" s="239">
        <f t="shared" ref="I312:K312" si="811">I311*$C$5</f>
        <v>48.1327</v>
      </c>
      <c r="J312" s="239">
        <f t="shared" si="811"/>
        <v>43.756999999999998</v>
      </c>
      <c r="K312" s="239">
        <f t="shared" si="811"/>
        <v>43.756999999999998</v>
      </c>
      <c r="L312" s="240">
        <f>H312*Conv!$J$20/10^6/VLOOKUP($B312,Types!$B$2:$D$13,3,FALSE)/Conv!$I$5</f>
        <v>25.762624798502582</v>
      </c>
      <c r="M312" s="240">
        <f>I312*Conv!$J$20/10^6/VLOOKUP($B312,Types!$B$2:$D$13,3,FALSE)/Conv!$I$5</f>
        <v>25.485964308827935</v>
      </c>
      <c r="N312" s="240">
        <f>M312*'Imported Price Trends'!$K$19</f>
        <v>27.441931989017135</v>
      </c>
      <c r="O312" s="240">
        <f>N312*'Imported Price Trends'!$L$19</f>
        <v>27.181012139467168</v>
      </c>
      <c r="P312" s="240">
        <f>O312*'Imported Price Trends'!$M$19</f>
        <v>29.330221195580712</v>
      </c>
      <c r="Q312" s="240">
        <f>P312*'Imported Price Trends'!$N$19</f>
        <v>31.015018771426611</v>
      </c>
      <c r="R312" s="240">
        <f>Q312*'Imported Price Trends'!$O$19</f>
        <v>33.322041233767756</v>
      </c>
      <c r="S312" s="240">
        <f>R312*'Imported Price Trends'!$O$19</f>
        <v>35.800669352096769</v>
      </c>
      <c r="T312" s="240">
        <f>S312*'Imported Price Trends'!$O$19</f>
        <v>38.463667848754987</v>
      </c>
      <c r="U312" s="240">
        <f>T312*'Imported Price Trends'!$O$19</f>
        <v>41.32475093772792</v>
      </c>
      <c r="V312" s="240">
        <f>U312*'Imported Price Trends'!$O$19</f>
        <v>44.398652951671679</v>
      </c>
      <c r="W312" s="219"/>
      <c r="X312" s="195">
        <f>X311*$E$5</f>
        <v>0.68800000000000006</v>
      </c>
      <c r="Y312" s="195">
        <f t="shared" ref="Y312:AA312" si="812">Y311*$E$5</f>
        <v>0.6160000000000001</v>
      </c>
      <c r="Z312" s="195">
        <f t="shared" si="812"/>
        <v>0.72000000000000008</v>
      </c>
      <c r="AA312" s="195">
        <f t="shared" si="812"/>
        <v>0.83200000000000007</v>
      </c>
      <c r="AB312" s="219">
        <f>X312*VLOOKUP($B312,Types!$B$2:$D$13,3,FALSE)*Conv!$I$5*1000*365</f>
        <v>0.72775274635929599</v>
      </c>
      <c r="AC312" s="219">
        <f>Y312*VLOOKUP($B312,Types!$B$2:$D$13,3,FALSE)*Conv!$I$5*1000*365</f>
        <v>0.65159257522867209</v>
      </c>
      <c r="AD312" s="219">
        <f>Z312*VLOOKUP($B312,Types!$B$2:$D$13,3,FALSE)*Conv!$I$5*1000*365</f>
        <v>0.76160171130623988</v>
      </c>
      <c r="AE312" s="219">
        <f>AA312*VLOOKUP($B312,Types!$B$2:$D$13,3,FALSE)*Conv!$I$5*1000*365</f>
        <v>0.88007308862054401</v>
      </c>
      <c r="AF312" s="219">
        <f>AB312</f>
        <v>0.72775274635929599</v>
      </c>
      <c r="AG312" s="219">
        <f t="shared" ref="AG312:AI312" si="813">AC312</f>
        <v>0.65159257522867209</v>
      </c>
      <c r="AH312" s="219">
        <f t="shared" si="813"/>
        <v>0.76160171130623988</v>
      </c>
      <c r="AI312" s="219">
        <f t="shared" si="813"/>
        <v>0.88007308862054401</v>
      </c>
      <c r="AJ312" s="219"/>
      <c r="AK312" s="219"/>
      <c r="AL312" s="219"/>
    </row>
    <row r="313" spans="1:38">
      <c r="A313" s="195" t="str">
        <f t="shared" ref="A313:A315" si="814">A312</f>
        <v>Methanol</v>
      </c>
      <c r="B313" s="195" t="str">
        <f>VLOOKUP($A313,Types!$A$2:$C$13,2,FALSE)</f>
        <v>MTH</v>
      </c>
      <c r="C313" s="195">
        <v>2</v>
      </c>
      <c r="D313" s="195">
        <v>5</v>
      </c>
      <c r="E313" s="195" t="str">
        <f t="shared" si="796"/>
        <v>IMPMTHP52</v>
      </c>
      <c r="F313" s="195" t="str">
        <f>CONCATENATE("Imported ",VLOOKUP($A313,Types!$A$2:$C$13,3,FALSE),", PADD ",D313,", Step ",RIGHT(C313,1))</f>
        <v>Imported Methanol, PADD 5, Step 2</v>
      </c>
      <c r="G313" s="195" t="str">
        <f>CONCATENATE(VLOOKUP($A313,Types!$A$2:$C$13,2,FALSE),"P",D313)</f>
        <v>MTHP5</v>
      </c>
      <c r="H313" s="239">
        <f>H311*$C$6</f>
        <v>50.191680000000005</v>
      </c>
      <c r="I313" s="239">
        <f t="shared" ref="I313:K313" si="815">I311*$C$6</f>
        <v>49.652680000000004</v>
      </c>
      <c r="J313" s="239">
        <f t="shared" si="815"/>
        <v>45.138800000000003</v>
      </c>
      <c r="K313" s="239">
        <f t="shared" si="815"/>
        <v>45.138800000000003</v>
      </c>
      <c r="L313" s="240">
        <f>H313*Conv!$J$20/10^6/VLOOKUP($B313,Types!$B$2:$D$13,3,FALSE)/Conv!$I$5</f>
        <v>26.576181371086872</v>
      </c>
      <c r="M313" s="240">
        <f>I313*Conv!$J$20/10^6/VLOOKUP($B313,Types!$B$2:$D$13,3,FALSE)/Conv!$I$5</f>
        <v>26.290784234369873</v>
      </c>
      <c r="N313" s="240">
        <f>M313*'Imported Price Trends'!$K$19</f>
        <v>28.3085193149861</v>
      </c>
      <c r="O313" s="240">
        <f>N313*'Imported Price Trends'!$L$19</f>
        <v>28.039359891239815</v>
      </c>
      <c r="P313" s="240">
        <f>O313*'Imported Price Trends'!$M$19</f>
        <v>30.256438707020102</v>
      </c>
      <c r="Q313" s="240">
        <f>P313*'Imported Price Trends'!$N$19</f>
        <v>31.994440416840082</v>
      </c>
      <c r="R313" s="240">
        <f>Q313*'Imported Price Trends'!$O$19</f>
        <v>34.374316220097263</v>
      </c>
      <c r="S313" s="240">
        <f>R313*'Imported Price Trends'!$O$19</f>
        <v>36.931216805320872</v>
      </c>
      <c r="T313" s="240">
        <f>S313*'Imported Price Trends'!$O$19</f>
        <v>39.678309991347241</v>
      </c>
      <c r="U313" s="240">
        <f>T313*'Imported Price Trends'!$O$19</f>
        <v>42.629743072603524</v>
      </c>
      <c r="V313" s="240">
        <f>U313*'Imported Price Trends'!$O$19</f>
        <v>45.800715676461294</v>
      </c>
      <c r="W313" s="219"/>
      <c r="X313" s="195">
        <f>X311*$E$6</f>
        <v>0.77400000000000002</v>
      </c>
      <c r="Y313" s="195">
        <f t="shared" ref="Y313:AA313" si="816">Y311*$E$6</f>
        <v>0.69300000000000006</v>
      </c>
      <c r="Z313" s="195">
        <f t="shared" si="816"/>
        <v>0.81</v>
      </c>
      <c r="AA313" s="195">
        <f t="shared" si="816"/>
        <v>0.93600000000000005</v>
      </c>
      <c r="AB313" s="219">
        <f>X313*VLOOKUP($B313,Types!$B$2:$D$13,3,FALSE)*Conv!$I$5*1000*365</f>
        <v>0.81872183965420797</v>
      </c>
      <c r="AC313" s="219">
        <f>Y313*VLOOKUP($B313,Types!$B$2:$D$13,3,FALSE)*Conv!$I$5*1000*365</f>
        <v>0.73304164713225584</v>
      </c>
      <c r="AD313" s="219">
        <f>Z313*VLOOKUP($B313,Types!$B$2:$D$13,3,FALSE)*Conv!$I$5*1000*365</f>
        <v>0.85680192521952014</v>
      </c>
      <c r="AE313" s="219">
        <f>AA313*VLOOKUP($B313,Types!$B$2:$D$13,3,FALSE)*Conv!$I$5*1000*365</f>
        <v>0.99008222469811191</v>
      </c>
      <c r="AF313" s="219">
        <f>AB313-AF312</f>
        <v>9.0969093294911985E-2</v>
      </c>
      <c r="AG313" s="219">
        <f t="shared" ref="AG313:AI313" si="817">AC313-AG312</f>
        <v>8.1449071903583747E-2</v>
      </c>
      <c r="AH313" s="219">
        <f t="shared" si="817"/>
        <v>9.5200213913280263E-2</v>
      </c>
      <c r="AI313" s="219">
        <f t="shared" si="817"/>
        <v>0.1100091360775679</v>
      </c>
      <c r="AJ313" s="219"/>
      <c r="AK313" s="219"/>
      <c r="AL313" s="219"/>
    </row>
    <row r="314" spans="1:38">
      <c r="A314" s="195" t="str">
        <f t="shared" si="814"/>
        <v>Methanol</v>
      </c>
      <c r="B314" s="195" t="str">
        <f>VLOOKUP($A314,Types!$A$2:$C$13,2,FALSE)</f>
        <v>MTH</v>
      </c>
      <c r="C314" s="195">
        <v>4</v>
      </c>
      <c r="D314" s="195">
        <v>5</v>
      </c>
      <c r="E314" s="195" t="str">
        <f t="shared" si="796"/>
        <v>IMPMTHP54</v>
      </c>
      <c r="F314" s="195" t="str">
        <f>CONCATENATE("Imported ",VLOOKUP($A314,Types!$A$2:$C$13,3,FALSE),", PADD ",D314,", Step ",RIGHT(C314,1))</f>
        <v>Imported Methanol, PADD 5, Step 4</v>
      </c>
      <c r="G314" s="195" t="str">
        <f>CONCATENATE(VLOOKUP($A314,Types!$A$2:$C$13,2,FALSE),"P",D314)</f>
        <v>MTHP5</v>
      </c>
      <c r="H314" s="239">
        <f>H311*$C$8</f>
        <v>55.825440000000015</v>
      </c>
      <c r="I314" s="239">
        <f t="shared" ref="I314:K314" si="818">I311*$C$8</f>
        <v>55.225940000000008</v>
      </c>
      <c r="J314" s="239">
        <f t="shared" si="818"/>
        <v>50.205400000000004</v>
      </c>
      <c r="K314" s="239">
        <f t="shared" si="818"/>
        <v>50.205400000000004</v>
      </c>
      <c r="L314" s="240">
        <f>H314*Conv!$J$20/10^6/VLOOKUP($B314,Types!$B$2:$D$13,3,FALSE)/Conv!$I$5</f>
        <v>29.55922213722928</v>
      </c>
      <c r="M314" s="240">
        <f>I314*Conv!$J$20/10^6/VLOOKUP($B314,Types!$B$2:$D$13,3,FALSE)/Conv!$I$5</f>
        <v>29.24179062802364</v>
      </c>
      <c r="N314" s="240">
        <f>M314*'Imported Price Trends'!$K$19</f>
        <v>31.486006176872301</v>
      </c>
      <c r="O314" s="240">
        <f>N314*'Imported Price Trends'!$L$19</f>
        <v>31.186634981072864</v>
      </c>
      <c r="P314" s="240">
        <f>O314*'Imported Price Trends'!$M$19</f>
        <v>33.652569582297879</v>
      </c>
      <c r="Q314" s="240">
        <f>P314*'Imported Price Trends'!$N$19</f>
        <v>35.585653116689492</v>
      </c>
      <c r="R314" s="240">
        <f>Q314*'Imported Price Trends'!$O$19</f>
        <v>38.232657836638808</v>
      </c>
      <c r="S314" s="240">
        <f>R314*'Imported Price Trends'!$O$19</f>
        <v>41.076557467142621</v>
      </c>
      <c r="T314" s="240">
        <f>S314*'Imported Price Trends'!$O$19</f>
        <v>44.131997847518896</v>
      </c>
      <c r="U314" s="240">
        <f>T314*'Imported Price Trends'!$O$19</f>
        <v>47.414714233814152</v>
      </c>
      <c r="V314" s="240">
        <f>U314*'Imported Price Trends'!$O$19</f>
        <v>50.941612334023304</v>
      </c>
      <c r="W314" s="219"/>
      <c r="X314" s="195">
        <f>X311*$E$8</f>
        <v>1.032</v>
      </c>
      <c r="Y314" s="195">
        <f t="shared" ref="Y314:AA314" si="819">Y311*$E$8</f>
        <v>0.92399999999999993</v>
      </c>
      <c r="Z314" s="195">
        <f t="shared" si="819"/>
        <v>1.08</v>
      </c>
      <c r="AA314" s="195">
        <f t="shared" si="819"/>
        <v>1.248</v>
      </c>
      <c r="AB314" s="219">
        <f>X314*VLOOKUP($B314,Types!$B$2:$D$13,3,FALSE)*Conv!$I$5*1000*365</f>
        <v>1.091629119538944</v>
      </c>
      <c r="AC314" s="219">
        <f>Y314*VLOOKUP($B314,Types!$B$2:$D$13,3,FALSE)*Conv!$I$5*1000*365</f>
        <v>0.97738886284300774</v>
      </c>
      <c r="AD314" s="219">
        <f>Z314*VLOOKUP($B314,Types!$B$2:$D$13,3,FALSE)*Conv!$I$5*1000*365</f>
        <v>1.14240256695936</v>
      </c>
      <c r="AE314" s="219">
        <f>AA314*VLOOKUP($B314,Types!$B$2:$D$13,3,FALSE)*Conv!$I$5*1000*365</f>
        <v>1.3201096329308157</v>
      </c>
      <c r="AF314" s="219">
        <f>AB314-AB311</f>
        <v>0.18193818658982419</v>
      </c>
      <c r="AG314" s="219">
        <f t="shared" ref="AG314:AI314" si="820">AC314-AC311</f>
        <v>0.16289814380716783</v>
      </c>
      <c r="AH314" s="219">
        <f t="shared" si="820"/>
        <v>0.19040042782656019</v>
      </c>
      <c r="AI314" s="219">
        <f t="shared" si="820"/>
        <v>0.22001827215513581</v>
      </c>
      <c r="AJ314" s="219"/>
      <c r="AK314" s="219"/>
      <c r="AL314" s="219"/>
    </row>
    <row r="315" spans="1:38">
      <c r="A315" s="195" t="str">
        <f t="shared" si="814"/>
        <v>Methanol</v>
      </c>
      <c r="B315" s="195" t="str">
        <f>VLOOKUP($A315,Types!$A$2:$C$13,2,FALSE)</f>
        <v>MTH</v>
      </c>
      <c r="C315" s="195">
        <v>5</v>
      </c>
      <c r="D315" s="195">
        <v>5</v>
      </c>
      <c r="E315" s="195" t="str">
        <f t="shared" si="796"/>
        <v>IMPMTHP55</v>
      </c>
      <c r="F315" s="195" t="str">
        <f>CONCATENATE("Imported ",VLOOKUP($A315,Types!$A$2:$C$13,3,FALSE),", PADD ",D315,", Step ",RIGHT(C315,1))</f>
        <v>Imported Methanol, PADD 5, Step 5</v>
      </c>
      <c r="G315" s="195" t="str">
        <f>CONCATENATE(VLOOKUP($A315,Types!$A$2:$C$13,2,FALSE),"P",D315)</f>
        <v>MTHP5</v>
      </c>
      <c r="H315" s="239">
        <f>H311*$C$9</f>
        <v>66.580800000000011</v>
      </c>
      <c r="I315" s="239">
        <f t="shared" ref="I315:K315" si="821">I311*$C$9</f>
        <v>65.865800000000007</v>
      </c>
      <c r="J315" s="239">
        <f t="shared" si="821"/>
        <v>59.878000000000007</v>
      </c>
      <c r="K315" s="239">
        <f t="shared" si="821"/>
        <v>59.878000000000007</v>
      </c>
      <c r="L315" s="240">
        <f>H315*Conv!$J$20/10^6/VLOOKUP($B315,Types!$B$2:$D$13,3,FALSE)/Conv!$I$5</f>
        <v>35.254118145319325</v>
      </c>
      <c r="M315" s="240">
        <f>I315*Conv!$J$20/10^6/VLOOKUP($B315,Types!$B$2:$D$13,3,FALSE)/Conv!$I$5</f>
        <v>34.875530106817173</v>
      </c>
      <c r="N315" s="240">
        <f>M315*'Imported Price Trends'!$K$19</f>
        <v>37.552117458655026</v>
      </c>
      <c r="O315" s="240">
        <f>N315*'Imported Price Trends'!$L$19</f>
        <v>37.195069243481385</v>
      </c>
      <c r="P315" s="240">
        <f>O315*'Imported Price Trends'!$M$19</f>
        <v>40.1360921623736</v>
      </c>
      <c r="Q315" s="240">
        <f>P315*'Imported Price Trends'!$N$19</f>
        <v>42.441604634583776</v>
      </c>
      <c r="R315" s="240">
        <f>Q315*'Imported Price Trends'!$O$19</f>
        <v>45.598582740945346</v>
      </c>
      <c r="S315" s="240">
        <f>R315*'Imported Price Trends'!$O$19</f>
        <v>48.99038963971136</v>
      </c>
      <c r="T315" s="240">
        <f>S315*'Imported Price Trends'!$O$19</f>
        <v>52.63449284566471</v>
      </c>
      <c r="U315" s="240">
        <f>T315*'Imported Price Trends'!$O$19</f>
        <v>56.549659177943454</v>
      </c>
      <c r="V315" s="240">
        <f>U315*'Imported Price Trends'!$O$19</f>
        <v>60.7560514075507</v>
      </c>
      <c r="W315" s="219"/>
      <c r="X315" s="195">
        <f>X311*$E$9</f>
        <v>1.72</v>
      </c>
      <c r="Y315" s="195">
        <f t="shared" ref="Y315:AA315" si="822">Y311*$E$9</f>
        <v>1.54</v>
      </c>
      <c r="Z315" s="195">
        <f t="shared" si="822"/>
        <v>1.8</v>
      </c>
      <c r="AA315" s="195">
        <f t="shared" si="822"/>
        <v>2.08</v>
      </c>
      <c r="AB315" s="219">
        <f>X315*VLOOKUP($B315,Types!$B$2:$D$13,3,FALSE)*Conv!$I$5*1000*365</f>
        <v>1.8193818658982397</v>
      </c>
      <c r="AC315" s="219">
        <f>Y315*VLOOKUP($B315,Types!$B$2:$D$13,3,FALSE)*Conv!$I$5*1000*365</f>
        <v>1.6289814380716798</v>
      </c>
      <c r="AD315" s="219">
        <f>Z315*VLOOKUP($B315,Types!$B$2:$D$13,3,FALSE)*Conv!$I$5*1000*365</f>
        <v>1.9040042782655997</v>
      </c>
      <c r="AE315" s="219">
        <f>AA315*VLOOKUP($B315,Types!$B$2:$D$13,3,FALSE)*Conv!$I$5*1000*365</f>
        <v>2.2001827215513599</v>
      </c>
      <c r="AF315" s="219">
        <f>AB315-AB314</f>
        <v>0.72775274635929565</v>
      </c>
      <c r="AG315" s="219">
        <f t="shared" ref="AG315:AI315" si="823">AC315-AC314</f>
        <v>0.65159257522867209</v>
      </c>
      <c r="AH315" s="219">
        <f t="shared" si="823"/>
        <v>0.76160171130623966</v>
      </c>
      <c r="AI315" s="219">
        <f t="shared" si="823"/>
        <v>0.88007308862054412</v>
      </c>
      <c r="AJ315" s="219"/>
      <c r="AK315" s="219"/>
      <c r="AL315" s="219"/>
    </row>
    <row r="316" spans="1:38">
      <c r="A316" s="195" t="str">
        <f>'Agg prdcrv'!$A$19</f>
        <v>ULS Diesel (15 ppm)</v>
      </c>
      <c r="B316" s="195" t="str">
        <f>VLOOKUP($A316,Types!$A$2:$C$13,2,FALSE)</f>
        <v>DSU</v>
      </c>
      <c r="C316" s="195">
        <v>3</v>
      </c>
      <c r="D316" s="195">
        <v>5</v>
      </c>
      <c r="E316" s="195" t="str">
        <f t="shared" si="796"/>
        <v>IMPDSUP53</v>
      </c>
      <c r="F316" s="195" t="str">
        <f>CONCATENATE("Imported ",VLOOKUP($A316,Types!$A$2:$C$13,3,FALSE),", PADD ",D316,", Step ",RIGHT(C316,1))</f>
        <v>Imported Distillate-Ultralow Sulfur Highway Diesel (15 ppm), PADD 5, Step 3</v>
      </c>
      <c r="G316" s="195" t="str">
        <f>CONCATENATE(VLOOKUP($A316,Types!$A$2:$C$13,2,FALSE),"P",D316)</f>
        <v>DSUP5</v>
      </c>
      <c r="H316" s="239">
        <f>SUMIFS('Agg prdcrv NYC'!$P$6:$P$100,'Agg prdcrv NYC'!$A$6:$A$100,'Imp Refined NYC'!$A316,'Agg prdcrv NYC'!$B$6:$B$100,H$11)*K4</f>
        <v>70.444000000000017</v>
      </c>
      <c r="I316" s="239">
        <f>SUMIFS('Agg prdcrv NYC'!$P$6:$P$100,'Agg prdcrv NYC'!$A$6:$A$100,'Imp Refined NYC'!$A316,'Agg prdcrv NYC'!$B$6:$B$100,I$11)*K4</f>
        <v>54.560000000000009</v>
      </c>
      <c r="J316" s="239">
        <f t="array" ref="J316">SUMIFS('Agg prdcrv NYC'!$P$6:$P$100,'Agg prdcrv NYC'!$A$6:$A$100,'Imp Refined NYC'!$A316,'Agg prdcrv NYC'!$B$6:$B$100,J$11)</f>
        <v>42.21</v>
      </c>
      <c r="K316" s="239">
        <f t="array" ref="K316">SUMIFS('Agg prdcrv NYC'!$P$6:$P$100,'Agg prdcrv NYC'!$A$6:$A$100,'Imp Refined NYC'!$A316,'Agg prdcrv NYC'!$B$6:$B$100,K$11)</f>
        <v>44.43</v>
      </c>
      <c r="L316" s="240">
        <f>H316*Conv!$J$20/10^6/VLOOKUP($B316,Types!$B$2:$D$13,3,FALSE)/Conv!$I$5</f>
        <v>17.588790008863068</v>
      </c>
      <c r="M316" s="240">
        <f>I316*Conv!$J$20/10^6/VLOOKUP($B316,Types!$B$2:$D$13,3,FALSE)/Conv!$I$5</f>
        <v>13.622798008113806</v>
      </c>
      <c r="N316" s="240">
        <f>M316*'Imported Price Trends'!$K$19</f>
        <v>14.668304950473713</v>
      </c>
      <c r="O316" s="240">
        <f>N316*'Imported Price Trends'!$L$19</f>
        <v>14.528837659236258</v>
      </c>
      <c r="P316" s="240">
        <f>O316*'Imported Price Trends'!$M$19</f>
        <v>15.677636287919192</v>
      </c>
      <c r="Q316" s="240">
        <f>P316*'Imported Price Trends'!$N$19</f>
        <v>16.578196956614722</v>
      </c>
      <c r="R316" s="240">
        <f>Q316*'Imported Price Trends'!$O$19</f>
        <v>17.811350257146049</v>
      </c>
      <c r="S316" s="240">
        <f>R316*'Imported Price Trends'!$O$19</f>
        <v>19.136230484712378</v>
      </c>
      <c r="T316" s="240">
        <f>S316*'Imported Price Trends'!$O$19</f>
        <v>20.559660658916918</v>
      </c>
      <c r="U316" s="240">
        <f>T316*'Imported Price Trends'!$O$19</f>
        <v>22.08897132314036</v>
      </c>
      <c r="V316" s="240">
        <f>U316*'Imported Price Trends'!$O$19</f>
        <v>23.732038296210909</v>
      </c>
      <c r="W316" s="219"/>
      <c r="X316" s="195">
        <f t="array" ref="X316">SUMIFS('Agg prdcrv NYC'!$H$6:$H$100,'Agg prdcrv NYC'!$A$6:$A$100,'Imp Refined NYC'!$A316,'Agg prdcrv NYC'!$B$6:$B$100,X$11)</f>
        <v>4.3499999999999996</v>
      </c>
      <c r="Y316" s="195">
        <f t="array" ref="Y316">SUMIFS('Agg prdcrv NYC'!$H$6:$H$100,'Agg prdcrv NYC'!$A$6:$A$100,'Imp Refined NYC'!$A316,'Agg prdcrv NYC'!$B$6:$B$100,Y$11)</f>
        <v>14.48</v>
      </c>
      <c r="Z316" s="195">
        <f t="array" ref="Z316">SUMIFS('Agg prdcrv NYC'!$H$6:$H$100,'Agg prdcrv NYC'!$A$6:$A$100,'Imp Refined NYC'!$A316,'Agg prdcrv NYC'!$B$6:$B$100,Z$11)</f>
        <v>17.190000000000001</v>
      </c>
      <c r="AA316" s="195">
        <f t="array" ref="AA316">SUMIFS('Agg prdcrv NYC'!$H$6:$H$100,'Agg prdcrv NYC'!$A$6:$A$100,'Imp Refined NYC'!$A316,'Agg prdcrv NYC'!$B$6:$B$100,AA$11)</f>
        <v>20.420000000000002</v>
      </c>
      <c r="AB316" s="219">
        <f>X316*VLOOKUP($B316,Types!$B$2:$D$13,3,FALSE)*Conv!$I$5*1000*365</f>
        <v>9.7578370802999981</v>
      </c>
      <c r="AC316" s="219">
        <f>Y316*VLOOKUP($B316,Types!$B$2:$D$13,3,FALSE)*Conv!$I$5*1000*365</f>
        <v>32.481259982239997</v>
      </c>
      <c r="AD316" s="219">
        <f>Z316*VLOOKUP($B316,Types!$B$2:$D$13,3,FALSE)*Conv!$I$5*1000*365</f>
        <v>38.560280324220003</v>
      </c>
      <c r="AE316" s="219">
        <f>AA316*VLOOKUP($B316,Types!$B$2:$D$13,3,FALSE)*Conv!$I$5*1000*365</f>
        <v>45.805754753960002</v>
      </c>
      <c r="AF316" s="219">
        <f>AB316-AB318</f>
        <v>0.97578370802999892</v>
      </c>
      <c r="AG316" s="219">
        <f t="shared" ref="AG316:AI316" si="824">AC316-AC318</f>
        <v>3.2481259982240012</v>
      </c>
      <c r="AH316" s="219">
        <f t="shared" si="824"/>
        <v>3.8560280324220031</v>
      </c>
      <c r="AI316" s="219">
        <f t="shared" si="824"/>
        <v>4.580575475395996</v>
      </c>
      <c r="AJ316" s="219"/>
      <c r="AK316" s="219"/>
      <c r="AL316" s="219"/>
    </row>
    <row r="317" spans="1:38">
      <c r="A317" s="195" t="str">
        <f>A316</f>
        <v>ULS Diesel (15 ppm)</v>
      </c>
      <c r="B317" s="195" t="str">
        <f>VLOOKUP($A317,Types!$A$2:$C$13,2,FALSE)</f>
        <v>DSU</v>
      </c>
      <c r="C317" s="195">
        <v>1</v>
      </c>
      <c r="D317" s="195">
        <v>5</v>
      </c>
      <c r="E317" s="195" t="str">
        <f t="shared" si="796"/>
        <v>IMPDSUP51</v>
      </c>
      <c r="F317" s="195" t="str">
        <f>CONCATENATE("Imported ",VLOOKUP($A317,Types!$A$2:$C$13,3,FALSE),", PADD ",D317,", Step ",RIGHT(C317,1))</f>
        <v>Imported Distillate-Ultralow Sulfur Highway Diesel (15 ppm), PADD 5, Step 1</v>
      </c>
      <c r="G317" s="195" t="str">
        <f>CONCATENATE(VLOOKUP($A317,Types!$A$2:$C$13,2,FALSE),"P",D317)</f>
        <v>DSUP5</v>
      </c>
      <c r="H317" s="239">
        <f>H316*$C$5</f>
        <v>66.921800000000019</v>
      </c>
      <c r="I317" s="239">
        <f t="shared" ref="I317:K317" si="825">I316*$C$5</f>
        <v>51.832000000000008</v>
      </c>
      <c r="J317" s="239">
        <f t="shared" si="825"/>
        <v>40.099499999999999</v>
      </c>
      <c r="K317" s="239">
        <f t="shared" si="825"/>
        <v>42.208500000000001</v>
      </c>
      <c r="L317" s="240">
        <f>H317*Conv!$J$20/10^6/VLOOKUP($B317,Types!$B$2:$D$13,3,FALSE)/Conv!$I$5</f>
        <v>16.709350508419917</v>
      </c>
      <c r="M317" s="240">
        <f>I317*Conv!$J$20/10^6/VLOOKUP($B317,Types!$B$2:$D$13,3,FALSE)/Conv!$I$5</f>
        <v>12.941658107708117</v>
      </c>
      <c r="N317" s="240">
        <f>M317*'Imported Price Trends'!$K$19</f>
        <v>13.934889702950029</v>
      </c>
      <c r="O317" s="240">
        <f>N317*'Imported Price Trends'!$L$19</f>
        <v>13.802395776274448</v>
      </c>
      <c r="P317" s="240">
        <f>O317*'Imported Price Trends'!$M$19</f>
        <v>14.893754473523236</v>
      </c>
      <c r="Q317" s="240">
        <f>P317*'Imported Price Trends'!$N$19</f>
        <v>15.749287108783989</v>
      </c>
      <c r="R317" s="240">
        <f>Q317*'Imported Price Trends'!$O$19</f>
        <v>16.920782744288751</v>
      </c>
      <c r="S317" s="240">
        <f>R317*'Imported Price Trends'!$O$19</f>
        <v>18.179418960476763</v>
      </c>
      <c r="T317" s="240">
        <f>S317*'Imported Price Trends'!$O$19</f>
        <v>19.531677625971078</v>
      </c>
      <c r="U317" s="240">
        <f>T317*'Imported Price Trends'!$O$19</f>
        <v>20.984522756983345</v>
      </c>
      <c r="V317" s="240">
        <f>U317*'Imported Price Trends'!$O$19</f>
        <v>22.545436381400368</v>
      </c>
      <c r="W317" s="219"/>
      <c r="X317" s="195">
        <f>X316*$E$5</f>
        <v>3.48</v>
      </c>
      <c r="Y317" s="195">
        <f t="shared" ref="Y317:AA317" si="826">Y316*$E$5</f>
        <v>11.584000000000001</v>
      </c>
      <c r="Z317" s="195">
        <f t="shared" si="826"/>
        <v>13.752000000000002</v>
      </c>
      <c r="AA317" s="195">
        <f t="shared" si="826"/>
        <v>16.336000000000002</v>
      </c>
      <c r="AB317" s="219">
        <f>X317*VLOOKUP($B317,Types!$B$2:$D$13,3,FALSE)*Conv!$I$5*1000*365</f>
        <v>7.8062696642399994</v>
      </c>
      <c r="AC317" s="219">
        <f>Y317*VLOOKUP($B317,Types!$B$2:$D$13,3,FALSE)*Conv!$I$5*1000*365</f>
        <v>25.985007985792006</v>
      </c>
      <c r="AD317" s="219">
        <f>Z317*VLOOKUP($B317,Types!$B$2:$D$13,3,FALSE)*Conv!$I$5*1000*365</f>
        <v>30.848224259376003</v>
      </c>
      <c r="AE317" s="219">
        <f>AA317*VLOOKUP($B317,Types!$B$2:$D$13,3,FALSE)*Conv!$I$5*1000*365</f>
        <v>36.644603803168003</v>
      </c>
      <c r="AF317" s="219">
        <f>AB317</f>
        <v>7.8062696642399994</v>
      </c>
      <c r="AG317" s="219">
        <f t="shared" ref="AG317:AI317" si="827">AC317</f>
        <v>25.985007985792006</v>
      </c>
      <c r="AH317" s="219">
        <f t="shared" si="827"/>
        <v>30.848224259376003</v>
      </c>
      <c r="AI317" s="219">
        <f t="shared" si="827"/>
        <v>36.644603803168003</v>
      </c>
      <c r="AJ317" s="219"/>
      <c r="AK317" s="219"/>
      <c r="AL317" s="219"/>
    </row>
    <row r="318" spans="1:38">
      <c r="A318" s="195" t="str">
        <f t="shared" ref="A318:A320" si="828">A317</f>
        <v>ULS Diesel (15 ppm)</v>
      </c>
      <c r="B318" s="195" t="str">
        <f>VLOOKUP($A318,Types!$A$2:$C$13,2,FALSE)</f>
        <v>DSU</v>
      </c>
      <c r="C318" s="195">
        <v>2</v>
      </c>
      <c r="D318" s="195">
        <v>5</v>
      </c>
      <c r="E318" s="195" t="str">
        <f t="shared" si="796"/>
        <v>IMPDSUP52</v>
      </c>
      <c r="F318" s="195" t="str">
        <f>CONCATENATE("Imported ",VLOOKUP($A318,Types!$A$2:$C$13,3,FALSE),", PADD ",D318,", Step ",RIGHT(C318,1))</f>
        <v>Imported Distillate-Ultralow Sulfur Highway Diesel (15 ppm), PADD 5, Step 2</v>
      </c>
      <c r="G318" s="195" t="str">
        <f>CONCATENATE(VLOOKUP($A318,Types!$A$2:$C$13,2,FALSE),"P",D318)</f>
        <v>DSUP5</v>
      </c>
      <c r="H318" s="239">
        <f>H316*$C$6</f>
        <v>69.03512000000002</v>
      </c>
      <c r="I318" s="239">
        <f t="shared" ref="I318:K318" si="829">I316*$C$6</f>
        <v>53.468800000000009</v>
      </c>
      <c r="J318" s="239">
        <f t="shared" si="829"/>
        <v>41.3658</v>
      </c>
      <c r="K318" s="239">
        <f t="shared" si="829"/>
        <v>43.541399999999996</v>
      </c>
      <c r="L318" s="240">
        <f>H318*Conv!$J$20/10^6/VLOOKUP($B318,Types!$B$2:$D$13,3,FALSE)/Conv!$I$5</f>
        <v>17.237014208685807</v>
      </c>
      <c r="M318" s="240">
        <f>I318*Conv!$J$20/10^6/VLOOKUP($B318,Types!$B$2:$D$13,3,FALSE)/Conv!$I$5</f>
        <v>13.350342047951532</v>
      </c>
      <c r="N318" s="240">
        <f>M318*'Imported Price Trends'!$K$19</f>
        <v>14.374938851464242</v>
      </c>
      <c r="O318" s="240">
        <f>N318*'Imported Price Trends'!$L$19</f>
        <v>14.238260906051536</v>
      </c>
      <c r="P318" s="240">
        <f>O318*'Imported Price Trends'!$M$19</f>
        <v>15.364083562160813</v>
      </c>
      <c r="Q318" s="240">
        <f>P318*'Imported Price Trends'!$N$19</f>
        <v>16.246633017482431</v>
      </c>
      <c r="R318" s="240">
        <f>Q318*'Imported Price Trends'!$O$19</f>
        <v>17.45512325200313</v>
      </c>
      <c r="S318" s="240">
        <f>R318*'Imported Price Trends'!$O$19</f>
        <v>18.753505875018135</v>
      </c>
      <c r="T318" s="240">
        <f>S318*'Imported Price Trends'!$O$19</f>
        <v>20.148467445738586</v>
      </c>
      <c r="U318" s="240">
        <f>T318*'Imported Price Trends'!$O$19</f>
        <v>21.647191896677558</v>
      </c>
      <c r="V318" s="240">
        <f>U318*'Imported Price Trends'!$O$19</f>
        <v>23.257397530286699</v>
      </c>
      <c r="W318" s="219"/>
      <c r="X318" s="195">
        <f>X316*$E$6</f>
        <v>3.9149999999999996</v>
      </c>
      <c r="Y318" s="195">
        <f t="shared" ref="Y318:AA318" si="830">Y316*$E$6</f>
        <v>13.032</v>
      </c>
      <c r="Z318" s="195">
        <f t="shared" si="830"/>
        <v>15.471000000000002</v>
      </c>
      <c r="AA318" s="195">
        <f t="shared" si="830"/>
        <v>18.378000000000004</v>
      </c>
      <c r="AB318" s="219">
        <f>X318*VLOOKUP($B318,Types!$B$2:$D$13,3,FALSE)*Conv!$I$5*1000*365</f>
        <v>8.7820533722699992</v>
      </c>
      <c r="AC318" s="219">
        <f>Y318*VLOOKUP($B318,Types!$B$2:$D$13,3,FALSE)*Conv!$I$5*1000*365</f>
        <v>29.233133984015996</v>
      </c>
      <c r="AD318" s="219">
        <f>Z318*VLOOKUP($B318,Types!$B$2:$D$13,3,FALSE)*Conv!$I$5*1000*365</f>
        <v>34.704252291797999</v>
      </c>
      <c r="AE318" s="219">
        <f>AA318*VLOOKUP($B318,Types!$B$2:$D$13,3,FALSE)*Conv!$I$5*1000*365</f>
        <v>41.225179278564006</v>
      </c>
      <c r="AF318" s="219">
        <f>AB318-AF317</f>
        <v>0.97578370802999981</v>
      </c>
      <c r="AG318" s="219">
        <f t="shared" ref="AG318:AI318" si="831">AC318-AG317</f>
        <v>3.2481259982239905</v>
      </c>
      <c r="AH318" s="219">
        <f t="shared" si="831"/>
        <v>3.856028032421996</v>
      </c>
      <c r="AI318" s="219">
        <f t="shared" si="831"/>
        <v>4.5805754753960031</v>
      </c>
      <c r="AJ318" s="219"/>
      <c r="AK318" s="219"/>
      <c r="AL318" s="219"/>
    </row>
    <row r="319" spans="1:38">
      <c r="A319" s="195" t="str">
        <f t="shared" si="828"/>
        <v>ULS Diesel (15 ppm)</v>
      </c>
      <c r="B319" s="195" t="str">
        <f>VLOOKUP($A319,Types!$A$2:$C$13,2,FALSE)</f>
        <v>DSU</v>
      </c>
      <c r="C319" s="195">
        <v>4</v>
      </c>
      <c r="D319" s="195">
        <v>5</v>
      </c>
      <c r="E319" s="195" t="str">
        <f t="shared" si="796"/>
        <v>IMPDSUP54</v>
      </c>
      <c r="F319" s="195" t="str">
        <f>CONCATENATE("Imported ",VLOOKUP($A319,Types!$A$2:$C$13,3,FALSE),", PADD ",D319,", Step ",RIGHT(C319,1))</f>
        <v>Imported Distillate-Ultralow Sulfur Highway Diesel (15 ppm), PADD 5, Step 4</v>
      </c>
      <c r="G319" s="195" t="str">
        <f>CONCATENATE(VLOOKUP($A319,Types!$A$2:$C$13,2,FALSE),"P",D319)</f>
        <v>DSUP5</v>
      </c>
      <c r="H319" s="239">
        <f>H316*$C$8</f>
        <v>76.783960000000022</v>
      </c>
      <c r="I319" s="239">
        <f t="shared" ref="I319:K319" si="832">I316*$C$8</f>
        <v>59.470400000000012</v>
      </c>
      <c r="J319" s="239">
        <f t="shared" si="832"/>
        <v>46.008900000000004</v>
      </c>
      <c r="K319" s="239">
        <f t="shared" si="832"/>
        <v>48.428700000000006</v>
      </c>
      <c r="L319" s="240">
        <f>H319*Conv!$J$20/10^6/VLOOKUP($B319,Types!$B$2:$D$13,3,FALSE)/Conv!$I$5</f>
        <v>19.171781109660749</v>
      </c>
      <c r="M319" s="240">
        <f>I319*Conv!$J$20/10^6/VLOOKUP($B319,Types!$B$2:$D$13,3,FALSE)/Conv!$I$5</f>
        <v>14.848849828844047</v>
      </c>
      <c r="N319" s="240">
        <f>M319*'Imported Price Trends'!$K$19</f>
        <v>15.988452396016346</v>
      </c>
      <c r="O319" s="240">
        <f>N319*'Imported Price Trends'!$L$19</f>
        <v>15.836433048567521</v>
      </c>
      <c r="P319" s="240">
        <f>O319*'Imported Price Trends'!$M$19</f>
        <v>17.088623553831919</v>
      </c>
      <c r="Q319" s="240">
        <f>P319*'Imported Price Trends'!$N$19</f>
        <v>18.070234682710048</v>
      </c>
      <c r="R319" s="240">
        <f>Q319*'Imported Price Trends'!$O$19</f>
        <v>19.414371780289194</v>
      </c>
      <c r="S319" s="240">
        <f>R319*'Imported Price Trends'!$O$19</f>
        <v>20.858491228336494</v>
      </c>
      <c r="T319" s="240">
        <f>S319*'Imported Price Trends'!$O$19</f>
        <v>22.410030118219442</v>
      </c>
      <c r="U319" s="240">
        <f>T319*'Imported Price Trends'!$O$19</f>
        <v>24.076978742222991</v>
      </c>
      <c r="V319" s="240">
        <f>U319*'Imported Price Trends'!$O$19</f>
        <v>25.867921742869893</v>
      </c>
      <c r="W319" s="219"/>
      <c r="X319" s="195">
        <f>X316*$E$8</f>
        <v>5.22</v>
      </c>
      <c r="Y319" s="195">
        <f t="shared" ref="Y319:AA319" si="833">Y316*$E$8</f>
        <v>17.376000000000001</v>
      </c>
      <c r="Z319" s="195">
        <f t="shared" si="833"/>
        <v>20.628</v>
      </c>
      <c r="AA319" s="195">
        <f t="shared" si="833"/>
        <v>24.504000000000001</v>
      </c>
      <c r="AB319" s="219">
        <f>X319*VLOOKUP($B319,Types!$B$2:$D$13,3,FALSE)*Conv!$I$5*1000*365</f>
        <v>11.709404496359999</v>
      </c>
      <c r="AC319" s="219">
        <f>Y319*VLOOKUP($B319,Types!$B$2:$D$13,3,FALSE)*Conv!$I$5*1000*365</f>
        <v>38.977511978688</v>
      </c>
      <c r="AD319" s="219">
        <f>Z319*VLOOKUP($B319,Types!$B$2:$D$13,3,FALSE)*Conv!$I$5*1000*365</f>
        <v>46.272336389063994</v>
      </c>
      <c r="AE319" s="219">
        <f>AA319*VLOOKUP($B319,Types!$B$2:$D$13,3,FALSE)*Conv!$I$5*1000*365</f>
        <v>54.966905704751994</v>
      </c>
      <c r="AF319" s="219">
        <f>AB319-AB316</f>
        <v>1.9515674160600014</v>
      </c>
      <c r="AG319" s="219">
        <f t="shared" ref="AG319:AI319" si="834">AC319-AC316</f>
        <v>6.4962519964480023</v>
      </c>
      <c r="AH319" s="219">
        <f t="shared" si="834"/>
        <v>7.712056064843992</v>
      </c>
      <c r="AI319" s="219">
        <f t="shared" si="834"/>
        <v>9.1611509507919919</v>
      </c>
      <c r="AJ319" s="219"/>
      <c r="AK319" s="219"/>
      <c r="AL319" s="219"/>
    </row>
    <row r="320" spans="1:38">
      <c r="A320" s="195" t="str">
        <f t="shared" si="828"/>
        <v>ULS Diesel (15 ppm)</v>
      </c>
      <c r="B320" s="195" t="str">
        <f>VLOOKUP($A320,Types!$A$2:$C$13,2,FALSE)</f>
        <v>DSU</v>
      </c>
      <c r="C320" s="195">
        <v>5</v>
      </c>
      <c r="D320" s="195">
        <v>5</v>
      </c>
      <c r="E320" s="195" t="str">
        <f t="shared" si="796"/>
        <v>IMPDSUP55</v>
      </c>
      <c r="F320" s="195" t="str">
        <f>CONCATENATE("Imported ",VLOOKUP($A320,Types!$A$2:$C$13,3,FALSE),", PADD ",D320,", Step ",RIGHT(C320,1))</f>
        <v>Imported Distillate-Ultralow Sulfur Highway Diesel (15 ppm), PADD 5, Step 5</v>
      </c>
      <c r="G320" s="195" t="str">
        <f>CONCATENATE(VLOOKUP($A320,Types!$A$2:$C$13,2,FALSE),"P",D320)</f>
        <v>DSUP5</v>
      </c>
      <c r="H320" s="239">
        <f>H316*$C$9</f>
        <v>91.577200000000019</v>
      </c>
      <c r="I320" s="239">
        <f t="shared" ref="I320:K320" si="835">I316*$C$9</f>
        <v>70.928000000000011</v>
      </c>
      <c r="J320" s="239">
        <f t="shared" si="835"/>
        <v>54.873000000000005</v>
      </c>
      <c r="K320" s="239">
        <f t="shared" si="835"/>
        <v>57.759</v>
      </c>
      <c r="L320" s="240">
        <f>H320*Conv!$J$20/10^6/VLOOKUP($B320,Types!$B$2:$D$13,3,FALSE)/Conv!$I$5</f>
        <v>22.865427011521987</v>
      </c>
      <c r="M320" s="240">
        <f>I320*Conv!$J$20/10^6/VLOOKUP($B320,Types!$B$2:$D$13,3,FALSE)/Conv!$I$5</f>
        <v>17.709637410547948</v>
      </c>
      <c r="N320" s="240">
        <f>M320*'Imported Price Trends'!$K$19</f>
        <v>19.068796435615827</v>
      </c>
      <c r="O320" s="240">
        <f>N320*'Imported Price Trends'!$L$19</f>
        <v>18.887488957007136</v>
      </c>
      <c r="P320" s="240">
        <f>O320*'Imported Price Trends'!$M$19</f>
        <v>20.38092717429495</v>
      </c>
      <c r="Q320" s="240">
        <f>P320*'Imported Price Trends'!$N$19</f>
        <v>21.551656043599138</v>
      </c>
      <c r="R320" s="240">
        <f>Q320*'Imported Price Trends'!$O$19</f>
        <v>23.154755334289863</v>
      </c>
      <c r="S320" s="240">
        <f>R320*'Imported Price Trends'!$O$19</f>
        <v>24.877099630126093</v>
      </c>
      <c r="T320" s="240">
        <f>S320*'Imported Price Trends'!$O$19</f>
        <v>26.727558856591994</v>
      </c>
      <c r="U320" s="240">
        <f>T320*'Imported Price Trends'!$O$19</f>
        <v>28.715662720082467</v>
      </c>
      <c r="V320" s="240">
        <f>U320*'Imported Price Trends'!$O$19</f>
        <v>30.851649785074184</v>
      </c>
      <c r="W320" s="219"/>
      <c r="X320" s="195">
        <f>X316*$E$9</f>
        <v>8.6999999999999993</v>
      </c>
      <c r="Y320" s="195">
        <f t="shared" ref="Y320:AA320" si="836">Y316*$E$9</f>
        <v>28.96</v>
      </c>
      <c r="Z320" s="195">
        <f t="shared" si="836"/>
        <v>34.380000000000003</v>
      </c>
      <c r="AA320" s="195">
        <f t="shared" si="836"/>
        <v>40.840000000000003</v>
      </c>
      <c r="AB320" s="219">
        <f>X320*VLOOKUP($B320,Types!$B$2:$D$13,3,FALSE)*Conv!$I$5*1000*365</f>
        <v>19.515674160599996</v>
      </c>
      <c r="AC320" s="219">
        <f>Y320*VLOOKUP($B320,Types!$B$2:$D$13,3,FALSE)*Conv!$I$5*1000*365</f>
        <v>64.962519964479995</v>
      </c>
      <c r="AD320" s="219">
        <f>Z320*VLOOKUP($B320,Types!$B$2:$D$13,3,FALSE)*Conv!$I$5*1000*365</f>
        <v>77.120560648440005</v>
      </c>
      <c r="AE320" s="219">
        <f>AA320*VLOOKUP($B320,Types!$B$2:$D$13,3,FALSE)*Conv!$I$5*1000*365</f>
        <v>91.611509507920005</v>
      </c>
      <c r="AF320" s="219">
        <f>AB320-AB319</f>
        <v>7.8062696642399967</v>
      </c>
      <c r="AG320" s="219">
        <f t="shared" ref="AG320:AI320" si="837">AC320-AC319</f>
        <v>25.985007985791995</v>
      </c>
      <c r="AH320" s="219">
        <f t="shared" si="837"/>
        <v>30.848224259376011</v>
      </c>
      <c r="AI320" s="219">
        <f t="shared" si="837"/>
        <v>36.64460380316801</v>
      </c>
      <c r="AJ320" s="219"/>
      <c r="AK320" s="219"/>
      <c r="AL320" s="219"/>
    </row>
    <row r="321" spans="1:38">
      <c r="A321" s="195" t="s">
        <v>588</v>
      </c>
      <c r="L321" s="219"/>
      <c r="M321" s="219"/>
      <c r="N321" s="219"/>
      <c r="O321" s="219"/>
      <c r="P321" s="219"/>
      <c r="Q321" s="219"/>
      <c r="R321" s="219"/>
      <c r="S321" s="219"/>
      <c r="T321" s="219"/>
      <c r="U321" s="219"/>
      <c r="V321" s="219"/>
      <c r="W321" s="219"/>
      <c r="AB321" s="219"/>
      <c r="AC321" s="219"/>
      <c r="AD321" s="219"/>
      <c r="AE321" s="219"/>
      <c r="AF321" s="219"/>
      <c r="AG321" s="219"/>
      <c r="AH321" s="219"/>
      <c r="AI321" s="219"/>
      <c r="AJ321" s="219"/>
      <c r="AK321" s="219"/>
      <c r="AL321" s="219"/>
    </row>
    <row r="322" spans="1:38">
      <c r="L322" s="219"/>
      <c r="M322" s="219"/>
      <c r="N322" s="219"/>
      <c r="O322" s="219"/>
      <c r="P322" s="219"/>
      <c r="Q322" s="219"/>
      <c r="R322" s="219"/>
      <c r="S322" s="219"/>
      <c r="T322" s="219"/>
      <c r="U322" s="219"/>
      <c r="V322" s="219"/>
      <c r="W322" s="219"/>
      <c r="AB322" s="219"/>
      <c r="AC322" s="219"/>
      <c r="AD322" s="219"/>
      <c r="AE322" s="219"/>
      <c r="AF322" s="219"/>
      <c r="AG322" s="219"/>
      <c r="AH322" s="219"/>
      <c r="AI322" s="219"/>
      <c r="AJ322" s="219"/>
      <c r="AK322" s="219"/>
      <c r="AL322" s="219"/>
    </row>
    <row r="323" spans="1:38">
      <c r="L323" s="219"/>
      <c r="M323" s="219"/>
      <c r="N323" s="219"/>
      <c r="O323" s="219"/>
      <c r="P323" s="219"/>
      <c r="Q323" s="219"/>
      <c r="R323" s="219"/>
      <c r="S323" s="219"/>
      <c r="T323" s="219"/>
      <c r="U323" s="219"/>
      <c r="V323" s="219"/>
      <c r="W323" s="219"/>
      <c r="AB323" s="219"/>
      <c r="AC323" s="219"/>
      <c r="AD323" s="219"/>
      <c r="AE323" s="219"/>
      <c r="AF323" s="219"/>
      <c r="AG323" s="219"/>
      <c r="AH323" s="219"/>
      <c r="AI323" s="219"/>
      <c r="AJ323" s="219"/>
      <c r="AK323" s="219"/>
      <c r="AL323" s="219"/>
    </row>
    <row r="324" spans="1:38">
      <c r="L324" s="219"/>
      <c r="M324" s="219"/>
      <c r="N324" s="219"/>
      <c r="O324" s="219"/>
      <c r="P324" s="219"/>
      <c r="Q324" s="219"/>
      <c r="R324" s="219"/>
      <c r="S324" s="219"/>
      <c r="T324" s="219"/>
      <c r="U324" s="219"/>
      <c r="V324" s="219"/>
      <c r="W324" s="219"/>
      <c r="AB324" s="219"/>
      <c r="AC324" s="219"/>
      <c r="AD324" s="219"/>
      <c r="AE324" s="219"/>
      <c r="AF324" s="219"/>
      <c r="AG324" s="219"/>
      <c r="AH324" s="219"/>
      <c r="AI324" s="219"/>
      <c r="AJ324" s="219"/>
      <c r="AK324" s="219"/>
      <c r="AL324" s="219"/>
    </row>
    <row r="325" spans="1:38">
      <c r="L325" s="219"/>
      <c r="M325" s="219"/>
      <c r="N325" s="219"/>
      <c r="O325" s="219"/>
      <c r="P325" s="219"/>
      <c r="Q325" s="219"/>
      <c r="R325" s="219"/>
      <c r="S325" s="219"/>
      <c r="T325" s="219"/>
      <c r="U325" s="219"/>
      <c r="V325" s="219"/>
      <c r="W325" s="219"/>
      <c r="AB325" s="219"/>
      <c r="AC325" s="219"/>
      <c r="AD325" s="219"/>
      <c r="AE325" s="219"/>
      <c r="AF325" s="219"/>
      <c r="AG325" s="219"/>
      <c r="AH325" s="219"/>
      <c r="AI325" s="219"/>
      <c r="AJ325" s="219"/>
      <c r="AK325" s="219"/>
      <c r="AL325" s="219"/>
    </row>
    <row r="326" spans="1:38">
      <c r="L326" s="219"/>
      <c r="M326" s="219"/>
      <c r="N326" s="219"/>
      <c r="O326" s="219"/>
      <c r="P326" s="219"/>
      <c r="Q326" s="219"/>
      <c r="R326" s="219"/>
      <c r="S326" s="219"/>
      <c r="T326" s="219"/>
      <c r="U326" s="219"/>
      <c r="V326" s="219"/>
      <c r="W326" s="219"/>
      <c r="AB326" s="219"/>
      <c r="AC326" s="219"/>
      <c r="AD326" s="219"/>
      <c r="AE326" s="219"/>
      <c r="AF326" s="219"/>
      <c r="AG326" s="219"/>
      <c r="AH326" s="219"/>
      <c r="AI326" s="219"/>
      <c r="AJ326" s="219"/>
      <c r="AK326" s="219"/>
      <c r="AL326" s="219"/>
    </row>
    <row r="327" spans="1:38">
      <c r="L327" s="219"/>
      <c r="M327" s="219"/>
      <c r="N327" s="219"/>
      <c r="O327" s="219"/>
      <c r="P327" s="219"/>
      <c r="Q327" s="219"/>
      <c r="R327" s="219"/>
      <c r="S327" s="219"/>
      <c r="T327" s="219"/>
      <c r="U327" s="219"/>
      <c r="V327" s="219"/>
      <c r="W327" s="219"/>
      <c r="AB327" s="219"/>
      <c r="AC327" s="219"/>
      <c r="AD327" s="219"/>
      <c r="AE327" s="219"/>
      <c r="AF327" s="219"/>
      <c r="AG327" s="219"/>
      <c r="AH327" s="219"/>
      <c r="AI327" s="219"/>
      <c r="AJ327" s="219"/>
      <c r="AK327" s="219"/>
      <c r="AL327" s="219"/>
    </row>
    <row r="328" spans="1:38">
      <c r="L328" s="219"/>
      <c r="M328" s="219"/>
      <c r="N328" s="219"/>
      <c r="O328" s="219"/>
      <c r="P328" s="219"/>
      <c r="Q328" s="219"/>
      <c r="R328" s="219"/>
      <c r="S328" s="219"/>
      <c r="T328" s="219"/>
      <c r="U328" s="219"/>
      <c r="V328" s="219"/>
      <c r="W328" s="219"/>
      <c r="AB328" s="219"/>
      <c r="AC328" s="219"/>
      <c r="AD328" s="219"/>
      <c r="AE328" s="219"/>
      <c r="AF328" s="219"/>
      <c r="AG328" s="219"/>
      <c r="AH328" s="219"/>
      <c r="AI328" s="219"/>
      <c r="AJ328" s="219"/>
      <c r="AK328" s="219"/>
      <c r="AL328" s="219"/>
    </row>
    <row r="329" spans="1:38">
      <c r="L329" s="219"/>
      <c r="M329" s="219"/>
      <c r="N329" s="219"/>
      <c r="O329" s="219"/>
      <c r="P329" s="219"/>
      <c r="Q329" s="219"/>
      <c r="R329" s="219"/>
      <c r="S329" s="219"/>
      <c r="T329" s="219"/>
      <c r="U329" s="219"/>
      <c r="V329" s="219"/>
      <c r="W329" s="219"/>
      <c r="AB329" s="219"/>
      <c r="AC329" s="219"/>
      <c r="AD329" s="219"/>
      <c r="AE329" s="219"/>
      <c r="AF329" s="219"/>
      <c r="AG329" s="219"/>
      <c r="AH329" s="219"/>
      <c r="AI329" s="219"/>
      <c r="AJ329" s="219"/>
      <c r="AK329" s="219"/>
      <c r="AL329" s="219"/>
    </row>
    <row r="330" spans="1:38">
      <c r="L330" s="219"/>
      <c r="M330" s="219"/>
      <c r="N330" s="219"/>
      <c r="O330" s="219"/>
      <c r="P330" s="219"/>
      <c r="Q330" s="219"/>
      <c r="R330" s="219"/>
      <c r="S330" s="219"/>
      <c r="T330" s="219"/>
      <c r="U330" s="219"/>
      <c r="V330" s="219"/>
      <c r="W330" s="219"/>
      <c r="AB330" s="219"/>
      <c r="AC330" s="219"/>
      <c r="AD330" s="219"/>
      <c r="AE330" s="219"/>
      <c r="AF330" s="219"/>
      <c r="AG330" s="219"/>
      <c r="AH330" s="219"/>
      <c r="AI330" s="219"/>
      <c r="AJ330" s="219"/>
      <c r="AK330" s="219"/>
      <c r="AL330" s="219"/>
    </row>
    <row r="331" spans="1:38">
      <c r="L331" s="219"/>
      <c r="M331" s="219"/>
      <c r="N331" s="219"/>
      <c r="O331" s="219"/>
      <c r="P331" s="219"/>
      <c r="Q331" s="219"/>
      <c r="R331" s="219"/>
      <c r="S331" s="219"/>
      <c r="T331" s="219"/>
      <c r="U331" s="219"/>
      <c r="V331" s="219"/>
      <c r="W331" s="219"/>
      <c r="AB331" s="219"/>
      <c r="AC331" s="219"/>
      <c r="AD331" s="219"/>
      <c r="AE331" s="219"/>
      <c r="AF331" s="219"/>
      <c r="AG331" s="219"/>
      <c r="AH331" s="219"/>
      <c r="AI331" s="219"/>
      <c r="AJ331" s="219"/>
      <c r="AK331" s="219"/>
      <c r="AL331" s="219"/>
    </row>
    <row r="332" spans="1:38">
      <c r="L332" s="219"/>
      <c r="M332" s="219"/>
      <c r="N332" s="219"/>
      <c r="O332" s="219"/>
      <c r="P332" s="219"/>
      <c r="Q332" s="219"/>
      <c r="R332" s="219"/>
      <c r="S332" s="219"/>
      <c r="T332" s="219"/>
      <c r="U332" s="219"/>
      <c r="V332" s="219"/>
      <c r="W332" s="219"/>
      <c r="AB332" s="219"/>
      <c r="AC332" s="219"/>
      <c r="AD332" s="219"/>
      <c r="AE332" s="219"/>
      <c r="AF332" s="219"/>
      <c r="AG332" s="219"/>
      <c r="AH332" s="219"/>
      <c r="AI332" s="219"/>
      <c r="AJ332" s="219"/>
      <c r="AK332" s="219"/>
      <c r="AL332" s="219"/>
    </row>
    <row r="333" spans="1:38">
      <c r="L333" s="219"/>
      <c r="M333" s="219"/>
      <c r="N333" s="219"/>
      <c r="O333" s="219"/>
      <c r="P333" s="219"/>
      <c r="Q333" s="219"/>
      <c r="R333" s="219"/>
      <c r="S333" s="219"/>
      <c r="T333" s="219"/>
      <c r="U333" s="219"/>
      <c r="V333" s="219"/>
      <c r="W333" s="219"/>
      <c r="AB333" s="219"/>
      <c r="AC333" s="219"/>
      <c r="AD333" s="219"/>
      <c r="AE333" s="219"/>
      <c r="AF333" s="219"/>
      <c r="AG333" s="219"/>
      <c r="AH333" s="219"/>
      <c r="AI333" s="219"/>
      <c r="AJ333" s="219"/>
      <c r="AK333" s="219"/>
      <c r="AL333" s="219"/>
    </row>
    <row r="334" spans="1:38">
      <c r="L334" s="219"/>
      <c r="M334" s="219"/>
      <c r="N334" s="219"/>
      <c r="O334" s="219"/>
      <c r="P334" s="219"/>
      <c r="Q334" s="219"/>
      <c r="R334" s="219"/>
      <c r="S334" s="219"/>
      <c r="T334" s="219"/>
      <c r="U334" s="219"/>
      <c r="V334" s="219"/>
      <c r="W334" s="219"/>
      <c r="AB334" s="219"/>
      <c r="AC334" s="219"/>
      <c r="AD334" s="219"/>
      <c r="AE334" s="219"/>
      <c r="AF334" s="219"/>
      <c r="AG334" s="219"/>
      <c r="AH334" s="219"/>
      <c r="AI334" s="219"/>
      <c r="AJ334" s="219"/>
      <c r="AK334" s="219"/>
      <c r="AL334" s="219"/>
    </row>
    <row r="335" spans="1:38">
      <c r="L335" s="219"/>
      <c r="M335" s="219"/>
      <c r="N335" s="219"/>
      <c r="O335" s="219"/>
      <c r="P335" s="219"/>
      <c r="Q335" s="219"/>
      <c r="R335" s="219"/>
      <c r="S335" s="219"/>
      <c r="T335" s="219"/>
      <c r="U335" s="219"/>
      <c r="V335" s="219"/>
      <c r="W335" s="219"/>
      <c r="AB335" s="219"/>
      <c r="AC335" s="219"/>
      <c r="AD335" s="219"/>
      <c r="AE335" s="219"/>
      <c r="AF335" s="219"/>
      <c r="AG335" s="219"/>
      <c r="AH335" s="219"/>
      <c r="AI335" s="219"/>
      <c r="AJ335" s="219"/>
      <c r="AK335" s="219"/>
      <c r="AL335" s="219"/>
    </row>
    <row r="336" spans="1:38">
      <c r="L336" s="219"/>
      <c r="M336" s="219"/>
      <c r="N336" s="219"/>
      <c r="O336" s="219"/>
      <c r="P336" s="219"/>
      <c r="Q336" s="219"/>
      <c r="R336" s="219"/>
      <c r="S336" s="219"/>
      <c r="T336" s="219"/>
      <c r="U336" s="219"/>
      <c r="V336" s="219"/>
      <c r="W336" s="219"/>
      <c r="AB336" s="219"/>
      <c r="AC336" s="219"/>
      <c r="AD336" s="219"/>
      <c r="AE336" s="219"/>
      <c r="AF336" s="219"/>
      <c r="AG336" s="219"/>
      <c r="AH336" s="219"/>
      <c r="AI336" s="219"/>
      <c r="AJ336" s="219"/>
      <c r="AK336" s="219"/>
      <c r="AL336" s="219"/>
    </row>
    <row r="337" spans="12:38">
      <c r="L337" s="219"/>
      <c r="M337" s="219"/>
      <c r="N337" s="219"/>
      <c r="O337" s="219"/>
      <c r="P337" s="219"/>
      <c r="Q337" s="219"/>
      <c r="R337" s="219"/>
      <c r="S337" s="219"/>
      <c r="T337" s="219"/>
      <c r="U337" s="219"/>
      <c r="V337" s="219"/>
      <c r="W337" s="219"/>
      <c r="AB337" s="219"/>
      <c r="AC337" s="219"/>
      <c r="AD337" s="219"/>
      <c r="AE337" s="219"/>
      <c r="AF337" s="219"/>
      <c r="AG337" s="219"/>
      <c r="AH337" s="219"/>
      <c r="AI337" s="219"/>
      <c r="AJ337" s="219"/>
      <c r="AK337" s="219"/>
      <c r="AL337" s="219"/>
    </row>
    <row r="338" spans="12:38">
      <c r="L338" s="219"/>
      <c r="M338" s="219"/>
      <c r="N338" s="219"/>
      <c r="O338" s="219"/>
      <c r="P338" s="219"/>
      <c r="Q338" s="219"/>
      <c r="R338" s="219"/>
      <c r="S338" s="219"/>
      <c r="T338" s="219"/>
      <c r="U338" s="219"/>
      <c r="V338" s="219"/>
      <c r="W338" s="219"/>
      <c r="AB338" s="219"/>
      <c r="AC338" s="219"/>
      <c r="AD338" s="219"/>
      <c r="AE338" s="219"/>
      <c r="AF338" s="219"/>
      <c r="AG338" s="219"/>
      <c r="AH338" s="219"/>
      <c r="AI338" s="219"/>
      <c r="AJ338" s="219"/>
      <c r="AK338" s="219"/>
      <c r="AL338" s="219"/>
    </row>
    <row r="339" spans="12:38">
      <c r="L339" s="219"/>
      <c r="M339" s="219"/>
      <c r="N339" s="219"/>
      <c r="O339" s="219"/>
      <c r="P339" s="219"/>
      <c r="Q339" s="219"/>
      <c r="R339" s="219"/>
      <c r="S339" s="219"/>
      <c r="T339" s="219"/>
      <c r="U339" s="219"/>
      <c r="V339" s="219"/>
      <c r="W339" s="219"/>
      <c r="AB339" s="219"/>
      <c r="AC339" s="219"/>
      <c r="AD339" s="219"/>
      <c r="AE339" s="219"/>
      <c r="AF339" s="219"/>
      <c r="AG339" s="219"/>
      <c r="AH339" s="219"/>
      <c r="AI339" s="219"/>
      <c r="AJ339" s="219"/>
      <c r="AK339" s="219"/>
      <c r="AL339" s="219"/>
    </row>
    <row r="340" spans="12:38">
      <c r="L340" s="219"/>
      <c r="M340" s="219"/>
      <c r="N340" s="219"/>
      <c r="O340" s="219"/>
      <c r="P340" s="219"/>
      <c r="Q340" s="219"/>
      <c r="R340" s="219"/>
      <c r="S340" s="219"/>
      <c r="T340" s="219"/>
      <c r="U340" s="219"/>
      <c r="V340" s="219"/>
      <c r="W340" s="219"/>
      <c r="AB340" s="219"/>
      <c r="AC340" s="219"/>
      <c r="AD340" s="219"/>
      <c r="AE340" s="219"/>
      <c r="AF340" s="219"/>
      <c r="AG340" s="219"/>
      <c r="AH340" s="219"/>
      <c r="AI340" s="219"/>
      <c r="AJ340" s="219"/>
      <c r="AK340" s="219"/>
      <c r="AL340" s="219"/>
    </row>
    <row r="341" spans="12:38">
      <c r="L341" s="219"/>
      <c r="M341" s="219"/>
      <c r="N341" s="219"/>
      <c r="O341" s="219"/>
      <c r="P341" s="219"/>
      <c r="Q341" s="219"/>
      <c r="R341" s="219"/>
      <c r="S341" s="219"/>
      <c r="T341" s="219"/>
      <c r="U341" s="219"/>
      <c r="V341" s="219"/>
      <c r="W341" s="219"/>
      <c r="AB341" s="219"/>
      <c r="AC341" s="219"/>
      <c r="AD341" s="219"/>
      <c r="AE341" s="219"/>
      <c r="AF341" s="219"/>
      <c r="AG341" s="219"/>
      <c r="AH341" s="219"/>
      <c r="AI341" s="219"/>
      <c r="AJ341" s="219"/>
      <c r="AK341" s="219"/>
      <c r="AL341" s="219"/>
    </row>
    <row r="342" spans="12:38">
      <c r="L342" s="219"/>
      <c r="M342" s="219"/>
      <c r="N342" s="219"/>
      <c r="O342" s="219"/>
      <c r="P342" s="219"/>
      <c r="Q342" s="219"/>
      <c r="R342" s="219"/>
      <c r="S342" s="219"/>
      <c r="T342" s="219"/>
      <c r="U342" s="219"/>
      <c r="V342" s="219"/>
      <c r="W342" s="219"/>
      <c r="AB342" s="219"/>
      <c r="AC342" s="219"/>
      <c r="AD342" s="219"/>
      <c r="AE342" s="219"/>
      <c r="AF342" s="219"/>
      <c r="AG342" s="219"/>
      <c r="AH342" s="219"/>
      <c r="AI342" s="219"/>
      <c r="AJ342" s="219"/>
      <c r="AK342" s="219"/>
      <c r="AL342" s="219"/>
    </row>
    <row r="343" spans="12:38">
      <c r="L343" s="219"/>
      <c r="M343" s="219"/>
      <c r="N343" s="219"/>
      <c r="O343" s="219"/>
      <c r="P343" s="219"/>
      <c r="Q343" s="219"/>
      <c r="R343" s="219"/>
      <c r="S343" s="219"/>
      <c r="T343" s="219"/>
      <c r="U343" s="219"/>
      <c r="V343" s="219"/>
      <c r="W343" s="219"/>
      <c r="AB343" s="219"/>
      <c r="AC343" s="219"/>
      <c r="AD343" s="219"/>
      <c r="AE343" s="219"/>
      <c r="AF343" s="219"/>
      <c r="AG343" s="219"/>
      <c r="AH343" s="219"/>
      <c r="AI343" s="219"/>
      <c r="AJ343" s="219"/>
      <c r="AK343" s="219"/>
      <c r="AL343" s="219"/>
    </row>
    <row r="344" spans="12:38">
      <c r="L344" s="219"/>
      <c r="M344" s="219"/>
      <c r="N344" s="219"/>
      <c r="O344" s="219"/>
      <c r="P344" s="219"/>
      <c r="Q344" s="219"/>
      <c r="R344" s="219"/>
      <c r="S344" s="219"/>
      <c r="T344" s="219"/>
      <c r="U344" s="219"/>
      <c r="V344" s="219"/>
      <c r="W344" s="219"/>
      <c r="AB344" s="219"/>
      <c r="AC344" s="219"/>
      <c r="AD344" s="219"/>
      <c r="AE344" s="219"/>
      <c r="AF344" s="219"/>
      <c r="AG344" s="219"/>
      <c r="AH344" s="219"/>
      <c r="AI344" s="219"/>
      <c r="AJ344" s="219"/>
      <c r="AK344" s="219"/>
      <c r="AL344" s="219"/>
    </row>
    <row r="345" spans="12:38">
      <c r="L345" s="219"/>
      <c r="M345" s="219"/>
      <c r="N345" s="219"/>
      <c r="O345" s="219"/>
      <c r="P345" s="219"/>
      <c r="Q345" s="219"/>
      <c r="R345" s="219"/>
      <c r="S345" s="219"/>
      <c r="T345" s="219"/>
      <c r="U345" s="219"/>
      <c r="V345" s="219"/>
      <c r="W345" s="219"/>
      <c r="AB345" s="219"/>
      <c r="AC345" s="219"/>
      <c r="AD345" s="219"/>
      <c r="AE345" s="219"/>
      <c r="AF345" s="219"/>
      <c r="AG345" s="219"/>
      <c r="AH345" s="219"/>
      <c r="AI345" s="219"/>
      <c r="AJ345" s="219"/>
      <c r="AK345" s="219"/>
      <c r="AL345" s="219"/>
    </row>
    <row r="346" spans="12:38">
      <c r="L346" s="219"/>
      <c r="M346" s="219"/>
      <c r="N346" s="219"/>
      <c r="O346" s="219"/>
      <c r="P346" s="219"/>
      <c r="Q346" s="219"/>
      <c r="R346" s="219"/>
      <c r="S346" s="219"/>
      <c r="T346" s="219"/>
      <c r="U346" s="219"/>
      <c r="V346" s="219"/>
      <c r="W346" s="219"/>
      <c r="AB346" s="219"/>
      <c r="AC346" s="219"/>
      <c r="AD346" s="219"/>
      <c r="AE346" s="219"/>
      <c r="AF346" s="219"/>
      <c r="AG346" s="219"/>
      <c r="AH346" s="219"/>
      <c r="AI346" s="219"/>
      <c r="AJ346" s="219"/>
      <c r="AK346" s="219"/>
      <c r="AL346" s="219"/>
    </row>
    <row r="347" spans="12:38">
      <c r="L347" s="219"/>
      <c r="M347" s="219"/>
      <c r="N347" s="219"/>
      <c r="O347" s="219"/>
      <c r="P347" s="219"/>
      <c r="Q347" s="219"/>
      <c r="R347" s="219"/>
      <c r="S347" s="219"/>
      <c r="T347" s="219"/>
      <c r="U347" s="219"/>
      <c r="V347" s="219"/>
      <c r="W347" s="219"/>
      <c r="AB347" s="219"/>
      <c r="AC347" s="219"/>
      <c r="AD347" s="219"/>
      <c r="AE347" s="219"/>
      <c r="AF347" s="219"/>
      <c r="AG347" s="219"/>
      <c r="AH347" s="219"/>
      <c r="AI347" s="219"/>
      <c r="AJ347" s="219"/>
      <c r="AK347" s="219"/>
      <c r="AL347" s="219"/>
    </row>
    <row r="348" spans="12:38">
      <c r="L348" s="219"/>
      <c r="M348" s="219"/>
      <c r="N348" s="219"/>
      <c r="O348" s="219"/>
      <c r="P348" s="219"/>
      <c r="Q348" s="219"/>
      <c r="R348" s="219"/>
      <c r="S348" s="219"/>
      <c r="T348" s="219"/>
      <c r="U348" s="219"/>
      <c r="V348" s="219"/>
      <c r="W348" s="219"/>
      <c r="AB348" s="219"/>
      <c r="AC348" s="219"/>
      <c r="AD348" s="219"/>
      <c r="AE348" s="219"/>
      <c r="AF348" s="219"/>
      <c r="AG348" s="219"/>
      <c r="AH348" s="219"/>
      <c r="AI348" s="219"/>
      <c r="AJ348" s="219"/>
      <c r="AK348" s="219"/>
      <c r="AL348" s="219"/>
    </row>
    <row r="349" spans="12:38">
      <c r="L349" s="219"/>
      <c r="M349" s="219"/>
      <c r="N349" s="219"/>
      <c r="O349" s="219"/>
      <c r="P349" s="219"/>
      <c r="Q349" s="219"/>
      <c r="R349" s="219"/>
      <c r="S349" s="219"/>
      <c r="T349" s="219"/>
      <c r="U349" s="219"/>
      <c r="V349" s="219"/>
      <c r="W349" s="219"/>
      <c r="AB349" s="219"/>
      <c r="AC349" s="219"/>
      <c r="AD349" s="219"/>
      <c r="AE349" s="219"/>
      <c r="AF349" s="219"/>
      <c r="AG349" s="219"/>
      <c r="AH349" s="219"/>
      <c r="AI349" s="219"/>
      <c r="AJ349" s="219"/>
      <c r="AK349" s="219"/>
      <c r="AL349" s="219"/>
    </row>
    <row r="350" spans="12:38">
      <c r="L350" s="219"/>
      <c r="M350" s="219"/>
      <c r="N350" s="219"/>
      <c r="O350" s="219"/>
      <c r="P350" s="219"/>
      <c r="Q350" s="219"/>
      <c r="R350" s="219"/>
      <c r="S350" s="219"/>
      <c r="T350" s="219"/>
      <c r="U350" s="219"/>
      <c r="V350" s="219"/>
      <c r="W350" s="219"/>
      <c r="AB350" s="219"/>
      <c r="AC350" s="219"/>
      <c r="AD350" s="219"/>
      <c r="AE350" s="219"/>
      <c r="AF350" s="219"/>
      <c r="AG350" s="219"/>
      <c r="AH350" s="219"/>
      <c r="AI350" s="219"/>
      <c r="AJ350" s="219"/>
      <c r="AK350" s="219"/>
      <c r="AL350" s="219"/>
    </row>
    <row r="351" spans="12:38">
      <c r="L351" s="219"/>
      <c r="M351" s="219"/>
      <c r="N351" s="219"/>
      <c r="O351" s="219"/>
      <c r="P351" s="219"/>
      <c r="Q351" s="219"/>
      <c r="R351" s="219"/>
      <c r="S351" s="219"/>
      <c r="T351" s="219"/>
      <c r="U351" s="219"/>
      <c r="V351" s="219"/>
      <c r="W351" s="219"/>
      <c r="AB351" s="219"/>
      <c r="AC351" s="219"/>
      <c r="AD351" s="219"/>
      <c r="AE351" s="219"/>
      <c r="AF351" s="219"/>
      <c r="AG351" s="219"/>
      <c r="AH351" s="219"/>
      <c r="AI351" s="219"/>
      <c r="AJ351" s="219"/>
      <c r="AK351" s="219"/>
      <c r="AL351" s="219"/>
    </row>
    <row r="352" spans="12:38">
      <c r="L352" s="219"/>
      <c r="M352" s="219"/>
      <c r="N352" s="219"/>
      <c r="O352" s="219"/>
      <c r="P352" s="219"/>
      <c r="Q352" s="219"/>
      <c r="R352" s="219"/>
      <c r="S352" s="219"/>
      <c r="T352" s="219"/>
      <c r="U352" s="219"/>
      <c r="V352" s="219"/>
      <c r="W352" s="219"/>
      <c r="AB352" s="219"/>
      <c r="AC352" s="219"/>
      <c r="AD352" s="219"/>
      <c r="AE352" s="219"/>
      <c r="AF352" s="219"/>
      <c r="AG352" s="219"/>
      <c r="AH352" s="219"/>
      <c r="AI352" s="219"/>
      <c r="AJ352" s="219"/>
      <c r="AK352" s="219"/>
      <c r="AL352" s="219"/>
    </row>
    <row r="353" spans="12:38">
      <c r="L353" s="219"/>
      <c r="M353" s="219"/>
      <c r="N353" s="219"/>
      <c r="O353" s="219"/>
      <c r="P353" s="219"/>
      <c r="Q353" s="219"/>
      <c r="R353" s="219"/>
      <c r="S353" s="219"/>
      <c r="T353" s="219"/>
      <c r="U353" s="219"/>
      <c r="V353" s="219"/>
      <c r="W353" s="219"/>
      <c r="AB353" s="219"/>
      <c r="AC353" s="219"/>
      <c r="AD353" s="219"/>
      <c r="AE353" s="219"/>
      <c r="AF353" s="219"/>
      <c r="AG353" s="219"/>
      <c r="AH353" s="219"/>
      <c r="AI353" s="219"/>
      <c r="AJ353" s="219"/>
      <c r="AK353" s="219"/>
      <c r="AL353" s="219"/>
    </row>
    <row r="354" spans="12:38">
      <c r="L354" s="219"/>
      <c r="M354" s="219"/>
      <c r="N354" s="219"/>
      <c r="O354" s="219"/>
      <c r="P354" s="219"/>
      <c r="Q354" s="219"/>
      <c r="R354" s="219"/>
      <c r="S354" s="219"/>
      <c r="T354" s="219"/>
      <c r="U354" s="219"/>
      <c r="V354" s="219"/>
      <c r="W354" s="219"/>
      <c r="AB354" s="219"/>
      <c r="AC354" s="219"/>
      <c r="AD354" s="219"/>
      <c r="AE354" s="219"/>
      <c r="AF354" s="219"/>
      <c r="AG354" s="219"/>
      <c r="AH354" s="219"/>
      <c r="AI354" s="219"/>
      <c r="AJ354" s="219"/>
      <c r="AK354" s="219"/>
      <c r="AL354" s="219"/>
    </row>
    <row r="355" spans="12:38">
      <c r="L355" s="219"/>
      <c r="M355" s="219"/>
      <c r="N355" s="219"/>
      <c r="O355" s="219"/>
      <c r="P355" s="219"/>
      <c r="Q355" s="219"/>
      <c r="R355" s="219"/>
      <c r="S355" s="219"/>
      <c r="T355" s="219"/>
      <c r="U355" s="219"/>
      <c r="V355" s="219"/>
      <c r="W355" s="219"/>
      <c r="AB355" s="219"/>
      <c r="AC355" s="219"/>
      <c r="AD355" s="219"/>
      <c r="AE355" s="219"/>
      <c r="AF355" s="219"/>
      <c r="AG355" s="219"/>
      <c r="AH355" s="219"/>
      <c r="AI355" s="219"/>
      <c r="AJ355" s="219"/>
      <c r="AK355" s="219"/>
      <c r="AL355" s="219"/>
    </row>
    <row r="356" spans="12:38">
      <c r="L356" s="219"/>
      <c r="M356" s="219"/>
      <c r="N356" s="219"/>
      <c r="O356" s="219"/>
      <c r="P356" s="219"/>
      <c r="Q356" s="219"/>
      <c r="R356" s="219"/>
      <c r="S356" s="219"/>
      <c r="T356" s="219"/>
      <c r="U356" s="219"/>
      <c r="V356" s="219"/>
      <c r="W356" s="219"/>
      <c r="AB356" s="219"/>
      <c r="AC356" s="219"/>
      <c r="AD356" s="219"/>
      <c r="AE356" s="219"/>
      <c r="AF356" s="219"/>
      <c r="AG356" s="219"/>
      <c r="AH356" s="219"/>
      <c r="AI356" s="219"/>
      <c r="AJ356" s="219"/>
      <c r="AK356" s="219"/>
      <c r="AL356" s="219"/>
    </row>
    <row r="357" spans="12:38">
      <c r="L357" s="219"/>
      <c r="M357" s="219"/>
      <c r="N357" s="219"/>
      <c r="O357" s="219"/>
      <c r="P357" s="219"/>
      <c r="Q357" s="219"/>
      <c r="R357" s="219"/>
      <c r="S357" s="219"/>
      <c r="T357" s="219"/>
      <c r="U357" s="219"/>
      <c r="V357" s="219"/>
      <c r="W357" s="219"/>
      <c r="AB357" s="219"/>
      <c r="AC357" s="219"/>
      <c r="AD357" s="219"/>
      <c r="AE357" s="219"/>
      <c r="AF357" s="219"/>
      <c r="AG357" s="219"/>
      <c r="AH357" s="219"/>
      <c r="AI357" s="219"/>
      <c r="AJ357" s="219"/>
      <c r="AK357" s="219"/>
      <c r="AL357" s="219"/>
    </row>
    <row r="358" spans="12:38">
      <c r="L358" s="219"/>
      <c r="M358" s="219"/>
      <c r="N358" s="219"/>
      <c r="O358" s="219"/>
      <c r="P358" s="219"/>
      <c r="Q358" s="219"/>
      <c r="R358" s="219"/>
      <c r="S358" s="219"/>
      <c r="T358" s="219"/>
      <c r="U358" s="219"/>
      <c r="V358" s="219"/>
      <c r="W358" s="219"/>
      <c r="AB358" s="219"/>
      <c r="AC358" s="219"/>
      <c r="AD358" s="219"/>
      <c r="AE358" s="219"/>
      <c r="AF358" s="219"/>
      <c r="AG358" s="219"/>
      <c r="AH358" s="219"/>
      <c r="AI358" s="219"/>
      <c r="AJ358" s="219"/>
      <c r="AK358" s="219"/>
      <c r="AL358" s="219"/>
    </row>
    <row r="359" spans="12:38">
      <c r="L359" s="219"/>
      <c r="M359" s="219"/>
      <c r="N359" s="219"/>
      <c r="O359" s="219"/>
      <c r="P359" s="219"/>
      <c r="Q359" s="219"/>
      <c r="R359" s="219"/>
      <c r="S359" s="219"/>
      <c r="T359" s="219"/>
      <c r="U359" s="219"/>
      <c r="V359" s="219"/>
      <c r="W359" s="219"/>
      <c r="AB359" s="219"/>
      <c r="AC359" s="219"/>
      <c r="AD359" s="219"/>
      <c r="AE359" s="219"/>
      <c r="AF359" s="219"/>
      <c r="AG359" s="219"/>
      <c r="AH359" s="219"/>
      <c r="AI359" s="219"/>
      <c r="AJ359" s="219"/>
      <c r="AK359" s="219"/>
      <c r="AL359" s="219"/>
    </row>
    <row r="360" spans="12:38">
      <c r="L360" s="219"/>
      <c r="M360" s="219"/>
      <c r="N360" s="219"/>
      <c r="O360" s="219"/>
      <c r="P360" s="219"/>
      <c r="Q360" s="219"/>
      <c r="R360" s="219"/>
      <c r="S360" s="219"/>
      <c r="T360" s="219"/>
      <c r="U360" s="219"/>
      <c r="V360" s="219"/>
      <c r="W360" s="219"/>
      <c r="AB360" s="219"/>
      <c r="AC360" s="219"/>
      <c r="AD360" s="219"/>
      <c r="AE360" s="219"/>
      <c r="AF360" s="219"/>
      <c r="AG360" s="219"/>
      <c r="AH360" s="219"/>
      <c r="AI360" s="219"/>
      <c r="AJ360" s="219"/>
      <c r="AK360" s="219"/>
      <c r="AL360" s="219"/>
    </row>
    <row r="361" spans="12:38">
      <c r="L361" s="219"/>
      <c r="M361" s="219"/>
      <c r="N361" s="219"/>
      <c r="O361" s="219"/>
      <c r="P361" s="219"/>
      <c r="Q361" s="219"/>
      <c r="R361" s="219"/>
      <c r="S361" s="219"/>
      <c r="T361" s="219"/>
      <c r="U361" s="219"/>
      <c r="V361" s="219"/>
      <c r="W361" s="219"/>
      <c r="AB361" s="219"/>
      <c r="AC361" s="219"/>
      <c r="AD361" s="219"/>
      <c r="AE361" s="219"/>
      <c r="AF361" s="219"/>
      <c r="AG361" s="219"/>
      <c r="AH361" s="219"/>
      <c r="AI361" s="219"/>
      <c r="AJ361" s="219"/>
      <c r="AK361" s="219"/>
      <c r="AL361" s="219"/>
    </row>
    <row r="362" spans="12:38">
      <c r="L362" s="219"/>
      <c r="M362" s="219"/>
      <c r="N362" s="219"/>
      <c r="O362" s="219"/>
      <c r="P362" s="219"/>
      <c r="Q362" s="219"/>
      <c r="R362" s="219"/>
      <c r="S362" s="219"/>
      <c r="T362" s="219"/>
      <c r="U362" s="219"/>
      <c r="V362" s="219"/>
      <c r="W362" s="219"/>
      <c r="AB362" s="219"/>
      <c r="AC362" s="219"/>
      <c r="AD362" s="219"/>
      <c r="AE362" s="219"/>
      <c r="AF362" s="219"/>
      <c r="AG362" s="219"/>
      <c r="AH362" s="219"/>
      <c r="AI362" s="219"/>
      <c r="AJ362" s="219"/>
      <c r="AK362" s="219"/>
      <c r="AL362" s="219"/>
    </row>
    <row r="363" spans="12:38">
      <c r="L363" s="219"/>
      <c r="M363" s="219"/>
      <c r="N363" s="219"/>
      <c r="O363" s="219"/>
      <c r="P363" s="219"/>
      <c r="Q363" s="219"/>
      <c r="R363" s="219"/>
      <c r="S363" s="219"/>
      <c r="T363" s="219"/>
      <c r="U363" s="219"/>
      <c r="V363" s="219"/>
      <c r="W363" s="219"/>
      <c r="AB363" s="219"/>
      <c r="AC363" s="219"/>
      <c r="AD363" s="219"/>
      <c r="AE363" s="219"/>
      <c r="AF363" s="219"/>
      <c r="AG363" s="219"/>
      <c r="AH363" s="219"/>
      <c r="AI363" s="219"/>
      <c r="AJ363" s="219"/>
      <c r="AK363" s="219"/>
      <c r="AL363" s="219"/>
    </row>
    <row r="364" spans="12:38">
      <c r="L364" s="219"/>
      <c r="M364" s="219"/>
      <c r="N364" s="219"/>
      <c r="O364" s="219"/>
      <c r="P364" s="219"/>
      <c r="Q364" s="219"/>
      <c r="R364" s="219"/>
      <c r="S364" s="219"/>
      <c r="T364" s="219"/>
      <c r="U364" s="219"/>
      <c r="V364" s="219"/>
      <c r="W364" s="219"/>
      <c r="AB364" s="219"/>
      <c r="AC364" s="219"/>
      <c r="AD364" s="219"/>
      <c r="AE364" s="219"/>
      <c r="AF364" s="219"/>
      <c r="AG364" s="219"/>
      <c r="AH364" s="219"/>
      <c r="AI364" s="219"/>
      <c r="AJ364" s="219"/>
      <c r="AK364" s="219"/>
      <c r="AL364" s="219"/>
    </row>
    <row r="365" spans="12:38">
      <c r="L365" s="219"/>
      <c r="M365" s="219"/>
      <c r="N365" s="219"/>
      <c r="O365" s="219"/>
      <c r="P365" s="219"/>
      <c r="Q365" s="219"/>
      <c r="R365" s="219"/>
      <c r="S365" s="219"/>
      <c r="T365" s="219"/>
      <c r="U365" s="219"/>
      <c r="V365" s="219"/>
      <c r="W365" s="219"/>
      <c r="AB365" s="219"/>
      <c r="AC365" s="219"/>
      <c r="AD365" s="219"/>
      <c r="AE365" s="219"/>
      <c r="AF365" s="219"/>
      <c r="AG365" s="219"/>
      <c r="AH365" s="219"/>
      <c r="AI365" s="219"/>
      <c r="AJ365" s="219"/>
      <c r="AK365" s="219"/>
      <c r="AL365" s="219"/>
    </row>
    <row r="366" spans="12:38">
      <c r="L366" s="219"/>
      <c r="M366" s="219"/>
      <c r="N366" s="219"/>
      <c r="O366" s="219"/>
      <c r="P366" s="219"/>
      <c r="Q366" s="219"/>
      <c r="R366" s="219"/>
      <c r="S366" s="219"/>
      <c r="T366" s="219"/>
      <c r="U366" s="219"/>
      <c r="V366" s="219"/>
      <c r="W366" s="219"/>
      <c r="AB366" s="219"/>
      <c r="AC366" s="219"/>
      <c r="AD366" s="219"/>
      <c r="AE366" s="219"/>
      <c r="AF366" s="219"/>
      <c r="AG366" s="219"/>
      <c r="AH366" s="219"/>
      <c r="AI366" s="219"/>
      <c r="AJ366" s="219"/>
      <c r="AK366" s="219"/>
      <c r="AL366" s="219"/>
    </row>
    <row r="367" spans="12:38">
      <c r="L367" s="219"/>
      <c r="M367" s="219"/>
      <c r="N367" s="219"/>
      <c r="O367" s="219"/>
      <c r="P367" s="219"/>
      <c r="Q367" s="219"/>
      <c r="R367" s="219"/>
      <c r="S367" s="219"/>
      <c r="T367" s="219"/>
      <c r="U367" s="219"/>
      <c r="V367" s="219"/>
      <c r="W367" s="219"/>
      <c r="AB367" s="219"/>
      <c r="AC367" s="219"/>
      <c r="AD367" s="219"/>
      <c r="AE367" s="219"/>
      <c r="AF367" s="219"/>
      <c r="AG367" s="219"/>
      <c r="AH367" s="219"/>
      <c r="AI367" s="219"/>
      <c r="AJ367" s="219"/>
      <c r="AK367" s="219"/>
      <c r="AL367" s="219"/>
    </row>
    <row r="368" spans="12:38">
      <c r="L368" s="219"/>
      <c r="M368" s="219"/>
      <c r="N368" s="219"/>
      <c r="O368" s="219"/>
      <c r="P368" s="219"/>
      <c r="Q368" s="219"/>
      <c r="R368" s="219"/>
      <c r="S368" s="219"/>
      <c r="T368" s="219"/>
      <c r="U368" s="219"/>
      <c r="V368" s="219"/>
      <c r="W368" s="219"/>
      <c r="AB368" s="219"/>
      <c r="AC368" s="219"/>
      <c r="AD368" s="219"/>
      <c r="AE368" s="219"/>
      <c r="AF368" s="219"/>
      <c r="AG368" s="219"/>
      <c r="AH368" s="219"/>
      <c r="AI368" s="219"/>
      <c r="AJ368" s="219"/>
      <c r="AK368" s="219"/>
      <c r="AL368" s="219"/>
    </row>
    <row r="369" spans="12:38">
      <c r="L369" s="219"/>
      <c r="M369" s="219"/>
      <c r="N369" s="219"/>
      <c r="O369" s="219"/>
      <c r="P369" s="219"/>
      <c r="Q369" s="219"/>
      <c r="R369" s="219"/>
      <c r="S369" s="219"/>
      <c r="T369" s="219"/>
      <c r="U369" s="219"/>
      <c r="V369" s="219"/>
      <c r="W369" s="219"/>
      <c r="AB369" s="219"/>
      <c r="AC369" s="219"/>
      <c r="AD369" s="219"/>
      <c r="AE369" s="219"/>
      <c r="AF369" s="219"/>
      <c r="AG369" s="219"/>
      <c r="AH369" s="219"/>
      <c r="AI369" s="219"/>
      <c r="AJ369" s="219"/>
      <c r="AK369" s="219"/>
      <c r="AL369" s="219"/>
    </row>
    <row r="370" spans="12:38">
      <c r="L370" s="219"/>
      <c r="M370" s="219"/>
      <c r="N370" s="219"/>
      <c r="O370" s="219"/>
      <c r="P370" s="219"/>
      <c r="Q370" s="219"/>
      <c r="R370" s="219"/>
      <c r="S370" s="219"/>
      <c r="T370" s="219"/>
      <c r="U370" s="219"/>
      <c r="V370" s="219"/>
      <c r="W370" s="219"/>
      <c r="AB370" s="219"/>
      <c r="AC370" s="219"/>
      <c r="AD370" s="219"/>
      <c r="AE370" s="219"/>
      <c r="AF370" s="219"/>
      <c r="AG370" s="219"/>
      <c r="AH370" s="219"/>
      <c r="AI370" s="219"/>
      <c r="AJ370" s="219"/>
      <c r="AK370" s="219"/>
      <c r="AL370" s="219"/>
    </row>
    <row r="371" spans="12:38">
      <c r="L371" s="219"/>
      <c r="M371" s="219"/>
      <c r="N371" s="219"/>
      <c r="O371" s="219"/>
      <c r="P371" s="219"/>
      <c r="Q371" s="219"/>
      <c r="R371" s="219"/>
      <c r="S371" s="219"/>
      <c r="T371" s="219"/>
      <c r="U371" s="219"/>
      <c r="V371" s="219"/>
      <c r="W371" s="219"/>
      <c r="AB371" s="219"/>
      <c r="AC371" s="219"/>
      <c r="AD371" s="219"/>
      <c r="AE371" s="219"/>
      <c r="AF371" s="219"/>
      <c r="AG371" s="219"/>
      <c r="AH371" s="219"/>
      <c r="AI371" s="219"/>
      <c r="AJ371" s="219"/>
      <c r="AK371" s="219"/>
      <c r="AL371" s="219"/>
    </row>
    <row r="372" spans="12:38">
      <c r="L372" s="219"/>
      <c r="M372" s="219"/>
      <c r="N372" s="219"/>
      <c r="O372" s="219"/>
      <c r="P372" s="219"/>
      <c r="Q372" s="219"/>
      <c r="R372" s="219"/>
      <c r="S372" s="219"/>
      <c r="T372" s="219"/>
      <c r="U372" s="219"/>
      <c r="V372" s="219"/>
      <c r="W372" s="219"/>
      <c r="AB372" s="219"/>
      <c r="AC372" s="219"/>
      <c r="AD372" s="219"/>
      <c r="AE372" s="219"/>
      <c r="AF372" s="219"/>
      <c r="AG372" s="219"/>
      <c r="AH372" s="219"/>
      <c r="AI372" s="219"/>
      <c r="AJ372" s="219"/>
      <c r="AK372" s="219"/>
      <c r="AL372" s="219"/>
    </row>
    <row r="373" spans="12:38">
      <c r="L373" s="219"/>
      <c r="M373" s="219"/>
      <c r="N373" s="219"/>
      <c r="O373" s="219"/>
      <c r="P373" s="219"/>
      <c r="Q373" s="219"/>
      <c r="R373" s="219"/>
      <c r="S373" s="219"/>
      <c r="T373" s="219"/>
      <c r="U373" s="219"/>
      <c r="V373" s="219"/>
      <c r="W373" s="219"/>
      <c r="AB373" s="219"/>
      <c r="AC373" s="219"/>
      <c r="AD373" s="219"/>
      <c r="AE373" s="219"/>
      <c r="AF373" s="219"/>
      <c r="AG373" s="219"/>
      <c r="AH373" s="219"/>
      <c r="AI373" s="219"/>
      <c r="AJ373" s="219"/>
      <c r="AK373" s="219"/>
      <c r="AL373" s="219"/>
    </row>
    <row r="374" spans="12:38">
      <c r="L374" s="219"/>
      <c r="M374" s="219"/>
      <c r="N374" s="219"/>
      <c r="O374" s="219"/>
      <c r="P374" s="219"/>
      <c r="Q374" s="219"/>
      <c r="R374" s="219"/>
      <c r="S374" s="219"/>
      <c r="T374" s="219"/>
      <c r="U374" s="219"/>
      <c r="V374" s="219"/>
      <c r="W374" s="219"/>
      <c r="AB374" s="219"/>
      <c r="AC374" s="219"/>
      <c r="AD374" s="219"/>
      <c r="AE374" s="219"/>
      <c r="AF374" s="219"/>
      <c r="AG374" s="219"/>
      <c r="AH374" s="219"/>
      <c r="AI374" s="219"/>
      <c r="AJ374" s="219"/>
      <c r="AK374" s="219"/>
      <c r="AL374" s="219"/>
    </row>
    <row r="375" spans="12:38">
      <c r="L375" s="219"/>
      <c r="M375" s="219"/>
      <c r="N375" s="219"/>
      <c r="O375" s="219"/>
      <c r="P375" s="219"/>
      <c r="Q375" s="219"/>
      <c r="R375" s="219"/>
      <c r="S375" s="219"/>
      <c r="T375" s="219"/>
      <c r="U375" s="219"/>
      <c r="V375" s="219"/>
      <c r="W375" s="219"/>
      <c r="AB375" s="219"/>
      <c r="AC375" s="219"/>
      <c r="AD375" s="219"/>
      <c r="AE375" s="219"/>
      <c r="AF375" s="219"/>
      <c r="AG375" s="219"/>
      <c r="AH375" s="219"/>
      <c r="AI375" s="219"/>
      <c r="AJ375" s="219"/>
      <c r="AK375" s="219"/>
      <c r="AL375" s="219"/>
    </row>
    <row r="376" spans="12:38">
      <c r="L376" s="219"/>
      <c r="M376" s="219"/>
      <c r="N376" s="219"/>
      <c r="O376" s="219"/>
      <c r="P376" s="219"/>
      <c r="Q376" s="219"/>
      <c r="R376" s="219"/>
      <c r="S376" s="219"/>
      <c r="T376" s="219"/>
      <c r="U376" s="219"/>
      <c r="V376" s="219"/>
      <c r="W376" s="219"/>
      <c r="AB376" s="219"/>
      <c r="AC376" s="219"/>
      <c r="AD376" s="219"/>
      <c r="AE376" s="219"/>
      <c r="AF376" s="219"/>
      <c r="AG376" s="219"/>
      <c r="AH376" s="219"/>
      <c r="AI376" s="219"/>
      <c r="AJ376" s="219"/>
      <c r="AK376" s="219"/>
      <c r="AL376" s="219"/>
    </row>
    <row r="377" spans="12:38">
      <c r="L377" s="219"/>
      <c r="M377" s="219"/>
      <c r="N377" s="219"/>
      <c r="O377" s="219"/>
      <c r="P377" s="219"/>
      <c r="Q377" s="219"/>
      <c r="R377" s="219"/>
      <c r="S377" s="219"/>
      <c r="T377" s="219"/>
      <c r="U377" s="219"/>
      <c r="V377" s="219"/>
      <c r="W377" s="219"/>
      <c r="AB377" s="219"/>
      <c r="AC377" s="219"/>
      <c r="AD377" s="219"/>
      <c r="AE377" s="219"/>
      <c r="AF377" s="219"/>
      <c r="AG377" s="219"/>
      <c r="AH377" s="219"/>
      <c r="AI377" s="219"/>
      <c r="AJ377" s="219"/>
      <c r="AK377" s="219"/>
      <c r="AL377" s="219"/>
    </row>
    <row r="378" spans="12:38">
      <c r="L378" s="219"/>
      <c r="M378" s="219"/>
      <c r="N378" s="219"/>
      <c r="O378" s="219"/>
      <c r="P378" s="219"/>
      <c r="Q378" s="219"/>
      <c r="R378" s="219"/>
      <c r="S378" s="219"/>
      <c r="T378" s="219"/>
      <c r="U378" s="219"/>
      <c r="V378" s="219"/>
      <c r="W378" s="219"/>
      <c r="AB378" s="219"/>
      <c r="AC378" s="219"/>
      <c r="AD378" s="219"/>
      <c r="AE378" s="219"/>
      <c r="AF378" s="219"/>
      <c r="AG378" s="219"/>
      <c r="AH378" s="219"/>
      <c r="AI378" s="219"/>
      <c r="AJ378" s="219"/>
      <c r="AK378" s="219"/>
      <c r="AL378" s="219"/>
    </row>
    <row r="379" spans="12:38">
      <c r="L379" s="219"/>
      <c r="M379" s="219"/>
      <c r="N379" s="219"/>
      <c r="O379" s="219"/>
      <c r="P379" s="219"/>
      <c r="Q379" s="219"/>
      <c r="R379" s="219"/>
      <c r="S379" s="219"/>
      <c r="T379" s="219"/>
      <c r="U379" s="219"/>
      <c r="V379" s="219"/>
      <c r="W379" s="219"/>
      <c r="AB379" s="219"/>
      <c r="AC379" s="219"/>
      <c r="AD379" s="219"/>
      <c r="AE379" s="219"/>
      <c r="AF379" s="219"/>
      <c r="AG379" s="219"/>
      <c r="AH379" s="219"/>
      <c r="AI379" s="219"/>
      <c r="AJ379" s="219"/>
      <c r="AK379" s="219"/>
      <c r="AL379" s="219"/>
    </row>
    <row r="380" spans="12:38">
      <c r="L380" s="219"/>
      <c r="M380" s="219"/>
      <c r="N380" s="219"/>
      <c r="O380" s="219"/>
      <c r="P380" s="219"/>
      <c r="Q380" s="219"/>
      <c r="R380" s="219"/>
      <c r="S380" s="219"/>
      <c r="T380" s="219"/>
      <c r="U380" s="219"/>
      <c r="V380" s="219"/>
      <c r="W380" s="219"/>
      <c r="AB380" s="219"/>
      <c r="AC380" s="219"/>
      <c r="AD380" s="219"/>
      <c r="AE380" s="219"/>
      <c r="AF380" s="219"/>
      <c r="AG380" s="219"/>
      <c r="AH380" s="219"/>
      <c r="AI380" s="219"/>
      <c r="AJ380" s="219"/>
      <c r="AK380" s="219"/>
      <c r="AL380" s="219"/>
    </row>
    <row r="381" spans="12:38">
      <c r="L381" s="219"/>
      <c r="M381" s="219"/>
      <c r="N381" s="219"/>
      <c r="O381" s="219"/>
      <c r="P381" s="219"/>
      <c r="Q381" s="219"/>
      <c r="R381" s="219"/>
      <c r="S381" s="219"/>
      <c r="T381" s="219"/>
      <c r="U381" s="219"/>
      <c r="V381" s="219"/>
      <c r="W381" s="219"/>
      <c r="AB381" s="219"/>
      <c r="AC381" s="219"/>
      <c r="AD381" s="219"/>
      <c r="AE381" s="219"/>
      <c r="AF381" s="219"/>
      <c r="AG381" s="219"/>
      <c r="AH381" s="219"/>
      <c r="AI381" s="219"/>
      <c r="AJ381" s="219"/>
      <c r="AK381" s="219"/>
      <c r="AL381" s="219"/>
    </row>
    <row r="382" spans="12:38">
      <c r="L382" s="219"/>
      <c r="M382" s="219"/>
      <c r="N382" s="219"/>
      <c r="O382" s="219"/>
      <c r="P382" s="219"/>
      <c r="Q382" s="219"/>
      <c r="R382" s="219"/>
      <c r="S382" s="219"/>
      <c r="T382" s="219"/>
      <c r="U382" s="219"/>
      <c r="V382" s="219"/>
      <c r="W382" s="219"/>
      <c r="AB382" s="219"/>
      <c r="AC382" s="219"/>
      <c r="AD382" s="219"/>
      <c r="AE382" s="219"/>
      <c r="AF382" s="219"/>
      <c r="AG382" s="219"/>
      <c r="AH382" s="219"/>
      <c r="AI382" s="219"/>
      <c r="AJ382" s="219"/>
      <c r="AK382" s="219"/>
      <c r="AL382" s="219"/>
    </row>
    <row r="383" spans="12:38">
      <c r="L383" s="219"/>
      <c r="M383" s="219"/>
      <c r="N383" s="219"/>
      <c r="O383" s="219"/>
      <c r="P383" s="219"/>
      <c r="Q383" s="219"/>
      <c r="R383" s="219"/>
      <c r="S383" s="219"/>
      <c r="T383" s="219"/>
      <c r="U383" s="219"/>
      <c r="V383" s="219"/>
      <c r="W383" s="219"/>
      <c r="AB383" s="219"/>
      <c r="AC383" s="219"/>
      <c r="AD383" s="219"/>
      <c r="AE383" s="219"/>
      <c r="AF383" s="219"/>
      <c r="AG383" s="219"/>
      <c r="AH383" s="219"/>
      <c r="AI383" s="219"/>
      <c r="AJ383" s="219"/>
      <c r="AK383" s="219"/>
      <c r="AL383" s="219"/>
    </row>
    <row r="384" spans="12:38">
      <c r="L384" s="219"/>
      <c r="M384" s="219"/>
      <c r="N384" s="219"/>
      <c r="O384" s="219"/>
      <c r="P384" s="219"/>
      <c r="Q384" s="219"/>
      <c r="R384" s="219"/>
      <c r="S384" s="219"/>
      <c r="T384" s="219"/>
      <c r="U384" s="219"/>
      <c r="V384" s="219"/>
      <c r="W384" s="219"/>
      <c r="AB384" s="219"/>
      <c r="AC384" s="219"/>
      <c r="AD384" s="219"/>
      <c r="AE384" s="219"/>
      <c r="AF384" s="219"/>
      <c r="AG384" s="219"/>
      <c r="AH384" s="219"/>
      <c r="AI384" s="219"/>
      <c r="AJ384" s="219"/>
      <c r="AK384" s="219"/>
      <c r="AL384" s="219"/>
    </row>
    <row r="385" spans="12:38">
      <c r="L385" s="219"/>
      <c r="M385" s="219"/>
      <c r="N385" s="219"/>
      <c r="O385" s="219"/>
      <c r="P385" s="219"/>
      <c r="Q385" s="219"/>
      <c r="R385" s="219"/>
      <c r="S385" s="219"/>
      <c r="T385" s="219"/>
      <c r="U385" s="219"/>
      <c r="V385" s="219"/>
      <c r="W385" s="219"/>
      <c r="AB385" s="219"/>
      <c r="AC385" s="219"/>
      <c r="AD385" s="219"/>
      <c r="AE385" s="219"/>
      <c r="AF385" s="219"/>
      <c r="AG385" s="219"/>
      <c r="AH385" s="219"/>
      <c r="AI385" s="219"/>
      <c r="AJ385" s="219"/>
      <c r="AK385" s="219"/>
      <c r="AL385" s="219"/>
    </row>
    <row r="386" spans="12:38">
      <c r="L386" s="219"/>
      <c r="M386" s="219"/>
      <c r="N386" s="219"/>
      <c r="O386" s="219"/>
      <c r="P386" s="219"/>
      <c r="Q386" s="219"/>
      <c r="R386" s="219"/>
      <c r="S386" s="219"/>
      <c r="T386" s="219"/>
      <c r="U386" s="219"/>
      <c r="V386" s="219"/>
      <c r="W386" s="219"/>
      <c r="AB386" s="219"/>
      <c r="AC386" s="219"/>
      <c r="AD386" s="219"/>
      <c r="AE386" s="219"/>
      <c r="AF386" s="219"/>
      <c r="AG386" s="219"/>
      <c r="AH386" s="219"/>
      <c r="AI386" s="219"/>
      <c r="AJ386" s="219"/>
      <c r="AK386" s="219"/>
      <c r="AL386" s="219"/>
    </row>
    <row r="387" spans="12:38">
      <c r="L387" s="219"/>
      <c r="M387" s="219"/>
      <c r="N387" s="219"/>
      <c r="O387" s="219"/>
      <c r="P387" s="219"/>
      <c r="Q387" s="219"/>
      <c r="R387" s="219"/>
      <c r="S387" s="219"/>
      <c r="T387" s="219"/>
      <c r="U387" s="219"/>
      <c r="V387" s="219"/>
      <c r="W387" s="219"/>
      <c r="AB387" s="219"/>
      <c r="AC387" s="219"/>
      <c r="AD387" s="219"/>
      <c r="AE387" s="219"/>
      <c r="AF387" s="219"/>
      <c r="AG387" s="219"/>
      <c r="AH387" s="219"/>
      <c r="AI387" s="219"/>
      <c r="AJ387" s="219"/>
      <c r="AK387" s="219"/>
      <c r="AL387" s="219"/>
    </row>
    <row r="388" spans="12:38">
      <c r="L388" s="219"/>
      <c r="M388" s="219"/>
      <c r="N388" s="219"/>
      <c r="O388" s="219"/>
      <c r="P388" s="219"/>
      <c r="Q388" s="219"/>
      <c r="R388" s="219"/>
      <c r="S388" s="219"/>
      <c r="T388" s="219"/>
      <c r="U388" s="219"/>
      <c r="V388" s="219"/>
      <c r="W388" s="219"/>
      <c r="AB388" s="219"/>
      <c r="AC388" s="219"/>
      <c r="AD388" s="219"/>
      <c r="AE388" s="219"/>
      <c r="AF388" s="219"/>
      <c r="AG388" s="219"/>
      <c r="AH388" s="219"/>
      <c r="AI388" s="219"/>
      <c r="AJ388" s="219"/>
      <c r="AK388" s="219"/>
      <c r="AL388" s="219"/>
    </row>
    <row r="389" spans="12:38">
      <c r="L389" s="219"/>
      <c r="M389" s="219"/>
      <c r="N389" s="219"/>
      <c r="O389" s="219"/>
      <c r="P389" s="219"/>
      <c r="Q389" s="219"/>
      <c r="R389" s="219"/>
      <c r="S389" s="219"/>
      <c r="T389" s="219"/>
      <c r="U389" s="219"/>
      <c r="V389" s="219"/>
      <c r="W389" s="219"/>
      <c r="AB389" s="219"/>
      <c r="AC389" s="219"/>
      <c r="AD389" s="219"/>
      <c r="AE389" s="219"/>
      <c r="AF389" s="219"/>
      <c r="AG389" s="219"/>
      <c r="AH389" s="219"/>
      <c r="AI389" s="219"/>
      <c r="AJ389" s="219"/>
      <c r="AK389" s="219"/>
      <c r="AL389" s="219"/>
    </row>
    <row r="390" spans="12:38">
      <c r="L390" s="219"/>
      <c r="M390" s="219"/>
      <c r="N390" s="219"/>
      <c r="O390" s="219"/>
      <c r="P390" s="219"/>
      <c r="Q390" s="219"/>
      <c r="R390" s="219"/>
      <c r="S390" s="219"/>
      <c r="T390" s="219"/>
      <c r="U390" s="219"/>
      <c r="V390" s="219"/>
      <c r="W390" s="219"/>
      <c r="AB390" s="219"/>
      <c r="AC390" s="219"/>
      <c r="AD390" s="219"/>
      <c r="AE390" s="219"/>
      <c r="AF390" s="219"/>
      <c r="AG390" s="219"/>
      <c r="AH390" s="219"/>
      <c r="AI390" s="219"/>
      <c r="AJ390" s="219"/>
      <c r="AK390" s="219"/>
      <c r="AL390" s="219"/>
    </row>
    <row r="391" spans="12:38">
      <c r="L391" s="219"/>
      <c r="M391" s="219"/>
      <c r="N391" s="219"/>
      <c r="O391" s="219"/>
      <c r="P391" s="219"/>
      <c r="Q391" s="219"/>
      <c r="R391" s="219"/>
      <c r="S391" s="219"/>
      <c r="T391" s="219"/>
      <c r="U391" s="219"/>
      <c r="V391" s="219"/>
      <c r="W391" s="219"/>
      <c r="AB391" s="219"/>
      <c r="AC391" s="219"/>
      <c r="AD391" s="219"/>
      <c r="AE391" s="219"/>
      <c r="AF391" s="219"/>
      <c r="AG391" s="219"/>
      <c r="AH391" s="219"/>
      <c r="AI391" s="219"/>
      <c r="AJ391" s="219"/>
      <c r="AK391" s="219"/>
      <c r="AL391" s="219"/>
    </row>
    <row r="392" spans="12:38">
      <c r="L392" s="219"/>
      <c r="M392" s="219"/>
      <c r="N392" s="219"/>
      <c r="O392" s="219"/>
      <c r="P392" s="219"/>
      <c r="Q392" s="219"/>
      <c r="R392" s="219"/>
      <c r="S392" s="219"/>
      <c r="T392" s="219"/>
      <c r="U392" s="219"/>
      <c r="V392" s="219"/>
      <c r="W392" s="219"/>
      <c r="AB392" s="219"/>
      <c r="AC392" s="219"/>
      <c r="AD392" s="219"/>
      <c r="AE392" s="219"/>
      <c r="AF392" s="219"/>
      <c r="AG392" s="219"/>
      <c r="AH392" s="219"/>
      <c r="AI392" s="219"/>
      <c r="AJ392" s="219"/>
      <c r="AK392" s="219"/>
      <c r="AL392" s="219"/>
    </row>
    <row r="393" spans="12:38">
      <c r="L393" s="219"/>
      <c r="M393" s="219"/>
      <c r="N393" s="219"/>
      <c r="O393" s="219"/>
      <c r="P393" s="219"/>
      <c r="Q393" s="219"/>
      <c r="R393" s="219"/>
      <c r="S393" s="219"/>
      <c r="T393" s="219"/>
      <c r="U393" s="219"/>
      <c r="V393" s="219"/>
      <c r="W393" s="219"/>
      <c r="AB393" s="219"/>
      <c r="AC393" s="219"/>
      <c r="AD393" s="219"/>
      <c r="AE393" s="219"/>
      <c r="AF393" s="219"/>
      <c r="AG393" s="219"/>
      <c r="AH393" s="219"/>
      <c r="AI393" s="219"/>
      <c r="AJ393" s="219"/>
      <c r="AK393" s="219"/>
      <c r="AL393" s="219"/>
    </row>
    <row r="394" spans="12:38">
      <c r="L394" s="219"/>
      <c r="M394" s="219"/>
      <c r="N394" s="219"/>
      <c r="O394" s="219"/>
      <c r="P394" s="219"/>
      <c r="Q394" s="219"/>
      <c r="R394" s="219"/>
      <c r="S394" s="219"/>
      <c r="T394" s="219"/>
      <c r="U394" s="219"/>
      <c r="V394" s="219"/>
      <c r="W394" s="219"/>
      <c r="AB394" s="219"/>
      <c r="AC394" s="219"/>
      <c r="AD394" s="219"/>
      <c r="AE394" s="219"/>
      <c r="AF394" s="219"/>
      <c r="AG394" s="219"/>
      <c r="AH394" s="219"/>
      <c r="AI394" s="219"/>
      <c r="AJ394" s="219"/>
      <c r="AK394" s="219"/>
      <c r="AL394" s="219"/>
    </row>
    <row r="395" spans="12:38">
      <c r="L395" s="219"/>
      <c r="M395" s="219"/>
      <c r="N395" s="219"/>
      <c r="O395" s="219"/>
      <c r="P395" s="219"/>
      <c r="Q395" s="219"/>
      <c r="R395" s="219"/>
      <c r="S395" s="219"/>
      <c r="T395" s="219"/>
      <c r="U395" s="219"/>
      <c r="V395" s="219"/>
      <c r="W395" s="219"/>
      <c r="AB395" s="219"/>
      <c r="AC395" s="219"/>
      <c r="AD395" s="219"/>
      <c r="AE395" s="219"/>
      <c r="AF395" s="219"/>
      <c r="AG395" s="219"/>
      <c r="AH395" s="219"/>
      <c r="AI395" s="219"/>
      <c r="AJ395" s="219"/>
      <c r="AK395" s="219"/>
      <c r="AL395" s="219"/>
    </row>
    <row r="396" spans="12:38">
      <c r="L396" s="219"/>
      <c r="M396" s="219"/>
      <c r="N396" s="219"/>
      <c r="O396" s="219"/>
      <c r="P396" s="219"/>
      <c r="Q396" s="219"/>
      <c r="R396" s="219"/>
      <c r="S396" s="219"/>
      <c r="T396" s="219"/>
      <c r="U396" s="219"/>
      <c r="V396" s="219"/>
      <c r="W396" s="219"/>
      <c r="AB396" s="219"/>
      <c r="AC396" s="219"/>
      <c r="AD396" s="219"/>
      <c r="AE396" s="219"/>
      <c r="AF396" s="219"/>
      <c r="AG396" s="219"/>
      <c r="AH396" s="219"/>
      <c r="AI396" s="219"/>
      <c r="AJ396" s="219"/>
      <c r="AK396" s="219"/>
      <c r="AL396" s="219"/>
    </row>
    <row r="397" spans="12:38">
      <c r="L397" s="219"/>
      <c r="M397" s="219"/>
      <c r="N397" s="219"/>
      <c r="O397" s="219"/>
      <c r="P397" s="219"/>
      <c r="Q397" s="219"/>
      <c r="R397" s="219"/>
      <c r="S397" s="219"/>
      <c r="T397" s="219"/>
      <c r="U397" s="219"/>
      <c r="V397" s="219"/>
      <c r="W397" s="219"/>
      <c r="AB397" s="219"/>
      <c r="AC397" s="219"/>
      <c r="AD397" s="219"/>
      <c r="AE397" s="219"/>
      <c r="AF397" s="219"/>
      <c r="AG397" s="219"/>
      <c r="AH397" s="219"/>
      <c r="AI397" s="219"/>
      <c r="AJ397" s="219"/>
      <c r="AK397" s="219"/>
      <c r="AL397" s="219"/>
    </row>
    <row r="398" spans="12:38">
      <c r="L398" s="219"/>
      <c r="M398" s="219"/>
      <c r="N398" s="219"/>
      <c r="O398" s="219"/>
      <c r="P398" s="219"/>
      <c r="Q398" s="219"/>
      <c r="R398" s="219"/>
      <c r="S398" s="219"/>
      <c r="T398" s="219"/>
      <c r="U398" s="219"/>
      <c r="V398" s="219"/>
      <c r="W398" s="219"/>
      <c r="AB398" s="219"/>
      <c r="AC398" s="219"/>
      <c r="AD398" s="219"/>
      <c r="AE398" s="219"/>
      <c r="AF398" s="219"/>
      <c r="AG398" s="219"/>
      <c r="AH398" s="219"/>
      <c r="AI398" s="219"/>
      <c r="AJ398" s="219"/>
      <c r="AK398" s="219"/>
      <c r="AL398" s="219"/>
    </row>
    <row r="399" spans="12:38">
      <c r="L399" s="219"/>
      <c r="M399" s="219"/>
      <c r="N399" s="219"/>
      <c r="O399" s="219"/>
      <c r="P399" s="219"/>
      <c r="Q399" s="219"/>
      <c r="R399" s="219"/>
      <c r="S399" s="219"/>
      <c r="T399" s="219"/>
      <c r="U399" s="219"/>
      <c r="V399" s="219"/>
      <c r="W399" s="219"/>
      <c r="AB399" s="219"/>
      <c r="AC399" s="219"/>
      <c r="AD399" s="219"/>
      <c r="AE399" s="219"/>
      <c r="AF399" s="219"/>
      <c r="AG399" s="219"/>
      <c r="AH399" s="219"/>
      <c r="AI399" s="219"/>
      <c r="AJ399" s="219"/>
      <c r="AK399" s="219"/>
      <c r="AL399" s="219"/>
    </row>
    <row r="400" spans="12:38">
      <c r="L400" s="219"/>
      <c r="M400" s="219"/>
      <c r="N400" s="219"/>
      <c r="O400" s="219"/>
      <c r="P400" s="219"/>
      <c r="Q400" s="219"/>
      <c r="R400" s="219"/>
      <c r="S400" s="219"/>
      <c r="T400" s="219"/>
      <c r="U400" s="219"/>
      <c r="V400" s="219"/>
      <c r="W400" s="219"/>
      <c r="AB400" s="219"/>
      <c r="AC400" s="219"/>
      <c r="AD400" s="219"/>
      <c r="AE400" s="219"/>
      <c r="AF400" s="219"/>
      <c r="AG400" s="219"/>
      <c r="AH400" s="219"/>
      <c r="AI400" s="219"/>
      <c r="AJ400" s="219"/>
      <c r="AK400" s="219"/>
      <c r="AL400" s="219"/>
    </row>
    <row r="401" spans="12:38">
      <c r="L401" s="219"/>
      <c r="M401" s="219"/>
      <c r="N401" s="219"/>
      <c r="O401" s="219"/>
      <c r="P401" s="219"/>
      <c r="Q401" s="219"/>
      <c r="R401" s="219"/>
      <c r="S401" s="219"/>
      <c r="T401" s="219"/>
      <c r="U401" s="219"/>
      <c r="V401" s="219"/>
      <c r="W401" s="219"/>
      <c r="AB401" s="219"/>
      <c r="AC401" s="219"/>
      <c r="AD401" s="219"/>
      <c r="AE401" s="219"/>
      <c r="AF401" s="219"/>
      <c r="AG401" s="219"/>
      <c r="AH401" s="219"/>
      <c r="AI401" s="219"/>
      <c r="AJ401" s="219"/>
      <c r="AK401" s="219"/>
      <c r="AL401" s="219"/>
    </row>
    <row r="402" spans="12:38">
      <c r="L402" s="219"/>
      <c r="M402" s="219"/>
      <c r="N402" s="219"/>
      <c r="O402" s="219"/>
      <c r="P402" s="219"/>
      <c r="Q402" s="219"/>
      <c r="R402" s="219"/>
      <c r="S402" s="219"/>
      <c r="T402" s="219"/>
      <c r="U402" s="219"/>
      <c r="V402" s="219"/>
      <c r="W402" s="219"/>
      <c r="AB402" s="219"/>
      <c r="AC402" s="219"/>
      <c r="AD402" s="219"/>
      <c r="AE402" s="219"/>
      <c r="AF402" s="219"/>
      <c r="AG402" s="219"/>
      <c r="AH402" s="219"/>
      <c r="AI402" s="219"/>
      <c r="AJ402" s="219"/>
      <c r="AK402" s="219"/>
      <c r="AL402" s="219"/>
    </row>
    <row r="403" spans="12:38">
      <c r="L403" s="219"/>
      <c r="M403" s="219"/>
      <c r="N403" s="219"/>
      <c r="O403" s="219"/>
      <c r="P403" s="219"/>
      <c r="Q403" s="219"/>
      <c r="R403" s="219"/>
      <c r="S403" s="219"/>
      <c r="T403" s="219"/>
      <c r="U403" s="219"/>
      <c r="V403" s="219"/>
      <c r="W403" s="219"/>
      <c r="AB403" s="219"/>
      <c r="AC403" s="219"/>
      <c r="AD403" s="219"/>
      <c r="AE403" s="219"/>
      <c r="AF403" s="219"/>
      <c r="AG403" s="219"/>
      <c r="AH403" s="219"/>
      <c r="AI403" s="219"/>
      <c r="AJ403" s="219"/>
      <c r="AK403" s="219"/>
      <c r="AL403" s="219"/>
    </row>
    <row r="404" spans="12:38">
      <c r="L404" s="219"/>
      <c r="M404" s="219"/>
      <c r="N404" s="219"/>
      <c r="O404" s="219"/>
      <c r="P404" s="219"/>
      <c r="Q404" s="219"/>
      <c r="R404" s="219"/>
      <c r="S404" s="219"/>
      <c r="T404" s="219"/>
      <c r="U404" s="219"/>
      <c r="V404" s="219"/>
      <c r="W404" s="219"/>
      <c r="AB404" s="219"/>
      <c r="AC404" s="219"/>
      <c r="AD404" s="219"/>
      <c r="AE404" s="219"/>
      <c r="AF404" s="219"/>
      <c r="AG404" s="219"/>
      <c r="AH404" s="219"/>
      <c r="AI404" s="219"/>
      <c r="AJ404" s="219"/>
      <c r="AK404" s="219"/>
      <c r="AL404" s="219"/>
    </row>
    <row r="405" spans="12:38">
      <c r="L405" s="219"/>
      <c r="M405" s="219"/>
      <c r="N405" s="219"/>
      <c r="O405" s="219"/>
      <c r="P405" s="219"/>
      <c r="Q405" s="219"/>
      <c r="R405" s="219"/>
      <c r="S405" s="219"/>
      <c r="T405" s="219"/>
      <c r="U405" s="219"/>
      <c r="V405" s="219"/>
      <c r="W405" s="219"/>
      <c r="AB405" s="219"/>
      <c r="AC405" s="219"/>
      <c r="AD405" s="219"/>
      <c r="AE405" s="219"/>
      <c r="AF405" s="219"/>
      <c r="AG405" s="219"/>
      <c r="AH405" s="219"/>
      <c r="AI405" s="219"/>
      <c r="AJ405" s="219"/>
      <c r="AK405" s="219"/>
      <c r="AL405" s="219"/>
    </row>
    <row r="406" spans="12:38">
      <c r="L406" s="219"/>
      <c r="M406" s="219"/>
      <c r="N406" s="219"/>
      <c r="O406" s="219"/>
      <c r="P406" s="219"/>
      <c r="Q406" s="219"/>
      <c r="R406" s="219"/>
      <c r="S406" s="219"/>
      <c r="T406" s="219"/>
      <c r="U406" s="219"/>
      <c r="V406" s="219"/>
      <c r="W406" s="219"/>
      <c r="AB406" s="219"/>
      <c r="AC406" s="219"/>
      <c r="AD406" s="219"/>
      <c r="AE406" s="219"/>
      <c r="AF406" s="219"/>
      <c r="AG406" s="219"/>
      <c r="AH406" s="219"/>
      <c r="AI406" s="219"/>
      <c r="AJ406" s="219"/>
      <c r="AK406" s="219"/>
      <c r="AL406" s="219"/>
    </row>
    <row r="407" spans="12:38">
      <c r="L407" s="219"/>
      <c r="M407" s="219"/>
      <c r="N407" s="219"/>
      <c r="O407" s="219"/>
      <c r="P407" s="219"/>
      <c r="Q407" s="219"/>
      <c r="R407" s="219"/>
      <c r="S407" s="219"/>
      <c r="T407" s="219"/>
      <c r="U407" s="219"/>
      <c r="V407" s="219"/>
      <c r="W407" s="219"/>
      <c r="AB407" s="219"/>
      <c r="AC407" s="219"/>
      <c r="AD407" s="219"/>
      <c r="AE407" s="219"/>
      <c r="AF407" s="219"/>
      <c r="AG407" s="219"/>
      <c r="AH407" s="219"/>
      <c r="AI407" s="219"/>
      <c r="AJ407" s="219"/>
      <c r="AK407" s="219"/>
      <c r="AL407" s="219"/>
    </row>
    <row r="408" spans="12:38">
      <c r="L408" s="219"/>
      <c r="M408" s="219"/>
      <c r="N408" s="219"/>
      <c r="O408" s="219"/>
      <c r="P408" s="219"/>
      <c r="Q408" s="219"/>
      <c r="R408" s="219"/>
      <c r="S408" s="219"/>
      <c r="T408" s="219"/>
      <c r="U408" s="219"/>
      <c r="V408" s="219"/>
      <c r="W408" s="219"/>
      <c r="AB408" s="219"/>
      <c r="AC408" s="219"/>
      <c r="AD408" s="219"/>
      <c r="AE408" s="219"/>
      <c r="AF408" s="219"/>
      <c r="AG408" s="219"/>
      <c r="AH408" s="219"/>
      <c r="AI408" s="219"/>
      <c r="AJ408" s="219"/>
      <c r="AK408" s="219"/>
      <c r="AL408" s="219"/>
    </row>
    <row r="409" spans="12:38">
      <c r="L409" s="219"/>
      <c r="M409" s="219"/>
      <c r="N409" s="219"/>
      <c r="O409" s="219"/>
      <c r="P409" s="219"/>
      <c r="Q409" s="219"/>
      <c r="R409" s="219"/>
      <c r="S409" s="219"/>
      <c r="T409" s="219"/>
      <c r="U409" s="219"/>
      <c r="V409" s="219"/>
      <c r="W409" s="219"/>
      <c r="AB409" s="219"/>
      <c r="AC409" s="219"/>
      <c r="AD409" s="219"/>
      <c r="AE409" s="219"/>
      <c r="AF409" s="219"/>
      <c r="AG409" s="219"/>
      <c r="AH409" s="219"/>
      <c r="AI409" s="219"/>
      <c r="AJ409" s="219"/>
      <c r="AK409" s="219"/>
      <c r="AL409" s="219"/>
    </row>
    <row r="410" spans="12:38">
      <c r="L410" s="219"/>
      <c r="M410" s="219"/>
      <c r="N410" s="219"/>
      <c r="O410" s="219"/>
      <c r="P410" s="219"/>
      <c r="Q410" s="219"/>
      <c r="R410" s="219"/>
      <c r="S410" s="219"/>
      <c r="T410" s="219"/>
      <c r="U410" s="219"/>
      <c r="V410" s="219"/>
      <c r="W410" s="219"/>
      <c r="AB410" s="219"/>
      <c r="AC410" s="219"/>
      <c r="AD410" s="219"/>
      <c r="AE410" s="219"/>
      <c r="AF410" s="219"/>
      <c r="AG410" s="219"/>
      <c r="AH410" s="219"/>
      <c r="AI410" s="219"/>
      <c r="AJ410" s="219"/>
      <c r="AK410" s="219"/>
      <c r="AL410" s="219"/>
    </row>
    <row r="411" spans="12:38">
      <c r="L411" s="219"/>
      <c r="M411" s="219"/>
      <c r="N411" s="219"/>
      <c r="O411" s="219"/>
      <c r="P411" s="219"/>
      <c r="Q411" s="219"/>
      <c r="R411" s="219"/>
      <c r="S411" s="219"/>
      <c r="T411" s="219"/>
      <c r="U411" s="219"/>
      <c r="V411" s="219"/>
      <c r="W411" s="219"/>
      <c r="AB411" s="219"/>
      <c r="AC411" s="219"/>
      <c r="AD411" s="219"/>
      <c r="AE411" s="219"/>
      <c r="AF411" s="219"/>
      <c r="AG411" s="219"/>
      <c r="AH411" s="219"/>
      <c r="AI411" s="219"/>
      <c r="AJ411" s="219"/>
      <c r="AK411" s="219"/>
      <c r="AL411" s="219"/>
    </row>
    <row r="412" spans="12:38">
      <c r="L412" s="219"/>
      <c r="M412" s="219"/>
      <c r="N412" s="219"/>
      <c r="O412" s="219"/>
      <c r="P412" s="219"/>
      <c r="Q412" s="219"/>
      <c r="R412" s="219"/>
      <c r="S412" s="219"/>
      <c r="T412" s="219"/>
      <c r="U412" s="219"/>
      <c r="V412" s="219"/>
      <c r="W412" s="219"/>
      <c r="AB412" s="219"/>
      <c r="AC412" s="219"/>
      <c r="AD412" s="219"/>
      <c r="AE412" s="219"/>
      <c r="AF412" s="219"/>
      <c r="AG412" s="219"/>
      <c r="AH412" s="219"/>
      <c r="AI412" s="219"/>
      <c r="AJ412" s="219"/>
      <c r="AK412" s="219"/>
      <c r="AL412" s="219"/>
    </row>
    <row r="413" spans="12:38">
      <c r="L413" s="219"/>
      <c r="M413" s="219"/>
      <c r="N413" s="219"/>
      <c r="O413" s="219"/>
      <c r="P413" s="219"/>
      <c r="Q413" s="219"/>
      <c r="R413" s="219"/>
      <c r="S413" s="219"/>
      <c r="T413" s="219"/>
      <c r="U413" s="219"/>
      <c r="V413" s="219"/>
      <c r="W413" s="219"/>
      <c r="AB413" s="219"/>
      <c r="AC413" s="219"/>
      <c r="AD413" s="219"/>
      <c r="AE413" s="219"/>
      <c r="AF413" s="219"/>
      <c r="AG413" s="219"/>
      <c r="AH413" s="219"/>
      <c r="AI413" s="219"/>
      <c r="AJ413" s="219"/>
      <c r="AK413" s="219"/>
      <c r="AL413" s="219"/>
    </row>
    <row r="414" spans="12:38">
      <c r="L414" s="219"/>
      <c r="M414" s="219"/>
      <c r="N414" s="219"/>
      <c r="O414" s="219"/>
      <c r="P414" s="219"/>
      <c r="Q414" s="219"/>
      <c r="R414" s="219"/>
      <c r="S414" s="219"/>
      <c r="T414" s="219"/>
      <c r="U414" s="219"/>
      <c r="V414" s="219"/>
      <c r="W414" s="219"/>
      <c r="AB414" s="219"/>
      <c r="AC414" s="219"/>
      <c r="AD414" s="219"/>
      <c r="AE414" s="219"/>
      <c r="AF414" s="219"/>
      <c r="AG414" s="219"/>
      <c r="AH414" s="219"/>
      <c r="AI414" s="219"/>
      <c r="AJ414" s="219"/>
      <c r="AK414" s="219"/>
      <c r="AL414" s="219"/>
    </row>
    <row r="415" spans="12:38">
      <c r="L415" s="219"/>
      <c r="M415" s="219"/>
      <c r="N415" s="219"/>
      <c r="O415" s="219"/>
      <c r="P415" s="219"/>
      <c r="Q415" s="219"/>
      <c r="R415" s="219"/>
      <c r="S415" s="219"/>
      <c r="T415" s="219"/>
      <c r="U415" s="219"/>
      <c r="V415" s="219"/>
      <c r="W415" s="219"/>
      <c r="AB415" s="219"/>
      <c r="AC415" s="219"/>
      <c r="AD415" s="219"/>
      <c r="AE415" s="219"/>
      <c r="AF415" s="219"/>
      <c r="AG415" s="219"/>
      <c r="AH415" s="219"/>
      <c r="AI415" s="219"/>
      <c r="AJ415" s="219"/>
      <c r="AK415" s="219"/>
      <c r="AL415" s="219"/>
    </row>
    <row r="416" spans="12:38">
      <c r="L416" s="219"/>
      <c r="M416" s="219"/>
      <c r="N416" s="219"/>
      <c r="O416" s="219"/>
      <c r="P416" s="219"/>
      <c r="Q416" s="219"/>
      <c r="R416" s="219"/>
      <c r="S416" s="219"/>
      <c r="T416" s="219"/>
      <c r="U416" s="219"/>
      <c r="V416" s="219"/>
      <c r="W416" s="219"/>
      <c r="AB416" s="219"/>
      <c r="AC416" s="219"/>
      <c r="AD416" s="219"/>
      <c r="AE416" s="219"/>
      <c r="AF416" s="219"/>
      <c r="AG416" s="219"/>
      <c r="AH416" s="219"/>
      <c r="AI416" s="219"/>
      <c r="AJ416" s="219"/>
      <c r="AK416" s="219"/>
      <c r="AL416" s="219"/>
    </row>
    <row r="417" spans="12:38">
      <c r="L417" s="219"/>
      <c r="M417" s="219"/>
      <c r="N417" s="219"/>
      <c r="O417" s="219"/>
      <c r="P417" s="219"/>
      <c r="Q417" s="219"/>
      <c r="R417" s="219"/>
      <c r="S417" s="219"/>
      <c r="T417" s="219"/>
      <c r="U417" s="219"/>
      <c r="V417" s="219"/>
      <c r="W417" s="219"/>
      <c r="AB417" s="219"/>
      <c r="AC417" s="219"/>
      <c r="AD417" s="219"/>
      <c r="AE417" s="219"/>
      <c r="AF417" s="219"/>
      <c r="AG417" s="219"/>
      <c r="AH417" s="219"/>
      <c r="AI417" s="219"/>
      <c r="AJ417" s="219"/>
      <c r="AK417" s="219"/>
      <c r="AL417" s="219"/>
    </row>
    <row r="418" spans="12:38">
      <c r="L418" s="219"/>
      <c r="M418" s="219"/>
      <c r="N418" s="219"/>
      <c r="O418" s="219"/>
      <c r="P418" s="219"/>
      <c r="Q418" s="219"/>
      <c r="R418" s="219"/>
      <c r="S418" s="219"/>
      <c r="T418" s="219"/>
      <c r="U418" s="219"/>
      <c r="V418" s="219"/>
      <c r="W418" s="219"/>
      <c r="AB418" s="219"/>
      <c r="AC418" s="219"/>
      <c r="AD418" s="219"/>
      <c r="AE418" s="219"/>
      <c r="AF418" s="219"/>
      <c r="AG418" s="219"/>
      <c r="AH418" s="219"/>
      <c r="AI418" s="219"/>
      <c r="AJ418" s="219"/>
      <c r="AK418" s="219"/>
      <c r="AL418" s="219"/>
    </row>
    <row r="419" spans="12:38">
      <c r="L419" s="219"/>
      <c r="M419" s="219"/>
      <c r="N419" s="219"/>
      <c r="O419" s="219"/>
      <c r="P419" s="219"/>
      <c r="Q419" s="219"/>
      <c r="R419" s="219"/>
      <c r="S419" s="219"/>
      <c r="T419" s="219"/>
      <c r="U419" s="219"/>
      <c r="V419" s="219"/>
      <c r="W419" s="219"/>
      <c r="AB419" s="219"/>
      <c r="AC419" s="219"/>
      <c r="AD419" s="219"/>
      <c r="AE419" s="219"/>
      <c r="AF419" s="219"/>
      <c r="AG419" s="219"/>
      <c r="AH419" s="219"/>
      <c r="AI419" s="219"/>
      <c r="AJ419" s="219"/>
      <c r="AK419" s="219"/>
      <c r="AL419" s="219"/>
    </row>
    <row r="420" spans="12:38">
      <c r="L420" s="219"/>
      <c r="M420" s="219"/>
      <c r="N420" s="219"/>
      <c r="O420" s="219"/>
      <c r="P420" s="219"/>
      <c r="Q420" s="219"/>
      <c r="R420" s="219"/>
      <c r="S420" s="219"/>
      <c r="T420" s="219"/>
      <c r="U420" s="219"/>
      <c r="V420" s="219"/>
      <c r="W420" s="219"/>
      <c r="AB420" s="219"/>
      <c r="AC420" s="219"/>
      <c r="AD420" s="219"/>
      <c r="AE420" s="219"/>
      <c r="AF420" s="219"/>
      <c r="AG420" s="219"/>
      <c r="AH420" s="219"/>
      <c r="AI420" s="219"/>
      <c r="AJ420" s="219"/>
      <c r="AK420" s="219"/>
      <c r="AL420" s="219"/>
    </row>
    <row r="421" spans="12:38">
      <c r="L421" s="219"/>
      <c r="M421" s="219"/>
      <c r="N421" s="219"/>
      <c r="O421" s="219"/>
      <c r="P421" s="219"/>
      <c r="Q421" s="219"/>
      <c r="R421" s="219"/>
      <c r="S421" s="219"/>
      <c r="T421" s="219"/>
      <c r="U421" s="219"/>
      <c r="V421" s="219"/>
      <c r="W421" s="219"/>
      <c r="AB421" s="219"/>
      <c r="AC421" s="219"/>
      <c r="AD421" s="219"/>
      <c r="AE421" s="219"/>
      <c r="AF421" s="219"/>
      <c r="AG421" s="219"/>
      <c r="AH421" s="219"/>
      <c r="AI421" s="219"/>
      <c r="AJ421" s="219"/>
      <c r="AK421" s="219"/>
      <c r="AL421" s="219"/>
    </row>
    <row r="422" spans="12:38">
      <c r="L422" s="219"/>
      <c r="M422" s="219"/>
      <c r="N422" s="219"/>
      <c r="O422" s="219"/>
      <c r="P422" s="219"/>
      <c r="Q422" s="219"/>
      <c r="R422" s="219"/>
      <c r="S422" s="219"/>
      <c r="T422" s="219"/>
      <c r="U422" s="219"/>
      <c r="V422" s="219"/>
      <c r="W422" s="219"/>
      <c r="AB422" s="219"/>
      <c r="AC422" s="219"/>
      <c r="AD422" s="219"/>
      <c r="AE422" s="219"/>
      <c r="AF422" s="219"/>
      <c r="AG422" s="219"/>
      <c r="AH422" s="219"/>
      <c r="AI422" s="219"/>
      <c r="AJ422" s="219"/>
      <c r="AK422" s="219"/>
      <c r="AL422" s="219"/>
    </row>
    <row r="423" spans="12:38">
      <c r="L423" s="219"/>
      <c r="M423" s="219"/>
      <c r="N423" s="219"/>
      <c r="O423" s="219"/>
      <c r="P423" s="219"/>
      <c r="Q423" s="219"/>
      <c r="R423" s="219"/>
      <c r="S423" s="219"/>
      <c r="T423" s="219"/>
      <c r="U423" s="219"/>
      <c r="V423" s="219"/>
      <c r="W423" s="219"/>
      <c r="AB423" s="219"/>
      <c r="AC423" s="219"/>
      <c r="AD423" s="219"/>
      <c r="AE423" s="219"/>
      <c r="AF423" s="219"/>
      <c r="AG423" s="219"/>
      <c r="AH423" s="219"/>
      <c r="AI423" s="219"/>
      <c r="AJ423" s="219"/>
      <c r="AK423" s="219"/>
      <c r="AL423" s="219"/>
    </row>
    <row r="424" spans="12:38">
      <c r="L424" s="219"/>
      <c r="M424" s="219"/>
      <c r="N424" s="219"/>
      <c r="O424" s="219"/>
      <c r="P424" s="219"/>
      <c r="Q424" s="219"/>
      <c r="R424" s="219"/>
      <c r="S424" s="219"/>
      <c r="T424" s="219"/>
      <c r="U424" s="219"/>
      <c r="V424" s="219"/>
      <c r="W424" s="219"/>
      <c r="AB424" s="219"/>
      <c r="AC424" s="219"/>
      <c r="AD424" s="219"/>
      <c r="AE424" s="219"/>
      <c r="AF424" s="219"/>
      <c r="AG424" s="219"/>
      <c r="AH424" s="219"/>
      <c r="AI424" s="219"/>
      <c r="AJ424" s="219"/>
      <c r="AK424" s="219"/>
      <c r="AL424" s="219"/>
    </row>
    <row r="425" spans="12:38">
      <c r="L425" s="219"/>
      <c r="M425" s="219"/>
      <c r="N425" s="219"/>
      <c r="O425" s="219"/>
      <c r="P425" s="219"/>
      <c r="Q425" s="219"/>
      <c r="R425" s="219"/>
      <c r="S425" s="219"/>
      <c r="T425" s="219"/>
      <c r="U425" s="219"/>
      <c r="V425" s="219"/>
      <c r="W425" s="219"/>
      <c r="AB425" s="219"/>
      <c r="AC425" s="219"/>
      <c r="AD425" s="219"/>
      <c r="AE425" s="219"/>
      <c r="AF425" s="219"/>
      <c r="AG425" s="219"/>
      <c r="AH425" s="219"/>
      <c r="AI425" s="219"/>
      <c r="AJ425" s="219"/>
      <c r="AK425" s="219"/>
      <c r="AL425" s="219"/>
    </row>
    <row r="426" spans="12:38">
      <c r="L426" s="219"/>
      <c r="M426" s="219"/>
      <c r="N426" s="219"/>
      <c r="O426" s="219"/>
      <c r="P426" s="219"/>
      <c r="Q426" s="219"/>
      <c r="R426" s="219"/>
      <c r="S426" s="219"/>
      <c r="T426" s="219"/>
      <c r="U426" s="219"/>
      <c r="V426" s="219"/>
      <c r="W426" s="219"/>
      <c r="AB426" s="219"/>
      <c r="AC426" s="219"/>
      <c r="AD426" s="219"/>
      <c r="AE426" s="219"/>
      <c r="AF426" s="219"/>
      <c r="AG426" s="219"/>
      <c r="AH426" s="219"/>
      <c r="AI426" s="219"/>
      <c r="AJ426" s="219"/>
      <c r="AK426" s="219"/>
      <c r="AL426" s="219"/>
    </row>
    <row r="427" spans="12:38">
      <c r="L427" s="219"/>
      <c r="M427" s="219"/>
      <c r="N427" s="219"/>
      <c r="O427" s="219"/>
      <c r="P427" s="219"/>
      <c r="Q427" s="219"/>
      <c r="R427" s="219"/>
      <c r="S427" s="219"/>
      <c r="T427" s="219"/>
      <c r="U427" s="219"/>
      <c r="V427" s="219"/>
      <c r="W427" s="219"/>
      <c r="AB427" s="219"/>
      <c r="AC427" s="219"/>
      <c r="AD427" s="219"/>
      <c r="AE427" s="219"/>
      <c r="AF427" s="219"/>
      <c r="AG427" s="219"/>
      <c r="AH427" s="219"/>
      <c r="AI427" s="219"/>
      <c r="AJ427" s="219"/>
      <c r="AK427" s="219"/>
      <c r="AL427" s="219"/>
    </row>
    <row r="428" spans="12:38">
      <c r="L428" s="219"/>
      <c r="M428" s="219"/>
      <c r="N428" s="219"/>
      <c r="O428" s="219"/>
      <c r="P428" s="219"/>
      <c r="Q428" s="219"/>
      <c r="R428" s="219"/>
      <c r="S428" s="219"/>
      <c r="T428" s="219"/>
      <c r="U428" s="219"/>
      <c r="V428" s="219"/>
      <c r="W428" s="219"/>
      <c r="AB428" s="219"/>
      <c r="AC428" s="219"/>
      <c r="AD428" s="219"/>
      <c r="AE428" s="219"/>
      <c r="AF428" s="219"/>
      <c r="AG428" s="219"/>
      <c r="AH428" s="219"/>
      <c r="AI428" s="219"/>
      <c r="AJ428" s="219"/>
      <c r="AK428" s="219"/>
      <c r="AL428" s="219"/>
    </row>
    <row r="429" spans="12:38">
      <c r="L429" s="219"/>
      <c r="M429" s="219"/>
      <c r="N429" s="219"/>
      <c r="O429" s="219"/>
      <c r="P429" s="219"/>
      <c r="Q429" s="219"/>
      <c r="R429" s="219"/>
      <c r="S429" s="219"/>
      <c r="T429" s="219"/>
      <c r="U429" s="219"/>
      <c r="V429" s="219"/>
      <c r="W429" s="219"/>
      <c r="AB429" s="219"/>
      <c r="AC429" s="219"/>
      <c r="AD429" s="219"/>
      <c r="AE429" s="219"/>
      <c r="AF429" s="219"/>
      <c r="AG429" s="219"/>
      <c r="AH429" s="219"/>
      <c r="AI429" s="219"/>
      <c r="AJ429" s="219"/>
      <c r="AK429" s="219"/>
      <c r="AL429" s="219"/>
    </row>
    <row r="430" spans="12:38">
      <c r="L430" s="219"/>
      <c r="M430" s="219"/>
      <c r="N430" s="219"/>
      <c r="O430" s="219"/>
      <c r="P430" s="219"/>
      <c r="Q430" s="219"/>
      <c r="R430" s="219"/>
      <c r="S430" s="219"/>
      <c r="T430" s="219"/>
      <c r="U430" s="219"/>
      <c r="V430" s="219"/>
      <c r="W430" s="219"/>
      <c r="AB430" s="219"/>
      <c r="AC430" s="219"/>
      <c r="AD430" s="219"/>
      <c r="AE430" s="219"/>
      <c r="AF430" s="219"/>
      <c r="AG430" s="219"/>
      <c r="AH430" s="219"/>
      <c r="AI430" s="219"/>
      <c r="AJ430" s="219"/>
      <c r="AK430" s="219"/>
      <c r="AL430" s="219"/>
    </row>
    <row r="431" spans="12:38">
      <c r="L431" s="219"/>
      <c r="M431" s="219"/>
      <c r="N431" s="219"/>
      <c r="O431" s="219"/>
      <c r="P431" s="219"/>
      <c r="Q431" s="219"/>
      <c r="R431" s="219"/>
      <c r="S431" s="219"/>
      <c r="T431" s="219"/>
      <c r="U431" s="219"/>
      <c r="V431" s="219"/>
      <c r="W431" s="219"/>
      <c r="AB431" s="219"/>
      <c r="AC431" s="219"/>
      <c r="AD431" s="219"/>
      <c r="AE431" s="219"/>
      <c r="AF431" s="219"/>
      <c r="AG431" s="219"/>
      <c r="AH431" s="219"/>
      <c r="AI431" s="219"/>
      <c r="AJ431" s="219"/>
      <c r="AK431" s="219"/>
      <c r="AL431" s="219"/>
    </row>
    <row r="432" spans="12:38">
      <c r="L432" s="219"/>
      <c r="M432" s="219"/>
      <c r="N432" s="219"/>
      <c r="O432" s="219"/>
      <c r="P432" s="219"/>
      <c r="Q432" s="219"/>
      <c r="R432" s="219"/>
      <c r="S432" s="219"/>
      <c r="T432" s="219"/>
      <c r="U432" s="219"/>
      <c r="V432" s="219"/>
      <c r="W432" s="219"/>
      <c r="AB432" s="219"/>
      <c r="AC432" s="219"/>
      <c r="AD432" s="219"/>
      <c r="AE432" s="219"/>
      <c r="AF432" s="219"/>
      <c r="AG432" s="219"/>
      <c r="AH432" s="219"/>
      <c r="AI432" s="219"/>
      <c r="AJ432" s="219"/>
      <c r="AK432" s="219"/>
      <c r="AL432" s="219"/>
    </row>
    <row r="433" spans="12:38">
      <c r="L433" s="219"/>
      <c r="M433" s="219"/>
      <c r="N433" s="219"/>
      <c r="O433" s="219"/>
      <c r="P433" s="219"/>
      <c r="Q433" s="219"/>
      <c r="R433" s="219"/>
      <c r="S433" s="219"/>
      <c r="T433" s="219"/>
      <c r="U433" s="219"/>
      <c r="V433" s="219"/>
      <c r="W433" s="219"/>
      <c r="AB433" s="219"/>
      <c r="AC433" s="219"/>
      <c r="AD433" s="219"/>
      <c r="AE433" s="219"/>
      <c r="AF433" s="219"/>
      <c r="AG433" s="219"/>
      <c r="AH433" s="219"/>
      <c r="AI433" s="219"/>
      <c r="AJ433" s="219"/>
      <c r="AK433" s="219"/>
      <c r="AL433" s="219"/>
    </row>
    <row r="434" spans="12:38">
      <c r="L434" s="219"/>
      <c r="M434" s="219"/>
      <c r="N434" s="219"/>
      <c r="O434" s="219"/>
      <c r="P434" s="219"/>
      <c r="Q434" s="219"/>
      <c r="R434" s="219"/>
      <c r="S434" s="219"/>
      <c r="T434" s="219"/>
      <c r="U434" s="219"/>
      <c r="V434" s="219"/>
      <c r="W434" s="219"/>
      <c r="AB434" s="219"/>
      <c r="AC434" s="219"/>
      <c r="AD434" s="219"/>
      <c r="AE434" s="219"/>
      <c r="AF434" s="219"/>
      <c r="AG434" s="219"/>
      <c r="AH434" s="219"/>
      <c r="AI434" s="219"/>
      <c r="AJ434" s="219"/>
      <c r="AK434" s="219"/>
      <c r="AL434" s="219"/>
    </row>
    <row r="435" spans="12:38">
      <c r="L435" s="219"/>
      <c r="M435" s="219"/>
      <c r="N435" s="219"/>
      <c r="O435" s="219"/>
      <c r="P435" s="219"/>
      <c r="Q435" s="219"/>
      <c r="R435" s="219"/>
      <c r="S435" s="219"/>
      <c r="T435" s="219"/>
      <c r="U435" s="219"/>
      <c r="V435" s="219"/>
      <c r="W435" s="219"/>
      <c r="AB435" s="219"/>
      <c r="AC435" s="219"/>
      <c r="AD435" s="219"/>
      <c r="AE435" s="219"/>
      <c r="AF435" s="219"/>
      <c r="AG435" s="219"/>
      <c r="AH435" s="219"/>
      <c r="AI435" s="219"/>
      <c r="AJ435" s="219"/>
      <c r="AK435" s="219"/>
      <c r="AL435" s="219"/>
    </row>
    <row r="436" spans="12:38">
      <c r="L436" s="219"/>
      <c r="M436" s="219"/>
      <c r="N436" s="219"/>
      <c r="O436" s="219"/>
      <c r="P436" s="219"/>
      <c r="Q436" s="219"/>
      <c r="R436" s="219"/>
      <c r="S436" s="219"/>
      <c r="T436" s="219"/>
      <c r="U436" s="219"/>
      <c r="V436" s="219"/>
      <c r="W436" s="219"/>
      <c r="AB436" s="219"/>
      <c r="AC436" s="219"/>
      <c r="AD436" s="219"/>
      <c r="AE436" s="219"/>
      <c r="AF436" s="219"/>
      <c r="AG436" s="219"/>
      <c r="AH436" s="219"/>
      <c r="AI436" s="219"/>
      <c r="AJ436" s="219"/>
      <c r="AK436" s="219"/>
      <c r="AL436" s="219"/>
    </row>
    <row r="437" spans="12:38">
      <c r="L437" s="219"/>
      <c r="M437" s="219"/>
      <c r="N437" s="219"/>
      <c r="O437" s="219"/>
      <c r="P437" s="219"/>
      <c r="Q437" s="219"/>
      <c r="R437" s="219"/>
      <c r="S437" s="219"/>
      <c r="T437" s="219"/>
      <c r="U437" s="219"/>
      <c r="V437" s="219"/>
      <c r="W437" s="219"/>
      <c r="AB437" s="219"/>
      <c r="AC437" s="219"/>
      <c r="AD437" s="219"/>
      <c r="AE437" s="219"/>
      <c r="AF437" s="219"/>
      <c r="AG437" s="219"/>
      <c r="AH437" s="219"/>
      <c r="AI437" s="219"/>
      <c r="AJ437" s="219"/>
      <c r="AK437" s="219"/>
      <c r="AL437" s="219"/>
    </row>
    <row r="438" spans="12:38">
      <c r="L438" s="219"/>
      <c r="M438" s="219"/>
      <c r="N438" s="219"/>
      <c r="O438" s="219"/>
      <c r="P438" s="219"/>
      <c r="Q438" s="219"/>
      <c r="R438" s="219"/>
      <c r="S438" s="219"/>
      <c r="T438" s="219"/>
      <c r="U438" s="219"/>
      <c r="V438" s="219"/>
      <c r="W438" s="219"/>
      <c r="AB438" s="219"/>
      <c r="AC438" s="219"/>
      <c r="AD438" s="219"/>
      <c r="AE438" s="219"/>
      <c r="AF438" s="219"/>
      <c r="AG438" s="219"/>
      <c r="AH438" s="219"/>
      <c r="AI438" s="219"/>
      <c r="AJ438" s="219"/>
      <c r="AK438" s="219"/>
      <c r="AL438" s="219"/>
    </row>
    <row r="439" spans="12:38">
      <c r="L439" s="219"/>
      <c r="M439" s="219"/>
      <c r="N439" s="219"/>
      <c r="O439" s="219"/>
      <c r="P439" s="219"/>
      <c r="Q439" s="219"/>
      <c r="R439" s="219"/>
      <c r="S439" s="219"/>
      <c r="T439" s="219"/>
      <c r="U439" s="219"/>
      <c r="V439" s="219"/>
      <c r="W439" s="219"/>
      <c r="AB439" s="219"/>
      <c r="AC439" s="219"/>
      <c r="AD439" s="219"/>
      <c r="AE439" s="219"/>
      <c r="AF439" s="219"/>
      <c r="AG439" s="219"/>
      <c r="AH439" s="219"/>
      <c r="AI439" s="219"/>
      <c r="AJ439" s="219"/>
      <c r="AK439" s="219"/>
      <c r="AL439" s="219"/>
    </row>
    <row r="440" spans="12:38">
      <c r="L440" s="219"/>
      <c r="M440" s="219"/>
      <c r="N440" s="219"/>
      <c r="O440" s="219"/>
      <c r="P440" s="219"/>
      <c r="Q440" s="219"/>
      <c r="R440" s="219"/>
      <c r="S440" s="219"/>
      <c r="T440" s="219"/>
      <c r="U440" s="219"/>
      <c r="V440" s="219"/>
      <c r="W440" s="219"/>
      <c r="AB440" s="219"/>
      <c r="AC440" s="219"/>
      <c r="AD440" s="219"/>
      <c r="AE440" s="219"/>
      <c r="AF440" s="219"/>
      <c r="AG440" s="219"/>
      <c r="AH440" s="219"/>
      <c r="AI440" s="219"/>
      <c r="AJ440" s="219"/>
      <c r="AK440" s="219"/>
      <c r="AL440" s="219"/>
    </row>
    <row r="441" spans="12:38">
      <c r="L441" s="219"/>
      <c r="M441" s="219"/>
      <c r="N441" s="219"/>
      <c r="O441" s="219"/>
      <c r="P441" s="219"/>
      <c r="Q441" s="219"/>
      <c r="R441" s="219"/>
      <c r="S441" s="219"/>
      <c r="T441" s="219"/>
      <c r="U441" s="219"/>
      <c r="V441" s="219"/>
      <c r="W441" s="219"/>
      <c r="AB441" s="219"/>
      <c r="AC441" s="219"/>
      <c r="AD441" s="219"/>
      <c r="AE441" s="219"/>
      <c r="AF441" s="219"/>
      <c r="AG441" s="219"/>
      <c r="AH441" s="219"/>
      <c r="AI441" s="219"/>
      <c r="AJ441" s="219"/>
      <c r="AK441" s="219"/>
      <c r="AL441" s="219"/>
    </row>
    <row r="442" spans="12:38">
      <c r="L442" s="219"/>
      <c r="M442" s="219"/>
      <c r="N442" s="219"/>
      <c r="O442" s="219"/>
      <c r="P442" s="219"/>
      <c r="Q442" s="219"/>
      <c r="R442" s="219"/>
      <c r="S442" s="219"/>
      <c r="T442" s="219"/>
      <c r="U442" s="219"/>
      <c r="V442" s="219"/>
      <c r="W442" s="219"/>
      <c r="AB442" s="219"/>
      <c r="AC442" s="219"/>
      <c r="AD442" s="219"/>
      <c r="AE442" s="219"/>
      <c r="AF442" s="219"/>
      <c r="AG442" s="219"/>
      <c r="AH442" s="219"/>
      <c r="AI442" s="219"/>
      <c r="AJ442" s="219"/>
      <c r="AK442" s="219"/>
      <c r="AL442" s="219"/>
    </row>
    <row r="443" spans="12:38">
      <c r="L443" s="219"/>
      <c r="M443" s="219"/>
      <c r="N443" s="219"/>
      <c r="O443" s="219"/>
      <c r="P443" s="219"/>
      <c r="Q443" s="219"/>
      <c r="R443" s="219"/>
      <c r="S443" s="219"/>
      <c r="T443" s="219"/>
      <c r="U443" s="219"/>
      <c r="V443" s="219"/>
      <c r="W443" s="219"/>
      <c r="AB443" s="219"/>
      <c r="AC443" s="219"/>
      <c r="AD443" s="219"/>
      <c r="AE443" s="219"/>
      <c r="AF443" s="219"/>
      <c r="AG443" s="219"/>
      <c r="AH443" s="219"/>
      <c r="AI443" s="219"/>
      <c r="AJ443" s="219"/>
      <c r="AK443" s="219"/>
      <c r="AL443" s="219"/>
    </row>
    <row r="444" spans="12:38">
      <c r="L444" s="219"/>
      <c r="M444" s="219"/>
      <c r="N444" s="219"/>
      <c r="O444" s="219"/>
      <c r="P444" s="219"/>
      <c r="Q444" s="219"/>
      <c r="R444" s="219"/>
      <c r="S444" s="219"/>
      <c r="T444" s="219"/>
      <c r="U444" s="219"/>
      <c r="V444" s="219"/>
      <c r="W444" s="219"/>
      <c r="AB444" s="219"/>
      <c r="AC444" s="219"/>
      <c r="AD444" s="219"/>
      <c r="AE444" s="219"/>
      <c r="AF444" s="219"/>
      <c r="AG444" s="219"/>
      <c r="AH444" s="219"/>
      <c r="AI444" s="219"/>
      <c r="AJ444" s="219"/>
      <c r="AK444" s="219"/>
      <c r="AL444" s="219"/>
    </row>
    <row r="445" spans="12:38">
      <c r="L445" s="219"/>
      <c r="M445" s="219"/>
      <c r="N445" s="219"/>
      <c r="O445" s="219"/>
      <c r="P445" s="219"/>
      <c r="Q445" s="219"/>
      <c r="R445" s="219"/>
      <c r="S445" s="219"/>
      <c r="T445" s="219"/>
      <c r="U445" s="219"/>
      <c r="V445" s="219"/>
      <c r="W445" s="219"/>
      <c r="AB445" s="219"/>
      <c r="AC445" s="219"/>
      <c r="AD445" s="219"/>
      <c r="AE445" s="219"/>
      <c r="AF445" s="219"/>
      <c r="AG445" s="219"/>
      <c r="AH445" s="219"/>
      <c r="AI445" s="219"/>
      <c r="AJ445" s="219"/>
      <c r="AK445" s="219"/>
      <c r="AL445" s="219"/>
    </row>
    <row r="446" spans="12:38">
      <c r="L446" s="219"/>
      <c r="M446" s="219"/>
      <c r="N446" s="219"/>
      <c r="O446" s="219"/>
      <c r="P446" s="219"/>
      <c r="Q446" s="219"/>
      <c r="R446" s="219"/>
      <c r="S446" s="219"/>
      <c r="T446" s="219"/>
      <c r="U446" s="219"/>
      <c r="V446" s="219"/>
      <c r="W446" s="219"/>
      <c r="AB446" s="219"/>
      <c r="AC446" s="219"/>
      <c r="AD446" s="219"/>
      <c r="AE446" s="219"/>
      <c r="AF446" s="219"/>
      <c r="AG446" s="219"/>
      <c r="AH446" s="219"/>
      <c r="AI446" s="219"/>
      <c r="AJ446" s="219"/>
      <c r="AK446" s="219"/>
      <c r="AL446" s="219"/>
    </row>
    <row r="447" spans="12:38">
      <c r="L447" s="219"/>
      <c r="M447" s="219"/>
      <c r="N447" s="219"/>
      <c r="O447" s="219"/>
      <c r="P447" s="219"/>
      <c r="Q447" s="219"/>
      <c r="R447" s="219"/>
      <c r="S447" s="219"/>
      <c r="T447" s="219"/>
      <c r="U447" s="219"/>
      <c r="V447" s="219"/>
      <c r="W447" s="219"/>
      <c r="AB447" s="219"/>
      <c r="AC447" s="219"/>
      <c r="AD447" s="219"/>
      <c r="AE447" s="219"/>
      <c r="AF447" s="219"/>
      <c r="AG447" s="219"/>
      <c r="AH447" s="219"/>
      <c r="AI447" s="219"/>
      <c r="AJ447" s="219"/>
      <c r="AK447" s="219"/>
      <c r="AL447" s="219"/>
    </row>
    <row r="448" spans="12:38">
      <c r="L448" s="219"/>
      <c r="M448" s="219"/>
      <c r="N448" s="219"/>
      <c r="O448" s="219"/>
      <c r="P448" s="219"/>
      <c r="Q448" s="219"/>
      <c r="R448" s="219"/>
      <c r="S448" s="219"/>
      <c r="T448" s="219"/>
      <c r="U448" s="219"/>
      <c r="V448" s="219"/>
      <c r="W448" s="219"/>
      <c r="AB448" s="219"/>
      <c r="AC448" s="219"/>
      <c r="AD448" s="219"/>
      <c r="AE448" s="219"/>
      <c r="AF448" s="219"/>
      <c r="AG448" s="219"/>
      <c r="AH448" s="219"/>
      <c r="AI448" s="219"/>
      <c r="AJ448" s="219"/>
      <c r="AK448" s="219"/>
      <c r="AL448" s="219"/>
    </row>
    <row r="449" spans="12:38">
      <c r="L449" s="219"/>
      <c r="M449" s="219"/>
      <c r="N449" s="219"/>
      <c r="O449" s="219"/>
      <c r="P449" s="219"/>
      <c r="Q449" s="219"/>
      <c r="R449" s="219"/>
      <c r="S449" s="219"/>
      <c r="T449" s="219"/>
      <c r="U449" s="219"/>
      <c r="V449" s="219"/>
      <c r="W449" s="219"/>
      <c r="AB449" s="219"/>
      <c r="AC449" s="219"/>
      <c r="AD449" s="219"/>
      <c r="AE449" s="219"/>
      <c r="AF449" s="219"/>
      <c r="AG449" s="219"/>
      <c r="AH449" s="219"/>
      <c r="AI449" s="219"/>
      <c r="AJ449" s="219"/>
      <c r="AK449" s="219"/>
      <c r="AL449" s="219"/>
    </row>
    <row r="450" spans="12:38">
      <c r="L450" s="219"/>
      <c r="M450" s="219"/>
      <c r="N450" s="219"/>
      <c r="O450" s="219"/>
      <c r="P450" s="219"/>
      <c r="Q450" s="219"/>
      <c r="R450" s="219"/>
      <c r="S450" s="219"/>
      <c r="T450" s="219"/>
      <c r="U450" s="219"/>
      <c r="V450" s="219"/>
      <c r="W450" s="219"/>
      <c r="AB450" s="219"/>
      <c r="AC450" s="219"/>
      <c r="AD450" s="219"/>
      <c r="AE450" s="219"/>
      <c r="AF450" s="219"/>
      <c r="AG450" s="219"/>
      <c r="AH450" s="219"/>
      <c r="AI450" s="219"/>
      <c r="AJ450" s="219"/>
      <c r="AK450" s="219"/>
      <c r="AL450" s="219"/>
    </row>
    <row r="451" spans="12:38">
      <c r="L451" s="219"/>
      <c r="M451" s="219"/>
      <c r="N451" s="219"/>
      <c r="O451" s="219"/>
      <c r="P451" s="219"/>
      <c r="Q451" s="219"/>
      <c r="R451" s="219"/>
      <c r="S451" s="219"/>
      <c r="T451" s="219"/>
      <c r="U451" s="219"/>
      <c r="V451" s="219"/>
      <c r="W451" s="219"/>
      <c r="AB451" s="219"/>
      <c r="AC451" s="219"/>
      <c r="AD451" s="219"/>
      <c r="AE451" s="219"/>
      <c r="AF451" s="219"/>
      <c r="AG451" s="219"/>
      <c r="AH451" s="219"/>
      <c r="AI451" s="219"/>
      <c r="AJ451" s="219"/>
      <c r="AK451" s="219"/>
      <c r="AL451" s="219"/>
    </row>
    <row r="452" spans="12:38">
      <c r="L452" s="219"/>
      <c r="M452" s="219"/>
      <c r="N452" s="219"/>
      <c r="O452" s="219"/>
      <c r="P452" s="219"/>
      <c r="Q452" s="219"/>
      <c r="R452" s="219"/>
      <c r="S452" s="219"/>
      <c r="T452" s="219"/>
      <c r="U452" s="219"/>
      <c r="V452" s="219"/>
      <c r="W452" s="219"/>
      <c r="AB452" s="219"/>
      <c r="AC452" s="219"/>
      <c r="AD452" s="219"/>
      <c r="AE452" s="219"/>
      <c r="AF452" s="219"/>
      <c r="AG452" s="219"/>
      <c r="AH452" s="219"/>
      <c r="AI452" s="219"/>
      <c r="AJ452" s="219"/>
      <c r="AK452" s="219"/>
      <c r="AL452" s="219"/>
    </row>
    <row r="453" spans="12:38">
      <c r="L453" s="219"/>
      <c r="M453" s="219"/>
      <c r="N453" s="219"/>
      <c r="O453" s="219"/>
      <c r="P453" s="219"/>
      <c r="Q453" s="219"/>
      <c r="R453" s="219"/>
      <c r="S453" s="219"/>
      <c r="T453" s="219"/>
      <c r="U453" s="219"/>
      <c r="V453" s="219"/>
      <c r="W453" s="219"/>
      <c r="AB453" s="219"/>
      <c r="AC453" s="219"/>
      <c r="AD453" s="219"/>
      <c r="AE453" s="219"/>
      <c r="AF453" s="219"/>
      <c r="AG453" s="219"/>
      <c r="AH453" s="219"/>
      <c r="AI453" s="219"/>
      <c r="AJ453" s="219"/>
      <c r="AK453" s="219"/>
      <c r="AL453" s="219"/>
    </row>
    <row r="454" spans="12:38">
      <c r="L454" s="219"/>
      <c r="M454" s="219"/>
      <c r="N454" s="219"/>
      <c r="O454" s="219"/>
      <c r="P454" s="219"/>
      <c r="Q454" s="219"/>
      <c r="R454" s="219"/>
      <c r="S454" s="219"/>
      <c r="T454" s="219"/>
      <c r="U454" s="219"/>
      <c r="V454" s="219"/>
      <c r="W454" s="219"/>
      <c r="AB454" s="219"/>
      <c r="AC454" s="219"/>
      <c r="AD454" s="219"/>
      <c r="AE454" s="219"/>
      <c r="AF454" s="219"/>
      <c r="AG454" s="219"/>
      <c r="AH454" s="219"/>
      <c r="AI454" s="219"/>
      <c r="AJ454" s="219"/>
      <c r="AK454" s="219"/>
      <c r="AL454" s="219"/>
    </row>
    <row r="455" spans="12:38">
      <c r="L455" s="219"/>
      <c r="M455" s="219"/>
      <c r="N455" s="219"/>
      <c r="O455" s="219"/>
      <c r="P455" s="219"/>
      <c r="Q455" s="219"/>
      <c r="R455" s="219"/>
      <c r="S455" s="219"/>
      <c r="T455" s="219"/>
      <c r="U455" s="219"/>
      <c r="V455" s="219"/>
      <c r="W455" s="219"/>
      <c r="AB455" s="219"/>
      <c r="AC455" s="219"/>
      <c r="AD455" s="219"/>
      <c r="AE455" s="219"/>
      <c r="AF455" s="219"/>
      <c r="AG455" s="219"/>
      <c r="AH455" s="219"/>
      <c r="AI455" s="219"/>
      <c r="AJ455" s="219"/>
      <c r="AK455" s="219"/>
      <c r="AL455" s="219"/>
    </row>
    <row r="456" spans="12:38">
      <c r="L456" s="219"/>
      <c r="M456" s="219"/>
      <c r="N456" s="219"/>
      <c r="O456" s="219"/>
      <c r="P456" s="219"/>
      <c r="Q456" s="219"/>
      <c r="R456" s="219"/>
      <c r="S456" s="219"/>
      <c r="T456" s="219"/>
      <c r="U456" s="219"/>
      <c r="V456" s="219"/>
      <c r="W456" s="219"/>
      <c r="AB456" s="219"/>
      <c r="AC456" s="219"/>
      <c r="AD456" s="219"/>
      <c r="AE456" s="219"/>
      <c r="AF456" s="219"/>
      <c r="AG456" s="219"/>
      <c r="AH456" s="219"/>
      <c r="AI456" s="219"/>
      <c r="AJ456" s="219"/>
      <c r="AK456" s="219"/>
      <c r="AL456" s="219"/>
    </row>
    <row r="457" spans="12:38">
      <c r="L457" s="219"/>
      <c r="M457" s="219"/>
      <c r="N457" s="219"/>
      <c r="O457" s="219"/>
      <c r="P457" s="219"/>
      <c r="Q457" s="219"/>
      <c r="R457" s="219"/>
      <c r="S457" s="219"/>
      <c r="T457" s="219"/>
      <c r="U457" s="219"/>
      <c r="V457" s="219"/>
      <c r="W457" s="219"/>
      <c r="AB457" s="219"/>
      <c r="AC457" s="219"/>
      <c r="AD457" s="219"/>
      <c r="AE457" s="219"/>
      <c r="AF457" s="219"/>
      <c r="AG457" s="219"/>
      <c r="AH457" s="219"/>
      <c r="AI457" s="219"/>
      <c r="AJ457" s="219"/>
      <c r="AK457" s="219"/>
      <c r="AL457" s="219"/>
    </row>
    <row r="458" spans="12:38">
      <c r="L458" s="219"/>
      <c r="M458" s="219"/>
      <c r="N458" s="219"/>
      <c r="O458" s="219"/>
      <c r="P458" s="219"/>
      <c r="Q458" s="219"/>
      <c r="R458" s="219"/>
      <c r="S458" s="219"/>
      <c r="T458" s="219"/>
      <c r="U458" s="219"/>
      <c r="V458" s="219"/>
      <c r="W458" s="219"/>
      <c r="AB458" s="219"/>
      <c r="AC458" s="219"/>
      <c r="AD458" s="219"/>
      <c r="AE458" s="219"/>
      <c r="AF458" s="219"/>
      <c r="AG458" s="219"/>
      <c r="AH458" s="219"/>
      <c r="AI458" s="219"/>
      <c r="AJ458" s="219"/>
      <c r="AK458" s="219"/>
      <c r="AL458" s="219"/>
    </row>
    <row r="459" spans="12:38">
      <c r="L459" s="219"/>
      <c r="M459" s="219"/>
      <c r="N459" s="219"/>
      <c r="O459" s="219"/>
      <c r="P459" s="219"/>
      <c r="Q459" s="219"/>
      <c r="R459" s="219"/>
      <c r="S459" s="219"/>
      <c r="T459" s="219"/>
      <c r="U459" s="219"/>
      <c r="V459" s="219"/>
      <c r="W459" s="219"/>
      <c r="AB459" s="219"/>
      <c r="AC459" s="219"/>
      <c r="AD459" s="219"/>
      <c r="AE459" s="219"/>
      <c r="AF459" s="219"/>
      <c r="AG459" s="219"/>
      <c r="AH459" s="219"/>
      <c r="AI459" s="219"/>
      <c r="AJ459" s="219"/>
      <c r="AK459" s="219"/>
      <c r="AL459" s="219"/>
    </row>
    <row r="460" spans="12:38">
      <c r="L460" s="219"/>
      <c r="M460" s="219"/>
      <c r="N460" s="219"/>
      <c r="O460" s="219"/>
      <c r="P460" s="219"/>
      <c r="Q460" s="219"/>
      <c r="R460" s="219"/>
      <c r="S460" s="219"/>
      <c r="T460" s="219"/>
      <c r="U460" s="219"/>
      <c r="V460" s="219"/>
      <c r="W460" s="219"/>
      <c r="AB460" s="219"/>
      <c r="AC460" s="219"/>
      <c r="AD460" s="219"/>
      <c r="AE460" s="219"/>
      <c r="AF460" s="219"/>
      <c r="AG460" s="219"/>
      <c r="AH460" s="219"/>
      <c r="AI460" s="219"/>
      <c r="AJ460" s="219"/>
      <c r="AK460" s="219"/>
      <c r="AL460" s="219"/>
    </row>
    <row r="461" spans="12:38">
      <c r="L461" s="219"/>
      <c r="M461" s="219"/>
      <c r="N461" s="219"/>
      <c r="O461" s="219"/>
      <c r="P461" s="219"/>
      <c r="Q461" s="219"/>
      <c r="R461" s="219"/>
      <c r="S461" s="219"/>
      <c r="T461" s="219"/>
      <c r="U461" s="219"/>
      <c r="V461" s="219"/>
      <c r="W461" s="219"/>
      <c r="AB461" s="219"/>
      <c r="AC461" s="219"/>
      <c r="AD461" s="219"/>
      <c r="AE461" s="219"/>
      <c r="AF461" s="219"/>
      <c r="AG461" s="219"/>
      <c r="AH461" s="219"/>
      <c r="AI461" s="219"/>
      <c r="AJ461" s="219"/>
      <c r="AK461" s="219"/>
      <c r="AL461" s="219"/>
    </row>
    <row r="462" spans="12:38">
      <c r="L462" s="219"/>
      <c r="M462" s="219"/>
      <c r="N462" s="219"/>
      <c r="O462" s="219"/>
      <c r="P462" s="219"/>
      <c r="Q462" s="219"/>
      <c r="R462" s="219"/>
      <c r="S462" s="219"/>
      <c r="T462" s="219"/>
      <c r="U462" s="219"/>
      <c r="V462" s="219"/>
      <c r="W462" s="219"/>
      <c r="AB462" s="219"/>
      <c r="AC462" s="219"/>
      <c r="AD462" s="219"/>
      <c r="AE462" s="219"/>
      <c r="AF462" s="219"/>
      <c r="AG462" s="219"/>
      <c r="AH462" s="219"/>
      <c r="AI462" s="219"/>
      <c r="AJ462" s="219"/>
      <c r="AK462" s="219"/>
      <c r="AL462" s="219"/>
    </row>
    <row r="463" spans="12:38">
      <c r="L463" s="219"/>
      <c r="M463" s="219"/>
      <c r="N463" s="219"/>
      <c r="O463" s="219"/>
      <c r="P463" s="219"/>
      <c r="Q463" s="219"/>
      <c r="R463" s="219"/>
      <c r="S463" s="219"/>
      <c r="T463" s="219"/>
      <c r="U463" s="219"/>
      <c r="V463" s="219"/>
      <c r="W463" s="219"/>
      <c r="AB463" s="219"/>
      <c r="AC463" s="219"/>
      <c r="AD463" s="219"/>
      <c r="AE463" s="219"/>
      <c r="AF463" s="219"/>
      <c r="AG463" s="219"/>
      <c r="AH463" s="219"/>
      <c r="AI463" s="219"/>
      <c r="AJ463" s="219"/>
      <c r="AK463" s="219"/>
      <c r="AL463" s="219"/>
    </row>
    <row r="464" spans="12:38">
      <c r="L464" s="219"/>
      <c r="M464" s="219"/>
      <c r="N464" s="219"/>
      <c r="O464" s="219"/>
      <c r="P464" s="219"/>
      <c r="Q464" s="219"/>
      <c r="R464" s="219"/>
      <c r="S464" s="219"/>
      <c r="T464" s="219"/>
      <c r="U464" s="219"/>
      <c r="V464" s="219"/>
      <c r="W464" s="219"/>
      <c r="AB464" s="219"/>
      <c r="AC464" s="219"/>
      <c r="AD464" s="219"/>
      <c r="AE464" s="219"/>
      <c r="AF464" s="219"/>
      <c r="AG464" s="219"/>
      <c r="AH464" s="219"/>
      <c r="AI464" s="219"/>
      <c r="AJ464" s="219"/>
      <c r="AK464" s="219"/>
      <c r="AL464" s="219"/>
    </row>
    <row r="465" spans="12:38">
      <c r="L465" s="219"/>
      <c r="M465" s="219"/>
      <c r="N465" s="219"/>
      <c r="O465" s="219"/>
      <c r="P465" s="219"/>
      <c r="Q465" s="219"/>
      <c r="R465" s="219"/>
      <c r="S465" s="219"/>
      <c r="T465" s="219"/>
      <c r="U465" s="219"/>
      <c r="V465" s="219"/>
      <c r="W465" s="219"/>
      <c r="AB465" s="219"/>
      <c r="AC465" s="219"/>
      <c r="AD465" s="219"/>
      <c r="AE465" s="219"/>
      <c r="AF465" s="219"/>
      <c r="AG465" s="219"/>
      <c r="AH465" s="219"/>
      <c r="AI465" s="219"/>
      <c r="AJ465" s="219"/>
      <c r="AK465" s="219"/>
      <c r="AL465" s="219"/>
    </row>
    <row r="466" spans="12:38">
      <c r="L466" s="219"/>
      <c r="M466" s="219"/>
      <c r="N466" s="219"/>
      <c r="O466" s="219"/>
      <c r="P466" s="219"/>
      <c r="Q466" s="219"/>
      <c r="R466" s="219"/>
      <c r="S466" s="219"/>
      <c r="T466" s="219"/>
      <c r="U466" s="219"/>
      <c r="V466" s="219"/>
      <c r="W466" s="219"/>
      <c r="AB466" s="219"/>
      <c r="AC466" s="219"/>
      <c r="AD466" s="219"/>
      <c r="AE466" s="219"/>
      <c r="AF466" s="219"/>
      <c r="AG466" s="219"/>
      <c r="AH466" s="219"/>
      <c r="AI466" s="219"/>
      <c r="AJ466" s="219"/>
      <c r="AK466" s="219"/>
      <c r="AL466" s="219"/>
    </row>
    <row r="467" spans="12:38">
      <c r="L467" s="219"/>
      <c r="M467" s="219"/>
      <c r="N467" s="219"/>
      <c r="O467" s="219"/>
      <c r="P467" s="219"/>
      <c r="Q467" s="219"/>
      <c r="R467" s="219"/>
      <c r="S467" s="219"/>
      <c r="T467" s="219"/>
      <c r="U467" s="219"/>
      <c r="V467" s="219"/>
      <c r="W467" s="219"/>
      <c r="AB467" s="219"/>
      <c r="AC467" s="219"/>
      <c r="AD467" s="219"/>
      <c r="AE467" s="219"/>
      <c r="AF467" s="219"/>
      <c r="AG467" s="219"/>
      <c r="AH467" s="219"/>
      <c r="AI467" s="219"/>
      <c r="AJ467" s="219"/>
      <c r="AK467" s="219"/>
      <c r="AL467" s="219"/>
    </row>
    <row r="468" spans="12:38">
      <c r="L468" s="219"/>
      <c r="M468" s="219"/>
      <c r="N468" s="219"/>
      <c r="O468" s="219"/>
      <c r="P468" s="219"/>
      <c r="Q468" s="219"/>
      <c r="R468" s="219"/>
      <c r="S468" s="219"/>
      <c r="T468" s="219"/>
      <c r="U468" s="219"/>
      <c r="V468" s="219"/>
      <c r="W468" s="219"/>
      <c r="AB468" s="219"/>
      <c r="AC468" s="219"/>
      <c r="AD468" s="219"/>
      <c r="AE468" s="219"/>
      <c r="AF468" s="219"/>
      <c r="AG468" s="219"/>
      <c r="AH468" s="219"/>
      <c r="AI468" s="219"/>
      <c r="AJ468" s="219"/>
      <c r="AK468" s="219"/>
      <c r="AL468" s="219"/>
    </row>
    <row r="469" spans="12:38">
      <c r="L469" s="219"/>
      <c r="M469" s="219"/>
      <c r="N469" s="219"/>
      <c r="O469" s="219"/>
      <c r="P469" s="219"/>
      <c r="Q469" s="219"/>
      <c r="R469" s="219"/>
      <c r="S469" s="219"/>
      <c r="T469" s="219"/>
      <c r="U469" s="219"/>
      <c r="V469" s="219"/>
      <c r="W469" s="219"/>
      <c r="AB469" s="219"/>
      <c r="AC469" s="219"/>
      <c r="AD469" s="219"/>
      <c r="AE469" s="219"/>
      <c r="AF469" s="219"/>
      <c r="AG469" s="219"/>
      <c r="AH469" s="219"/>
      <c r="AI469" s="219"/>
      <c r="AJ469" s="219"/>
      <c r="AK469" s="219"/>
      <c r="AL469" s="219"/>
    </row>
    <row r="470" spans="12:38">
      <c r="L470" s="219"/>
      <c r="M470" s="219"/>
      <c r="N470" s="219"/>
      <c r="O470" s="219"/>
      <c r="P470" s="219"/>
      <c r="Q470" s="219"/>
      <c r="R470" s="219"/>
      <c r="S470" s="219"/>
      <c r="T470" s="219"/>
      <c r="U470" s="219"/>
      <c r="V470" s="219"/>
      <c r="W470" s="219"/>
      <c r="AB470" s="219"/>
      <c r="AC470" s="219"/>
      <c r="AD470" s="219"/>
      <c r="AE470" s="219"/>
      <c r="AF470" s="219"/>
      <c r="AG470" s="219"/>
      <c r="AH470" s="219"/>
      <c r="AI470" s="219"/>
      <c r="AJ470" s="219"/>
      <c r="AK470" s="219"/>
      <c r="AL470" s="219"/>
    </row>
    <row r="471" spans="12:38">
      <c r="L471" s="219"/>
      <c r="M471" s="219"/>
      <c r="N471" s="219"/>
      <c r="O471" s="219"/>
      <c r="P471" s="219"/>
      <c r="Q471" s="219"/>
      <c r="R471" s="219"/>
      <c r="S471" s="219"/>
      <c r="T471" s="219"/>
      <c r="U471" s="219"/>
      <c r="V471" s="219"/>
      <c r="W471" s="219"/>
      <c r="AB471" s="219"/>
      <c r="AC471" s="219"/>
      <c r="AD471" s="219"/>
      <c r="AE471" s="219"/>
      <c r="AF471" s="219"/>
      <c r="AG471" s="219"/>
      <c r="AH471" s="219"/>
      <c r="AI471" s="219"/>
      <c r="AJ471" s="219"/>
      <c r="AK471" s="219"/>
      <c r="AL471" s="219"/>
    </row>
    <row r="472" spans="12:38">
      <c r="L472" s="219"/>
      <c r="M472" s="219"/>
      <c r="N472" s="219"/>
      <c r="O472" s="219"/>
      <c r="P472" s="219"/>
      <c r="Q472" s="219"/>
      <c r="R472" s="219"/>
      <c r="S472" s="219"/>
      <c r="T472" s="219"/>
      <c r="U472" s="219"/>
      <c r="V472" s="219"/>
      <c r="W472" s="219"/>
      <c r="AB472" s="219"/>
      <c r="AC472" s="219"/>
      <c r="AD472" s="219"/>
      <c r="AE472" s="219"/>
      <c r="AF472" s="219"/>
      <c r="AG472" s="219"/>
      <c r="AH472" s="219"/>
      <c r="AI472" s="219"/>
      <c r="AJ472" s="219"/>
      <c r="AK472" s="219"/>
      <c r="AL472" s="219"/>
    </row>
    <row r="473" spans="12:38">
      <c r="L473" s="219"/>
      <c r="M473" s="219"/>
      <c r="N473" s="219"/>
      <c r="O473" s="219"/>
      <c r="P473" s="219"/>
      <c r="Q473" s="219"/>
      <c r="R473" s="219"/>
      <c r="S473" s="219"/>
      <c r="T473" s="219"/>
      <c r="U473" s="219"/>
      <c r="V473" s="219"/>
      <c r="W473" s="219"/>
      <c r="AB473" s="219"/>
      <c r="AC473" s="219"/>
      <c r="AD473" s="219"/>
      <c r="AE473" s="219"/>
      <c r="AF473" s="219"/>
      <c r="AG473" s="219"/>
      <c r="AH473" s="219"/>
      <c r="AI473" s="219"/>
      <c r="AJ473" s="219"/>
      <c r="AK473" s="219"/>
      <c r="AL473" s="219"/>
    </row>
    <row r="474" spans="12:38">
      <c r="L474" s="219"/>
      <c r="M474" s="219"/>
      <c r="N474" s="219"/>
      <c r="O474" s="219"/>
      <c r="P474" s="219"/>
      <c r="Q474" s="219"/>
      <c r="R474" s="219"/>
      <c r="S474" s="219"/>
      <c r="T474" s="219"/>
      <c r="U474" s="219"/>
      <c r="V474" s="219"/>
      <c r="W474" s="219"/>
      <c r="AB474" s="219"/>
      <c r="AC474" s="219"/>
      <c r="AD474" s="219"/>
      <c r="AE474" s="219"/>
      <c r="AF474" s="219"/>
      <c r="AG474" s="219"/>
      <c r="AH474" s="219"/>
      <c r="AI474" s="219"/>
      <c r="AJ474" s="219"/>
      <c r="AK474" s="219"/>
      <c r="AL474" s="219"/>
    </row>
    <row r="475" spans="12:38">
      <c r="L475" s="219"/>
      <c r="M475" s="219"/>
      <c r="N475" s="219"/>
      <c r="O475" s="219"/>
      <c r="P475" s="219"/>
      <c r="Q475" s="219"/>
      <c r="R475" s="219"/>
      <c r="S475" s="219"/>
      <c r="T475" s="219"/>
      <c r="U475" s="219"/>
      <c r="V475" s="219"/>
      <c r="W475" s="219"/>
      <c r="AB475" s="219"/>
      <c r="AC475" s="219"/>
      <c r="AD475" s="219"/>
      <c r="AE475" s="219"/>
      <c r="AF475" s="219"/>
      <c r="AG475" s="219"/>
      <c r="AH475" s="219"/>
      <c r="AI475" s="219"/>
      <c r="AJ475" s="219"/>
      <c r="AK475" s="219"/>
      <c r="AL475" s="219"/>
    </row>
    <row r="476" spans="12:38">
      <c r="L476" s="219"/>
      <c r="M476" s="219"/>
      <c r="N476" s="219"/>
      <c r="O476" s="219"/>
      <c r="P476" s="219"/>
      <c r="Q476" s="219"/>
      <c r="R476" s="219"/>
      <c r="S476" s="219"/>
      <c r="T476" s="219"/>
      <c r="U476" s="219"/>
      <c r="V476" s="219"/>
      <c r="W476" s="219"/>
      <c r="AB476" s="219"/>
      <c r="AC476" s="219"/>
      <c r="AD476" s="219"/>
      <c r="AE476" s="219"/>
      <c r="AF476" s="219"/>
      <c r="AG476" s="219"/>
      <c r="AH476" s="219"/>
      <c r="AI476" s="219"/>
      <c r="AJ476" s="219"/>
      <c r="AK476" s="219"/>
      <c r="AL476" s="219"/>
    </row>
    <row r="477" spans="12:38">
      <c r="L477" s="219"/>
      <c r="M477" s="219"/>
      <c r="N477" s="219"/>
      <c r="O477" s="219"/>
      <c r="P477" s="219"/>
      <c r="Q477" s="219"/>
      <c r="R477" s="219"/>
      <c r="S477" s="219"/>
      <c r="T477" s="219"/>
      <c r="U477" s="219"/>
      <c r="V477" s="219"/>
      <c r="W477" s="219"/>
      <c r="AB477" s="219"/>
      <c r="AC477" s="219"/>
      <c r="AD477" s="219"/>
      <c r="AE477" s="219"/>
      <c r="AF477" s="219"/>
      <c r="AG477" s="219"/>
      <c r="AH477" s="219"/>
      <c r="AI477" s="219"/>
      <c r="AJ477" s="219"/>
      <c r="AK477" s="219"/>
      <c r="AL477" s="219"/>
    </row>
    <row r="478" spans="12:38">
      <c r="L478" s="219"/>
      <c r="M478" s="219"/>
      <c r="N478" s="219"/>
      <c r="O478" s="219"/>
      <c r="P478" s="219"/>
      <c r="Q478" s="219"/>
      <c r="R478" s="219"/>
      <c r="S478" s="219"/>
      <c r="T478" s="219"/>
      <c r="U478" s="219"/>
      <c r="V478" s="219"/>
      <c r="W478" s="219"/>
      <c r="AB478" s="219"/>
      <c r="AC478" s="219"/>
      <c r="AD478" s="219"/>
      <c r="AE478" s="219"/>
      <c r="AF478" s="219"/>
      <c r="AG478" s="219"/>
      <c r="AH478" s="219"/>
      <c r="AI478" s="219"/>
      <c r="AJ478" s="219"/>
      <c r="AK478" s="219"/>
      <c r="AL478" s="219"/>
    </row>
    <row r="479" spans="12:38">
      <c r="L479" s="219"/>
      <c r="M479" s="219"/>
      <c r="N479" s="219"/>
      <c r="O479" s="219"/>
      <c r="P479" s="219"/>
      <c r="Q479" s="219"/>
      <c r="R479" s="219"/>
      <c r="S479" s="219"/>
      <c r="T479" s="219"/>
      <c r="U479" s="219"/>
      <c r="V479" s="219"/>
      <c r="W479" s="219"/>
      <c r="AB479" s="219"/>
      <c r="AC479" s="219"/>
      <c r="AD479" s="219"/>
      <c r="AE479" s="219"/>
      <c r="AF479" s="219"/>
      <c r="AG479" s="219"/>
      <c r="AH479" s="219"/>
      <c r="AI479" s="219"/>
      <c r="AJ479" s="219"/>
      <c r="AK479" s="219"/>
      <c r="AL479" s="219"/>
    </row>
    <row r="480" spans="12:38">
      <c r="L480" s="219"/>
      <c r="M480" s="219"/>
      <c r="N480" s="219"/>
      <c r="O480" s="219"/>
      <c r="P480" s="219"/>
      <c r="Q480" s="219"/>
      <c r="R480" s="219"/>
      <c r="S480" s="219"/>
      <c r="T480" s="219"/>
      <c r="U480" s="219"/>
      <c r="V480" s="219"/>
      <c r="W480" s="219"/>
      <c r="AB480" s="219"/>
      <c r="AC480" s="219"/>
      <c r="AD480" s="219"/>
      <c r="AE480" s="219"/>
      <c r="AF480" s="219"/>
      <c r="AG480" s="219"/>
      <c r="AH480" s="219"/>
      <c r="AI480" s="219"/>
      <c r="AJ480" s="219"/>
      <c r="AK480" s="219"/>
      <c r="AL480" s="219"/>
    </row>
    <row r="481" spans="12:38">
      <c r="L481" s="219"/>
      <c r="M481" s="219"/>
      <c r="N481" s="219"/>
      <c r="O481" s="219"/>
      <c r="P481" s="219"/>
      <c r="Q481" s="219"/>
      <c r="R481" s="219"/>
      <c r="S481" s="219"/>
      <c r="T481" s="219"/>
      <c r="U481" s="219"/>
      <c r="V481" s="219"/>
      <c r="W481" s="219"/>
      <c r="AB481" s="219"/>
      <c r="AC481" s="219"/>
      <c r="AD481" s="219"/>
      <c r="AE481" s="219"/>
      <c r="AF481" s="219"/>
      <c r="AG481" s="219"/>
      <c r="AH481" s="219"/>
      <c r="AI481" s="219"/>
      <c r="AJ481" s="219"/>
      <c r="AK481" s="219"/>
      <c r="AL481" s="219"/>
    </row>
    <row r="482" spans="12:38">
      <c r="L482" s="219"/>
      <c r="M482" s="219"/>
      <c r="N482" s="219"/>
      <c r="O482" s="219"/>
      <c r="P482" s="219"/>
      <c r="Q482" s="219"/>
      <c r="R482" s="219"/>
      <c r="S482" s="219"/>
      <c r="T482" s="219"/>
      <c r="U482" s="219"/>
      <c r="V482" s="219"/>
      <c r="W482" s="219"/>
      <c r="AB482" s="219"/>
      <c r="AC482" s="219"/>
      <c r="AD482" s="219"/>
      <c r="AE482" s="219"/>
      <c r="AF482" s="219"/>
      <c r="AG482" s="219"/>
      <c r="AH482" s="219"/>
      <c r="AI482" s="219"/>
      <c r="AJ482" s="219"/>
      <c r="AK482" s="219"/>
      <c r="AL482" s="219"/>
    </row>
    <row r="483" spans="12:38">
      <c r="L483" s="219"/>
      <c r="M483" s="219"/>
      <c r="N483" s="219"/>
      <c r="O483" s="219"/>
      <c r="P483" s="219"/>
      <c r="Q483" s="219"/>
      <c r="R483" s="219"/>
      <c r="S483" s="219"/>
      <c r="T483" s="219"/>
      <c r="U483" s="219"/>
      <c r="V483" s="219"/>
      <c r="W483" s="219"/>
      <c r="AB483" s="219"/>
      <c r="AC483" s="219"/>
      <c r="AD483" s="219"/>
      <c r="AE483" s="219"/>
      <c r="AF483" s="219"/>
      <c r="AG483" s="219"/>
      <c r="AH483" s="219"/>
      <c r="AI483" s="219"/>
      <c r="AJ483" s="219"/>
      <c r="AK483" s="219"/>
      <c r="AL483" s="219"/>
    </row>
    <row r="484" spans="12:38">
      <c r="L484" s="219"/>
      <c r="M484" s="219"/>
      <c r="N484" s="219"/>
      <c r="O484" s="219"/>
      <c r="P484" s="219"/>
      <c r="Q484" s="219"/>
      <c r="R484" s="219"/>
      <c r="S484" s="219"/>
      <c r="T484" s="219"/>
      <c r="U484" s="219"/>
      <c r="V484" s="219"/>
      <c r="W484" s="219"/>
      <c r="AB484" s="219"/>
      <c r="AC484" s="219"/>
      <c r="AD484" s="219"/>
      <c r="AE484" s="219"/>
      <c r="AF484" s="219"/>
      <c r="AG484" s="219"/>
      <c r="AH484" s="219"/>
      <c r="AI484" s="219"/>
      <c r="AJ484" s="219"/>
      <c r="AK484" s="219"/>
      <c r="AL484" s="219"/>
    </row>
    <row r="485" spans="12:38">
      <c r="L485" s="219"/>
      <c r="M485" s="219"/>
      <c r="N485" s="219"/>
      <c r="O485" s="219"/>
      <c r="P485" s="219"/>
      <c r="Q485" s="219"/>
      <c r="R485" s="219"/>
      <c r="S485" s="219"/>
      <c r="T485" s="219"/>
      <c r="U485" s="219"/>
      <c r="V485" s="219"/>
      <c r="W485" s="219"/>
      <c r="AB485" s="219"/>
      <c r="AC485" s="219"/>
      <c r="AD485" s="219"/>
      <c r="AE485" s="219"/>
      <c r="AF485" s="219"/>
      <c r="AG485" s="219"/>
      <c r="AH485" s="219"/>
      <c r="AI485" s="219"/>
      <c r="AJ485" s="219"/>
      <c r="AK485" s="219"/>
      <c r="AL485" s="219"/>
    </row>
    <row r="486" spans="12:38">
      <c r="L486" s="219"/>
      <c r="M486" s="219"/>
      <c r="N486" s="219"/>
      <c r="O486" s="219"/>
      <c r="P486" s="219"/>
      <c r="Q486" s="219"/>
      <c r="R486" s="219"/>
      <c r="S486" s="219"/>
      <c r="T486" s="219"/>
      <c r="U486" s="219"/>
      <c r="V486" s="219"/>
      <c r="W486" s="219"/>
      <c r="AB486" s="219"/>
      <c r="AC486" s="219"/>
      <c r="AD486" s="219"/>
      <c r="AE486" s="219"/>
      <c r="AF486" s="219"/>
      <c r="AG486" s="219"/>
      <c r="AH486" s="219"/>
      <c r="AI486" s="219"/>
      <c r="AJ486" s="219"/>
      <c r="AK486" s="219"/>
      <c r="AL486" s="219"/>
    </row>
    <row r="487" spans="12:38">
      <c r="L487" s="219"/>
      <c r="M487" s="219"/>
      <c r="N487" s="219"/>
      <c r="O487" s="219"/>
      <c r="P487" s="219"/>
      <c r="Q487" s="219"/>
      <c r="R487" s="219"/>
      <c r="S487" s="219"/>
      <c r="T487" s="219"/>
      <c r="U487" s="219"/>
      <c r="V487" s="219"/>
      <c r="W487" s="219"/>
      <c r="AB487" s="219"/>
      <c r="AC487" s="219"/>
      <c r="AD487" s="219"/>
      <c r="AE487" s="219"/>
      <c r="AF487" s="219"/>
      <c r="AG487" s="219"/>
      <c r="AH487" s="219"/>
      <c r="AI487" s="219"/>
      <c r="AJ487" s="219"/>
      <c r="AK487" s="219"/>
      <c r="AL487" s="219"/>
    </row>
    <row r="488" spans="12:38">
      <c r="L488" s="219"/>
      <c r="M488" s="219"/>
      <c r="N488" s="219"/>
      <c r="O488" s="219"/>
      <c r="P488" s="219"/>
      <c r="Q488" s="219"/>
      <c r="R488" s="219"/>
      <c r="S488" s="219"/>
      <c r="T488" s="219"/>
      <c r="U488" s="219"/>
      <c r="V488" s="219"/>
      <c r="W488" s="219"/>
      <c r="AB488" s="219"/>
      <c r="AC488" s="219"/>
      <c r="AD488" s="219"/>
      <c r="AE488" s="219"/>
      <c r="AF488" s="219"/>
      <c r="AG488" s="219"/>
      <c r="AH488" s="219"/>
      <c r="AI488" s="219"/>
      <c r="AJ488" s="219"/>
      <c r="AK488" s="219"/>
      <c r="AL488" s="219"/>
    </row>
    <row r="489" spans="12:38">
      <c r="L489" s="219"/>
      <c r="M489" s="219"/>
      <c r="N489" s="219"/>
      <c r="O489" s="219"/>
      <c r="P489" s="219"/>
      <c r="Q489" s="219"/>
      <c r="R489" s="219"/>
      <c r="S489" s="219"/>
      <c r="T489" s="219"/>
      <c r="U489" s="219"/>
      <c r="V489" s="219"/>
      <c r="W489" s="219"/>
      <c r="AB489" s="219"/>
      <c r="AC489" s="219"/>
      <c r="AD489" s="219"/>
      <c r="AE489" s="219"/>
      <c r="AF489" s="219"/>
      <c r="AG489" s="219"/>
      <c r="AH489" s="219"/>
      <c r="AI489" s="219"/>
      <c r="AJ489" s="219"/>
      <c r="AK489" s="219"/>
      <c r="AL489" s="219"/>
    </row>
    <row r="490" spans="12:38">
      <c r="L490" s="219"/>
      <c r="M490" s="219"/>
      <c r="N490" s="219"/>
      <c r="O490" s="219"/>
      <c r="P490" s="219"/>
      <c r="Q490" s="219"/>
      <c r="R490" s="219"/>
      <c r="S490" s="219"/>
      <c r="T490" s="219"/>
      <c r="U490" s="219"/>
      <c r="V490" s="219"/>
      <c r="W490" s="219"/>
      <c r="AB490" s="219"/>
      <c r="AC490" s="219"/>
      <c r="AD490" s="219"/>
      <c r="AE490" s="219"/>
      <c r="AF490" s="219"/>
      <c r="AG490" s="219"/>
      <c r="AH490" s="219"/>
      <c r="AI490" s="219"/>
      <c r="AJ490" s="219"/>
      <c r="AK490" s="219"/>
      <c r="AL490" s="219"/>
    </row>
    <row r="491" spans="12:38">
      <c r="L491" s="219"/>
      <c r="M491" s="219"/>
      <c r="N491" s="219"/>
      <c r="O491" s="219"/>
      <c r="P491" s="219"/>
      <c r="Q491" s="219"/>
      <c r="R491" s="219"/>
      <c r="S491" s="219"/>
      <c r="T491" s="219"/>
      <c r="U491" s="219"/>
      <c r="V491" s="219"/>
      <c r="W491" s="219"/>
      <c r="AB491" s="219"/>
      <c r="AC491" s="219"/>
      <c r="AD491" s="219"/>
      <c r="AE491" s="219"/>
      <c r="AF491" s="219"/>
      <c r="AG491" s="219"/>
      <c r="AH491" s="219"/>
      <c r="AI491" s="219"/>
      <c r="AJ491" s="219"/>
      <c r="AK491" s="219"/>
      <c r="AL491" s="219"/>
    </row>
    <row r="492" spans="12:38">
      <c r="L492" s="219"/>
      <c r="M492" s="219"/>
      <c r="N492" s="219"/>
      <c r="O492" s="219"/>
      <c r="P492" s="219"/>
      <c r="Q492" s="219"/>
      <c r="R492" s="219"/>
      <c r="S492" s="219"/>
      <c r="T492" s="219"/>
      <c r="U492" s="219"/>
      <c r="V492" s="219"/>
      <c r="W492" s="219"/>
      <c r="AB492" s="219"/>
      <c r="AC492" s="219"/>
      <c r="AD492" s="219"/>
      <c r="AE492" s="219"/>
      <c r="AF492" s="219"/>
      <c r="AG492" s="219"/>
      <c r="AH492" s="219"/>
      <c r="AI492" s="219"/>
      <c r="AJ492" s="219"/>
      <c r="AK492" s="219"/>
      <c r="AL492" s="219"/>
    </row>
    <row r="493" spans="12:38">
      <c r="L493" s="219"/>
      <c r="M493" s="219"/>
      <c r="N493" s="219"/>
      <c r="O493" s="219"/>
      <c r="P493" s="219"/>
      <c r="Q493" s="219"/>
      <c r="R493" s="219"/>
      <c r="S493" s="219"/>
      <c r="T493" s="219"/>
      <c r="U493" s="219"/>
      <c r="V493" s="219"/>
      <c r="W493" s="219"/>
      <c r="AB493" s="219"/>
      <c r="AC493" s="219"/>
      <c r="AD493" s="219"/>
      <c r="AE493" s="219"/>
      <c r="AF493" s="219"/>
      <c r="AG493" s="219"/>
      <c r="AH493" s="219"/>
      <c r="AI493" s="219"/>
      <c r="AJ493" s="219"/>
      <c r="AK493" s="219"/>
      <c r="AL493" s="219"/>
    </row>
    <row r="494" spans="12:38">
      <c r="L494" s="219"/>
      <c r="M494" s="219"/>
      <c r="N494" s="219"/>
      <c r="O494" s="219"/>
      <c r="P494" s="219"/>
      <c r="Q494" s="219"/>
      <c r="R494" s="219"/>
      <c r="S494" s="219"/>
      <c r="T494" s="219"/>
      <c r="U494" s="219"/>
      <c r="V494" s="219"/>
      <c r="W494" s="219"/>
      <c r="AB494" s="219"/>
      <c r="AC494" s="219"/>
      <c r="AD494" s="219"/>
      <c r="AE494" s="219"/>
      <c r="AF494" s="219"/>
      <c r="AG494" s="219"/>
      <c r="AH494" s="219"/>
      <c r="AI494" s="219"/>
      <c r="AJ494" s="219"/>
      <c r="AK494" s="219"/>
      <c r="AL494" s="219"/>
    </row>
    <row r="495" spans="12:38">
      <c r="L495" s="219"/>
      <c r="M495" s="219"/>
      <c r="N495" s="219"/>
      <c r="O495" s="219"/>
      <c r="P495" s="219"/>
      <c r="Q495" s="219"/>
      <c r="R495" s="219"/>
      <c r="S495" s="219"/>
      <c r="T495" s="219"/>
      <c r="U495" s="219"/>
      <c r="V495" s="219"/>
      <c r="W495" s="219"/>
      <c r="AB495" s="219"/>
      <c r="AC495" s="219"/>
      <c r="AD495" s="219"/>
      <c r="AE495" s="219"/>
      <c r="AF495" s="219"/>
      <c r="AG495" s="219"/>
      <c r="AH495" s="219"/>
      <c r="AI495" s="219"/>
      <c r="AJ495" s="219"/>
      <c r="AK495" s="219"/>
      <c r="AL495" s="219"/>
    </row>
    <row r="496" spans="12:38">
      <c r="L496" s="219"/>
      <c r="M496" s="219"/>
      <c r="N496" s="219"/>
      <c r="O496" s="219"/>
      <c r="P496" s="219"/>
      <c r="Q496" s="219"/>
      <c r="R496" s="219"/>
      <c r="S496" s="219"/>
      <c r="T496" s="219"/>
      <c r="U496" s="219"/>
      <c r="V496" s="219"/>
      <c r="W496" s="219"/>
      <c r="AB496" s="219"/>
      <c r="AC496" s="219"/>
      <c r="AD496" s="219"/>
      <c r="AE496" s="219"/>
      <c r="AF496" s="219"/>
      <c r="AG496" s="219"/>
      <c r="AH496" s="219"/>
      <c r="AI496" s="219"/>
      <c r="AJ496" s="219"/>
      <c r="AK496" s="219"/>
      <c r="AL496" s="219"/>
    </row>
    <row r="497" spans="12:38">
      <c r="L497" s="219"/>
      <c r="M497" s="219"/>
      <c r="N497" s="219"/>
      <c r="O497" s="219"/>
      <c r="P497" s="219"/>
      <c r="Q497" s="219"/>
      <c r="R497" s="219"/>
      <c r="S497" s="219"/>
      <c r="T497" s="219"/>
      <c r="U497" s="219"/>
      <c r="V497" s="219"/>
      <c r="W497" s="219"/>
      <c r="AB497" s="219"/>
      <c r="AC497" s="219"/>
      <c r="AD497" s="219"/>
      <c r="AE497" s="219"/>
      <c r="AF497" s="219"/>
      <c r="AG497" s="219"/>
      <c r="AH497" s="219"/>
      <c r="AI497" s="219"/>
      <c r="AJ497" s="219"/>
      <c r="AK497" s="219"/>
      <c r="AL497" s="219"/>
    </row>
    <row r="498" spans="12:38">
      <c r="L498" s="219"/>
      <c r="M498" s="219"/>
      <c r="N498" s="219"/>
      <c r="O498" s="219"/>
      <c r="P498" s="219"/>
      <c r="Q498" s="219"/>
      <c r="R498" s="219"/>
      <c r="S498" s="219"/>
      <c r="T498" s="219"/>
      <c r="U498" s="219"/>
      <c r="V498" s="219"/>
      <c r="W498" s="219"/>
      <c r="AB498" s="219"/>
      <c r="AC498" s="219"/>
      <c r="AD498" s="219"/>
      <c r="AE498" s="219"/>
      <c r="AF498" s="219"/>
      <c r="AG498" s="219"/>
      <c r="AH498" s="219"/>
      <c r="AI498" s="219"/>
      <c r="AJ498" s="219"/>
      <c r="AK498" s="219"/>
      <c r="AL498" s="219"/>
    </row>
    <row r="499" spans="12:38">
      <c r="L499" s="219"/>
      <c r="M499" s="219"/>
      <c r="N499" s="219"/>
      <c r="O499" s="219"/>
      <c r="P499" s="219"/>
      <c r="Q499" s="219"/>
      <c r="R499" s="219"/>
      <c r="S499" s="219"/>
      <c r="T499" s="219"/>
      <c r="U499" s="219"/>
      <c r="V499" s="219"/>
      <c r="W499" s="219"/>
      <c r="AB499" s="219"/>
      <c r="AC499" s="219"/>
      <c r="AD499" s="219"/>
      <c r="AE499" s="219"/>
      <c r="AF499" s="219"/>
      <c r="AG499" s="219"/>
      <c r="AH499" s="219"/>
      <c r="AI499" s="219"/>
      <c r="AJ499" s="219"/>
      <c r="AK499" s="219"/>
      <c r="AL499" s="219"/>
    </row>
    <row r="500" spans="12:38">
      <c r="L500" s="219"/>
      <c r="M500" s="219"/>
      <c r="N500" s="219"/>
      <c r="O500" s="219"/>
      <c r="P500" s="219"/>
      <c r="Q500" s="219"/>
      <c r="R500" s="219"/>
      <c r="S500" s="219"/>
      <c r="T500" s="219"/>
      <c r="U500" s="219"/>
      <c r="V500" s="219"/>
      <c r="W500" s="219"/>
      <c r="AB500" s="219"/>
      <c r="AC500" s="219"/>
      <c r="AD500" s="219"/>
      <c r="AE500" s="219"/>
      <c r="AF500" s="219"/>
      <c r="AG500" s="219"/>
      <c r="AH500" s="219"/>
      <c r="AI500" s="219"/>
      <c r="AJ500" s="219"/>
      <c r="AK500" s="219"/>
      <c r="AL500" s="219"/>
    </row>
    <row r="501" spans="12:38">
      <c r="L501" s="219"/>
      <c r="M501" s="219"/>
      <c r="N501" s="219"/>
      <c r="O501" s="219"/>
      <c r="P501" s="219"/>
      <c r="Q501" s="219"/>
      <c r="R501" s="219"/>
      <c r="S501" s="219"/>
      <c r="T501" s="219"/>
      <c r="U501" s="219"/>
      <c r="V501" s="219"/>
      <c r="W501" s="219"/>
      <c r="AB501" s="219"/>
      <c r="AC501" s="219"/>
      <c r="AD501" s="219"/>
      <c r="AE501" s="219"/>
      <c r="AF501" s="219"/>
      <c r="AG501" s="219"/>
      <c r="AH501" s="219"/>
      <c r="AI501" s="219"/>
      <c r="AJ501" s="219"/>
      <c r="AK501" s="219"/>
      <c r="AL501" s="219"/>
    </row>
    <row r="502" spans="12:38">
      <c r="L502" s="219"/>
      <c r="M502" s="219"/>
      <c r="N502" s="219"/>
      <c r="O502" s="219"/>
      <c r="P502" s="219"/>
      <c r="Q502" s="219"/>
      <c r="R502" s="219"/>
      <c r="S502" s="219"/>
      <c r="T502" s="219"/>
      <c r="U502" s="219"/>
      <c r="V502" s="219"/>
      <c r="W502" s="219"/>
      <c r="AB502" s="219"/>
      <c r="AC502" s="219"/>
      <c r="AD502" s="219"/>
      <c r="AE502" s="219"/>
      <c r="AF502" s="219"/>
      <c r="AG502" s="219"/>
      <c r="AH502" s="219"/>
      <c r="AI502" s="219"/>
      <c r="AJ502" s="219"/>
      <c r="AK502" s="219"/>
      <c r="AL502" s="219"/>
    </row>
    <row r="503" spans="12:38">
      <c r="L503" s="219"/>
      <c r="M503" s="219"/>
      <c r="N503" s="219"/>
      <c r="O503" s="219"/>
      <c r="P503" s="219"/>
      <c r="Q503" s="219"/>
      <c r="R503" s="219"/>
      <c r="S503" s="219"/>
      <c r="T503" s="219"/>
      <c r="U503" s="219"/>
      <c r="V503" s="219"/>
      <c r="W503" s="219"/>
      <c r="AB503" s="219"/>
      <c r="AC503" s="219"/>
      <c r="AD503" s="219"/>
      <c r="AE503" s="219"/>
      <c r="AF503" s="219"/>
      <c r="AG503" s="219"/>
      <c r="AH503" s="219"/>
      <c r="AI503" s="219"/>
      <c r="AJ503" s="219"/>
      <c r="AK503" s="219"/>
      <c r="AL503" s="219"/>
    </row>
    <row r="504" spans="12:38">
      <c r="L504" s="219"/>
      <c r="M504" s="219"/>
      <c r="N504" s="219"/>
      <c r="O504" s="219"/>
      <c r="P504" s="219"/>
      <c r="Q504" s="219"/>
      <c r="R504" s="219"/>
      <c r="S504" s="219"/>
      <c r="T504" s="219"/>
      <c r="U504" s="219"/>
      <c r="V504" s="219"/>
      <c r="W504" s="219"/>
      <c r="AB504" s="219"/>
      <c r="AC504" s="219"/>
      <c r="AD504" s="219"/>
      <c r="AE504" s="219"/>
      <c r="AF504" s="219"/>
      <c r="AG504" s="219"/>
      <c r="AH504" s="219"/>
      <c r="AI504" s="219"/>
      <c r="AJ504" s="219"/>
      <c r="AK504" s="219"/>
      <c r="AL504" s="219"/>
    </row>
    <row r="505" spans="12:38">
      <c r="L505" s="219"/>
      <c r="M505" s="219"/>
      <c r="N505" s="219"/>
      <c r="O505" s="219"/>
      <c r="P505" s="219"/>
      <c r="Q505" s="219"/>
      <c r="R505" s="219"/>
      <c r="S505" s="219"/>
      <c r="T505" s="219"/>
      <c r="U505" s="219"/>
      <c r="V505" s="219"/>
      <c r="W505" s="219"/>
      <c r="AB505" s="219"/>
      <c r="AC505" s="219"/>
      <c r="AD505" s="219"/>
      <c r="AE505" s="219"/>
      <c r="AF505" s="219"/>
      <c r="AG505" s="219"/>
      <c r="AH505" s="219"/>
      <c r="AI505" s="219"/>
      <c r="AJ505" s="219"/>
      <c r="AK505" s="219"/>
      <c r="AL505" s="219"/>
    </row>
    <row r="506" spans="12:38">
      <c r="L506" s="219"/>
      <c r="M506" s="219"/>
      <c r="N506" s="219"/>
      <c r="O506" s="219"/>
      <c r="P506" s="219"/>
      <c r="Q506" s="219"/>
      <c r="R506" s="219"/>
      <c r="S506" s="219"/>
      <c r="T506" s="219"/>
      <c r="U506" s="219"/>
      <c r="V506" s="219"/>
      <c r="W506" s="219"/>
      <c r="AB506" s="219"/>
      <c r="AC506" s="219"/>
      <c r="AD506" s="219"/>
      <c r="AE506" s="219"/>
      <c r="AF506" s="219"/>
      <c r="AG506" s="219"/>
      <c r="AH506" s="219"/>
      <c r="AI506" s="219"/>
      <c r="AJ506" s="219"/>
      <c r="AK506" s="219"/>
      <c r="AL506" s="219"/>
    </row>
    <row r="507" spans="12:38">
      <c r="L507" s="219"/>
      <c r="M507" s="219"/>
      <c r="N507" s="219"/>
      <c r="O507" s="219"/>
      <c r="P507" s="219"/>
      <c r="Q507" s="219"/>
      <c r="R507" s="219"/>
      <c r="S507" s="219"/>
      <c r="T507" s="219"/>
      <c r="U507" s="219"/>
      <c r="V507" s="219"/>
      <c r="W507" s="219"/>
      <c r="AB507" s="219"/>
      <c r="AC507" s="219"/>
      <c r="AD507" s="219"/>
      <c r="AE507" s="219"/>
      <c r="AF507" s="219"/>
      <c r="AG507" s="219"/>
      <c r="AH507" s="219"/>
      <c r="AI507" s="219"/>
      <c r="AJ507" s="219"/>
      <c r="AK507" s="219"/>
      <c r="AL507" s="219"/>
    </row>
    <row r="508" spans="12:38">
      <c r="L508" s="219"/>
      <c r="M508" s="219"/>
      <c r="N508" s="219"/>
      <c r="O508" s="219"/>
      <c r="P508" s="219"/>
      <c r="Q508" s="219"/>
      <c r="R508" s="219"/>
      <c r="S508" s="219"/>
      <c r="T508" s="219"/>
      <c r="U508" s="219"/>
      <c r="V508" s="219"/>
      <c r="W508" s="219"/>
      <c r="AB508" s="219"/>
      <c r="AC508" s="219"/>
      <c r="AD508" s="219"/>
      <c r="AE508" s="219"/>
      <c r="AF508" s="219"/>
      <c r="AG508" s="219"/>
      <c r="AH508" s="219"/>
      <c r="AI508" s="219"/>
      <c r="AJ508" s="219"/>
      <c r="AK508" s="219"/>
      <c r="AL508" s="219"/>
    </row>
    <row r="509" spans="12:38">
      <c r="L509" s="219"/>
      <c r="M509" s="219"/>
      <c r="N509" s="219"/>
      <c r="O509" s="219"/>
      <c r="P509" s="219"/>
      <c r="Q509" s="219"/>
      <c r="R509" s="219"/>
      <c r="S509" s="219"/>
      <c r="T509" s="219"/>
      <c r="U509" s="219"/>
      <c r="V509" s="219"/>
      <c r="W509" s="219"/>
      <c r="AB509" s="219"/>
      <c r="AC509" s="219"/>
      <c r="AD509" s="219"/>
      <c r="AE509" s="219"/>
      <c r="AF509" s="219"/>
      <c r="AG509" s="219"/>
      <c r="AH509" s="219"/>
      <c r="AI509" s="219"/>
      <c r="AJ509" s="219"/>
      <c r="AK509" s="219"/>
      <c r="AL509" s="219"/>
    </row>
    <row r="510" spans="12:38">
      <c r="L510" s="219"/>
      <c r="M510" s="219"/>
      <c r="N510" s="219"/>
      <c r="O510" s="219"/>
      <c r="P510" s="219"/>
      <c r="Q510" s="219"/>
      <c r="R510" s="219"/>
      <c r="S510" s="219"/>
      <c r="T510" s="219"/>
      <c r="U510" s="219"/>
      <c r="V510" s="219"/>
      <c r="W510" s="219"/>
      <c r="AB510" s="219"/>
      <c r="AC510" s="219"/>
      <c r="AD510" s="219"/>
      <c r="AE510" s="219"/>
      <c r="AF510" s="219"/>
      <c r="AG510" s="219"/>
      <c r="AH510" s="219"/>
      <c r="AI510" s="219"/>
      <c r="AJ510" s="219"/>
      <c r="AK510" s="219"/>
      <c r="AL510" s="219"/>
    </row>
    <row r="511" spans="12:38">
      <c r="L511" s="219"/>
      <c r="M511" s="219"/>
      <c r="N511" s="219"/>
      <c r="O511" s="219"/>
      <c r="P511" s="219"/>
      <c r="Q511" s="219"/>
      <c r="R511" s="219"/>
      <c r="S511" s="219"/>
      <c r="T511" s="219"/>
      <c r="U511" s="219"/>
      <c r="V511" s="219"/>
      <c r="W511" s="219"/>
      <c r="AB511" s="219"/>
      <c r="AC511" s="219"/>
      <c r="AD511" s="219"/>
      <c r="AE511" s="219"/>
      <c r="AF511" s="219"/>
      <c r="AG511" s="219"/>
      <c r="AH511" s="219"/>
      <c r="AI511" s="219"/>
      <c r="AJ511" s="219"/>
      <c r="AK511" s="219"/>
      <c r="AL511" s="219"/>
    </row>
    <row r="512" spans="12:38">
      <c r="L512" s="219"/>
      <c r="M512" s="219"/>
      <c r="N512" s="219"/>
      <c r="O512" s="219"/>
      <c r="P512" s="219"/>
      <c r="Q512" s="219"/>
      <c r="R512" s="219"/>
      <c r="S512" s="219"/>
      <c r="T512" s="219"/>
      <c r="U512" s="219"/>
      <c r="V512" s="219"/>
      <c r="W512" s="219"/>
      <c r="AB512" s="219"/>
      <c r="AC512" s="219"/>
      <c r="AD512" s="219"/>
      <c r="AE512" s="219"/>
      <c r="AF512" s="219"/>
      <c r="AG512" s="219"/>
      <c r="AH512" s="219"/>
      <c r="AI512" s="219"/>
      <c r="AJ512" s="219"/>
      <c r="AK512" s="219"/>
      <c r="AL512" s="219"/>
    </row>
    <row r="513" spans="12:38">
      <c r="L513" s="219"/>
      <c r="M513" s="219"/>
      <c r="N513" s="219"/>
      <c r="O513" s="219"/>
      <c r="P513" s="219"/>
      <c r="Q513" s="219"/>
      <c r="R513" s="219"/>
      <c r="S513" s="219"/>
      <c r="T513" s="219"/>
      <c r="U513" s="219"/>
      <c r="V513" s="219"/>
      <c r="W513" s="219"/>
      <c r="AB513" s="219"/>
      <c r="AC513" s="219"/>
      <c r="AD513" s="219"/>
      <c r="AE513" s="219"/>
      <c r="AF513" s="219"/>
      <c r="AG513" s="219"/>
      <c r="AH513" s="219"/>
      <c r="AI513" s="219"/>
      <c r="AJ513" s="219"/>
      <c r="AK513" s="219"/>
      <c r="AL513" s="219"/>
    </row>
    <row r="514" spans="12:38">
      <c r="L514" s="219"/>
      <c r="M514" s="219"/>
      <c r="N514" s="219"/>
      <c r="O514" s="219"/>
      <c r="P514" s="219"/>
      <c r="Q514" s="219"/>
      <c r="R514" s="219"/>
      <c r="S514" s="219"/>
      <c r="T514" s="219"/>
      <c r="U514" s="219"/>
      <c r="V514" s="219"/>
      <c r="W514" s="219"/>
      <c r="AB514" s="219"/>
      <c r="AC514" s="219"/>
      <c r="AD514" s="219"/>
      <c r="AE514" s="219"/>
      <c r="AF514" s="219"/>
      <c r="AG514" s="219"/>
      <c r="AH514" s="219"/>
      <c r="AI514" s="219"/>
      <c r="AJ514" s="219"/>
      <c r="AK514" s="219"/>
      <c r="AL514" s="219"/>
    </row>
    <row r="515" spans="12:38">
      <c r="L515" s="219"/>
      <c r="M515" s="219"/>
      <c r="N515" s="219"/>
      <c r="O515" s="219"/>
      <c r="P515" s="219"/>
      <c r="Q515" s="219"/>
      <c r="R515" s="219"/>
      <c r="S515" s="219"/>
      <c r="T515" s="219"/>
      <c r="U515" s="219"/>
      <c r="V515" s="219"/>
      <c r="W515" s="219"/>
      <c r="AB515" s="219"/>
      <c r="AC515" s="219"/>
      <c r="AD515" s="219"/>
      <c r="AE515" s="219"/>
      <c r="AF515" s="219"/>
      <c r="AG515" s="219"/>
      <c r="AH515" s="219"/>
      <c r="AI515" s="219"/>
      <c r="AJ515" s="219"/>
      <c r="AK515" s="219"/>
      <c r="AL515" s="219"/>
    </row>
    <row r="516" spans="12:38">
      <c r="L516" s="219"/>
      <c r="M516" s="219"/>
      <c r="N516" s="219"/>
      <c r="O516" s="219"/>
      <c r="P516" s="219"/>
      <c r="Q516" s="219"/>
      <c r="R516" s="219"/>
      <c r="S516" s="219"/>
      <c r="T516" s="219"/>
      <c r="U516" s="219"/>
      <c r="V516" s="219"/>
      <c r="W516" s="219"/>
      <c r="AB516" s="219"/>
      <c r="AC516" s="219"/>
      <c r="AD516" s="219"/>
      <c r="AE516" s="219"/>
      <c r="AF516" s="219"/>
      <c r="AG516" s="219"/>
      <c r="AH516" s="219"/>
      <c r="AI516" s="219"/>
      <c r="AJ516" s="219"/>
      <c r="AK516" s="219"/>
      <c r="AL516" s="219"/>
    </row>
    <row r="517" spans="12:38">
      <c r="L517" s="219"/>
      <c r="M517" s="219"/>
      <c r="N517" s="219"/>
      <c r="O517" s="219"/>
      <c r="P517" s="219"/>
      <c r="Q517" s="219"/>
      <c r="R517" s="219"/>
      <c r="S517" s="219"/>
      <c r="T517" s="219"/>
      <c r="U517" s="219"/>
      <c r="V517" s="219"/>
      <c r="W517" s="219"/>
      <c r="AB517" s="219"/>
      <c r="AC517" s="219"/>
      <c r="AD517" s="219"/>
      <c r="AE517" s="219"/>
      <c r="AF517" s="219"/>
      <c r="AG517" s="219"/>
      <c r="AH517" s="219"/>
      <c r="AI517" s="219"/>
      <c r="AJ517" s="219"/>
      <c r="AK517" s="219"/>
      <c r="AL517" s="219"/>
    </row>
    <row r="518" spans="12:38">
      <c r="L518" s="219"/>
      <c r="M518" s="219"/>
      <c r="N518" s="219"/>
      <c r="O518" s="219"/>
      <c r="P518" s="219"/>
      <c r="Q518" s="219"/>
      <c r="R518" s="219"/>
      <c r="S518" s="219"/>
      <c r="T518" s="219"/>
      <c r="U518" s="219"/>
      <c r="V518" s="219"/>
      <c r="W518" s="219"/>
      <c r="AB518" s="219"/>
      <c r="AC518" s="219"/>
      <c r="AD518" s="219"/>
      <c r="AE518" s="219"/>
      <c r="AF518" s="219"/>
      <c r="AG518" s="219"/>
      <c r="AH518" s="219"/>
      <c r="AI518" s="219"/>
      <c r="AJ518" s="219"/>
      <c r="AK518" s="219"/>
      <c r="AL518" s="219"/>
    </row>
    <row r="519" spans="12:38">
      <c r="L519" s="219"/>
      <c r="M519" s="219"/>
      <c r="N519" s="219"/>
      <c r="O519" s="219"/>
      <c r="P519" s="219"/>
      <c r="Q519" s="219"/>
      <c r="R519" s="219"/>
      <c r="S519" s="219"/>
      <c r="T519" s="219"/>
      <c r="U519" s="219"/>
      <c r="V519" s="219"/>
      <c r="W519" s="219"/>
      <c r="AB519" s="219"/>
      <c r="AC519" s="219"/>
      <c r="AD519" s="219"/>
      <c r="AE519" s="219"/>
      <c r="AF519" s="219"/>
      <c r="AG519" s="219"/>
      <c r="AH519" s="219"/>
      <c r="AI519" s="219"/>
      <c r="AJ519" s="219"/>
      <c r="AK519" s="219"/>
      <c r="AL519" s="219"/>
    </row>
    <row r="520" spans="12:38">
      <c r="L520" s="219"/>
      <c r="M520" s="219"/>
      <c r="N520" s="219"/>
      <c r="O520" s="219"/>
      <c r="P520" s="219"/>
      <c r="Q520" s="219"/>
      <c r="R520" s="219"/>
      <c r="S520" s="219"/>
      <c r="T520" s="219"/>
      <c r="U520" s="219"/>
      <c r="V520" s="219"/>
      <c r="W520" s="219"/>
      <c r="AB520" s="219"/>
      <c r="AC520" s="219"/>
      <c r="AD520" s="219"/>
      <c r="AE520" s="219"/>
      <c r="AF520" s="219"/>
      <c r="AG520" s="219"/>
      <c r="AH520" s="219"/>
      <c r="AI520" s="219"/>
      <c r="AJ520" s="219"/>
      <c r="AK520" s="219"/>
      <c r="AL520" s="219"/>
    </row>
    <row r="521" spans="12:38">
      <c r="L521" s="219"/>
      <c r="M521" s="219"/>
      <c r="N521" s="219"/>
      <c r="O521" s="219"/>
      <c r="P521" s="219"/>
      <c r="Q521" s="219"/>
      <c r="R521" s="219"/>
      <c r="S521" s="219"/>
      <c r="T521" s="219"/>
      <c r="U521" s="219"/>
      <c r="V521" s="219"/>
      <c r="W521" s="219"/>
      <c r="AB521" s="219"/>
      <c r="AC521" s="219"/>
      <c r="AD521" s="219"/>
      <c r="AE521" s="219"/>
      <c r="AF521" s="219"/>
      <c r="AG521" s="219"/>
      <c r="AH521" s="219"/>
      <c r="AI521" s="219"/>
      <c r="AJ521" s="219"/>
      <c r="AK521" s="219"/>
      <c r="AL521" s="219"/>
    </row>
    <row r="522" spans="12:38">
      <c r="L522" s="219"/>
      <c r="M522" s="219"/>
      <c r="N522" s="219"/>
      <c r="O522" s="219"/>
      <c r="P522" s="219"/>
      <c r="Q522" s="219"/>
      <c r="R522" s="219"/>
      <c r="S522" s="219"/>
      <c r="T522" s="219"/>
      <c r="U522" s="219"/>
      <c r="V522" s="219"/>
      <c r="W522" s="219"/>
      <c r="AB522" s="219"/>
      <c r="AC522" s="219"/>
      <c r="AD522" s="219"/>
      <c r="AE522" s="219"/>
      <c r="AF522" s="219"/>
      <c r="AG522" s="219"/>
      <c r="AH522" s="219"/>
      <c r="AI522" s="219"/>
      <c r="AJ522" s="219"/>
      <c r="AK522" s="219"/>
      <c r="AL522" s="219"/>
    </row>
    <row r="523" spans="12:38">
      <c r="L523" s="219"/>
      <c r="M523" s="219"/>
      <c r="N523" s="219"/>
      <c r="O523" s="219"/>
      <c r="P523" s="219"/>
      <c r="Q523" s="219"/>
      <c r="R523" s="219"/>
      <c r="S523" s="219"/>
      <c r="T523" s="219"/>
      <c r="U523" s="219"/>
      <c r="V523" s="219"/>
      <c r="W523" s="219"/>
      <c r="AB523" s="219"/>
      <c r="AC523" s="219"/>
      <c r="AD523" s="219"/>
      <c r="AE523" s="219"/>
      <c r="AF523" s="219"/>
      <c r="AG523" s="219"/>
      <c r="AH523" s="219"/>
      <c r="AI523" s="219"/>
      <c r="AJ523" s="219"/>
      <c r="AK523" s="219"/>
      <c r="AL523" s="219"/>
    </row>
    <row r="524" spans="12:38">
      <c r="L524" s="219"/>
      <c r="M524" s="219"/>
      <c r="N524" s="219"/>
      <c r="O524" s="219"/>
      <c r="P524" s="219"/>
      <c r="Q524" s="219"/>
      <c r="R524" s="219"/>
      <c r="S524" s="219"/>
      <c r="T524" s="219"/>
      <c r="U524" s="219"/>
      <c r="V524" s="219"/>
      <c r="W524" s="219"/>
      <c r="AB524" s="219"/>
      <c r="AC524" s="219"/>
      <c r="AD524" s="219"/>
      <c r="AE524" s="219"/>
      <c r="AF524" s="219"/>
      <c r="AG524" s="219"/>
      <c r="AH524" s="219"/>
      <c r="AI524" s="219"/>
      <c r="AJ524" s="219"/>
      <c r="AK524" s="219"/>
      <c r="AL524" s="219"/>
    </row>
    <row r="525" spans="12:38">
      <c r="L525" s="219"/>
      <c r="M525" s="219"/>
      <c r="N525" s="219"/>
      <c r="O525" s="219"/>
      <c r="P525" s="219"/>
      <c r="Q525" s="219"/>
      <c r="R525" s="219"/>
      <c r="S525" s="219"/>
      <c r="T525" s="219"/>
      <c r="U525" s="219"/>
      <c r="V525" s="219"/>
      <c r="W525" s="219"/>
      <c r="AB525" s="219"/>
      <c r="AC525" s="219"/>
      <c r="AD525" s="219"/>
      <c r="AE525" s="219"/>
      <c r="AF525" s="219"/>
      <c r="AG525" s="219"/>
      <c r="AH525" s="219"/>
      <c r="AI525" s="219"/>
      <c r="AJ525" s="219"/>
      <c r="AK525" s="219"/>
      <c r="AL525" s="219"/>
    </row>
    <row r="526" spans="12:38">
      <c r="L526" s="219"/>
      <c r="M526" s="219"/>
      <c r="N526" s="219"/>
      <c r="O526" s="219"/>
      <c r="P526" s="219"/>
      <c r="Q526" s="219"/>
      <c r="R526" s="219"/>
      <c r="S526" s="219"/>
      <c r="T526" s="219"/>
      <c r="U526" s="219"/>
      <c r="V526" s="219"/>
      <c r="W526" s="219"/>
      <c r="AB526" s="219"/>
      <c r="AC526" s="219"/>
      <c r="AD526" s="219"/>
      <c r="AE526" s="219"/>
      <c r="AF526" s="219"/>
      <c r="AG526" s="219"/>
      <c r="AH526" s="219"/>
      <c r="AI526" s="219"/>
      <c r="AJ526" s="219"/>
      <c r="AK526" s="219"/>
      <c r="AL526" s="219"/>
    </row>
    <row r="527" spans="12:38">
      <c r="L527" s="219"/>
      <c r="M527" s="219"/>
      <c r="N527" s="219"/>
      <c r="O527" s="219"/>
      <c r="P527" s="219"/>
      <c r="Q527" s="219"/>
      <c r="R527" s="219"/>
      <c r="S527" s="219"/>
      <c r="T527" s="219"/>
      <c r="U527" s="219"/>
      <c r="V527" s="219"/>
      <c r="W527" s="219"/>
      <c r="AB527" s="219"/>
      <c r="AC527" s="219"/>
      <c r="AD527" s="219"/>
      <c r="AE527" s="219"/>
      <c r="AF527" s="219"/>
      <c r="AG527" s="219"/>
      <c r="AH527" s="219"/>
      <c r="AI527" s="219"/>
      <c r="AJ527" s="219"/>
      <c r="AK527" s="219"/>
      <c r="AL527" s="219"/>
    </row>
    <row r="528" spans="12:38">
      <c r="L528" s="219"/>
      <c r="M528" s="219"/>
      <c r="N528" s="219"/>
      <c r="O528" s="219"/>
      <c r="P528" s="219"/>
      <c r="Q528" s="219"/>
      <c r="R528" s="219"/>
      <c r="S528" s="219"/>
      <c r="T528" s="219"/>
      <c r="U528" s="219"/>
      <c r="V528" s="219"/>
      <c r="W528" s="219"/>
      <c r="AB528" s="219"/>
      <c r="AC528" s="219"/>
      <c r="AD528" s="219"/>
      <c r="AE528" s="219"/>
      <c r="AF528" s="219"/>
      <c r="AG528" s="219"/>
      <c r="AH528" s="219"/>
      <c r="AI528" s="219"/>
      <c r="AJ528" s="219"/>
      <c r="AK528" s="219"/>
      <c r="AL528" s="219"/>
    </row>
    <row r="529" spans="12:38">
      <c r="L529" s="219"/>
      <c r="M529" s="219"/>
      <c r="N529" s="219"/>
      <c r="O529" s="219"/>
      <c r="P529" s="219"/>
      <c r="Q529" s="219"/>
      <c r="R529" s="219"/>
      <c r="S529" s="219"/>
      <c r="T529" s="219"/>
      <c r="U529" s="219"/>
      <c r="V529" s="219"/>
      <c r="W529" s="219"/>
      <c r="AB529" s="219"/>
      <c r="AC529" s="219"/>
      <c r="AD529" s="219"/>
      <c r="AE529" s="219"/>
      <c r="AF529" s="219"/>
      <c r="AG529" s="219"/>
      <c r="AH529" s="219"/>
      <c r="AI529" s="219"/>
      <c r="AJ529" s="219"/>
      <c r="AK529" s="219"/>
      <c r="AL529" s="219"/>
    </row>
    <row r="530" spans="12:38">
      <c r="L530" s="219"/>
      <c r="M530" s="219"/>
      <c r="N530" s="219"/>
      <c r="O530" s="219"/>
      <c r="P530" s="219"/>
      <c r="Q530" s="219"/>
      <c r="R530" s="219"/>
      <c r="S530" s="219"/>
      <c r="T530" s="219"/>
      <c r="U530" s="219"/>
      <c r="V530" s="219"/>
      <c r="W530" s="219"/>
      <c r="AB530" s="219"/>
      <c r="AC530" s="219"/>
      <c r="AD530" s="219"/>
      <c r="AE530" s="219"/>
      <c r="AF530" s="219"/>
      <c r="AG530" s="219"/>
      <c r="AH530" s="219"/>
      <c r="AI530" s="219"/>
      <c r="AJ530" s="219"/>
      <c r="AK530" s="219"/>
      <c r="AL530" s="219"/>
    </row>
    <row r="531" spans="12:38">
      <c r="L531" s="219"/>
      <c r="M531" s="219"/>
      <c r="N531" s="219"/>
      <c r="O531" s="219"/>
      <c r="P531" s="219"/>
      <c r="Q531" s="219"/>
      <c r="R531" s="219"/>
      <c r="S531" s="219"/>
      <c r="T531" s="219"/>
      <c r="U531" s="219"/>
      <c r="V531" s="219"/>
      <c r="W531" s="219"/>
      <c r="AB531" s="219"/>
      <c r="AC531" s="219"/>
      <c r="AD531" s="219"/>
      <c r="AE531" s="219"/>
      <c r="AF531" s="219"/>
      <c r="AG531" s="219"/>
      <c r="AH531" s="219"/>
      <c r="AI531" s="219"/>
      <c r="AJ531" s="219"/>
      <c r="AK531" s="219"/>
      <c r="AL531" s="219"/>
    </row>
    <row r="532" spans="12:38">
      <c r="L532" s="219"/>
      <c r="M532" s="219"/>
      <c r="N532" s="219"/>
      <c r="O532" s="219"/>
      <c r="P532" s="219"/>
      <c r="Q532" s="219"/>
      <c r="R532" s="219"/>
      <c r="S532" s="219"/>
      <c r="T532" s="219"/>
      <c r="U532" s="219"/>
      <c r="V532" s="219"/>
      <c r="W532" s="219"/>
      <c r="AB532" s="219"/>
      <c r="AC532" s="219"/>
      <c r="AD532" s="219"/>
      <c r="AE532" s="219"/>
      <c r="AF532" s="219"/>
      <c r="AG532" s="219"/>
      <c r="AH532" s="219"/>
      <c r="AI532" s="219"/>
      <c r="AJ532" s="219"/>
      <c r="AK532" s="219"/>
      <c r="AL532" s="219"/>
    </row>
    <row r="533" spans="12:38">
      <c r="L533" s="219"/>
      <c r="M533" s="219"/>
      <c r="N533" s="219"/>
      <c r="O533" s="219"/>
      <c r="P533" s="219"/>
      <c r="Q533" s="219"/>
      <c r="R533" s="219"/>
      <c r="S533" s="219"/>
      <c r="T533" s="219"/>
      <c r="U533" s="219"/>
      <c r="V533" s="219"/>
      <c r="W533" s="219"/>
      <c r="AB533" s="219"/>
      <c r="AC533" s="219"/>
      <c r="AD533" s="219"/>
      <c r="AE533" s="219"/>
      <c r="AF533" s="219"/>
      <c r="AG533" s="219"/>
      <c r="AH533" s="219"/>
      <c r="AI533" s="219"/>
      <c r="AJ533" s="219"/>
      <c r="AK533" s="219"/>
      <c r="AL533" s="219"/>
    </row>
    <row r="534" spans="12:38">
      <c r="L534" s="219"/>
      <c r="M534" s="219"/>
      <c r="N534" s="219"/>
      <c r="O534" s="219"/>
      <c r="P534" s="219"/>
      <c r="Q534" s="219"/>
      <c r="R534" s="219"/>
      <c r="S534" s="219"/>
      <c r="T534" s="219"/>
      <c r="U534" s="219"/>
      <c r="V534" s="219"/>
      <c r="W534" s="219"/>
      <c r="AB534" s="219"/>
      <c r="AC534" s="219"/>
      <c r="AD534" s="219"/>
      <c r="AE534" s="219"/>
      <c r="AF534" s="219"/>
      <c r="AG534" s="219"/>
      <c r="AH534" s="219"/>
      <c r="AI534" s="219"/>
      <c r="AJ534" s="219"/>
      <c r="AK534" s="219"/>
      <c r="AL534" s="219"/>
    </row>
    <row r="535" spans="12:38">
      <c r="L535" s="219"/>
      <c r="M535" s="219"/>
      <c r="N535" s="219"/>
      <c r="O535" s="219"/>
      <c r="P535" s="219"/>
      <c r="Q535" s="219"/>
      <c r="R535" s="219"/>
      <c r="S535" s="219"/>
      <c r="T535" s="219"/>
      <c r="U535" s="219"/>
      <c r="V535" s="219"/>
      <c r="W535" s="219"/>
      <c r="AB535" s="219"/>
      <c r="AC535" s="219"/>
      <c r="AD535" s="219"/>
      <c r="AE535" s="219"/>
      <c r="AF535" s="219"/>
      <c r="AG535" s="219"/>
      <c r="AH535" s="219"/>
      <c r="AI535" s="219"/>
      <c r="AJ535" s="219"/>
      <c r="AK535" s="219"/>
      <c r="AL535" s="219"/>
    </row>
    <row r="536" spans="12:38">
      <c r="L536" s="219"/>
      <c r="M536" s="219"/>
      <c r="N536" s="219"/>
      <c r="O536" s="219"/>
      <c r="P536" s="219"/>
      <c r="Q536" s="219"/>
      <c r="R536" s="219"/>
      <c r="S536" s="219"/>
      <c r="T536" s="219"/>
      <c r="U536" s="219"/>
      <c r="V536" s="219"/>
      <c r="W536" s="219"/>
      <c r="AB536" s="219"/>
      <c r="AC536" s="219"/>
      <c r="AD536" s="219"/>
      <c r="AE536" s="219"/>
      <c r="AF536" s="219"/>
      <c r="AG536" s="219"/>
      <c r="AH536" s="219"/>
      <c r="AI536" s="219"/>
      <c r="AJ536" s="219"/>
      <c r="AK536" s="219"/>
      <c r="AL536" s="219"/>
    </row>
    <row r="537" spans="12:38">
      <c r="L537" s="219"/>
      <c r="M537" s="219"/>
      <c r="N537" s="219"/>
      <c r="O537" s="219"/>
      <c r="P537" s="219"/>
      <c r="Q537" s="219"/>
      <c r="R537" s="219"/>
      <c r="S537" s="219"/>
      <c r="T537" s="219"/>
      <c r="U537" s="219"/>
      <c r="V537" s="219"/>
      <c r="W537" s="219"/>
      <c r="AB537" s="219"/>
      <c r="AC537" s="219"/>
      <c r="AD537" s="219"/>
      <c r="AE537" s="219"/>
      <c r="AF537" s="219"/>
      <c r="AG537" s="219"/>
      <c r="AH537" s="219"/>
      <c r="AI537" s="219"/>
      <c r="AJ537" s="219"/>
      <c r="AK537" s="219"/>
      <c r="AL537" s="219"/>
    </row>
    <row r="538" spans="12:38">
      <c r="L538" s="219"/>
      <c r="M538" s="219"/>
      <c r="N538" s="219"/>
      <c r="O538" s="219"/>
      <c r="P538" s="219"/>
      <c r="Q538" s="219"/>
      <c r="R538" s="219"/>
      <c r="S538" s="219"/>
      <c r="T538" s="219"/>
      <c r="U538" s="219"/>
      <c r="V538" s="219"/>
      <c r="W538" s="219"/>
      <c r="AB538" s="219"/>
      <c r="AC538" s="219"/>
      <c r="AD538" s="219"/>
      <c r="AE538" s="219"/>
      <c r="AF538" s="219"/>
      <c r="AG538" s="219"/>
      <c r="AH538" s="219"/>
      <c r="AI538" s="219"/>
      <c r="AJ538" s="219"/>
      <c r="AK538" s="219"/>
      <c r="AL538" s="219"/>
    </row>
    <row r="539" spans="12:38">
      <c r="L539" s="219"/>
      <c r="M539" s="219"/>
      <c r="N539" s="219"/>
      <c r="O539" s="219"/>
      <c r="P539" s="219"/>
      <c r="Q539" s="219"/>
      <c r="R539" s="219"/>
      <c r="S539" s="219"/>
      <c r="T539" s="219"/>
      <c r="U539" s="219"/>
      <c r="V539" s="219"/>
      <c r="W539" s="219"/>
      <c r="AB539" s="219"/>
      <c r="AC539" s="219"/>
      <c r="AD539" s="219"/>
      <c r="AE539" s="219"/>
      <c r="AF539" s="219"/>
      <c r="AG539" s="219"/>
      <c r="AH539" s="219"/>
      <c r="AI539" s="219"/>
      <c r="AJ539" s="219"/>
      <c r="AK539" s="219"/>
      <c r="AL539" s="219"/>
    </row>
    <row r="540" spans="12:38">
      <c r="L540" s="219"/>
      <c r="M540" s="219"/>
      <c r="N540" s="219"/>
      <c r="O540" s="219"/>
      <c r="P540" s="219"/>
      <c r="Q540" s="219"/>
      <c r="R540" s="219"/>
      <c r="S540" s="219"/>
      <c r="T540" s="219"/>
      <c r="U540" s="219"/>
      <c r="V540" s="219"/>
      <c r="W540" s="219"/>
      <c r="AB540" s="219"/>
      <c r="AC540" s="219"/>
      <c r="AD540" s="219"/>
      <c r="AE540" s="219"/>
      <c r="AF540" s="219"/>
      <c r="AG540" s="219"/>
      <c r="AH540" s="219"/>
      <c r="AI540" s="219"/>
      <c r="AJ540" s="219"/>
      <c r="AK540" s="219"/>
      <c r="AL540" s="219"/>
    </row>
    <row r="541" spans="12:38">
      <c r="L541" s="219"/>
      <c r="M541" s="219"/>
      <c r="N541" s="219"/>
      <c r="O541" s="219"/>
      <c r="P541" s="219"/>
      <c r="Q541" s="219"/>
      <c r="R541" s="219"/>
      <c r="S541" s="219"/>
      <c r="T541" s="219"/>
      <c r="U541" s="219"/>
      <c r="V541" s="219"/>
      <c r="W541" s="219"/>
      <c r="AB541" s="219"/>
      <c r="AC541" s="219"/>
      <c r="AD541" s="219"/>
      <c r="AE541" s="219"/>
      <c r="AF541" s="219"/>
      <c r="AG541" s="219"/>
      <c r="AH541" s="219"/>
      <c r="AI541" s="219"/>
      <c r="AJ541" s="219"/>
      <c r="AK541" s="219"/>
      <c r="AL541" s="219"/>
    </row>
    <row r="542" spans="12:38">
      <c r="L542" s="219"/>
      <c r="M542" s="219"/>
      <c r="N542" s="219"/>
      <c r="O542" s="219"/>
      <c r="P542" s="219"/>
      <c r="Q542" s="219"/>
      <c r="R542" s="219"/>
      <c r="S542" s="219"/>
      <c r="T542" s="219"/>
      <c r="U542" s="219"/>
      <c r="V542" s="219"/>
      <c r="W542" s="219"/>
      <c r="AB542" s="219"/>
      <c r="AC542" s="219"/>
      <c r="AD542" s="219"/>
      <c r="AE542" s="219"/>
      <c r="AF542" s="219"/>
      <c r="AG542" s="219"/>
      <c r="AH542" s="219"/>
      <c r="AI542" s="219"/>
      <c r="AJ542" s="219"/>
      <c r="AK542" s="219"/>
      <c r="AL542" s="219"/>
    </row>
    <row r="543" spans="12:38">
      <c r="L543" s="219"/>
      <c r="M543" s="219"/>
      <c r="N543" s="219"/>
      <c r="O543" s="219"/>
      <c r="P543" s="219"/>
      <c r="Q543" s="219"/>
      <c r="R543" s="219"/>
      <c r="S543" s="219"/>
      <c r="T543" s="219"/>
      <c r="U543" s="219"/>
      <c r="V543" s="219"/>
      <c r="W543" s="219"/>
      <c r="AB543" s="219"/>
      <c r="AC543" s="219"/>
      <c r="AD543" s="219"/>
      <c r="AE543" s="219"/>
      <c r="AF543" s="219"/>
      <c r="AG543" s="219"/>
      <c r="AH543" s="219"/>
      <c r="AI543" s="219"/>
      <c r="AJ543" s="219"/>
      <c r="AK543" s="219"/>
      <c r="AL543" s="219"/>
    </row>
    <row r="544" spans="12:38">
      <c r="L544" s="219"/>
      <c r="M544" s="219"/>
      <c r="N544" s="219"/>
      <c r="O544" s="219"/>
      <c r="P544" s="219"/>
      <c r="Q544" s="219"/>
      <c r="R544" s="219"/>
      <c r="S544" s="219"/>
      <c r="T544" s="219"/>
      <c r="U544" s="219"/>
      <c r="V544" s="219"/>
      <c r="W544" s="219"/>
      <c r="AB544" s="219"/>
      <c r="AC544" s="219"/>
      <c r="AD544" s="219"/>
      <c r="AE544" s="219"/>
      <c r="AF544" s="219"/>
      <c r="AG544" s="219"/>
      <c r="AH544" s="219"/>
      <c r="AI544" s="219"/>
      <c r="AJ544" s="219"/>
      <c r="AK544" s="219"/>
      <c r="AL544" s="219"/>
    </row>
    <row r="545" spans="12:38">
      <c r="L545" s="219"/>
      <c r="M545" s="219"/>
      <c r="N545" s="219"/>
      <c r="O545" s="219"/>
      <c r="P545" s="219"/>
      <c r="Q545" s="219"/>
      <c r="R545" s="219"/>
      <c r="S545" s="219"/>
      <c r="T545" s="219"/>
      <c r="U545" s="219"/>
      <c r="V545" s="219"/>
      <c r="W545" s="219"/>
      <c r="AB545" s="219"/>
      <c r="AC545" s="219"/>
      <c r="AD545" s="219"/>
      <c r="AE545" s="219"/>
      <c r="AF545" s="219"/>
      <c r="AG545" s="219"/>
      <c r="AH545" s="219"/>
      <c r="AI545" s="219"/>
      <c r="AJ545" s="219"/>
      <c r="AK545" s="219"/>
      <c r="AL545" s="219"/>
    </row>
    <row r="546" spans="12:38">
      <c r="L546" s="219"/>
      <c r="M546" s="219"/>
      <c r="N546" s="219"/>
      <c r="O546" s="219"/>
      <c r="P546" s="219"/>
      <c r="Q546" s="219"/>
      <c r="R546" s="219"/>
      <c r="S546" s="219"/>
      <c r="T546" s="219"/>
      <c r="U546" s="219"/>
      <c r="V546" s="219"/>
      <c r="W546" s="219"/>
      <c r="AB546" s="219"/>
      <c r="AC546" s="219"/>
      <c r="AD546" s="219"/>
      <c r="AE546" s="219"/>
      <c r="AF546" s="219"/>
      <c r="AG546" s="219"/>
      <c r="AH546" s="219"/>
      <c r="AI546" s="219"/>
      <c r="AJ546" s="219"/>
      <c r="AK546" s="219"/>
      <c r="AL546" s="219"/>
    </row>
    <row r="547" spans="12:38">
      <c r="L547" s="219"/>
      <c r="M547" s="219"/>
      <c r="N547" s="219"/>
      <c r="O547" s="219"/>
      <c r="P547" s="219"/>
      <c r="Q547" s="219"/>
      <c r="R547" s="219"/>
      <c r="S547" s="219"/>
      <c r="T547" s="219"/>
      <c r="U547" s="219"/>
      <c r="V547" s="219"/>
      <c r="W547" s="219"/>
      <c r="AB547" s="219"/>
      <c r="AC547" s="219"/>
      <c r="AD547" s="219"/>
      <c r="AE547" s="219"/>
      <c r="AF547" s="219"/>
      <c r="AG547" s="219"/>
      <c r="AH547" s="219"/>
      <c r="AI547" s="219"/>
      <c r="AJ547" s="219"/>
      <c r="AK547" s="219"/>
      <c r="AL547" s="219"/>
    </row>
    <row r="548" spans="12:38">
      <c r="L548" s="219"/>
      <c r="M548" s="219"/>
      <c r="N548" s="219"/>
      <c r="O548" s="219"/>
      <c r="P548" s="219"/>
      <c r="Q548" s="219"/>
      <c r="R548" s="219"/>
      <c r="S548" s="219"/>
      <c r="T548" s="219"/>
      <c r="U548" s="219"/>
      <c r="V548" s="219"/>
      <c r="W548" s="219"/>
      <c r="AB548" s="219"/>
      <c r="AC548" s="219"/>
      <c r="AD548" s="219"/>
      <c r="AE548" s="219"/>
      <c r="AF548" s="219"/>
      <c r="AG548" s="219"/>
      <c r="AH548" s="219"/>
      <c r="AI548" s="219"/>
      <c r="AJ548" s="219"/>
      <c r="AK548" s="219"/>
      <c r="AL548" s="219"/>
    </row>
    <row r="549" spans="12:38">
      <c r="L549" s="219"/>
      <c r="M549" s="219"/>
      <c r="N549" s="219"/>
      <c r="O549" s="219"/>
      <c r="P549" s="219"/>
      <c r="Q549" s="219"/>
      <c r="R549" s="219"/>
      <c r="S549" s="219"/>
      <c r="T549" s="219"/>
      <c r="U549" s="219"/>
      <c r="V549" s="219"/>
      <c r="W549" s="219"/>
      <c r="AB549" s="219"/>
      <c r="AC549" s="219"/>
      <c r="AD549" s="219"/>
      <c r="AE549" s="219"/>
      <c r="AF549" s="219"/>
      <c r="AG549" s="219"/>
      <c r="AH549" s="219"/>
      <c r="AI549" s="219"/>
      <c r="AJ549" s="219"/>
      <c r="AK549" s="219"/>
      <c r="AL549" s="219"/>
    </row>
    <row r="550" spans="12:38">
      <c r="L550" s="219"/>
      <c r="M550" s="219"/>
      <c r="N550" s="219"/>
      <c r="O550" s="219"/>
      <c r="P550" s="219"/>
      <c r="Q550" s="219"/>
      <c r="R550" s="219"/>
      <c r="S550" s="219"/>
      <c r="T550" s="219"/>
      <c r="U550" s="219"/>
      <c r="V550" s="219"/>
      <c r="W550" s="219"/>
      <c r="AB550" s="219"/>
      <c r="AC550" s="219"/>
      <c r="AD550" s="219"/>
      <c r="AE550" s="219"/>
      <c r="AF550" s="219"/>
      <c r="AG550" s="219"/>
      <c r="AH550" s="219"/>
      <c r="AI550" s="219"/>
      <c r="AJ550" s="219"/>
      <c r="AK550" s="219"/>
      <c r="AL550" s="219"/>
    </row>
    <row r="551" spans="12:38">
      <c r="L551" s="219"/>
      <c r="M551" s="219"/>
      <c r="N551" s="219"/>
      <c r="O551" s="219"/>
      <c r="P551" s="219"/>
      <c r="Q551" s="219"/>
      <c r="R551" s="219"/>
      <c r="S551" s="219"/>
      <c r="T551" s="219"/>
      <c r="U551" s="219"/>
      <c r="V551" s="219"/>
      <c r="W551" s="219"/>
      <c r="AB551" s="219"/>
      <c r="AC551" s="219"/>
      <c r="AD551" s="219"/>
      <c r="AE551" s="219"/>
      <c r="AF551" s="219"/>
      <c r="AG551" s="219"/>
      <c r="AH551" s="219"/>
      <c r="AI551" s="219"/>
      <c r="AJ551" s="219"/>
      <c r="AK551" s="219"/>
      <c r="AL551" s="219"/>
    </row>
    <row r="552" spans="12:38">
      <c r="L552" s="219"/>
      <c r="M552" s="219"/>
      <c r="N552" s="219"/>
      <c r="O552" s="219"/>
      <c r="P552" s="219"/>
      <c r="Q552" s="219"/>
      <c r="R552" s="219"/>
      <c r="S552" s="219"/>
      <c r="T552" s="219"/>
      <c r="U552" s="219"/>
      <c r="V552" s="219"/>
      <c r="W552" s="219"/>
      <c r="AB552" s="219"/>
      <c r="AC552" s="219"/>
      <c r="AD552" s="219"/>
      <c r="AE552" s="219"/>
      <c r="AF552" s="219"/>
      <c r="AG552" s="219"/>
      <c r="AH552" s="219"/>
      <c r="AI552" s="219"/>
      <c r="AJ552" s="219"/>
      <c r="AK552" s="219"/>
      <c r="AL552" s="219"/>
    </row>
    <row r="553" spans="12:38">
      <c r="L553" s="219"/>
      <c r="M553" s="219"/>
      <c r="N553" s="219"/>
      <c r="O553" s="219"/>
      <c r="P553" s="219"/>
      <c r="Q553" s="219"/>
      <c r="R553" s="219"/>
      <c r="S553" s="219"/>
      <c r="T553" s="219"/>
      <c r="U553" s="219"/>
      <c r="V553" s="219"/>
      <c r="W553" s="219"/>
      <c r="AB553" s="219"/>
      <c r="AC553" s="219"/>
      <c r="AD553" s="219"/>
      <c r="AE553" s="219"/>
      <c r="AF553" s="219"/>
      <c r="AG553" s="219"/>
      <c r="AH553" s="219"/>
      <c r="AI553" s="219"/>
      <c r="AJ553" s="219"/>
      <c r="AK553" s="219"/>
      <c r="AL553" s="219"/>
    </row>
    <row r="554" spans="12:38">
      <c r="L554" s="219"/>
      <c r="M554" s="219"/>
      <c r="N554" s="219"/>
      <c r="O554" s="219"/>
      <c r="P554" s="219"/>
      <c r="Q554" s="219"/>
      <c r="R554" s="219"/>
      <c r="S554" s="219"/>
      <c r="T554" s="219"/>
      <c r="U554" s="219"/>
      <c r="V554" s="219"/>
      <c r="W554" s="219"/>
      <c r="AB554" s="219"/>
      <c r="AC554" s="219"/>
      <c r="AD554" s="219"/>
      <c r="AE554" s="219"/>
      <c r="AF554" s="219"/>
      <c r="AG554" s="219"/>
      <c r="AH554" s="219"/>
      <c r="AI554" s="219"/>
      <c r="AJ554" s="219"/>
      <c r="AK554" s="219"/>
      <c r="AL554" s="219"/>
    </row>
    <row r="555" spans="12:38">
      <c r="L555" s="219"/>
      <c r="M555" s="219"/>
      <c r="N555" s="219"/>
      <c r="O555" s="219"/>
      <c r="P555" s="219"/>
      <c r="Q555" s="219"/>
      <c r="R555" s="219"/>
      <c r="S555" s="219"/>
      <c r="T555" s="219"/>
      <c r="U555" s="219"/>
      <c r="V555" s="219"/>
      <c r="W555" s="219"/>
      <c r="AB555" s="219"/>
      <c r="AC555" s="219"/>
      <c r="AD555" s="219"/>
      <c r="AE555" s="219"/>
      <c r="AF555" s="219"/>
      <c r="AG555" s="219"/>
      <c r="AH555" s="219"/>
      <c r="AI555" s="219"/>
      <c r="AJ555" s="219"/>
      <c r="AK555" s="219"/>
      <c r="AL555" s="219"/>
    </row>
    <row r="556" spans="12:38">
      <c r="L556" s="219"/>
      <c r="M556" s="219"/>
      <c r="N556" s="219"/>
      <c r="O556" s="219"/>
      <c r="P556" s="219"/>
      <c r="Q556" s="219"/>
      <c r="R556" s="219"/>
      <c r="S556" s="219"/>
      <c r="T556" s="219"/>
      <c r="U556" s="219"/>
      <c r="V556" s="219"/>
      <c r="W556" s="219"/>
      <c r="AB556" s="219"/>
      <c r="AC556" s="219"/>
      <c r="AD556" s="219"/>
      <c r="AE556" s="219"/>
      <c r="AF556" s="219"/>
      <c r="AG556" s="219"/>
      <c r="AH556" s="219"/>
      <c r="AI556" s="219"/>
      <c r="AJ556" s="219"/>
      <c r="AK556" s="219"/>
      <c r="AL556" s="219"/>
    </row>
    <row r="557" spans="12:38">
      <c r="L557" s="219"/>
      <c r="M557" s="219"/>
      <c r="N557" s="219"/>
      <c r="O557" s="219"/>
      <c r="P557" s="219"/>
      <c r="Q557" s="219"/>
      <c r="R557" s="219"/>
      <c r="S557" s="219"/>
      <c r="T557" s="219"/>
      <c r="U557" s="219"/>
      <c r="V557" s="219"/>
      <c r="W557" s="219"/>
      <c r="AB557" s="219"/>
      <c r="AC557" s="219"/>
      <c r="AD557" s="219"/>
      <c r="AE557" s="219"/>
      <c r="AF557" s="219"/>
      <c r="AG557" s="219"/>
      <c r="AH557" s="219"/>
      <c r="AI557" s="219"/>
      <c r="AJ557" s="219"/>
      <c r="AK557" s="219"/>
      <c r="AL557" s="219"/>
    </row>
    <row r="558" spans="12:38">
      <c r="L558" s="219"/>
      <c r="M558" s="219"/>
      <c r="N558" s="219"/>
      <c r="O558" s="219"/>
      <c r="P558" s="219"/>
      <c r="Q558" s="219"/>
      <c r="R558" s="219"/>
      <c r="S558" s="219"/>
      <c r="T558" s="219"/>
      <c r="U558" s="219"/>
      <c r="V558" s="219"/>
      <c r="W558" s="219"/>
      <c r="AB558" s="219"/>
      <c r="AC558" s="219"/>
      <c r="AD558" s="219"/>
      <c r="AE558" s="219"/>
      <c r="AF558" s="219"/>
      <c r="AG558" s="219"/>
      <c r="AH558" s="219"/>
      <c r="AI558" s="219"/>
      <c r="AJ558" s="219"/>
      <c r="AK558" s="219"/>
      <c r="AL558" s="219"/>
    </row>
    <row r="559" spans="12:38">
      <c r="L559" s="219"/>
      <c r="M559" s="219"/>
      <c r="N559" s="219"/>
      <c r="O559" s="219"/>
      <c r="P559" s="219"/>
      <c r="Q559" s="219"/>
      <c r="R559" s="219"/>
      <c r="S559" s="219"/>
      <c r="T559" s="219"/>
      <c r="U559" s="219"/>
      <c r="V559" s="219"/>
      <c r="W559" s="219"/>
      <c r="AB559" s="219"/>
      <c r="AC559" s="219"/>
      <c r="AD559" s="219"/>
      <c r="AE559" s="219"/>
      <c r="AF559" s="219"/>
      <c r="AG559" s="219"/>
      <c r="AH559" s="219"/>
      <c r="AI559" s="219"/>
      <c r="AJ559" s="219"/>
      <c r="AK559" s="219"/>
      <c r="AL559" s="219"/>
    </row>
    <row r="560" spans="12:38">
      <c r="L560" s="219"/>
      <c r="M560" s="219"/>
      <c r="N560" s="219"/>
      <c r="O560" s="219"/>
      <c r="P560" s="219"/>
      <c r="Q560" s="219"/>
      <c r="R560" s="219"/>
      <c r="S560" s="219"/>
      <c r="T560" s="219"/>
      <c r="U560" s="219"/>
      <c r="V560" s="219"/>
      <c r="W560" s="219"/>
      <c r="AB560" s="219"/>
      <c r="AC560" s="219"/>
      <c r="AD560" s="219"/>
      <c r="AE560" s="219"/>
      <c r="AF560" s="219"/>
      <c r="AG560" s="219"/>
      <c r="AH560" s="219"/>
      <c r="AI560" s="219"/>
      <c r="AJ560" s="219"/>
      <c r="AK560" s="219"/>
      <c r="AL560" s="219"/>
    </row>
    <row r="561" spans="12:38">
      <c r="L561" s="219"/>
      <c r="M561" s="219"/>
      <c r="N561" s="219"/>
      <c r="O561" s="219"/>
      <c r="P561" s="219"/>
      <c r="Q561" s="219"/>
      <c r="R561" s="219"/>
      <c r="S561" s="219"/>
      <c r="T561" s="219"/>
      <c r="U561" s="219"/>
      <c r="V561" s="219"/>
      <c r="W561" s="219"/>
      <c r="AB561" s="219"/>
      <c r="AC561" s="219"/>
      <c r="AD561" s="219"/>
      <c r="AE561" s="219"/>
      <c r="AF561" s="219"/>
      <c r="AG561" s="219"/>
      <c r="AH561" s="219"/>
      <c r="AI561" s="219"/>
      <c r="AJ561" s="219"/>
      <c r="AK561" s="219"/>
      <c r="AL561" s="219"/>
    </row>
    <row r="562" spans="12:38">
      <c r="L562" s="219"/>
      <c r="M562" s="219"/>
      <c r="N562" s="219"/>
      <c r="O562" s="219"/>
      <c r="P562" s="219"/>
      <c r="Q562" s="219"/>
      <c r="R562" s="219"/>
      <c r="S562" s="219"/>
      <c r="T562" s="219"/>
      <c r="U562" s="219"/>
      <c r="V562" s="219"/>
      <c r="W562" s="219"/>
      <c r="AB562" s="219"/>
      <c r="AC562" s="219"/>
      <c r="AD562" s="219"/>
      <c r="AE562" s="219"/>
      <c r="AF562" s="219"/>
      <c r="AG562" s="219"/>
      <c r="AH562" s="219"/>
      <c r="AI562" s="219"/>
      <c r="AJ562" s="219"/>
      <c r="AK562" s="219"/>
      <c r="AL562" s="219"/>
    </row>
    <row r="563" spans="12:38">
      <c r="L563" s="219"/>
      <c r="M563" s="219"/>
      <c r="N563" s="219"/>
      <c r="O563" s="219"/>
      <c r="P563" s="219"/>
      <c r="Q563" s="219"/>
      <c r="R563" s="219"/>
      <c r="S563" s="219"/>
      <c r="T563" s="219"/>
      <c r="U563" s="219"/>
      <c r="V563" s="219"/>
      <c r="W563" s="219"/>
      <c r="AB563" s="219"/>
      <c r="AC563" s="219"/>
      <c r="AD563" s="219"/>
      <c r="AE563" s="219"/>
      <c r="AF563" s="219"/>
      <c r="AG563" s="219"/>
      <c r="AH563" s="219"/>
      <c r="AI563" s="219"/>
      <c r="AJ563" s="219"/>
      <c r="AK563" s="219"/>
      <c r="AL563" s="219"/>
    </row>
    <row r="564" spans="12:38">
      <c r="L564" s="219"/>
      <c r="M564" s="219"/>
      <c r="N564" s="219"/>
      <c r="O564" s="219"/>
      <c r="P564" s="219"/>
      <c r="Q564" s="219"/>
      <c r="R564" s="219"/>
      <c r="S564" s="219"/>
      <c r="T564" s="219"/>
      <c r="U564" s="219"/>
      <c r="V564" s="219"/>
      <c r="W564" s="219"/>
      <c r="AB564" s="219"/>
      <c r="AC564" s="219"/>
      <c r="AD564" s="219"/>
      <c r="AE564" s="219"/>
      <c r="AF564" s="219"/>
      <c r="AG564" s="219"/>
      <c r="AH564" s="219"/>
      <c r="AI564" s="219"/>
      <c r="AJ564" s="219"/>
      <c r="AK564" s="219"/>
      <c r="AL564" s="219"/>
    </row>
    <row r="565" spans="12:38">
      <c r="L565" s="219"/>
      <c r="M565" s="219"/>
      <c r="N565" s="219"/>
      <c r="O565" s="219"/>
      <c r="P565" s="219"/>
      <c r="Q565" s="219"/>
      <c r="R565" s="219"/>
      <c r="S565" s="219"/>
      <c r="T565" s="219"/>
      <c r="U565" s="219"/>
      <c r="V565" s="219"/>
      <c r="W565" s="219"/>
      <c r="AB565" s="219"/>
      <c r="AC565" s="219"/>
      <c r="AD565" s="219"/>
      <c r="AE565" s="219"/>
      <c r="AF565" s="219"/>
      <c r="AG565" s="219"/>
      <c r="AH565" s="219"/>
      <c r="AI565" s="219"/>
      <c r="AJ565" s="219"/>
      <c r="AK565" s="219"/>
      <c r="AL565" s="219"/>
    </row>
    <row r="566" spans="12:38">
      <c r="L566" s="219"/>
      <c r="M566" s="219"/>
      <c r="N566" s="219"/>
      <c r="O566" s="219"/>
      <c r="P566" s="219"/>
      <c r="Q566" s="219"/>
      <c r="R566" s="219"/>
      <c r="S566" s="219"/>
      <c r="T566" s="219"/>
      <c r="U566" s="219"/>
      <c r="V566" s="219"/>
      <c r="W566" s="219"/>
      <c r="AB566" s="219"/>
      <c r="AC566" s="219"/>
      <c r="AD566" s="219"/>
      <c r="AE566" s="219"/>
      <c r="AF566" s="219"/>
      <c r="AG566" s="219"/>
      <c r="AH566" s="219"/>
      <c r="AI566" s="219"/>
      <c r="AJ566" s="219"/>
      <c r="AK566" s="219"/>
      <c r="AL566" s="219"/>
    </row>
    <row r="567" spans="12:38">
      <c r="L567" s="219"/>
      <c r="M567" s="219"/>
      <c r="N567" s="219"/>
      <c r="O567" s="219"/>
      <c r="P567" s="219"/>
      <c r="Q567" s="219"/>
      <c r="R567" s="219"/>
      <c r="S567" s="219"/>
      <c r="T567" s="219"/>
      <c r="U567" s="219"/>
      <c r="V567" s="219"/>
      <c r="W567" s="219"/>
      <c r="AB567" s="219"/>
      <c r="AC567" s="219"/>
      <c r="AD567" s="219"/>
      <c r="AE567" s="219"/>
      <c r="AF567" s="219"/>
      <c r="AG567" s="219"/>
      <c r="AH567" s="219"/>
      <c r="AI567" s="219"/>
      <c r="AJ567" s="219"/>
      <c r="AK567" s="219"/>
      <c r="AL567" s="219"/>
    </row>
    <row r="568" spans="12:38">
      <c r="L568" s="219"/>
      <c r="M568" s="219"/>
      <c r="N568" s="219"/>
      <c r="O568" s="219"/>
      <c r="P568" s="219"/>
      <c r="Q568" s="219"/>
      <c r="R568" s="219"/>
      <c r="S568" s="219"/>
      <c r="T568" s="219"/>
      <c r="U568" s="219"/>
      <c r="V568" s="219"/>
      <c r="W568" s="219"/>
      <c r="AB568" s="219"/>
      <c r="AC568" s="219"/>
      <c r="AD568" s="219"/>
      <c r="AE568" s="219"/>
      <c r="AF568" s="219"/>
      <c r="AG568" s="219"/>
      <c r="AH568" s="219"/>
      <c r="AI568" s="219"/>
      <c r="AJ568" s="219"/>
      <c r="AK568" s="219"/>
      <c r="AL568" s="219"/>
    </row>
    <row r="569" spans="12:38">
      <c r="L569" s="219"/>
      <c r="M569" s="219"/>
      <c r="N569" s="219"/>
      <c r="O569" s="219"/>
      <c r="P569" s="219"/>
      <c r="Q569" s="219"/>
      <c r="R569" s="219"/>
      <c r="S569" s="219"/>
      <c r="T569" s="219"/>
      <c r="U569" s="219"/>
      <c r="V569" s="219"/>
      <c r="W569" s="219"/>
      <c r="AB569" s="219"/>
      <c r="AC569" s="219"/>
      <c r="AD569" s="219"/>
      <c r="AE569" s="219"/>
      <c r="AF569" s="219"/>
      <c r="AG569" s="219"/>
      <c r="AH569" s="219"/>
      <c r="AI569" s="219"/>
      <c r="AJ569" s="219"/>
      <c r="AK569" s="219"/>
      <c r="AL569" s="219"/>
    </row>
    <row r="570" spans="12:38">
      <c r="L570" s="219"/>
      <c r="M570" s="219"/>
      <c r="N570" s="219"/>
      <c r="O570" s="219"/>
      <c r="P570" s="219"/>
      <c r="Q570" s="219"/>
      <c r="R570" s="219"/>
      <c r="S570" s="219"/>
      <c r="T570" s="219"/>
      <c r="U570" s="219"/>
      <c r="V570" s="219"/>
      <c r="W570" s="219"/>
      <c r="AB570" s="219"/>
      <c r="AC570" s="219"/>
      <c r="AD570" s="219"/>
      <c r="AE570" s="219"/>
      <c r="AF570" s="219"/>
      <c r="AG570" s="219"/>
      <c r="AH570" s="219"/>
      <c r="AI570" s="219"/>
      <c r="AJ570" s="219"/>
      <c r="AK570" s="219"/>
      <c r="AL570" s="219"/>
    </row>
    <row r="571" spans="12:38">
      <c r="L571" s="219"/>
      <c r="M571" s="219"/>
      <c r="N571" s="219"/>
      <c r="O571" s="219"/>
      <c r="P571" s="219"/>
      <c r="Q571" s="219"/>
      <c r="R571" s="219"/>
      <c r="S571" s="219"/>
      <c r="T571" s="219"/>
      <c r="U571" s="219"/>
      <c r="V571" s="219"/>
      <c r="W571" s="219"/>
      <c r="AB571" s="219"/>
      <c r="AC571" s="219"/>
      <c r="AD571" s="219"/>
      <c r="AE571" s="219"/>
      <c r="AF571" s="219"/>
      <c r="AG571" s="219"/>
      <c r="AH571" s="219"/>
      <c r="AI571" s="219"/>
      <c r="AJ571" s="219"/>
      <c r="AK571" s="219"/>
      <c r="AL571" s="219"/>
    </row>
    <row r="572" spans="12:38">
      <c r="L572" s="219"/>
      <c r="M572" s="219"/>
      <c r="N572" s="219"/>
      <c r="O572" s="219"/>
      <c r="P572" s="219"/>
      <c r="Q572" s="219"/>
      <c r="R572" s="219"/>
      <c r="S572" s="219"/>
      <c r="T572" s="219"/>
      <c r="U572" s="219"/>
      <c r="V572" s="219"/>
      <c r="W572" s="219"/>
      <c r="AB572" s="219"/>
      <c r="AC572" s="219"/>
      <c r="AD572" s="219"/>
      <c r="AE572" s="219"/>
      <c r="AF572" s="219"/>
      <c r="AG572" s="219"/>
      <c r="AH572" s="219"/>
      <c r="AI572" s="219"/>
      <c r="AJ572" s="219"/>
      <c r="AK572" s="219"/>
      <c r="AL572" s="219"/>
    </row>
    <row r="573" spans="12:38">
      <c r="L573" s="219"/>
      <c r="M573" s="219"/>
      <c r="N573" s="219"/>
      <c r="O573" s="219"/>
      <c r="P573" s="219"/>
      <c r="Q573" s="219"/>
      <c r="R573" s="219"/>
      <c r="S573" s="219"/>
      <c r="T573" s="219"/>
      <c r="U573" s="219"/>
      <c r="V573" s="219"/>
      <c r="W573" s="219"/>
      <c r="AB573" s="219"/>
      <c r="AC573" s="219"/>
      <c r="AD573" s="219"/>
      <c r="AE573" s="219"/>
      <c r="AF573" s="219"/>
      <c r="AG573" s="219"/>
      <c r="AH573" s="219"/>
      <c r="AI573" s="219"/>
      <c r="AJ573" s="219"/>
      <c r="AK573" s="219"/>
      <c r="AL573" s="219"/>
    </row>
    <row r="574" spans="12:38">
      <c r="L574" s="219"/>
      <c r="M574" s="219"/>
      <c r="N574" s="219"/>
      <c r="O574" s="219"/>
      <c r="P574" s="219"/>
      <c r="Q574" s="219"/>
      <c r="R574" s="219"/>
      <c r="S574" s="219"/>
      <c r="T574" s="219"/>
      <c r="U574" s="219"/>
      <c r="V574" s="219"/>
      <c r="W574" s="219"/>
      <c r="AB574" s="219"/>
      <c r="AC574" s="219"/>
      <c r="AD574" s="219"/>
      <c r="AE574" s="219"/>
      <c r="AF574" s="219"/>
      <c r="AG574" s="219"/>
      <c r="AH574" s="219"/>
      <c r="AI574" s="219"/>
      <c r="AJ574" s="219"/>
      <c r="AK574" s="219"/>
      <c r="AL574" s="219"/>
    </row>
    <row r="575" spans="12:38">
      <c r="L575" s="219"/>
      <c r="M575" s="219"/>
      <c r="N575" s="219"/>
      <c r="O575" s="219"/>
      <c r="P575" s="219"/>
      <c r="Q575" s="219"/>
      <c r="R575" s="219"/>
      <c r="S575" s="219"/>
      <c r="T575" s="219"/>
      <c r="U575" s="219"/>
      <c r="V575" s="219"/>
      <c r="W575" s="219"/>
      <c r="AB575" s="219"/>
      <c r="AC575" s="219"/>
      <c r="AD575" s="219"/>
      <c r="AE575" s="219"/>
      <c r="AF575" s="219"/>
      <c r="AG575" s="219"/>
      <c r="AH575" s="219"/>
      <c r="AI575" s="219"/>
      <c r="AJ575" s="219"/>
      <c r="AK575" s="219"/>
      <c r="AL575" s="219"/>
    </row>
    <row r="576" spans="12:38">
      <c r="L576" s="219"/>
      <c r="M576" s="219"/>
      <c r="N576" s="219"/>
      <c r="O576" s="219"/>
      <c r="P576" s="219"/>
      <c r="Q576" s="219"/>
      <c r="R576" s="219"/>
      <c r="S576" s="219"/>
      <c r="T576" s="219"/>
      <c r="U576" s="219"/>
      <c r="V576" s="219"/>
      <c r="W576" s="219"/>
      <c r="AB576" s="219"/>
      <c r="AC576" s="219"/>
      <c r="AD576" s="219"/>
      <c r="AE576" s="219"/>
      <c r="AF576" s="219"/>
      <c r="AG576" s="219"/>
      <c r="AH576" s="219"/>
      <c r="AI576" s="219"/>
      <c r="AJ576" s="219"/>
      <c r="AK576" s="219"/>
      <c r="AL576" s="219"/>
    </row>
    <row r="577" spans="12:38">
      <c r="L577" s="219"/>
      <c r="M577" s="219"/>
      <c r="N577" s="219"/>
      <c r="O577" s="219"/>
      <c r="P577" s="219"/>
      <c r="Q577" s="219"/>
      <c r="R577" s="219"/>
      <c r="S577" s="219"/>
      <c r="T577" s="219"/>
      <c r="U577" s="219"/>
      <c r="V577" s="219"/>
      <c r="W577" s="219"/>
      <c r="AB577" s="219"/>
      <c r="AC577" s="219"/>
      <c r="AD577" s="219"/>
      <c r="AE577" s="219"/>
      <c r="AF577" s="219"/>
      <c r="AG577" s="219"/>
      <c r="AH577" s="219"/>
      <c r="AI577" s="219"/>
      <c r="AJ577" s="219"/>
      <c r="AK577" s="219"/>
      <c r="AL577" s="219"/>
    </row>
    <row r="578" spans="12:38">
      <c r="L578" s="219"/>
      <c r="M578" s="219"/>
      <c r="N578" s="219"/>
      <c r="O578" s="219"/>
      <c r="P578" s="219"/>
      <c r="Q578" s="219"/>
      <c r="R578" s="219"/>
      <c r="S578" s="219"/>
      <c r="T578" s="219"/>
      <c r="U578" s="219"/>
      <c r="V578" s="219"/>
      <c r="W578" s="219"/>
      <c r="AB578" s="219"/>
      <c r="AC578" s="219"/>
      <c r="AD578" s="219"/>
      <c r="AE578" s="219"/>
      <c r="AF578" s="219"/>
      <c r="AG578" s="219"/>
      <c r="AH578" s="219"/>
      <c r="AI578" s="219"/>
      <c r="AJ578" s="219"/>
      <c r="AK578" s="219"/>
      <c r="AL578" s="219"/>
    </row>
    <row r="579" spans="12:38">
      <c r="L579" s="219"/>
      <c r="M579" s="219"/>
      <c r="N579" s="219"/>
      <c r="O579" s="219"/>
      <c r="P579" s="219"/>
      <c r="Q579" s="219"/>
      <c r="R579" s="219"/>
      <c r="S579" s="219"/>
      <c r="T579" s="219"/>
      <c r="U579" s="219"/>
      <c r="V579" s="219"/>
      <c r="W579" s="219"/>
      <c r="AB579" s="219"/>
      <c r="AC579" s="219"/>
      <c r="AD579" s="219"/>
      <c r="AE579" s="219"/>
      <c r="AF579" s="219"/>
      <c r="AG579" s="219"/>
      <c r="AH579" s="219"/>
      <c r="AI579" s="219"/>
      <c r="AJ579" s="219"/>
      <c r="AK579" s="219"/>
      <c r="AL579" s="219"/>
    </row>
    <row r="580" spans="12:38">
      <c r="L580" s="219"/>
      <c r="M580" s="219"/>
      <c r="N580" s="219"/>
      <c r="O580" s="219"/>
      <c r="P580" s="219"/>
      <c r="Q580" s="219"/>
      <c r="R580" s="219"/>
      <c r="S580" s="219"/>
      <c r="T580" s="219"/>
      <c r="U580" s="219"/>
      <c r="V580" s="219"/>
      <c r="W580" s="219"/>
      <c r="AB580" s="219"/>
      <c r="AC580" s="219"/>
      <c r="AD580" s="219"/>
      <c r="AE580" s="219"/>
      <c r="AF580" s="219"/>
      <c r="AG580" s="219"/>
      <c r="AH580" s="219"/>
      <c r="AI580" s="219"/>
      <c r="AJ580" s="219"/>
      <c r="AK580" s="219"/>
      <c r="AL580" s="219"/>
    </row>
    <row r="581" spans="12:38">
      <c r="L581" s="219"/>
      <c r="M581" s="219"/>
      <c r="N581" s="219"/>
      <c r="O581" s="219"/>
      <c r="P581" s="219"/>
      <c r="Q581" s="219"/>
      <c r="R581" s="219"/>
      <c r="S581" s="219"/>
      <c r="T581" s="219"/>
      <c r="U581" s="219"/>
      <c r="V581" s="219"/>
      <c r="W581" s="219"/>
      <c r="AB581" s="219"/>
      <c r="AC581" s="219"/>
      <c r="AD581" s="219"/>
      <c r="AE581" s="219"/>
      <c r="AF581" s="219"/>
      <c r="AG581" s="219"/>
      <c r="AH581" s="219"/>
      <c r="AI581" s="219"/>
      <c r="AJ581" s="219"/>
      <c r="AK581" s="219"/>
      <c r="AL581" s="219"/>
    </row>
    <row r="582" spans="12:38">
      <c r="L582" s="219"/>
      <c r="M582" s="219"/>
      <c r="N582" s="219"/>
      <c r="O582" s="219"/>
      <c r="P582" s="219"/>
      <c r="Q582" s="219"/>
      <c r="R582" s="219"/>
      <c r="S582" s="219"/>
      <c r="T582" s="219"/>
      <c r="U582" s="219"/>
      <c r="V582" s="219"/>
      <c r="W582" s="219"/>
      <c r="AB582" s="219"/>
      <c r="AC582" s="219"/>
      <c r="AD582" s="219"/>
      <c r="AE582" s="219"/>
      <c r="AF582" s="219"/>
      <c r="AG582" s="219"/>
      <c r="AH582" s="219"/>
      <c r="AI582" s="219"/>
      <c r="AJ582" s="219"/>
      <c r="AK582" s="219"/>
      <c r="AL582" s="219"/>
    </row>
    <row r="583" spans="12:38">
      <c r="L583" s="219"/>
      <c r="M583" s="219"/>
      <c r="N583" s="219"/>
      <c r="O583" s="219"/>
      <c r="P583" s="219"/>
      <c r="Q583" s="219"/>
      <c r="R583" s="219"/>
      <c r="S583" s="219"/>
      <c r="T583" s="219"/>
      <c r="U583" s="219"/>
      <c r="V583" s="219"/>
      <c r="W583" s="219"/>
      <c r="AB583" s="219"/>
      <c r="AC583" s="219"/>
      <c r="AD583" s="219"/>
      <c r="AE583" s="219"/>
      <c r="AF583" s="219"/>
      <c r="AG583" s="219"/>
      <c r="AH583" s="219"/>
      <c r="AI583" s="219"/>
      <c r="AJ583" s="219"/>
      <c r="AK583" s="219"/>
      <c r="AL583" s="219"/>
    </row>
    <row r="584" spans="12:38">
      <c r="L584" s="219"/>
      <c r="M584" s="219"/>
      <c r="N584" s="219"/>
      <c r="O584" s="219"/>
      <c r="P584" s="219"/>
      <c r="Q584" s="219"/>
      <c r="R584" s="219"/>
      <c r="S584" s="219"/>
      <c r="T584" s="219"/>
      <c r="U584" s="219"/>
      <c r="V584" s="219"/>
      <c r="W584" s="219"/>
      <c r="AB584" s="219"/>
      <c r="AC584" s="219"/>
      <c r="AD584" s="219"/>
      <c r="AE584" s="219"/>
      <c r="AF584" s="219"/>
      <c r="AG584" s="219"/>
      <c r="AH584" s="219"/>
      <c r="AI584" s="219"/>
      <c r="AJ584" s="219"/>
      <c r="AK584" s="219"/>
      <c r="AL584" s="219"/>
    </row>
    <row r="585" spans="12:38">
      <c r="L585" s="219"/>
      <c r="M585" s="219"/>
      <c r="N585" s="219"/>
      <c r="O585" s="219"/>
      <c r="P585" s="219"/>
      <c r="Q585" s="219"/>
      <c r="R585" s="219"/>
      <c r="S585" s="219"/>
      <c r="T585" s="219"/>
      <c r="U585" s="219"/>
      <c r="V585" s="219"/>
      <c r="W585" s="219"/>
      <c r="AB585" s="219"/>
      <c r="AC585" s="219"/>
      <c r="AD585" s="219"/>
      <c r="AE585" s="219"/>
      <c r="AF585" s="219"/>
      <c r="AG585" s="219"/>
      <c r="AH585" s="219"/>
      <c r="AI585" s="219"/>
      <c r="AJ585" s="219"/>
      <c r="AK585" s="219"/>
      <c r="AL585" s="219"/>
    </row>
    <row r="586" spans="12:38">
      <c r="L586" s="219"/>
      <c r="M586" s="219"/>
      <c r="N586" s="219"/>
      <c r="O586" s="219"/>
      <c r="P586" s="219"/>
      <c r="Q586" s="219"/>
      <c r="R586" s="219"/>
      <c r="S586" s="219"/>
      <c r="T586" s="219"/>
      <c r="U586" s="219"/>
      <c r="V586" s="219"/>
      <c r="W586" s="219"/>
      <c r="AB586" s="219"/>
      <c r="AC586" s="219"/>
      <c r="AD586" s="219"/>
      <c r="AE586" s="219"/>
      <c r="AF586" s="219"/>
      <c r="AG586" s="219"/>
      <c r="AH586" s="219"/>
      <c r="AI586" s="219"/>
      <c r="AJ586" s="219"/>
      <c r="AK586" s="219"/>
      <c r="AL586" s="219"/>
    </row>
    <row r="587" spans="12:38">
      <c r="L587" s="219"/>
      <c r="M587" s="219"/>
      <c r="N587" s="219"/>
      <c r="O587" s="219"/>
      <c r="P587" s="219"/>
      <c r="Q587" s="219"/>
      <c r="R587" s="219"/>
      <c r="S587" s="219"/>
      <c r="T587" s="219"/>
      <c r="U587" s="219"/>
      <c r="V587" s="219"/>
      <c r="W587" s="219"/>
      <c r="AB587" s="219"/>
      <c r="AC587" s="219"/>
      <c r="AD587" s="219"/>
      <c r="AE587" s="219"/>
      <c r="AF587" s="219"/>
      <c r="AG587" s="219"/>
      <c r="AH587" s="219"/>
      <c r="AI587" s="219"/>
      <c r="AJ587" s="219"/>
      <c r="AK587" s="219"/>
      <c r="AL587" s="219"/>
    </row>
    <row r="588" spans="12:38">
      <c r="L588" s="219"/>
      <c r="M588" s="219"/>
      <c r="N588" s="219"/>
      <c r="O588" s="219"/>
      <c r="P588" s="219"/>
      <c r="Q588" s="219"/>
      <c r="R588" s="219"/>
      <c r="S588" s="219"/>
      <c r="T588" s="219"/>
      <c r="U588" s="219"/>
      <c r="V588" s="219"/>
      <c r="W588" s="219"/>
      <c r="AB588" s="219"/>
      <c r="AC588" s="219"/>
      <c r="AD588" s="219"/>
      <c r="AE588" s="219"/>
      <c r="AF588" s="219"/>
      <c r="AG588" s="219"/>
      <c r="AH588" s="219"/>
      <c r="AI588" s="219"/>
      <c r="AJ588" s="219"/>
      <c r="AK588" s="219"/>
      <c r="AL588" s="219"/>
    </row>
    <row r="589" spans="12:38">
      <c r="L589" s="219"/>
      <c r="M589" s="219"/>
      <c r="N589" s="219"/>
      <c r="O589" s="219"/>
      <c r="P589" s="219"/>
      <c r="Q589" s="219"/>
      <c r="R589" s="219"/>
      <c r="S589" s="219"/>
      <c r="T589" s="219"/>
      <c r="U589" s="219"/>
      <c r="V589" s="219"/>
      <c r="W589" s="219"/>
      <c r="AB589" s="219"/>
      <c r="AC589" s="219"/>
      <c r="AD589" s="219"/>
      <c r="AE589" s="219"/>
      <c r="AF589" s="219"/>
      <c r="AG589" s="219"/>
      <c r="AH589" s="219"/>
      <c r="AI589" s="219"/>
      <c r="AJ589" s="219"/>
      <c r="AK589" s="219"/>
      <c r="AL589" s="219"/>
    </row>
    <row r="590" spans="12:38">
      <c r="L590" s="219"/>
      <c r="M590" s="219"/>
      <c r="N590" s="219"/>
      <c r="O590" s="219"/>
      <c r="P590" s="219"/>
      <c r="Q590" s="219"/>
      <c r="R590" s="219"/>
      <c r="S590" s="219"/>
      <c r="T590" s="219"/>
      <c r="U590" s="219"/>
      <c r="V590" s="219"/>
      <c r="W590" s="219"/>
      <c r="AB590" s="219"/>
      <c r="AC590" s="219"/>
      <c r="AD590" s="219"/>
      <c r="AE590" s="219"/>
      <c r="AF590" s="219"/>
      <c r="AG590" s="219"/>
      <c r="AH590" s="219"/>
      <c r="AI590" s="219"/>
      <c r="AJ590" s="219"/>
      <c r="AK590" s="219"/>
      <c r="AL590" s="219"/>
    </row>
    <row r="591" spans="12:38">
      <c r="L591" s="219"/>
      <c r="M591" s="219"/>
      <c r="N591" s="219"/>
      <c r="O591" s="219"/>
      <c r="P591" s="219"/>
      <c r="Q591" s="219"/>
      <c r="R591" s="219"/>
      <c r="S591" s="219"/>
      <c r="T591" s="219"/>
      <c r="U591" s="219"/>
      <c r="V591" s="219"/>
      <c r="W591" s="219"/>
      <c r="AB591" s="219"/>
      <c r="AC591" s="219"/>
      <c r="AD591" s="219"/>
      <c r="AE591" s="219"/>
      <c r="AF591" s="219"/>
      <c r="AG591" s="219"/>
      <c r="AH591" s="219"/>
      <c r="AI591" s="219"/>
      <c r="AJ591" s="219"/>
      <c r="AK591" s="219"/>
      <c r="AL591" s="219"/>
    </row>
    <row r="592" spans="12:38">
      <c r="L592" s="219"/>
      <c r="M592" s="219"/>
      <c r="N592" s="219"/>
      <c r="O592" s="219"/>
      <c r="P592" s="219"/>
      <c r="Q592" s="219"/>
      <c r="R592" s="219"/>
      <c r="S592" s="219"/>
      <c r="T592" s="219"/>
      <c r="U592" s="219"/>
      <c r="V592" s="219"/>
      <c r="W592" s="219"/>
      <c r="AB592" s="219"/>
      <c r="AC592" s="219"/>
      <c r="AD592" s="219"/>
      <c r="AE592" s="219"/>
      <c r="AF592" s="219"/>
      <c r="AG592" s="219"/>
      <c r="AH592" s="219"/>
      <c r="AI592" s="219"/>
      <c r="AJ592" s="219"/>
      <c r="AK592" s="219"/>
      <c r="AL592" s="219"/>
    </row>
    <row r="593" spans="12:38">
      <c r="L593" s="219"/>
      <c r="M593" s="219"/>
      <c r="N593" s="219"/>
      <c r="O593" s="219"/>
      <c r="P593" s="219"/>
      <c r="Q593" s="219"/>
      <c r="R593" s="219"/>
      <c r="S593" s="219"/>
      <c r="T593" s="219"/>
      <c r="U593" s="219"/>
      <c r="V593" s="219"/>
      <c r="W593" s="219"/>
      <c r="AB593" s="219"/>
      <c r="AC593" s="219"/>
      <c r="AD593" s="219"/>
      <c r="AE593" s="219"/>
      <c r="AF593" s="219"/>
      <c r="AG593" s="219"/>
      <c r="AH593" s="219"/>
      <c r="AI593" s="219"/>
      <c r="AJ593" s="219"/>
      <c r="AK593" s="219"/>
      <c r="AL593" s="219"/>
    </row>
    <row r="594" spans="12:38">
      <c r="L594" s="219"/>
      <c r="M594" s="219"/>
      <c r="N594" s="219"/>
      <c r="O594" s="219"/>
      <c r="P594" s="219"/>
      <c r="Q594" s="219"/>
      <c r="R594" s="219"/>
      <c r="S594" s="219"/>
      <c r="T594" s="219"/>
      <c r="U594" s="219"/>
      <c r="V594" s="219"/>
      <c r="W594" s="219"/>
      <c r="AB594" s="219"/>
      <c r="AC594" s="219"/>
      <c r="AD594" s="219"/>
      <c r="AE594" s="219"/>
      <c r="AF594" s="219"/>
      <c r="AG594" s="219"/>
      <c r="AH594" s="219"/>
      <c r="AI594" s="219"/>
      <c r="AJ594" s="219"/>
      <c r="AK594" s="219"/>
      <c r="AL594" s="219"/>
    </row>
    <row r="595" spans="12:38">
      <c r="L595" s="219"/>
      <c r="M595" s="219"/>
      <c r="N595" s="219"/>
      <c r="O595" s="219"/>
      <c r="P595" s="219"/>
      <c r="Q595" s="219"/>
      <c r="R595" s="219"/>
      <c r="S595" s="219"/>
      <c r="T595" s="219"/>
      <c r="U595" s="219"/>
      <c r="V595" s="219"/>
      <c r="W595" s="219"/>
      <c r="AB595" s="219"/>
      <c r="AC595" s="219"/>
      <c r="AD595" s="219"/>
      <c r="AE595" s="219"/>
      <c r="AF595" s="219"/>
      <c r="AG595" s="219"/>
      <c r="AH595" s="219"/>
      <c r="AI595" s="219"/>
      <c r="AJ595" s="219"/>
      <c r="AK595" s="219"/>
      <c r="AL595" s="219"/>
    </row>
    <row r="596" spans="12:38">
      <c r="L596" s="219"/>
      <c r="M596" s="219"/>
      <c r="N596" s="219"/>
      <c r="O596" s="219"/>
      <c r="P596" s="219"/>
      <c r="Q596" s="219"/>
      <c r="R596" s="219"/>
      <c r="S596" s="219"/>
      <c r="T596" s="219"/>
      <c r="U596" s="219"/>
      <c r="V596" s="219"/>
      <c r="W596" s="219"/>
      <c r="AB596" s="219"/>
      <c r="AC596" s="219"/>
      <c r="AD596" s="219"/>
      <c r="AE596" s="219"/>
      <c r="AF596" s="219"/>
      <c r="AG596" s="219"/>
      <c r="AH596" s="219"/>
      <c r="AI596" s="219"/>
      <c r="AJ596" s="219"/>
      <c r="AK596" s="219"/>
      <c r="AL596" s="219"/>
    </row>
    <row r="597" spans="12:38">
      <c r="L597" s="219"/>
      <c r="M597" s="219"/>
      <c r="N597" s="219"/>
      <c r="O597" s="219"/>
      <c r="P597" s="219"/>
      <c r="Q597" s="219"/>
      <c r="R597" s="219"/>
      <c r="S597" s="219"/>
      <c r="T597" s="219"/>
      <c r="U597" s="219"/>
      <c r="V597" s="219"/>
      <c r="W597" s="219"/>
      <c r="AB597" s="219"/>
      <c r="AC597" s="219"/>
      <c r="AD597" s="219"/>
      <c r="AE597" s="219"/>
      <c r="AF597" s="219"/>
      <c r="AG597" s="219"/>
      <c r="AH597" s="219"/>
      <c r="AI597" s="219"/>
      <c r="AJ597" s="219"/>
      <c r="AK597" s="219"/>
      <c r="AL597" s="219"/>
    </row>
    <row r="598" spans="12:38">
      <c r="L598" s="219"/>
      <c r="M598" s="219"/>
      <c r="N598" s="219"/>
      <c r="O598" s="219"/>
      <c r="P598" s="219"/>
      <c r="Q598" s="219"/>
      <c r="R598" s="219"/>
      <c r="S598" s="219"/>
      <c r="T598" s="219"/>
      <c r="U598" s="219"/>
      <c r="V598" s="219"/>
      <c r="W598" s="219"/>
      <c r="AB598" s="219"/>
      <c r="AC598" s="219"/>
      <c r="AD598" s="219"/>
      <c r="AE598" s="219"/>
      <c r="AF598" s="219"/>
      <c r="AG598" s="219"/>
      <c r="AH598" s="219"/>
      <c r="AI598" s="219"/>
      <c r="AJ598" s="219"/>
      <c r="AK598" s="219"/>
      <c r="AL598" s="219"/>
    </row>
    <row r="599" spans="12:38">
      <c r="L599" s="219"/>
      <c r="M599" s="219"/>
      <c r="N599" s="219"/>
      <c r="O599" s="219"/>
      <c r="P599" s="219"/>
      <c r="Q599" s="219"/>
      <c r="R599" s="219"/>
      <c r="S599" s="219"/>
      <c r="T599" s="219"/>
      <c r="U599" s="219"/>
      <c r="V599" s="219"/>
      <c r="W599" s="219"/>
      <c r="AB599" s="219"/>
      <c r="AC599" s="219"/>
      <c r="AD599" s="219"/>
      <c r="AE599" s="219"/>
      <c r="AF599" s="219"/>
      <c r="AG599" s="219"/>
      <c r="AH599" s="219"/>
      <c r="AI599" s="219"/>
      <c r="AJ599" s="219"/>
      <c r="AK599" s="219"/>
      <c r="AL599" s="219"/>
    </row>
    <row r="600" spans="12:38">
      <c r="L600" s="219"/>
      <c r="M600" s="219"/>
      <c r="N600" s="219"/>
      <c r="O600" s="219"/>
      <c r="P600" s="219"/>
      <c r="Q600" s="219"/>
      <c r="R600" s="219"/>
      <c r="S600" s="219"/>
      <c r="T600" s="219"/>
      <c r="U600" s="219"/>
      <c r="V600" s="219"/>
      <c r="W600" s="219"/>
      <c r="AB600" s="219"/>
      <c r="AC600" s="219"/>
      <c r="AD600" s="219"/>
      <c r="AE600" s="219"/>
      <c r="AF600" s="219"/>
      <c r="AG600" s="219"/>
      <c r="AH600" s="219"/>
      <c r="AI600" s="219"/>
      <c r="AJ600" s="219"/>
      <c r="AK600" s="219"/>
      <c r="AL600" s="219"/>
    </row>
    <row r="601" spans="12:38">
      <c r="L601" s="219"/>
      <c r="M601" s="219"/>
      <c r="N601" s="219"/>
      <c r="O601" s="219"/>
      <c r="P601" s="219"/>
      <c r="Q601" s="219"/>
      <c r="R601" s="219"/>
      <c r="S601" s="219"/>
      <c r="T601" s="219"/>
      <c r="U601" s="219"/>
      <c r="V601" s="219"/>
      <c r="W601" s="219"/>
      <c r="AB601" s="219"/>
      <c r="AC601" s="219"/>
      <c r="AD601" s="219"/>
      <c r="AE601" s="219"/>
      <c r="AF601" s="219"/>
      <c r="AG601" s="219"/>
      <c r="AH601" s="219"/>
      <c r="AI601" s="219"/>
      <c r="AJ601" s="219"/>
      <c r="AK601" s="219"/>
      <c r="AL601" s="219"/>
    </row>
    <row r="602" spans="12:38">
      <c r="L602" s="219"/>
      <c r="M602" s="219"/>
      <c r="N602" s="219"/>
      <c r="O602" s="219"/>
      <c r="P602" s="219"/>
      <c r="Q602" s="219"/>
      <c r="R602" s="219"/>
      <c r="S602" s="219"/>
      <c r="T602" s="219"/>
      <c r="U602" s="219"/>
      <c r="V602" s="219"/>
      <c r="W602" s="219"/>
      <c r="AB602" s="219"/>
      <c r="AC602" s="219"/>
      <c r="AD602" s="219"/>
      <c r="AE602" s="219"/>
      <c r="AF602" s="219"/>
      <c r="AG602" s="219"/>
      <c r="AH602" s="219"/>
      <c r="AI602" s="219"/>
      <c r="AJ602" s="219"/>
      <c r="AK602" s="219"/>
      <c r="AL602" s="219"/>
    </row>
    <row r="603" spans="12:38">
      <c r="L603" s="219"/>
      <c r="M603" s="219"/>
      <c r="N603" s="219"/>
      <c r="O603" s="219"/>
      <c r="P603" s="219"/>
      <c r="Q603" s="219"/>
      <c r="R603" s="219"/>
      <c r="S603" s="219"/>
      <c r="T603" s="219"/>
      <c r="U603" s="219"/>
      <c r="V603" s="219"/>
      <c r="W603" s="219"/>
      <c r="AB603" s="219"/>
      <c r="AC603" s="219"/>
      <c r="AD603" s="219"/>
      <c r="AE603" s="219"/>
      <c r="AF603" s="219"/>
      <c r="AG603" s="219"/>
      <c r="AH603" s="219"/>
      <c r="AI603" s="219"/>
      <c r="AJ603" s="219"/>
      <c r="AK603" s="219"/>
      <c r="AL603" s="219"/>
    </row>
    <row r="604" spans="12:38">
      <c r="L604" s="219"/>
      <c r="M604" s="219"/>
      <c r="N604" s="219"/>
      <c r="O604" s="219"/>
      <c r="P604" s="219"/>
      <c r="Q604" s="219"/>
      <c r="R604" s="219"/>
      <c r="S604" s="219"/>
      <c r="T604" s="219"/>
      <c r="U604" s="219"/>
      <c r="V604" s="219"/>
      <c r="W604" s="219"/>
      <c r="AB604" s="219"/>
      <c r="AC604" s="219"/>
      <c r="AD604" s="219"/>
      <c r="AE604" s="219"/>
      <c r="AF604" s="219"/>
      <c r="AG604" s="219"/>
      <c r="AH604" s="219"/>
      <c r="AI604" s="219"/>
      <c r="AJ604" s="219"/>
      <c r="AK604" s="219"/>
      <c r="AL604" s="219"/>
    </row>
    <row r="605" spans="12:38">
      <c r="L605" s="219"/>
      <c r="M605" s="219"/>
      <c r="N605" s="219"/>
      <c r="O605" s="219"/>
      <c r="P605" s="219"/>
      <c r="Q605" s="219"/>
      <c r="R605" s="219"/>
      <c r="S605" s="219"/>
      <c r="T605" s="219"/>
      <c r="U605" s="219"/>
      <c r="V605" s="219"/>
      <c r="W605" s="219"/>
      <c r="AB605" s="219"/>
      <c r="AC605" s="219"/>
      <c r="AD605" s="219"/>
      <c r="AE605" s="219"/>
      <c r="AF605" s="219"/>
      <c r="AG605" s="219"/>
      <c r="AH605" s="219"/>
      <c r="AI605" s="219"/>
      <c r="AJ605" s="219"/>
      <c r="AK605" s="219"/>
      <c r="AL605" s="219"/>
    </row>
    <row r="606" spans="12:38">
      <c r="L606" s="219"/>
      <c r="M606" s="219"/>
      <c r="N606" s="219"/>
      <c r="O606" s="219"/>
      <c r="P606" s="219"/>
      <c r="Q606" s="219"/>
      <c r="R606" s="219"/>
      <c r="S606" s="219"/>
      <c r="T606" s="219"/>
      <c r="U606" s="219"/>
      <c r="V606" s="219"/>
      <c r="W606" s="219"/>
      <c r="AB606" s="219"/>
      <c r="AC606" s="219"/>
      <c r="AD606" s="219"/>
      <c r="AE606" s="219"/>
      <c r="AF606" s="219"/>
      <c r="AG606" s="219"/>
      <c r="AH606" s="219"/>
      <c r="AI606" s="219"/>
      <c r="AJ606" s="219"/>
      <c r="AK606" s="219"/>
      <c r="AL606" s="219"/>
    </row>
    <row r="607" spans="12:38">
      <c r="L607" s="219"/>
      <c r="M607" s="219"/>
      <c r="N607" s="219"/>
      <c r="O607" s="219"/>
      <c r="P607" s="219"/>
      <c r="Q607" s="219"/>
      <c r="R607" s="219"/>
      <c r="S607" s="219"/>
      <c r="T607" s="219"/>
      <c r="U607" s="219"/>
      <c r="V607" s="219"/>
      <c r="W607" s="219"/>
      <c r="AB607" s="219"/>
      <c r="AC607" s="219"/>
      <c r="AD607" s="219"/>
      <c r="AE607" s="219"/>
      <c r="AF607" s="219"/>
      <c r="AG607" s="219"/>
      <c r="AH607" s="219"/>
      <c r="AI607" s="219"/>
      <c r="AJ607" s="219"/>
      <c r="AK607" s="219"/>
      <c r="AL607" s="219"/>
    </row>
    <row r="608" spans="12:38">
      <c r="L608" s="219"/>
      <c r="M608" s="219"/>
      <c r="N608" s="219"/>
      <c r="O608" s="219"/>
      <c r="P608" s="219"/>
      <c r="Q608" s="219"/>
      <c r="R608" s="219"/>
      <c r="S608" s="219"/>
      <c r="T608" s="219"/>
      <c r="U608" s="219"/>
      <c r="V608" s="219"/>
      <c r="W608" s="219"/>
      <c r="AB608" s="219"/>
      <c r="AC608" s="219"/>
      <c r="AD608" s="219"/>
      <c r="AE608" s="219"/>
      <c r="AF608" s="219"/>
      <c r="AG608" s="219"/>
      <c r="AH608" s="219"/>
      <c r="AI608" s="219"/>
      <c r="AJ608" s="219"/>
      <c r="AK608" s="219"/>
      <c r="AL608" s="219"/>
    </row>
    <row r="609" spans="12:38">
      <c r="L609" s="219"/>
      <c r="M609" s="219"/>
      <c r="N609" s="219"/>
      <c r="O609" s="219"/>
      <c r="P609" s="219"/>
      <c r="Q609" s="219"/>
      <c r="R609" s="219"/>
      <c r="S609" s="219"/>
      <c r="T609" s="219"/>
      <c r="U609" s="219"/>
      <c r="V609" s="219"/>
      <c r="W609" s="219"/>
      <c r="AB609" s="219"/>
      <c r="AC609" s="219"/>
      <c r="AD609" s="219"/>
      <c r="AE609" s="219"/>
      <c r="AF609" s="219"/>
      <c r="AG609" s="219"/>
      <c r="AH609" s="219"/>
      <c r="AI609" s="219"/>
      <c r="AJ609" s="219"/>
      <c r="AK609" s="219"/>
      <c r="AL609" s="219"/>
    </row>
    <row r="610" spans="12:38">
      <c r="L610" s="219"/>
      <c r="M610" s="219"/>
      <c r="N610" s="219"/>
      <c r="O610" s="219"/>
      <c r="P610" s="219"/>
      <c r="Q610" s="219"/>
      <c r="R610" s="219"/>
      <c r="S610" s="219"/>
      <c r="T610" s="219"/>
      <c r="U610" s="219"/>
      <c r="V610" s="219"/>
      <c r="W610" s="219"/>
      <c r="AB610" s="219"/>
      <c r="AC610" s="219"/>
      <c r="AD610" s="219"/>
      <c r="AE610" s="219"/>
      <c r="AF610" s="219"/>
      <c r="AG610" s="219"/>
      <c r="AH610" s="219"/>
      <c r="AI610" s="219"/>
      <c r="AJ610" s="219"/>
      <c r="AK610" s="219"/>
      <c r="AL610" s="219"/>
    </row>
    <row r="611" spans="12:38">
      <c r="L611" s="219"/>
      <c r="M611" s="219"/>
      <c r="N611" s="219"/>
      <c r="O611" s="219"/>
      <c r="P611" s="219"/>
      <c r="Q611" s="219"/>
      <c r="R611" s="219"/>
      <c r="S611" s="219"/>
      <c r="T611" s="219"/>
      <c r="U611" s="219"/>
      <c r="V611" s="219"/>
      <c r="W611" s="219"/>
      <c r="AB611" s="219"/>
      <c r="AC611" s="219"/>
      <c r="AD611" s="219"/>
      <c r="AE611" s="219"/>
      <c r="AF611" s="219"/>
      <c r="AG611" s="219"/>
      <c r="AH611" s="219"/>
      <c r="AI611" s="219"/>
      <c r="AJ611" s="219"/>
      <c r="AK611" s="219"/>
      <c r="AL611" s="219"/>
    </row>
    <row r="612" spans="12:38">
      <c r="L612" s="219"/>
      <c r="M612" s="219"/>
      <c r="N612" s="219"/>
      <c r="O612" s="219"/>
      <c r="P612" s="219"/>
      <c r="Q612" s="219"/>
      <c r="R612" s="219"/>
      <c r="S612" s="219"/>
      <c r="T612" s="219"/>
      <c r="U612" s="219"/>
      <c r="V612" s="219"/>
      <c r="W612" s="219"/>
      <c r="AB612" s="219"/>
      <c r="AC612" s="219"/>
      <c r="AD612" s="219"/>
      <c r="AE612" s="219"/>
      <c r="AF612" s="219"/>
      <c r="AG612" s="219"/>
      <c r="AH612" s="219"/>
      <c r="AI612" s="219"/>
      <c r="AJ612" s="219"/>
      <c r="AK612" s="219"/>
      <c r="AL612" s="219"/>
    </row>
    <row r="613" spans="12:38">
      <c r="L613" s="219"/>
      <c r="M613" s="219"/>
      <c r="N613" s="219"/>
      <c r="O613" s="219"/>
      <c r="P613" s="219"/>
      <c r="Q613" s="219"/>
      <c r="R613" s="219"/>
      <c r="S613" s="219"/>
      <c r="T613" s="219"/>
      <c r="U613" s="219"/>
      <c r="V613" s="219"/>
      <c r="W613" s="219"/>
      <c r="AB613" s="219"/>
      <c r="AC613" s="219"/>
      <c r="AD613" s="219"/>
      <c r="AE613" s="219"/>
      <c r="AF613" s="219"/>
      <c r="AG613" s="219"/>
      <c r="AH613" s="219"/>
      <c r="AI613" s="219"/>
      <c r="AJ613" s="219"/>
      <c r="AK613" s="219"/>
      <c r="AL613" s="219"/>
    </row>
    <row r="614" spans="12:38">
      <c r="L614" s="219"/>
      <c r="M614" s="219"/>
      <c r="N614" s="219"/>
      <c r="O614" s="219"/>
      <c r="P614" s="219"/>
      <c r="Q614" s="219"/>
      <c r="R614" s="219"/>
      <c r="S614" s="219"/>
      <c r="T614" s="219"/>
      <c r="U614" s="219"/>
      <c r="V614" s="219"/>
      <c r="W614" s="219"/>
      <c r="AB614" s="219"/>
      <c r="AC614" s="219"/>
      <c r="AD614" s="219"/>
      <c r="AE614" s="219"/>
      <c r="AF614" s="219"/>
      <c r="AG614" s="219"/>
      <c r="AH614" s="219"/>
      <c r="AI614" s="219"/>
      <c r="AJ614" s="219"/>
      <c r="AK614" s="219"/>
      <c r="AL614" s="219"/>
    </row>
    <row r="615" spans="12:38">
      <c r="L615" s="219"/>
      <c r="M615" s="219"/>
      <c r="N615" s="219"/>
      <c r="O615" s="219"/>
      <c r="P615" s="219"/>
      <c r="Q615" s="219"/>
      <c r="R615" s="219"/>
      <c r="S615" s="219"/>
      <c r="T615" s="219"/>
      <c r="U615" s="219"/>
      <c r="V615" s="219"/>
      <c r="W615" s="219"/>
      <c r="AB615" s="219"/>
      <c r="AC615" s="219"/>
      <c r="AD615" s="219"/>
      <c r="AE615" s="219"/>
      <c r="AF615" s="219"/>
      <c r="AG615" s="219"/>
      <c r="AH615" s="219"/>
      <c r="AI615" s="219"/>
      <c r="AJ615" s="219"/>
      <c r="AK615" s="219"/>
      <c r="AL615" s="219"/>
    </row>
    <row r="616" spans="12:38">
      <c r="L616" s="219"/>
      <c r="M616" s="219"/>
      <c r="N616" s="219"/>
      <c r="O616" s="219"/>
      <c r="P616" s="219"/>
      <c r="Q616" s="219"/>
      <c r="R616" s="219"/>
      <c r="S616" s="219"/>
      <c r="T616" s="219"/>
      <c r="U616" s="219"/>
      <c r="V616" s="219"/>
      <c r="W616" s="219"/>
      <c r="AB616" s="219"/>
      <c r="AC616" s="219"/>
      <c r="AD616" s="219"/>
      <c r="AE616" s="219"/>
      <c r="AF616" s="219"/>
      <c r="AG616" s="219"/>
      <c r="AH616" s="219"/>
      <c r="AI616" s="219"/>
      <c r="AJ616" s="219"/>
      <c r="AK616" s="219"/>
      <c r="AL616" s="219"/>
    </row>
    <row r="617" spans="12:38">
      <c r="L617" s="219"/>
      <c r="M617" s="219"/>
      <c r="N617" s="219"/>
      <c r="O617" s="219"/>
      <c r="P617" s="219"/>
      <c r="Q617" s="219"/>
      <c r="R617" s="219"/>
      <c r="S617" s="219"/>
      <c r="T617" s="219"/>
      <c r="U617" s="219"/>
      <c r="V617" s="219"/>
      <c r="W617" s="219"/>
      <c r="AB617" s="219"/>
      <c r="AC617" s="219"/>
      <c r="AD617" s="219"/>
      <c r="AE617" s="219"/>
      <c r="AF617" s="219"/>
      <c r="AG617" s="219"/>
      <c r="AH617" s="219"/>
      <c r="AI617" s="219"/>
      <c r="AJ617" s="219"/>
      <c r="AK617" s="219"/>
      <c r="AL617" s="219"/>
    </row>
    <row r="618" spans="12:38">
      <c r="L618" s="219"/>
      <c r="M618" s="219"/>
      <c r="N618" s="219"/>
      <c r="O618" s="219"/>
      <c r="P618" s="219"/>
      <c r="Q618" s="219"/>
      <c r="R618" s="219"/>
      <c r="S618" s="219"/>
      <c r="T618" s="219"/>
      <c r="U618" s="219"/>
      <c r="V618" s="219"/>
      <c r="W618" s="219"/>
      <c r="AB618" s="219"/>
      <c r="AC618" s="219"/>
      <c r="AD618" s="219"/>
      <c r="AE618" s="219"/>
      <c r="AF618" s="219"/>
      <c r="AG618" s="219"/>
      <c r="AH618" s="219"/>
      <c r="AI618" s="219"/>
      <c r="AJ618" s="219"/>
      <c r="AK618" s="219"/>
      <c r="AL618" s="219"/>
    </row>
    <row r="619" spans="12:38">
      <c r="L619" s="219"/>
      <c r="M619" s="219"/>
      <c r="N619" s="219"/>
      <c r="O619" s="219"/>
      <c r="P619" s="219"/>
      <c r="Q619" s="219"/>
      <c r="R619" s="219"/>
      <c r="S619" s="219"/>
      <c r="T619" s="219"/>
      <c r="U619" s="219"/>
      <c r="V619" s="219"/>
      <c r="W619" s="219"/>
      <c r="AB619" s="219"/>
      <c r="AC619" s="219"/>
      <c r="AD619" s="219"/>
      <c r="AE619" s="219"/>
      <c r="AF619" s="219"/>
      <c r="AG619" s="219"/>
      <c r="AH619" s="219"/>
      <c r="AI619" s="219"/>
      <c r="AJ619" s="219"/>
      <c r="AK619" s="219"/>
      <c r="AL619" s="219"/>
    </row>
    <row r="620" spans="12:38">
      <c r="L620" s="219"/>
      <c r="M620" s="219"/>
      <c r="N620" s="219"/>
      <c r="O620" s="219"/>
      <c r="P620" s="219"/>
      <c r="Q620" s="219"/>
      <c r="R620" s="219"/>
      <c r="S620" s="219"/>
      <c r="T620" s="219"/>
      <c r="U620" s="219"/>
      <c r="V620" s="219"/>
      <c r="W620" s="219"/>
      <c r="AB620" s="219"/>
      <c r="AC620" s="219"/>
      <c r="AD620" s="219"/>
      <c r="AE620" s="219"/>
      <c r="AF620" s="219"/>
      <c r="AG620" s="219"/>
      <c r="AH620" s="219"/>
      <c r="AI620" s="219"/>
      <c r="AJ620" s="219"/>
      <c r="AK620" s="219"/>
      <c r="AL620" s="219"/>
    </row>
    <row r="621" spans="12:38">
      <c r="L621" s="219"/>
      <c r="M621" s="219"/>
      <c r="N621" s="219"/>
      <c r="O621" s="219"/>
      <c r="P621" s="219"/>
      <c r="Q621" s="219"/>
      <c r="R621" s="219"/>
      <c r="S621" s="219"/>
      <c r="T621" s="219"/>
      <c r="U621" s="219"/>
      <c r="V621" s="219"/>
      <c r="W621" s="219"/>
      <c r="AB621" s="219"/>
      <c r="AC621" s="219"/>
      <c r="AD621" s="219"/>
      <c r="AE621" s="219"/>
      <c r="AF621" s="219"/>
      <c r="AG621" s="219"/>
      <c r="AH621" s="219"/>
      <c r="AI621" s="219"/>
      <c r="AJ621" s="219"/>
      <c r="AK621" s="219"/>
      <c r="AL621" s="219"/>
    </row>
    <row r="622" spans="12:38">
      <c r="L622" s="219"/>
      <c r="M622" s="219"/>
      <c r="N622" s="219"/>
      <c r="O622" s="219"/>
      <c r="P622" s="219"/>
      <c r="Q622" s="219"/>
      <c r="R622" s="219"/>
      <c r="S622" s="219"/>
      <c r="T622" s="219"/>
      <c r="U622" s="219"/>
      <c r="V622" s="219"/>
      <c r="W622" s="219"/>
      <c r="AB622" s="219"/>
      <c r="AC622" s="219"/>
      <c r="AD622" s="219"/>
      <c r="AE622" s="219"/>
      <c r="AF622" s="219"/>
      <c r="AG622" s="219"/>
      <c r="AH622" s="219"/>
      <c r="AI622" s="219"/>
      <c r="AJ622" s="219"/>
      <c r="AK622" s="219"/>
      <c r="AL622" s="219"/>
    </row>
    <row r="623" spans="12:38">
      <c r="L623" s="219"/>
      <c r="M623" s="219"/>
      <c r="N623" s="219"/>
      <c r="O623" s="219"/>
      <c r="P623" s="219"/>
      <c r="Q623" s="219"/>
      <c r="R623" s="219"/>
      <c r="S623" s="219"/>
      <c r="T623" s="219"/>
      <c r="U623" s="219"/>
      <c r="V623" s="219"/>
      <c r="W623" s="219"/>
      <c r="AB623" s="219"/>
      <c r="AC623" s="219"/>
      <c r="AD623" s="219"/>
      <c r="AE623" s="219"/>
      <c r="AF623" s="219"/>
      <c r="AG623" s="219"/>
      <c r="AH623" s="219"/>
      <c r="AI623" s="219"/>
      <c r="AJ623" s="219"/>
      <c r="AK623" s="219"/>
      <c r="AL623" s="219"/>
    </row>
    <row r="624" spans="12:38">
      <c r="L624" s="219"/>
      <c r="M624" s="219"/>
      <c r="N624" s="219"/>
      <c r="O624" s="219"/>
      <c r="P624" s="219"/>
      <c r="Q624" s="219"/>
      <c r="R624" s="219"/>
      <c r="S624" s="219"/>
      <c r="T624" s="219"/>
      <c r="U624" s="219"/>
      <c r="V624" s="219"/>
      <c r="W624" s="219"/>
      <c r="AB624" s="219"/>
      <c r="AC624" s="219"/>
      <c r="AD624" s="219"/>
      <c r="AE624" s="219"/>
      <c r="AF624" s="219"/>
      <c r="AG624" s="219"/>
      <c r="AH624" s="219"/>
      <c r="AI624" s="219"/>
      <c r="AJ624" s="219"/>
      <c r="AK624" s="219"/>
      <c r="AL624" s="219"/>
    </row>
    <row r="625" spans="12:38">
      <c r="L625" s="219"/>
      <c r="M625" s="219"/>
      <c r="N625" s="219"/>
      <c r="O625" s="219"/>
      <c r="P625" s="219"/>
      <c r="Q625" s="219"/>
      <c r="R625" s="219"/>
      <c r="S625" s="219"/>
      <c r="T625" s="219"/>
      <c r="U625" s="219"/>
      <c r="V625" s="219"/>
      <c r="W625" s="219"/>
      <c r="AB625" s="219"/>
      <c r="AC625" s="219"/>
      <c r="AD625" s="219"/>
      <c r="AE625" s="219"/>
      <c r="AF625" s="219"/>
      <c r="AG625" s="219"/>
      <c r="AH625" s="219"/>
      <c r="AI625" s="219"/>
      <c r="AJ625" s="219"/>
      <c r="AK625" s="219"/>
      <c r="AL625" s="219"/>
    </row>
    <row r="626" spans="12:38">
      <c r="L626" s="219"/>
      <c r="M626" s="219"/>
      <c r="N626" s="219"/>
      <c r="O626" s="219"/>
      <c r="P626" s="219"/>
      <c r="Q626" s="219"/>
      <c r="R626" s="219"/>
      <c r="S626" s="219"/>
      <c r="T626" s="219"/>
      <c r="U626" s="219"/>
      <c r="V626" s="219"/>
      <c r="W626" s="219"/>
      <c r="AB626" s="219"/>
      <c r="AC626" s="219"/>
      <c r="AD626" s="219"/>
      <c r="AE626" s="219"/>
      <c r="AF626" s="219"/>
      <c r="AG626" s="219"/>
      <c r="AH626" s="219"/>
      <c r="AI626" s="219"/>
      <c r="AJ626" s="219"/>
      <c r="AK626" s="219"/>
      <c r="AL626" s="219"/>
    </row>
    <row r="627" spans="12:38">
      <c r="L627" s="219"/>
      <c r="M627" s="219"/>
      <c r="N627" s="219"/>
      <c r="O627" s="219"/>
      <c r="P627" s="219"/>
      <c r="Q627" s="219"/>
      <c r="R627" s="219"/>
      <c r="S627" s="219"/>
      <c r="T627" s="219"/>
      <c r="U627" s="219"/>
      <c r="V627" s="219"/>
      <c r="W627" s="219"/>
      <c r="AB627" s="219"/>
      <c r="AC627" s="219"/>
      <c r="AD627" s="219"/>
      <c r="AE627" s="219"/>
      <c r="AF627" s="219"/>
      <c r="AG627" s="219"/>
      <c r="AH627" s="219"/>
      <c r="AI627" s="219"/>
      <c r="AJ627" s="219"/>
      <c r="AK627" s="219"/>
      <c r="AL627" s="219"/>
    </row>
    <row r="628" spans="12:38">
      <c r="L628" s="219"/>
      <c r="M628" s="219"/>
      <c r="N628" s="219"/>
      <c r="O628" s="219"/>
      <c r="P628" s="219"/>
      <c r="Q628" s="219"/>
      <c r="R628" s="219"/>
      <c r="S628" s="219"/>
      <c r="T628" s="219"/>
      <c r="U628" s="219"/>
      <c r="V628" s="219"/>
      <c r="W628" s="219"/>
      <c r="AB628" s="219"/>
      <c r="AC628" s="219"/>
      <c r="AD628" s="219"/>
      <c r="AE628" s="219"/>
      <c r="AF628" s="219"/>
      <c r="AG628" s="219"/>
      <c r="AH628" s="219"/>
      <c r="AI628" s="219"/>
      <c r="AJ628" s="219"/>
      <c r="AK628" s="219"/>
      <c r="AL628" s="219"/>
    </row>
    <row r="629" spans="12:38">
      <c r="L629" s="219"/>
      <c r="M629" s="219"/>
      <c r="N629" s="219"/>
      <c r="O629" s="219"/>
      <c r="P629" s="219"/>
      <c r="Q629" s="219"/>
      <c r="R629" s="219"/>
      <c r="S629" s="219"/>
      <c r="T629" s="219"/>
      <c r="U629" s="219"/>
      <c r="V629" s="219"/>
      <c r="W629" s="219"/>
      <c r="AB629" s="219"/>
      <c r="AC629" s="219"/>
      <c r="AD629" s="219"/>
      <c r="AE629" s="219"/>
      <c r="AF629" s="219"/>
      <c r="AG629" s="219"/>
      <c r="AH629" s="219"/>
      <c r="AI629" s="219"/>
      <c r="AJ629" s="219"/>
      <c r="AK629" s="219"/>
      <c r="AL629" s="219"/>
    </row>
    <row r="630" spans="12:38">
      <c r="L630" s="219"/>
      <c r="M630" s="219"/>
      <c r="N630" s="219"/>
      <c r="O630" s="219"/>
      <c r="P630" s="219"/>
      <c r="Q630" s="219"/>
      <c r="R630" s="219"/>
      <c r="S630" s="219"/>
      <c r="T630" s="219"/>
      <c r="U630" s="219"/>
      <c r="V630" s="219"/>
      <c r="W630" s="219"/>
      <c r="AB630" s="219"/>
      <c r="AC630" s="219"/>
      <c r="AD630" s="219"/>
      <c r="AE630" s="219"/>
      <c r="AF630" s="219"/>
      <c r="AG630" s="219"/>
      <c r="AH630" s="219"/>
      <c r="AI630" s="219"/>
      <c r="AJ630" s="219"/>
      <c r="AK630" s="219"/>
      <c r="AL630" s="219"/>
    </row>
    <row r="631" spans="12:38">
      <c r="L631" s="219"/>
      <c r="M631" s="219"/>
      <c r="N631" s="219"/>
      <c r="O631" s="219"/>
      <c r="P631" s="219"/>
      <c r="Q631" s="219"/>
      <c r="R631" s="219"/>
      <c r="S631" s="219"/>
      <c r="T631" s="219"/>
      <c r="U631" s="219"/>
      <c r="V631" s="219"/>
      <c r="W631" s="219"/>
      <c r="AB631" s="219"/>
      <c r="AC631" s="219"/>
      <c r="AD631" s="219"/>
      <c r="AE631" s="219"/>
      <c r="AF631" s="219"/>
      <c r="AG631" s="219"/>
      <c r="AH631" s="219"/>
      <c r="AI631" s="219"/>
      <c r="AJ631" s="219"/>
      <c r="AK631" s="219"/>
      <c r="AL631" s="219"/>
    </row>
    <row r="632" spans="12:38">
      <c r="L632" s="219"/>
      <c r="M632" s="219"/>
      <c r="N632" s="219"/>
      <c r="O632" s="219"/>
      <c r="P632" s="219"/>
      <c r="Q632" s="219"/>
      <c r="R632" s="219"/>
      <c r="S632" s="219"/>
      <c r="T632" s="219"/>
      <c r="U632" s="219"/>
      <c r="V632" s="219"/>
      <c r="W632" s="219"/>
      <c r="AB632" s="219"/>
      <c r="AC632" s="219"/>
      <c r="AD632" s="219"/>
      <c r="AE632" s="219"/>
      <c r="AF632" s="219"/>
      <c r="AG632" s="219"/>
      <c r="AH632" s="219"/>
      <c r="AI632" s="219"/>
      <c r="AJ632" s="219"/>
      <c r="AK632" s="219"/>
      <c r="AL632" s="219"/>
    </row>
    <row r="633" spans="12:38">
      <c r="L633" s="219"/>
      <c r="M633" s="219"/>
      <c r="N633" s="219"/>
      <c r="O633" s="219"/>
      <c r="P633" s="219"/>
      <c r="Q633" s="219"/>
      <c r="R633" s="219"/>
      <c r="S633" s="219"/>
      <c r="T633" s="219"/>
      <c r="U633" s="219"/>
      <c r="V633" s="219"/>
      <c r="W633" s="219"/>
      <c r="AB633" s="219"/>
      <c r="AC633" s="219"/>
      <c r="AD633" s="219"/>
      <c r="AE633" s="219"/>
      <c r="AF633" s="219"/>
      <c r="AG633" s="219"/>
      <c r="AH633" s="219"/>
      <c r="AI633" s="219"/>
      <c r="AJ633" s="219"/>
      <c r="AK633" s="219"/>
      <c r="AL633" s="219"/>
    </row>
    <row r="634" spans="12:38">
      <c r="L634" s="219"/>
      <c r="M634" s="219"/>
      <c r="N634" s="219"/>
      <c r="O634" s="219"/>
      <c r="P634" s="219"/>
      <c r="Q634" s="219"/>
      <c r="R634" s="219"/>
      <c r="S634" s="219"/>
      <c r="T634" s="219"/>
      <c r="U634" s="219"/>
      <c r="V634" s="219"/>
      <c r="W634" s="219"/>
      <c r="AB634" s="219"/>
      <c r="AC634" s="219"/>
      <c r="AD634" s="219"/>
      <c r="AE634" s="219"/>
      <c r="AF634" s="219"/>
      <c r="AG634" s="219"/>
      <c r="AH634" s="219"/>
      <c r="AI634" s="219"/>
      <c r="AJ634" s="219"/>
      <c r="AK634" s="219"/>
      <c r="AL634" s="219"/>
    </row>
    <row r="635" spans="12:38">
      <c r="L635" s="219"/>
      <c r="M635" s="219"/>
      <c r="N635" s="219"/>
      <c r="O635" s="219"/>
      <c r="P635" s="219"/>
      <c r="Q635" s="219"/>
      <c r="R635" s="219"/>
      <c r="S635" s="219"/>
      <c r="T635" s="219"/>
      <c r="U635" s="219"/>
      <c r="V635" s="219"/>
      <c r="W635" s="219"/>
      <c r="AB635" s="219"/>
      <c r="AC635" s="219"/>
      <c r="AD635" s="219"/>
      <c r="AE635" s="219"/>
      <c r="AF635" s="219"/>
      <c r="AG635" s="219"/>
      <c r="AH635" s="219"/>
      <c r="AI635" s="219"/>
      <c r="AJ635" s="219"/>
      <c r="AK635" s="219"/>
      <c r="AL635" s="219"/>
    </row>
    <row r="636" spans="12:38">
      <c r="L636" s="219"/>
      <c r="M636" s="219"/>
      <c r="N636" s="219"/>
      <c r="O636" s="219"/>
      <c r="P636" s="219"/>
      <c r="Q636" s="219"/>
      <c r="R636" s="219"/>
      <c r="S636" s="219"/>
      <c r="T636" s="219"/>
      <c r="U636" s="219"/>
      <c r="V636" s="219"/>
      <c r="W636" s="219"/>
      <c r="AB636" s="219"/>
      <c r="AC636" s="219"/>
      <c r="AD636" s="219"/>
      <c r="AE636" s="219"/>
      <c r="AF636" s="219"/>
      <c r="AG636" s="219"/>
      <c r="AH636" s="219"/>
      <c r="AI636" s="219"/>
      <c r="AJ636" s="219"/>
      <c r="AK636" s="219"/>
      <c r="AL636" s="219"/>
    </row>
    <row r="637" spans="12:38">
      <c r="L637" s="219"/>
      <c r="M637" s="219"/>
      <c r="N637" s="219"/>
      <c r="O637" s="219"/>
      <c r="P637" s="219"/>
      <c r="Q637" s="219"/>
      <c r="R637" s="219"/>
      <c r="S637" s="219"/>
      <c r="T637" s="219"/>
      <c r="U637" s="219"/>
      <c r="V637" s="219"/>
      <c r="W637" s="219"/>
      <c r="AB637" s="219"/>
      <c r="AC637" s="219"/>
      <c r="AD637" s="219"/>
      <c r="AE637" s="219"/>
      <c r="AF637" s="219"/>
      <c r="AG637" s="219"/>
      <c r="AH637" s="219"/>
      <c r="AI637" s="219"/>
      <c r="AJ637" s="219"/>
      <c r="AK637" s="219"/>
      <c r="AL637" s="219"/>
    </row>
    <row r="638" spans="12:38">
      <c r="L638" s="219"/>
      <c r="M638" s="219"/>
      <c r="N638" s="219"/>
      <c r="O638" s="219"/>
      <c r="P638" s="219"/>
      <c r="Q638" s="219"/>
      <c r="R638" s="219"/>
      <c r="S638" s="219"/>
      <c r="T638" s="219"/>
      <c r="U638" s="219"/>
      <c r="V638" s="219"/>
      <c r="W638" s="219"/>
      <c r="AB638" s="219"/>
      <c r="AC638" s="219"/>
      <c r="AD638" s="219"/>
      <c r="AE638" s="219"/>
      <c r="AF638" s="219"/>
      <c r="AG638" s="219"/>
      <c r="AH638" s="219"/>
      <c r="AI638" s="219"/>
      <c r="AJ638" s="219"/>
      <c r="AK638" s="219"/>
      <c r="AL638" s="219"/>
    </row>
    <row r="639" spans="12:38">
      <c r="L639" s="219"/>
      <c r="M639" s="219"/>
      <c r="N639" s="219"/>
      <c r="O639" s="219"/>
      <c r="P639" s="219"/>
      <c r="Q639" s="219"/>
      <c r="R639" s="219"/>
      <c r="S639" s="219"/>
      <c r="T639" s="219"/>
      <c r="U639" s="219"/>
      <c r="V639" s="219"/>
      <c r="W639" s="219"/>
      <c r="AB639" s="219"/>
      <c r="AC639" s="219"/>
      <c r="AD639" s="219"/>
      <c r="AE639" s="219"/>
      <c r="AF639" s="219"/>
      <c r="AG639" s="219"/>
      <c r="AH639" s="219"/>
      <c r="AI639" s="219"/>
      <c r="AJ639" s="219"/>
      <c r="AK639" s="219"/>
      <c r="AL639" s="219"/>
    </row>
    <row r="640" spans="12:38">
      <c r="L640" s="219"/>
      <c r="M640" s="219"/>
      <c r="N640" s="219"/>
      <c r="O640" s="219"/>
      <c r="P640" s="219"/>
      <c r="Q640" s="219"/>
      <c r="R640" s="219"/>
      <c r="S640" s="219"/>
      <c r="T640" s="219"/>
      <c r="U640" s="219"/>
      <c r="V640" s="219"/>
      <c r="W640" s="219"/>
      <c r="AB640" s="219"/>
      <c r="AC640" s="219"/>
      <c r="AD640" s="219"/>
      <c r="AE640" s="219"/>
      <c r="AF640" s="219"/>
      <c r="AG640" s="219"/>
      <c r="AH640" s="219"/>
      <c r="AI640" s="219"/>
      <c r="AJ640" s="219"/>
      <c r="AK640" s="219"/>
      <c r="AL640" s="219"/>
    </row>
    <row r="641" spans="12:38">
      <c r="L641" s="219"/>
      <c r="M641" s="219"/>
      <c r="N641" s="219"/>
      <c r="O641" s="219"/>
      <c r="P641" s="219"/>
      <c r="Q641" s="219"/>
      <c r="R641" s="219"/>
      <c r="S641" s="219"/>
      <c r="T641" s="219"/>
      <c r="U641" s="219"/>
      <c r="V641" s="219"/>
      <c r="W641" s="219"/>
      <c r="AB641" s="219"/>
      <c r="AC641" s="219"/>
      <c r="AD641" s="219"/>
      <c r="AE641" s="219"/>
      <c r="AF641" s="219"/>
      <c r="AG641" s="219"/>
      <c r="AH641" s="219"/>
      <c r="AI641" s="219"/>
      <c r="AJ641" s="219"/>
      <c r="AK641" s="219"/>
      <c r="AL641" s="219"/>
    </row>
    <row r="642" spans="12:38">
      <c r="L642" s="219"/>
      <c r="M642" s="219"/>
      <c r="N642" s="219"/>
      <c r="O642" s="219"/>
      <c r="P642" s="219"/>
      <c r="Q642" s="219"/>
      <c r="R642" s="219"/>
      <c r="S642" s="219"/>
      <c r="T642" s="219"/>
      <c r="U642" s="219"/>
      <c r="V642" s="219"/>
      <c r="W642" s="219"/>
      <c r="AB642" s="219"/>
      <c r="AC642" s="219"/>
      <c r="AD642" s="219"/>
      <c r="AE642" s="219"/>
      <c r="AF642" s="219"/>
      <c r="AG642" s="219"/>
      <c r="AH642" s="219"/>
      <c r="AI642" s="219"/>
      <c r="AJ642" s="219"/>
      <c r="AK642" s="219"/>
      <c r="AL642" s="219"/>
    </row>
    <row r="643" spans="12:38">
      <c r="L643" s="219"/>
      <c r="M643" s="219"/>
      <c r="N643" s="219"/>
      <c r="O643" s="219"/>
      <c r="P643" s="219"/>
      <c r="Q643" s="219"/>
      <c r="R643" s="219"/>
      <c r="S643" s="219"/>
      <c r="T643" s="219"/>
      <c r="U643" s="219"/>
      <c r="V643" s="219"/>
      <c r="W643" s="219"/>
      <c r="AB643" s="219"/>
      <c r="AC643" s="219"/>
      <c r="AD643" s="219"/>
      <c r="AE643" s="219"/>
      <c r="AF643" s="219"/>
      <c r="AG643" s="219"/>
      <c r="AH643" s="219"/>
      <c r="AI643" s="219"/>
      <c r="AJ643" s="219"/>
      <c r="AK643" s="219"/>
      <c r="AL643" s="219"/>
    </row>
    <row r="644" spans="12:38">
      <c r="L644" s="219"/>
      <c r="M644" s="219"/>
      <c r="N644" s="219"/>
      <c r="O644" s="219"/>
      <c r="P644" s="219"/>
      <c r="Q644" s="219"/>
      <c r="R644" s="219"/>
      <c r="S644" s="219"/>
      <c r="T644" s="219"/>
      <c r="U644" s="219"/>
      <c r="V644" s="219"/>
      <c r="W644" s="219"/>
      <c r="AB644" s="219"/>
      <c r="AC644" s="219"/>
      <c r="AD644" s="219"/>
      <c r="AE644" s="219"/>
      <c r="AF644" s="219"/>
      <c r="AG644" s="219"/>
      <c r="AH644" s="219"/>
      <c r="AI644" s="219"/>
      <c r="AJ644" s="219"/>
      <c r="AK644" s="219"/>
      <c r="AL644" s="219"/>
    </row>
    <row r="645" spans="12:38">
      <c r="L645" s="219"/>
      <c r="M645" s="219"/>
      <c r="N645" s="219"/>
      <c r="O645" s="219"/>
      <c r="P645" s="219"/>
      <c r="Q645" s="219"/>
      <c r="R645" s="219"/>
      <c r="S645" s="219"/>
      <c r="T645" s="219"/>
      <c r="U645" s="219"/>
      <c r="V645" s="219"/>
      <c r="W645" s="219"/>
      <c r="AB645" s="219"/>
      <c r="AC645" s="219"/>
      <c r="AD645" s="219"/>
      <c r="AE645" s="219"/>
      <c r="AF645" s="219"/>
      <c r="AG645" s="219"/>
      <c r="AH645" s="219"/>
      <c r="AI645" s="219"/>
      <c r="AJ645" s="219"/>
      <c r="AK645" s="219"/>
      <c r="AL645" s="219"/>
    </row>
    <row r="646" spans="12:38">
      <c r="L646" s="219"/>
      <c r="M646" s="219"/>
      <c r="N646" s="219"/>
      <c r="O646" s="219"/>
      <c r="P646" s="219"/>
      <c r="Q646" s="219"/>
      <c r="R646" s="219"/>
      <c r="S646" s="219"/>
      <c r="T646" s="219"/>
      <c r="U646" s="219"/>
      <c r="V646" s="219"/>
      <c r="W646" s="219"/>
      <c r="AB646" s="219"/>
      <c r="AC646" s="219"/>
      <c r="AD646" s="219"/>
      <c r="AE646" s="219"/>
      <c r="AF646" s="219"/>
      <c r="AG646" s="219"/>
      <c r="AH646" s="219"/>
      <c r="AI646" s="219"/>
      <c r="AJ646" s="219"/>
      <c r="AK646" s="219"/>
      <c r="AL646" s="219"/>
    </row>
    <row r="647" spans="12:38">
      <c r="L647" s="219"/>
      <c r="M647" s="219"/>
      <c r="N647" s="219"/>
      <c r="O647" s="219"/>
      <c r="P647" s="219"/>
      <c r="Q647" s="219"/>
      <c r="R647" s="219"/>
      <c r="S647" s="219"/>
      <c r="T647" s="219"/>
      <c r="U647" s="219"/>
      <c r="V647" s="219"/>
      <c r="W647" s="219"/>
      <c r="AB647" s="219"/>
      <c r="AC647" s="219"/>
      <c r="AD647" s="219"/>
      <c r="AE647" s="219"/>
      <c r="AF647" s="219"/>
      <c r="AG647" s="219"/>
      <c r="AH647" s="219"/>
      <c r="AI647" s="219"/>
      <c r="AJ647" s="219"/>
      <c r="AK647" s="219"/>
      <c r="AL647" s="219"/>
    </row>
    <row r="648" spans="12:38">
      <c r="L648" s="219"/>
      <c r="M648" s="219"/>
      <c r="N648" s="219"/>
      <c r="O648" s="219"/>
      <c r="P648" s="219"/>
      <c r="Q648" s="219"/>
      <c r="R648" s="219"/>
      <c r="S648" s="219"/>
      <c r="T648" s="219"/>
      <c r="U648" s="219"/>
      <c r="V648" s="219"/>
      <c r="W648" s="219"/>
      <c r="AB648" s="219"/>
      <c r="AC648" s="219"/>
      <c r="AD648" s="219"/>
      <c r="AE648" s="219"/>
      <c r="AF648" s="219"/>
      <c r="AG648" s="219"/>
      <c r="AH648" s="219"/>
      <c r="AI648" s="219"/>
      <c r="AJ648" s="219"/>
      <c r="AK648" s="219"/>
      <c r="AL648" s="219"/>
    </row>
    <row r="649" spans="12:38">
      <c r="L649" s="219"/>
      <c r="M649" s="219"/>
      <c r="N649" s="219"/>
      <c r="O649" s="219"/>
      <c r="P649" s="219"/>
      <c r="Q649" s="219"/>
      <c r="R649" s="219"/>
      <c r="S649" s="219"/>
      <c r="T649" s="219"/>
      <c r="U649" s="219"/>
      <c r="V649" s="219"/>
      <c r="W649" s="219"/>
      <c r="AB649" s="219"/>
      <c r="AC649" s="219"/>
      <c r="AD649" s="219"/>
      <c r="AE649" s="219"/>
      <c r="AF649" s="219"/>
      <c r="AG649" s="219"/>
      <c r="AH649" s="219"/>
      <c r="AI649" s="219"/>
      <c r="AJ649" s="219"/>
      <c r="AK649" s="219"/>
      <c r="AL649" s="219"/>
    </row>
    <row r="650" spans="12:38">
      <c r="L650" s="219"/>
      <c r="M650" s="219"/>
      <c r="N650" s="219"/>
      <c r="O650" s="219"/>
      <c r="P650" s="219"/>
      <c r="Q650" s="219"/>
      <c r="R650" s="219"/>
      <c r="S650" s="219"/>
      <c r="T650" s="219"/>
      <c r="U650" s="219"/>
      <c r="V650" s="219"/>
      <c r="W650" s="219"/>
      <c r="AB650" s="219"/>
      <c r="AC650" s="219"/>
      <c r="AD650" s="219"/>
      <c r="AE650" s="219"/>
      <c r="AF650" s="219"/>
      <c r="AG650" s="219"/>
      <c r="AH650" s="219"/>
      <c r="AI650" s="219"/>
      <c r="AJ650" s="219"/>
      <c r="AK650" s="219"/>
      <c r="AL650" s="219"/>
    </row>
    <row r="651" spans="12:38">
      <c r="L651" s="219"/>
      <c r="M651" s="219"/>
      <c r="N651" s="219"/>
      <c r="O651" s="219"/>
      <c r="P651" s="219"/>
      <c r="Q651" s="219"/>
      <c r="R651" s="219"/>
      <c r="S651" s="219"/>
      <c r="T651" s="219"/>
      <c r="U651" s="219"/>
      <c r="V651" s="219"/>
      <c r="W651" s="219"/>
      <c r="AB651" s="219"/>
      <c r="AC651" s="219"/>
      <c r="AD651" s="219"/>
      <c r="AE651" s="219"/>
      <c r="AF651" s="219"/>
      <c r="AG651" s="219"/>
      <c r="AH651" s="219"/>
      <c r="AI651" s="219"/>
      <c r="AJ651" s="219"/>
      <c r="AK651" s="219"/>
      <c r="AL651" s="219"/>
    </row>
    <row r="652" spans="12:38">
      <c r="L652" s="219"/>
      <c r="M652" s="219"/>
      <c r="N652" s="219"/>
      <c r="O652" s="219"/>
      <c r="P652" s="219"/>
      <c r="Q652" s="219"/>
      <c r="R652" s="219"/>
      <c r="S652" s="219"/>
      <c r="T652" s="219"/>
      <c r="U652" s="219"/>
      <c r="V652" s="219"/>
      <c r="W652" s="219"/>
      <c r="AB652" s="219"/>
      <c r="AC652" s="219"/>
      <c r="AD652" s="219"/>
      <c r="AE652" s="219"/>
      <c r="AF652" s="219"/>
      <c r="AG652" s="219"/>
      <c r="AH652" s="219"/>
      <c r="AI652" s="219"/>
      <c r="AJ652" s="219"/>
      <c r="AK652" s="219"/>
      <c r="AL652" s="219"/>
    </row>
    <row r="653" spans="12:38">
      <c r="L653" s="219"/>
      <c r="M653" s="219"/>
      <c r="N653" s="219"/>
      <c r="O653" s="219"/>
      <c r="P653" s="219"/>
      <c r="Q653" s="219"/>
      <c r="R653" s="219"/>
      <c r="S653" s="219"/>
      <c r="T653" s="219"/>
      <c r="U653" s="219"/>
      <c r="V653" s="219"/>
      <c r="W653" s="219"/>
      <c r="AB653" s="219"/>
      <c r="AC653" s="219"/>
      <c r="AD653" s="219"/>
      <c r="AE653" s="219"/>
      <c r="AF653" s="219"/>
      <c r="AG653" s="219"/>
      <c r="AH653" s="219"/>
      <c r="AI653" s="219"/>
      <c r="AJ653" s="219"/>
      <c r="AK653" s="219"/>
      <c r="AL653" s="219"/>
    </row>
    <row r="654" spans="12:38">
      <c r="L654" s="219"/>
      <c r="M654" s="219"/>
      <c r="N654" s="219"/>
      <c r="O654" s="219"/>
      <c r="P654" s="219"/>
      <c r="Q654" s="219"/>
      <c r="R654" s="219"/>
      <c r="S654" s="219"/>
      <c r="T654" s="219"/>
      <c r="U654" s="219"/>
      <c r="V654" s="219"/>
      <c r="W654" s="219"/>
      <c r="AB654" s="219"/>
      <c r="AC654" s="219"/>
      <c r="AD654" s="219"/>
      <c r="AE654" s="219"/>
      <c r="AF654" s="219"/>
      <c r="AG654" s="219"/>
      <c r="AH654" s="219"/>
      <c r="AI654" s="219"/>
      <c r="AJ654" s="219"/>
      <c r="AK654" s="219"/>
      <c r="AL654" s="219"/>
    </row>
    <row r="655" spans="12:38">
      <c r="L655" s="219"/>
      <c r="M655" s="219"/>
      <c r="N655" s="219"/>
      <c r="O655" s="219"/>
      <c r="P655" s="219"/>
      <c r="Q655" s="219"/>
      <c r="R655" s="219"/>
      <c r="S655" s="219"/>
      <c r="T655" s="219"/>
      <c r="U655" s="219"/>
      <c r="V655" s="219"/>
      <c r="W655" s="219"/>
      <c r="AB655" s="219"/>
      <c r="AC655" s="219"/>
      <c r="AD655" s="219"/>
      <c r="AE655" s="219"/>
      <c r="AF655" s="219"/>
      <c r="AG655" s="219"/>
      <c r="AH655" s="219"/>
      <c r="AI655" s="219"/>
      <c r="AJ655" s="219"/>
      <c r="AK655" s="219"/>
      <c r="AL655" s="219"/>
    </row>
    <row r="656" spans="12:38">
      <c r="L656" s="219"/>
      <c r="M656" s="219"/>
      <c r="N656" s="219"/>
      <c r="O656" s="219"/>
      <c r="P656" s="219"/>
      <c r="Q656" s="219"/>
      <c r="R656" s="219"/>
      <c r="S656" s="219"/>
      <c r="T656" s="219"/>
      <c r="U656" s="219"/>
      <c r="V656" s="219"/>
      <c r="W656" s="219"/>
      <c r="AB656" s="219"/>
      <c r="AC656" s="219"/>
      <c r="AD656" s="219"/>
      <c r="AE656" s="219"/>
      <c r="AF656" s="219"/>
      <c r="AG656" s="219"/>
      <c r="AH656" s="219"/>
      <c r="AI656" s="219"/>
      <c r="AJ656" s="219"/>
      <c r="AK656" s="219"/>
      <c r="AL656" s="219"/>
    </row>
    <row r="657" spans="12:38" s="202" customFormat="1"/>
    <row r="658" spans="12:38">
      <c r="L658" s="219"/>
      <c r="M658" s="219"/>
      <c r="N658" s="219"/>
      <c r="O658" s="219"/>
      <c r="P658" s="219"/>
      <c r="Q658" s="219"/>
      <c r="R658" s="219"/>
      <c r="S658" s="219"/>
      <c r="T658" s="219"/>
      <c r="U658" s="219"/>
      <c r="V658" s="219"/>
      <c r="AB658" s="219"/>
      <c r="AC658" s="219"/>
      <c r="AD658" s="219"/>
      <c r="AE658" s="219"/>
      <c r="AF658" s="219"/>
      <c r="AG658" s="219"/>
      <c r="AH658" s="219"/>
      <c r="AI658" s="219"/>
      <c r="AJ658" s="219"/>
      <c r="AK658" s="219"/>
      <c r="AL658" s="219"/>
    </row>
    <row r="659" spans="12:38">
      <c r="L659" s="219"/>
      <c r="M659" s="219"/>
      <c r="N659" s="219"/>
      <c r="O659" s="219"/>
      <c r="P659" s="219"/>
      <c r="Q659" s="219"/>
      <c r="R659" s="219"/>
      <c r="S659" s="219"/>
      <c r="T659" s="219"/>
      <c r="U659" s="219"/>
      <c r="V659" s="219"/>
      <c r="AB659" s="219"/>
      <c r="AC659" s="219"/>
      <c r="AD659" s="219"/>
      <c r="AE659" s="219"/>
      <c r="AF659" s="219"/>
      <c r="AG659" s="219"/>
      <c r="AH659" s="219"/>
      <c r="AI659" s="219"/>
      <c r="AJ659" s="219"/>
      <c r="AK659" s="219"/>
      <c r="AL659" s="219"/>
    </row>
    <row r="660" spans="12:38">
      <c r="L660" s="219"/>
      <c r="M660" s="219"/>
      <c r="N660" s="219"/>
      <c r="O660" s="219"/>
      <c r="P660" s="219"/>
      <c r="Q660" s="219"/>
      <c r="R660" s="219"/>
      <c r="S660" s="219"/>
      <c r="T660" s="219"/>
      <c r="U660" s="219"/>
      <c r="V660" s="219"/>
      <c r="AB660" s="219"/>
      <c r="AC660" s="219"/>
      <c r="AD660" s="219"/>
      <c r="AE660" s="219"/>
      <c r="AF660" s="219"/>
      <c r="AG660" s="219"/>
      <c r="AH660" s="219"/>
      <c r="AI660" s="219"/>
      <c r="AJ660" s="219"/>
      <c r="AK660" s="219"/>
      <c r="AL660" s="219"/>
    </row>
    <row r="661" spans="12:38">
      <c r="L661" s="219"/>
      <c r="M661" s="219"/>
      <c r="N661" s="219"/>
      <c r="O661" s="219"/>
      <c r="P661" s="219"/>
      <c r="Q661" s="219"/>
      <c r="R661" s="219"/>
      <c r="S661" s="219"/>
      <c r="T661" s="219"/>
      <c r="U661" s="219"/>
      <c r="V661" s="219"/>
      <c r="AB661" s="219"/>
      <c r="AC661" s="219"/>
      <c r="AD661" s="219"/>
      <c r="AE661" s="219"/>
      <c r="AF661" s="219"/>
      <c r="AG661" s="219"/>
      <c r="AH661" s="219"/>
      <c r="AI661" s="219"/>
      <c r="AJ661" s="219"/>
      <c r="AK661" s="219"/>
      <c r="AL661" s="219"/>
    </row>
    <row r="662" spans="12:38">
      <c r="L662" s="219"/>
      <c r="M662" s="219"/>
      <c r="N662" s="219"/>
      <c r="O662" s="219"/>
      <c r="P662" s="219"/>
      <c r="Q662" s="219"/>
      <c r="R662" s="219"/>
      <c r="S662" s="219"/>
      <c r="T662" s="219"/>
      <c r="U662" s="219"/>
      <c r="V662" s="219"/>
      <c r="AB662" s="219"/>
      <c r="AC662" s="219"/>
      <c r="AD662" s="219"/>
      <c r="AE662" s="219"/>
      <c r="AF662" s="219"/>
      <c r="AG662" s="219"/>
      <c r="AH662" s="219"/>
      <c r="AI662" s="219"/>
      <c r="AJ662" s="219"/>
      <c r="AK662" s="219"/>
      <c r="AL662" s="219"/>
    </row>
    <row r="663" spans="12:38">
      <c r="L663" s="219"/>
      <c r="M663" s="219"/>
      <c r="N663" s="219"/>
      <c r="O663" s="219"/>
      <c r="P663" s="219"/>
      <c r="Q663" s="219"/>
      <c r="R663" s="219"/>
      <c r="S663" s="219"/>
      <c r="T663" s="219"/>
      <c r="U663" s="219"/>
      <c r="V663" s="219"/>
      <c r="AB663" s="219"/>
      <c r="AC663" s="219"/>
      <c r="AD663" s="219"/>
      <c r="AE663" s="219"/>
      <c r="AF663" s="219"/>
      <c r="AG663" s="219"/>
      <c r="AH663" s="219"/>
      <c r="AI663" s="219"/>
      <c r="AJ663" s="219"/>
      <c r="AK663" s="219"/>
      <c r="AL663" s="219"/>
    </row>
    <row r="664" spans="12:38">
      <c r="L664" s="219"/>
      <c r="M664" s="219"/>
      <c r="N664" s="219"/>
      <c r="O664" s="219"/>
      <c r="P664" s="219"/>
      <c r="Q664" s="219"/>
      <c r="R664" s="219"/>
      <c r="S664" s="219"/>
      <c r="T664" s="219"/>
      <c r="U664" s="219"/>
      <c r="V664" s="219"/>
      <c r="AB664" s="219"/>
      <c r="AC664" s="219"/>
      <c r="AD664" s="219"/>
      <c r="AE664" s="219"/>
      <c r="AF664" s="219"/>
      <c r="AG664" s="219"/>
      <c r="AH664" s="219"/>
      <c r="AI664" s="219"/>
      <c r="AJ664" s="219"/>
      <c r="AK664" s="219"/>
      <c r="AL664" s="219"/>
    </row>
    <row r="665" spans="12:38">
      <c r="L665" s="219"/>
      <c r="M665" s="219"/>
      <c r="N665" s="219"/>
      <c r="O665" s="219"/>
      <c r="P665" s="219"/>
      <c r="Q665" s="219"/>
      <c r="R665" s="219"/>
      <c r="S665" s="219"/>
      <c r="T665" s="219"/>
      <c r="U665" s="219"/>
      <c r="V665" s="219"/>
      <c r="AB665" s="219"/>
      <c r="AC665" s="219"/>
      <c r="AD665" s="219"/>
      <c r="AE665" s="219"/>
      <c r="AF665" s="219"/>
      <c r="AG665" s="219"/>
      <c r="AH665" s="219"/>
      <c r="AI665" s="219"/>
      <c r="AJ665" s="219"/>
      <c r="AK665" s="219"/>
      <c r="AL665" s="219"/>
    </row>
    <row r="666" spans="12:38">
      <c r="L666" s="219"/>
      <c r="M666" s="219"/>
      <c r="N666" s="219"/>
      <c r="O666" s="219"/>
      <c r="P666" s="219"/>
      <c r="Q666" s="219"/>
      <c r="R666" s="219"/>
      <c r="S666" s="219"/>
      <c r="T666" s="219"/>
      <c r="U666" s="219"/>
      <c r="V666" s="219"/>
      <c r="AB666" s="219"/>
      <c r="AC666" s="219"/>
      <c r="AD666" s="219"/>
      <c r="AE666" s="219"/>
      <c r="AF666" s="219"/>
      <c r="AG666" s="219"/>
      <c r="AH666" s="219"/>
      <c r="AI666" s="219"/>
      <c r="AJ666" s="219"/>
      <c r="AK666" s="219"/>
      <c r="AL666" s="219"/>
    </row>
    <row r="667" spans="12:38">
      <c r="L667" s="219"/>
      <c r="M667" s="219"/>
      <c r="N667" s="219"/>
      <c r="O667" s="219"/>
      <c r="P667" s="219"/>
      <c r="Q667" s="219"/>
      <c r="R667" s="219"/>
      <c r="S667" s="219"/>
      <c r="T667" s="219"/>
      <c r="U667" s="219"/>
      <c r="V667" s="219"/>
      <c r="AB667" s="219"/>
      <c r="AC667" s="219"/>
      <c r="AD667" s="219"/>
      <c r="AE667" s="219"/>
      <c r="AF667" s="219"/>
      <c r="AG667" s="219"/>
      <c r="AH667" s="219"/>
      <c r="AI667" s="219"/>
      <c r="AJ667" s="219"/>
      <c r="AK667" s="219"/>
      <c r="AL667" s="219"/>
    </row>
    <row r="668" spans="12:38">
      <c r="L668" s="219"/>
      <c r="M668" s="219"/>
      <c r="N668" s="219"/>
      <c r="O668" s="219"/>
      <c r="P668" s="219"/>
      <c r="Q668" s="219"/>
      <c r="R668" s="219"/>
      <c r="S668" s="219"/>
      <c r="T668" s="219"/>
      <c r="U668" s="219"/>
      <c r="V668" s="219"/>
      <c r="AB668" s="219"/>
      <c r="AC668" s="219"/>
      <c r="AD668" s="219"/>
      <c r="AE668" s="219"/>
      <c r="AF668" s="219"/>
      <c r="AG668" s="219"/>
      <c r="AH668" s="219"/>
      <c r="AI668" s="219"/>
      <c r="AJ668" s="219"/>
      <c r="AK668" s="219"/>
      <c r="AL668" s="219"/>
    </row>
    <row r="669" spans="12:38">
      <c r="L669" s="219"/>
      <c r="M669" s="219"/>
      <c r="N669" s="219"/>
      <c r="O669" s="219"/>
      <c r="P669" s="219"/>
      <c r="Q669" s="219"/>
      <c r="R669" s="219"/>
      <c r="S669" s="219"/>
      <c r="T669" s="219"/>
      <c r="U669" s="219"/>
      <c r="V669" s="219"/>
      <c r="AB669" s="219"/>
      <c r="AC669" s="219"/>
      <c r="AD669" s="219"/>
      <c r="AE669" s="219"/>
      <c r="AF669" s="219"/>
      <c r="AG669" s="219"/>
      <c r="AH669" s="219"/>
      <c r="AI669" s="219"/>
      <c r="AJ669" s="219"/>
      <c r="AK669" s="219"/>
      <c r="AL669" s="219"/>
    </row>
    <row r="670" spans="12:38">
      <c r="L670" s="219"/>
      <c r="M670" s="219"/>
      <c r="N670" s="219"/>
      <c r="O670" s="219"/>
      <c r="P670" s="219"/>
      <c r="Q670" s="219"/>
      <c r="R670" s="219"/>
      <c r="S670" s="219"/>
      <c r="T670" s="219"/>
      <c r="U670" s="219"/>
      <c r="V670" s="219"/>
      <c r="AB670" s="219"/>
      <c r="AC670" s="219"/>
      <c r="AD670" s="219"/>
      <c r="AE670" s="219"/>
      <c r="AF670" s="219"/>
      <c r="AG670" s="219"/>
      <c r="AH670" s="219"/>
      <c r="AI670" s="219"/>
      <c r="AJ670" s="219"/>
      <c r="AK670" s="219"/>
      <c r="AL670" s="219"/>
    </row>
    <row r="671" spans="12:38">
      <c r="L671" s="219"/>
      <c r="M671" s="219"/>
      <c r="N671" s="219"/>
      <c r="O671" s="219"/>
      <c r="P671" s="219"/>
      <c r="Q671" s="219"/>
      <c r="R671" s="219"/>
      <c r="S671" s="219"/>
      <c r="T671" s="219"/>
      <c r="U671" s="219"/>
      <c r="V671" s="219"/>
      <c r="AB671" s="219"/>
      <c r="AC671" s="219"/>
      <c r="AD671" s="219"/>
      <c r="AE671" s="219"/>
      <c r="AF671" s="219"/>
      <c r="AG671" s="219"/>
      <c r="AH671" s="219"/>
      <c r="AI671" s="219"/>
      <c r="AJ671" s="219"/>
      <c r="AK671" s="219"/>
      <c r="AL671" s="219"/>
    </row>
    <row r="672" spans="12:38">
      <c r="L672" s="219"/>
      <c r="M672" s="219"/>
      <c r="N672" s="219"/>
      <c r="O672" s="219"/>
      <c r="P672" s="219"/>
      <c r="Q672" s="219"/>
      <c r="R672" s="219"/>
      <c r="S672" s="219"/>
      <c r="T672" s="219"/>
      <c r="U672" s="219"/>
      <c r="V672" s="219"/>
      <c r="AB672" s="219"/>
      <c r="AC672" s="219"/>
      <c r="AD672" s="219"/>
      <c r="AE672" s="219"/>
      <c r="AF672" s="219"/>
      <c r="AG672" s="219"/>
      <c r="AH672" s="219"/>
      <c r="AI672" s="219"/>
      <c r="AJ672" s="219"/>
      <c r="AK672" s="219"/>
      <c r="AL672" s="219"/>
    </row>
    <row r="673" spans="12:38">
      <c r="L673" s="219"/>
      <c r="M673" s="219"/>
      <c r="N673" s="219"/>
      <c r="O673" s="219"/>
      <c r="P673" s="219"/>
      <c r="Q673" s="219"/>
      <c r="R673" s="219"/>
      <c r="S673" s="219"/>
      <c r="T673" s="219"/>
      <c r="U673" s="219"/>
      <c r="V673" s="219"/>
      <c r="AB673" s="219"/>
      <c r="AC673" s="219"/>
      <c r="AD673" s="219"/>
      <c r="AE673" s="219"/>
      <c r="AF673" s="219"/>
      <c r="AG673" s="219"/>
      <c r="AH673" s="219"/>
      <c r="AI673" s="219"/>
      <c r="AJ673" s="219"/>
      <c r="AK673" s="219"/>
      <c r="AL673" s="219"/>
    </row>
    <row r="674" spans="12:38">
      <c r="L674" s="219"/>
      <c r="M674" s="219"/>
      <c r="N674" s="219"/>
      <c r="O674" s="219"/>
      <c r="P674" s="219"/>
      <c r="Q674" s="219"/>
      <c r="R674" s="219"/>
      <c r="S674" s="219"/>
      <c r="T674" s="219"/>
      <c r="U674" s="219"/>
      <c r="V674" s="219"/>
      <c r="AB674" s="219"/>
      <c r="AC674" s="219"/>
      <c r="AD674" s="219"/>
      <c r="AE674" s="219"/>
      <c r="AF674" s="219"/>
      <c r="AG674" s="219"/>
      <c r="AH674" s="219"/>
      <c r="AI674" s="219"/>
      <c r="AJ674" s="219"/>
      <c r="AK674" s="219"/>
      <c r="AL674" s="219"/>
    </row>
    <row r="675" spans="12:38">
      <c r="L675" s="219"/>
      <c r="M675" s="219"/>
      <c r="N675" s="219"/>
      <c r="O675" s="219"/>
      <c r="P675" s="219"/>
      <c r="Q675" s="219"/>
      <c r="R675" s="219"/>
      <c r="S675" s="219"/>
      <c r="T675" s="219"/>
      <c r="U675" s="219"/>
      <c r="V675" s="219"/>
      <c r="AB675" s="219"/>
      <c r="AC675" s="219"/>
      <c r="AD675" s="219"/>
      <c r="AE675" s="219"/>
      <c r="AF675" s="219"/>
      <c r="AG675" s="219"/>
      <c r="AH675" s="219"/>
      <c r="AI675" s="219"/>
      <c r="AJ675" s="219"/>
      <c r="AK675" s="219"/>
      <c r="AL675" s="219"/>
    </row>
    <row r="676" spans="12:38">
      <c r="L676" s="219"/>
      <c r="M676" s="219"/>
      <c r="N676" s="219"/>
      <c r="O676" s="219"/>
      <c r="P676" s="219"/>
      <c r="Q676" s="219"/>
      <c r="R676" s="219"/>
      <c r="S676" s="219"/>
      <c r="T676" s="219"/>
      <c r="U676" s="219"/>
      <c r="V676" s="219"/>
      <c r="AB676" s="219"/>
      <c r="AC676" s="219"/>
      <c r="AD676" s="219"/>
      <c r="AE676" s="219"/>
      <c r="AF676" s="219"/>
      <c r="AG676" s="219"/>
      <c r="AH676" s="219"/>
      <c r="AI676" s="219"/>
      <c r="AJ676" s="219"/>
      <c r="AK676" s="219"/>
      <c r="AL676" s="219"/>
    </row>
    <row r="677" spans="12:38">
      <c r="L677" s="219"/>
      <c r="M677" s="219"/>
      <c r="N677" s="219"/>
      <c r="O677" s="219"/>
      <c r="P677" s="219"/>
      <c r="Q677" s="219"/>
      <c r="R677" s="219"/>
      <c r="S677" s="219"/>
      <c r="T677" s="219"/>
      <c r="U677" s="219"/>
      <c r="V677" s="219"/>
      <c r="AB677" s="219"/>
      <c r="AC677" s="219"/>
      <c r="AD677" s="219"/>
      <c r="AE677" s="219"/>
      <c r="AF677" s="219"/>
      <c r="AG677" s="219"/>
      <c r="AH677" s="219"/>
      <c r="AI677" s="219"/>
      <c r="AJ677" s="219"/>
      <c r="AK677" s="219"/>
      <c r="AL677" s="219"/>
    </row>
    <row r="678" spans="12:38">
      <c r="L678" s="219"/>
      <c r="M678" s="219"/>
      <c r="N678" s="219"/>
      <c r="O678" s="219"/>
      <c r="P678" s="219"/>
      <c r="Q678" s="219"/>
      <c r="R678" s="219"/>
      <c r="S678" s="219"/>
      <c r="T678" s="219"/>
      <c r="U678" s="219"/>
      <c r="V678" s="219"/>
      <c r="AB678" s="219"/>
      <c r="AC678" s="219"/>
      <c r="AD678" s="219"/>
      <c r="AE678" s="219"/>
      <c r="AF678" s="219"/>
      <c r="AG678" s="219"/>
      <c r="AH678" s="219"/>
      <c r="AI678" s="219"/>
      <c r="AJ678" s="219"/>
      <c r="AK678" s="219"/>
      <c r="AL678" s="219"/>
    </row>
    <row r="679" spans="12:38">
      <c r="L679" s="219"/>
      <c r="M679" s="219"/>
      <c r="N679" s="219"/>
      <c r="O679" s="219"/>
      <c r="P679" s="219"/>
      <c r="Q679" s="219"/>
      <c r="R679" s="219"/>
      <c r="S679" s="219"/>
      <c r="T679" s="219"/>
      <c r="U679" s="219"/>
      <c r="V679" s="219"/>
      <c r="AB679" s="219"/>
      <c r="AC679" s="219"/>
      <c r="AD679" s="219"/>
      <c r="AE679" s="219"/>
      <c r="AF679" s="219"/>
      <c r="AG679" s="219"/>
      <c r="AH679" s="219"/>
      <c r="AI679" s="219"/>
      <c r="AJ679" s="219"/>
      <c r="AK679" s="219"/>
      <c r="AL679" s="219"/>
    </row>
    <row r="680" spans="12:38">
      <c r="L680" s="219"/>
      <c r="M680" s="219"/>
      <c r="N680" s="219"/>
      <c r="O680" s="219"/>
      <c r="P680" s="219"/>
      <c r="Q680" s="219"/>
      <c r="R680" s="219"/>
      <c r="S680" s="219"/>
      <c r="T680" s="219"/>
      <c r="U680" s="219"/>
      <c r="V680" s="219"/>
      <c r="AB680" s="219"/>
      <c r="AC680" s="219"/>
      <c r="AD680" s="219"/>
      <c r="AE680" s="219"/>
      <c r="AF680" s="219"/>
      <c r="AG680" s="219"/>
      <c r="AH680" s="219"/>
      <c r="AI680" s="219"/>
      <c r="AJ680" s="219"/>
      <c r="AK680" s="219"/>
      <c r="AL680" s="219"/>
    </row>
    <row r="681" spans="12:38">
      <c r="L681" s="219"/>
      <c r="M681" s="219"/>
      <c r="N681" s="219"/>
      <c r="O681" s="219"/>
      <c r="P681" s="219"/>
      <c r="Q681" s="219"/>
      <c r="R681" s="219"/>
      <c r="S681" s="219"/>
      <c r="T681" s="219"/>
      <c r="U681" s="219"/>
      <c r="V681" s="219"/>
      <c r="AB681" s="219"/>
      <c r="AC681" s="219"/>
      <c r="AD681" s="219"/>
      <c r="AE681" s="219"/>
      <c r="AF681" s="219"/>
      <c r="AG681" s="219"/>
      <c r="AH681" s="219"/>
      <c r="AI681" s="219"/>
      <c r="AJ681" s="219"/>
      <c r="AK681" s="219"/>
      <c r="AL681" s="219"/>
    </row>
    <row r="682" spans="12:38">
      <c r="L682" s="219"/>
      <c r="M682" s="219"/>
      <c r="N682" s="219"/>
      <c r="O682" s="219"/>
      <c r="P682" s="219"/>
      <c r="Q682" s="219"/>
      <c r="R682" s="219"/>
      <c r="S682" s="219"/>
      <c r="T682" s="219"/>
      <c r="U682" s="219"/>
      <c r="V682" s="219"/>
      <c r="AB682" s="219"/>
      <c r="AC682" s="219"/>
      <c r="AD682" s="219"/>
      <c r="AE682" s="219"/>
      <c r="AF682" s="219"/>
      <c r="AG682" s="219"/>
      <c r="AH682" s="219"/>
      <c r="AI682" s="219"/>
      <c r="AJ682" s="219"/>
      <c r="AK682" s="219"/>
      <c r="AL682" s="219"/>
    </row>
    <row r="683" spans="12:38">
      <c r="L683" s="219"/>
      <c r="M683" s="219"/>
      <c r="N683" s="219"/>
      <c r="O683" s="219"/>
      <c r="P683" s="219"/>
      <c r="Q683" s="219"/>
      <c r="R683" s="219"/>
      <c r="S683" s="219"/>
      <c r="T683" s="219"/>
      <c r="U683" s="219"/>
      <c r="V683" s="219"/>
      <c r="AB683" s="219"/>
      <c r="AC683" s="219"/>
      <c r="AD683" s="219"/>
      <c r="AE683" s="219"/>
      <c r="AF683" s="219"/>
      <c r="AG683" s="219"/>
      <c r="AH683" s="219"/>
      <c r="AI683" s="219"/>
      <c r="AJ683" s="219"/>
      <c r="AK683" s="219"/>
      <c r="AL683" s="219"/>
    </row>
    <row r="684" spans="12:38">
      <c r="L684" s="219"/>
      <c r="M684" s="219"/>
      <c r="N684" s="219"/>
      <c r="O684" s="219"/>
      <c r="P684" s="219"/>
      <c r="Q684" s="219"/>
      <c r="R684" s="219"/>
      <c r="S684" s="219"/>
      <c r="T684" s="219"/>
      <c r="U684" s="219"/>
      <c r="V684" s="219"/>
      <c r="AB684" s="219"/>
      <c r="AC684" s="219"/>
      <c r="AD684" s="219"/>
      <c r="AE684" s="219"/>
      <c r="AF684" s="219"/>
      <c r="AG684" s="219"/>
      <c r="AH684" s="219"/>
      <c r="AI684" s="219"/>
      <c r="AJ684" s="219"/>
      <c r="AK684" s="219"/>
      <c r="AL684" s="219"/>
    </row>
    <row r="685" spans="12:38">
      <c r="L685" s="219"/>
      <c r="M685" s="219"/>
      <c r="N685" s="219"/>
      <c r="O685" s="219"/>
      <c r="P685" s="219"/>
      <c r="Q685" s="219"/>
      <c r="R685" s="219"/>
      <c r="S685" s="219"/>
      <c r="T685" s="219"/>
      <c r="U685" s="219"/>
      <c r="V685" s="219"/>
      <c r="AB685" s="219"/>
      <c r="AC685" s="219"/>
      <c r="AD685" s="219"/>
      <c r="AE685" s="219"/>
      <c r="AF685" s="219"/>
      <c r="AG685" s="219"/>
      <c r="AH685" s="219"/>
      <c r="AI685" s="219"/>
      <c r="AJ685" s="219"/>
      <c r="AK685" s="219"/>
      <c r="AL685" s="219"/>
    </row>
    <row r="686" spans="12:38">
      <c r="L686" s="219"/>
      <c r="M686" s="219"/>
      <c r="N686" s="219"/>
      <c r="O686" s="219"/>
      <c r="P686" s="219"/>
      <c r="Q686" s="219"/>
      <c r="R686" s="219"/>
      <c r="S686" s="219"/>
      <c r="T686" s="219"/>
      <c r="U686" s="219"/>
      <c r="V686" s="219"/>
      <c r="AB686" s="219"/>
      <c r="AC686" s="219"/>
      <c r="AD686" s="219"/>
      <c r="AE686" s="219"/>
      <c r="AF686" s="219"/>
      <c r="AG686" s="219"/>
      <c r="AH686" s="219"/>
      <c r="AI686" s="219"/>
      <c r="AJ686" s="219"/>
      <c r="AK686" s="219"/>
      <c r="AL686" s="219"/>
    </row>
    <row r="687" spans="12:38">
      <c r="L687" s="219"/>
      <c r="M687" s="219"/>
      <c r="N687" s="219"/>
      <c r="O687" s="219"/>
      <c r="P687" s="219"/>
      <c r="Q687" s="219"/>
      <c r="R687" s="219"/>
      <c r="S687" s="219"/>
      <c r="T687" s="219"/>
      <c r="U687" s="219"/>
      <c r="V687" s="219"/>
      <c r="AB687" s="219"/>
      <c r="AC687" s="219"/>
      <c r="AD687" s="219"/>
      <c r="AE687" s="219"/>
      <c r="AF687" s="219"/>
      <c r="AG687" s="219"/>
      <c r="AH687" s="219"/>
      <c r="AI687" s="219"/>
      <c r="AJ687" s="219"/>
      <c r="AK687" s="219"/>
      <c r="AL687" s="219"/>
    </row>
    <row r="688" spans="12:38">
      <c r="L688" s="219"/>
      <c r="M688" s="219"/>
      <c r="N688" s="219"/>
      <c r="O688" s="219"/>
      <c r="P688" s="219"/>
      <c r="Q688" s="219"/>
      <c r="R688" s="219"/>
      <c r="S688" s="219"/>
      <c r="T688" s="219"/>
      <c r="U688" s="219"/>
      <c r="V688" s="219"/>
      <c r="AB688" s="219"/>
      <c r="AC688" s="219"/>
      <c r="AD688" s="219"/>
      <c r="AE688" s="219"/>
      <c r="AF688" s="219"/>
      <c r="AG688" s="219"/>
      <c r="AH688" s="219"/>
      <c r="AI688" s="219"/>
      <c r="AJ688" s="219"/>
      <c r="AK688" s="219"/>
      <c r="AL688" s="219"/>
    </row>
    <row r="689" spans="12:38">
      <c r="L689" s="219"/>
      <c r="M689" s="219"/>
      <c r="N689" s="219"/>
      <c r="O689" s="219"/>
      <c r="P689" s="219"/>
      <c r="Q689" s="219"/>
      <c r="R689" s="219"/>
      <c r="S689" s="219"/>
      <c r="T689" s="219"/>
      <c r="U689" s="219"/>
      <c r="V689" s="219"/>
      <c r="AB689" s="219"/>
      <c r="AC689" s="219"/>
      <c r="AD689" s="219"/>
      <c r="AE689" s="219"/>
      <c r="AF689" s="219"/>
      <c r="AG689" s="219"/>
      <c r="AH689" s="219"/>
      <c r="AI689" s="219"/>
      <c r="AJ689" s="219"/>
      <c r="AK689" s="219"/>
      <c r="AL689" s="219"/>
    </row>
    <row r="690" spans="12:38">
      <c r="L690" s="219"/>
      <c r="M690" s="219"/>
      <c r="N690" s="219"/>
      <c r="O690" s="219"/>
      <c r="P690" s="219"/>
      <c r="Q690" s="219"/>
      <c r="R690" s="219"/>
      <c r="S690" s="219"/>
      <c r="T690" s="219"/>
      <c r="U690" s="219"/>
      <c r="V690" s="219"/>
      <c r="AB690" s="219"/>
      <c r="AC690" s="219"/>
      <c r="AD690" s="219"/>
      <c r="AE690" s="219"/>
      <c r="AF690" s="219"/>
      <c r="AG690" s="219"/>
      <c r="AH690" s="219"/>
      <c r="AI690" s="219"/>
      <c r="AJ690" s="219"/>
      <c r="AK690" s="219"/>
      <c r="AL690" s="219"/>
    </row>
    <row r="691" spans="12:38">
      <c r="L691" s="219"/>
      <c r="M691" s="219"/>
      <c r="N691" s="219"/>
      <c r="O691" s="219"/>
      <c r="P691" s="219"/>
      <c r="Q691" s="219"/>
      <c r="R691" s="219"/>
      <c r="S691" s="219"/>
      <c r="T691" s="219"/>
      <c r="U691" s="219"/>
      <c r="V691" s="219"/>
      <c r="AB691" s="219"/>
      <c r="AC691" s="219"/>
      <c r="AD691" s="219"/>
      <c r="AE691" s="219"/>
      <c r="AF691" s="219"/>
      <c r="AG691" s="219"/>
      <c r="AH691" s="219"/>
      <c r="AI691" s="219"/>
      <c r="AJ691" s="219"/>
      <c r="AK691" s="219"/>
      <c r="AL691" s="219"/>
    </row>
    <row r="692" spans="12:38">
      <c r="L692" s="219"/>
      <c r="M692" s="219"/>
      <c r="N692" s="219"/>
      <c r="O692" s="219"/>
      <c r="P692" s="219"/>
      <c r="Q692" s="219"/>
      <c r="R692" s="219"/>
      <c r="S692" s="219"/>
      <c r="T692" s="219"/>
      <c r="U692" s="219"/>
      <c r="V692" s="219"/>
      <c r="AB692" s="219"/>
      <c r="AC692" s="219"/>
      <c r="AD692" s="219"/>
      <c r="AE692" s="219"/>
      <c r="AF692" s="219"/>
      <c r="AG692" s="219"/>
      <c r="AH692" s="219"/>
      <c r="AI692" s="219"/>
      <c r="AJ692" s="219"/>
      <c r="AK692" s="219"/>
      <c r="AL692" s="219"/>
    </row>
    <row r="693" spans="12:38">
      <c r="L693" s="219"/>
      <c r="M693" s="219"/>
      <c r="N693" s="219"/>
      <c r="O693" s="219"/>
      <c r="P693" s="219"/>
      <c r="Q693" s="219"/>
      <c r="R693" s="219"/>
      <c r="S693" s="219"/>
      <c r="T693" s="219"/>
      <c r="U693" s="219"/>
      <c r="V693" s="219"/>
      <c r="AB693" s="219"/>
      <c r="AC693" s="219"/>
      <c r="AD693" s="219"/>
      <c r="AE693" s="219"/>
      <c r="AF693" s="219"/>
      <c r="AG693" s="219"/>
      <c r="AH693" s="219"/>
      <c r="AI693" s="219"/>
      <c r="AJ693" s="219"/>
      <c r="AK693" s="219"/>
      <c r="AL693" s="219"/>
    </row>
    <row r="694" spans="12:38">
      <c r="L694" s="219"/>
      <c r="M694" s="219"/>
      <c r="N694" s="219"/>
      <c r="O694" s="219"/>
      <c r="P694" s="219"/>
      <c r="Q694" s="219"/>
      <c r="R694" s="219"/>
      <c r="S694" s="219"/>
      <c r="T694" s="219"/>
      <c r="U694" s="219"/>
      <c r="V694" s="219"/>
      <c r="AB694" s="219"/>
      <c r="AC694" s="219"/>
      <c r="AD694" s="219"/>
      <c r="AE694" s="219"/>
      <c r="AF694" s="219"/>
      <c r="AG694" s="219"/>
      <c r="AH694" s="219"/>
      <c r="AI694" s="219"/>
      <c r="AJ694" s="219"/>
      <c r="AK694" s="219"/>
      <c r="AL694" s="219"/>
    </row>
    <row r="695" spans="12:38">
      <c r="L695" s="219"/>
      <c r="M695" s="219"/>
      <c r="N695" s="219"/>
      <c r="O695" s="219"/>
      <c r="P695" s="219"/>
      <c r="Q695" s="219"/>
      <c r="R695" s="219"/>
      <c r="S695" s="219"/>
      <c r="T695" s="219"/>
      <c r="U695" s="219"/>
      <c r="V695" s="219"/>
      <c r="AB695" s="219"/>
      <c r="AC695" s="219"/>
      <c r="AD695" s="219"/>
      <c r="AE695" s="219"/>
      <c r="AF695" s="219"/>
      <c r="AG695" s="219"/>
      <c r="AH695" s="219"/>
      <c r="AI695" s="219"/>
      <c r="AJ695" s="219"/>
      <c r="AK695" s="219"/>
      <c r="AL695" s="219"/>
    </row>
    <row r="696" spans="12:38">
      <c r="L696" s="219"/>
      <c r="M696" s="219"/>
      <c r="N696" s="219"/>
      <c r="O696" s="219"/>
      <c r="P696" s="219"/>
      <c r="Q696" s="219"/>
      <c r="R696" s="219"/>
      <c r="S696" s="219"/>
      <c r="T696" s="219"/>
      <c r="U696" s="219"/>
      <c r="V696" s="219"/>
      <c r="AB696" s="219"/>
      <c r="AC696" s="219"/>
      <c r="AD696" s="219"/>
      <c r="AE696" s="219"/>
      <c r="AF696" s="219"/>
      <c r="AG696" s="219"/>
      <c r="AH696" s="219"/>
      <c r="AI696" s="219"/>
      <c r="AJ696" s="219"/>
      <c r="AK696" s="219"/>
      <c r="AL696" s="219"/>
    </row>
    <row r="697" spans="12:38">
      <c r="L697" s="219"/>
      <c r="M697" s="219"/>
      <c r="N697" s="219"/>
      <c r="O697" s="219"/>
      <c r="P697" s="219"/>
      <c r="Q697" s="219"/>
      <c r="R697" s="219"/>
      <c r="S697" s="219"/>
      <c r="T697" s="219"/>
      <c r="U697" s="219"/>
      <c r="V697" s="219"/>
      <c r="AB697" s="219"/>
      <c r="AC697" s="219"/>
      <c r="AD697" s="219"/>
      <c r="AE697" s="219"/>
      <c r="AF697" s="219"/>
      <c r="AG697" s="219"/>
      <c r="AH697" s="219"/>
      <c r="AI697" s="219"/>
      <c r="AJ697" s="219"/>
      <c r="AK697" s="219"/>
      <c r="AL697" s="219"/>
    </row>
    <row r="698" spans="12:38">
      <c r="L698" s="219"/>
      <c r="M698" s="219"/>
      <c r="N698" s="219"/>
      <c r="O698" s="219"/>
      <c r="P698" s="219"/>
      <c r="Q698" s="219"/>
      <c r="R698" s="219"/>
      <c r="S698" s="219"/>
      <c r="T698" s="219"/>
      <c r="U698" s="219"/>
      <c r="V698" s="219"/>
      <c r="AB698" s="219"/>
      <c r="AC698" s="219"/>
      <c r="AD698" s="219"/>
      <c r="AE698" s="219"/>
      <c r="AF698" s="219"/>
      <c r="AG698" s="219"/>
      <c r="AH698" s="219"/>
      <c r="AI698" s="219"/>
      <c r="AJ698" s="219"/>
      <c r="AK698" s="219"/>
      <c r="AL698" s="219"/>
    </row>
    <row r="699" spans="12:38">
      <c r="L699" s="219"/>
      <c r="M699" s="219"/>
      <c r="N699" s="219"/>
      <c r="O699" s="219"/>
      <c r="P699" s="219"/>
      <c r="Q699" s="219"/>
      <c r="R699" s="219"/>
      <c r="S699" s="219"/>
      <c r="T699" s="219"/>
      <c r="U699" s="219"/>
      <c r="V699" s="219"/>
      <c r="AB699" s="219"/>
      <c r="AC699" s="219"/>
      <c r="AD699" s="219"/>
      <c r="AE699" s="219"/>
      <c r="AF699" s="219"/>
      <c r="AG699" s="219"/>
      <c r="AH699" s="219"/>
      <c r="AI699" s="219"/>
      <c r="AJ699" s="219"/>
      <c r="AK699" s="219"/>
      <c r="AL699" s="219"/>
    </row>
    <row r="700" spans="12:38">
      <c r="L700" s="219"/>
      <c r="M700" s="219"/>
      <c r="N700" s="219"/>
      <c r="O700" s="219"/>
      <c r="P700" s="219"/>
      <c r="Q700" s="219"/>
      <c r="R700" s="219"/>
      <c r="S700" s="219"/>
      <c r="T700" s="219"/>
      <c r="U700" s="219"/>
      <c r="V700" s="219"/>
      <c r="AB700" s="219"/>
      <c r="AC700" s="219"/>
      <c r="AD700" s="219"/>
      <c r="AE700" s="219"/>
      <c r="AF700" s="219"/>
      <c r="AG700" s="219"/>
      <c r="AH700" s="219"/>
      <c r="AI700" s="219"/>
      <c r="AJ700" s="219"/>
      <c r="AK700" s="219"/>
      <c r="AL700" s="219"/>
    </row>
    <row r="701" spans="12:38">
      <c r="L701" s="219"/>
      <c r="M701" s="219"/>
      <c r="N701" s="219"/>
      <c r="O701" s="219"/>
      <c r="P701" s="219"/>
      <c r="Q701" s="219"/>
      <c r="R701" s="219"/>
      <c r="S701" s="219"/>
      <c r="T701" s="219"/>
      <c r="U701" s="219"/>
      <c r="V701" s="219"/>
      <c r="AB701" s="219"/>
      <c r="AC701" s="219"/>
      <c r="AD701" s="219"/>
      <c r="AE701" s="219"/>
      <c r="AF701" s="219"/>
      <c r="AG701" s="219"/>
      <c r="AH701" s="219"/>
      <c r="AI701" s="219"/>
      <c r="AJ701" s="219"/>
      <c r="AK701" s="219"/>
      <c r="AL701" s="219"/>
    </row>
    <row r="702" spans="12:38">
      <c r="L702" s="219"/>
      <c r="M702" s="219"/>
      <c r="N702" s="219"/>
      <c r="O702" s="219"/>
      <c r="P702" s="219"/>
      <c r="Q702" s="219"/>
      <c r="R702" s="219"/>
      <c r="S702" s="219"/>
      <c r="T702" s="219"/>
      <c r="U702" s="219"/>
      <c r="V702" s="219"/>
      <c r="AB702" s="219"/>
      <c r="AC702" s="219"/>
      <c r="AD702" s="219"/>
      <c r="AE702" s="219"/>
      <c r="AF702" s="219"/>
      <c r="AG702" s="219"/>
      <c r="AH702" s="219"/>
      <c r="AI702" s="219"/>
      <c r="AJ702" s="219"/>
      <c r="AK702" s="219"/>
      <c r="AL702" s="219"/>
    </row>
    <row r="703" spans="12:38">
      <c r="L703" s="219"/>
      <c r="M703" s="219"/>
      <c r="N703" s="219"/>
      <c r="O703" s="219"/>
      <c r="P703" s="219"/>
      <c r="Q703" s="219"/>
      <c r="R703" s="219"/>
      <c r="S703" s="219"/>
      <c r="T703" s="219"/>
      <c r="U703" s="219"/>
      <c r="V703" s="219"/>
      <c r="AB703" s="219"/>
      <c r="AC703" s="219"/>
      <c r="AD703" s="219"/>
      <c r="AE703" s="219"/>
      <c r="AF703" s="219"/>
      <c r="AG703" s="219"/>
      <c r="AH703" s="219"/>
      <c r="AI703" s="219"/>
      <c r="AJ703" s="219"/>
      <c r="AK703" s="219"/>
      <c r="AL703" s="219"/>
    </row>
    <row r="704" spans="12:38">
      <c r="L704" s="219"/>
      <c r="M704" s="219"/>
      <c r="N704" s="219"/>
      <c r="O704" s="219"/>
      <c r="P704" s="219"/>
      <c r="Q704" s="219"/>
      <c r="R704" s="219"/>
      <c r="S704" s="219"/>
      <c r="T704" s="219"/>
      <c r="U704" s="219"/>
      <c r="V704" s="219"/>
      <c r="AB704" s="219"/>
      <c r="AC704" s="219"/>
      <c r="AD704" s="219"/>
      <c r="AE704" s="219"/>
      <c r="AF704" s="219"/>
      <c r="AG704" s="219"/>
      <c r="AH704" s="219"/>
      <c r="AI704" s="219"/>
      <c r="AJ704" s="219"/>
      <c r="AK704" s="219"/>
      <c r="AL704" s="219"/>
    </row>
    <row r="705" spans="12:38">
      <c r="L705" s="219"/>
      <c r="M705" s="219"/>
      <c r="N705" s="219"/>
      <c r="O705" s="219"/>
      <c r="P705" s="219"/>
      <c r="Q705" s="219"/>
      <c r="R705" s="219"/>
      <c r="S705" s="219"/>
      <c r="T705" s="219"/>
      <c r="U705" s="219"/>
      <c r="V705" s="219"/>
      <c r="AB705" s="219"/>
      <c r="AC705" s="219"/>
      <c r="AD705" s="219"/>
      <c r="AE705" s="219"/>
      <c r="AF705" s="219"/>
      <c r="AG705" s="219"/>
      <c r="AH705" s="219"/>
      <c r="AI705" s="219"/>
      <c r="AJ705" s="219"/>
      <c r="AK705" s="219"/>
      <c r="AL705" s="219"/>
    </row>
    <row r="706" spans="12:38">
      <c r="L706" s="219"/>
      <c r="M706" s="219"/>
      <c r="N706" s="219"/>
      <c r="O706" s="219"/>
      <c r="P706" s="219"/>
      <c r="Q706" s="219"/>
      <c r="R706" s="219"/>
      <c r="S706" s="219"/>
      <c r="T706" s="219"/>
      <c r="U706" s="219"/>
      <c r="V706" s="219"/>
      <c r="AB706" s="219"/>
      <c r="AC706" s="219"/>
      <c r="AD706" s="219"/>
      <c r="AE706" s="219"/>
      <c r="AF706" s="219"/>
      <c r="AG706" s="219"/>
      <c r="AH706" s="219"/>
      <c r="AI706" s="219"/>
      <c r="AJ706" s="219"/>
      <c r="AK706" s="219"/>
      <c r="AL706" s="219"/>
    </row>
    <row r="707" spans="12:38">
      <c r="L707" s="219"/>
      <c r="M707" s="219"/>
      <c r="N707" s="219"/>
      <c r="O707" s="219"/>
      <c r="P707" s="219"/>
      <c r="Q707" s="219"/>
      <c r="R707" s="219"/>
      <c r="S707" s="219"/>
      <c r="T707" s="219"/>
      <c r="U707" s="219"/>
      <c r="V707" s="219"/>
      <c r="AB707" s="219"/>
      <c r="AC707" s="219"/>
      <c r="AD707" s="219"/>
      <c r="AE707" s="219"/>
      <c r="AF707" s="219"/>
      <c r="AG707" s="219"/>
      <c r="AH707" s="219"/>
      <c r="AI707" s="219"/>
      <c r="AJ707" s="219"/>
      <c r="AK707" s="219"/>
      <c r="AL707" s="219"/>
    </row>
    <row r="708" spans="12:38">
      <c r="L708" s="219"/>
      <c r="M708" s="219"/>
      <c r="N708" s="219"/>
      <c r="O708" s="219"/>
      <c r="P708" s="219"/>
      <c r="Q708" s="219"/>
      <c r="R708" s="219"/>
      <c r="S708" s="219"/>
      <c r="T708" s="219"/>
      <c r="U708" s="219"/>
      <c r="V708" s="219"/>
      <c r="AB708" s="219"/>
      <c r="AC708" s="219"/>
      <c r="AD708" s="219"/>
      <c r="AE708" s="219"/>
      <c r="AF708" s="219"/>
      <c r="AG708" s="219"/>
      <c r="AH708" s="219"/>
      <c r="AI708" s="219"/>
      <c r="AJ708" s="219"/>
      <c r="AK708" s="219"/>
      <c r="AL708" s="219"/>
    </row>
    <row r="709" spans="12:38">
      <c r="L709" s="219"/>
      <c r="M709" s="219"/>
      <c r="N709" s="219"/>
      <c r="O709" s="219"/>
      <c r="P709" s="219"/>
      <c r="Q709" s="219"/>
      <c r="R709" s="219"/>
      <c r="S709" s="219"/>
      <c r="T709" s="219"/>
      <c r="U709" s="219"/>
      <c r="V709" s="219"/>
      <c r="AB709" s="219"/>
      <c r="AC709" s="219"/>
      <c r="AD709" s="219"/>
      <c r="AE709" s="219"/>
      <c r="AF709" s="219"/>
      <c r="AG709" s="219"/>
      <c r="AH709" s="219"/>
      <c r="AI709" s="219"/>
      <c r="AJ709" s="219"/>
      <c r="AK709" s="219"/>
      <c r="AL709" s="219"/>
    </row>
    <row r="710" spans="12:38">
      <c r="L710" s="219"/>
      <c r="M710" s="219"/>
      <c r="N710" s="219"/>
      <c r="O710" s="219"/>
      <c r="P710" s="219"/>
      <c r="Q710" s="219"/>
      <c r="R710" s="219"/>
      <c r="S710" s="219"/>
      <c r="T710" s="219"/>
      <c r="U710" s="219"/>
      <c r="V710" s="219"/>
      <c r="AB710" s="219"/>
      <c r="AC710" s="219"/>
      <c r="AD710" s="219"/>
      <c r="AE710" s="219"/>
      <c r="AF710" s="219"/>
      <c r="AG710" s="219"/>
      <c r="AH710" s="219"/>
      <c r="AI710" s="219"/>
      <c r="AJ710" s="219"/>
      <c r="AK710" s="219"/>
      <c r="AL710" s="219"/>
    </row>
    <row r="711" spans="12:38">
      <c r="L711" s="219"/>
      <c r="M711" s="219"/>
      <c r="N711" s="219"/>
      <c r="O711" s="219"/>
      <c r="P711" s="219"/>
      <c r="Q711" s="219"/>
      <c r="R711" s="219"/>
      <c r="S711" s="219"/>
      <c r="T711" s="219"/>
      <c r="U711" s="219"/>
      <c r="V711" s="219"/>
      <c r="AB711" s="219"/>
      <c r="AC711" s="219"/>
      <c r="AD711" s="219"/>
      <c r="AE711" s="219"/>
      <c r="AF711" s="219"/>
      <c r="AG711" s="219"/>
      <c r="AH711" s="219"/>
      <c r="AI711" s="219"/>
      <c r="AJ711" s="219"/>
      <c r="AK711" s="219"/>
      <c r="AL711" s="219"/>
    </row>
    <row r="712" spans="12:38">
      <c r="L712" s="219"/>
      <c r="M712" s="219"/>
      <c r="N712" s="219"/>
      <c r="O712" s="219"/>
      <c r="P712" s="219"/>
      <c r="Q712" s="219"/>
      <c r="R712" s="219"/>
      <c r="S712" s="219"/>
      <c r="T712" s="219"/>
      <c r="U712" s="219"/>
      <c r="V712" s="219"/>
      <c r="AB712" s="219"/>
      <c r="AC712" s="219"/>
      <c r="AD712" s="219"/>
      <c r="AE712" s="219"/>
      <c r="AF712" s="219"/>
      <c r="AG712" s="219"/>
      <c r="AH712" s="219"/>
      <c r="AI712" s="219"/>
      <c r="AJ712" s="219"/>
      <c r="AK712" s="219"/>
      <c r="AL712" s="219"/>
    </row>
    <row r="713" spans="12:38">
      <c r="L713" s="219"/>
      <c r="M713" s="219"/>
      <c r="N713" s="219"/>
      <c r="O713" s="219"/>
      <c r="P713" s="219"/>
      <c r="Q713" s="219"/>
      <c r="R713" s="219"/>
      <c r="S713" s="219"/>
      <c r="T713" s="219"/>
      <c r="U713" s="219"/>
      <c r="V713" s="219"/>
      <c r="AB713" s="219"/>
      <c r="AC713" s="219"/>
      <c r="AD713" s="219"/>
      <c r="AE713" s="219"/>
      <c r="AF713" s="219"/>
      <c r="AG713" s="219"/>
      <c r="AH713" s="219"/>
      <c r="AI713" s="219"/>
      <c r="AJ713" s="219"/>
      <c r="AK713" s="219"/>
      <c r="AL713" s="219"/>
    </row>
    <row r="714" spans="12:38">
      <c r="L714" s="219"/>
      <c r="M714" s="219"/>
      <c r="N714" s="219"/>
      <c r="O714" s="219"/>
      <c r="P714" s="219"/>
      <c r="Q714" s="219"/>
      <c r="R714" s="219"/>
      <c r="S714" s="219"/>
      <c r="T714" s="219"/>
      <c r="U714" s="219"/>
      <c r="V714" s="219"/>
      <c r="AB714" s="219"/>
      <c r="AC714" s="219"/>
      <c r="AD714" s="219"/>
      <c r="AE714" s="219"/>
      <c r="AF714" s="219"/>
      <c r="AG714" s="219"/>
      <c r="AH714" s="219"/>
      <c r="AI714" s="219"/>
      <c r="AJ714" s="219"/>
      <c r="AK714" s="219"/>
      <c r="AL714" s="219"/>
    </row>
    <row r="715" spans="12:38">
      <c r="L715" s="219"/>
      <c r="M715" s="219"/>
      <c r="N715" s="219"/>
      <c r="O715" s="219"/>
      <c r="P715" s="219"/>
      <c r="Q715" s="219"/>
      <c r="R715" s="219"/>
      <c r="S715" s="219"/>
      <c r="T715" s="219"/>
      <c r="U715" s="219"/>
      <c r="V715" s="219"/>
      <c r="AB715" s="219"/>
      <c r="AC715" s="219"/>
      <c r="AD715" s="219"/>
      <c r="AE715" s="219"/>
      <c r="AF715" s="219"/>
      <c r="AG715" s="219"/>
      <c r="AH715" s="219"/>
      <c r="AI715" s="219"/>
      <c r="AJ715" s="219"/>
      <c r="AK715" s="219"/>
      <c r="AL715" s="219"/>
    </row>
    <row r="716" spans="12:38">
      <c r="L716" s="219"/>
      <c r="M716" s="219"/>
      <c r="N716" s="219"/>
      <c r="O716" s="219"/>
      <c r="P716" s="219"/>
      <c r="Q716" s="219"/>
      <c r="R716" s="219"/>
      <c r="S716" s="219"/>
      <c r="T716" s="219"/>
      <c r="U716" s="219"/>
      <c r="V716" s="219"/>
      <c r="AB716" s="219"/>
      <c r="AC716" s="219"/>
      <c r="AD716" s="219"/>
      <c r="AE716" s="219"/>
      <c r="AF716" s="219"/>
      <c r="AG716" s="219"/>
      <c r="AH716" s="219"/>
      <c r="AI716" s="219"/>
      <c r="AJ716" s="219"/>
      <c r="AK716" s="219"/>
      <c r="AL716" s="219"/>
    </row>
    <row r="717" spans="12:38">
      <c r="L717" s="219"/>
      <c r="M717" s="219"/>
      <c r="N717" s="219"/>
      <c r="O717" s="219"/>
      <c r="P717" s="219"/>
      <c r="Q717" s="219"/>
      <c r="R717" s="219"/>
      <c r="S717" s="219"/>
      <c r="T717" s="219"/>
      <c r="U717" s="219"/>
      <c r="V717" s="219"/>
      <c r="AB717" s="219"/>
      <c r="AC717" s="219"/>
      <c r="AD717" s="219"/>
      <c r="AE717" s="219"/>
      <c r="AF717" s="219"/>
      <c r="AG717" s="219"/>
      <c r="AH717" s="219"/>
      <c r="AI717" s="219"/>
      <c r="AJ717" s="219"/>
      <c r="AK717" s="219"/>
      <c r="AL717" s="219"/>
    </row>
    <row r="718" spans="12:38">
      <c r="L718" s="219"/>
      <c r="M718" s="219"/>
      <c r="N718" s="219"/>
      <c r="O718" s="219"/>
      <c r="P718" s="219"/>
      <c r="Q718" s="219"/>
      <c r="R718" s="219"/>
      <c r="S718" s="219"/>
      <c r="T718" s="219"/>
      <c r="U718" s="219"/>
      <c r="V718" s="219"/>
      <c r="AB718" s="219"/>
      <c r="AC718" s="219"/>
      <c r="AD718" s="219"/>
      <c r="AE718" s="219"/>
      <c r="AF718" s="219"/>
      <c r="AG718" s="219"/>
      <c r="AH718" s="219"/>
      <c r="AI718" s="219"/>
      <c r="AJ718" s="219"/>
      <c r="AK718" s="219"/>
      <c r="AL718" s="219"/>
    </row>
    <row r="719" spans="12:38">
      <c r="L719" s="219"/>
      <c r="M719" s="219"/>
      <c r="N719" s="219"/>
      <c r="O719" s="219"/>
      <c r="P719" s="219"/>
      <c r="Q719" s="219"/>
      <c r="R719" s="219"/>
      <c r="S719" s="219"/>
      <c r="T719" s="219"/>
      <c r="U719" s="219"/>
      <c r="V719" s="219"/>
      <c r="AB719" s="219"/>
      <c r="AC719" s="219"/>
      <c r="AD719" s="219"/>
      <c r="AE719" s="219"/>
      <c r="AF719" s="219"/>
      <c r="AG719" s="219"/>
      <c r="AH719" s="219"/>
      <c r="AI719" s="219"/>
      <c r="AJ719" s="219"/>
      <c r="AK719" s="219"/>
      <c r="AL719" s="219"/>
    </row>
    <row r="720" spans="12:38">
      <c r="L720" s="219"/>
      <c r="M720" s="219"/>
      <c r="N720" s="219"/>
      <c r="O720" s="219"/>
      <c r="P720" s="219"/>
      <c r="Q720" s="219"/>
      <c r="R720" s="219"/>
      <c r="S720" s="219"/>
      <c r="T720" s="219"/>
      <c r="U720" s="219"/>
      <c r="V720" s="219"/>
      <c r="AB720" s="219"/>
      <c r="AC720" s="219"/>
      <c r="AD720" s="219"/>
      <c r="AE720" s="219"/>
      <c r="AF720" s="219"/>
      <c r="AG720" s="219"/>
      <c r="AH720" s="219"/>
      <c r="AI720" s="219"/>
      <c r="AJ720" s="219"/>
      <c r="AK720" s="219"/>
      <c r="AL720" s="219"/>
    </row>
    <row r="721" spans="12:38">
      <c r="L721" s="219"/>
      <c r="M721" s="219"/>
      <c r="N721" s="219"/>
      <c r="O721" s="219"/>
      <c r="P721" s="219"/>
      <c r="Q721" s="219"/>
      <c r="R721" s="219"/>
      <c r="S721" s="219"/>
      <c r="T721" s="219"/>
      <c r="U721" s="219"/>
      <c r="V721" s="219"/>
      <c r="AB721" s="219"/>
      <c r="AC721" s="219"/>
      <c r="AD721" s="219"/>
      <c r="AE721" s="219"/>
      <c r="AF721" s="219"/>
      <c r="AG721" s="219"/>
      <c r="AH721" s="219"/>
      <c r="AI721" s="219"/>
      <c r="AJ721" s="219"/>
      <c r="AK721" s="219"/>
      <c r="AL721" s="219"/>
    </row>
    <row r="722" spans="12:38">
      <c r="L722" s="219"/>
      <c r="M722" s="219"/>
      <c r="N722" s="219"/>
      <c r="O722" s="219"/>
      <c r="P722" s="219"/>
      <c r="Q722" s="219"/>
      <c r="R722" s="219"/>
      <c r="S722" s="219"/>
      <c r="T722" s="219"/>
      <c r="U722" s="219"/>
      <c r="V722" s="219"/>
      <c r="AB722" s="219"/>
      <c r="AC722" s="219"/>
      <c r="AD722" s="219"/>
      <c r="AE722" s="219"/>
      <c r="AF722" s="219"/>
      <c r="AG722" s="219"/>
      <c r="AH722" s="219"/>
      <c r="AI722" s="219"/>
      <c r="AJ722" s="219"/>
      <c r="AK722" s="219"/>
      <c r="AL722" s="219"/>
    </row>
    <row r="723" spans="12:38">
      <c r="L723" s="219"/>
      <c r="M723" s="219"/>
      <c r="N723" s="219"/>
      <c r="O723" s="219"/>
      <c r="P723" s="219"/>
      <c r="Q723" s="219"/>
      <c r="R723" s="219"/>
      <c r="S723" s="219"/>
      <c r="T723" s="219"/>
      <c r="U723" s="219"/>
      <c r="V723" s="219"/>
      <c r="AB723" s="219"/>
      <c r="AC723" s="219"/>
      <c r="AD723" s="219"/>
      <c r="AE723" s="219"/>
      <c r="AF723" s="219"/>
      <c r="AG723" s="219"/>
      <c r="AH723" s="219"/>
      <c r="AI723" s="219"/>
      <c r="AJ723" s="219"/>
      <c r="AK723" s="219"/>
      <c r="AL723" s="219"/>
    </row>
    <row r="724" spans="12:38">
      <c r="L724" s="219"/>
      <c r="M724" s="219"/>
      <c r="N724" s="219"/>
      <c r="O724" s="219"/>
      <c r="P724" s="219"/>
      <c r="Q724" s="219"/>
      <c r="R724" s="219"/>
      <c r="S724" s="219"/>
      <c r="T724" s="219"/>
      <c r="U724" s="219"/>
      <c r="V724" s="219"/>
      <c r="AB724" s="219"/>
      <c r="AC724" s="219"/>
      <c r="AD724" s="219"/>
      <c r="AE724" s="219"/>
      <c r="AF724" s="219"/>
      <c r="AG724" s="219"/>
      <c r="AH724" s="219"/>
      <c r="AI724" s="219"/>
      <c r="AJ724" s="219"/>
      <c r="AK724" s="219"/>
      <c r="AL724" s="219"/>
    </row>
    <row r="725" spans="12:38">
      <c r="L725" s="219"/>
      <c r="M725" s="219"/>
      <c r="N725" s="219"/>
      <c r="O725" s="219"/>
      <c r="P725" s="219"/>
      <c r="Q725" s="219"/>
      <c r="R725" s="219"/>
      <c r="S725" s="219"/>
      <c r="T725" s="219"/>
      <c r="U725" s="219"/>
      <c r="V725" s="219"/>
      <c r="AB725" s="219"/>
      <c r="AC725" s="219"/>
      <c r="AD725" s="219"/>
      <c r="AE725" s="219"/>
      <c r="AF725" s="219"/>
      <c r="AG725" s="219"/>
      <c r="AH725" s="219"/>
      <c r="AI725" s="219"/>
      <c r="AJ725" s="219"/>
      <c r="AK725" s="219"/>
      <c r="AL725" s="219"/>
    </row>
    <row r="726" spans="12:38">
      <c r="L726" s="219"/>
      <c r="M726" s="219"/>
      <c r="N726" s="219"/>
      <c r="O726" s="219"/>
      <c r="P726" s="219"/>
      <c r="Q726" s="219"/>
      <c r="R726" s="219"/>
      <c r="S726" s="219"/>
      <c r="T726" s="219"/>
      <c r="U726" s="219"/>
      <c r="V726" s="219"/>
      <c r="AB726" s="219"/>
      <c r="AC726" s="219"/>
      <c r="AD726" s="219"/>
      <c r="AE726" s="219"/>
      <c r="AF726" s="219"/>
      <c r="AG726" s="219"/>
      <c r="AH726" s="219"/>
      <c r="AI726" s="219"/>
      <c r="AJ726" s="219"/>
      <c r="AK726" s="219"/>
      <c r="AL726" s="219"/>
    </row>
    <row r="727" spans="12:38">
      <c r="L727" s="219"/>
      <c r="M727" s="219"/>
      <c r="N727" s="219"/>
      <c r="O727" s="219"/>
      <c r="P727" s="219"/>
      <c r="Q727" s="219"/>
      <c r="R727" s="219"/>
      <c r="S727" s="219"/>
      <c r="T727" s="219"/>
      <c r="U727" s="219"/>
      <c r="V727" s="219"/>
      <c r="AB727" s="219"/>
      <c r="AC727" s="219"/>
      <c r="AD727" s="219"/>
      <c r="AE727" s="219"/>
      <c r="AF727" s="219"/>
      <c r="AG727" s="219"/>
      <c r="AH727" s="219"/>
      <c r="AI727" s="219"/>
      <c r="AJ727" s="219"/>
      <c r="AK727" s="219"/>
      <c r="AL727" s="219"/>
    </row>
    <row r="728" spans="12:38">
      <c r="L728" s="219"/>
      <c r="M728" s="219"/>
      <c r="N728" s="219"/>
      <c r="O728" s="219"/>
      <c r="P728" s="219"/>
      <c r="Q728" s="219"/>
      <c r="R728" s="219"/>
      <c r="S728" s="219"/>
      <c r="T728" s="219"/>
      <c r="U728" s="219"/>
      <c r="V728" s="219"/>
      <c r="AB728" s="219"/>
      <c r="AC728" s="219"/>
      <c r="AD728" s="219"/>
      <c r="AE728" s="219"/>
      <c r="AF728" s="219"/>
      <c r="AG728" s="219"/>
      <c r="AH728" s="219"/>
      <c r="AI728" s="219"/>
      <c r="AJ728" s="219"/>
      <c r="AK728" s="219"/>
      <c r="AL728" s="219"/>
    </row>
    <row r="729" spans="12:38">
      <c r="L729" s="219"/>
      <c r="M729" s="219"/>
      <c r="N729" s="219"/>
      <c r="O729" s="219"/>
      <c r="P729" s="219"/>
      <c r="Q729" s="219"/>
      <c r="R729" s="219"/>
      <c r="S729" s="219"/>
      <c r="T729" s="219"/>
      <c r="U729" s="219"/>
      <c r="V729" s="219"/>
      <c r="AB729" s="219"/>
      <c r="AC729" s="219"/>
      <c r="AD729" s="219"/>
      <c r="AE729" s="219"/>
      <c r="AF729" s="219"/>
      <c r="AG729" s="219"/>
      <c r="AH729" s="219"/>
      <c r="AI729" s="219"/>
      <c r="AJ729" s="219"/>
      <c r="AK729" s="219"/>
      <c r="AL729" s="219"/>
    </row>
    <row r="730" spans="12:38">
      <c r="L730" s="219"/>
      <c r="M730" s="219"/>
      <c r="N730" s="219"/>
      <c r="O730" s="219"/>
      <c r="P730" s="219"/>
      <c r="Q730" s="219"/>
      <c r="R730" s="219"/>
      <c r="S730" s="219"/>
      <c r="T730" s="219"/>
      <c r="U730" s="219"/>
      <c r="V730" s="219"/>
      <c r="AB730" s="219"/>
      <c r="AC730" s="219"/>
      <c r="AD730" s="219"/>
      <c r="AE730" s="219"/>
      <c r="AF730" s="219"/>
      <c r="AG730" s="219"/>
      <c r="AH730" s="219"/>
      <c r="AI730" s="219"/>
      <c r="AJ730" s="219"/>
      <c r="AK730" s="219"/>
      <c r="AL730" s="219"/>
    </row>
    <row r="731" spans="12:38">
      <c r="L731" s="219"/>
      <c r="M731" s="219"/>
      <c r="N731" s="219"/>
      <c r="O731" s="219"/>
      <c r="P731" s="219"/>
      <c r="Q731" s="219"/>
      <c r="R731" s="219"/>
      <c r="S731" s="219"/>
      <c r="T731" s="219"/>
      <c r="U731" s="219"/>
      <c r="V731" s="219"/>
      <c r="AB731" s="219"/>
      <c r="AC731" s="219"/>
      <c r="AD731" s="219"/>
      <c r="AE731" s="219"/>
      <c r="AF731" s="219"/>
      <c r="AG731" s="219"/>
      <c r="AH731" s="219"/>
      <c r="AI731" s="219"/>
      <c r="AJ731" s="219"/>
      <c r="AK731" s="219"/>
      <c r="AL731" s="219"/>
    </row>
    <row r="732" spans="12:38">
      <c r="L732" s="219"/>
      <c r="M732" s="219"/>
      <c r="N732" s="219"/>
      <c r="O732" s="219"/>
      <c r="P732" s="219"/>
      <c r="Q732" s="219"/>
      <c r="R732" s="219"/>
      <c r="S732" s="219"/>
      <c r="T732" s="219"/>
      <c r="U732" s="219"/>
      <c r="V732" s="219"/>
      <c r="AB732" s="219"/>
      <c r="AC732" s="219"/>
      <c r="AD732" s="219"/>
      <c r="AE732" s="219"/>
      <c r="AF732" s="219"/>
      <c r="AG732" s="219"/>
      <c r="AH732" s="219"/>
      <c r="AI732" s="219"/>
      <c r="AJ732" s="219"/>
      <c r="AK732" s="219"/>
      <c r="AL732" s="219"/>
    </row>
    <row r="733" spans="12:38">
      <c r="L733" s="219"/>
      <c r="M733" s="219"/>
      <c r="N733" s="219"/>
      <c r="O733" s="219"/>
      <c r="P733" s="219"/>
      <c r="Q733" s="219"/>
      <c r="R733" s="219"/>
      <c r="S733" s="219"/>
      <c r="T733" s="219"/>
      <c r="U733" s="219"/>
      <c r="V733" s="219"/>
      <c r="AB733" s="219"/>
      <c r="AC733" s="219"/>
      <c r="AD733" s="219"/>
      <c r="AE733" s="219"/>
      <c r="AF733" s="219"/>
      <c r="AG733" s="219"/>
      <c r="AH733" s="219"/>
      <c r="AI733" s="219"/>
      <c r="AJ733" s="219"/>
      <c r="AK733" s="219"/>
      <c r="AL733" s="219"/>
    </row>
    <row r="734" spans="12:38">
      <c r="L734" s="219"/>
      <c r="M734" s="219"/>
      <c r="N734" s="219"/>
      <c r="O734" s="219"/>
      <c r="P734" s="219"/>
      <c r="Q734" s="219"/>
      <c r="R734" s="219"/>
      <c r="S734" s="219"/>
      <c r="T734" s="219"/>
      <c r="U734" s="219"/>
      <c r="V734" s="219"/>
      <c r="AB734" s="219"/>
      <c r="AC734" s="219"/>
      <c r="AD734" s="219"/>
      <c r="AE734" s="219"/>
      <c r="AF734" s="219"/>
      <c r="AG734" s="219"/>
      <c r="AH734" s="219"/>
      <c r="AI734" s="219"/>
      <c r="AJ734" s="219"/>
      <c r="AK734" s="219"/>
      <c r="AL734" s="219"/>
    </row>
    <row r="735" spans="12:38">
      <c r="L735" s="219"/>
      <c r="M735" s="219"/>
      <c r="N735" s="219"/>
      <c r="O735" s="219"/>
      <c r="P735" s="219"/>
      <c r="Q735" s="219"/>
      <c r="R735" s="219"/>
      <c r="S735" s="219"/>
      <c r="T735" s="219"/>
      <c r="U735" s="219"/>
      <c r="V735" s="219"/>
      <c r="AB735" s="219"/>
      <c r="AC735" s="219"/>
      <c r="AD735" s="219"/>
      <c r="AE735" s="219"/>
      <c r="AF735" s="219"/>
      <c r="AG735" s="219"/>
      <c r="AH735" s="219"/>
      <c r="AI735" s="219"/>
      <c r="AJ735" s="219"/>
      <c r="AK735" s="219"/>
      <c r="AL735" s="219"/>
    </row>
    <row r="736" spans="12:38">
      <c r="L736" s="219"/>
      <c r="M736" s="219"/>
      <c r="N736" s="219"/>
      <c r="O736" s="219"/>
      <c r="P736" s="219"/>
      <c r="Q736" s="219"/>
      <c r="R736" s="219"/>
      <c r="S736" s="219"/>
      <c r="T736" s="219"/>
      <c r="U736" s="219"/>
      <c r="V736" s="219"/>
      <c r="AB736" s="219"/>
      <c r="AC736" s="219"/>
      <c r="AD736" s="219"/>
      <c r="AE736" s="219"/>
      <c r="AF736" s="219"/>
      <c r="AG736" s="219"/>
      <c r="AH736" s="219"/>
      <c r="AI736" s="219"/>
      <c r="AJ736" s="219"/>
      <c r="AK736" s="219"/>
      <c r="AL736" s="219"/>
    </row>
    <row r="737" spans="12:38">
      <c r="L737" s="219"/>
      <c r="M737" s="219"/>
      <c r="N737" s="219"/>
      <c r="O737" s="219"/>
      <c r="P737" s="219"/>
      <c r="Q737" s="219"/>
      <c r="R737" s="219"/>
      <c r="S737" s="219"/>
      <c r="T737" s="219"/>
      <c r="U737" s="219"/>
      <c r="V737" s="219"/>
      <c r="AB737" s="219"/>
      <c r="AC737" s="219"/>
      <c r="AD737" s="219"/>
      <c r="AE737" s="219"/>
      <c r="AF737" s="219"/>
      <c r="AG737" s="219"/>
      <c r="AH737" s="219"/>
      <c r="AI737" s="219"/>
      <c r="AJ737" s="219"/>
      <c r="AK737" s="219"/>
      <c r="AL737" s="219"/>
    </row>
    <row r="738" spans="12:38">
      <c r="L738" s="219"/>
      <c r="M738" s="219"/>
      <c r="N738" s="219"/>
      <c r="O738" s="219"/>
      <c r="P738" s="219"/>
      <c r="Q738" s="219"/>
      <c r="R738" s="219"/>
      <c r="S738" s="219"/>
      <c r="T738" s="219"/>
      <c r="U738" s="219"/>
      <c r="V738" s="219"/>
      <c r="AB738" s="219"/>
      <c r="AC738" s="219"/>
      <c r="AD738" s="219"/>
      <c r="AE738" s="219"/>
      <c r="AF738" s="219"/>
      <c r="AG738" s="219"/>
      <c r="AH738" s="219"/>
      <c r="AI738" s="219"/>
      <c r="AJ738" s="219"/>
      <c r="AK738" s="219"/>
      <c r="AL738" s="219"/>
    </row>
    <row r="739" spans="12:38">
      <c r="L739" s="219"/>
      <c r="M739" s="219"/>
      <c r="N739" s="219"/>
      <c r="O739" s="219"/>
      <c r="P739" s="219"/>
      <c r="Q739" s="219"/>
      <c r="R739" s="219"/>
      <c r="S739" s="219"/>
      <c r="T739" s="219"/>
      <c r="U739" s="219"/>
      <c r="V739" s="219"/>
      <c r="AB739" s="219"/>
      <c r="AC739" s="219"/>
      <c r="AD739" s="219"/>
      <c r="AE739" s="219"/>
      <c r="AF739" s="219"/>
      <c r="AG739" s="219"/>
      <c r="AH739" s="219"/>
      <c r="AI739" s="219"/>
      <c r="AJ739" s="219"/>
      <c r="AK739" s="219"/>
      <c r="AL739" s="219"/>
    </row>
    <row r="740" spans="12:38">
      <c r="L740" s="219"/>
      <c r="M740" s="219"/>
      <c r="N740" s="219"/>
      <c r="O740" s="219"/>
      <c r="P740" s="219"/>
      <c r="Q740" s="219"/>
      <c r="R740" s="219"/>
      <c r="S740" s="219"/>
      <c r="T740" s="219"/>
      <c r="U740" s="219"/>
      <c r="V740" s="219"/>
      <c r="AB740" s="219"/>
      <c r="AC740" s="219"/>
      <c r="AD740" s="219"/>
      <c r="AE740" s="219"/>
      <c r="AF740" s="219"/>
      <c r="AG740" s="219"/>
      <c r="AH740" s="219"/>
      <c r="AI740" s="219"/>
      <c r="AJ740" s="219"/>
      <c r="AK740" s="219"/>
      <c r="AL740" s="219"/>
    </row>
    <row r="741" spans="12:38">
      <c r="L741" s="219"/>
      <c r="M741" s="219"/>
      <c r="N741" s="219"/>
      <c r="O741" s="219"/>
      <c r="P741" s="219"/>
      <c r="Q741" s="219"/>
      <c r="R741" s="219"/>
      <c r="S741" s="219"/>
      <c r="T741" s="219"/>
      <c r="U741" s="219"/>
      <c r="V741" s="219"/>
      <c r="AB741" s="219"/>
      <c r="AC741" s="219"/>
      <c r="AD741" s="219"/>
      <c r="AE741" s="219"/>
      <c r="AF741" s="219"/>
      <c r="AG741" s="219"/>
      <c r="AH741" s="219"/>
      <c r="AI741" s="219"/>
      <c r="AJ741" s="219"/>
      <c r="AK741" s="219"/>
      <c r="AL741" s="219"/>
    </row>
    <row r="742" spans="12:38">
      <c r="L742" s="219"/>
      <c r="M742" s="219"/>
      <c r="N742" s="219"/>
      <c r="O742" s="219"/>
      <c r="P742" s="219"/>
      <c r="Q742" s="219"/>
      <c r="R742" s="219"/>
      <c r="S742" s="219"/>
      <c r="T742" s="219"/>
      <c r="U742" s="219"/>
      <c r="V742" s="219"/>
      <c r="AB742" s="219"/>
      <c r="AC742" s="219"/>
      <c r="AD742" s="219"/>
      <c r="AE742" s="219"/>
      <c r="AF742" s="219"/>
      <c r="AG742" s="219"/>
      <c r="AH742" s="219"/>
      <c r="AI742" s="219"/>
      <c r="AJ742" s="219"/>
      <c r="AK742" s="219"/>
      <c r="AL742" s="219"/>
    </row>
    <row r="743" spans="12:38">
      <c r="L743" s="219"/>
      <c r="M743" s="219"/>
      <c r="N743" s="219"/>
      <c r="O743" s="219"/>
      <c r="P743" s="219"/>
      <c r="Q743" s="219"/>
      <c r="R743" s="219"/>
      <c r="S743" s="219"/>
      <c r="T743" s="219"/>
      <c r="U743" s="219"/>
      <c r="V743" s="219"/>
      <c r="AB743" s="219"/>
      <c r="AC743" s="219"/>
      <c r="AD743" s="219"/>
      <c r="AE743" s="219"/>
      <c r="AF743" s="219"/>
      <c r="AG743" s="219"/>
      <c r="AH743" s="219"/>
      <c r="AI743" s="219"/>
      <c r="AJ743" s="219"/>
      <c r="AK743" s="219"/>
      <c r="AL743" s="219"/>
    </row>
    <row r="744" spans="12:38">
      <c r="L744" s="219"/>
      <c r="M744" s="219"/>
      <c r="N744" s="219"/>
      <c r="O744" s="219"/>
      <c r="P744" s="219"/>
      <c r="Q744" s="219"/>
      <c r="R744" s="219"/>
      <c r="S744" s="219"/>
      <c r="T744" s="219"/>
      <c r="U744" s="219"/>
      <c r="V744" s="219"/>
      <c r="AB744" s="219"/>
      <c r="AC744" s="219"/>
      <c r="AD744" s="219"/>
      <c r="AE744" s="219"/>
      <c r="AF744" s="219"/>
      <c r="AG744" s="219"/>
      <c r="AH744" s="219"/>
      <c r="AI744" s="219"/>
      <c r="AJ744" s="219"/>
      <c r="AK744" s="219"/>
      <c r="AL744" s="219"/>
    </row>
    <row r="745" spans="12:38">
      <c r="L745" s="219"/>
      <c r="M745" s="219"/>
      <c r="N745" s="219"/>
      <c r="O745" s="219"/>
      <c r="P745" s="219"/>
      <c r="Q745" s="219"/>
      <c r="R745" s="219"/>
      <c r="S745" s="219"/>
      <c r="T745" s="219"/>
      <c r="U745" s="219"/>
      <c r="V745" s="219"/>
      <c r="AB745" s="219"/>
      <c r="AC745" s="219"/>
      <c r="AD745" s="219"/>
      <c r="AE745" s="219"/>
      <c r="AF745" s="219"/>
      <c r="AG745" s="219"/>
      <c r="AH745" s="219"/>
      <c r="AI745" s="219"/>
      <c r="AJ745" s="219"/>
      <c r="AK745" s="219"/>
      <c r="AL745" s="219"/>
    </row>
    <row r="746" spans="12:38">
      <c r="L746" s="219"/>
      <c r="M746" s="219"/>
      <c r="N746" s="219"/>
      <c r="O746" s="219"/>
      <c r="P746" s="219"/>
      <c r="Q746" s="219"/>
      <c r="R746" s="219"/>
      <c r="S746" s="219"/>
      <c r="T746" s="219"/>
      <c r="U746" s="219"/>
      <c r="V746" s="219"/>
      <c r="AB746" s="219"/>
      <c r="AC746" s="219"/>
      <c r="AD746" s="219"/>
      <c r="AE746" s="219"/>
      <c r="AF746" s="219"/>
      <c r="AG746" s="219"/>
      <c r="AH746" s="219"/>
      <c r="AI746" s="219"/>
      <c r="AJ746" s="219"/>
      <c r="AK746" s="219"/>
      <c r="AL746" s="219"/>
    </row>
    <row r="747" spans="12:38">
      <c r="L747" s="219"/>
      <c r="M747" s="219"/>
      <c r="N747" s="219"/>
      <c r="O747" s="219"/>
      <c r="P747" s="219"/>
      <c r="Q747" s="219"/>
      <c r="R747" s="219"/>
      <c r="S747" s="219"/>
      <c r="T747" s="219"/>
      <c r="U747" s="219"/>
      <c r="V747" s="219"/>
      <c r="AB747" s="219"/>
      <c r="AC747" s="219"/>
      <c r="AD747" s="219"/>
      <c r="AE747" s="219"/>
      <c r="AF747" s="219"/>
      <c r="AG747" s="219"/>
      <c r="AH747" s="219"/>
      <c r="AI747" s="219"/>
      <c r="AJ747" s="219"/>
      <c r="AK747" s="219"/>
      <c r="AL747" s="219"/>
    </row>
    <row r="748" spans="12:38">
      <c r="L748" s="219"/>
      <c r="M748" s="219"/>
      <c r="N748" s="219"/>
      <c r="O748" s="219"/>
      <c r="P748" s="219"/>
      <c r="Q748" s="219"/>
      <c r="R748" s="219"/>
      <c r="S748" s="219"/>
      <c r="T748" s="219"/>
      <c r="U748" s="219"/>
      <c r="V748" s="219"/>
      <c r="AB748" s="219"/>
      <c r="AC748" s="219"/>
      <c r="AD748" s="219"/>
      <c r="AE748" s="219"/>
      <c r="AF748" s="219"/>
      <c r="AG748" s="219"/>
      <c r="AH748" s="219"/>
      <c r="AI748" s="219"/>
      <c r="AJ748" s="219"/>
      <c r="AK748" s="219"/>
      <c r="AL748" s="219"/>
    </row>
    <row r="749" spans="12:38">
      <c r="L749" s="219"/>
      <c r="M749" s="219"/>
      <c r="N749" s="219"/>
      <c r="O749" s="219"/>
      <c r="P749" s="219"/>
      <c r="Q749" s="219"/>
      <c r="R749" s="219"/>
      <c r="S749" s="219"/>
      <c r="T749" s="219"/>
      <c r="U749" s="219"/>
      <c r="V749" s="219"/>
      <c r="AB749" s="219"/>
      <c r="AC749" s="219"/>
      <c r="AD749" s="219"/>
      <c r="AE749" s="219"/>
      <c r="AF749" s="219"/>
      <c r="AG749" s="219"/>
      <c r="AH749" s="219"/>
      <c r="AI749" s="219"/>
      <c r="AJ749" s="219"/>
      <c r="AK749" s="219"/>
      <c r="AL749" s="219"/>
    </row>
    <row r="750" spans="12:38">
      <c r="L750" s="219"/>
      <c r="M750" s="219"/>
      <c r="N750" s="219"/>
      <c r="O750" s="219"/>
      <c r="P750" s="219"/>
      <c r="Q750" s="219"/>
      <c r="R750" s="219"/>
      <c r="S750" s="219"/>
      <c r="T750" s="219"/>
      <c r="U750" s="219"/>
      <c r="V750" s="219"/>
      <c r="AB750" s="219"/>
      <c r="AC750" s="219"/>
      <c r="AD750" s="219"/>
      <c r="AE750" s="219"/>
      <c r="AF750" s="219"/>
      <c r="AG750" s="219"/>
      <c r="AH750" s="219"/>
      <c r="AI750" s="219"/>
      <c r="AJ750" s="219"/>
      <c r="AK750" s="219"/>
      <c r="AL750" s="219"/>
    </row>
    <row r="751" spans="12:38">
      <c r="L751" s="219"/>
      <c r="M751" s="219"/>
      <c r="N751" s="219"/>
      <c r="O751" s="219"/>
      <c r="P751" s="219"/>
      <c r="Q751" s="219"/>
      <c r="R751" s="219"/>
      <c r="S751" s="219"/>
      <c r="T751" s="219"/>
      <c r="U751" s="219"/>
      <c r="V751" s="219"/>
      <c r="AB751" s="219"/>
      <c r="AC751" s="219"/>
      <c r="AD751" s="219"/>
      <c r="AE751" s="219"/>
      <c r="AF751" s="219"/>
      <c r="AG751" s="219"/>
      <c r="AH751" s="219"/>
      <c r="AI751" s="219"/>
      <c r="AJ751" s="219"/>
      <c r="AK751" s="219"/>
      <c r="AL751" s="219"/>
    </row>
    <row r="752" spans="12:38">
      <c r="L752" s="219"/>
      <c r="M752" s="219"/>
      <c r="N752" s="219"/>
      <c r="O752" s="219"/>
      <c r="P752" s="219"/>
      <c r="Q752" s="219"/>
      <c r="R752" s="219"/>
      <c r="S752" s="219"/>
      <c r="T752" s="219"/>
      <c r="U752" s="219"/>
      <c r="V752" s="219"/>
      <c r="AB752" s="219"/>
      <c r="AC752" s="219"/>
      <c r="AD752" s="219"/>
      <c r="AE752" s="219"/>
      <c r="AF752" s="219"/>
      <c r="AG752" s="219"/>
      <c r="AH752" s="219"/>
      <c r="AI752" s="219"/>
      <c r="AJ752" s="219"/>
      <c r="AK752" s="219"/>
      <c r="AL752" s="219"/>
    </row>
    <row r="753" spans="12:38">
      <c r="L753" s="219"/>
      <c r="M753" s="219"/>
      <c r="N753" s="219"/>
      <c r="O753" s="219"/>
      <c r="P753" s="219"/>
      <c r="Q753" s="219"/>
      <c r="R753" s="219"/>
      <c r="S753" s="219"/>
      <c r="T753" s="219"/>
      <c r="U753" s="219"/>
      <c r="V753" s="219"/>
      <c r="AB753" s="219"/>
      <c r="AC753" s="219"/>
      <c r="AD753" s="219"/>
      <c r="AE753" s="219"/>
      <c r="AF753" s="219"/>
      <c r="AG753" s="219"/>
      <c r="AH753" s="219"/>
      <c r="AI753" s="219"/>
      <c r="AJ753" s="219"/>
      <c r="AK753" s="219"/>
      <c r="AL753" s="219"/>
    </row>
    <row r="754" spans="12:38">
      <c r="L754" s="219"/>
      <c r="M754" s="219"/>
      <c r="N754" s="219"/>
      <c r="O754" s="219"/>
      <c r="P754" s="219"/>
      <c r="Q754" s="219"/>
      <c r="R754" s="219"/>
      <c r="S754" s="219"/>
      <c r="T754" s="219"/>
      <c r="U754" s="219"/>
      <c r="V754" s="219"/>
      <c r="AB754" s="219"/>
      <c r="AC754" s="219"/>
      <c r="AD754" s="219"/>
      <c r="AE754" s="219"/>
      <c r="AF754" s="219"/>
      <c r="AG754" s="219"/>
      <c r="AH754" s="219"/>
      <c r="AI754" s="219"/>
      <c r="AJ754" s="219"/>
      <c r="AK754" s="219"/>
      <c r="AL754" s="219"/>
    </row>
    <row r="755" spans="12:38">
      <c r="L755" s="219"/>
      <c r="M755" s="219"/>
      <c r="N755" s="219"/>
      <c r="O755" s="219"/>
      <c r="P755" s="219"/>
      <c r="Q755" s="219"/>
      <c r="R755" s="219"/>
      <c r="S755" s="219"/>
      <c r="T755" s="219"/>
      <c r="U755" s="219"/>
      <c r="V755" s="219"/>
      <c r="AB755" s="219"/>
      <c r="AC755" s="219"/>
      <c r="AD755" s="219"/>
      <c r="AE755" s="219"/>
      <c r="AF755" s="219"/>
      <c r="AG755" s="219"/>
      <c r="AH755" s="219"/>
      <c r="AI755" s="219"/>
      <c r="AJ755" s="219"/>
      <c r="AK755" s="219"/>
      <c r="AL755" s="219"/>
    </row>
    <row r="756" spans="12:38">
      <c r="L756" s="219"/>
      <c r="M756" s="219"/>
      <c r="N756" s="219"/>
      <c r="O756" s="219"/>
      <c r="P756" s="219"/>
      <c r="Q756" s="219"/>
      <c r="R756" s="219"/>
      <c r="S756" s="219"/>
      <c r="T756" s="219"/>
      <c r="U756" s="219"/>
      <c r="V756" s="219"/>
      <c r="AB756" s="219"/>
      <c r="AC756" s="219"/>
      <c r="AD756" s="219"/>
      <c r="AE756" s="219"/>
      <c r="AF756" s="219"/>
      <c r="AG756" s="219"/>
      <c r="AH756" s="219"/>
      <c r="AI756" s="219"/>
      <c r="AJ756" s="219"/>
      <c r="AK756" s="219"/>
      <c r="AL756" s="219"/>
    </row>
    <row r="757" spans="12:38">
      <c r="L757" s="219"/>
      <c r="M757" s="219"/>
      <c r="N757" s="219"/>
      <c r="O757" s="219"/>
      <c r="P757" s="219"/>
      <c r="Q757" s="219"/>
      <c r="R757" s="219"/>
      <c r="S757" s="219"/>
      <c r="T757" s="219"/>
      <c r="U757" s="219"/>
      <c r="V757" s="219"/>
      <c r="AB757" s="219"/>
      <c r="AC757" s="219"/>
      <c r="AD757" s="219"/>
      <c r="AE757" s="219"/>
      <c r="AF757" s="219"/>
      <c r="AG757" s="219"/>
      <c r="AH757" s="219"/>
      <c r="AI757" s="219"/>
      <c r="AJ757" s="219"/>
      <c r="AK757" s="219"/>
      <c r="AL757" s="219"/>
    </row>
    <row r="758" spans="12:38">
      <c r="L758" s="219"/>
      <c r="M758" s="219"/>
      <c r="N758" s="219"/>
      <c r="O758" s="219"/>
      <c r="P758" s="219"/>
      <c r="Q758" s="219"/>
      <c r="R758" s="219"/>
      <c r="S758" s="219"/>
      <c r="T758" s="219"/>
      <c r="U758" s="219"/>
      <c r="V758" s="219"/>
      <c r="AB758" s="219"/>
      <c r="AC758" s="219"/>
      <c r="AD758" s="219"/>
      <c r="AE758" s="219"/>
      <c r="AF758" s="219"/>
      <c r="AG758" s="219"/>
      <c r="AH758" s="219"/>
      <c r="AI758" s="219"/>
      <c r="AJ758" s="219"/>
      <c r="AK758" s="219"/>
      <c r="AL758" s="219"/>
    </row>
    <row r="759" spans="12:38">
      <c r="L759" s="219"/>
      <c r="M759" s="219"/>
      <c r="N759" s="219"/>
      <c r="O759" s="219"/>
      <c r="P759" s="219"/>
      <c r="Q759" s="219"/>
      <c r="R759" s="219"/>
      <c r="S759" s="219"/>
      <c r="T759" s="219"/>
      <c r="U759" s="219"/>
      <c r="V759" s="219"/>
      <c r="AB759" s="219"/>
      <c r="AC759" s="219"/>
      <c r="AD759" s="219"/>
      <c r="AE759" s="219"/>
      <c r="AF759" s="219"/>
      <c r="AG759" s="219"/>
      <c r="AH759" s="219"/>
      <c r="AI759" s="219"/>
      <c r="AJ759" s="219"/>
      <c r="AK759" s="219"/>
      <c r="AL759" s="219"/>
    </row>
    <row r="760" spans="12:38">
      <c r="L760" s="219"/>
      <c r="M760" s="219"/>
      <c r="N760" s="219"/>
      <c r="O760" s="219"/>
      <c r="P760" s="219"/>
      <c r="Q760" s="219"/>
      <c r="R760" s="219"/>
      <c r="S760" s="219"/>
      <c r="T760" s="219"/>
      <c r="U760" s="219"/>
      <c r="V760" s="219"/>
      <c r="AB760" s="219"/>
      <c r="AC760" s="219"/>
      <c r="AD760" s="219"/>
      <c r="AE760" s="219"/>
      <c r="AF760" s="219"/>
      <c r="AG760" s="219"/>
      <c r="AH760" s="219"/>
      <c r="AI760" s="219"/>
      <c r="AJ760" s="219"/>
      <c r="AK760" s="219"/>
      <c r="AL760" s="219"/>
    </row>
    <row r="761" spans="12:38">
      <c r="L761" s="219"/>
      <c r="M761" s="219"/>
      <c r="N761" s="219"/>
      <c r="O761" s="219"/>
      <c r="P761" s="219"/>
      <c r="Q761" s="219"/>
      <c r="R761" s="219"/>
      <c r="S761" s="219"/>
      <c r="T761" s="219"/>
      <c r="U761" s="219"/>
      <c r="V761" s="219"/>
      <c r="AB761" s="219"/>
      <c r="AC761" s="219"/>
      <c r="AD761" s="219"/>
      <c r="AE761" s="219"/>
      <c r="AF761" s="219"/>
      <c r="AG761" s="219"/>
      <c r="AH761" s="219"/>
      <c r="AI761" s="219"/>
      <c r="AJ761" s="219"/>
      <c r="AK761" s="219"/>
      <c r="AL761" s="219"/>
    </row>
    <row r="762" spans="12:38">
      <c r="L762" s="219"/>
      <c r="M762" s="219"/>
      <c r="N762" s="219"/>
      <c r="O762" s="219"/>
      <c r="P762" s="219"/>
      <c r="Q762" s="219"/>
      <c r="R762" s="219"/>
      <c r="S762" s="219"/>
      <c r="T762" s="219"/>
      <c r="U762" s="219"/>
      <c r="V762" s="219"/>
      <c r="AB762" s="219"/>
      <c r="AC762" s="219"/>
      <c r="AD762" s="219"/>
      <c r="AE762" s="219"/>
      <c r="AF762" s="219"/>
      <c r="AG762" s="219"/>
      <c r="AH762" s="219"/>
      <c r="AI762" s="219"/>
      <c r="AJ762" s="219"/>
      <c r="AK762" s="219"/>
      <c r="AL762" s="219"/>
    </row>
    <row r="763" spans="12:38">
      <c r="L763" s="219"/>
      <c r="M763" s="219"/>
      <c r="N763" s="219"/>
      <c r="O763" s="219"/>
      <c r="P763" s="219"/>
      <c r="Q763" s="219"/>
      <c r="R763" s="219"/>
      <c r="S763" s="219"/>
      <c r="T763" s="219"/>
      <c r="U763" s="219"/>
      <c r="V763" s="219"/>
      <c r="AB763" s="219"/>
      <c r="AC763" s="219"/>
      <c r="AD763" s="219"/>
      <c r="AE763" s="219"/>
      <c r="AF763" s="219"/>
      <c r="AG763" s="219"/>
      <c r="AH763" s="219"/>
      <c r="AI763" s="219"/>
      <c r="AJ763" s="219"/>
      <c r="AK763" s="219"/>
      <c r="AL763" s="219"/>
    </row>
    <row r="764" spans="12:38">
      <c r="L764" s="219"/>
      <c r="M764" s="219"/>
      <c r="N764" s="219"/>
      <c r="O764" s="219"/>
      <c r="P764" s="219"/>
      <c r="Q764" s="219"/>
      <c r="R764" s="219"/>
      <c r="S764" s="219"/>
      <c r="T764" s="219"/>
      <c r="U764" s="219"/>
      <c r="V764" s="219"/>
      <c r="AB764" s="219"/>
      <c r="AC764" s="219"/>
      <c r="AD764" s="219"/>
      <c r="AE764" s="219"/>
      <c r="AF764" s="219"/>
      <c r="AG764" s="219"/>
      <c r="AH764" s="219"/>
      <c r="AI764" s="219"/>
      <c r="AJ764" s="219"/>
      <c r="AK764" s="219"/>
      <c r="AL764" s="219"/>
    </row>
    <row r="765" spans="12:38">
      <c r="L765" s="219"/>
      <c r="M765" s="219"/>
      <c r="N765" s="219"/>
      <c r="O765" s="219"/>
      <c r="P765" s="219"/>
      <c r="Q765" s="219"/>
      <c r="R765" s="219"/>
      <c r="S765" s="219"/>
      <c r="T765" s="219"/>
      <c r="U765" s="219"/>
      <c r="V765" s="219"/>
      <c r="AB765" s="219"/>
      <c r="AC765" s="219"/>
      <c r="AD765" s="219"/>
      <c r="AE765" s="219"/>
      <c r="AF765" s="219"/>
      <c r="AG765" s="219"/>
      <c r="AH765" s="219"/>
      <c r="AI765" s="219"/>
      <c r="AJ765" s="219"/>
      <c r="AK765" s="219"/>
      <c r="AL765" s="219"/>
    </row>
    <row r="766" spans="12:38">
      <c r="L766" s="219"/>
      <c r="M766" s="219"/>
      <c r="N766" s="219"/>
      <c r="O766" s="219"/>
      <c r="P766" s="219"/>
      <c r="Q766" s="219"/>
      <c r="R766" s="219"/>
      <c r="S766" s="219"/>
      <c r="T766" s="219"/>
      <c r="U766" s="219"/>
      <c r="V766" s="219"/>
      <c r="AB766" s="219"/>
      <c r="AC766" s="219"/>
      <c r="AD766" s="219"/>
      <c r="AE766" s="219"/>
      <c r="AF766" s="219"/>
      <c r="AG766" s="219"/>
      <c r="AH766" s="219"/>
      <c r="AI766" s="219"/>
      <c r="AJ766" s="219"/>
      <c r="AK766" s="219"/>
      <c r="AL766" s="219"/>
    </row>
    <row r="767" spans="12:38">
      <c r="L767" s="219"/>
      <c r="M767" s="219"/>
      <c r="N767" s="219"/>
      <c r="O767" s="219"/>
      <c r="P767" s="219"/>
      <c r="Q767" s="219"/>
      <c r="R767" s="219"/>
      <c r="S767" s="219"/>
      <c r="T767" s="219"/>
      <c r="U767" s="219"/>
      <c r="V767" s="219"/>
      <c r="AB767" s="219"/>
      <c r="AC767" s="219"/>
      <c r="AD767" s="219"/>
      <c r="AE767" s="219"/>
      <c r="AF767" s="219"/>
      <c r="AG767" s="219"/>
      <c r="AH767" s="219"/>
      <c r="AI767" s="219"/>
      <c r="AJ767" s="219"/>
      <c r="AK767" s="219"/>
      <c r="AL767" s="219"/>
    </row>
    <row r="768" spans="12:38">
      <c r="L768" s="219"/>
      <c r="M768" s="219"/>
      <c r="N768" s="219"/>
      <c r="O768" s="219"/>
      <c r="P768" s="219"/>
      <c r="Q768" s="219"/>
      <c r="R768" s="219"/>
      <c r="S768" s="219"/>
      <c r="T768" s="219"/>
      <c r="U768" s="219"/>
      <c r="V768" s="219"/>
      <c r="AB768" s="219"/>
      <c r="AC768" s="219"/>
      <c r="AD768" s="219"/>
      <c r="AE768" s="219"/>
      <c r="AF768" s="219"/>
      <c r="AG768" s="219"/>
      <c r="AH768" s="219"/>
      <c r="AI768" s="219"/>
      <c r="AJ768" s="219"/>
      <c r="AK768" s="219"/>
      <c r="AL768" s="219"/>
    </row>
    <row r="769" spans="12:38">
      <c r="L769" s="219"/>
      <c r="M769" s="219"/>
      <c r="N769" s="219"/>
      <c r="O769" s="219"/>
      <c r="P769" s="219"/>
      <c r="Q769" s="219"/>
      <c r="R769" s="219"/>
      <c r="S769" s="219"/>
      <c r="T769" s="219"/>
      <c r="U769" s="219"/>
      <c r="V769" s="219"/>
      <c r="AB769" s="219"/>
      <c r="AC769" s="219"/>
      <c r="AD769" s="219"/>
      <c r="AE769" s="219"/>
      <c r="AF769" s="219"/>
      <c r="AG769" s="219"/>
      <c r="AH769" s="219"/>
      <c r="AI769" s="219"/>
      <c r="AJ769" s="219"/>
      <c r="AK769" s="219"/>
      <c r="AL769" s="219"/>
    </row>
    <row r="770" spans="12:38">
      <c r="L770" s="219"/>
      <c r="M770" s="219"/>
      <c r="N770" s="219"/>
      <c r="O770" s="219"/>
      <c r="P770" s="219"/>
      <c r="Q770" s="219"/>
      <c r="R770" s="219"/>
      <c r="S770" s="219"/>
      <c r="T770" s="219"/>
      <c r="U770" s="219"/>
      <c r="V770" s="219"/>
      <c r="AB770" s="219"/>
      <c r="AC770" s="219"/>
      <c r="AD770" s="219"/>
      <c r="AE770" s="219"/>
      <c r="AF770" s="219"/>
      <c r="AG770" s="219"/>
      <c r="AH770" s="219"/>
      <c r="AI770" s="219"/>
      <c r="AJ770" s="219"/>
      <c r="AK770" s="219"/>
      <c r="AL770" s="219"/>
    </row>
    <row r="771" spans="12:38">
      <c r="L771" s="219"/>
      <c r="M771" s="219"/>
      <c r="N771" s="219"/>
      <c r="O771" s="219"/>
      <c r="P771" s="219"/>
      <c r="Q771" s="219"/>
      <c r="R771" s="219"/>
      <c r="S771" s="219"/>
      <c r="T771" s="219"/>
      <c r="U771" s="219"/>
      <c r="V771" s="219"/>
      <c r="AB771" s="219"/>
      <c r="AC771" s="219"/>
      <c r="AD771" s="219"/>
      <c r="AE771" s="219"/>
      <c r="AF771" s="219"/>
      <c r="AG771" s="219"/>
      <c r="AH771" s="219"/>
      <c r="AI771" s="219"/>
      <c r="AJ771" s="219"/>
      <c r="AK771" s="219"/>
      <c r="AL771" s="219"/>
    </row>
    <row r="772" spans="12:38">
      <c r="L772" s="219"/>
      <c r="M772" s="219"/>
      <c r="N772" s="219"/>
      <c r="O772" s="219"/>
      <c r="P772" s="219"/>
      <c r="Q772" s="219"/>
      <c r="R772" s="219"/>
      <c r="S772" s="219"/>
      <c r="T772" s="219"/>
      <c r="U772" s="219"/>
      <c r="V772" s="219"/>
      <c r="AB772" s="219"/>
      <c r="AC772" s="219"/>
      <c r="AD772" s="219"/>
      <c r="AE772" s="219"/>
      <c r="AF772" s="219"/>
      <c r="AG772" s="219"/>
      <c r="AH772" s="219"/>
      <c r="AI772" s="219"/>
      <c r="AJ772" s="219"/>
      <c r="AK772" s="219"/>
      <c r="AL772" s="219"/>
    </row>
    <row r="773" spans="12:38">
      <c r="L773" s="219"/>
      <c r="M773" s="219"/>
      <c r="N773" s="219"/>
      <c r="O773" s="219"/>
      <c r="P773" s="219"/>
      <c r="Q773" s="219"/>
      <c r="R773" s="219"/>
      <c r="S773" s="219"/>
      <c r="T773" s="219"/>
      <c r="U773" s="219"/>
      <c r="V773" s="219"/>
      <c r="AB773" s="219"/>
      <c r="AC773" s="219"/>
      <c r="AD773" s="219"/>
      <c r="AE773" s="219"/>
      <c r="AF773" s="219"/>
      <c r="AG773" s="219"/>
      <c r="AH773" s="219"/>
      <c r="AI773" s="219"/>
      <c r="AJ773" s="219"/>
      <c r="AK773" s="219"/>
      <c r="AL773" s="219"/>
    </row>
    <row r="774" spans="12:38">
      <c r="L774" s="219"/>
      <c r="M774" s="219"/>
      <c r="N774" s="219"/>
      <c r="O774" s="219"/>
      <c r="P774" s="219"/>
      <c r="Q774" s="219"/>
      <c r="R774" s="219"/>
      <c r="S774" s="219"/>
      <c r="T774" s="219"/>
      <c r="U774" s="219"/>
      <c r="V774" s="219"/>
      <c r="AB774" s="219"/>
      <c r="AC774" s="219"/>
      <c r="AD774" s="219"/>
      <c r="AE774" s="219"/>
      <c r="AF774" s="219"/>
      <c r="AG774" s="219"/>
      <c r="AH774" s="219"/>
      <c r="AI774" s="219"/>
      <c r="AJ774" s="219"/>
      <c r="AK774" s="219"/>
      <c r="AL774" s="219"/>
    </row>
    <row r="775" spans="12:38">
      <c r="L775" s="219"/>
      <c r="M775" s="219"/>
      <c r="N775" s="219"/>
      <c r="O775" s="219"/>
      <c r="P775" s="219"/>
      <c r="Q775" s="219"/>
      <c r="R775" s="219"/>
      <c r="S775" s="219"/>
      <c r="T775" s="219"/>
      <c r="U775" s="219"/>
      <c r="V775" s="219"/>
      <c r="AB775" s="219"/>
      <c r="AC775" s="219"/>
      <c r="AD775" s="219"/>
      <c r="AE775" s="219"/>
      <c r="AF775" s="219"/>
      <c r="AG775" s="219"/>
      <c r="AH775" s="219"/>
      <c r="AI775" s="219"/>
      <c r="AJ775" s="219"/>
      <c r="AK775" s="219"/>
      <c r="AL775" s="219"/>
    </row>
    <row r="776" spans="12:38">
      <c r="L776" s="219"/>
      <c r="M776" s="219"/>
      <c r="N776" s="219"/>
      <c r="O776" s="219"/>
      <c r="P776" s="219"/>
      <c r="Q776" s="219"/>
      <c r="R776" s="219"/>
      <c r="S776" s="219"/>
      <c r="T776" s="219"/>
      <c r="U776" s="219"/>
      <c r="V776" s="219"/>
      <c r="AB776" s="219"/>
      <c r="AC776" s="219"/>
      <c r="AD776" s="219"/>
      <c r="AE776" s="219"/>
      <c r="AF776" s="219"/>
      <c r="AG776" s="219"/>
      <c r="AH776" s="219"/>
      <c r="AI776" s="219"/>
      <c r="AJ776" s="219"/>
      <c r="AK776" s="219"/>
      <c r="AL776" s="219"/>
    </row>
    <row r="777" spans="12:38">
      <c r="L777" s="219"/>
      <c r="M777" s="219"/>
      <c r="N777" s="219"/>
      <c r="O777" s="219"/>
      <c r="P777" s="219"/>
      <c r="Q777" s="219"/>
      <c r="R777" s="219"/>
      <c r="S777" s="219"/>
      <c r="T777" s="219"/>
      <c r="U777" s="219"/>
      <c r="V777" s="219"/>
      <c r="AB777" s="219"/>
      <c r="AC777" s="219"/>
      <c r="AD777" s="219"/>
      <c r="AE777" s="219"/>
      <c r="AF777" s="219"/>
      <c r="AG777" s="219"/>
      <c r="AH777" s="219"/>
      <c r="AI777" s="219"/>
      <c r="AJ777" s="219"/>
      <c r="AK777" s="219"/>
      <c r="AL777" s="219"/>
    </row>
    <row r="778" spans="12:38">
      <c r="L778" s="219"/>
      <c r="M778" s="219"/>
      <c r="N778" s="219"/>
      <c r="O778" s="219"/>
      <c r="P778" s="219"/>
      <c r="Q778" s="219"/>
      <c r="R778" s="219"/>
      <c r="S778" s="219"/>
      <c r="T778" s="219"/>
      <c r="U778" s="219"/>
      <c r="V778" s="219"/>
      <c r="AB778" s="219"/>
      <c r="AC778" s="219"/>
      <c r="AD778" s="219"/>
      <c r="AE778" s="219"/>
      <c r="AF778" s="219"/>
      <c r="AG778" s="219"/>
      <c r="AH778" s="219"/>
      <c r="AI778" s="219"/>
      <c r="AJ778" s="219"/>
      <c r="AK778" s="219"/>
      <c r="AL778" s="219"/>
    </row>
    <row r="779" spans="12:38">
      <c r="L779" s="219"/>
      <c r="M779" s="219"/>
      <c r="N779" s="219"/>
      <c r="O779" s="219"/>
      <c r="P779" s="219"/>
      <c r="Q779" s="219"/>
      <c r="R779" s="219"/>
      <c r="S779" s="219"/>
      <c r="T779" s="219"/>
      <c r="U779" s="219"/>
      <c r="V779" s="219"/>
      <c r="AB779" s="219"/>
      <c r="AC779" s="219"/>
      <c r="AD779" s="219"/>
      <c r="AE779" s="219"/>
      <c r="AF779" s="219"/>
      <c r="AG779" s="219"/>
      <c r="AH779" s="219"/>
      <c r="AI779" s="219"/>
      <c r="AJ779" s="219"/>
      <c r="AK779" s="219"/>
      <c r="AL779" s="219"/>
    </row>
    <row r="780" spans="12:38">
      <c r="L780" s="219"/>
      <c r="M780" s="219"/>
      <c r="N780" s="219"/>
      <c r="O780" s="219"/>
      <c r="P780" s="219"/>
      <c r="Q780" s="219"/>
      <c r="R780" s="219"/>
      <c r="S780" s="219"/>
      <c r="T780" s="219"/>
      <c r="U780" s="219"/>
      <c r="V780" s="219"/>
      <c r="AB780" s="219"/>
      <c r="AC780" s="219"/>
      <c r="AD780" s="219"/>
      <c r="AE780" s="219"/>
      <c r="AF780" s="219"/>
      <c r="AG780" s="219"/>
      <c r="AH780" s="219"/>
      <c r="AI780" s="219"/>
      <c r="AJ780" s="219"/>
      <c r="AK780" s="219"/>
      <c r="AL780" s="219"/>
    </row>
    <row r="781" spans="12:38">
      <c r="L781" s="219"/>
      <c r="M781" s="219"/>
      <c r="N781" s="219"/>
      <c r="O781" s="219"/>
      <c r="P781" s="219"/>
      <c r="Q781" s="219"/>
      <c r="R781" s="219"/>
      <c r="S781" s="219"/>
      <c r="T781" s="219"/>
      <c r="U781" s="219"/>
      <c r="V781" s="219"/>
      <c r="AB781" s="219"/>
      <c r="AC781" s="219"/>
      <c r="AD781" s="219"/>
      <c r="AE781" s="219"/>
      <c r="AF781" s="219"/>
      <c r="AG781" s="219"/>
      <c r="AH781" s="219"/>
      <c r="AI781" s="219"/>
      <c r="AJ781" s="219"/>
      <c r="AK781" s="219"/>
      <c r="AL781" s="219"/>
    </row>
    <row r="782" spans="12:38">
      <c r="L782" s="219"/>
      <c r="M782" s="219"/>
      <c r="N782" s="219"/>
      <c r="O782" s="219"/>
      <c r="P782" s="219"/>
      <c r="Q782" s="219"/>
      <c r="R782" s="219"/>
      <c r="S782" s="219"/>
      <c r="T782" s="219"/>
      <c r="U782" s="219"/>
      <c r="V782" s="219"/>
      <c r="AB782" s="219"/>
      <c r="AC782" s="219"/>
      <c r="AD782" s="219"/>
      <c r="AE782" s="219"/>
      <c r="AF782" s="219"/>
      <c r="AG782" s="219"/>
      <c r="AH782" s="219"/>
      <c r="AI782" s="219"/>
      <c r="AJ782" s="219"/>
      <c r="AK782" s="219"/>
      <c r="AL782" s="219"/>
    </row>
    <row r="783" spans="12:38">
      <c r="L783" s="219"/>
      <c r="M783" s="219"/>
      <c r="N783" s="219"/>
      <c r="O783" s="219"/>
      <c r="P783" s="219"/>
      <c r="Q783" s="219"/>
      <c r="R783" s="219"/>
      <c r="S783" s="219"/>
      <c r="T783" s="219"/>
      <c r="U783" s="219"/>
      <c r="V783" s="219"/>
      <c r="AB783" s="219"/>
      <c r="AC783" s="219"/>
      <c r="AD783" s="219"/>
      <c r="AE783" s="219"/>
      <c r="AF783" s="219"/>
      <c r="AG783" s="219"/>
      <c r="AH783" s="219"/>
      <c r="AI783" s="219"/>
      <c r="AJ783" s="219"/>
      <c r="AK783" s="219"/>
      <c r="AL783" s="219"/>
    </row>
    <row r="784" spans="12:38">
      <c r="L784" s="219"/>
      <c r="M784" s="219"/>
      <c r="N784" s="219"/>
      <c r="O784" s="219"/>
      <c r="P784" s="219"/>
      <c r="Q784" s="219"/>
      <c r="R784" s="219"/>
      <c r="S784" s="219"/>
      <c r="T784" s="219"/>
      <c r="U784" s="219"/>
      <c r="V784" s="219"/>
      <c r="AB784" s="219"/>
      <c r="AC784" s="219"/>
      <c r="AD784" s="219"/>
      <c r="AE784" s="219"/>
      <c r="AF784" s="219"/>
      <c r="AG784" s="219"/>
      <c r="AH784" s="219"/>
      <c r="AI784" s="219"/>
      <c r="AJ784" s="219"/>
      <c r="AK784" s="219"/>
      <c r="AL784" s="219"/>
    </row>
    <row r="785" spans="12:38">
      <c r="L785" s="219"/>
      <c r="M785" s="219"/>
      <c r="N785" s="219"/>
      <c r="O785" s="219"/>
      <c r="P785" s="219"/>
      <c r="Q785" s="219"/>
      <c r="R785" s="219"/>
      <c r="S785" s="219"/>
      <c r="T785" s="219"/>
      <c r="U785" s="219"/>
      <c r="V785" s="219"/>
      <c r="AB785" s="219"/>
      <c r="AC785" s="219"/>
      <c r="AD785" s="219"/>
      <c r="AE785" s="219"/>
      <c r="AF785" s="219"/>
      <c r="AG785" s="219"/>
      <c r="AH785" s="219"/>
      <c r="AI785" s="219"/>
      <c r="AJ785" s="219"/>
      <c r="AK785" s="219"/>
      <c r="AL785" s="219"/>
    </row>
    <row r="786" spans="12:38">
      <c r="L786" s="219"/>
      <c r="M786" s="219"/>
      <c r="N786" s="219"/>
      <c r="O786" s="219"/>
      <c r="P786" s="219"/>
      <c r="Q786" s="219"/>
      <c r="R786" s="219"/>
      <c r="S786" s="219"/>
      <c r="T786" s="219"/>
      <c r="U786" s="219"/>
      <c r="V786" s="219"/>
      <c r="AB786" s="219"/>
      <c r="AC786" s="219"/>
      <c r="AD786" s="219"/>
      <c r="AE786" s="219"/>
      <c r="AF786" s="219"/>
      <c r="AG786" s="219"/>
      <c r="AH786" s="219"/>
      <c r="AI786" s="219"/>
      <c r="AJ786" s="219"/>
      <c r="AK786" s="219"/>
      <c r="AL786" s="219"/>
    </row>
    <row r="787" spans="12:38">
      <c r="L787" s="219"/>
      <c r="M787" s="219"/>
      <c r="N787" s="219"/>
      <c r="O787" s="219"/>
      <c r="P787" s="219"/>
      <c r="Q787" s="219"/>
      <c r="R787" s="219"/>
      <c r="S787" s="219"/>
      <c r="T787" s="219"/>
      <c r="U787" s="219"/>
      <c r="V787" s="219"/>
      <c r="AB787" s="219"/>
      <c r="AC787" s="219"/>
      <c r="AD787" s="219"/>
      <c r="AE787" s="219"/>
      <c r="AF787" s="219"/>
      <c r="AG787" s="219"/>
      <c r="AH787" s="219"/>
      <c r="AI787" s="219"/>
      <c r="AJ787" s="219"/>
      <c r="AK787" s="219"/>
      <c r="AL787" s="219"/>
    </row>
    <row r="788" spans="12:38">
      <c r="L788" s="219"/>
      <c r="M788" s="219"/>
      <c r="N788" s="219"/>
      <c r="O788" s="219"/>
      <c r="P788" s="219"/>
      <c r="Q788" s="219"/>
      <c r="R788" s="219"/>
      <c r="S788" s="219"/>
      <c r="T788" s="219"/>
      <c r="U788" s="219"/>
      <c r="V788" s="219"/>
      <c r="AB788" s="219"/>
      <c r="AC788" s="219"/>
      <c r="AD788" s="219"/>
      <c r="AE788" s="219"/>
      <c r="AF788" s="219"/>
      <c r="AG788" s="219"/>
      <c r="AH788" s="219"/>
      <c r="AI788" s="219"/>
      <c r="AJ788" s="219"/>
      <c r="AK788" s="219"/>
      <c r="AL788" s="219"/>
    </row>
    <row r="789" spans="12:38">
      <c r="L789" s="219"/>
      <c r="M789" s="219"/>
      <c r="N789" s="219"/>
      <c r="O789" s="219"/>
      <c r="P789" s="219"/>
      <c r="Q789" s="219"/>
      <c r="R789" s="219"/>
      <c r="S789" s="219"/>
      <c r="T789" s="219"/>
      <c r="U789" s="219"/>
      <c r="V789" s="219"/>
      <c r="AB789" s="219"/>
      <c r="AC789" s="219"/>
      <c r="AD789" s="219"/>
      <c r="AE789" s="219"/>
      <c r="AF789" s="219"/>
      <c r="AG789" s="219"/>
      <c r="AH789" s="219"/>
      <c r="AI789" s="219"/>
      <c r="AJ789" s="219"/>
      <c r="AK789" s="219"/>
      <c r="AL789" s="219"/>
    </row>
    <row r="790" spans="12:38">
      <c r="L790" s="219"/>
      <c r="M790" s="219"/>
      <c r="N790" s="219"/>
      <c r="O790" s="219"/>
      <c r="P790" s="219"/>
      <c r="Q790" s="219"/>
      <c r="R790" s="219"/>
      <c r="S790" s="219"/>
      <c r="T790" s="219"/>
      <c r="U790" s="219"/>
      <c r="V790" s="219"/>
      <c r="AB790" s="219"/>
      <c r="AC790" s="219"/>
      <c r="AD790" s="219"/>
      <c r="AE790" s="219"/>
      <c r="AF790" s="219"/>
      <c r="AG790" s="219"/>
      <c r="AH790" s="219"/>
      <c r="AI790" s="219"/>
      <c r="AJ790" s="219"/>
      <c r="AK790" s="219"/>
      <c r="AL790" s="219"/>
    </row>
    <row r="791" spans="12:38">
      <c r="L791" s="219"/>
      <c r="M791" s="219"/>
      <c r="N791" s="219"/>
      <c r="O791" s="219"/>
      <c r="P791" s="219"/>
      <c r="Q791" s="219"/>
      <c r="R791" s="219"/>
      <c r="S791" s="219"/>
      <c r="T791" s="219"/>
      <c r="U791" s="219"/>
      <c r="V791" s="219"/>
      <c r="AB791" s="219"/>
      <c r="AC791" s="219"/>
      <c r="AD791" s="219"/>
      <c r="AE791" s="219"/>
      <c r="AF791" s="219"/>
      <c r="AG791" s="219"/>
      <c r="AH791" s="219"/>
      <c r="AI791" s="219"/>
      <c r="AJ791" s="219"/>
      <c r="AK791" s="219"/>
      <c r="AL791" s="219"/>
    </row>
    <row r="792" spans="12:38">
      <c r="L792" s="219"/>
      <c r="M792" s="219"/>
      <c r="N792" s="219"/>
      <c r="O792" s="219"/>
      <c r="P792" s="219"/>
      <c r="Q792" s="219"/>
      <c r="R792" s="219"/>
      <c r="S792" s="219"/>
      <c r="T792" s="219"/>
      <c r="U792" s="219"/>
      <c r="V792" s="219"/>
      <c r="AB792" s="219"/>
      <c r="AC792" s="219"/>
      <c r="AD792" s="219"/>
      <c r="AE792" s="219"/>
      <c r="AF792" s="219"/>
      <c r="AG792" s="219"/>
      <c r="AH792" s="219"/>
      <c r="AI792" s="219"/>
      <c r="AJ792" s="219"/>
      <c r="AK792" s="219"/>
      <c r="AL792" s="219"/>
    </row>
    <row r="793" spans="12:38">
      <c r="L793" s="219"/>
      <c r="M793" s="219"/>
      <c r="N793" s="219"/>
      <c r="O793" s="219"/>
      <c r="P793" s="219"/>
      <c r="Q793" s="219"/>
      <c r="R793" s="219"/>
      <c r="S793" s="219"/>
      <c r="T793" s="219"/>
      <c r="U793" s="219"/>
      <c r="V793" s="219"/>
      <c r="AB793" s="219"/>
      <c r="AC793" s="219"/>
      <c r="AD793" s="219"/>
      <c r="AE793" s="219"/>
      <c r="AF793" s="219"/>
      <c r="AG793" s="219"/>
      <c r="AH793" s="219"/>
      <c r="AI793" s="219"/>
      <c r="AJ793" s="219"/>
      <c r="AK793" s="219"/>
      <c r="AL793" s="219"/>
    </row>
    <row r="794" spans="12:38">
      <c r="L794" s="219"/>
      <c r="M794" s="219"/>
      <c r="N794" s="219"/>
      <c r="O794" s="219"/>
      <c r="P794" s="219"/>
      <c r="Q794" s="219"/>
      <c r="R794" s="219"/>
      <c r="S794" s="219"/>
      <c r="T794" s="219"/>
      <c r="U794" s="219"/>
      <c r="V794" s="219"/>
      <c r="AB794" s="219"/>
      <c r="AC794" s="219"/>
      <c r="AD794" s="219"/>
      <c r="AE794" s="219"/>
      <c r="AF794" s="219"/>
      <c r="AG794" s="219"/>
      <c r="AH794" s="219"/>
      <c r="AI794" s="219"/>
      <c r="AJ794" s="219"/>
      <c r="AK794" s="219"/>
      <c r="AL794" s="219"/>
    </row>
    <row r="795" spans="12:38">
      <c r="L795" s="219"/>
      <c r="M795" s="219"/>
      <c r="N795" s="219"/>
      <c r="O795" s="219"/>
      <c r="P795" s="219"/>
      <c r="Q795" s="219"/>
      <c r="R795" s="219"/>
      <c r="S795" s="219"/>
      <c r="T795" s="219"/>
      <c r="U795" s="219"/>
      <c r="V795" s="219"/>
      <c r="AB795" s="219"/>
      <c r="AC795" s="219"/>
      <c r="AD795" s="219"/>
      <c r="AE795" s="219"/>
      <c r="AF795" s="219"/>
      <c r="AG795" s="219"/>
      <c r="AH795" s="219"/>
      <c r="AI795" s="219"/>
      <c r="AJ795" s="219"/>
      <c r="AK795" s="219"/>
      <c r="AL795" s="219"/>
    </row>
    <row r="796" spans="12:38">
      <c r="L796" s="219"/>
      <c r="M796" s="219"/>
      <c r="N796" s="219"/>
      <c r="O796" s="219"/>
      <c r="P796" s="219"/>
      <c r="Q796" s="219"/>
      <c r="R796" s="219"/>
      <c r="S796" s="219"/>
      <c r="T796" s="219"/>
      <c r="U796" s="219"/>
      <c r="V796" s="219"/>
      <c r="AB796" s="219"/>
      <c r="AC796" s="219"/>
      <c r="AD796" s="219"/>
      <c r="AE796" s="219"/>
      <c r="AF796" s="219"/>
      <c r="AG796" s="219"/>
      <c r="AH796" s="219"/>
      <c r="AI796" s="219"/>
      <c r="AJ796" s="219"/>
      <c r="AK796" s="219"/>
      <c r="AL796" s="219"/>
    </row>
    <row r="797" spans="12:38">
      <c r="L797" s="219"/>
      <c r="M797" s="219"/>
      <c r="N797" s="219"/>
      <c r="O797" s="219"/>
      <c r="P797" s="219"/>
      <c r="Q797" s="219"/>
      <c r="R797" s="219"/>
      <c r="S797" s="219"/>
      <c r="T797" s="219"/>
      <c r="U797" s="219"/>
      <c r="V797" s="219"/>
      <c r="AB797" s="219"/>
      <c r="AC797" s="219"/>
      <c r="AD797" s="219"/>
      <c r="AE797" s="219"/>
      <c r="AF797" s="219"/>
      <c r="AG797" s="219"/>
      <c r="AH797" s="219"/>
      <c r="AI797" s="219"/>
      <c r="AJ797" s="219"/>
      <c r="AK797" s="219"/>
      <c r="AL797" s="219"/>
    </row>
    <row r="798" spans="12:38">
      <c r="L798" s="219"/>
      <c r="M798" s="219"/>
      <c r="N798" s="219"/>
      <c r="O798" s="219"/>
      <c r="P798" s="219"/>
      <c r="Q798" s="219"/>
      <c r="R798" s="219"/>
      <c r="S798" s="219"/>
      <c r="T798" s="219"/>
      <c r="U798" s="219"/>
      <c r="V798" s="219"/>
      <c r="AB798" s="219"/>
      <c r="AC798" s="219"/>
      <c r="AD798" s="219"/>
      <c r="AE798" s="219"/>
      <c r="AF798" s="219"/>
      <c r="AG798" s="219"/>
      <c r="AH798" s="219"/>
      <c r="AI798" s="219"/>
      <c r="AJ798" s="219"/>
      <c r="AK798" s="219"/>
      <c r="AL798" s="219"/>
    </row>
    <row r="799" spans="12:38">
      <c r="L799" s="219"/>
      <c r="M799" s="219"/>
      <c r="N799" s="219"/>
      <c r="O799" s="219"/>
      <c r="P799" s="219"/>
      <c r="Q799" s="219"/>
      <c r="R799" s="219"/>
      <c r="S799" s="219"/>
      <c r="T799" s="219"/>
      <c r="U799" s="219"/>
      <c r="V799" s="219"/>
      <c r="AB799" s="219"/>
      <c r="AC799" s="219"/>
      <c r="AD799" s="219"/>
      <c r="AE799" s="219"/>
      <c r="AF799" s="219"/>
      <c r="AG799" s="219"/>
      <c r="AH799" s="219"/>
      <c r="AI799" s="219"/>
      <c r="AJ799" s="219"/>
      <c r="AK799" s="219"/>
      <c r="AL799" s="219"/>
    </row>
    <row r="800" spans="12:38">
      <c r="L800" s="219"/>
      <c r="M800" s="219"/>
      <c r="N800" s="219"/>
      <c r="O800" s="219"/>
      <c r="P800" s="219"/>
      <c r="Q800" s="219"/>
      <c r="R800" s="219"/>
      <c r="S800" s="219"/>
      <c r="T800" s="219"/>
      <c r="U800" s="219"/>
      <c r="V800" s="219"/>
      <c r="AB800" s="219"/>
      <c r="AC800" s="219"/>
      <c r="AD800" s="219"/>
      <c r="AE800" s="219"/>
      <c r="AF800" s="219"/>
      <c r="AG800" s="219"/>
      <c r="AH800" s="219"/>
      <c r="AI800" s="219"/>
      <c r="AJ800" s="219"/>
      <c r="AK800" s="219"/>
      <c r="AL800" s="219"/>
    </row>
    <row r="801" spans="12:38">
      <c r="L801" s="219"/>
      <c r="M801" s="219"/>
      <c r="N801" s="219"/>
      <c r="O801" s="219"/>
      <c r="P801" s="219"/>
      <c r="Q801" s="219"/>
      <c r="R801" s="219"/>
      <c r="S801" s="219"/>
      <c r="T801" s="219"/>
      <c r="U801" s="219"/>
      <c r="V801" s="219"/>
      <c r="AB801" s="219"/>
      <c r="AC801" s="219"/>
      <c r="AD801" s="219"/>
      <c r="AE801" s="219"/>
      <c r="AF801" s="219"/>
      <c r="AG801" s="219"/>
      <c r="AH801" s="219"/>
      <c r="AI801" s="219"/>
      <c r="AJ801" s="219"/>
      <c r="AK801" s="219"/>
      <c r="AL801" s="219"/>
    </row>
    <row r="802" spans="12:38">
      <c r="L802" s="219"/>
      <c r="M802" s="219"/>
      <c r="N802" s="219"/>
      <c r="O802" s="219"/>
      <c r="P802" s="219"/>
      <c r="Q802" s="219"/>
      <c r="R802" s="219"/>
      <c r="S802" s="219"/>
      <c r="T802" s="219"/>
      <c r="U802" s="219"/>
      <c r="V802" s="219"/>
      <c r="AB802" s="219"/>
      <c r="AC802" s="219"/>
      <c r="AD802" s="219"/>
      <c r="AE802" s="219"/>
      <c r="AF802" s="219"/>
      <c r="AG802" s="219"/>
      <c r="AH802" s="219"/>
      <c r="AI802" s="219"/>
      <c r="AJ802" s="219"/>
      <c r="AK802" s="219"/>
      <c r="AL802" s="219"/>
    </row>
    <row r="803" spans="12:38">
      <c r="L803" s="219"/>
      <c r="M803" s="219"/>
      <c r="N803" s="219"/>
      <c r="O803" s="219"/>
      <c r="P803" s="219"/>
      <c r="Q803" s="219"/>
      <c r="R803" s="219"/>
      <c r="S803" s="219"/>
      <c r="T803" s="219"/>
      <c r="U803" s="219"/>
      <c r="V803" s="219"/>
      <c r="AB803" s="219"/>
      <c r="AC803" s="219"/>
      <c r="AD803" s="219"/>
      <c r="AE803" s="219"/>
      <c r="AF803" s="219"/>
      <c r="AG803" s="219"/>
      <c r="AH803" s="219"/>
      <c r="AI803" s="219"/>
      <c r="AJ803" s="219"/>
      <c r="AK803" s="219"/>
      <c r="AL803" s="219"/>
    </row>
    <row r="804" spans="12:38">
      <c r="L804" s="219"/>
      <c r="M804" s="219"/>
      <c r="N804" s="219"/>
      <c r="O804" s="219"/>
      <c r="P804" s="219"/>
      <c r="Q804" s="219"/>
      <c r="R804" s="219"/>
      <c r="S804" s="219"/>
      <c r="T804" s="219"/>
      <c r="U804" s="219"/>
      <c r="V804" s="219"/>
      <c r="AB804" s="219"/>
      <c r="AC804" s="219"/>
      <c r="AD804" s="219"/>
      <c r="AE804" s="219"/>
      <c r="AF804" s="219"/>
      <c r="AG804" s="219"/>
      <c r="AH804" s="219"/>
      <c r="AI804" s="219"/>
      <c r="AJ804" s="219"/>
      <c r="AK804" s="219"/>
      <c r="AL804" s="219"/>
    </row>
    <row r="805" spans="12:38">
      <c r="L805" s="219"/>
      <c r="M805" s="219"/>
      <c r="N805" s="219"/>
      <c r="O805" s="219"/>
      <c r="P805" s="219"/>
      <c r="Q805" s="219"/>
      <c r="R805" s="219"/>
      <c r="S805" s="219"/>
      <c r="T805" s="219"/>
      <c r="U805" s="219"/>
      <c r="V805" s="219"/>
      <c r="AB805" s="219"/>
      <c r="AC805" s="219"/>
      <c r="AD805" s="219"/>
      <c r="AE805" s="219"/>
      <c r="AF805" s="219"/>
      <c r="AG805" s="219"/>
      <c r="AH805" s="219"/>
      <c r="AI805" s="219"/>
      <c r="AJ805" s="219"/>
      <c r="AK805" s="219"/>
      <c r="AL805" s="219"/>
    </row>
    <row r="806" spans="12:38">
      <c r="L806" s="219"/>
      <c r="M806" s="219"/>
      <c r="N806" s="219"/>
      <c r="O806" s="219"/>
      <c r="P806" s="219"/>
      <c r="Q806" s="219"/>
      <c r="R806" s="219"/>
      <c r="S806" s="219"/>
      <c r="T806" s="219"/>
      <c r="U806" s="219"/>
      <c r="V806" s="219"/>
      <c r="AB806" s="219"/>
      <c r="AC806" s="219"/>
      <c r="AD806" s="219"/>
      <c r="AE806" s="219"/>
      <c r="AF806" s="219"/>
      <c r="AG806" s="219"/>
      <c r="AH806" s="219"/>
      <c r="AI806" s="219"/>
      <c r="AJ806" s="219"/>
      <c r="AK806" s="219"/>
      <c r="AL806" s="219"/>
    </row>
    <row r="807" spans="12:38">
      <c r="L807" s="219"/>
      <c r="M807" s="219"/>
      <c r="N807" s="219"/>
      <c r="O807" s="219"/>
      <c r="P807" s="219"/>
      <c r="Q807" s="219"/>
      <c r="R807" s="219"/>
      <c r="S807" s="219"/>
      <c r="T807" s="219"/>
      <c r="U807" s="219"/>
      <c r="V807" s="219"/>
      <c r="AB807" s="219"/>
      <c r="AC807" s="219"/>
      <c r="AD807" s="219"/>
      <c r="AE807" s="219"/>
      <c r="AF807" s="219"/>
      <c r="AG807" s="219"/>
      <c r="AH807" s="219"/>
      <c r="AI807" s="219"/>
      <c r="AJ807" s="219"/>
      <c r="AK807" s="219"/>
      <c r="AL807" s="219"/>
    </row>
    <row r="808" spans="12:38">
      <c r="L808" s="219"/>
      <c r="M808" s="219"/>
      <c r="N808" s="219"/>
      <c r="O808" s="219"/>
      <c r="P808" s="219"/>
      <c r="Q808" s="219"/>
      <c r="R808" s="219"/>
      <c r="S808" s="219"/>
      <c r="T808" s="219"/>
      <c r="U808" s="219"/>
      <c r="V808" s="219"/>
      <c r="AB808" s="219"/>
      <c r="AC808" s="219"/>
      <c r="AD808" s="219"/>
      <c r="AE808" s="219"/>
      <c r="AF808" s="219"/>
      <c r="AG808" s="219"/>
      <c r="AH808" s="219"/>
      <c r="AI808" s="219"/>
      <c r="AJ808" s="219"/>
      <c r="AK808" s="219"/>
      <c r="AL808" s="219"/>
    </row>
    <row r="809" spans="12:38">
      <c r="L809" s="219"/>
      <c r="M809" s="219"/>
      <c r="N809" s="219"/>
      <c r="O809" s="219"/>
      <c r="P809" s="219"/>
      <c r="Q809" s="219"/>
      <c r="R809" s="219"/>
      <c r="S809" s="219"/>
      <c r="T809" s="219"/>
      <c r="U809" s="219"/>
      <c r="V809" s="219"/>
      <c r="AB809" s="219"/>
      <c r="AC809" s="219"/>
      <c r="AD809" s="219"/>
      <c r="AE809" s="219"/>
      <c r="AF809" s="219"/>
      <c r="AG809" s="219"/>
      <c r="AH809" s="219"/>
      <c r="AI809" s="219"/>
      <c r="AJ809" s="219"/>
      <c r="AK809" s="219"/>
      <c r="AL809" s="219"/>
    </row>
    <row r="810" spans="12:38">
      <c r="L810" s="219"/>
      <c r="M810" s="219"/>
      <c r="N810" s="219"/>
      <c r="O810" s="219"/>
      <c r="P810" s="219"/>
      <c r="Q810" s="219"/>
      <c r="R810" s="219"/>
      <c r="S810" s="219"/>
      <c r="T810" s="219"/>
      <c r="U810" s="219"/>
      <c r="V810" s="219"/>
      <c r="AB810" s="219"/>
      <c r="AC810" s="219"/>
      <c r="AD810" s="219"/>
      <c r="AE810" s="219"/>
      <c r="AF810" s="219"/>
      <c r="AG810" s="219"/>
      <c r="AH810" s="219"/>
      <c r="AI810" s="219"/>
      <c r="AJ810" s="219"/>
      <c r="AK810" s="219"/>
      <c r="AL810" s="219"/>
    </row>
    <row r="811" spans="12:38">
      <c r="L811" s="219"/>
      <c r="M811" s="219"/>
      <c r="N811" s="219"/>
      <c r="O811" s="219"/>
      <c r="P811" s="219"/>
      <c r="Q811" s="219"/>
      <c r="R811" s="219"/>
      <c r="S811" s="219"/>
      <c r="T811" s="219"/>
      <c r="U811" s="219"/>
      <c r="V811" s="219"/>
      <c r="AB811" s="219"/>
      <c r="AC811" s="219"/>
      <c r="AD811" s="219"/>
      <c r="AE811" s="219"/>
      <c r="AF811" s="219"/>
      <c r="AG811" s="219"/>
      <c r="AH811" s="219"/>
      <c r="AI811" s="219"/>
      <c r="AJ811" s="219"/>
      <c r="AK811" s="219"/>
      <c r="AL811" s="219"/>
    </row>
    <row r="812" spans="12:38">
      <c r="L812" s="219"/>
      <c r="M812" s="219"/>
      <c r="N812" s="219"/>
      <c r="O812" s="219"/>
      <c r="P812" s="219"/>
      <c r="Q812" s="219"/>
      <c r="R812" s="219"/>
      <c r="S812" s="219"/>
      <c r="T812" s="219"/>
      <c r="U812" s="219"/>
      <c r="V812" s="219"/>
      <c r="AB812" s="219"/>
      <c r="AC812" s="219"/>
      <c r="AD812" s="219"/>
      <c r="AE812" s="219"/>
      <c r="AF812" s="219"/>
      <c r="AG812" s="219"/>
      <c r="AH812" s="219"/>
      <c r="AI812" s="219"/>
      <c r="AJ812" s="219"/>
      <c r="AK812" s="219"/>
      <c r="AL812" s="219"/>
    </row>
    <row r="813" spans="12:38">
      <c r="L813" s="219"/>
      <c r="M813" s="219"/>
      <c r="N813" s="219"/>
      <c r="O813" s="219"/>
      <c r="P813" s="219"/>
      <c r="Q813" s="219"/>
      <c r="R813" s="219"/>
      <c r="S813" s="219"/>
      <c r="T813" s="219"/>
      <c r="U813" s="219"/>
      <c r="V813" s="219"/>
      <c r="AB813" s="219"/>
      <c r="AC813" s="219"/>
      <c r="AD813" s="219"/>
      <c r="AE813" s="219"/>
      <c r="AF813" s="219"/>
      <c r="AG813" s="219"/>
      <c r="AH813" s="219"/>
      <c r="AI813" s="219"/>
      <c r="AJ813" s="219"/>
      <c r="AK813" s="219"/>
      <c r="AL813" s="219"/>
    </row>
    <row r="814" spans="12:38">
      <c r="L814" s="219"/>
      <c r="M814" s="219"/>
      <c r="N814" s="219"/>
      <c r="O814" s="219"/>
      <c r="P814" s="219"/>
      <c r="Q814" s="219"/>
      <c r="R814" s="219"/>
      <c r="S814" s="219"/>
      <c r="T814" s="219"/>
      <c r="U814" s="219"/>
      <c r="V814" s="219"/>
      <c r="AB814" s="219"/>
      <c r="AC814" s="219"/>
      <c r="AD814" s="219"/>
      <c r="AE814" s="219"/>
      <c r="AF814" s="219"/>
      <c r="AG814" s="219"/>
      <c r="AH814" s="219"/>
      <c r="AI814" s="219"/>
      <c r="AJ814" s="219"/>
      <c r="AK814" s="219"/>
      <c r="AL814" s="219"/>
    </row>
    <row r="815" spans="12:38">
      <c r="L815" s="219"/>
      <c r="M815" s="219"/>
      <c r="N815" s="219"/>
      <c r="O815" s="219"/>
      <c r="P815" s="219"/>
      <c r="Q815" s="219"/>
      <c r="R815" s="219"/>
      <c r="S815" s="219"/>
      <c r="T815" s="219"/>
      <c r="U815" s="219"/>
      <c r="V815" s="219"/>
      <c r="AB815" s="219"/>
      <c r="AC815" s="219"/>
      <c r="AD815" s="219"/>
      <c r="AE815" s="219"/>
      <c r="AF815" s="219"/>
      <c r="AG815" s="219"/>
      <c r="AH815" s="219"/>
      <c r="AI815" s="219"/>
      <c r="AJ815" s="219"/>
      <c r="AK815" s="219"/>
      <c r="AL815" s="219"/>
    </row>
    <row r="816" spans="12:38">
      <c r="L816" s="219"/>
      <c r="M816" s="219"/>
      <c r="N816" s="219"/>
      <c r="O816" s="219"/>
      <c r="P816" s="219"/>
      <c r="Q816" s="219"/>
      <c r="R816" s="219"/>
      <c r="S816" s="219"/>
      <c r="T816" s="219"/>
      <c r="U816" s="219"/>
      <c r="V816" s="219"/>
      <c r="AB816" s="219"/>
      <c r="AC816" s="219"/>
      <c r="AD816" s="219"/>
      <c r="AE816" s="219"/>
      <c r="AF816" s="219"/>
      <c r="AG816" s="219"/>
      <c r="AH816" s="219"/>
      <c r="AI816" s="219"/>
      <c r="AJ816" s="219"/>
      <c r="AK816" s="219"/>
      <c r="AL816" s="219"/>
    </row>
    <row r="817" spans="12:38">
      <c r="L817" s="219"/>
      <c r="M817" s="219"/>
      <c r="N817" s="219"/>
      <c r="O817" s="219"/>
      <c r="P817" s="219"/>
      <c r="Q817" s="219"/>
      <c r="R817" s="219"/>
      <c r="S817" s="219"/>
      <c r="T817" s="219"/>
      <c r="U817" s="219"/>
      <c r="V817" s="219"/>
      <c r="AB817" s="219"/>
      <c r="AC817" s="219"/>
      <c r="AD817" s="219"/>
      <c r="AE817" s="219"/>
      <c r="AF817" s="219"/>
      <c r="AG817" s="219"/>
      <c r="AH817" s="219"/>
      <c r="AI817" s="219"/>
      <c r="AJ817" s="219"/>
      <c r="AK817" s="219"/>
      <c r="AL817" s="219"/>
    </row>
    <row r="818" spans="12:38">
      <c r="L818" s="219"/>
      <c r="M818" s="219"/>
      <c r="N818" s="219"/>
      <c r="O818" s="219"/>
      <c r="P818" s="219"/>
      <c r="Q818" s="219"/>
      <c r="R818" s="219"/>
      <c r="S818" s="219"/>
      <c r="T818" s="219"/>
      <c r="U818" s="219"/>
      <c r="V818" s="219"/>
      <c r="AB818" s="219"/>
      <c r="AC818" s="219"/>
      <c r="AD818" s="219"/>
      <c r="AE818" s="219"/>
      <c r="AF818" s="219"/>
      <c r="AG818" s="219"/>
      <c r="AH818" s="219"/>
      <c r="AI818" s="219"/>
      <c r="AJ818" s="219"/>
      <c r="AK818" s="219"/>
      <c r="AL818" s="219"/>
    </row>
    <row r="819" spans="12:38">
      <c r="L819" s="219"/>
      <c r="M819" s="219"/>
      <c r="N819" s="219"/>
      <c r="O819" s="219"/>
      <c r="P819" s="219"/>
      <c r="Q819" s="219"/>
      <c r="R819" s="219"/>
      <c r="S819" s="219"/>
      <c r="T819" s="219"/>
      <c r="U819" s="219"/>
      <c r="V819" s="219"/>
      <c r="AB819" s="219"/>
      <c r="AC819" s="219"/>
      <c r="AD819" s="219"/>
      <c r="AE819" s="219"/>
      <c r="AF819" s="219"/>
      <c r="AG819" s="219"/>
      <c r="AH819" s="219"/>
      <c r="AI819" s="219"/>
      <c r="AJ819" s="219"/>
      <c r="AK819" s="219"/>
      <c r="AL819" s="219"/>
    </row>
    <row r="820" spans="12:38">
      <c r="L820" s="219"/>
      <c r="M820" s="219"/>
      <c r="N820" s="219"/>
      <c r="O820" s="219"/>
      <c r="P820" s="219"/>
      <c r="Q820" s="219"/>
      <c r="R820" s="219"/>
      <c r="S820" s="219"/>
      <c r="T820" s="219"/>
      <c r="U820" s="219"/>
      <c r="V820" s="219"/>
      <c r="AB820" s="219"/>
      <c r="AC820" s="219"/>
      <c r="AD820" s="219"/>
      <c r="AE820" s="219"/>
      <c r="AF820" s="219"/>
      <c r="AG820" s="219"/>
      <c r="AH820" s="219"/>
      <c r="AI820" s="219"/>
      <c r="AJ820" s="219"/>
      <c r="AK820" s="219"/>
      <c r="AL820" s="219"/>
    </row>
    <row r="821" spans="12:38">
      <c r="L821" s="219"/>
      <c r="M821" s="219"/>
      <c r="N821" s="219"/>
      <c r="O821" s="219"/>
      <c r="P821" s="219"/>
      <c r="Q821" s="219"/>
      <c r="R821" s="219"/>
      <c r="S821" s="219"/>
      <c r="T821" s="219"/>
      <c r="U821" s="219"/>
      <c r="V821" s="219"/>
      <c r="AB821" s="219"/>
      <c r="AC821" s="219"/>
      <c r="AD821" s="219"/>
      <c r="AE821" s="219"/>
      <c r="AF821" s="219"/>
      <c r="AG821" s="219"/>
      <c r="AH821" s="219"/>
      <c r="AI821" s="219"/>
      <c r="AJ821" s="219"/>
      <c r="AK821" s="219"/>
      <c r="AL821" s="219"/>
    </row>
    <row r="822" spans="12:38">
      <c r="L822" s="219"/>
      <c r="M822" s="219"/>
      <c r="N822" s="219"/>
      <c r="O822" s="219"/>
      <c r="P822" s="219"/>
      <c r="Q822" s="219"/>
      <c r="R822" s="219"/>
      <c r="S822" s="219"/>
      <c r="T822" s="219"/>
      <c r="U822" s="219"/>
      <c r="V822" s="219"/>
      <c r="AB822" s="219"/>
      <c r="AC822" s="219"/>
      <c r="AD822" s="219"/>
      <c r="AE822" s="219"/>
      <c r="AF822" s="219"/>
      <c r="AG822" s="219"/>
      <c r="AH822" s="219"/>
      <c r="AI822" s="219"/>
      <c r="AJ822" s="219"/>
      <c r="AK822" s="219"/>
      <c r="AL822" s="219"/>
    </row>
    <row r="823" spans="12:38">
      <c r="L823" s="219"/>
      <c r="M823" s="219"/>
      <c r="N823" s="219"/>
      <c r="O823" s="219"/>
      <c r="P823" s="219"/>
      <c r="Q823" s="219"/>
      <c r="R823" s="219"/>
      <c r="S823" s="219"/>
      <c r="T823" s="219"/>
      <c r="U823" s="219"/>
      <c r="V823" s="219"/>
      <c r="AB823" s="219"/>
      <c r="AC823" s="219"/>
      <c r="AD823" s="219"/>
      <c r="AE823" s="219"/>
      <c r="AF823" s="219"/>
      <c r="AG823" s="219"/>
      <c r="AH823" s="219"/>
      <c r="AI823" s="219"/>
      <c r="AJ823" s="219"/>
      <c r="AK823" s="219"/>
      <c r="AL823" s="219"/>
    </row>
    <row r="824" spans="12:38">
      <c r="L824" s="219"/>
      <c r="M824" s="219"/>
      <c r="N824" s="219"/>
      <c r="O824" s="219"/>
      <c r="P824" s="219"/>
      <c r="Q824" s="219"/>
      <c r="R824" s="219"/>
      <c r="S824" s="219"/>
      <c r="T824" s="219"/>
      <c r="U824" s="219"/>
      <c r="V824" s="219"/>
      <c r="AB824" s="219"/>
      <c r="AC824" s="219"/>
      <c r="AD824" s="219"/>
      <c r="AE824" s="219"/>
      <c r="AF824" s="219"/>
      <c r="AG824" s="219"/>
      <c r="AH824" s="219"/>
      <c r="AI824" s="219"/>
      <c r="AJ824" s="219"/>
      <c r="AK824" s="219"/>
      <c r="AL824" s="219"/>
    </row>
    <row r="825" spans="12:38">
      <c r="L825" s="219"/>
      <c r="M825" s="219"/>
      <c r="N825" s="219"/>
      <c r="O825" s="219"/>
      <c r="P825" s="219"/>
      <c r="Q825" s="219"/>
      <c r="R825" s="219"/>
      <c r="S825" s="219"/>
      <c r="T825" s="219"/>
      <c r="U825" s="219"/>
      <c r="V825" s="219"/>
      <c r="AB825" s="219"/>
      <c r="AC825" s="219"/>
      <c r="AD825" s="219"/>
      <c r="AE825" s="219"/>
      <c r="AF825" s="219"/>
      <c r="AG825" s="219"/>
      <c r="AH825" s="219"/>
      <c r="AI825" s="219"/>
      <c r="AJ825" s="219"/>
      <c r="AK825" s="219"/>
      <c r="AL825" s="219"/>
    </row>
    <row r="826" spans="12:38">
      <c r="L826" s="219"/>
      <c r="M826" s="219"/>
      <c r="N826" s="219"/>
      <c r="O826" s="219"/>
      <c r="P826" s="219"/>
      <c r="Q826" s="219"/>
      <c r="R826" s="219"/>
      <c r="S826" s="219"/>
      <c r="T826" s="219"/>
      <c r="U826" s="219"/>
      <c r="V826" s="219"/>
      <c r="AB826" s="219"/>
      <c r="AC826" s="219"/>
      <c r="AD826" s="219"/>
      <c r="AE826" s="219"/>
      <c r="AF826" s="219"/>
      <c r="AG826" s="219"/>
      <c r="AH826" s="219"/>
      <c r="AI826" s="219"/>
      <c r="AJ826" s="219"/>
      <c r="AK826" s="219"/>
      <c r="AL826" s="219"/>
    </row>
    <row r="827" spans="12:38">
      <c r="L827" s="219"/>
      <c r="M827" s="219"/>
      <c r="N827" s="219"/>
      <c r="O827" s="219"/>
      <c r="P827" s="219"/>
      <c r="Q827" s="219"/>
      <c r="R827" s="219"/>
      <c r="S827" s="219"/>
      <c r="T827" s="219"/>
      <c r="U827" s="219"/>
      <c r="V827" s="219"/>
      <c r="AB827" s="219"/>
      <c r="AC827" s="219"/>
      <c r="AD827" s="219"/>
      <c r="AE827" s="219"/>
      <c r="AF827" s="219"/>
      <c r="AG827" s="219"/>
      <c r="AH827" s="219"/>
      <c r="AI827" s="219"/>
      <c r="AJ827" s="219"/>
      <c r="AK827" s="219"/>
      <c r="AL827" s="219"/>
    </row>
    <row r="828" spans="12:38">
      <c r="L828" s="219"/>
      <c r="M828" s="219"/>
      <c r="N828" s="219"/>
      <c r="O828" s="219"/>
      <c r="P828" s="219"/>
      <c r="Q828" s="219"/>
      <c r="R828" s="219"/>
      <c r="S828" s="219"/>
      <c r="T828" s="219"/>
      <c r="U828" s="219"/>
      <c r="V828" s="219"/>
      <c r="AB828" s="219"/>
      <c r="AC828" s="219"/>
      <c r="AD828" s="219"/>
      <c r="AE828" s="219"/>
      <c r="AF828" s="219"/>
      <c r="AG828" s="219"/>
      <c r="AH828" s="219"/>
      <c r="AI828" s="219"/>
      <c r="AJ828" s="219"/>
      <c r="AK828" s="219"/>
      <c r="AL828" s="219"/>
    </row>
    <row r="829" spans="12:38">
      <c r="L829" s="219"/>
      <c r="M829" s="219"/>
      <c r="N829" s="219"/>
      <c r="O829" s="219"/>
      <c r="P829" s="219"/>
      <c r="Q829" s="219"/>
      <c r="R829" s="219"/>
      <c r="S829" s="219"/>
      <c r="T829" s="219"/>
      <c r="U829" s="219"/>
      <c r="V829" s="219"/>
      <c r="AB829" s="219"/>
      <c r="AC829" s="219"/>
      <c r="AD829" s="219"/>
      <c r="AE829" s="219"/>
      <c r="AF829" s="219"/>
      <c r="AG829" s="219"/>
      <c r="AH829" s="219"/>
      <c r="AI829" s="219"/>
      <c r="AJ829" s="219"/>
      <c r="AK829" s="219"/>
      <c r="AL829" s="219"/>
    </row>
    <row r="830" spans="12:38">
      <c r="L830" s="219"/>
      <c r="M830" s="219"/>
      <c r="N830" s="219"/>
      <c r="O830" s="219"/>
      <c r="P830" s="219"/>
      <c r="Q830" s="219"/>
      <c r="R830" s="219"/>
      <c r="S830" s="219"/>
      <c r="T830" s="219"/>
      <c r="U830" s="219"/>
      <c r="V830" s="219"/>
      <c r="AB830" s="219"/>
      <c r="AC830" s="219"/>
      <c r="AD830" s="219"/>
      <c r="AE830" s="219"/>
      <c r="AF830" s="219"/>
      <c r="AG830" s="219"/>
      <c r="AH830" s="219"/>
      <c r="AI830" s="219"/>
      <c r="AJ830" s="219"/>
      <c r="AK830" s="219"/>
      <c r="AL830" s="219"/>
    </row>
    <row r="831" spans="12:38">
      <c r="L831" s="219"/>
      <c r="M831" s="219"/>
      <c r="N831" s="219"/>
      <c r="O831" s="219"/>
      <c r="P831" s="219"/>
      <c r="Q831" s="219"/>
      <c r="R831" s="219"/>
      <c r="S831" s="219"/>
      <c r="T831" s="219"/>
      <c r="U831" s="219"/>
      <c r="V831" s="219"/>
      <c r="AB831" s="219"/>
      <c r="AC831" s="219"/>
      <c r="AD831" s="219"/>
      <c r="AE831" s="219"/>
      <c r="AF831" s="219"/>
      <c r="AG831" s="219"/>
      <c r="AH831" s="219"/>
      <c r="AI831" s="219"/>
      <c r="AJ831" s="219"/>
      <c r="AK831" s="219"/>
      <c r="AL831" s="219"/>
    </row>
    <row r="832" spans="12:38">
      <c r="L832" s="219"/>
      <c r="M832" s="219"/>
      <c r="N832" s="219"/>
      <c r="O832" s="219"/>
      <c r="P832" s="219"/>
      <c r="Q832" s="219"/>
      <c r="R832" s="219"/>
      <c r="S832" s="219"/>
      <c r="T832" s="219"/>
      <c r="U832" s="219"/>
      <c r="V832" s="219"/>
      <c r="AB832" s="219"/>
      <c r="AC832" s="219"/>
      <c r="AD832" s="219"/>
      <c r="AE832" s="219"/>
      <c r="AF832" s="219"/>
      <c r="AG832" s="219"/>
      <c r="AH832" s="219"/>
      <c r="AI832" s="219"/>
      <c r="AJ832" s="219"/>
      <c r="AK832" s="219"/>
      <c r="AL832" s="219"/>
    </row>
    <row r="833" spans="12:38">
      <c r="L833" s="219"/>
      <c r="M833" s="219"/>
      <c r="N833" s="219"/>
      <c r="O833" s="219"/>
      <c r="P833" s="219"/>
      <c r="Q833" s="219"/>
      <c r="R833" s="219"/>
      <c r="S833" s="219"/>
      <c r="T833" s="219"/>
      <c r="U833" s="219"/>
      <c r="V833" s="219"/>
      <c r="AB833" s="219"/>
      <c r="AC833" s="219"/>
      <c r="AD833" s="219"/>
      <c r="AE833" s="219"/>
      <c r="AF833" s="219"/>
      <c r="AG833" s="219"/>
      <c r="AH833" s="219"/>
      <c r="AI833" s="219"/>
      <c r="AJ833" s="219"/>
      <c r="AK833" s="219"/>
      <c r="AL833" s="219"/>
    </row>
    <row r="834" spans="12:38">
      <c r="L834" s="219"/>
      <c r="M834" s="219"/>
      <c r="N834" s="219"/>
      <c r="O834" s="219"/>
      <c r="P834" s="219"/>
      <c r="Q834" s="219"/>
      <c r="R834" s="219"/>
      <c r="S834" s="219"/>
      <c r="T834" s="219"/>
      <c r="U834" s="219"/>
      <c r="V834" s="219"/>
      <c r="AB834" s="219"/>
      <c r="AC834" s="219"/>
      <c r="AD834" s="219"/>
      <c r="AE834" s="219"/>
      <c r="AF834" s="219"/>
      <c r="AG834" s="219"/>
      <c r="AH834" s="219"/>
      <c r="AI834" s="219"/>
      <c r="AJ834" s="219"/>
      <c r="AK834" s="219"/>
      <c r="AL834" s="219"/>
    </row>
    <row r="835" spans="12:38">
      <c r="L835" s="219"/>
      <c r="M835" s="219"/>
      <c r="N835" s="219"/>
      <c r="O835" s="219"/>
      <c r="P835" s="219"/>
      <c r="Q835" s="219"/>
      <c r="R835" s="219"/>
      <c r="S835" s="219"/>
      <c r="T835" s="219"/>
      <c r="U835" s="219"/>
      <c r="V835" s="219"/>
      <c r="AB835" s="219"/>
      <c r="AC835" s="219"/>
      <c r="AD835" s="219"/>
      <c r="AE835" s="219"/>
      <c r="AF835" s="219"/>
      <c r="AG835" s="219"/>
      <c r="AH835" s="219"/>
      <c r="AI835" s="219"/>
      <c r="AJ835" s="219"/>
      <c r="AK835" s="219"/>
      <c r="AL835" s="219"/>
    </row>
    <row r="836" spans="12:38">
      <c r="L836" s="219"/>
      <c r="M836" s="219"/>
      <c r="N836" s="219"/>
      <c r="O836" s="219"/>
      <c r="P836" s="219"/>
      <c r="Q836" s="219"/>
      <c r="R836" s="219"/>
      <c r="S836" s="219"/>
      <c r="T836" s="219"/>
      <c r="U836" s="219"/>
      <c r="V836" s="219"/>
      <c r="AB836" s="219"/>
      <c r="AC836" s="219"/>
      <c r="AD836" s="219"/>
      <c r="AE836" s="219"/>
      <c r="AF836" s="219"/>
      <c r="AG836" s="219"/>
      <c r="AH836" s="219"/>
      <c r="AI836" s="219"/>
      <c r="AJ836" s="219"/>
      <c r="AK836" s="219"/>
      <c r="AL836" s="219"/>
    </row>
    <row r="837" spans="12:38">
      <c r="L837" s="219"/>
      <c r="M837" s="219"/>
      <c r="N837" s="219"/>
      <c r="O837" s="219"/>
      <c r="P837" s="219"/>
      <c r="Q837" s="219"/>
      <c r="R837" s="219"/>
      <c r="S837" s="219"/>
      <c r="T837" s="219"/>
      <c r="U837" s="219"/>
      <c r="V837" s="219"/>
      <c r="AB837" s="219"/>
      <c r="AC837" s="219"/>
      <c r="AD837" s="219"/>
      <c r="AE837" s="219"/>
      <c r="AF837" s="219"/>
      <c r="AG837" s="219"/>
      <c r="AH837" s="219"/>
      <c r="AI837" s="219"/>
      <c r="AJ837" s="219"/>
      <c r="AK837" s="219"/>
      <c r="AL837" s="219"/>
    </row>
    <row r="838" spans="12:38">
      <c r="L838" s="219"/>
      <c r="M838" s="219"/>
      <c r="N838" s="219"/>
      <c r="O838" s="219"/>
      <c r="P838" s="219"/>
      <c r="Q838" s="219"/>
      <c r="R838" s="219"/>
      <c r="S838" s="219"/>
      <c r="T838" s="219"/>
      <c r="U838" s="219"/>
      <c r="V838" s="219"/>
      <c r="AB838" s="219"/>
      <c r="AC838" s="219"/>
      <c r="AD838" s="219"/>
      <c r="AE838" s="219"/>
      <c r="AF838" s="219"/>
      <c r="AG838" s="219"/>
      <c r="AH838" s="219"/>
      <c r="AI838" s="219"/>
      <c r="AJ838" s="219"/>
      <c r="AK838" s="219"/>
      <c r="AL838" s="219"/>
    </row>
    <row r="839" spans="12:38">
      <c r="L839" s="219"/>
      <c r="M839" s="219"/>
      <c r="N839" s="219"/>
      <c r="O839" s="219"/>
      <c r="P839" s="219"/>
      <c r="Q839" s="219"/>
      <c r="R839" s="219"/>
      <c r="S839" s="219"/>
      <c r="T839" s="219"/>
      <c r="U839" s="219"/>
      <c r="V839" s="219"/>
      <c r="AB839" s="219"/>
      <c r="AC839" s="219"/>
      <c r="AD839" s="219"/>
      <c r="AE839" s="219"/>
      <c r="AF839" s="219"/>
      <c r="AG839" s="219"/>
      <c r="AH839" s="219"/>
      <c r="AI839" s="219"/>
      <c r="AJ839" s="219"/>
      <c r="AK839" s="219"/>
      <c r="AL839" s="219"/>
    </row>
    <row r="840" spans="12:38">
      <c r="L840" s="219"/>
      <c r="M840" s="219"/>
      <c r="N840" s="219"/>
      <c r="O840" s="219"/>
      <c r="P840" s="219"/>
      <c r="Q840" s="219"/>
      <c r="R840" s="219"/>
      <c r="S840" s="219"/>
      <c r="T840" s="219"/>
      <c r="U840" s="219"/>
      <c r="V840" s="219"/>
      <c r="AB840" s="219"/>
      <c r="AC840" s="219"/>
      <c r="AD840" s="219"/>
      <c r="AE840" s="219"/>
      <c r="AF840" s="219"/>
      <c r="AG840" s="219"/>
      <c r="AH840" s="219"/>
      <c r="AI840" s="219"/>
      <c r="AJ840" s="219"/>
      <c r="AK840" s="219"/>
      <c r="AL840" s="219"/>
    </row>
    <row r="841" spans="12:38">
      <c r="L841" s="219"/>
      <c r="M841" s="219"/>
      <c r="N841" s="219"/>
      <c r="O841" s="219"/>
      <c r="P841" s="219"/>
      <c r="Q841" s="219"/>
      <c r="R841" s="219"/>
      <c r="S841" s="219"/>
      <c r="T841" s="219"/>
      <c r="U841" s="219"/>
      <c r="V841" s="219"/>
      <c r="AB841" s="219"/>
      <c r="AC841" s="219"/>
      <c r="AD841" s="219"/>
      <c r="AE841" s="219"/>
      <c r="AF841" s="219"/>
      <c r="AG841" s="219"/>
      <c r="AH841" s="219"/>
      <c r="AI841" s="219"/>
      <c r="AJ841" s="219"/>
      <c r="AK841" s="219"/>
      <c r="AL841" s="219"/>
    </row>
    <row r="842" spans="12:38">
      <c r="L842" s="219"/>
      <c r="M842" s="219"/>
      <c r="N842" s="219"/>
      <c r="O842" s="219"/>
      <c r="P842" s="219"/>
      <c r="Q842" s="219"/>
      <c r="R842" s="219"/>
      <c r="S842" s="219"/>
      <c r="T842" s="219"/>
      <c r="U842" s="219"/>
      <c r="V842" s="219"/>
      <c r="AB842" s="219"/>
      <c r="AC842" s="219"/>
      <c r="AD842" s="219"/>
      <c r="AE842" s="219"/>
      <c r="AF842" s="219"/>
      <c r="AG842" s="219"/>
      <c r="AH842" s="219"/>
      <c r="AI842" s="219"/>
      <c r="AJ842" s="219"/>
      <c r="AK842" s="219"/>
      <c r="AL842" s="219"/>
    </row>
    <row r="843" spans="12:38">
      <c r="L843" s="219"/>
      <c r="M843" s="219"/>
      <c r="N843" s="219"/>
      <c r="O843" s="219"/>
      <c r="P843" s="219"/>
      <c r="Q843" s="219"/>
      <c r="R843" s="219"/>
      <c r="S843" s="219"/>
      <c r="T843" s="219"/>
      <c r="U843" s="219"/>
      <c r="V843" s="219"/>
      <c r="AB843" s="219"/>
      <c r="AC843" s="219"/>
      <c r="AD843" s="219"/>
      <c r="AE843" s="219"/>
      <c r="AF843" s="219"/>
      <c r="AG843" s="219"/>
      <c r="AH843" s="219"/>
      <c r="AI843" s="219"/>
      <c r="AJ843" s="219"/>
      <c r="AK843" s="219"/>
      <c r="AL843" s="219"/>
    </row>
    <row r="844" spans="12:38">
      <c r="L844" s="219"/>
      <c r="M844" s="219"/>
      <c r="N844" s="219"/>
      <c r="O844" s="219"/>
      <c r="P844" s="219"/>
      <c r="Q844" s="219"/>
      <c r="R844" s="219"/>
      <c r="S844" s="219"/>
      <c r="T844" s="219"/>
      <c r="U844" s="219"/>
      <c r="V844" s="219"/>
      <c r="AB844" s="219"/>
      <c r="AC844" s="219"/>
      <c r="AD844" s="219"/>
      <c r="AE844" s="219"/>
      <c r="AF844" s="219"/>
      <c r="AG844" s="219"/>
      <c r="AH844" s="219"/>
      <c r="AI844" s="219"/>
      <c r="AJ844" s="219"/>
      <c r="AK844" s="219"/>
      <c r="AL844" s="219"/>
    </row>
    <row r="845" spans="12:38">
      <c r="L845" s="219"/>
      <c r="M845" s="219"/>
      <c r="N845" s="219"/>
      <c r="O845" s="219"/>
      <c r="P845" s="219"/>
      <c r="Q845" s="219"/>
      <c r="R845" s="219"/>
      <c r="S845" s="219"/>
      <c r="T845" s="219"/>
      <c r="U845" s="219"/>
      <c r="V845" s="219"/>
      <c r="AB845" s="219"/>
      <c r="AC845" s="219"/>
      <c r="AD845" s="219"/>
      <c r="AE845" s="219"/>
      <c r="AF845" s="219"/>
      <c r="AG845" s="219"/>
      <c r="AH845" s="219"/>
      <c r="AI845" s="219"/>
      <c r="AJ845" s="219"/>
      <c r="AK845" s="219"/>
      <c r="AL845" s="219"/>
    </row>
    <row r="846" spans="12:38">
      <c r="L846" s="219"/>
      <c r="M846" s="219"/>
      <c r="N846" s="219"/>
      <c r="O846" s="219"/>
      <c r="P846" s="219"/>
      <c r="Q846" s="219"/>
      <c r="R846" s="219"/>
      <c r="S846" s="219"/>
      <c r="T846" s="219"/>
      <c r="U846" s="219"/>
      <c r="V846" s="219"/>
      <c r="AB846" s="219"/>
      <c r="AC846" s="219"/>
      <c r="AD846" s="219"/>
      <c r="AE846" s="219"/>
      <c r="AF846" s="219"/>
      <c r="AG846" s="219"/>
      <c r="AH846" s="219"/>
      <c r="AI846" s="219"/>
      <c r="AJ846" s="219"/>
      <c r="AK846" s="219"/>
      <c r="AL846" s="219"/>
    </row>
    <row r="847" spans="12:38">
      <c r="L847" s="219"/>
      <c r="M847" s="219"/>
      <c r="N847" s="219"/>
      <c r="O847" s="219"/>
      <c r="P847" s="219"/>
      <c r="Q847" s="219"/>
      <c r="R847" s="219"/>
      <c r="S847" s="219"/>
      <c r="T847" s="219"/>
      <c r="U847" s="219"/>
      <c r="V847" s="219"/>
      <c r="AB847" s="219"/>
      <c r="AC847" s="219"/>
      <c r="AD847" s="219"/>
      <c r="AE847" s="219"/>
      <c r="AF847" s="219"/>
      <c r="AG847" s="219"/>
      <c r="AH847" s="219"/>
      <c r="AI847" s="219"/>
      <c r="AJ847" s="219"/>
      <c r="AK847" s="219"/>
      <c r="AL847" s="219"/>
    </row>
    <row r="848" spans="12:38">
      <c r="L848" s="219"/>
      <c r="M848" s="219"/>
      <c r="N848" s="219"/>
      <c r="O848" s="219"/>
      <c r="P848" s="219"/>
      <c r="Q848" s="219"/>
      <c r="R848" s="219"/>
      <c r="S848" s="219"/>
      <c r="T848" s="219"/>
      <c r="U848" s="219"/>
      <c r="V848" s="219"/>
      <c r="AB848" s="219"/>
      <c r="AC848" s="219"/>
      <c r="AD848" s="219"/>
      <c r="AE848" s="219"/>
      <c r="AF848" s="219"/>
      <c r="AG848" s="219"/>
      <c r="AH848" s="219"/>
      <c r="AI848" s="219"/>
      <c r="AJ848" s="219"/>
      <c r="AK848" s="219"/>
      <c r="AL848" s="219"/>
    </row>
    <row r="849" spans="12:38">
      <c r="L849" s="219"/>
      <c r="M849" s="219"/>
      <c r="N849" s="219"/>
      <c r="O849" s="219"/>
      <c r="P849" s="219"/>
      <c r="Q849" s="219"/>
      <c r="R849" s="219"/>
      <c r="S849" s="219"/>
      <c r="T849" s="219"/>
      <c r="U849" s="219"/>
      <c r="V849" s="219"/>
      <c r="AB849" s="219"/>
      <c r="AC849" s="219"/>
      <c r="AD849" s="219"/>
      <c r="AE849" s="219"/>
      <c r="AF849" s="219"/>
      <c r="AG849" s="219"/>
      <c r="AH849" s="219"/>
      <c r="AI849" s="219"/>
      <c r="AJ849" s="219"/>
      <c r="AK849" s="219"/>
      <c r="AL849" s="219"/>
    </row>
    <row r="850" spans="12:38">
      <c r="L850" s="219"/>
      <c r="M850" s="219"/>
      <c r="N850" s="219"/>
      <c r="O850" s="219"/>
      <c r="P850" s="219"/>
      <c r="Q850" s="219"/>
      <c r="R850" s="219"/>
      <c r="S850" s="219"/>
      <c r="T850" s="219"/>
      <c r="U850" s="219"/>
      <c r="V850" s="219"/>
      <c r="AB850" s="219"/>
      <c r="AC850" s="219"/>
      <c r="AD850" s="219"/>
      <c r="AE850" s="219"/>
      <c r="AF850" s="219"/>
      <c r="AG850" s="219"/>
      <c r="AH850" s="219"/>
      <c r="AI850" s="219"/>
      <c r="AJ850" s="219"/>
      <c r="AK850" s="219"/>
      <c r="AL850" s="219"/>
    </row>
    <row r="851" spans="12:38">
      <c r="L851" s="219"/>
      <c r="M851" s="219"/>
      <c r="N851" s="219"/>
      <c r="O851" s="219"/>
      <c r="P851" s="219"/>
      <c r="Q851" s="219"/>
      <c r="R851" s="219"/>
      <c r="S851" s="219"/>
      <c r="T851" s="219"/>
      <c r="U851" s="219"/>
      <c r="V851" s="219"/>
      <c r="AB851" s="219"/>
      <c r="AC851" s="219"/>
      <c r="AD851" s="219"/>
      <c r="AE851" s="219"/>
      <c r="AF851" s="219"/>
      <c r="AG851" s="219"/>
      <c r="AH851" s="219"/>
      <c r="AI851" s="219"/>
      <c r="AJ851" s="219"/>
      <c r="AK851" s="219"/>
      <c r="AL851" s="219"/>
    </row>
    <row r="852" spans="12:38">
      <c r="L852" s="219"/>
      <c r="M852" s="219"/>
      <c r="N852" s="219"/>
      <c r="O852" s="219"/>
      <c r="P852" s="219"/>
      <c r="Q852" s="219"/>
      <c r="R852" s="219"/>
      <c r="S852" s="219"/>
      <c r="T852" s="219"/>
      <c r="U852" s="219"/>
      <c r="V852" s="219"/>
      <c r="AB852" s="219"/>
      <c r="AC852" s="219"/>
      <c r="AD852" s="219"/>
      <c r="AE852" s="219"/>
      <c r="AF852" s="219"/>
      <c r="AG852" s="219"/>
      <c r="AH852" s="219"/>
      <c r="AI852" s="219"/>
      <c r="AJ852" s="219"/>
      <c r="AK852" s="219"/>
      <c r="AL852" s="219"/>
    </row>
    <row r="853" spans="12:38">
      <c r="L853" s="219"/>
      <c r="M853" s="219"/>
      <c r="N853" s="219"/>
      <c r="O853" s="219"/>
      <c r="P853" s="219"/>
      <c r="Q853" s="219"/>
      <c r="R853" s="219"/>
      <c r="S853" s="219"/>
      <c r="T853" s="219"/>
      <c r="U853" s="219"/>
      <c r="V853" s="219"/>
      <c r="AB853" s="219"/>
      <c r="AC853" s="219"/>
      <c r="AD853" s="219"/>
      <c r="AE853" s="219"/>
      <c r="AF853" s="219"/>
      <c r="AG853" s="219"/>
      <c r="AH853" s="219"/>
      <c r="AI853" s="219"/>
      <c r="AJ853" s="219"/>
      <c r="AK853" s="219"/>
      <c r="AL853" s="219"/>
    </row>
    <row r="854" spans="12:38">
      <c r="L854" s="219"/>
      <c r="M854" s="219"/>
      <c r="N854" s="219"/>
      <c r="O854" s="219"/>
      <c r="P854" s="219"/>
      <c r="Q854" s="219"/>
      <c r="R854" s="219"/>
      <c r="S854" s="219"/>
      <c r="T854" s="219"/>
      <c r="U854" s="219"/>
      <c r="V854" s="219"/>
      <c r="AB854" s="219"/>
      <c r="AC854" s="219"/>
      <c r="AD854" s="219"/>
      <c r="AE854" s="219"/>
      <c r="AF854" s="219"/>
      <c r="AG854" s="219"/>
      <c r="AH854" s="219"/>
      <c r="AI854" s="219"/>
      <c r="AJ854" s="219"/>
      <c r="AK854" s="219"/>
      <c r="AL854" s="219"/>
    </row>
    <row r="855" spans="12:38">
      <c r="L855" s="219"/>
      <c r="M855" s="219"/>
      <c r="N855" s="219"/>
      <c r="O855" s="219"/>
      <c r="P855" s="219"/>
      <c r="Q855" s="219"/>
      <c r="R855" s="219"/>
      <c r="S855" s="219"/>
      <c r="T855" s="219"/>
      <c r="U855" s="219"/>
      <c r="V855" s="219"/>
      <c r="AB855" s="219"/>
      <c r="AC855" s="219"/>
      <c r="AD855" s="219"/>
      <c r="AE855" s="219"/>
      <c r="AF855" s="219"/>
      <c r="AG855" s="219"/>
      <c r="AH855" s="219"/>
      <c r="AI855" s="219"/>
      <c r="AJ855" s="219"/>
      <c r="AK855" s="219"/>
      <c r="AL855" s="219"/>
    </row>
    <row r="856" spans="12:38">
      <c r="L856" s="219"/>
      <c r="M856" s="219"/>
      <c r="N856" s="219"/>
      <c r="O856" s="219"/>
      <c r="P856" s="219"/>
      <c r="Q856" s="219"/>
      <c r="R856" s="219"/>
      <c r="S856" s="219"/>
      <c r="T856" s="219"/>
      <c r="U856" s="219"/>
      <c r="V856" s="219"/>
      <c r="AB856" s="219"/>
      <c r="AC856" s="219"/>
      <c r="AD856" s="219"/>
      <c r="AE856" s="219"/>
      <c r="AF856" s="219"/>
      <c r="AG856" s="219"/>
      <c r="AH856" s="219"/>
      <c r="AI856" s="219"/>
      <c r="AJ856" s="219"/>
      <c r="AK856" s="219"/>
      <c r="AL856" s="219"/>
    </row>
    <row r="857" spans="12:38">
      <c r="L857" s="219"/>
      <c r="M857" s="219"/>
      <c r="N857" s="219"/>
      <c r="O857" s="219"/>
      <c r="P857" s="219"/>
      <c r="Q857" s="219"/>
      <c r="R857" s="219"/>
      <c r="S857" s="219"/>
      <c r="T857" s="219"/>
      <c r="U857" s="219"/>
      <c r="V857" s="219"/>
      <c r="AB857" s="219"/>
      <c r="AC857" s="219"/>
      <c r="AD857" s="219"/>
      <c r="AE857" s="219"/>
      <c r="AF857" s="219"/>
      <c r="AG857" s="219"/>
      <c r="AH857" s="219"/>
      <c r="AI857" s="219"/>
      <c r="AJ857" s="219"/>
      <c r="AK857" s="219"/>
      <c r="AL857" s="219"/>
    </row>
    <row r="858" spans="12:38">
      <c r="L858" s="219"/>
      <c r="M858" s="219"/>
      <c r="N858" s="219"/>
      <c r="O858" s="219"/>
      <c r="P858" s="219"/>
      <c r="Q858" s="219"/>
      <c r="R858" s="219"/>
      <c r="S858" s="219"/>
      <c r="T858" s="219"/>
      <c r="U858" s="219"/>
      <c r="V858" s="219"/>
      <c r="AB858" s="219"/>
      <c r="AC858" s="219"/>
      <c r="AD858" s="219"/>
      <c r="AE858" s="219"/>
      <c r="AF858" s="219"/>
      <c r="AG858" s="219"/>
      <c r="AH858" s="219"/>
      <c r="AI858" s="219"/>
      <c r="AJ858" s="219"/>
      <c r="AK858" s="219"/>
      <c r="AL858" s="219"/>
    </row>
    <row r="859" spans="12:38">
      <c r="L859" s="219"/>
      <c r="M859" s="219"/>
      <c r="N859" s="219"/>
      <c r="O859" s="219"/>
      <c r="P859" s="219"/>
      <c r="Q859" s="219"/>
      <c r="R859" s="219"/>
      <c r="S859" s="219"/>
      <c r="T859" s="219"/>
      <c r="U859" s="219"/>
      <c r="V859" s="219"/>
      <c r="AB859" s="219"/>
      <c r="AC859" s="219"/>
      <c r="AD859" s="219"/>
      <c r="AE859" s="219"/>
      <c r="AF859" s="219"/>
      <c r="AG859" s="219"/>
      <c r="AH859" s="219"/>
      <c r="AI859" s="219"/>
      <c r="AJ859" s="219"/>
      <c r="AK859" s="219"/>
      <c r="AL859" s="219"/>
    </row>
    <row r="860" spans="12:38">
      <c r="L860" s="219"/>
      <c r="M860" s="219"/>
      <c r="N860" s="219"/>
      <c r="O860" s="219"/>
      <c r="P860" s="219"/>
      <c r="Q860" s="219"/>
      <c r="R860" s="219"/>
      <c r="S860" s="219"/>
      <c r="T860" s="219"/>
      <c r="U860" s="219"/>
      <c r="V860" s="219"/>
      <c r="AB860" s="219"/>
      <c r="AC860" s="219"/>
      <c r="AD860" s="219"/>
      <c r="AE860" s="219"/>
      <c r="AF860" s="219"/>
      <c r="AG860" s="219"/>
      <c r="AH860" s="219"/>
      <c r="AI860" s="219"/>
      <c r="AJ860" s="219"/>
      <c r="AK860" s="219"/>
      <c r="AL860" s="219"/>
    </row>
    <row r="861" spans="12:38">
      <c r="L861" s="219"/>
      <c r="M861" s="219"/>
      <c r="N861" s="219"/>
      <c r="O861" s="219"/>
      <c r="P861" s="219"/>
      <c r="Q861" s="219"/>
      <c r="R861" s="219"/>
      <c r="S861" s="219"/>
      <c r="T861" s="219"/>
      <c r="U861" s="219"/>
      <c r="V861" s="219"/>
      <c r="AB861" s="219"/>
      <c r="AC861" s="219"/>
      <c r="AD861" s="219"/>
      <c r="AE861" s="219"/>
      <c r="AF861" s="219"/>
      <c r="AG861" s="219"/>
      <c r="AH861" s="219"/>
      <c r="AI861" s="219"/>
      <c r="AJ861" s="219"/>
      <c r="AK861" s="219"/>
      <c r="AL861" s="219"/>
    </row>
    <row r="862" spans="12:38">
      <c r="L862" s="219"/>
      <c r="M862" s="219"/>
      <c r="N862" s="219"/>
      <c r="O862" s="219"/>
      <c r="P862" s="219"/>
      <c r="Q862" s="219"/>
      <c r="R862" s="219"/>
      <c r="S862" s="219"/>
      <c r="T862" s="219"/>
      <c r="U862" s="219"/>
      <c r="V862" s="219"/>
      <c r="AB862" s="219"/>
      <c r="AC862" s="219"/>
      <c r="AD862" s="219"/>
      <c r="AE862" s="219"/>
      <c r="AF862" s="219"/>
      <c r="AG862" s="219"/>
      <c r="AH862" s="219"/>
      <c r="AI862" s="219"/>
      <c r="AJ862" s="219"/>
      <c r="AK862" s="219"/>
      <c r="AL862" s="219"/>
    </row>
    <row r="863" spans="12:38">
      <c r="L863" s="219"/>
      <c r="M863" s="219"/>
      <c r="N863" s="219"/>
      <c r="O863" s="219"/>
      <c r="P863" s="219"/>
      <c r="Q863" s="219"/>
      <c r="R863" s="219"/>
      <c r="S863" s="219"/>
      <c r="T863" s="219"/>
      <c r="U863" s="219"/>
      <c r="V863" s="219"/>
      <c r="AB863" s="219"/>
      <c r="AC863" s="219"/>
      <c r="AD863" s="219"/>
      <c r="AE863" s="219"/>
      <c r="AF863" s="219"/>
      <c r="AG863" s="219"/>
      <c r="AH863" s="219"/>
      <c r="AI863" s="219"/>
      <c r="AJ863" s="219"/>
      <c r="AK863" s="219"/>
      <c r="AL863" s="219"/>
    </row>
    <row r="864" spans="12:38">
      <c r="L864" s="219"/>
      <c r="M864" s="219"/>
      <c r="N864" s="219"/>
      <c r="O864" s="219"/>
      <c r="P864" s="219"/>
      <c r="Q864" s="219"/>
      <c r="R864" s="219"/>
      <c r="S864" s="219"/>
      <c r="T864" s="219"/>
      <c r="U864" s="219"/>
      <c r="V864" s="219"/>
      <c r="AB864" s="219"/>
      <c r="AC864" s="219"/>
      <c r="AD864" s="219"/>
      <c r="AE864" s="219"/>
      <c r="AF864" s="219"/>
      <c r="AG864" s="219"/>
      <c r="AH864" s="219"/>
      <c r="AI864" s="219"/>
      <c r="AJ864" s="219"/>
      <c r="AK864" s="219"/>
      <c r="AL864" s="219"/>
    </row>
    <row r="865" spans="12:38">
      <c r="L865" s="219"/>
      <c r="M865" s="219"/>
      <c r="N865" s="219"/>
      <c r="O865" s="219"/>
      <c r="P865" s="219"/>
      <c r="Q865" s="219"/>
      <c r="R865" s="219"/>
      <c r="S865" s="219"/>
      <c r="T865" s="219"/>
      <c r="U865" s="219"/>
      <c r="V865" s="219"/>
      <c r="AB865" s="219"/>
      <c r="AC865" s="219"/>
      <c r="AD865" s="219"/>
      <c r="AE865" s="219"/>
      <c r="AF865" s="219"/>
      <c r="AG865" s="219"/>
      <c r="AH865" s="219"/>
      <c r="AI865" s="219"/>
      <c r="AJ865" s="219"/>
      <c r="AK865" s="219"/>
      <c r="AL865" s="219"/>
    </row>
    <row r="866" spans="12:38">
      <c r="L866" s="219"/>
      <c r="M866" s="219"/>
      <c r="N866" s="219"/>
      <c r="O866" s="219"/>
      <c r="P866" s="219"/>
      <c r="Q866" s="219"/>
      <c r="R866" s="219"/>
      <c r="S866" s="219"/>
      <c r="T866" s="219"/>
      <c r="U866" s="219"/>
      <c r="V866" s="219"/>
      <c r="AB866" s="219"/>
      <c r="AC866" s="219"/>
      <c r="AD866" s="219"/>
      <c r="AE866" s="219"/>
      <c r="AF866" s="219"/>
      <c r="AG866" s="219"/>
      <c r="AH866" s="219"/>
      <c r="AI866" s="219"/>
      <c r="AJ866" s="219"/>
      <c r="AK866" s="219"/>
      <c r="AL866" s="219"/>
    </row>
    <row r="867" spans="12:38">
      <c r="L867" s="219"/>
      <c r="M867" s="219"/>
      <c r="N867" s="219"/>
      <c r="O867" s="219"/>
      <c r="P867" s="219"/>
      <c r="Q867" s="219"/>
      <c r="R867" s="219"/>
      <c r="S867" s="219"/>
      <c r="T867" s="219"/>
      <c r="U867" s="219"/>
      <c r="V867" s="219"/>
      <c r="AB867" s="219"/>
      <c r="AC867" s="219"/>
      <c r="AD867" s="219"/>
      <c r="AE867" s="219"/>
      <c r="AF867" s="219"/>
      <c r="AG867" s="219"/>
      <c r="AH867" s="219"/>
      <c r="AI867" s="219"/>
      <c r="AJ867" s="219"/>
      <c r="AK867" s="219"/>
      <c r="AL867" s="219"/>
    </row>
    <row r="868" spans="12:38">
      <c r="L868" s="219"/>
      <c r="M868" s="219"/>
      <c r="N868" s="219"/>
      <c r="O868" s="219"/>
      <c r="P868" s="219"/>
      <c r="Q868" s="219"/>
      <c r="R868" s="219"/>
      <c r="S868" s="219"/>
      <c r="T868" s="219"/>
      <c r="U868" s="219"/>
      <c r="V868" s="219"/>
      <c r="AB868" s="219"/>
      <c r="AC868" s="219"/>
      <c r="AD868" s="219"/>
      <c r="AE868" s="219"/>
      <c r="AF868" s="219"/>
      <c r="AG868" s="219"/>
      <c r="AH868" s="219"/>
      <c r="AI868" s="219"/>
      <c r="AJ868" s="219"/>
      <c r="AK868" s="219"/>
      <c r="AL868" s="219"/>
    </row>
    <row r="869" spans="12:38">
      <c r="L869" s="219"/>
      <c r="M869" s="219"/>
      <c r="N869" s="219"/>
      <c r="O869" s="219"/>
      <c r="P869" s="219"/>
      <c r="Q869" s="219"/>
      <c r="R869" s="219"/>
      <c r="S869" s="219"/>
      <c r="T869" s="219"/>
      <c r="U869" s="219"/>
      <c r="V869" s="219"/>
      <c r="AB869" s="219"/>
      <c r="AC869" s="219"/>
      <c r="AD869" s="219"/>
      <c r="AE869" s="219"/>
      <c r="AF869" s="219"/>
      <c r="AG869" s="219"/>
      <c r="AH869" s="219"/>
      <c r="AI869" s="219"/>
      <c r="AJ869" s="219"/>
      <c r="AK869" s="219"/>
      <c r="AL869" s="219"/>
    </row>
    <row r="870" spans="12:38">
      <c r="L870" s="219"/>
      <c r="M870" s="219"/>
      <c r="N870" s="219"/>
      <c r="O870" s="219"/>
      <c r="P870" s="219"/>
      <c r="Q870" s="219"/>
      <c r="R870" s="219"/>
      <c r="S870" s="219"/>
      <c r="T870" s="219"/>
      <c r="U870" s="219"/>
      <c r="V870" s="219"/>
      <c r="AB870" s="219"/>
      <c r="AC870" s="219"/>
      <c r="AD870" s="219"/>
      <c r="AE870" s="219"/>
      <c r="AF870" s="219"/>
      <c r="AG870" s="219"/>
      <c r="AH870" s="219"/>
      <c r="AI870" s="219"/>
      <c r="AJ870" s="219"/>
      <c r="AK870" s="219"/>
      <c r="AL870" s="219"/>
    </row>
    <row r="871" spans="12:38">
      <c r="L871" s="219"/>
      <c r="M871" s="219"/>
      <c r="N871" s="219"/>
      <c r="O871" s="219"/>
      <c r="P871" s="219"/>
      <c r="Q871" s="219"/>
      <c r="R871" s="219"/>
      <c r="S871" s="219"/>
      <c r="T871" s="219"/>
      <c r="U871" s="219"/>
      <c r="V871" s="219"/>
      <c r="AB871" s="219"/>
      <c r="AC871" s="219"/>
      <c r="AD871" s="219"/>
      <c r="AE871" s="219"/>
      <c r="AF871" s="219"/>
      <c r="AG871" s="219"/>
      <c r="AH871" s="219"/>
      <c r="AI871" s="219"/>
      <c r="AJ871" s="219"/>
      <c r="AK871" s="219"/>
      <c r="AL871" s="219"/>
    </row>
    <row r="872" spans="12:38">
      <c r="L872" s="219"/>
      <c r="M872" s="219"/>
      <c r="N872" s="219"/>
      <c r="O872" s="219"/>
      <c r="P872" s="219"/>
      <c r="Q872" s="219"/>
      <c r="R872" s="219"/>
      <c r="S872" s="219"/>
      <c r="T872" s="219"/>
      <c r="U872" s="219"/>
      <c r="V872" s="219"/>
      <c r="AB872" s="219"/>
      <c r="AC872" s="219"/>
      <c r="AD872" s="219"/>
      <c r="AE872" s="219"/>
      <c r="AF872" s="219"/>
      <c r="AG872" s="219"/>
      <c r="AH872" s="219"/>
      <c r="AI872" s="219"/>
      <c r="AJ872" s="219"/>
      <c r="AK872" s="219"/>
      <c r="AL872" s="219"/>
    </row>
    <row r="873" spans="12:38">
      <c r="L873" s="219"/>
      <c r="M873" s="219"/>
      <c r="N873" s="219"/>
      <c r="O873" s="219"/>
      <c r="P873" s="219"/>
      <c r="Q873" s="219"/>
      <c r="R873" s="219"/>
      <c r="S873" s="219"/>
      <c r="T873" s="219"/>
      <c r="U873" s="219"/>
      <c r="V873" s="219"/>
      <c r="AB873" s="219"/>
      <c r="AC873" s="219"/>
      <c r="AD873" s="219"/>
      <c r="AE873" s="219"/>
      <c r="AF873" s="219"/>
      <c r="AG873" s="219"/>
      <c r="AH873" s="219"/>
      <c r="AI873" s="219"/>
      <c r="AJ873" s="219"/>
      <c r="AK873" s="219"/>
      <c r="AL873" s="219"/>
    </row>
    <row r="874" spans="12:38">
      <c r="L874" s="219"/>
      <c r="M874" s="219"/>
      <c r="N874" s="219"/>
      <c r="O874" s="219"/>
      <c r="P874" s="219"/>
      <c r="Q874" s="219"/>
      <c r="R874" s="219"/>
      <c r="S874" s="219"/>
      <c r="T874" s="219"/>
      <c r="U874" s="219"/>
      <c r="V874" s="219"/>
      <c r="AB874" s="219"/>
      <c r="AC874" s="219"/>
      <c r="AD874" s="219"/>
      <c r="AE874" s="219"/>
      <c r="AF874" s="219"/>
      <c r="AG874" s="219"/>
      <c r="AH874" s="219"/>
      <c r="AI874" s="219"/>
      <c r="AJ874" s="219"/>
      <c r="AK874" s="219"/>
      <c r="AL874" s="219"/>
    </row>
    <row r="875" spans="12:38">
      <c r="L875" s="219"/>
      <c r="M875" s="219"/>
      <c r="N875" s="219"/>
      <c r="O875" s="219"/>
      <c r="P875" s="219"/>
      <c r="Q875" s="219"/>
      <c r="R875" s="219"/>
      <c r="S875" s="219"/>
      <c r="T875" s="219"/>
      <c r="U875" s="219"/>
      <c r="V875" s="219"/>
      <c r="AB875" s="219"/>
      <c r="AC875" s="219"/>
      <c r="AD875" s="219"/>
      <c r="AE875" s="219"/>
      <c r="AF875" s="219"/>
      <c r="AG875" s="219"/>
      <c r="AH875" s="219"/>
      <c r="AI875" s="219"/>
      <c r="AJ875" s="219"/>
      <c r="AK875" s="219"/>
      <c r="AL875" s="219"/>
    </row>
    <row r="876" spans="12:38">
      <c r="L876" s="219"/>
      <c r="M876" s="219"/>
      <c r="N876" s="219"/>
      <c r="O876" s="219"/>
      <c r="P876" s="219"/>
      <c r="Q876" s="219"/>
      <c r="R876" s="219"/>
      <c r="S876" s="219"/>
      <c r="T876" s="219"/>
      <c r="U876" s="219"/>
      <c r="V876" s="219"/>
      <c r="AB876" s="219"/>
      <c r="AC876" s="219"/>
      <c r="AD876" s="219"/>
      <c r="AE876" s="219"/>
      <c r="AF876" s="219"/>
      <c r="AG876" s="219"/>
      <c r="AH876" s="219"/>
      <c r="AI876" s="219"/>
      <c r="AJ876" s="219"/>
      <c r="AK876" s="219"/>
      <c r="AL876" s="219"/>
    </row>
    <row r="877" spans="12:38">
      <c r="L877" s="219"/>
      <c r="M877" s="219"/>
      <c r="N877" s="219"/>
      <c r="O877" s="219"/>
      <c r="P877" s="219"/>
      <c r="Q877" s="219"/>
      <c r="R877" s="219"/>
      <c r="S877" s="219"/>
      <c r="T877" s="219"/>
      <c r="U877" s="219"/>
      <c r="V877" s="219"/>
      <c r="AB877" s="219"/>
      <c r="AC877" s="219"/>
      <c r="AD877" s="219"/>
      <c r="AE877" s="219"/>
      <c r="AF877" s="219"/>
      <c r="AG877" s="219"/>
      <c r="AH877" s="219"/>
      <c r="AI877" s="219"/>
      <c r="AJ877" s="219"/>
      <c r="AK877" s="219"/>
      <c r="AL877" s="219"/>
    </row>
    <row r="878" spans="12:38">
      <c r="L878" s="219"/>
      <c r="M878" s="219"/>
      <c r="N878" s="219"/>
      <c r="O878" s="219"/>
      <c r="P878" s="219"/>
      <c r="Q878" s="219"/>
      <c r="R878" s="219"/>
      <c r="S878" s="219"/>
      <c r="T878" s="219"/>
      <c r="U878" s="219"/>
      <c r="V878" s="219"/>
      <c r="AB878" s="219"/>
      <c r="AC878" s="219"/>
      <c r="AD878" s="219"/>
      <c r="AE878" s="219"/>
      <c r="AF878" s="219"/>
      <c r="AG878" s="219"/>
      <c r="AH878" s="219"/>
      <c r="AI878" s="219"/>
      <c r="AJ878" s="219"/>
      <c r="AK878" s="219"/>
      <c r="AL878" s="219"/>
    </row>
    <row r="879" spans="12:38">
      <c r="L879" s="219"/>
      <c r="M879" s="219"/>
      <c r="N879" s="219"/>
      <c r="O879" s="219"/>
      <c r="P879" s="219"/>
      <c r="Q879" s="219"/>
      <c r="R879" s="219"/>
      <c r="S879" s="219"/>
      <c r="T879" s="219"/>
      <c r="U879" s="219"/>
      <c r="V879" s="219"/>
      <c r="AB879" s="219"/>
      <c r="AC879" s="219"/>
      <c r="AD879" s="219"/>
      <c r="AE879" s="219"/>
      <c r="AF879" s="219"/>
      <c r="AG879" s="219"/>
      <c r="AH879" s="219"/>
      <c r="AI879" s="219"/>
      <c r="AJ879" s="219"/>
      <c r="AK879" s="219"/>
      <c r="AL879" s="219"/>
    </row>
    <row r="880" spans="12:38">
      <c r="L880" s="219"/>
      <c r="M880" s="219"/>
      <c r="N880" s="219"/>
      <c r="O880" s="219"/>
      <c r="P880" s="219"/>
      <c r="Q880" s="219"/>
      <c r="R880" s="219"/>
      <c r="S880" s="219"/>
      <c r="T880" s="219"/>
      <c r="U880" s="219"/>
      <c r="V880" s="219"/>
      <c r="AB880" s="219"/>
      <c r="AC880" s="219"/>
      <c r="AD880" s="219"/>
      <c r="AE880" s="219"/>
      <c r="AF880" s="219"/>
      <c r="AG880" s="219"/>
      <c r="AH880" s="219"/>
      <c r="AI880" s="219"/>
      <c r="AJ880" s="219"/>
      <c r="AK880" s="219"/>
      <c r="AL880" s="219"/>
    </row>
    <row r="881" spans="12:38">
      <c r="L881" s="219"/>
      <c r="M881" s="219"/>
      <c r="N881" s="219"/>
      <c r="O881" s="219"/>
      <c r="P881" s="219"/>
      <c r="Q881" s="219"/>
      <c r="R881" s="219"/>
      <c r="S881" s="219"/>
      <c r="T881" s="219"/>
      <c r="U881" s="219"/>
      <c r="V881" s="219"/>
      <c r="AB881" s="219"/>
      <c r="AC881" s="219"/>
      <c r="AD881" s="219"/>
      <c r="AE881" s="219"/>
      <c r="AF881" s="219"/>
      <c r="AG881" s="219"/>
      <c r="AH881" s="219"/>
      <c r="AI881" s="219"/>
      <c r="AJ881" s="219"/>
      <c r="AK881" s="219"/>
      <c r="AL881" s="219"/>
    </row>
    <row r="882" spans="12:38">
      <c r="L882" s="219"/>
      <c r="M882" s="219"/>
      <c r="N882" s="219"/>
      <c r="O882" s="219"/>
      <c r="P882" s="219"/>
      <c r="Q882" s="219"/>
      <c r="R882" s="219"/>
      <c r="S882" s="219"/>
      <c r="T882" s="219"/>
      <c r="U882" s="219"/>
      <c r="V882" s="219"/>
      <c r="AB882" s="219"/>
      <c r="AC882" s="219"/>
      <c r="AD882" s="219"/>
      <c r="AE882" s="219"/>
      <c r="AF882" s="219"/>
      <c r="AG882" s="219"/>
      <c r="AH882" s="219"/>
      <c r="AI882" s="219"/>
      <c r="AJ882" s="219"/>
      <c r="AK882" s="219"/>
      <c r="AL882" s="219"/>
    </row>
    <row r="883" spans="12:38">
      <c r="L883" s="219"/>
      <c r="M883" s="219"/>
      <c r="N883" s="219"/>
      <c r="O883" s="219"/>
      <c r="P883" s="219"/>
      <c r="Q883" s="219"/>
      <c r="R883" s="219"/>
      <c r="S883" s="219"/>
      <c r="T883" s="219"/>
      <c r="U883" s="219"/>
      <c r="V883" s="219"/>
      <c r="AB883" s="219"/>
      <c r="AC883" s="219"/>
      <c r="AD883" s="219"/>
      <c r="AE883" s="219"/>
      <c r="AF883" s="219"/>
      <c r="AG883" s="219"/>
      <c r="AH883" s="219"/>
      <c r="AI883" s="219"/>
      <c r="AJ883" s="219"/>
      <c r="AK883" s="219"/>
      <c r="AL883" s="219"/>
    </row>
    <row r="884" spans="12:38">
      <c r="L884" s="219"/>
      <c r="M884" s="219"/>
      <c r="N884" s="219"/>
      <c r="O884" s="219"/>
      <c r="P884" s="219"/>
      <c r="Q884" s="219"/>
      <c r="R884" s="219"/>
      <c r="S884" s="219"/>
      <c r="T884" s="219"/>
      <c r="U884" s="219"/>
      <c r="V884" s="219"/>
      <c r="AB884" s="219"/>
      <c r="AC884" s="219"/>
      <c r="AD884" s="219"/>
      <c r="AE884" s="219"/>
      <c r="AF884" s="219"/>
      <c r="AG884" s="219"/>
      <c r="AH884" s="219"/>
      <c r="AI884" s="219"/>
      <c r="AJ884" s="219"/>
      <c r="AK884" s="219"/>
      <c r="AL884" s="219"/>
    </row>
    <row r="885" spans="12:38">
      <c r="L885" s="219"/>
      <c r="M885" s="219"/>
      <c r="N885" s="219"/>
      <c r="O885" s="219"/>
      <c r="P885" s="219"/>
      <c r="Q885" s="219"/>
      <c r="R885" s="219"/>
      <c r="S885" s="219"/>
      <c r="T885" s="219"/>
      <c r="U885" s="219"/>
      <c r="V885" s="219"/>
      <c r="AB885" s="219"/>
      <c r="AC885" s="219"/>
      <c r="AD885" s="219"/>
      <c r="AE885" s="219"/>
      <c r="AF885" s="219"/>
      <c r="AG885" s="219"/>
      <c r="AH885" s="219"/>
      <c r="AI885" s="219"/>
      <c r="AJ885" s="219"/>
      <c r="AK885" s="219"/>
      <c r="AL885" s="219"/>
    </row>
    <row r="886" spans="12:38">
      <c r="L886" s="219"/>
      <c r="M886" s="219"/>
      <c r="N886" s="219"/>
      <c r="O886" s="219"/>
      <c r="P886" s="219"/>
      <c r="Q886" s="219"/>
      <c r="R886" s="219"/>
      <c r="S886" s="219"/>
      <c r="T886" s="219"/>
      <c r="U886" s="219"/>
      <c r="V886" s="219"/>
      <c r="AB886" s="219"/>
      <c r="AC886" s="219"/>
      <c r="AD886" s="219"/>
      <c r="AE886" s="219"/>
      <c r="AF886" s="219"/>
      <c r="AG886" s="219"/>
      <c r="AH886" s="219"/>
      <c r="AI886" s="219"/>
      <c r="AJ886" s="219"/>
      <c r="AK886" s="219"/>
      <c r="AL886" s="219"/>
    </row>
    <row r="887" spans="12:38">
      <c r="L887" s="219"/>
      <c r="M887" s="219"/>
      <c r="N887" s="219"/>
      <c r="O887" s="219"/>
      <c r="P887" s="219"/>
      <c r="Q887" s="219"/>
      <c r="R887" s="219"/>
      <c r="S887" s="219"/>
      <c r="T887" s="219"/>
      <c r="U887" s="219"/>
      <c r="V887" s="219"/>
      <c r="AB887" s="219"/>
      <c r="AC887" s="219"/>
      <c r="AD887" s="219"/>
      <c r="AE887" s="219"/>
      <c r="AF887" s="219"/>
      <c r="AG887" s="219"/>
      <c r="AH887" s="219"/>
      <c r="AI887" s="219"/>
      <c r="AJ887" s="219"/>
      <c r="AK887" s="219"/>
      <c r="AL887" s="219"/>
    </row>
    <row r="888" spans="12:38">
      <c r="L888" s="219"/>
      <c r="M888" s="219"/>
      <c r="N888" s="219"/>
      <c r="O888" s="219"/>
      <c r="P888" s="219"/>
      <c r="Q888" s="219"/>
      <c r="R888" s="219"/>
      <c r="S888" s="219"/>
      <c r="T888" s="219"/>
      <c r="U888" s="219"/>
      <c r="V888" s="219"/>
      <c r="AB888" s="219"/>
      <c r="AC888" s="219"/>
      <c r="AD888" s="219"/>
      <c r="AE888" s="219"/>
      <c r="AF888" s="219"/>
      <c r="AG888" s="219"/>
      <c r="AH888" s="219"/>
      <c r="AI888" s="219"/>
      <c r="AJ888" s="219"/>
      <c r="AK888" s="219"/>
      <c r="AL888" s="219"/>
    </row>
    <row r="889" spans="12:38">
      <c r="L889" s="219"/>
      <c r="M889" s="219"/>
      <c r="N889" s="219"/>
      <c r="O889" s="219"/>
      <c r="P889" s="219"/>
      <c r="Q889" s="219"/>
      <c r="R889" s="219"/>
      <c r="S889" s="219"/>
      <c r="T889" s="219"/>
      <c r="U889" s="219"/>
      <c r="V889" s="219"/>
      <c r="AB889" s="219"/>
      <c r="AC889" s="219"/>
      <c r="AD889" s="219"/>
      <c r="AE889" s="219"/>
      <c r="AF889" s="219"/>
      <c r="AG889" s="219"/>
      <c r="AH889" s="219"/>
      <c r="AI889" s="219"/>
      <c r="AJ889" s="219"/>
      <c r="AK889" s="219"/>
      <c r="AL889" s="219"/>
    </row>
    <row r="890" spans="12:38">
      <c r="L890" s="219"/>
      <c r="M890" s="219"/>
      <c r="N890" s="219"/>
      <c r="O890" s="219"/>
      <c r="P890" s="219"/>
      <c r="Q890" s="219"/>
      <c r="R890" s="219"/>
      <c r="S890" s="219"/>
      <c r="T890" s="219"/>
      <c r="U890" s="219"/>
      <c r="V890" s="219"/>
      <c r="AB890" s="219"/>
      <c r="AC890" s="219"/>
      <c r="AD890" s="219"/>
      <c r="AE890" s="219"/>
      <c r="AF890" s="219"/>
      <c r="AG890" s="219"/>
      <c r="AH890" s="219"/>
      <c r="AI890" s="219"/>
      <c r="AJ890" s="219"/>
      <c r="AK890" s="219"/>
      <c r="AL890" s="219"/>
    </row>
    <row r="891" spans="12:38">
      <c r="L891" s="219"/>
      <c r="M891" s="219"/>
      <c r="N891" s="219"/>
      <c r="O891" s="219"/>
      <c r="P891" s="219"/>
      <c r="Q891" s="219"/>
      <c r="R891" s="219"/>
      <c r="S891" s="219"/>
      <c r="T891" s="219"/>
      <c r="U891" s="219"/>
      <c r="V891" s="219"/>
      <c r="AB891" s="219"/>
      <c r="AC891" s="219"/>
      <c r="AD891" s="219"/>
      <c r="AE891" s="219"/>
      <c r="AF891" s="219"/>
      <c r="AG891" s="219"/>
      <c r="AH891" s="219"/>
      <c r="AI891" s="219"/>
      <c r="AJ891" s="219"/>
      <c r="AK891" s="219"/>
      <c r="AL891" s="219"/>
    </row>
    <row r="892" spans="12:38">
      <c r="L892" s="219"/>
      <c r="M892" s="219"/>
      <c r="N892" s="219"/>
      <c r="O892" s="219"/>
      <c r="P892" s="219"/>
      <c r="Q892" s="219"/>
      <c r="R892" s="219"/>
      <c r="S892" s="219"/>
      <c r="T892" s="219"/>
      <c r="U892" s="219"/>
      <c r="V892" s="219"/>
      <c r="AB892" s="219"/>
      <c r="AC892" s="219"/>
      <c r="AD892" s="219"/>
      <c r="AE892" s="219"/>
      <c r="AF892" s="219"/>
      <c r="AG892" s="219"/>
      <c r="AH892" s="219"/>
      <c r="AI892" s="219"/>
      <c r="AJ892" s="219"/>
      <c r="AK892" s="219"/>
      <c r="AL892" s="219"/>
    </row>
    <row r="893" spans="12:38">
      <c r="L893" s="219"/>
      <c r="M893" s="219"/>
      <c r="N893" s="219"/>
      <c r="O893" s="219"/>
      <c r="P893" s="219"/>
      <c r="Q893" s="219"/>
      <c r="R893" s="219"/>
      <c r="S893" s="219"/>
      <c r="T893" s="219"/>
      <c r="U893" s="219"/>
      <c r="V893" s="219"/>
      <c r="AB893" s="219"/>
      <c r="AC893" s="219"/>
      <c r="AD893" s="219"/>
      <c r="AE893" s="219"/>
      <c r="AF893" s="219"/>
      <c r="AG893" s="219"/>
      <c r="AH893" s="219"/>
      <c r="AI893" s="219"/>
      <c r="AJ893" s="219"/>
      <c r="AK893" s="219"/>
      <c r="AL893" s="219"/>
    </row>
    <row r="894" spans="12:38">
      <c r="L894" s="219"/>
      <c r="M894" s="219"/>
      <c r="N894" s="219"/>
      <c r="O894" s="219"/>
      <c r="P894" s="219"/>
      <c r="Q894" s="219"/>
      <c r="R894" s="219"/>
      <c r="S894" s="219"/>
      <c r="T894" s="219"/>
      <c r="U894" s="219"/>
      <c r="V894" s="219"/>
      <c r="AB894" s="219"/>
      <c r="AC894" s="219"/>
      <c r="AD894" s="219"/>
      <c r="AE894" s="219"/>
      <c r="AF894" s="219"/>
      <c r="AG894" s="219"/>
      <c r="AH894" s="219"/>
      <c r="AI894" s="219"/>
      <c r="AJ894" s="219"/>
      <c r="AK894" s="219"/>
      <c r="AL894" s="219"/>
    </row>
    <row r="895" spans="12:38">
      <c r="L895" s="219"/>
      <c r="M895" s="219"/>
      <c r="N895" s="219"/>
      <c r="O895" s="219"/>
      <c r="P895" s="219"/>
      <c r="Q895" s="219"/>
      <c r="R895" s="219"/>
      <c r="S895" s="219"/>
      <c r="T895" s="219"/>
      <c r="U895" s="219"/>
      <c r="V895" s="219"/>
      <c r="AB895" s="219"/>
      <c r="AC895" s="219"/>
      <c r="AD895" s="219"/>
      <c r="AE895" s="219"/>
      <c r="AF895" s="219"/>
      <c r="AG895" s="219"/>
      <c r="AH895" s="219"/>
      <c r="AI895" s="219"/>
      <c r="AJ895" s="219"/>
      <c r="AK895" s="219"/>
      <c r="AL895" s="219"/>
    </row>
    <row r="896" spans="12:38">
      <c r="L896" s="219"/>
      <c r="M896" s="219"/>
      <c r="N896" s="219"/>
      <c r="O896" s="219"/>
      <c r="P896" s="219"/>
      <c r="Q896" s="219"/>
      <c r="R896" s="219"/>
      <c r="S896" s="219"/>
      <c r="T896" s="219"/>
      <c r="U896" s="219"/>
      <c r="V896" s="219"/>
      <c r="AB896" s="219"/>
      <c r="AC896" s="219"/>
      <c r="AD896" s="219"/>
      <c r="AE896" s="219"/>
      <c r="AF896" s="219"/>
      <c r="AG896" s="219"/>
      <c r="AH896" s="219"/>
      <c r="AI896" s="219"/>
      <c r="AJ896" s="219"/>
      <c r="AK896" s="219"/>
      <c r="AL896" s="219"/>
    </row>
    <row r="897" spans="12:38">
      <c r="L897" s="219"/>
      <c r="M897" s="219"/>
      <c r="N897" s="219"/>
      <c r="O897" s="219"/>
      <c r="P897" s="219"/>
      <c r="Q897" s="219"/>
      <c r="R897" s="219"/>
      <c r="S897" s="219"/>
      <c r="T897" s="219"/>
      <c r="U897" s="219"/>
      <c r="V897" s="219"/>
      <c r="AB897" s="219"/>
      <c r="AC897" s="219"/>
      <c r="AD897" s="219"/>
      <c r="AE897" s="219"/>
      <c r="AF897" s="219"/>
      <c r="AG897" s="219"/>
      <c r="AH897" s="219"/>
      <c r="AI897" s="219"/>
      <c r="AJ897" s="219"/>
      <c r="AK897" s="219"/>
      <c r="AL897" s="219"/>
    </row>
    <row r="898" spans="12:38">
      <c r="L898" s="219"/>
      <c r="M898" s="219"/>
      <c r="N898" s="219"/>
      <c r="O898" s="219"/>
      <c r="P898" s="219"/>
      <c r="Q898" s="219"/>
      <c r="R898" s="219"/>
      <c r="S898" s="219"/>
      <c r="T898" s="219"/>
      <c r="U898" s="219"/>
      <c r="V898" s="219"/>
      <c r="AB898" s="219"/>
      <c r="AC898" s="219"/>
      <c r="AD898" s="219"/>
      <c r="AE898" s="219"/>
      <c r="AF898" s="219"/>
      <c r="AG898" s="219"/>
      <c r="AH898" s="219"/>
      <c r="AI898" s="219"/>
      <c r="AJ898" s="219"/>
      <c r="AK898" s="219"/>
      <c r="AL898" s="219"/>
    </row>
    <row r="899" spans="12:38">
      <c r="L899" s="219"/>
      <c r="M899" s="219"/>
      <c r="N899" s="219"/>
      <c r="O899" s="219"/>
      <c r="P899" s="219"/>
      <c r="Q899" s="219"/>
      <c r="R899" s="219"/>
      <c r="S899" s="219"/>
      <c r="T899" s="219"/>
      <c r="U899" s="219"/>
      <c r="V899" s="219"/>
      <c r="AB899" s="219"/>
      <c r="AC899" s="219"/>
      <c r="AD899" s="219"/>
      <c r="AE899" s="219"/>
      <c r="AF899" s="219"/>
      <c r="AG899" s="219"/>
      <c r="AH899" s="219"/>
      <c r="AI899" s="219"/>
      <c r="AJ899" s="219"/>
      <c r="AK899" s="219"/>
      <c r="AL899" s="219"/>
    </row>
    <row r="900" spans="12:38">
      <c r="L900" s="219"/>
      <c r="M900" s="219"/>
      <c r="N900" s="219"/>
      <c r="O900" s="219"/>
      <c r="P900" s="219"/>
      <c r="Q900" s="219"/>
      <c r="R900" s="219"/>
      <c r="S900" s="219"/>
      <c r="T900" s="219"/>
      <c r="U900" s="219"/>
      <c r="V900" s="219"/>
      <c r="AB900" s="219"/>
      <c r="AC900" s="219"/>
      <c r="AD900" s="219"/>
      <c r="AE900" s="219"/>
      <c r="AF900" s="219"/>
      <c r="AG900" s="219"/>
      <c r="AH900" s="219"/>
      <c r="AI900" s="219"/>
      <c r="AJ900" s="219"/>
      <c r="AK900" s="219"/>
      <c r="AL900" s="219"/>
    </row>
    <row r="901" spans="12:38">
      <c r="L901" s="219"/>
      <c r="M901" s="219"/>
      <c r="N901" s="219"/>
      <c r="O901" s="219"/>
      <c r="P901" s="219"/>
      <c r="Q901" s="219"/>
      <c r="R901" s="219"/>
      <c r="S901" s="219"/>
      <c r="T901" s="219"/>
      <c r="U901" s="219"/>
      <c r="V901" s="219"/>
      <c r="AB901" s="219"/>
      <c r="AC901" s="219"/>
      <c r="AD901" s="219"/>
      <c r="AE901" s="219"/>
      <c r="AF901" s="219"/>
      <c r="AG901" s="219"/>
      <c r="AH901" s="219"/>
      <c r="AI901" s="219"/>
      <c r="AJ901" s="219"/>
      <c r="AK901" s="219"/>
      <c r="AL901" s="219"/>
    </row>
    <row r="902" spans="12:38">
      <c r="L902" s="219"/>
      <c r="M902" s="219"/>
      <c r="N902" s="219"/>
      <c r="O902" s="219"/>
      <c r="P902" s="219"/>
      <c r="Q902" s="219"/>
      <c r="R902" s="219"/>
      <c r="S902" s="219"/>
      <c r="T902" s="219"/>
      <c r="U902" s="219"/>
      <c r="V902" s="219"/>
      <c r="AB902" s="219"/>
      <c r="AC902" s="219"/>
      <c r="AD902" s="219"/>
      <c r="AE902" s="219"/>
      <c r="AF902" s="219"/>
      <c r="AG902" s="219"/>
      <c r="AH902" s="219"/>
      <c r="AI902" s="219"/>
      <c r="AJ902" s="219"/>
      <c r="AK902" s="219"/>
      <c r="AL902" s="219"/>
    </row>
    <row r="903" spans="12:38">
      <c r="L903" s="219"/>
      <c r="M903" s="219"/>
      <c r="N903" s="219"/>
      <c r="O903" s="219"/>
      <c r="P903" s="219"/>
      <c r="Q903" s="219"/>
      <c r="R903" s="219"/>
      <c r="S903" s="219"/>
      <c r="T903" s="219"/>
      <c r="U903" s="219"/>
      <c r="V903" s="219"/>
      <c r="AB903" s="219"/>
      <c r="AC903" s="219"/>
      <c r="AD903" s="219"/>
      <c r="AE903" s="219"/>
      <c r="AF903" s="219"/>
      <c r="AG903" s="219"/>
      <c r="AH903" s="219"/>
      <c r="AI903" s="219"/>
      <c r="AJ903" s="219"/>
      <c r="AK903" s="219"/>
      <c r="AL903" s="219"/>
    </row>
    <row r="904" spans="12:38">
      <c r="L904" s="219"/>
      <c r="M904" s="219"/>
      <c r="N904" s="219"/>
      <c r="O904" s="219"/>
      <c r="P904" s="219"/>
      <c r="Q904" s="219"/>
      <c r="R904" s="219"/>
      <c r="S904" s="219"/>
      <c r="T904" s="219"/>
      <c r="U904" s="219"/>
      <c r="V904" s="219"/>
      <c r="AB904" s="219"/>
      <c r="AC904" s="219"/>
      <c r="AD904" s="219"/>
      <c r="AE904" s="219"/>
      <c r="AF904" s="219"/>
      <c r="AG904" s="219"/>
      <c r="AH904" s="219"/>
      <c r="AI904" s="219"/>
      <c r="AJ904" s="219"/>
      <c r="AK904" s="219"/>
      <c r="AL904" s="219"/>
    </row>
    <row r="905" spans="12:38">
      <c r="L905" s="219"/>
      <c r="M905" s="219"/>
      <c r="N905" s="219"/>
      <c r="O905" s="219"/>
      <c r="P905" s="219"/>
      <c r="Q905" s="219"/>
      <c r="R905" s="219"/>
      <c r="S905" s="219"/>
      <c r="T905" s="219"/>
      <c r="U905" s="219"/>
      <c r="V905" s="219"/>
      <c r="AB905" s="219"/>
      <c r="AC905" s="219"/>
      <c r="AD905" s="219"/>
      <c r="AE905" s="219"/>
      <c r="AF905" s="219"/>
      <c r="AG905" s="219"/>
      <c r="AH905" s="219"/>
      <c r="AI905" s="219"/>
      <c r="AJ905" s="219"/>
      <c r="AK905" s="219"/>
      <c r="AL905" s="219"/>
    </row>
    <row r="906" spans="12:38">
      <c r="L906" s="219"/>
      <c r="M906" s="219"/>
      <c r="N906" s="219"/>
      <c r="O906" s="219"/>
      <c r="P906" s="219"/>
      <c r="Q906" s="219"/>
      <c r="R906" s="219"/>
      <c r="S906" s="219"/>
      <c r="T906" s="219"/>
      <c r="U906" s="219"/>
      <c r="V906" s="219"/>
      <c r="AB906" s="219"/>
      <c r="AC906" s="219"/>
      <c r="AD906" s="219"/>
      <c r="AE906" s="219"/>
      <c r="AF906" s="219"/>
      <c r="AG906" s="219"/>
      <c r="AH906" s="219"/>
      <c r="AI906" s="219"/>
      <c r="AJ906" s="219"/>
      <c r="AK906" s="219"/>
      <c r="AL906" s="219"/>
    </row>
    <row r="907" spans="12:38">
      <c r="L907" s="219"/>
      <c r="M907" s="219"/>
      <c r="N907" s="219"/>
      <c r="O907" s="219"/>
      <c r="P907" s="219"/>
      <c r="Q907" s="219"/>
      <c r="R907" s="219"/>
      <c r="S907" s="219"/>
      <c r="T907" s="219"/>
      <c r="U907" s="219"/>
      <c r="V907" s="219"/>
      <c r="AB907" s="219"/>
      <c r="AC907" s="219"/>
      <c r="AD907" s="219"/>
      <c r="AE907" s="219"/>
      <c r="AF907" s="219"/>
      <c r="AG907" s="219"/>
      <c r="AH907" s="219"/>
      <c r="AI907" s="219"/>
      <c r="AJ907" s="219"/>
      <c r="AK907" s="219"/>
      <c r="AL907" s="219"/>
    </row>
    <row r="908" spans="12:38">
      <c r="L908" s="219"/>
      <c r="M908" s="219"/>
      <c r="N908" s="219"/>
      <c r="O908" s="219"/>
      <c r="P908" s="219"/>
      <c r="Q908" s="219"/>
      <c r="R908" s="219"/>
      <c r="S908" s="219"/>
      <c r="T908" s="219"/>
      <c r="U908" s="219"/>
      <c r="V908" s="219"/>
      <c r="AB908" s="219"/>
      <c r="AC908" s="219"/>
      <c r="AD908" s="219"/>
      <c r="AE908" s="219"/>
      <c r="AF908" s="219"/>
      <c r="AG908" s="219"/>
      <c r="AH908" s="219"/>
      <c r="AI908" s="219"/>
      <c r="AJ908" s="219"/>
      <c r="AK908" s="219"/>
      <c r="AL908" s="219"/>
    </row>
    <row r="909" spans="12:38">
      <c r="L909" s="219"/>
      <c r="M909" s="219"/>
      <c r="N909" s="219"/>
      <c r="O909" s="219"/>
      <c r="P909" s="219"/>
      <c r="Q909" s="219"/>
      <c r="R909" s="219"/>
      <c r="S909" s="219"/>
      <c r="T909" s="219"/>
      <c r="U909" s="219"/>
      <c r="V909" s="219"/>
      <c r="AB909" s="219"/>
      <c r="AC909" s="219"/>
      <c r="AD909" s="219"/>
      <c r="AE909" s="219"/>
      <c r="AF909" s="219"/>
      <c r="AG909" s="219"/>
      <c r="AH909" s="219"/>
      <c r="AI909" s="219"/>
      <c r="AJ909" s="219"/>
      <c r="AK909" s="219"/>
      <c r="AL909" s="219"/>
    </row>
    <row r="910" spans="12:38">
      <c r="L910" s="219"/>
      <c r="M910" s="219"/>
      <c r="N910" s="219"/>
      <c r="O910" s="219"/>
      <c r="P910" s="219"/>
      <c r="Q910" s="219"/>
      <c r="R910" s="219"/>
      <c r="S910" s="219"/>
      <c r="T910" s="219"/>
      <c r="U910" s="219"/>
      <c r="V910" s="219"/>
      <c r="AB910" s="219"/>
      <c r="AC910" s="219"/>
      <c r="AD910" s="219"/>
      <c r="AE910" s="219"/>
      <c r="AF910" s="219"/>
      <c r="AG910" s="219"/>
      <c r="AH910" s="219"/>
      <c r="AI910" s="219"/>
      <c r="AJ910" s="219"/>
      <c r="AK910" s="219"/>
      <c r="AL910" s="219"/>
    </row>
    <row r="911" spans="12:38">
      <c r="L911" s="219"/>
      <c r="M911" s="219"/>
      <c r="N911" s="219"/>
      <c r="O911" s="219"/>
      <c r="P911" s="219"/>
      <c r="Q911" s="219"/>
      <c r="R911" s="219"/>
      <c r="S911" s="219"/>
      <c r="T911" s="219"/>
      <c r="U911" s="219"/>
      <c r="V911" s="219"/>
      <c r="AB911" s="219"/>
      <c r="AC911" s="219"/>
      <c r="AD911" s="219"/>
      <c r="AE911" s="219"/>
      <c r="AF911" s="219"/>
      <c r="AG911" s="219"/>
      <c r="AH911" s="219"/>
      <c r="AI911" s="219"/>
      <c r="AJ911" s="219"/>
      <c r="AK911" s="219"/>
      <c r="AL911" s="219"/>
    </row>
    <row r="912" spans="12:38">
      <c r="L912" s="219"/>
      <c r="M912" s="219"/>
      <c r="N912" s="219"/>
      <c r="O912" s="219"/>
      <c r="P912" s="219"/>
      <c r="Q912" s="219"/>
      <c r="R912" s="219"/>
      <c r="S912" s="219"/>
      <c r="T912" s="219"/>
      <c r="U912" s="219"/>
      <c r="V912" s="219"/>
      <c r="AB912" s="219"/>
      <c r="AC912" s="219"/>
      <c r="AD912" s="219"/>
      <c r="AE912" s="219"/>
      <c r="AF912" s="219"/>
      <c r="AG912" s="219"/>
      <c r="AH912" s="219"/>
      <c r="AI912" s="219"/>
      <c r="AJ912" s="219"/>
      <c r="AK912" s="219"/>
      <c r="AL912" s="219"/>
    </row>
    <row r="913" spans="12:38">
      <c r="L913" s="219"/>
      <c r="M913" s="219"/>
      <c r="N913" s="219"/>
      <c r="O913" s="219"/>
      <c r="P913" s="219"/>
      <c r="Q913" s="219"/>
      <c r="R913" s="219"/>
      <c r="S913" s="219"/>
      <c r="T913" s="219"/>
      <c r="U913" s="219"/>
      <c r="V913" s="219"/>
      <c r="AB913" s="219"/>
      <c r="AC913" s="219"/>
      <c r="AD913" s="219"/>
      <c r="AE913" s="219"/>
      <c r="AF913" s="219"/>
      <c r="AG913" s="219"/>
      <c r="AH913" s="219"/>
      <c r="AI913" s="219"/>
      <c r="AJ913" s="219"/>
      <c r="AK913" s="219"/>
      <c r="AL913" s="219"/>
    </row>
    <row r="914" spans="12:38">
      <c r="L914" s="219"/>
      <c r="M914" s="219"/>
      <c r="N914" s="219"/>
      <c r="O914" s="219"/>
      <c r="P914" s="219"/>
      <c r="Q914" s="219"/>
      <c r="R914" s="219"/>
      <c r="S914" s="219"/>
      <c r="T914" s="219"/>
      <c r="U914" s="219"/>
      <c r="V914" s="219"/>
      <c r="AB914" s="219"/>
      <c r="AC914" s="219"/>
      <c r="AD914" s="219"/>
      <c r="AE914" s="219"/>
      <c r="AF914" s="219"/>
      <c r="AG914" s="219"/>
      <c r="AH914" s="219"/>
      <c r="AI914" s="219"/>
      <c r="AJ914" s="219"/>
      <c r="AK914" s="219"/>
      <c r="AL914" s="219"/>
    </row>
    <row r="915" spans="12:38">
      <c r="L915" s="219"/>
      <c r="M915" s="219"/>
      <c r="N915" s="219"/>
      <c r="O915" s="219"/>
      <c r="P915" s="219"/>
      <c r="Q915" s="219"/>
      <c r="R915" s="219"/>
      <c r="S915" s="219"/>
      <c r="T915" s="219"/>
      <c r="U915" s="219"/>
      <c r="V915" s="219"/>
      <c r="AB915" s="219"/>
      <c r="AC915" s="219"/>
      <c r="AD915" s="219"/>
      <c r="AE915" s="219"/>
      <c r="AF915" s="219"/>
      <c r="AG915" s="219"/>
      <c r="AH915" s="219"/>
      <c r="AI915" s="219"/>
      <c r="AJ915" s="219"/>
      <c r="AK915" s="219"/>
      <c r="AL915" s="219"/>
    </row>
    <row r="916" spans="12:38">
      <c r="L916" s="219"/>
      <c r="M916" s="219"/>
      <c r="N916" s="219"/>
      <c r="O916" s="219"/>
      <c r="P916" s="219"/>
      <c r="Q916" s="219"/>
      <c r="R916" s="219"/>
      <c r="S916" s="219"/>
      <c r="T916" s="219"/>
      <c r="U916" s="219"/>
      <c r="V916" s="219"/>
      <c r="AB916" s="219"/>
      <c r="AC916" s="219"/>
      <c r="AD916" s="219"/>
      <c r="AE916" s="219"/>
      <c r="AF916" s="219"/>
      <c r="AG916" s="219"/>
      <c r="AH916" s="219"/>
      <c r="AI916" s="219"/>
      <c r="AJ916" s="219"/>
      <c r="AK916" s="219"/>
      <c r="AL916" s="219"/>
    </row>
    <row r="917" spans="12:38">
      <c r="L917" s="219"/>
      <c r="M917" s="219"/>
      <c r="N917" s="219"/>
      <c r="O917" s="219"/>
      <c r="P917" s="219"/>
      <c r="Q917" s="219"/>
      <c r="R917" s="219"/>
      <c r="S917" s="219"/>
      <c r="T917" s="219"/>
      <c r="U917" s="219"/>
      <c r="V917" s="219"/>
      <c r="AB917" s="219"/>
      <c r="AC917" s="219"/>
      <c r="AD917" s="219"/>
      <c r="AE917" s="219"/>
      <c r="AF917" s="219"/>
      <c r="AG917" s="219"/>
      <c r="AH917" s="219"/>
      <c r="AI917" s="219"/>
      <c r="AJ917" s="219"/>
      <c r="AK917" s="219"/>
      <c r="AL917" s="219"/>
    </row>
    <row r="918" spans="12:38">
      <c r="L918" s="219"/>
      <c r="M918" s="219"/>
      <c r="N918" s="219"/>
      <c r="O918" s="219"/>
      <c r="P918" s="219"/>
      <c r="Q918" s="219"/>
      <c r="R918" s="219"/>
      <c r="S918" s="219"/>
      <c r="T918" s="219"/>
      <c r="U918" s="219"/>
      <c r="V918" s="219"/>
      <c r="AB918" s="219"/>
      <c r="AC918" s="219"/>
      <c r="AD918" s="219"/>
      <c r="AE918" s="219"/>
      <c r="AF918" s="219"/>
      <c r="AG918" s="219"/>
      <c r="AH918" s="219"/>
      <c r="AI918" s="219"/>
      <c r="AJ918" s="219"/>
      <c r="AK918" s="219"/>
      <c r="AL918" s="219"/>
    </row>
    <row r="919" spans="12:38">
      <c r="L919" s="219"/>
      <c r="M919" s="219"/>
      <c r="N919" s="219"/>
      <c r="O919" s="219"/>
      <c r="P919" s="219"/>
      <c r="Q919" s="219"/>
      <c r="R919" s="219"/>
      <c r="S919" s="219"/>
      <c r="T919" s="219"/>
      <c r="U919" s="219"/>
      <c r="V919" s="219"/>
      <c r="AB919" s="219"/>
      <c r="AC919" s="219"/>
      <c r="AD919" s="219"/>
      <c r="AE919" s="219"/>
      <c r="AF919" s="219"/>
      <c r="AG919" s="219"/>
      <c r="AH919" s="219"/>
      <c r="AI919" s="219"/>
      <c r="AJ919" s="219"/>
      <c r="AK919" s="219"/>
      <c r="AL919" s="219"/>
    </row>
    <row r="920" spans="12:38">
      <c r="L920" s="219"/>
      <c r="M920" s="219"/>
      <c r="N920" s="219"/>
      <c r="O920" s="219"/>
      <c r="P920" s="219"/>
      <c r="Q920" s="219"/>
      <c r="R920" s="219"/>
      <c r="S920" s="219"/>
      <c r="T920" s="219"/>
      <c r="U920" s="219"/>
      <c r="V920" s="219"/>
      <c r="AB920" s="219"/>
      <c r="AC920" s="219"/>
      <c r="AD920" s="219"/>
      <c r="AE920" s="219"/>
      <c r="AF920" s="219"/>
      <c r="AG920" s="219"/>
      <c r="AH920" s="219"/>
      <c r="AI920" s="219"/>
      <c r="AJ920" s="219"/>
      <c r="AK920" s="219"/>
      <c r="AL920" s="219"/>
    </row>
    <row r="921" spans="12:38">
      <c r="L921" s="219"/>
      <c r="M921" s="219"/>
      <c r="N921" s="219"/>
      <c r="O921" s="219"/>
      <c r="P921" s="219"/>
      <c r="Q921" s="219"/>
      <c r="R921" s="219"/>
      <c r="S921" s="219"/>
      <c r="T921" s="219"/>
      <c r="U921" s="219"/>
      <c r="V921" s="219"/>
      <c r="AB921" s="219"/>
      <c r="AC921" s="219"/>
      <c r="AD921" s="219"/>
      <c r="AE921" s="219"/>
      <c r="AF921" s="219"/>
      <c r="AG921" s="219"/>
      <c r="AH921" s="219"/>
      <c r="AI921" s="219"/>
      <c r="AJ921" s="219"/>
      <c r="AK921" s="219"/>
      <c r="AL921" s="219"/>
    </row>
    <row r="922" spans="12:38">
      <c r="L922" s="219"/>
      <c r="M922" s="219"/>
      <c r="N922" s="219"/>
      <c r="O922" s="219"/>
      <c r="P922" s="219"/>
      <c r="Q922" s="219"/>
      <c r="R922" s="219"/>
      <c r="S922" s="219"/>
      <c r="T922" s="219"/>
      <c r="U922" s="219"/>
      <c r="V922" s="219"/>
      <c r="AB922" s="219"/>
      <c r="AC922" s="219"/>
      <c r="AD922" s="219"/>
      <c r="AE922" s="219"/>
      <c r="AF922" s="219"/>
      <c r="AG922" s="219"/>
      <c r="AH922" s="219"/>
      <c r="AI922" s="219"/>
      <c r="AJ922" s="219"/>
      <c r="AK922" s="219"/>
      <c r="AL922" s="219"/>
    </row>
    <row r="923" spans="12:38">
      <c r="L923" s="219"/>
      <c r="M923" s="219"/>
      <c r="N923" s="219"/>
      <c r="O923" s="219"/>
      <c r="P923" s="219"/>
      <c r="Q923" s="219"/>
      <c r="R923" s="219"/>
      <c r="S923" s="219"/>
      <c r="T923" s="219"/>
      <c r="U923" s="219"/>
      <c r="V923" s="219"/>
      <c r="AB923" s="219"/>
      <c r="AC923" s="219"/>
      <c r="AD923" s="219"/>
      <c r="AE923" s="219"/>
      <c r="AF923" s="219"/>
      <c r="AG923" s="219"/>
      <c r="AH923" s="219"/>
      <c r="AI923" s="219"/>
      <c r="AJ923" s="219"/>
      <c r="AK923" s="219"/>
      <c r="AL923" s="219"/>
    </row>
    <row r="924" spans="12:38">
      <c r="L924" s="219"/>
      <c r="M924" s="219"/>
      <c r="N924" s="219"/>
      <c r="O924" s="219"/>
      <c r="P924" s="219"/>
      <c r="Q924" s="219"/>
      <c r="R924" s="219"/>
      <c r="S924" s="219"/>
      <c r="T924" s="219"/>
      <c r="U924" s="219"/>
      <c r="V924" s="219"/>
      <c r="AB924" s="219"/>
      <c r="AC924" s="219"/>
      <c r="AD924" s="219"/>
      <c r="AE924" s="219"/>
      <c r="AF924" s="219"/>
      <c r="AG924" s="219"/>
      <c r="AH924" s="219"/>
      <c r="AI924" s="219"/>
      <c r="AJ924" s="219"/>
      <c r="AK924" s="219"/>
      <c r="AL924" s="219"/>
    </row>
    <row r="925" spans="12:38">
      <c r="L925" s="219"/>
      <c r="M925" s="219"/>
      <c r="N925" s="219"/>
      <c r="O925" s="219"/>
      <c r="P925" s="219"/>
      <c r="Q925" s="219"/>
      <c r="R925" s="219"/>
      <c r="S925" s="219"/>
      <c r="T925" s="219"/>
      <c r="U925" s="219"/>
      <c r="V925" s="219"/>
      <c r="AB925" s="219"/>
      <c r="AC925" s="219"/>
      <c r="AD925" s="219"/>
      <c r="AE925" s="219"/>
      <c r="AF925" s="219"/>
      <c r="AG925" s="219"/>
      <c r="AH925" s="219"/>
      <c r="AI925" s="219"/>
      <c r="AJ925" s="219"/>
      <c r="AK925" s="219"/>
      <c r="AL925" s="219"/>
    </row>
    <row r="926" spans="12:38">
      <c r="L926" s="219"/>
      <c r="M926" s="219"/>
      <c r="N926" s="219"/>
      <c r="O926" s="219"/>
      <c r="P926" s="219"/>
      <c r="Q926" s="219"/>
      <c r="R926" s="219"/>
      <c r="S926" s="219"/>
      <c r="T926" s="219"/>
      <c r="U926" s="219"/>
      <c r="V926" s="219"/>
      <c r="AB926" s="219"/>
      <c r="AC926" s="219"/>
      <c r="AD926" s="219"/>
      <c r="AE926" s="219"/>
      <c r="AF926" s="219"/>
      <c r="AG926" s="219"/>
      <c r="AH926" s="219"/>
      <c r="AI926" s="219"/>
      <c r="AJ926" s="219"/>
      <c r="AK926" s="219"/>
      <c r="AL926" s="219"/>
    </row>
    <row r="927" spans="12:38">
      <c r="L927" s="219"/>
      <c r="M927" s="219"/>
      <c r="N927" s="219"/>
      <c r="O927" s="219"/>
      <c r="P927" s="219"/>
      <c r="Q927" s="219"/>
      <c r="R927" s="219"/>
      <c r="S927" s="219"/>
      <c r="T927" s="219"/>
      <c r="U927" s="219"/>
      <c r="V927" s="219"/>
      <c r="AB927" s="219"/>
      <c r="AC927" s="219"/>
      <c r="AD927" s="219"/>
      <c r="AE927" s="219"/>
      <c r="AF927" s="219"/>
      <c r="AG927" s="219"/>
      <c r="AH927" s="219"/>
      <c r="AI927" s="219"/>
      <c r="AJ927" s="219"/>
      <c r="AK927" s="219"/>
      <c r="AL927" s="219"/>
    </row>
    <row r="928" spans="12:38">
      <c r="L928" s="219"/>
      <c r="M928" s="219"/>
      <c r="N928" s="219"/>
      <c r="O928" s="219"/>
      <c r="P928" s="219"/>
      <c r="Q928" s="219"/>
      <c r="R928" s="219"/>
      <c r="S928" s="219"/>
      <c r="T928" s="219"/>
      <c r="U928" s="219"/>
      <c r="V928" s="219"/>
      <c r="AB928" s="219"/>
      <c r="AC928" s="219"/>
      <c r="AD928" s="219"/>
      <c r="AE928" s="219"/>
      <c r="AF928" s="219"/>
      <c r="AG928" s="219"/>
      <c r="AH928" s="219"/>
      <c r="AI928" s="219"/>
      <c r="AJ928" s="219"/>
      <c r="AK928" s="219"/>
      <c r="AL928" s="219"/>
    </row>
    <row r="929" spans="12:38">
      <c r="L929" s="219"/>
      <c r="M929" s="219"/>
      <c r="N929" s="219"/>
      <c r="O929" s="219"/>
      <c r="P929" s="219"/>
      <c r="Q929" s="219"/>
      <c r="R929" s="219"/>
      <c r="S929" s="219"/>
      <c r="T929" s="219"/>
      <c r="U929" s="219"/>
      <c r="V929" s="219"/>
      <c r="AB929" s="219"/>
      <c r="AC929" s="219"/>
      <c r="AD929" s="219"/>
      <c r="AE929" s="219"/>
      <c r="AF929" s="219"/>
      <c r="AG929" s="219"/>
      <c r="AH929" s="219"/>
      <c r="AI929" s="219"/>
      <c r="AJ929" s="219"/>
      <c r="AK929" s="219"/>
      <c r="AL929" s="219"/>
    </row>
    <row r="930" spans="12:38">
      <c r="L930" s="219"/>
      <c r="M930" s="219"/>
      <c r="N930" s="219"/>
      <c r="O930" s="219"/>
      <c r="P930" s="219"/>
      <c r="Q930" s="219"/>
      <c r="R930" s="219"/>
      <c r="S930" s="219"/>
      <c r="T930" s="219"/>
      <c r="U930" s="219"/>
      <c r="V930" s="219"/>
      <c r="AB930" s="219"/>
      <c r="AC930" s="219"/>
      <c r="AD930" s="219"/>
      <c r="AE930" s="219"/>
      <c r="AF930" s="219"/>
      <c r="AG930" s="219"/>
      <c r="AH930" s="219"/>
      <c r="AI930" s="219"/>
      <c r="AJ930" s="219"/>
      <c r="AK930" s="219"/>
      <c r="AL930" s="219"/>
    </row>
    <row r="931" spans="12:38">
      <c r="L931" s="219"/>
      <c r="M931" s="219"/>
      <c r="N931" s="219"/>
      <c r="O931" s="219"/>
      <c r="P931" s="219"/>
      <c r="Q931" s="219"/>
      <c r="R931" s="219"/>
      <c r="S931" s="219"/>
      <c r="T931" s="219"/>
      <c r="U931" s="219"/>
      <c r="V931" s="219"/>
      <c r="AB931" s="219"/>
      <c r="AC931" s="219"/>
      <c r="AD931" s="219"/>
      <c r="AE931" s="219"/>
      <c r="AF931" s="219"/>
      <c r="AG931" s="219"/>
      <c r="AH931" s="219"/>
      <c r="AI931" s="219"/>
      <c r="AJ931" s="219"/>
      <c r="AK931" s="219"/>
      <c r="AL931" s="219"/>
    </row>
    <row r="932" spans="12:38">
      <c r="L932" s="219"/>
      <c r="M932" s="219"/>
      <c r="N932" s="219"/>
      <c r="O932" s="219"/>
      <c r="P932" s="219"/>
      <c r="Q932" s="219"/>
      <c r="R932" s="219"/>
      <c r="S932" s="219"/>
      <c r="T932" s="219"/>
      <c r="U932" s="219"/>
      <c r="V932" s="219"/>
      <c r="AB932" s="219"/>
      <c r="AC932" s="219"/>
      <c r="AD932" s="219"/>
      <c r="AE932" s="219"/>
      <c r="AF932" s="219"/>
      <c r="AG932" s="219"/>
      <c r="AH932" s="219"/>
      <c r="AI932" s="219"/>
      <c r="AJ932" s="219"/>
      <c r="AK932" s="219"/>
      <c r="AL932" s="219"/>
    </row>
    <row r="933" spans="12:38">
      <c r="L933" s="219"/>
      <c r="M933" s="219"/>
      <c r="N933" s="219"/>
      <c r="O933" s="219"/>
      <c r="P933" s="219"/>
      <c r="Q933" s="219"/>
      <c r="R933" s="219"/>
      <c r="S933" s="219"/>
      <c r="T933" s="219"/>
      <c r="U933" s="219"/>
      <c r="V933" s="219"/>
      <c r="AB933" s="219"/>
      <c r="AC933" s="219"/>
      <c r="AD933" s="219"/>
      <c r="AE933" s="219"/>
      <c r="AF933" s="219"/>
      <c r="AG933" s="219"/>
      <c r="AH933" s="219"/>
      <c r="AI933" s="219"/>
      <c r="AJ933" s="219"/>
      <c r="AK933" s="219"/>
      <c r="AL933" s="219"/>
    </row>
    <row r="934" spans="12:38">
      <c r="L934" s="219"/>
      <c r="M934" s="219"/>
      <c r="N934" s="219"/>
      <c r="O934" s="219"/>
      <c r="P934" s="219"/>
      <c r="Q934" s="219"/>
      <c r="R934" s="219"/>
      <c r="S934" s="219"/>
      <c r="T934" s="219"/>
      <c r="U934" s="219"/>
      <c r="V934" s="219"/>
      <c r="AB934" s="219"/>
      <c r="AC934" s="219"/>
      <c r="AD934" s="219"/>
      <c r="AE934" s="219"/>
      <c r="AF934" s="219"/>
      <c r="AG934" s="219"/>
      <c r="AH934" s="219"/>
      <c r="AI934" s="219"/>
      <c r="AJ934" s="219"/>
      <c r="AK934" s="219"/>
      <c r="AL934" s="219"/>
    </row>
    <row r="935" spans="12:38">
      <c r="L935" s="219"/>
      <c r="M935" s="219"/>
      <c r="N935" s="219"/>
      <c r="O935" s="219"/>
      <c r="P935" s="219"/>
      <c r="Q935" s="219"/>
      <c r="R935" s="219"/>
      <c r="S935" s="219"/>
      <c r="T935" s="219"/>
      <c r="U935" s="219"/>
      <c r="V935" s="219"/>
      <c r="AB935" s="219"/>
      <c r="AC935" s="219"/>
      <c r="AD935" s="219"/>
      <c r="AE935" s="219"/>
      <c r="AF935" s="219"/>
      <c r="AG935" s="219"/>
      <c r="AH935" s="219"/>
      <c r="AI935" s="219"/>
      <c r="AJ935" s="219"/>
      <c r="AK935" s="219"/>
      <c r="AL935" s="219"/>
    </row>
    <row r="936" spans="12:38">
      <c r="L936" s="219"/>
      <c r="M936" s="219"/>
      <c r="N936" s="219"/>
      <c r="O936" s="219"/>
      <c r="P936" s="219"/>
      <c r="Q936" s="219"/>
      <c r="R936" s="219"/>
      <c r="S936" s="219"/>
      <c r="T936" s="219"/>
      <c r="U936" s="219"/>
      <c r="V936" s="219"/>
      <c r="AB936" s="219"/>
      <c r="AC936" s="219"/>
      <c r="AD936" s="219"/>
      <c r="AE936" s="219"/>
      <c r="AF936" s="219"/>
      <c r="AG936" s="219"/>
      <c r="AH936" s="219"/>
      <c r="AI936" s="219"/>
      <c r="AJ936" s="219"/>
      <c r="AK936" s="219"/>
      <c r="AL936" s="219"/>
    </row>
    <row r="937" spans="12:38">
      <c r="L937" s="219"/>
      <c r="M937" s="219"/>
      <c r="N937" s="219"/>
      <c r="O937" s="219"/>
      <c r="P937" s="219"/>
      <c r="Q937" s="219"/>
      <c r="R937" s="219"/>
      <c r="S937" s="219"/>
      <c r="T937" s="219"/>
      <c r="U937" s="219"/>
      <c r="V937" s="219"/>
      <c r="AB937" s="219"/>
      <c r="AC937" s="219"/>
      <c r="AD937" s="219"/>
      <c r="AE937" s="219"/>
      <c r="AF937" s="219"/>
      <c r="AG937" s="219"/>
      <c r="AH937" s="219"/>
      <c r="AI937" s="219"/>
      <c r="AJ937" s="219"/>
      <c r="AK937" s="219"/>
      <c r="AL937" s="219"/>
    </row>
    <row r="938" spans="12:38">
      <c r="L938" s="219"/>
      <c r="M938" s="219"/>
      <c r="N938" s="219"/>
      <c r="O938" s="219"/>
      <c r="P938" s="219"/>
      <c r="Q938" s="219"/>
      <c r="R938" s="219"/>
      <c r="S938" s="219"/>
      <c r="T938" s="219"/>
      <c r="U938" s="219"/>
      <c r="V938" s="219"/>
      <c r="AB938" s="219"/>
      <c r="AC938" s="219"/>
      <c r="AD938" s="219"/>
      <c r="AE938" s="219"/>
      <c r="AF938" s="219"/>
      <c r="AG938" s="219"/>
      <c r="AH938" s="219"/>
      <c r="AI938" s="219"/>
      <c r="AJ938" s="219"/>
      <c r="AK938" s="219"/>
      <c r="AL938" s="219"/>
    </row>
    <row r="939" spans="12:38">
      <c r="L939" s="219"/>
      <c r="M939" s="219"/>
      <c r="N939" s="219"/>
      <c r="O939" s="219"/>
      <c r="P939" s="219"/>
      <c r="Q939" s="219"/>
      <c r="R939" s="219"/>
      <c r="S939" s="219"/>
      <c r="T939" s="219"/>
      <c r="U939" s="219"/>
      <c r="V939" s="219"/>
      <c r="AB939" s="219"/>
      <c r="AC939" s="219"/>
      <c r="AD939" s="219"/>
      <c r="AE939" s="219"/>
      <c r="AF939" s="219"/>
      <c r="AG939" s="219"/>
      <c r="AH939" s="219"/>
      <c r="AI939" s="219"/>
      <c r="AJ939" s="219"/>
      <c r="AK939" s="219"/>
      <c r="AL939" s="219"/>
    </row>
    <row r="940" spans="12:38">
      <c r="L940" s="219"/>
      <c r="M940" s="219"/>
      <c r="N940" s="219"/>
      <c r="O940" s="219"/>
      <c r="P940" s="219"/>
      <c r="Q940" s="219"/>
      <c r="R940" s="219"/>
      <c r="S940" s="219"/>
      <c r="T940" s="219"/>
      <c r="U940" s="219"/>
      <c r="V940" s="219"/>
      <c r="AB940" s="219"/>
      <c r="AC940" s="219"/>
      <c r="AD940" s="219"/>
      <c r="AE940" s="219"/>
      <c r="AF940" s="219"/>
      <c r="AG940" s="219"/>
      <c r="AH940" s="219"/>
      <c r="AI940" s="219"/>
      <c r="AJ940" s="219"/>
      <c r="AK940" s="219"/>
      <c r="AL940" s="219"/>
    </row>
    <row r="941" spans="12:38">
      <c r="L941" s="219"/>
      <c r="M941" s="219"/>
      <c r="N941" s="219"/>
      <c r="O941" s="219"/>
      <c r="P941" s="219"/>
      <c r="Q941" s="219"/>
      <c r="R941" s="219"/>
      <c r="S941" s="219"/>
      <c r="T941" s="219"/>
      <c r="U941" s="219"/>
      <c r="V941" s="219"/>
      <c r="AB941" s="219"/>
      <c r="AC941" s="219"/>
      <c r="AD941" s="219"/>
      <c r="AE941" s="219"/>
      <c r="AF941" s="219"/>
      <c r="AG941" s="219"/>
      <c r="AH941" s="219"/>
      <c r="AI941" s="219"/>
      <c r="AJ941" s="219"/>
      <c r="AK941" s="219"/>
      <c r="AL941" s="219"/>
    </row>
    <row r="942" spans="12:38">
      <c r="L942" s="219"/>
      <c r="M942" s="219"/>
      <c r="N942" s="219"/>
      <c r="O942" s="219"/>
      <c r="P942" s="219"/>
      <c r="Q942" s="219"/>
      <c r="R942" s="219"/>
      <c r="S942" s="219"/>
      <c r="T942" s="219"/>
      <c r="U942" s="219"/>
      <c r="V942" s="219"/>
      <c r="AB942" s="219"/>
      <c r="AC942" s="219"/>
      <c r="AD942" s="219"/>
      <c r="AE942" s="219"/>
      <c r="AF942" s="219"/>
      <c r="AG942" s="219"/>
      <c r="AH942" s="219"/>
      <c r="AI942" s="219"/>
      <c r="AJ942" s="219"/>
      <c r="AK942" s="219"/>
      <c r="AL942" s="219"/>
    </row>
    <row r="943" spans="12:38">
      <c r="L943" s="219"/>
      <c r="M943" s="219"/>
      <c r="N943" s="219"/>
      <c r="O943" s="219"/>
      <c r="P943" s="219"/>
      <c r="Q943" s="219"/>
      <c r="R943" s="219"/>
      <c r="S943" s="219"/>
      <c r="T943" s="219"/>
      <c r="U943" s="219"/>
      <c r="V943" s="219"/>
      <c r="AB943" s="219"/>
      <c r="AC943" s="219"/>
      <c r="AD943" s="219"/>
      <c r="AE943" s="219"/>
      <c r="AF943" s="219"/>
      <c r="AG943" s="219"/>
      <c r="AH943" s="219"/>
      <c r="AI943" s="219"/>
      <c r="AJ943" s="219"/>
      <c r="AK943" s="219"/>
      <c r="AL943" s="219"/>
    </row>
    <row r="944" spans="12:38">
      <c r="L944" s="219"/>
      <c r="M944" s="219"/>
      <c r="N944" s="219"/>
      <c r="O944" s="219"/>
      <c r="P944" s="219"/>
      <c r="Q944" s="219"/>
      <c r="R944" s="219"/>
      <c r="S944" s="219"/>
      <c r="T944" s="219"/>
      <c r="U944" s="219"/>
      <c r="V944" s="219"/>
      <c r="AB944" s="219"/>
      <c r="AC944" s="219"/>
      <c r="AD944" s="219"/>
      <c r="AE944" s="219"/>
      <c r="AF944" s="219"/>
      <c r="AG944" s="219"/>
      <c r="AH944" s="219"/>
      <c r="AI944" s="219"/>
      <c r="AJ944" s="219"/>
      <c r="AK944" s="219"/>
      <c r="AL944" s="219"/>
    </row>
    <row r="945" spans="12:38">
      <c r="L945" s="219"/>
      <c r="M945" s="219"/>
      <c r="N945" s="219"/>
      <c r="O945" s="219"/>
      <c r="P945" s="219"/>
      <c r="Q945" s="219"/>
      <c r="R945" s="219"/>
      <c r="S945" s="219"/>
      <c r="T945" s="219"/>
      <c r="U945" s="219"/>
      <c r="V945" s="219"/>
      <c r="AB945" s="219"/>
      <c r="AC945" s="219"/>
      <c r="AD945" s="219"/>
      <c r="AE945" s="219"/>
      <c r="AF945" s="219"/>
      <c r="AG945" s="219"/>
      <c r="AH945" s="219"/>
      <c r="AI945" s="219"/>
      <c r="AJ945" s="219"/>
      <c r="AK945" s="219"/>
      <c r="AL945" s="219"/>
    </row>
    <row r="946" spans="12:38">
      <c r="L946" s="219"/>
      <c r="M946" s="219"/>
      <c r="N946" s="219"/>
      <c r="O946" s="219"/>
      <c r="P946" s="219"/>
      <c r="Q946" s="219"/>
      <c r="R946" s="219"/>
      <c r="S946" s="219"/>
      <c r="T946" s="219"/>
      <c r="U946" s="219"/>
      <c r="V946" s="219"/>
      <c r="AB946" s="219"/>
      <c r="AC946" s="219"/>
      <c r="AD946" s="219"/>
      <c r="AE946" s="219"/>
      <c r="AF946" s="219"/>
      <c r="AG946" s="219"/>
      <c r="AH946" s="219"/>
      <c r="AI946" s="219"/>
      <c r="AJ946" s="219"/>
      <c r="AK946" s="219"/>
      <c r="AL946" s="219"/>
    </row>
    <row r="947" spans="12:38">
      <c r="L947" s="219"/>
      <c r="M947" s="219"/>
      <c r="N947" s="219"/>
      <c r="O947" s="219"/>
      <c r="P947" s="219"/>
      <c r="Q947" s="219"/>
      <c r="R947" s="219"/>
      <c r="S947" s="219"/>
      <c r="T947" s="219"/>
      <c r="U947" s="219"/>
      <c r="V947" s="219"/>
      <c r="AB947" s="219"/>
      <c r="AC947" s="219"/>
      <c r="AD947" s="219"/>
      <c r="AE947" s="219"/>
      <c r="AF947" s="219"/>
      <c r="AG947" s="219"/>
      <c r="AH947" s="219"/>
      <c r="AI947" s="219"/>
      <c r="AJ947" s="219"/>
      <c r="AK947" s="219"/>
      <c r="AL947" s="219"/>
    </row>
    <row r="948" spans="12:38">
      <c r="L948" s="219"/>
      <c r="M948" s="219"/>
      <c r="N948" s="219"/>
      <c r="O948" s="219"/>
      <c r="P948" s="219"/>
      <c r="Q948" s="219"/>
      <c r="R948" s="219"/>
      <c r="S948" s="219"/>
      <c r="T948" s="219"/>
      <c r="U948" s="219"/>
      <c r="V948" s="219"/>
      <c r="AB948" s="219"/>
      <c r="AC948" s="219"/>
      <c r="AD948" s="219"/>
      <c r="AE948" s="219"/>
      <c r="AF948" s="219"/>
      <c r="AG948" s="219"/>
      <c r="AH948" s="219"/>
      <c r="AI948" s="219"/>
      <c r="AJ948" s="219"/>
      <c r="AK948" s="219"/>
      <c r="AL948" s="219"/>
    </row>
    <row r="949" spans="12:38">
      <c r="L949" s="219"/>
      <c r="M949" s="219"/>
      <c r="N949" s="219"/>
      <c r="O949" s="219"/>
      <c r="P949" s="219"/>
      <c r="Q949" s="219"/>
      <c r="R949" s="219"/>
      <c r="S949" s="219"/>
      <c r="T949" s="219"/>
      <c r="U949" s="219"/>
      <c r="V949" s="219"/>
      <c r="AB949" s="219"/>
      <c r="AC949" s="219"/>
      <c r="AD949" s="219"/>
      <c r="AE949" s="219"/>
      <c r="AF949" s="219"/>
      <c r="AG949" s="219"/>
      <c r="AH949" s="219"/>
      <c r="AI949" s="219"/>
      <c r="AJ949" s="219"/>
      <c r="AK949" s="219"/>
      <c r="AL949" s="219"/>
    </row>
    <row r="950" spans="12:38">
      <c r="L950" s="219"/>
      <c r="M950" s="219"/>
      <c r="N950" s="219"/>
      <c r="O950" s="219"/>
      <c r="P950" s="219"/>
      <c r="Q950" s="219"/>
      <c r="R950" s="219"/>
      <c r="S950" s="219"/>
      <c r="T950" s="219"/>
      <c r="U950" s="219"/>
      <c r="V950" s="219"/>
      <c r="AB950" s="219"/>
      <c r="AC950" s="219"/>
      <c r="AD950" s="219"/>
      <c r="AE950" s="219"/>
      <c r="AF950" s="219"/>
      <c r="AG950" s="219"/>
      <c r="AH950" s="219"/>
      <c r="AI950" s="219"/>
      <c r="AJ950" s="219"/>
      <c r="AK950" s="219"/>
      <c r="AL950" s="219"/>
    </row>
    <row r="951" spans="12:38">
      <c r="L951" s="219"/>
      <c r="M951" s="219"/>
      <c r="N951" s="219"/>
      <c r="O951" s="219"/>
      <c r="P951" s="219"/>
      <c r="Q951" s="219"/>
      <c r="R951" s="219"/>
      <c r="S951" s="219"/>
      <c r="T951" s="219"/>
      <c r="U951" s="219"/>
      <c r="V951" s="219"/>
      <c r="AB951" s="219"/>
      <c r="AC951" s="219"/>
      <c r="AD951" s="219"/>
      <c r="AE951" s="219"/>
      <c r="AF951" s="219"/>
      <c r="AG951" s="219"/>
      <c r="AH951" s="219"/>
      <c r="AI951" s="219"/>
      <c r="AJ951" s="219"/>
      <c r="AK951" s="219"/>
      <c r="AL951" s="219"/>
    </row>
    <row r="952" spans="12:38">
      <c r="L952" s="219"/>
      <c r="M952" s="219"/>
      <c r="N952" s="219"/>
      <c r="O952" s="219"/>
      <c r="P952" s="219"/>
      <c r="Q952" s="219"/>
      <c r="R952" s="219"/>
      <c r="S952" s="219"/>
      <c r="T952" s="219"/>
      <c r="U952" s="219"/>
      <c r="V952" s="219"/>
      <c r="AB952" s="219"/>
      <c r="AC952" s="219"/>
      <c r="AD952" s="219"/>
      <c r="AE952" s="219"/>
      <c r="AF952" s="219"/>
      <c r="AG952" s="219"/>
      <c r="AH952" s="219"/>
      <c r="AI952" s="219"/>
      <c r="AJ952" s="219"/>
      <c r="AK952" s="219"/>
      <c r="AL952" s="219"/>
    </row>
    <row r="953" spans="12:38">
      <c r="L953" s="219"/>
      <c r="M953" s="219"/>
      <c r="N953" s="219"/>
      <c r="O953" s="219"/>
      <c r="P953" s="219"/>
      <c r="Q953" s="219"/>
      <c r="R953" s="219"/>
      <c r="S953" s="219"/>
      <c r="T953" s="219"/>
      <c r="U953" s="219"/>
      <c r="V953" s="219"/>
      <c r="AB953" s="219"/>
      <c r="AC953" s="219"/>
      <c r="AD953" s="219"/>
      <c r="AE953" s="219"/>
      <c r="AF953" s="219"/>
      <c r="AG953" s="219"/>
      <c r="AH953" s="219"/>
      <c r="AI953" s="219"/>
      <c r="AJ953" s="219"/>
      <c r="AK953" s="219"/>
      <c r="AL953" s="219"/>
    </row>
    <row r="954" spans="12:38">
      <c r="L954" s="219"/>
      <c r="M954" s="219"/>
      <c r="N954" s="219"/>
      <c r="O954" s="219"/>
      <c r="P954" s="219"/>
      <c r="Q954" s="219"/>
      <c r="R954" s="219"/>
      <c r="S954" s="219"/>
      <c r="T954" s="219"/>
      <c r="U954" s="219"/>
      <c r="V954" s="219"/>
      <c r="AB954" s="219"/>
      <c r="AC954" s="219"/>
      <c r="AD954" s="219"/>
      <c r="AE954" s="219"/>
      <c r="AF954" s="219"/>
      <c r="AG954" s="219"/>
      <c r="AH954" s="219"/>
      <c r="AI954" s="219"/>
      <c r="AJ954" s="219"/>
      <c r="AK954" s="219"/>
      <c r="AL954" s="219"/>
    </row>
    <row r="955" spans="12:38">
      <c r="L955" s="219"/>
      <c r="M955" s="219"/>
      <c r="N955" s="219"/>
      <c r="O955" s="219"/>
      <c r="P955" s="219"/>
      <c r="Q955" s="219"/>
      <c r="R955" s="219"/>
      <c r="S955" s="219"/>
      <c r="T955" s="219"/>
      <c r="U955" s="219"/>
      <c r="V955" s="219"/>
      <c r="AB955" s="219"/>
      <c r="AC955" s="219"/>
      <c r="AD955" s="219"/>
      <c r="AE955" s="219"/>
      <c r="AF955" s="219"/>
      <c r="AG955" s="219"/>
      <c r="AH955" s="219"/>
      <c r="AI955" s="219"/>
      <c r="AJ955" s="219"/>
      <c r="AK955" s="219"/>
      <c r="AL955" s="219"/>
    </row>
    <row r="956" spans="12:38">
      <c r="L956" s="219"/>
      <c r="M956" s="219"/>
      <c r="N956" s="219"/>
      <c r="O956" s="219"/>
      <c r="P956" s="219"/>
      <c r="Q956" s="219"/>
      <c r="R956" s="219"/>
      <c r="S956" s="219"/>
      <c r="T956" s="219"/>
      <c r="U956" s="219"/>
      <c r="V956" s="219"/>
      <c r="AB956" s="219"/>
      <c r="AC956" s="219"/>
      <c r="AD956" s="219"/>
      <c r="AE956" s="219"/>
      <c r="AF956" s="219"/>
      <c r="AG956" s="219"/>
      <c r="AH956" s="219"/>
      <c r="AI956" s="219"/>
      <c r="AJ956" s="219"/>
      <c r="AK956" s="219"/>
      <c r="AL956" s="219"/>
    </row>
    <row r="957" spans="12:38">
      <c r="L957" s="219"/>
      <c r="M957" s="219"/>
      <c r="N957" s="219"/>
      <c r="O957" s="219"/>
      <c r="P957" s="219"/>
      <c r="Q957" s="219"/>
      <c r="R957" s="219"/>
      <c r="S957" s="219"/>
      <c r="T957" s="219"/>
      <c r="U957" s="219"/>
      <c r="V957" s="219"/>
      <c r="AB957" s="219"/>
      <c r="AC957" s="219"/>
      <c r="AD957" s="219"/>
      <c r="AE957" s="219"/>
      <c r="AF957" s="219"/>
      <c r="AG957" s="219"/>
      <c r="AH957" s="219"/>
      <c r="AI957" s="219"/>
      <c r="AJ957" s="219"/>
      <c r="AK957" s="219"/>
      <c r="AL957" s="219"/>
    </row>
    <row r="958" spans="12:38">
      <c r="L958" s="219"/>
      <c r="M958" s="219"/>
      <c r="N958" s="219"/>
      <c r="O958" s="219"/>
      <c r="P958" s="219"/>
      <c r="Q958" s="219"/>
      <c r="R958" s="219"/>
      <c r="S958" s="219"/>
      <c r="T958" s="219"/>
      <c r="U958" s="219"/>
      <c r="V958" s="219"/>
      <c r="AB958" s="219"/>
      <c r="AC958" s="219"/>
      <c r="AD958" s="219"/>
      <c r="AE958" s="219"/>
      <c r="AF958" s="219"/>
      <c r="AG958" s="219"/>
      <c r="AH958" s="219"/>
      <c r="AI958" s="219"/>
      <c r="AJ958" s="219"/>
      <c r="AK958" s="219"/>
      <c r="AL958" s="219"/>
    </row>
    <row r="959" spans="12:38">
      <c r="L959" s="219"/>
      <c r="M959" s="219"/>
      <c r="N959" s="219"/>
      <c r="O959" s="219"/>
      <c r="P959" s="219"/>
      <c r="Q959" s="219"/>
      <c r="R959" s="219"/>
      <c r="S959" s="219"/>
      <c r="T959" s="219"/>
      <c r="U959" s="219"/>
      <c r="V959" s="219"/>
      <c r="AB959" s="219"/>
      <c r="AC959" s="219"/>
      <c r="AD959" s="219"/>
      <c r="AE959" s="219"/>
      <c r="AF959" s="219"/>
      <c r="AG959" s="219"/>
      <c r="AH959" s="219"/>
      <c r="AI959" s="219"/>
      <c r="AJ959" s="219"/>
      <c r="AK959" s="219"/>
      <c r="AL959" s="219"/>
    </row>
    <row r="960" spans="12:38">
      <c r="L960" s="219"/>
      <c r="M960" s="219"/>
      <c r="N960" s="219"/>
      <c r="O960" s="219"/>
      <c r="P960" s="219"/>
      <c r="Q960" s="219"/>
      <c r="R960" s="219"/>
      <c r="S960" s="219"/>
      <c r="T960" s="219"/>
      <c r="U960" s="219"/>
      <c r="V960" s="219"/>
      <c r="AB960" s="219"/>
      <c r="AC960" s="219"/>
      <c r="AD960" s="219"/>
      <c r="AE960" s="219"/>
      <c r="AF960" s="219"/>
      <c r="AG960" s="219"/>
      <c r="AH960" s="219"/>
      <c r="AI960" s="219"/>
      <c r="AJ960" s="219"/>
      <c r="AK960" s="219"/>
      <c r="AL960" s="219"/>
    </row>
    <row r="961" spans="12:38">
      <c r="L961" s="219"/>
      <c r="M961" s="219"/>
      <c r="N961" s="219"/>
      <c r="O961" s="219"/>
      <c r="P961" s="219"/>
      <c r="Q961" s="219"/>
      <c r="R961" s="219"/>
      <c r="S961" s="219"/>
      <c r="T961" s="219"/>
      <c r="U961" s="219"/>
      <c r="V961" s="219"/>
      <c r="AB961" s="219"/>
      <c r="AC961" s="219"/>
      <c r="AD961" s="219"/>
      <c r="AE961" s="219"/>
      <c r="AF961" s="219"/>
      <c r="AG961" s="219"/>
      <c r="AH961" s="219"/>
      <c r="AI961" s="219"/>
      <c r="AJ961" s="219"/>
      <c r="AK961" s="219"/>
      <c r="AL961" s="219"/>
    </row>
    <row r="962" spans="12:38">
      <c r="L962" s="219"/>
      <c r="M962" s="219"/>
      <c r="N962" s="219"/>
      <c r="O962" s="219"/>
      <c r="P962" s="219"/>
      <c r="Q962" s="219"/>
      <c r="R962" s="219"/>
      <c r="S962" s="219"/>
      <c r="T962" s="219"/>
      <c r="U962" s="219"/>
      <c r="V962" s="219"/>
      <c r="AB962" s="219"/>
      <c r="AC962" s="219"/>
      <c r="AD962" s="219"/>
      <c r="AE962" s="219"/>
      <c r="AF962" s="219"/>
      <c r="AG962" s="219"/>
      <c r="AH962" s="219"/>
      <c r="AI962" s="219"/>
      <c r="AJ962" s="219"/>
      <c r="AK962" s="219"/>
      <c r="AL962" s="219"/>
    </row>
    <row r="963" spans="12:38">
      <c r="L963" s="219"/>
      <c r="M963" s="219"/>
      <c r="N963" s="219"/>
      <c r="O963" s="219"/>
      <c r="P963" s="219"/>
      <c r="Q963" s="219"/>
      <c r="R963" s="219"/>
      <c r="S963" s="219"/>
      <c r="T963" s="219"/>
      <c r="U963" s="219"/>
      <c r="V963" s="219"/>
      <c r="AB963" s="219"/>
      <c r="AC963" s="219"/>
      <c r="AD963" s="219"/>
      <c r="AE963" s="219"/>
      <c r="AF963" s="219"/>
      <c r="AG963" s="219"/>
      <c r="AH963" s="219"/>
      <c r="AI963" s="219"/>
      <c r="AJ963" s="219"/>
      <c r="AK963" s="219"/>
      <c r="AL963" s="219"/>
    </row>
    <row r="964" spans="12:38">
      <c r="L964" s="219"/>
      <c r="M964" s="219"/>
      <c r="N964" s="219"/>
      <c r="O964" s="219"/>
      <c r="P964" s="219"/>
      <c r="Q964" s="219"/>
      <c r="R964" s="219"/>
      <c r="S964" s="219"/>
      <c r="T964" s="219"/>
      <c r="U964" s="219"/>
      <c r="V964" s="219"/>
      <c r="AB964" s="219"/>
      <c r="AC964" s="219"/>
      <c r="AD964" s="219"/>
      <c r="AE964" s="219"/>
      <c r="AF964" s="219"/>
      <c r="AG964" s="219"/>
      <c r="AH964" s="219"/>
      <c r="AI964" s="219"/>
      <c r="AJ964" s="219"/>
      <c r="AK964" s="219"/>
      <c r="AL964" s="219"/>
    </row>
    <row r="965" spans="12:38">
      <c r="L965" s="219"/>
      <c r="M965" s="219"/>
      <c r="N965" s="219"/>
      <c r="O965" s="219"/>
      <c r="P965" s="219"/>
      <c r="Q965" s="219"/>
      <c r="R965" s="219"/>
      <c r="S965" s="219"/>
      <c r="T965" s="219"/>
      <c r="U965" s="219"/>
      <c r="V965" s="219"/>
      <c r="AB965" s="219"/>
      <c r="AC965" s="219"/>
      <c r="AD965" s="219"/>
      <c r="AE965" s="219"/>
      <c r="AF965" s="219"/>
      <c r="AG965" s="219"/>
      <c r="AH965" s="219"/>
      <c r="AI965" s="219"/>
      <c r="AJ965" s="219"/>
      <c r="AK965" s="219"/>
      <c r="AL965" s="219"/>
    </row>
    <row r="966" spans="12:38">
      <c r="L966" s="219"/>
      <c r="M966" s="219"/>
      <c r="N966" s="219"/>
      <c r="O966" s="219"/>
      <c r="P966" s="219"/>
      <c r="Q966" s="219"/>
      <c r="R966" s="219"/>
      <c r="S966" s="219"/>
      <c r="T966" s="219"/>
      <c r="U966" s="219"/>
      <c r="V966" s="219"/>
      <c r="AB966" s="219"/>
      <c r="AC966" s="219"/>
      <c r="AD966" s="219"/>
      <c r="AE966" s="219"/>
      <c r="AF966" s="219"/>
      <c r="AG966" s="219"/>
      <c r="AH966" s="219"/>
      <c r="AI966" s="219"/>
      <c r="AJ966" s="219"/>
      <c r="AK966" s="219"/>
      <c r="AL966" s="219"/>
    </row>
    <row r="967" spans="12:38">
      <c r="L967" s="219"/>
      <c r="M967" s="219"/>
      <c r="N967" s="219"/>
      <c r="O967" s="219"/>
      <c r="P967" s="219"/>
      <c r="Q967" s="219"/>
      <c r="R967" s="219"/>
      <c r="S967" s="219"/>
      <c r="T967" s="219"/>
      <c r="U967" s="219"/>
      <c r="V967" s="219"/>
      <c r="AB967" s="219"/>
      <c r="AC967" s="219"/>
      <c r="AD967" s="219"/>
      <c r="AE967" s="219"/>
      <c r="AF967" s="219"/>
      <c r="AG967" s="219"/>
      <c r="AH967" s="219"/>
      <c r="AI967" s="219"/>
      <c r="AJ967" s="219"/>
      <c r="AK967" s="219"/>
      <c r="AL967" s="219"/>
    </row>
    <row r="968" spans="12:38">
      <c r="L968" s="219"/>
      <c r="M968" s="219"/>
      <c r="N968" s="219"/>
      <c r="O968" s="219"/>
      <c r="P968" s="219"/>
      <c r="Q968" s="219"/>
      <c r="R968" s="219"/>
      <c r="S968" s="219"/>
      <c r="T968" s="219"/>
      <c r="U968" s="219"/>
      <c r="V968" s="219"/>
      <c r="AB968" s="219"/>
      <c r="AC968" s="219"/>
      <c r="AD968" s="219"/>
      <c r="AE968" s="219"/>
      <c r="AF968" s="219"/>
      <c r="AG968" s="219"/>
      <c r="AH968" s="219"/>
      <c r="AI968" s="219"/>
      <c r="AJ968" s="219"/>
      <c r="AK968" s="219"/>
      <c r="AL968" s="219"/>
    </row>
    <row r="969" spans="12:38">
      <c r="L969" s="219"/>
      <c r="M969" s="219"/>
      <c r="N969" s="219"/>
      <c r="O969" s="219"/>
      <c r="P969" s="219"/>
      <c r="Q969" s="219"/>
      <c r="R969" s="219"/>
      <c r="S969" s="219"/>
      <c r="T969" s="219"/>
      <c r="U969" s="219"/>
      <c r="V969" s="219"/>
      <c r="AB969" s="219"/>
      <c r="AC969" s="219"/>
      <c r="AD969" s="219"/>
      <c r="AE969" s="219"/>
      <c r="AF969" s="219"/>
      <c r="AG969" s="219"/>
      <c r="AH969" s="219"/>
      <c r="AI969" s="219"/>
      <c r="AJ969" s="219"/>
      <c r="AK969" s="219"/>
      <c r="AL969" s="219"/>
    </row>
    <row r="970" spans="12:38">
      <c r="L970" s="219"/>
      <c r="M970" s="219"/>
      <c r="N970" s="219"/>
      <c r="O970" s="219"/>
      <c r="P970" s="219"/>
      <c r="Q970" s="219"/>
      <c r="R970" s="219"/>
      <c r="S970" s="219"/>
      <c r="T970" s="219"/>
      <c r="U970" s="219"/>
      <c r="V970" s="219"/>
      <c r="AB970" s="219"/>
      <c r="AC970" s="219"/>
      <c r="AD970" s="219"/>
      <c r="AE970" s="219"/>
      <c r="AF970" s="219"/>
      <c r="AG970" s="219"/>
      <c r="AH970" s="219"/>
      <c r="AI970" s="219"/>
      <c r="AJ970" s="219"/>
      <c r="AK970" s="219"/>
      <c r="AL970" s="219"/>
    </row>
    <row r="971" spans="12:38">
      <c r="L971" s="219"/>
      <c r="M971" s="219"/>
      <c r="N971" s="219"/>
      <c r="O971" s="219"/>
      <c r="P971" s="219"/>
      <c r="Q971" s="219"/>
      <c r="R971" s="219"/>
      <c r="S971" s="219"/>
      <c r="T971" s="219"/>
      <c r="U971" s="219"/>
      <c r="V971" s="219"/>
      <c r="AB971" s="219"/>
      <c r="AC971" s="219"/>
      <c r="AD971" s="219"/>
      <c r="AE971" s="219"/>
      <c r="AF971" s="219"/>
      <c r="AG971" s="219"/>
      <c r="AH971" s="219"/>
      <c r="AI971" s="219"/>
      <c r="AJ971" s="219"/>
      <c r="AK971" s="219"/>
      <c r="AL971" s="219"/>
    </row>
    <row r="972" spans="12:38">
      <c r="L972" s="219"/>
      <c r="M972" s="219"/>
      <c r="N972" s="219"/>
      <c r="O972" s="219"/>
      <c r="P972" s="219"/>
      <c r="Q972" s="219"/>
      <c r="R972" s="219"/>
      <c r="S972" s="219"/>
      <c r="T972" s="219"/>
      <c r="U972" s="219"/>
      <c r="V972" s="219"/>
      <c r="AB972" s="219"/>
      <c r="AC972" s="219"/>
      <c r="AD972" s="219"/>
      <c r="AE972" s="219"/>
      <c r="AF972" s="219"/>
      <c r="AG972" s="219"/>
      <c r="AH972" s="219"/>
      <c r="AI972" s="219"/>
      <c r="AJ972" s="219"/>
      <c r="AK972" s="219"/>
      <c r="AL972" s="219"/>
    </row>
    <row r="973" spans="12:38">
      <c r="L973" s="219"/>
      <c r="M973" s="219"/>
      <c r="N973" s="219"/>
      <c r="O973" s="219"/>
      <c r="P973" s="219"/>
      <c r="Q973" s="219"/>
      <c r="R973" s="219"/>
      <c r="S973" s="219"/>
      <c r="T973" s="219"/>
      <c r="U973" s="219"/>
      <c r="V973" s="219"/>
      <c r="AB973" s="219"/>
      <c r="AC973" s="219"/>
      <c r="AD973" s="219"/>
      <c r="AE973" s="219"/>
      <c r="AF973" s="219"/>
      <c r="AG973" s="219"/>
      <c r="AH973" s="219"/>
      <c r="AI973" s="219"/>
      <c r="AJ973" s="219"/>
      <c r="AK973" s="219"/>
      <c r="AL973" s="219"/>
    </row>
    <row r="974" spans="12:38">
      <c r="L974" s="219"/>
      <c r="M974" s="219"/>
      <c r="N974" s="219"/>
      <c r="O974" s="219"/>
      <c r="P974" s="219"/>
      <c r="Q974" s="219"/>
      <c r="R974" s="219"/>
      <c r="S974" s="219"/>
      <c r="T974" s="219"/>
      <c r="U974" s="219"/>
      <c r="V974" s="219"/>
      <c r="AB974" s="219"/>
      <c r="AC974" s="219"/>
      <c r="AD974" s="219"/>
      <c r="AE974" s="219"/>
      <c r="AF974" s="219"/>
      <c r="AG974" s="219"/>
      <c r="AH974" s="219"/>
      <c r="AI974" s="219"/>
      <c r="AJ974" s="219"/>
      <c r="AK974" s="219"/>
      <c r="AL974" s="219"/>
    </row>
    <row r="975" spans="12:38">
      <c r="L975" s="219"/>
      <c r="M975" s="219"/>
      <c r="N975" s="219"/>
      <c r="O975" s="219"/>
      <c r="P975" s="219"/>
      <c r="Q975" s="219"/>
      <c r="R975" s="219"/>
      <c r="S975" s="219"/>
      <c r="T975" s="219"/>
      <c r="U975" s="219"/>
      <c r="V975" s="219"/>
      <c r="AB975" s="219"/>
      <c r="AC975" s="219"/>
      <c r="AD975" s="219"/>
      <c r="AE975" s="219"/>
      <c r="AF975" s="219"/>
      <c r="AG975" s="219"/>
      <c r="AH975" s="219"/>
      <c r="AI975" s="219"/>
      <c r="AJ975" s="219"/>
      <c r="AK975" s="219"/>
      <c r="AL975" s="219"/>
    </row>
    <row r="976" spans="12:38">
      <c r="L976" s="219"/>
      <c r="M976" s="219"/>
      <c r="N976" s="219"/>
      <c r="O976" s="219"/>
      <c r="P976" s="219"/>
      <c r="Q976" s="219"/>
      <c r="R976" s="219"/>
      <c r="S976" s="219"/>
      <c r="T976" s="219"/>
      <c r="U976" s="219"/>
      <c r="V976" s="219"/>
      <c r="AB976" s="219"/>
      <c r="AC976" s="219"/>
      <c r="AD976" s="219"/>
      <c r="AE976" s="219"/>
      <c r="AF976" s="219"/>
      <c r="AG976" s="219"/>
      <c r="AH976" s="219"/>
      <c r="AI976" s="219"/>
      <c r="AJ976" s="219"/>
      <c r="AK976" s="219"/>
      <c r="AL976" s="219"/>
    </row>
    <row r="977" spans="12:38">
      <c r="L977" s="219"/>
      <c r="M977" s="219"/>
      <c r="N977" s="219"/>
      <c r="O977" s="219"/>
      <c r="P977" s="219"/>
      <c r="Q977" s="219"/>
      <c r="R977" s="219"/>
      <c r="S977" s="219"/>
      <c r="T977" s="219"/>
      <c r="U977" s="219"/>
      <c r="V977" s="219"/>
      <c r="AB977" s="219"/>
      <c r="AC977" s="219"/>
      <c r="AD977" s="219"/>
      <c r="AE977" s="219"/>
      <c r="AF977" s="219"/>
      <c r="AG977" s="219"/>
      <c r="AH977" s="219"/>
      <c r="AI977" s="219"/>
      <c r="AJ977" s="219"/>
      <c r="AK977" s="219"/>
      <c r="AL977" s="219"/>
    </row>
    <row r="978" spans="12:38">
      <c r="L978" s="219"/>
      <c r="M978" s="219"/>
      <c r="N978" s="219"/>
      <c r="O978" s="219"/>
      <c r="P978" s="219"/>
      <c r="Q978" s="219"/>
      <c r="R978" s="219"/>
      <c r="S978" s="219"/>
      <c r="T978" s="219"/>
      <c r="U978" s="219"/>
      <c r="V978" s="219"/>
      <c r="AB978" s="219"/>
      <c r="AC978" s="219"/>
      <c r="AD978" s="219"/>
      <c r="AE978" s="219"/>
      <c r="AF978" s="219"/>
      <c r="AG978" s="219"/>
      <c r="AH978" s="219"/>
      <c r="AI978" s="219"/>
      <c r="AJ978" s="219"/>
      <c r="AK978" s="219"/>
      <c r="AL978" s="219"/>
    </row>
    <row r="979" spans="12:38">
      <c r="L979" s="219"/>
      <c r="M979" s="219"/>
      <c r="N979" s="219"/>
      <c r="O979" s="219"/>
      <c r="P979" s="219"/>
      <c r="Q979" s="219"/>
      <c r="R979" s="219"/>
      <c r="S979" s="219"/>
      <c r="T979" s="219"/>
      <c r="U979" s="219"/>
      <c r="V979" s="219"/>
      <c r="AB979" s="219"/>
      <c r="AC979" s="219"/>
      <c r="AD979" s="219"/>
      <c r="AE979" s="219"/>
      <c r="AF979" s="219"/>
      <c r="AG979" s="219"/>
      <c r="AH979" s="219"/>
      <c r="AI979" s="219"/>
      <c r="AJ979" s="219"/>
      <c r="AK979" s="219"/>
      <c r="AL979" s="219"/>
    </row>
    <row r="980" spans="12:38">
      <c r="L980" s="219"/>
      <c r="M980" s="219"/>
      <c r="N980" s="219"/>
      <c r="O980" s="219"/>
      <c r="P980" s="219"/>
      <c r="Q980" s="219"/>
      <c r="R980" s="219"/>
      <c r="S980" s="219"/>
      <c r="T980" s="219"/>
      <c r="U980" s="219"/>
      <c r="V980" s="219"/>
      <c r="AB980" s="219"/>
      <c r="AC980" s="219"/>
      <c r="AD980" s="219"/>
      <c r="AE980" s="219"/>
      <c r="AF980" s="219"/>
      <c r="AG980" s="219"/>
      <c r="AH980" s="219"/>
      <c r="AI980" s="219"/>
      <c r="AJ980" s="219"/>
      <c r="AK980" s="219"/>
      <c r="AL980" s="219"/>
    </row>
    <row r="981" spans="12:38">
      <c r="L981" s="219"/>
      <c r="M981" s="219"/>
      <c r="N981" s="219"/>
      <c r="O981" s="219"/>
      <c r="P981" s="219"/>
      <c r="Q981" s="219"/>
      <c r="R981" s="219"/>
      <c r="S981" s="219"/>
      <c r="T981" s="219"/>
      <c r="U981" s="219"/>
      <c r="V981" s="219"/>
      <c r="AB981" s="219"/>
      <c r="AC981" s="219"/>
      <c r="AD981" s="219"/>
      <c r="AE981" s="219"/>
      <c r="AF981" s="219"/>
      <c r="AG981" s="219"/>
      <c r="AH981" s="219"/>
      <c r="AI981" s="219"/>
      <c r="AJ981" s="219"/>
      <c r="AK981" s="219"/>
      <c r="AL981" s="219"/>
    </row>
    <row r="982" spans="12:38">
      <c r="L982" s="219"/>
      <c r="M982" s="219"/>
      <c r="N982" s="219"/>
      <c r="O982" s="219"/>
      <c r="P982" s="219"/>
      <c r="Q982" s="219"/>
      <c r="R982" s="219"/>
      <c r="S982" s="219"/>
      <c r="T982" s="219"/>
      <c r="U982" s="219"/>
      <c r="V982" s="219"/>
      <c r="AB982" s="219"/>
      <c r="AC982" s="219"/>
      <c r="AD982" s="219"/>
      <c r="AE982" s="219"/>
      <c r="AF982" s="219"/>
      <c r="AG982" s="219"/>
      <c r="AH982" s="219"/>
      <c r="AI982" s="219"/>
      <c r="AJ982" s="219"/>
      <c r="AK982" s="219"/>
      <c r="AL982" s="219"/>
    </row>
    <row r="983" spans="12:38">
      <c r="L983" s="219"/>
      <c r="M983" s="219"/>
      <c r="N983" s="219"/>
      <c r="O983" s="219"/>
      <c r="P983" s="219"/>
      <c r="Q983" s="219"/>
      <c r="R983" s="219"/>
      <c r="S983" s="219"/>
      <c r="T983" s="219"/>
      <c r="U983" s="219"/>
      <c r="V983" s="219"/>
      <c r="AB983" s="219"/>
      <c r="AC983" s="219"/>
      <c r="AD983" s="219"/>
      <c r="AE983" s="219"/>
      <c r="AF983" s="219"/>
      <c r="AG983" s="219"/>
      <c r="AH983" s="219"/>
      <c r="AI983" s="219"/>
      <c r="AJ983" s="219"/>
      <c r="AK983" s="219"/>
      <c r="AL983" s="219"/>
    </row>
    <row r="984" spans="12:38">
      <c r="L984" s="219"/>
      <c r="M984" s="219"/>
      <c r="N984" s="219"/>
      <c r="O984" s="219"/>
      <c r="P984" s="219"/>
      <c r="Q984" s="219"/>
      <c r="R984" s="219"/>
      <c r="S984" s="219"/>
      <c r="T984" s="219"/>
      <c r="U984" s="219"/>
      <c r="V984" s="219"/>
      <c r="AB984" s="219"/>
      <c r="AC984" s="219"/>
      <c r="AD984" s="219"/>
      <c r="AE984" s="219"/>
      <c r="AF984" s="219"/>
      <c r="AG984" s="219"/>
      <c r="AH984" s="219"/>
      <c r="AI984" s="219"/>
      <c r="AJ984" s="219"/>
      <c r="AK984" s="219"/>
      <c r="AL984" s="219"/>
    </row>
    <row r="985" spans="12:38">
      <c r="L985" s="219"/>
      <c r="M985" s="219"/>
      <c r="N985" s="219"/>
      <c r="O985" s="219"/>
      <c r="P985" s="219"/>
      <c r="Q985" s="219"/>
      <c r="R985" s="219"/>
      <c r="S985" s="219"/>
      <c r="T985" s="219"/>
      <c r="U985" s="219"/>
      <c r="V985" s="219"/>
      <c r="AB985" s="219"/>
      <c r="AC985" s="219"/>
      <c r="AD985" s="219"/>
      <c r="AE985" s="219"/>
      <c r="AF985" s="219"/>
      <c r="AG985" s="219"/>
      <c r="AH985" s="219"/>
      <c r="AI985" s="219"/>
      <c r="AJ985" s="219"/>
      <c r="AK985" s="219"/>
      <c r="AL985" s="219"/>
    </row>
    <row r="986" spans="12:38">
      <c r="L986" s="219"/>
      <c r="M986" s="219"/>
      <c r="N986" s="219"/>
      <c r="O986" s="219"/>
      <c r="P986" s="219"/>
      <c r="Q986" s="219"/>
      <c r="R986" s="219"/>
      <c r="S986" s="219"/>
      <c r="T986" s="219"/>
      <c r="U986" s="219"/>
      <c r="V986" s="219"/>
      <c r="AB986" s="219"/>
      <c r="AC986" s="219"/>
      <c r="AD986" s="219"/>
      <c r="AE986" s="219"/>
      <c r="AF986" s="219"/>
      <c r="AG986" s="219"/>
      <c r="AH986" s="219"/>
      <c r="AI986" s="219"/>
      <c r="AJ986" s="219"/>
      <c r="AK986" s="219"/>
      <c r="AL986" s="219"/>
    </row>
    <row r="987" spans="12:38">
      <c r="L987" s="219"/>
      <c r="M987" s="219"/>
      <c r="N987" s="219"/>
      <c r="O987" s="219"/>
      <c r="P987" s="219"/>
      <c r="Q987" s="219"/>
      <c r="R987" s="219"/>
      <c r="S987" s="219"/>
      <c r="T987" s="219"/>
      <c r="U987" s="219"/>
      <c r="V987" s="219"/>
      <c r="AB987" s="219"/>
      <c r="AC987" s="219"/>
      <c r="AD987" s="219"/>
      <c r="AE987" s="219"/>
      <c r="AF987" s="219"/>
      <c r="AG987" s="219"/>
      <c r="AH987" s="219"/>
      <c r="AI987" s="219"/>
      <c r="AJ987" s="219"/>
      <c r="AK987" s="219"/>
      <c r="AL987" s="219"/>
    </row>
    <row r="988" spans="12:38">
      <c r="L988" s="219"/>
      <c r="M988" s="219"/>
      <c r="N988" s="219"/>
      <c r="O988" s="219"/>
      <c r="P988" s="219"/>
      <c r="Q988" s="219"/>
      <c r="R988" s="219"/>
      <c r="S988" s="219"/>
      <c r="T988" s="219"/>
      <c r="U988" s="219"/>
      <c r="V988" s="219"/>
      <c r="AB988" s="219"/>
      <c r="AC988" s="219"/>
      <c r="AD988" s="219"/>
      <c r="AE988" s="219"/>
      <c r="AF988" s="219"/>
      <c r="AG988" s="219"/>
      <c r="AH988" s="219"/>
      <c r="AI988" s="219"/>
      <c r="AJ988" s="219"/>
      <c r="AK988" s="219"/>
      <c r="AL988" s="219"/>
    </row>
    <row r="989" spans="12:38">
      <c r="L989" s="219"/>
      <c r="M989" s="219"/>
      <c r="N989" s="219"/>
      <c r="O989" s="219"/>
      <c r="P989" s="219"/>
      <c r="Q989" s="219"/>
      <c r="R989" s="219"/>
      <c r="S989" s="219"/>
      <c r="T989" s="219"/>
      <c r="U989" s="219"/>
      <c r="V989" s="219"/>
      <c r="AB989" s="219"/>
      <c r="AC989" s="219"/>
      <c r="AD989" s="219"/>
      <c r="AE989" s="219"/>
      <c r="AF989" s="219"/>
      <c r="AG989" s="219"/>
      <c r="AH989" s="219"/>
      <c r="AI989" s="219"/>
      <c r="AJ989" s="219"/>
      <c r="AK989" s="219"/>
      <c r="AL989" s="219"/>
    </row>
    <row r="990" spans="12:38">
      <c r="L990" s="219"/>
      <c r="M990" s="219"/>
      <c r="N990" s="219"/>
      <c r="O990" s="219"/>
      <c r="P990" s="219"/>
      <c r="Q990" s="219"/>
      <c r="R990" s="219"/>
      <c r="S990" s="219"/>
      <c r="T990" s="219"/>
      <c r="U990" s="219"/>
      <c r="V990" s="219"/>
      <c r="AB990" s="219"/>
      <c r="AC990" s="219"/>
      <c r="AD990" s="219"/>
      <c r="AE990" s="219"/>
      <c r="AF990" s="219"/>
      <c r="AG990" s="219"/>
      <c r="AH990" s="219"/>
      <c r="AI990" s="219"/>
      <c r="AJ990" s="219"/>
      <c r="AK990" s="219"/>
      <c r="AL990" s="219"/>
    </row>
    <row r="991" spans="12:38">
      <c r="L991" s="219"/>
      <c r="M991" s="219"/>
      <c r="N991" s="219"/>
      <c r="O991" s="219"/>
      <c r="P991" s="219"/>
      <c r="Q991" s="219"/>
      <c r="R991" s="219"/>
      <c r="S991" s="219"/>
      <c r="T991" s="219"/>
      <c r="U991" s="219"/>
      <c r="V991" s="219"/>
      <c r="AB991" s="219"/>
      <c r="AC991" s="219"/>
      <c r="AD991" s="219"/>
      <c r="AE991" s="219"/>
      <c r="AF991" s="219"/>
      <c r="AG991" s="219"/>
      <c r="AH991" s="219"/>
      <c r="AI991" s="219"/>
      <c r="AJ991" s="219"/>
      <c r="AK991" s="219"/>
      <c r="AL991" s="219"/>
    </row>
    <row r="992" spans="12:38">
      <c r="L992" s="219"/>
      <c r="M992" s="219"/>
      <c r="N992" s="219"/>
      <c r="O992" s="219"/>
      <c r="P992" s="219"/>
      <c r="Q992" s="219"/>
      <c r="R992" s="219"/>
      <c r="S992" s="219"/>
      <c r="T992" s="219"/>
      <c r="U992" s="219"/>
      <c r="V992" s="219"/>
      <c r="AB992" s="219"/>
      <c r="AC992" s="219"/>
      <c r="AD992" s="219"/>
      <c r="AE992" s="219"/>
      <c r="AF992" s="219"/>
      <c r="AG992" s="219"/>
      <c r="AH992" s="219"/>
      <c r="AI992" s="219"/>
      <c r="AJ992" s="219"/>
      <c r="AK992" s="219"/>
      <c r="AL992" s="219"/>
    </row>
    <row r="993" spans="12:38">
      <c r="L993" s="219"/>
      <c r="M993" s="219"/>
      <c r="N993" s="219"/>
      <c r="O993" s="219"/>
      <c r="P993" s="219"/>
      <c r="Q993" s="219"/>
      <c r="R993" s="219"/>
      <c r="S993" s="219"/>
      <c r="T993" s="219"/>
      <c r="U993" s="219"/>
      <c r="V993" s="219"/>
      <c r="AB993" s="219"/>
      <c r="AC993" s="219"/>
      <c r="AD993" s="219"/>
      <c r="AE993" s="219"/>
      <c r="AF993" s="219"/>
      <c r="AG993" s="219"/>
      <c r="AH993" s="219"/>
      <c r="AI993" s="219"/>
      <c r="AJ993" s="219"/>
      <c r="AK993" s="219"/>
      <c r="AL993" s="219"/>
    </row>
    <row r="994" spans="12:38">
      <c r="L994" s="219"/>
      <c r="M994" s="219"/>
      <c r="N994" s="219"/>
      <c r="O994" s="219"/>
      <c r="P994" s="219"/>
      <c r="Q994" s="219"/>
      <c r="R994" s="219"/>
      <c r="S994" s="219"/>
      <c r="T994" s="219"/>
      <c r="U994" s="219"/>
      <c r="V994" s="219"/>
      <c r="AB994" s="219"/>
      <c r="AC994" s="219"/>
      <c r="AD994" s="219"/>
      <c r="AE994" s="219"/>
      <c r="AF994" s="219"/>
      <c r="AG994" s="219"/>
      <c r="AH994" s="219"/>
      <c r="AI994" s="219"/>
      <c r="AJ994" s="219"/>
      <c r="AK994" s="219"/>
      <c r="AL994" s="219"/>
    </row>
    <row r="995" spans="12:38">
      <c r="L995" s="219"/>
      <c r="M995" s="219"/>
      <c r="N995" s="219"/>
      <c r="O995" s="219"/>
      <c r="P995" s="219"/>
      <c r="Q995" s="219"/>
      <c r="R995" s="219"/>
      <c r="S995" s="219"/>
      <c r="T995" s="219"/>
      <c r="U995" s="219"/>
      <c r="V995" s="219"/>
      <c r="AB995" s="219"/>
      <c r="AC995" s="219"/>
      <c r="AD995" s="219"/>
      <c r="AE995" s="219"/>
      <c r="AF995" s="219"/>
      <c r="AG995" s="219"/>
      <c r="AH995" s="219"/>
      <c r="AI995" s="219"/>
      <c r="AJ995" s="219"/>
      <c r="AK995" s="219"/>
      <c r="AL995" s="219"/>
    </row>
    <row r="996" spans="12:38">
      <c r="L996" s="219"/>
      <c r="M996" s="219"/>
      <c r="N996" s="219"/>
      <c r="O996" s="219"/>
      <c r="P996" s="219"/>
      <c r="Q996" s="219"/>
      <c r="R996" s="219"/>
      <c r="S996" s="219"/>
      <c r="T996" s="219"/>
      <c r="U996" s="219"/>
      <c r="V996" s="219"/>
      <c r="AB996" s="219"/>
      <c r="AC996" s="219"/>
      <c r="AD996" s="219"/>
      <c r="AE996" s="219"/>
      <c r="AF996" s="219"/>
      <c r="AG996" s="219"/>
      <c r="AH996" s="219"/>
      <c r="AI996" s="219"/>
      <c r="AJ996" s="219"/>
      <c r="AK996" s="219"/>
      <c r="AL996" s="219"/>
    </row>
    <row r="997" spans="12:38">
      <c r="L997" s="219"/>
      <c r="M997" s="219"/>
      <c r="N997" s="219"/>
      <c r="O997" s="219"/>
      <c r="P997" s="219"/>
      <c r="Q997" s="219"/>
      <c r="R997" s="219"/>
      <c r="S997" s="219"/>
      <c r="T997" s="219"/>
      <c r="U997" s="219"/>
      <c r="V997" s="219"/>
      <c r="AB997" s="219"/>
      <c r="AC997" s="219"/>
      <c r="AD997" s="219"/>
      <c r="AE997" s="219"/>
      <c r="AF997" s="219"/>
      <c r="AG997" s="219"/>
      <c r="AH997" s="219"/>
      <c r="AI997" s="219"/>
      <c r="AJ997" s="219"/>
      <c r="AK997" s="219"/>
      <c r="AL997" s="219"/>
    </row>
    <row r="998" spans="12:38">
      <c r="L998" s="219"/>
      <c r="M998" s="219"/>
      <c r="N998" s="219"/>
      <c r="O998" s="219"/>
      <c r="P998" s="219"/>
      <c r="Q998" s="219"/>
      <c r="R998" s="219"/>
      <c r="S998" s="219"/>
      <c r="T998" s="219"/>
      <c r="U998" s="219"/>
      <c r="V998" s="219"/>
      <c r="AB998" s="219"/>
      <c r="AC998" s="219"/>
      <c r="AD998" s="219"/>
      <c r="AE998" s="219"/>
      <c r="AF998" s="219"/>
      <c r="AG998" s="219"/>
      <c r="AH998" s="219"/>
      <c r="AI998" s="219"/>
      <c r="AJ998" s="219"/>
      <c r="AK998" s="219"/>
      <c r="AL998" s="219"/>
    </row>
    <row r="999" spans="12:38">
      <c r="L999" s="219"/>
      <c r="M999" s="219"/>
      <c r="N999" s="219"/>
      <c r="O999" s="219"/>
      <c r="P999" s="219"/>
      <c r="Q999" s="219"/>
      <c r="R999" s="219"/>
      <c r="S999" s="219"/>
      <c r="T999" s="219"/>
      <c r="U999" s="219"/>
      <c r="V999" s="219"/>
      <c r="AB999" s="219"/>
      <c r="AC999" s="219"/>
      <c r="AD999" s="219"/>
      <c r="AE999" s="219"/>
      <c r="AF999" s="219"/>
      <c r="AG999" s="219"/>
      <c r="AH999" s="219"/>
      <c r="AI999" s="219"/>
      <c r="AJ999" s="219"/>
      <c r="AK999" s="219"/>
      <c r="AL999" s="219"/>
    </row>
    <row r="1000" spans="12:38">
      <c r="L1000" s="219"/>
      <c r="M1000" s="219"/>
      <c r="N1000" s="219"/>
      <c r="O1000" s="219"/>
      <c r="P1000" s="219"/>
      <c r="Q1000" s="219"/>
      <c r="R1000" s="219"/>
      <c r="S1000" s="219"/>
      <c r="T1000" s="219"/>
      <c r="U1000" s="219"/>
      <c r="V1000" s="219"/>
      <c r="AB1000" s="219"/>
      <c r="AC1000" s="219"/>
      <c r="AD1000" s="219"/>
      <c r="AE1000" s="219"/>
      <c r="AF1000" s="219"/>
      <c r="AG1000" s="219"/>
      <c r="AH1000" s="219"/>
      <c r="AI1000" s="219"/>
      <c r="AJ1000" s="219"/>
      <c r="AK1000" s="219"/>
      <c r="AL1000" s="219"/>
    </row>
    <row r="1001" spans="12:38">
      <c r="L1001" s="219"/>
      <c r="M1001" s="219"/>
      <c r="N1001" s="219"/>
      <c r="O1001" s="219"/>
      <c r="P1001" s="219"/>
      <c r="Q1001" s="219"/>
      <c r="R1001" s="219"/>
      <c r="S1001" s="219"/>
      <c r="T1001" s="219"/>
      <c r="U1001" s="219"/>
      <c r="V1001" s="219"/>
      <c r="AB1001" s="219"/>
      <c r="AC1001" s="219"/>
      <c r="AD1001" s="219"/>
      <c r="AE1001" s="219"/>
      <c r="AF1001" s="219"/>
      <c r="AG1001" s="219"/>
      <c r="AH1001" s="219"/>
      <c r="AI1001" s="219"/>
      <c r="AJ1001" s="219"/>
      <c r="AK1001" s="219"/>
      <c r="AL1001" s="219"/>
    </row>
    <row r="1002" spans="12:38">
      <c r="L1002" s="219"/>
      <c r="M1002" s="219"/>
      <c r="N1002" s="219"/>
      <c r="O1002" s="219"/>
      <c r="P1002" s="219"/>
      <c r="Q1002" s="219"/>
      <c r="R1002" s="219"/>
      <c r="S1002" s="219"/>
      <c r="T1002" s="219"/>
      <c r="U1002" s="219"/>
      <c r="V1002" s="219"/>
      <c r="AB1002" s="219"/>
      <c r="AC1002" s="219"/>
      <c r="AD1002" s="219"/>
      <c r="AE1002" s="219"/>
      <c r="AF1002" s="219"/>
      <c r="AG1002" s="219"/>
      <c r="AH1002" s="219"/>
      <c r="AI1002" s="219"/>
      <c r="AJ1002" s="219"/>
      <c r="AK1002" s="219"/>
      <c r="AL1002" s="219"/>
    </row>
    <row r="1003" spans="12:38">
      <c r="L1003" s="219"/>
      <c r="M1003" s="219"/>
      <c r="N1003" s="219"/>
      <c r="O1003" s="219"/>
      <c r="P1003" s="219"/>
      <c r="Q1003" s="219"/>
      <c r="R1003" s="219"/>
      <c r="S1003" s="219"/>
      <c r="T1003" s="219"/>
      <c r="U1003" s="219"/>
      <c r="V1003" s="219"/>
      <c r="AB1003" s="219"/>
      <c r="AC1003" s="219"/>
      <c r="AD1003" s="219"/>
      <c r="AE1003" s="219"/>
      <c r="AF1003" s="219"/>
      <c r="AG1003" s="219"/>
      <c r="AH1003" s="219"/>
      <c r="AI1003" s="219"/>
      <c r="AJ1003" s="219"/>
      <c r="AK1003" s="219"/>
      <c r="AL1003" s="219"/>
    </row>
    <row r="1004" spans="12:38">
      <c r="L1004" s="219"/>
      <c r="M1004" s="219"/>
      <c r="N1004" s="219"/>
      <c r="O1004" s="219"/>
      <c r="P1004" s="219"/>
      <c r="Q1004" s="219"/>
      <c r="R1004" s="219"/>
      <c r="S1004" s="219"/>
      <c r="T1004" s="219"/>
      <c r="U1004" s="219"/>
      <c r="V1004" s="219"/>
      <c r="AB1004" s="219"/>
      <c r="AC1004" s="219"/>
      <c r="AD1004" s="219"/>
      <c r="AE1004" s="219"/>
      <c r="AF1004" s="219"/>
      <c r="AG1004" s="219"/>
      <c r="AH1004" s="219"/>
      <c r="AI1004" s="219"/>
      <c r="AJ1004" s="219"/>
      <c r="AK1004" s="219"/>
      <c r="AL1004" s="219"/>
    </row>
    <row r="1005" spans="12:38">
      <c r="L1005" s="219"/>
      <c r="M1005" s="219"/>
      <c r="N1005" s="219"/>
      <c r="O1005" s="219"/>
      <c r="P1005" s="219"/>
      <c r="Q1005" s="219"/>
      <c r="R1005" s="219"/>
      <c r="S1005" s="219"/>
      <c r="T1005" s="219"/>
      <c r="U1005" s="219"/>
      <c r="V1005" s="219"/>
      <c r="AB1005" s="219"/>
      <c r="AC1005" s="219"/>
      <c r="AD1005" s="219"/>
      <c r="AE1005" s="219"/>
      <c r="AF1005" s="219"/>
      <c r="AG1005" s="219"/>
      <c r="AH1005" s="219"/>
      <c r="AI1005" s="219"/>
      <c r="AJ1005" s="219"/>
      <c r="AK1005" s="219"/>
      <c r="AL1005" s="219"/>
    </row>
    <row r="1006" spans="12:38">
      <c r="L1006" s="219"/>
      <c r="M1006" s="219"/>
      <c r="N1006" s="219"/>
      <c r="O1006" s="219"/>
      <c r="P1006" s="219"/>
      <c r="Q1006" s="219"/>
      <c r="R1006" s="219"/>
      <c r="S1006" s="219"/>
      <c r="T1006" s="219"/>
      <c r="U1006" s="219"/>
      <c r="V1006" s="219"/>
      <c r="AB1006" s="219"/>
      <c r="AC1006" s="219"/>
      <c r="AD1006" s="219"/>
      <c r="AE1006" s="219"/>
      <c r="AF1006" s="219"/>
      <c r="AG1006" s="219"/>
      <c r="AH1006" s="219"/>
      <c r="AI1006" s="219"/>
      <c r="AJ1006" s="219"/>
      <c r="AK1006" s="219"/>
      <c r="AL1006" s="219"/>
    </row>
    <row r="1007" spans="12:38">
      <c r="L1007" s="219"/>
      <c r="M1007" s="219"/>
      <c r="N1007" s="219"/>
      <c r="O1007" s="219"/>
      <c r="P1007" s="219"/>
      <c r="Q1007" s="219"/>
      <c r="R1007" s="219"/>
      <c r="S1007" s="219"/>
      <c r="T1007" s="219"/>
      <c r="U1007" s="219"/>
      <c r="V1007" s="219"/>
      <c r="AB1007" s="219"/>
      <c r="AC1007" s="219"/>
      <c r="AD1007" s="219"/>
      <c r="AE1007" s="219"/>
      <c r="AF1007" s="219"/>
      <c r="AG1007" s="219"/>
      <c r="AH1007" s="219"/>
      <c r="AI1007" s="219"/>
      <c r="AJ1007" s="219"/>
      <c r="AK1007" s="219"/>
      <c r="AL1007" s="219"/>
    </row>
    <row r="1008" spans="12:38">
      <c r="L1008" s="219"/>
      <c r="M1008" s="219"/>
      <c r="N1008" s="219"/>
      <c r="O1008" s="219"/>
      <c r="P1008" s="219"/>
      <c r="Q1008" s="219"/>
      <c r="R1008" s="219"/>
      <c r="S1008" s="219"/>
      <c r="T1008" s="219"/>
      <c r="U1008" s="219"/>
      <c r="V1008" s="219"/>
      <c r="AB1008" s="219"/>
      <c r="AC1008" s="219"/>
      <c r="AD1008" s="219"/>
      <c r="AE1008" s="219"/>
      <c r="AF1008" s="219"/>
      <c r="AG1008" s="219"/>
      <c r="AH1008" s="219"/>
      <c r="AI1008" s="219"/>
      <c r="AJ1008" s="219"/>
      <c r="AK1008" s="219"/>
      <c r="AL1008" s="219"/>
    </row>
    <row r="1009" spans="12:38">
      <c r="L1009" s="219"/>
      <c r="M1009" s="219"/>
      <c r="N1009" s="219"/>
      <c r="O1009" s="219"/>
      <c r="P1009" s="219"/>
      <c r="Q1009" s="219"/>
      <c r="R1009" s="219"/>
      <c r="S1009" s="219"/>
      <c r="T1009" s="219"/>
      <c r="U1009" s="219"/>
      <c r="V1009" s="219"/>
      <c r="AB1009" s="219"/>
      <c r="AC1009" s="219"/>
      <c r="AD1009" s="219"/>
      <c r="AE1009" s="219"/>
      <c r="AF1009" s="219"/>
      <c r="AG1009" s="219"/>
      <c r="AH1009" s="219"/>
      <c r="AI1009" s="219"/>
      <c r="AJ1009" s="219"/>
      <c r="AK1009" s="219"/>
      <c r="AL1009" s="219"/>
    </row>
    <row r="1010" spans="12:38">
      <c r="L1010" s="219"/>
      <c r="M1010" s="219"/>
      <c r="N1010" s="219"/>
      <c r="O1010" s="219"/>
      <c r="P1010" s="219"/>
      <c r="Q1010" s="219"/>
      <c r="R1010" s="219"/>
      <c r="S1010" s="219"/>
      <c r="T1010" s="219"/>
      <c r="U1010" s="219"/>
      <c r="V1010" s="219"/>
      <c r="AB1010" s="219"/>
      <c r="AC1010" s="219"/>
      <c r="AD1010" s="219"/>
      <c r="AE1010" s="219"/>
      <c r="AF1010" s="219"/>
      <c r="AG1010" s="219"/>
      <c r="AH1010" s="219"/>
      <c r="AI1010" s="219"/>
      <c r="AJ1010" s="219"/>
      <c r="AK1010" s="219"/>
      <c r="AL1010" s="219"/>
    </row>
    <row r="1011" spans="12:38">
      <c r="L1011" s="219"/>
      <c r="M1011" s="219"/>
      <c r="N1011" s="219"/>
      <c r="O1011" s="219"/>
      <c r="P1011" s="219"/>
      <c r="Q1011" s="219"/>
      <c r="R1011" s="219"/>
      <c r="S1011" s="219"/>
      <c r="T1011" s="219"/>
      <c r="U1011" s="219"/>
      <c r="V1011" s="219"/>
      <c r="AB1011" s="219"/>
      <c r="AC1011" s="219"/>
      <c r="AD1011" s="219"/>
      <c r="AE1011" s="219"/>
      <c r="AF1011" s="219"/>
      <c r="AG1011" s="219"/>
      <c r="AH1011" s="219"/>
      <c r="AI1011" s="219"/>
      <c r="AJ1011" s="219"/>
      <c r="AK1011" s="219"/>
      <c r="AL1011" s="219"/>
    </row>
    <row r="1012" spans="12:38">
      <c r="L1012" s="219"/>
      <c r="M1012" s="219"/>
      <c r="N1012" s="219"/>
      <c r="O1012" s="219"/>
      <c r="P1012" s="219"/>
      <c r="Q1012" s="219"/>
      <c r="R1012" s="219"/>
      <c r="S1012" s="219"/>
      <c r="T1012" s="219"/>
      <c r="U1012" s="219"/>
      <c r="V1012" s="219"/>
      <c r="AB1012" s="219"/>
      <c r="AC1012" s="219"/>
      <c r="AD1012" s="219"/>
      <c r="AE1012" s="219"/>
      <c r="AF1012" s="219"/>
      <c r="AG1012" s="219"/>
      <c r="AH1012" s="219"/>
      <c r="AI1012" s="219"/>
      <c r="AJ1012" s="219"/>
      <c r="AK1012" s="219"/>
      <c r="AL1012" s="219"/>
    </row>
    <row r="1013" spans="12:38">
      <c r="L1013" s="219"/>
      <c r="M1013" s="219"/>
      <c r="N1013" s="219"/>
      <c r="O1013" s="219"/>
      <c r="P1013" s="219"/>
      <c r="Q1013" s="219"/>
      <c r="R1013" s="219"/>
      <c r="S1013" s="219"/>
      <c r="T1013" s="219"/>
      <c r="U1013" s="219"/>
      <c r="V1013" s="219"/>
      <c r="AB1013" s="219"/>
      <c r="AC1013" s="219"/>
      <c r="AD1013" s="219"/>
      <c r="AE1013" s="219"/>
      <c r="AF1013" s="219"/>
      <c r="AG1013" s="219"/>
      <c r="AH1013" s="219"/>
      <c r="AI1013" s="219"/>
      <c r="AJ1013" s="219"/>
      <c r="AK1013" s="219"/>
      <c r="AL1013" s="219"/>
    </row>
    <row r="1014" spans="12:38">
      <c r="L1014" s="219"/>
      <c r="M1014" s="219"/>
      <c r="N1014" s="219"/>
      <c r="O1014" s="219"/>
      <c r="P1014" s="219"/>
      <c r="Q1014" s="219"/>
      <c r="R1014" s="219"/>
      <c r="S1014" s="219"/>
      <c r="T1014" s="219"/>
      <c r="U1014" s="219"/>
      <c r="V1014" s="219"/>
      <c r="AB1014" s="219"/>
      <c r="AC1014" s="219"/>
      <c r="AD1014" s="219"/>
      <c r="AE1014" s="219"/>
      <c r="AF1014" s="219"/>
      <c r="AG1014" s="219"/>
      <c r="AH1014" s="219"/>
      <c r="AI1014" s="219"/>
      <c r="AJ1014" s="219"/>
      <c r="AK1014" s="219"/>
      <c r="AL1014" s="219"/>
    </row>
    <row r="1015" spans="12:38">
      <c r="L1015" s="219"/>
      <c r="M1015" s="219"/>
      <c r="N1015" s="219"/>
      <c r="O1015" s="219"/>
      <c r="P1015" s="219"/>
      <c r="Q1015" s="219"/>
      <c r="R1015" s="219"/>
      <c r="S1015" s="219"/>
      <c r="T1015" s="219"/>
      <c r="U1015" s="219"/>
      <c r="V1015" s="219"/>
      <c r="AB1015" s="219"/>
      <c r="AC1015" s="219"/>
      <c r="AD1015" s="219"/>
      <c r="AE1015" s="219"/>
      <c r="AF1015" s="219"/>
      <c r="AG1015" s="219"/>
      <c r="AH1015" s="219"/>
      <c r="AI1015" s="219"/>
      <c r="AJ1015" s="219"/>
      <c r="AK1015" s="219"/>
      <c r="AL1015" s="219"/>
    </row>
    <row r="1016" spans="12:38">
      <c r="L1016" s="219"/>
      <c r="M1016" s="219"/>
      <c r="N1016" s="219"/>
      <c r="O1016" s="219"/>
      <c r="P1016" s="219"/>
      <c r="Q1016" s="219"/>
      <c r="R1016" s="219"/>
      <c r="S1016" s="219"/>
      <c r="T1016" s="219"/>
      <c r="U1016" s="219"/>
      <c r="V1016" s="219"/>
      <c r="AB1016" s="219"/>
      <c r="AC1016" s="219"/>
      <c r="AD1016" s="219"/>
      <c r="AE1016" s="219"/>
      <c r="AF1016" s="219"/>
      <c r="AG1016" s="219"/>
      <c r="AH1016" s="219"/>
      <c r="AI1016" s="219"/>
      <c r="AJ1016" s="219"/>
      <c r="AK1016" s="219"/>
      <c r="AL1016" s="219"/>
    </row>
    <row r="1017" spans="12:38">
      <c r="L1017" s="219"/>
      <c r="M1017" s="219"/>
      <c r="N1017" s="219"/>
      <c r="O1017" s="219"/>
      <c r="P1017" s="219"/>
      <c r="Q1017" s="219"/>
      <c r="R1017" s="219"/>
      <c r="S1017" s="219"/>
      <c r="T1017" s="219"/>
      <c r="U1017" s="219"/>
      <c r="V1017" s="219"/>
      <c r="AB1017" s="219"/>
      <c r="AC1017" s="219"/>
      <c r="AD1017" s="219"/>
      <c r="AE1017" s="219"/>
      <c r="AF1017" s="219"/>
      <c r="AG1017" s="219"/>
      <c r="AH1017" s="219"/>
      <c r="AI1017" s="219"/>
      <c r="AJ1017" s="219"/>
      <c r="AK1017" s="219"/>
      <c r="AL1017" s="219"/>
    </row>
    <row r="1018" spans="12:38">
      <c r="L1018" s="219"/>
      <c r="M1018" s="219"/>
      <c r="N1018" s="219"/>
      <c r="O1018" s="219"/>
      <c r="P1018" s="219"/>
      <c r="Q1018" s="219"/>
      <c r="R1018" s="219"/>
      <c r="S1018" s="219"/>
      <c r="T1018" s="219"/>
      <c r="U1018" s="219"/>
      <c r="V1018" s="219"/>
      <c r="AB1018" s="219"/>
      <c r="AC1018" s="219"/>
      <c r="AD1018" s="219"/>
      <c r="AE1018" s="219"/>
      <c r="AF1018" s="219"/>
      <c r="AG1018" s="219"/>
      <c r="AH1018" s="219"/>
      <c r="AI1018" s="219"/>
      <c r="AJ1018" s="219"/>
      <c r="AK1018" s="219"/>
      <c r="AL1018" s="219"/>
    </row>
    <row r="1019" spans="12:38">
      <c r="L1019" s="219"/>
      <c r="M1019" s="219"/>
      <c r="N1019" s="219"/>
      <c r="O1019" s="219"/>
      <c r="P1019" s="219"/>
      <c r="Q1019" s="219"/>
      <c r="R1019" s="219"/>
      <c r="S1019" s="219"/>
      <c r="T1019" s="219"/>
      <c r="U1019" s="219"/>
      <c r="V1019" s="219"/>
      <c r="AB1019" s="219"/>
      <c r="AC1019" s="219"/>
      <c r="AD1019" s="219"/>
      <c r="AE1019" s="219"/>
      <c r="AF1019" s="219"/>
      <c r="AG1019" s="219"/>
      <c r="AH1019" s="219"/>
      <c r="AI1019" s="219"/>
      <c r="AJ1019" s="219"/>
      <c r="AK1019" s="219"/>
      <c r="AL1019" s="219"/>
    </row>
    <row r="1020" spans="12:38">
      <c r="L1020" s="219"/>
      <c r="M1020" s="219"/>
      <c r="N1020" s="219"/>
      <c r="O1020" s="219"/>
      <c r="P1020" s="219"/>
      <c r="Q1020" s="219"/>
      <c r="R1020" s="219"/>
      <c r="S1020" s="219"/>
      <c r="T1020" s="219"/>
      <c r="U1020" s="219"/>
      <c r="V1020" s="219"/>
      <c r="AB1020" s="219"/>
      <c r="AC1020" s="219"/>
      <c r="AD1020" s="219"/>
      <c r="AE1020" s="219"/>
      <c r="AF1020" s="219"/>
      <c r="AG1020" s="219"/>
      <c r="AH1020" s="219"/>
      <c r="AI1020" s="219"/>
      <c r="AJ1020" s="219"/>
      <c r="AK1020" s="219"/>
      <c r="AL1020" s="219"/>
    </row>
    <row r="1021" spans="12:38">
      <c r="L1021" s="219"/>
      <c r="M1021" s="219"/>
      <c r="N1021" s="219"/>
      <c r="O1021" s="219"/>
      <c r="P1021" s="219"/>
      <c r="Q1021" s="219"/>
      <c r="R1021" s="219"/>
      <c r="S1021" s="219"/>
      <c r="T1021" s="219"/>
      <c r="U1021" s="219"/>
      <c r="V1021" s="219"/>
      <c r="AB1021" s="219"/>
      <c r="AC1021" s="219"/>
      <c r="AD1021" s="219"/>
      <c r="AE1021" s="219"/>
      <c r="AF1021" s="219"/>
      <c r="AG1021" s="219"/>
      <c r="AH1021" s="219"/>
      <c r="AI1021" s="219"/>
      <c r="AJ1021" s="219"/>
      <c r="AK1021" s="219"/>
      <c r="AL1021" s="219"/>
    </row>
    <row r="1022" spans="12:38">
      <c r="L1022" s="219"/>
      <c r="M1022" s="219"/>
      <c r="N1022" s="219"/>
      <c r="O1022" s="219"/>
      <c r="P1022" s="219"/>
      <c r="Q1022" s="219"/>
      <c r="R1022" s="219"/>
      <c r="S1022" s="219"/>
      <c r="T1022" s="219"/>
      <c r="U1022" s="219"/>
      <c r="V1022" s="219"/>
      <c r="AB1022" s="219"/>
      <c r="AC1022" s="219"/>
      <c r="AD1022" s="219"/>
      <c r="AE1022" s="219"/>
      <c r="AF1022" s="219"/>
      <c r="AG1022" s="219"/>
      <c r="AH1022" s="219"/>
      <c r="AI1022" s="219"/>
      <c r="AJ1022" s="219"/>
      <c r="AK1022" s="219"/>
      <c r="AL1022" s="219"/>
    </row>
    <row r="1023" spans="12:38">
      <c r="L1023" s="219"/>
      <c r="M1023" s="219"/>
      <c r="N1023" s="219"/>
      <c r="O1023" s="219"/>
      <c r="P1023" s="219"/>
      <c r="Q1023" s="219"/>
      <c r="R1023" s="219"/>
      <c r="S1023" s="219"/>
      <c r="T1023" s="219"/>
      <c r="U1023" s="219"/>
      <c r="V1023" s="219"/>
      <c r="AB1023" s="219"/>
      <c r="AC1023" s="219"/>
      <c r="AD1023" s="219"/>
      <c r="AE1023" s="219"/>
      <c r="AF1023" s="219"/>
      <c r="AG1023" s="219"/>
      <c r="AH1023" s="219"/>
      <c r="AI1023" s="219"/>
      <c r="AJ1023" s="219"/>
      <c r="AK1023" s="219"/>
      <c r="AL1023" s="219"/>
    </row>
    <row r="1024" spans="12:38">
      <c r="L1024" s="219"/>
      <c r="M1024" s="219"/>
      <c r="N1024" s="219"/>
      <c r="O1024" s="219"/>
      <c r="P1024" s="219"/>
      <c r="Q1024" s="219"/>
      <c r="R1024" s="219"/>
      <c r="S1024" s="219"/>
      <c r="T1024" s="219"/>
      <c r="U1024" s="219"/>
      <c r="V1024" s="219"/>
      <c r="AB1024" s="219"/>
      <c r="AC1024" s="219"/>
      <c r="AD1024" s="219"/>
      <c r="AE1024" s="219"/>
      <c r="AF1024" s="219"/>
      <c r="AG1024" s="219"/>
      <c r="AH1024" s="219"/>
      <c r="AI1024" s="219"/>
      <c r="AJ1024" s="219"/>
      <c r="AK1024" s="219"/>
      <c r="AL1024" s="219"/>
    </row>
    <row r="1025" spans="12:38">
      <c r="L1025" s="219"/>
      <c r="M1025" s="219"/>
      <c r="N1025" s="219"/>
      <c r="O1025" s="219"/>
      <c r="P1025" s="219"/>
      <c r="Q1025" s="219"/>
      <c r="R1025" s="219"/>
      <c r="S1025" s="219"/>
      <c r="T1025" s="219"/>
      <c r="U1025" s="219"/>
      <c r="V1025" s="219"/>
      <c r="AB1025" s="219"/>
      <c r="AC1025" s="219"/>
      <c r="AD1025" s="219"/>
      <c r="AE1025" s="219"/>
      <c r="AF1025" s="219"/>
      <c r="AG1025" s="219"/>
      <c r="AH1025" s="219"/>
      <c r="AI1025" s="219"/>
      <c r="AJ1025" s="219"/>
      <c r="AK1025" s="219"/>
      <c r="AL1025" s="219"/>
    </row>
    <row r="1026" spans="12:38">
      <c r="L1026" s="219"/>
      <c r="M1026" s="219"/>
      <c r="N1026" s="219"/>
      <c r="O1026" s="219"/>
      <c r="P1026" s="219"/>
      <c r="Q1026" s="219"/>
      <c r="R1026" s="219"/>
      <c r="S1026" s="219"/>
      <c r="T1026" s="219"/>
      <c r="U1026" s="219"/>
      <c r="V1026" s="219"/>
      <c r="AB1026" s="219"/>
      <c r="AC1026" s="219"/>
      <c r="AD1026" s="219"/>
      <c r="AE1026" s="219"/>
      <c r="AF1026" s="219"/>
      <c r="AG1026" s="219"/>
      <c r="AH1026" s="219"/>
      <c r="AI1026" s="219"/>
      <c r="AJ1026" s="219"/>
      <c r="AK1026" s="219"/>
      <c r="AL1026" s="219"/>
    </row>
    <row r="1027" spans="12:38">
      <c r="L1027" s="219"/>
      <c r="M1027" s="219"/>
      <c r="N1027" s="219"/>
      <c r="O1027" s="219"/>
      <c r="P1027" s="219"/>
      <c r="Q1027" s="219"/>
      <c r="R1027" s="219"/>
      <c r="S1027" s="219"/>
      <c r="T1027" s="219"/>
      <c r="U1027" s="219"/>
      <c r="V1027" s="219"/>
      <c r="AB1027" s="219"/>
      <c r="AC1027" s="219"/>
      <c r="AD1027" s="219"/>
      <c r="AE1027" s="219"/>
      <c r="AF1027" s="219"/>
      <c r="AG1027" s="219"/>
      <c r="AH1027" s="219"/>
      <c r="AI1027" s="219"/>
      <c r="AJ1027" s="219"/>
      <c r="AK1027" s="219"/>
      <c r="AL1027" s="219"/>
    </row>
    <row r="1028" spans="12:38">
      <c r="L1028" s="219"/>
      <c r="M1028" s="219"/>
      <c r="N1028" s="219"/>
      <c r="O1028" s="219"/>
      <c r="P1028" s="219"/>
      <c r="Q1028" s="219"/>
      <c r="R1028" s="219"/>
      <c r="S1028" s="219"/>
      <c r="T1028" s="219"/>
      <c r="U1028" s="219"/>
      <c r="V1028" s="219"/>
      <c r="AB1028" s="219"/>
      <c r="AC1028" s="219"/>
      <c r="AD1028" s="219"/>
      <c r="AE1028" s="219"/>
      <c r="AF1028" s="219"/>
      <c r="AG1028" s="219"/>
      <c r="AH1028" s="219"/>
      <c r="AI1028" s="219"/>
      <c r="AJ1028" s="219"/>
      <c r="AK1028" s="219"/>
      <c r="AL1028" s="219"/>
    </row>
    <row r="1029" spans="12:38">
      <c r="L1029" s="219"/>
      <c r="M1029" s="219"/>
      <c r="N1029" s="219"/>
      <c r="O1029" s="219"/>
      <c r="P1029" s="219"/>
      <c r="Q1029" s="219"/>
      <c r="R1029" s="219"/>
      <c r="S1029" s="219"/>
      <c r="T1029" s="219"/>
      <c r="U1029" s="219"/>
      <c r="V1029" s="219"/>
      <c r="AB1029" s="219"/>
      <c r="AC1029" s="219"/>
      <c r="AD1029" s="219"/>
      <c r="AE1029" s="219"/>
      <c r="AF1029" s="219"/>
      <c r="AG1029" s="219"/>
      <c r="AH1029" s="219"/>
      <c r="AI1029" s="219"/>
      <c r="AJ1029" s="219"/>
      <c r="AK1029" s="219"/>
      <c r="AL1029" s="219"/>
    </row>
    <row r="1030" spans="12:38">
      <c r="L1030" s="219"/>
      <c r="M1030" s="219"/>
      <c r="N1030" s="219"/>
      <c r="O1030" s="219"/>
      <c r="P1030" s="219"/>
      <c r="Q1030" s="219"/>
      <c r="R1030" s="219"/>
      <c r="S1030" s="219"/>
      <c r="T1030" s="219"/>
      <c r="U1030" s="219"/>
      <c r="V1030" s="219"/>
      <c r="AB1030" s="219"/>
      <c r="AC1030" s="219"/>
      <c r="AD1030" s="219"/>
      <c r="AE1030" s="219"/>
      <c r="AF1030" s="219"/>
      <c r="AG1030" s="219"/>
      <c r="AH1030" s="219"/>
      <c r="AI1030" s="219"/>
      <c r="AJ1030" s="219"/>
      <c r="AK1030" s="219"/>
      <c r="AL1030" s="219"/>
    </row>
    <row r="1031" spans="12:38">
      <c r="L1031" s="219"/>
      <c r="M1031" s="219"/>
      <c r="N1031" s="219"/>
      <c r="O1031" s="219"/>
      <c r="P1031" s="219"/>
      <c r="Q1031" s="219"/>
      <c r="R1031" s="219"/>
      <c r="S1031" s="219"/>
      <c r="T1031" s="219"/>
      <c r="U1031" s="219"/>
      <c r="V1031" s="219"/>
      <c r="AB1031" s="219"/>
      <c r="AC1031" s="219"/>
      <c r="AD1031" s="219"/>
      <c r="AE1031" s="219"/>
      <c r="AF1031" s="219"/>
      <c r="AG1031" s="219"/>
      <c r="AH1031" s="219"/>
      <c r="AI1031" s="219"/>
      <c r="AJ1031" s="219"/>
      <c r="AK1031" s="219"/>
      <c r="AL1031" s="219"/>
    </row>
    <row r="1032" spans="12:38">
      <c r="L1032" s="219"/>
      <c r="M1032" s="219"/>
      <c r="N1032" s="219"/>
      <c r="O1032" s="219"/>
      <c r="P1032" s="219"/>
      <c r="Q1032" s="219"/>
      <c r="R1032" s="219"/>
      <c r="S1032" s="219"/>
      <c r="T1032" s="219"/>
      <c r="U1032" s="219"/>
      <c r="V1032" s="219"/>
      <c r="AB1032" s="219"/>
      <c r="AC1032" s="219"/>
      <c r="AD1032" s="219"/>
      <c r="AE1032" s="219"/>
      <c r="AF1032" s="219"/>
      <c r="AG1032" s="219"/>
      <c r="AH1032" s="219"/>
      <c r="AI1032" s="219"/>
      <c r="AJ1032" s="219"/>
      <c r="AK1032" s="219"/>
      <c r="AL1032" s="219"/>
    </row>
    <row r="1033" spans="12:38">
      <c r="L1033" s="219"/>
      <c r="M1033" s="219"/>
      <c r="N1033" s="219"/>
      <c r="O1033" s="219"/>
      <c r="P1033" s="219"/>
      <c r="Q1033" s="219"/>
      <c r="R1033" s="219"/>
      <c r="S1033" s="219"/>
      <c r="T1033" s="219"/>
      <c r="U1033" s="219"/>
      <c r="V1033" s="219"/>
      <c r="AB1033" s="219"/>
      <c r="AC1033" s="219"/>
      <c r="AD1033" s="219"/>
      <c r="AE1033" s="219"/>
      <c r="AF1033" s="219"/>
      <c r="AG1033" s="219"/>
      <c r="AH1033" s="219"/>
      <c r="AI1033" s="219"/>
      <c r="AJ1033" s="219"/>
      <c r="AK1033" s="219"/>
      <c r="AL1033" s="219"/>
    </row>
    <row r="1034" spans="12:38">
      <c r="L1034" s="219"/>
      <c r="M1034" s="219"/>
      <c r="N1034" s="219"/>
      <c r="O1034" s="219"/>
      <c r="P1034" s="219"/>
      <c r="Q1034" s="219"/>
      <c r="R1034" s="219"/>
      <c r="S1034" s="219"/>
      <c r="T1034" s="219"/>
      <c r="U1034" s="219"/>
      <c r="V1034" s="219"/>
      <c r="AB1034" s="219"/>
      <c r="AC1034" s="219"/>
      <c r="AD1034" s="219"/>
      <c r="AE1034" s="219"/>
      <c r="AF1034" s="219"/>
      <c r="AG1034" s="219"/>
      <c r="AH1034" s="219"/>
      <c r="AI1034" s="219"/>
      <c r="AJ1034" s="219"/>
      <c r="AK1034" s="219"/>
      <c r="AL1034" s="219"/>
    </row>
    <row r="1035" spans="12:38">
      <c r="L1035" s="219"/>
      <c r="M1035" s="219"/>
      <c r="N1035" s="219"/>
      <c r="O1035" s="219"/>
      <c r="P1035" s="219"/>
      <c r="Q1035" s="219"/>
      <c r="R1035" s="219"/>
      <c r="S1035" s="219"/>
      <c r="T1035" s="219"/>
      <c r="U1035" s="219"/>
      <c r="V1035" s="219"/>
      <c r="AB1035" s="219"/>
      <c r="AC1035" s="219"/>
      <c r="AD1035" s="219"/>
      <c r="AE1035" s="219"/>
      <c r="AF1035" s="219"/>
      <c r="AG1035" s="219"/>
      <c r="AH1035" s="219"/>
      <c r="AI1035" s="219"/>
      <c r="AJ1035" s="219"/>
      <c r="AK1035" s="219"/>
      <c r="AL1035" s="219"/>
    </row>
    <row r="1036" spans="12:38">
      <c r="L1036" s="219"/>
      <c r="M1036" s="219"/>
      <c r="N1036" s="219"/>
      <c r="O1036" s="219"/>
      <c r="P1036" s="219"/>
      <c r="Q1036" s="219"/>
      <c r="R1036" s="219"/>
      <c r="S1036" s="219"/>
      <c r="T1036" s="219"/>
      <c r="U1036" s="219"/>
      <c r="V1036" s="219"/>
      <c r="AB1036" s="219"/>
      <c r="AC1036" s="219"/>
      <c r="AD1036" s="219"/>
      <c r="AE1036" s="219"/>
      <c r="AF1036" s="219"/>
      <c r="AG1036" s="219"/>
      <c r="AH1036" s="219"/>
      <c r="AI1036" s="219"/>
      <c r="AJ1036" s="219"/>
      <c r="AK1036" s="219"/>
      <c r="AL1036" s="219"/>
    </row>
    <row r="1037" spans="12:38">
      <c r="L1037" s="219"/>
      <c r="M1037" s="219"/>
      <c r="N1037" s="219"/>
      <c r="O1037" s="219"/>
      <c r="P1037" s="219"/>
      <c r="Q1037" s="219"/>
      <c r="R1037" s="219"/>
      <c r="S1037" s="219"/>
      <c r="T1037" s="219"/>
      <c r="U1037" s="219"/>
      <c r="V1037" s="219"/>
      <c r="AB1037" s="219"/>
      <c r="AC1037" s="219"/>
      <c r="AD1037" s="219"/>
      <c r="AE1037" s="219"/>
      <c r="AF1037" s="219"/>
      <c r="AG1037" s="219"/>
      <c r="AH1037" s="219"/>
      <c r="AI1037" s="219"/>
      <c r="AJ1037" s="219"/>
      <c r="AK1037" s="219"/>
      <c r="AL1037" s="219"/>
    </row>
    <row r="1038" spans="12:38">
      <c r="L1038" s="219"/>
      <c r="M1038" s="219"/>
      <c r="N1038" s="219"/>
      <c r="O1038" s="219"/>
      <c r="P1038" s="219"/>
      <c r="Q1038" s="219"/>
      <c r="R1038" s="219"/>
      <c r="S1038" s="219"/>
      <c r="T1038" s="219"/>
      <c r="U1038" s="219"/>
      <c r="V1038" s="219"/>
      <c r="AB1038" s="219"/>
      <c r="AC1038" s="219"/>
      <c r="AD1038" s="219"/>
      <c r="AE1038" s="219"/>
      <c r="AF1038" s="219"/>
      <c r="AG1038" s="219"/>
      <c r="AH1038" s="219"/>
      <c r="AI1038" s="219"/>
      <c r="AJ1038" s="219"/>
      <c r="AK1038" s="219"/>
      <c r="AL1038" s="219"/>
    </row>
    <row r="1039" spans="12:38">
      <c r="L1039" s="219"/>
      <c r="M1039" s="219"/>
      <c r="N1039" s="219"/>
      <c r="O1039" s="219"/>
      <c r="P1039" s="219"/>
      <c r="Q1039" s="219"/>
      <c r="R1039" s="219"/>
      <c r="S1039" s="219"/>
      <c r="T1039" s="219"/>
      <c r="U1039" s="219"/>
      <c r="V1039" s="219"/>
      <c r="AB1039" s="219"/>
      <c r="AC1039" s="219"/>
      <c r="AD1039" s="219"/>
      <c r="AE1039" s="219"/>
      <c r="AF1039" s="219"/>
      <c r="AG1039" s="219"/>
      <c r="AH1039" s="219"/>
      <c r="AI1039" s="219"/>
      <c r="AJ1039" s="219"/>
      <c r="AK1039" s="219"/>
      <c r="AL1039" s="219"/>
    </row>
    <row r="1040" spans="12:38">
      <c r="L1040" s="219"/>
      <c r="M1040" s="219"/>
      <c r="N1040" s="219"/>
      <c r="O1040" s="219"/>
      <c r="P1040" s="219"/>
      <c r="Q1040" s="219"/>
      <c r="R1040" s="219"/>
      <c r="S1040" s="219"/>
      <c r="T1040" s="219"/>
      <c r="U1040" s="219"/>
      <c r="V1040" s="219"/>
      <c r="AB1040" s="219"/>
      <c r="AC1040" s="219"/>
      <c r="AD1040" s="219"/>
      <c r="AE1040" s="219"/>
      <c r="AF1040" s="219"/>
      <c r="AG1040" s="219"/>
      <c r="AH1040" s="219"/>
      <c r="AI1040" s="219"/>
      <c r="AJ1040" s="219"/>
      <c r="AK1040" s="219"/>
      <c r="AL1040" s="219"/>
    </row>
    <row r="1041" spans="12:38">
      <c r="L1041" s="219"/>
      <c r="M1041" s="219"/>
      <c r="N1041" s="219"/>
      <c r="O1041" s="219"/>
      <c r="P1041" s="219"/>
      <c r="Q1041" s="219"/>
      <c r="R1041" s="219"/>
      <c r="S1041" s="219"/>
      <c r="T1041" s="219"/>
      <c r="U1041" s="219"/>
      <c r="V1041" s="219"/>
      <c r="AB1041" s="219"/>
      <c r="AC1041" s="219"/>
      <c r="AD1041" s="219"/>
      <c r="AE1041" s="219"/>
      <c r="AF1041" s="219"/>
      <c r="AG1041" s="219"/>
      <c r="AH1041" s="219"/>
      <c r="AI1041" s="219"/>
      <c r="AJ1041" s="219"/>
      <c r="AK1041" s="219"/>
      <c r="AL1041" s="219"/>
    </row>
    <row r="1042" spans="12:38">
      <c r="L1042" s="219"/>
      <c r="M1042" s="219"/>
      <c r="N1042" s="219"/>
      <c r="O1042" s="219"/>
      <c r="P1042" s="219"/>
      <c r="Q1042" s="219"/>
      <c r="R1042" s="219"/>
      <c r="S1042" s="219"/>
      <c r="T1042" s="219"/>
      <c r="U1042" s="219"/>
      <c r="V1042" s="219"/>
      <c r="AB1042" s="219"/>
      <c r="AC1042" s="219"/>
      <c r="AD1042" s="219"/>
      <c r="AE1042" s="219"/>
      <c r="AF1042" s="219"/>
      <c r="AG1042" s="219"/>
      <c r="AH1042" s="219"/>
      <c r="AI1042" s="219"/>
      <c r="AJ1042" s="219"/>
      <c r="AK1042" s="219"/>
      <c r="AL1042" s="219"/>
    </row>
    <row r="1043" spans="12:38">
      <c r="L1043" s="219"/>
      <c r="M1043" s="219"/>
      <c r="N1043" s="219"/>
      <c r="O1043" s="219"/>
      <c r="P1043" s="219"/>
      <c r="Q1043" s="219"/>
      <c r="R1043" s="219"/>
      <c r="S1043" s="219"/>
      <c r="T1043" s="219"/>
      <c r="U1043" s="219"/>
      <c r="V1043" s="219"/>
      <c r="AB1043" s="219"/>
      <c r="AC1043" s="219"/>
      <c r="AD1043" s="219"/>
      <c r="AE1043" s="219"/>
      <c r="AF1043" s="219"/>
      <c r="AG1043" s="219"/>
      <c r="AH1043" s="219"/>
      <c r="AI1043" s="219"/>
      <c r="AJ1043" s="219"/>
      <c r="AK1043" s="219"/>
      <c r="AL1043" s="219"/>
    </row>
    <row r="1044" spans="12:38">
      <c r="L1044" s="219"/>
      <c r="M1044" s="219"/>
      <c r="N1044" s="219"/>
      <c r="O1044" s="219"/>
      <c r="P1044" s="219"/>
      <c r="Q1044" s="219"/>
      <c r="R1044" s="219"/>
      <c r="S1044" s="219"/>
      <c r="T1044" s="219"/>
      <c r="U1044" s="219"/>
      <c r="V1044" s="219"/>
      <c r="AB1044" s="219"/>
      <c r="AC1044" s="219"/>
      <c r="AD1044" s="219"/>
      <c r="AE1044" s="219"/>
      <c r="AF1044" s="219"/>
      <c r="AG1044" s="219"/>
      <c r="AH1044" s="219"/>
      <c r="AI1044" s="219"/>
      <c r="AJ1044" s="219"/>
      <c r="AK1044" s="219"/>
      <c r="AL1044" s="219"/>
    </row>
    <row r="1045" spans="12:38">
      <c r="L1045" s="219"/>
      <c r="M1045" s="219"/>
      <c r="N1045" s="219"/>
      <c r="O1045" s="219"/>
      <c r="P1045" s="219"/>
      <c r="Q1045" s="219"/>
      <c r="R1045" s="219"/>
      <c r="S1045" s="219"/>
      <c r="T1045" s="219"/>
      <c r="U1045" s="219"/>
      <c r="V1045" s="219"/>
      <c r="AB1045" s="219"/>
      <c r="AC1045" s="219"/>
      <c r="AD1045" s="219"/>
      <c r="AE1045" s="219"/>
      <c r="AF1045" s="219"/>
      <c r="AG1045" s="219"/>
      <c r="AH1045" s="219"/>
      <c r="AI1045" s="219"/>
      <c r="AJ1045" s="219"/>
      <c r="AK1045" s="219"/>
      <c r="AL1045" s="219"/>
    </row>
    <row r="1046" spans="12:38">
      <c r="L1046" s="219"/>
      <c r="M1046" s="219"/>
      <c r="N1046" s="219"/>
      <c r="O1046" s="219"/>
      <c r="P1046" s="219"/>
      <c r="Q1046" s="219"/>
      <c r="R1046" s="219"/>
      <c r="S1046" s="219"/>
      <c r="T1046" s="219"/>
      <c r="U1046" s="219"/>
      <c r="V1046" s="219"/>
      <c r="AB1046" s="219"/>
      <c r="AC1046" s="219"/>
      <c r="AD1046" s="219"/>
      <c r="AE1046" s="219"/>
      <c r="AF1046" s="219"/>
      <c r="AG1046" s="219"/>
      <c r="AH1046" s="219"/>
      <c r="AI1046" s="219"/>
      <c r="AJ1046" s="219"/>
      <c r="AK1046" s="219"/>
      <c r="AL1046" s="219"/>
    </row>
    <row r="1047" spans="12:38">
      <c r="L1047" s="219"/>
      <c r="M1047" s="219"/>
      <c r="N1047" s="219"/>
      <c r="O1047" s="219"/>
      <c r="P1047" s="219"/>
      <c r="Q1047" s="219"/>
      <c r="R1047" s="219"/>
      <c r="S1047" s="219"/>
      <c r="T1047" s="219"/>
      <c r="U1047" s="219"/>
      <c r="V1047" s="219"/>
      <c r="AB1047" s="219"/>
      <c r="AC1047" s="219"/>
      <c r="AD1047" s="219"/>
      <c r="AE1047" s="219"/>
      <c r="AF1047" s="219"/>
      <c r="AG1047" s="219"/>
      <c r="AH1047" s="219"/>
      <c r="AI1047" s="219"/>
      <c r="AJ1047" s="219"/>
      <c r="AK1047" s="219"/>
      <c r="AL1047" s="219"/>
    </row>
    <row r="1048" spans="12:38">
      <c r="L1048" s="219"/>
      <c r="M1048" s="219"/>
      <c r="N1048" s="219"/>
      <c r="O1048" s="219"/>
      <c r="P1048" s="219"/>
      <c r="Q1048" s="219"/>
      <c r="R1048" s="219"/>
      <c r="S1048" s="219"/>
      <c r="T1048" s="219"/>
      <c r="U1048" s="219"/>
      <c r="V1048" s="219"/>
      <c r="AB1048" s="219"/>
      <c r="AC1048" s="219"/>
      <c r="AD1048" s="219"/>
      <c r="AE1048" s="219"/>
      <c r="AF1048" s="219"/>
      <c r="AG1048" s="219"/>
      <c r="AH1048" s="219"/>
      <c r="AI1048" s="219"/>
      <c r="AJ1048" s="219"/>
      <c r="AK1048" s="219"/>
      <c r="AL1048" s="219"/>
    </row>
    <row r="1049" spans="12:38">
      <c r="L1049" s="219"/>
      <c r="M1049" s="219"/>
      <c r="N1049" s="219"/>
      <c r="O1049" s="219"/>
      <c r="P1049" s="219"/>
      <c r="Q1049" s="219"/>
      <c r="R1049" s="219"/>
      <c r="S1049" s="219"/>
      <c r="T1049" s="219"/>
      <c r="U1049" s="219"/>
      <c r="V1049" s="219"/>
      <c r="AB1049" s="219"/>
      <c r="AC1049" s="219"/>
      <c r="AD1049" s="219"/>
      <c r="AE1049" s="219"/>
      <c r="AF1049" s="219"/>
      <c r="AG1049" s="219"/>
      <c r="AH1049" s="219"/>
      <c r="AI1049" s="219"/>
      <c r="AJ1049" s="219"/>
      <c r="AK1049" s="219"/>
      <c r="AL1049" s="219"/>
    </row>
    <row r="1050" spans="12:38">
      <c r="L1050" s="219"/>
      <c r="M1050" s="219"/>
      <c r="N1050" s="219"/>
      <c r="O1050" s="219"/>
      <c r="P1050" s="219"/>
      <c r="Q1050" s="219"/>
      <c r="R1050" s="219"/>
      <c r="S1050" s="219"/>
      <c r="T1050" s="219"/>
      <c r="U1050" s="219"/>
      <c r="V1050" s="219"/>
      <c r="AB1050" s="219"/>
      <c r="AC1050" s="219"/>
      <c r="AD1050" s="219"/>
      <c r="AE1050" s="219"/>
      <c r="AF1050" s="219"/>
      <c r="AG1050" s="219"/>
      <c r="AH1050" s="219"/>
      <c r="AI1050" s="219"/>
      <c r="AJ1050" s="219"/>
      <c r="AK1050" s="219"/>
      <c r="AL1050" s="219"/>
    </row>
    <row r="1051" spans="12:38">
      <c r="L1051" s="219"/>
      <c r="M1051" s="219"/>
      <c r="N1051" s="219"/>
      <c r="O1051" s="219"/>
      <c r="P1051" s="219"/>
      <c r="Q1051" s="219"/>
      <c r="R1051" s="219"/>
      <c r="S1051" s="219"/>
      <c r="T1051" s="219"/>
      <c r="U1051" s="219"/>
      <c r="V1051" s="219"/>
      <c r="AB1051" s="219"/>
      <c r="AC1051" s="219"/>
      <c r="AD1051" s="219"/>
      <c r="AE1051" s="219"/>
      <c r="AF1051" s="219"/>
      <c r="AG1051" s="219"/>
      <c r="AH1051" s="219"/>
      <c r="AI1051" s="219"/>
      <c r="AJ1051" s="219"/>
      <c r="AK1051" s="219"/>
      <c r="AL1051" s="219"/>
    </row>
    <row r="1052" spans="12:38">
      <c r="L1052" s="219"/>
      <c r="M1052" s="219"/>
      <c r="N1052" s="219"/>
      <c r="O1052" s="219"/>
      <c r="P1052" s="219"/>
      <c r="Q1052" s="219"/>
      <c r="R1052" s="219"/>
      <c r="S1052" s="219"/>
      <c r="T1052" s="219"/>
      <c r="U1052" s="219"/>
      <c r="V1052" s="219"/>
      <c r="AB1052" s="219"/>
      <c r="AC1052" s="219"/>
      <c r="AD1052" s="219"/>
      <c r="AE1052" s="219"/>
      <c r="AF1052" s="219"/>
      <c r="AG1052" s="219"/>
      <c r="AH1052" s="219"/>
      <c r="AI1052" s="219"/>
      <c r="AJ1052" s="219"/>
      <c r="AK1052" s="219"/>
      <c r="AL1052" s="219"/>
    </row>
    <row r="1053" spans="12:38">
      <c r="L1053" s="219"/>
      <c r="M1053" s="219"/>
      <c r="N1053" s="219"/>
      <c r="O1053" s="219"/>
      <c r="P1053" s="219"/>
      <c r="Q1053" s="219"/>
      <c r="R1053" s="219"/>
      <c r="S1053" s="219"/>
      <c r="T1053" s="219"/>
      <c r="U1053" s="219"/>
      <c r="V1053" s="219"/>
      <c r="AB1053" s="219"/>
      <c r="AC1053" s="219"/>
      <c r="AD1053" s="219"/>
      <c r="AE1053" s="219"/>
      <c r="AF1053" s="219"/>
      <c r="AG1053" s="219"/>
      <c r="AH1053" s="219"/>
      <c r="AI1053" s="219"/>
      <c r="AJ1053" s="219"/>
      <c r="AK1053" s="219"/>
      <c r="AL1053" s="219"/>
    </row>
    <row r="1054" spans="12:38">
      <c r="L1054" s="219"/>
      <c r="M1054" s="219"/>
      <c r="N1054" s="219"/>
      <c r="O1054" s="219"/>
      <c r="P1054" s="219"/>
      <c r="Q1054" s="219"/>
      <c r="R1054" s="219"/>
      <c r="S1054" s="219"/>
      <c r="T1054" s="219"/>
      <c r="U1054" s="219"/>
      <c r="V1054" s="219"/>
      <c r="AB1054" s="219"/>
      <c r="AC1054" s="219"/>
      <c r="AD1054" s="219"/>
      <c r="AE1054" s="219"/>
      <c r="AF1054" s="219"/>
      <c r="AG1054" s="219"/>
      <c r="AH1054" s="219"/>
      <c r="AI1054" s="219"/>
      <c r="AJ1054" s="219"/>
      <c r="AK1054" s="219"/>
      <c r="AL1054" s="219"/>
    </row>
    <row r="1055" spans="12:38">
      <c r="L1055" s="219"/>
      <c r="M1055" s="219"/>
      <c r="N1055" s="219"/>
      <c r="O1055" s="219"/>
      <c r="P1055" s="219"/>
      <c r="Q1055" s="219"/>
      <c r="R1055" s="219"/>
      <c r="S1055" s="219"/>
      <c r="T1055" s="219"/>
      <c r="U1055" s="219"/>
      <c r="V1055" s="219"/>
      <c r="AB1055" s="219"/>
      <c r="AC1055" s="219"/>
      <c r="AD1055" s="219"/>
      <c r="AE1055" s="219"/>
      <c r="AF1055" s="219"/>
      <c r="AG1055" s="219"/>
      <c r="AH1055" s="219"/>
      <c r="AI1055" s="219"/>
      <c r="AJ1055" s="219"/>
      <c r="AK1055" s="219"/>
      <c r="AL1055" s="219"/>
    </row>
    <row r="1056" spans="12:38">
      <c r="L1056" s="219"/>
      <c r="M1056" s="219"/>
      <c r="N1056" s="219"/>
      <c r="O1056" s="219"/>
      <c r="P1056" s="219"/>
      <c r="Q1056" s="219"/>
      <c r="R1056" s="219"/>
      <c r="S1056" s="219"/>
      <c r="T1056" s="219"/>
      <c r="U1056" s="219"/>
      <c r="V1056" s="219"/>
      <c r="AB1056" s="219"/>
      <c r="AC1056" s="219"/>
      <c r="AD1056" s="219"/>
      <c r="AE1056" s="219"/>
      <c r="AF1056" s="219"/>
      <c r="AG1056" s="219"/>
      <c r="AH1056" s="219"/>
      <c r="AI1056" s="219"/>
      <c r="AJ1056" s="219"/>
      <c r="AK1056" s="219"/>
      <c r="AL1056" s="219"/>
    </row>
    <row r="1057" spans="12:38">
      <c r="L1057" s="219"/>
      <c r="M1057" s="219"/>
      <c r="N1057" s="219"/>
      <c r="O1057" s="219"/>
      <c r="P1057" s="219"/>
      <c r="Q1057" s="219"/>
      <c r="R1057" s="219"/>
      <c r="S1057" s="219"/>
      <c r="T1057" s="219"/>
      <c r="U1057" s="219"/>
      <c r="V1057" s="219"/>
      <c r="AB1057" s="219"/>
      <c r="AC1057" s="219"/>
      <c r="AD1057" s="219"/>
      <c r="AE1057" s="219"/>
      <c r="AF1057" s="219"/>
      <c r="AG1057" s="219"/>
      <c r="AH1057" s="219"/>
      <c r="AI1057" s="219"/>
      <c r="AJ1057" s="219"/>
      <c r="AK1057" s="219"/>
      <c r="AL1057" s="219"/>
    </row>
    <row r="1058" spans="12:38">
      <c r="L1058" s="219"/>
      <c r="M1058" s="219"/>
      <c r="N1058" s="219"/>
      <c r="O1058" s="219"/>
      <c r="P1058" s="219"/>
      <c r="Q1058" s="219"/>
      <c r="R1058" s="219"/>
      <c r="S1058" s="219"/>
      <c r="T1058" s="219"/>
      <c r="U1058" s="219"/>
      <c r="V1058" s="219"/>
      <c r="AB1058" s="219"/>
      <c r="AC1058" s="219"/>
      <c r="AD1058" s="219"/>
      <c r="AE1058" s="219"/>
      <c r="AF1058" s="219"/>
      <c r="AG1058" s="219"/>
      <c r="AH1058" s="219"/>
      <c r="AI1058" s="219"/>
      <c r="AJ1058" s="219"/>
      <c r="AK1058" s="219"/>
      <c r="AL1058" s="219"/>
    </row>
    <row r="1059" spans="12:38">
      <c r="L1059" s="219"/>
      <c r="M1059" s="219"/>
      <c r="N1059" s="219"/>
      <c r="O1059" s="219"/>
      <c r="P1059" s="219"/>
      <c r="Q1059" s="219"/>
      <c r="R1059" s="219"/>
      <c r="S1059" s="219"/>
      <c r="T1059" s="219"/>
      <c r="U1059" s="219"/>
      <c r="V1059" s="219"/>
      <c r="AB1059" s="219"/>
      <c r="AC1059" s="219"/>
      <c r="AD1059" s="219"/>
      <c r="AE1059" s="219"/>
      <c r="AF1059" s="219"/>
      <c r="AG1059" s="219"/>
      <c r="AH1059" s="219"/>
      <c r="AI1059" s="219"/>
      <c r="AJ1059" s="219"/>
      <c r="AK1059" s="219"/>
      <c r="AL1059" s="219"/>
    </row>
    <row r="1060" spans="12:38">
      <c r="L1060" s="219"/>
      <c r="M1060" s="219"/>
      <c r="N1060" s="219"/>
      <c r="O1060" s="219"/>
      <c r="P1060" s="219"/>
      <c r="Q1060" s="219"/>
      <c r="R1060" s="219"/>
      <c r="S1060" s="219"/>
      <c r="T1060" s="219"/>
      <c r="U1060" s="219"/>
      <c r="V1060" s="219"/>
      <c r="AB1060" s="219"/>
      <c r="AC1060" s="219"/>
      <c r="AD1060" s="219"/>
      <c r="AE1060" s="219"/>
      <c r="AF1060" s="219"/>
      <c r="AG1060" s="219"/>
      <c r="AH1060" s="219"/>
      <c r="AI1060" s="219"/>
      <c r="AJ1060" s="219"/>
      <c r="AK1060" s="219"/>
      <c r="AL1060" s="219"/>
    </row>
    <row r="1061" spans="12:38">
      <c r="L1061" s="219"/>
      <c r="M1061" s="219"/>
      <c r="N1061" s="219"/>
      <c r="O1061" s="219"/>
      <c r="P1061" s="219"/>
      <c r="Q1061" s="219"/>
      <c r="R1061" s="219"/>
      <c r="S1061" s="219"/>
      <c r="T1061" s="219"/>
      <c r="U1061" s="219"/>
      <c r="V1061" s="219"/>
      <c r="AB1061" s="219"/>
      <c r="AC1061" s="219"/>
      <c r="AD1061" s="219"/>
      <c r="AE1061" s="219"/>
      <c r="AF1061" s="219"/>
      <c r="AG1061" s="219"/>
      <c r="AH1061" s="219"/>
      <c r="AI1061" s="219"/>
      <c r="AJ1061" s="219"/>
      <c r="AK1061" s="219"/>
      <c r="AL1061" s="219"/>
    </row>
    <row r="1062" spans="12:38">
      <c r="L1062" s="219"/>
      <c r="M1062" s="219"/>
      <c r="N1062" s="219"/>
      <c r="O1062" s="219"/>
      <c r="P1062" s="219"/>
      <c r="Q1062" s="219"/>
      <c r="R1062" s="219"/>
      <c r="S1062" s="219"/>
      <c r="T1062" s="219"/>
      <c r="U1062" s="219"/>
      <c r="V1062" s="219"/>
      <c r="AB1062" s="219"/>
      <c r="AC1062" s="219"/>
      <c r="AD1062" s="219"/>
      <c r="AE1062" s="219"/>
      <c r="AF1062" s="219"/>
      <c r="AG1062" s="219"/>
      <c r="AH1062" s="219"/>
      <c r="AI1062" s="219"/>
      <c r="AJ1062" s="219"/>
      <c r="AK1062" s="219"/>
      <c r="AL1062" s="219"/>
    </row>
    <row r="1063" spans="12:38">
      <c r="L1063" s="219"/>
      <c r="M1063" s="219"/>
      <c r="N1063" s="219"/>
      <c r="O1063" s="219"/>
      <c r="P1063" s="219"/>
      <c r="Q1063" s="219"/>
      <c r="R1063" s="219"/>
      <c r="S1063" s="219"/>
      <c r="T1063" s="219"/>
      <c r="U1063" s="219"/>
      <c r="V1063" s="219"/>
      <c r="AB1063" s="219"/>
      <c r="AC1063" s="219"/>
      <c r="AD1063" s="219"/>
      <c r="AE1063" s="219"/>
      <c r="AF1063" s="219"/>
      <c r="AG1063" s="219"/>
      <c r="AH1063" s="219"/>
      <c r="AI1063" s="219"/>
      <c r="AJ1063" s="219"/>
      <c r="AK1063" s="219"/>
      <c r="AL1063" s="219"/>
    </row>
    <row r="1064" spans="12:38">
      <c r="L1064" s="219"/>
      <c r="M1064" s="219"/>
      <c r="N1064" s="219"/>
      <c r="O1064" s="219"/>
      <c r="P1064" s="219"/>
      <c r="Q1064" s="219"/>
      <c r="R1064" s="219"/>
      <c r="S1064" s="219"/>
      <c r="T1064" s="219"/>
      <c r="U1064" s="219"/>
      <c r="V1064" s="219"/>
      <c r="AB1064" s="219"/>
      <c r="AC1064" s="219"/>
      <c r="AD1064" s="219"/>
      <c r="AE1064" s="219"/>
      <c r="AF1064" s="219"/>
      <c r="AG1064" s="219"/>
      <c r="AH1064" s="219"/>
      <c r="AI1064" s="219"/>
      <c r="AJ1064" s="219"/>
      <c r="AK1064" s="219"/>
      <c r="AL1064" s="219"/>
    </row>
    <row r="1065" spans="12:38">
      <c r="L1065" s="219"/>
      <c r="M1065" s="219"/>
      <c r="N1065" s="219"/>
      <c r="O1065" s="219"/>
      <c r="P1065" s="219"/>
      <c r="Q1065" s="219"/>
      <c r="R1065" s="219"/>
      <c r="S1065" s="219"/>
      <c r="T1065" s="219"/>
      <c r="U1065" s="219"/>
      <c r="V1065" s="219"/>
      <c r="AB1065" s="219"/>
      <c r="AC1065" s="219"/>
      <c r="AD1065" s="219"/>
      <c r="AE1065" s="219"/>
      <c r="AF1065" s="219"/>
      <c r="AG1065" s="219"/>
      <c r="AH1065" s="219"/>
      <c r="AI1065" s="219"/>
      <c r="AJ1065" s="219"/>
      <c r="AK1065" s="219"/>
      <c r="AL1065" s="219"/>
    </row>
    <row r="1066" spans="12:38">
      <c r="L1066" s="219"/>
      <c r="M1066" s="219"/>
      <c r="N1066" s="219"/>
      <c r="O1066" s="219"/>
      <c r="P1066" s="219"/>
      <c r="Q1066" s="219"/>
      <c r="R1066" s="219"/>
      <c r="S1066" s="219"/>
      <c r="T1066" s="219"/>
      <c r="U1066" s="219"/>
      <c r="V1066" s="219"/>
      <c r="AB1066" s="219"/>
      <c r="AC1066" s="219"/>
      <c r="AD1066" s="219"/>
      <c r="AE1066" s="219"/>
      <c r="AF1066" s="219"/>
      <c r="AG1066" s="219"/>
      <c r="AH1066" s="219"/>
      <c r="AI1066" s="219"/>
      <c r="AJ1066" s="219"/>
      <c r="AK1066" s="219"/>
      <c r="AL1066" s="219"/>
    </row>
    <row r="1067" spans="12:38">
      <c r="L1067" s="219"/>
      <c r="M1067" s="219"/>
      <c r="N1067" s="219"/>
      <c r="O1067" s="219"/>
      <c r="P1067" s="219"/>
      <c r="Q1067" s="219"/>
      <c r="R1067" s="219"/>
      <c r="S1067" s="219"/>
      <c r="T1067" s="219"/>
      <c r="U1067" s="219"/>
      <c r="V1067" s="219"/>
      <c r="AB1067" s="219"/>
      <c r="AC1067" s="219"/>
      <c r="AD1067" s="219"/>
      <c r="AE1067" s="219"/>
      <c r="AF1067" s="219"/>
      <c r="AG1067" s="219"/>
      <c r="AH1067" s="219"/>
      <c r="AI1067" s="219"/>
      <c r="AJ1067" s="219"/>
      <c r="AK1067" s="219"/>
      <c r="AL1067" s="219"/>
    </row>
    <row r="1068" spans="12:38">
      <c r="L1068" s="219"/>
      <c r="M1068" s="219"/>
      <c r="N1068" s="219"/>
      <c r="O1068" s="219"/>
      <c r="P1068" s="219"/>
      <c r="Q1068" s="219"/>
      <c r="R1068" s="219"/>
      <c r="S1068" s="219"/>
      <c r="T1068" s="219"/>
      <c r="U1068" s="219"/>
      <c r="V1068" s="219"/>
      <c r="AB1068" s="219"/>
      <c r="AC1068" s="219"/>
      <c r="AD1068" s="219"/>
      <c r="AE1068" s="219"/>
      <c r="AF1068" s="219"/>
      <c r="AG1068" s="219"/>
      <c r="AH1068" s="219"/>
      <c r="AI1068" s="219"/>
      <c r="AJ1068" s="219"/>
      <c r="AK1068" s="219"/>
      <c r="AL1068" s="219"/>
    </row>
    <row r="1069" spans="12:38">
      <c r="L1069" s="219"/>
      <c r="M1069" s="219"/>
      <c r="N1069" s="219"/>
      <c r="O1069" s="219"/>
      <c r="P1069" s="219"/>
      <c r="Q1069" s="219"/>
      <c r="R1069" s="219"/>
      <c r="S1069" s="219"/>
      <c r="T1069" s="219"/>
      <c r="U1069" s="219"/>
      <c r="V1069" s="219"/>
      <c r="AB1069" s="219"/>
      <c r="AC1069" s="219"/>
      <c r="AD1069" s="219"/>
      <c r="AE1069" s="219"/>
      <c r="AF1069" s="219"/>
      <c r="AG1069" s="219"/>
      <c r="AH1069" s="219"/>
      <c r="AI1069" s="219"/>
      <c r="AJ1069" s="219"/>
      <c r="AK1069" s="219"/>
      <c r="AL1069" s="219"/>
    </row>
    <row r="1070" spans="12:38">
      <c r="L1070" s="219"/>
      <c r="M1070" s="219"/>
      <c r="N1070" s="219"/>
      <c r="O1070" s="219"/>
      <c r="P1070" s="219"/>
      <c r="Q1070" s="219"/>
      <c r="R1070" s="219"/>
      <c r="S1070" s="219"/>
      <c r="T1070" s="219"/>
      <c r="U1070" s="219"/>
      <c r="V1070" s="219"/>
      <c r="AB1070" s="219"/>
      <c r="AC1070" s="219"/>
      <c r="AD1070" s="219"/>
      <c r="AE1070" s="219"/>
      <c r="AF1070" s="219"/>
      <c r="AG1070" s="219"/>
      <c r="AH1070" s="219"/>
      <c r="AI1070" s="219"/>
      <c r="AJ1070" s="219"/>
      <c r="AK1070" s="219"/>
      <c r="AL1070" s="219"/>
    </row>
    <row r="1071" spans="12:38">
      <c r="L1071" s="219"/>
      <c r="M1071" s="219"/>
      <c r="N1071" s="219"/>
      <c r="O1071" s="219"/>
      <c r="P1071" s="219"/>
      <c r="Q1071" s="219"/>
      <c r="R1071" s="219"/>
      <c r="S1071" s="219"/>
      <c r="T1071" s="219"/>
      <c r="U1071" s="219"/>
      <c r="V1071" s="219"/>
      <c r="AB1071" s="219"/>
      <c r="AC1071" s="219"/>
      <c r="AD1071" s="219"/>
      <c r="AE1071" s="219"/>
      <c r="AF1071" s="219"/>
      <c r="AG1071" s="219"/>
      <c r="AH1071" s="219"/>
      <c r="AI1071" s="219"/>
      <c r="AJ1071" s="219"/>
      <c r="AK1071" s="219"/>
      <c r="AL1071" s="219"/>
    </row>
    <row r="1072" spans="12:38">
      <c r="L1072" s="219"/>
      <c r="M1072" s="219"/>
      <c r="N1072" s="219"/>
      <c r="O1072" s="219"/>
      <c r="P1072" s="219"/>
      <c r="Q1072" s="219"/>
      <c r="R1072" s="219"/>
      <c r="S1072" s="219"/>
      <c r="T1072" s="219"/>
      <c r="U1072" s="219"/>
      <c r="V1072" s="219"/>
      <c r="AB1072" s="219"/>
      <c r="AC1072" s="219"/>
      <c r="AD1072" s="219"/>
      <c r="AE1072" s="219"/>
      <c r="AF1072" s="219"/>
      <c r="AG1072" s="219"/>
      <c r="AH1072" s="219"/>
      <c r="AI1072" s="219"/>
      <c r="AJ1072" s="219"/>
      <c r="AK1072" s="219"/>
      <c r="AL1072" s="219"/>
    </row>
    <row r="1073" spans="12:38">
      <c r="L1073" s="219"/>
      <c r="M1073" s="219"/>
      <c r="N1073" s="219"/>
      <c r="O1073" s="219"/>
      <c r="P1073" s="219"/>
      <c r="Q1073" s="219"/>
      <c r="R1073" s="219"/>
      <c r="S1073" s="219"/>
      <c r="T1073" s="219"/>
      <c r="U1073" s="219"/>
      <c r="V1073" s="219"/>
      <c r="AB1073" s="219"/>
      <c r="AC1073" s="219"/>
      <c r="AD1073" s="219"/>
      <c r="AE1073" s="219"/>
      <c r="AF1073" s="219"/>
      <c r="AG1073" s="219"/>
      <c r="AH1073" s="219"/>
      <c r="AI1073" s="219"/>
      <c r="AJ1073" s="219"/>
      <c r="AK1073" s="219"/>
      <c r="AL1073" s="219"/>
    </row>
    <row r="1074" spans="12:38">
      <c r="L1074" s="219"/>
      <c r="M1074" s="219"/>
      <c r="N1074" s="219"/>
      <c r="O1074" s="219"/>
      <c r="P1074" s="219"/>
      <c r="Q1074" s="219"/>
      <c r="R1074" s="219"/>
      <c r="S1074" s="219"/>
      <c r="T1074" s="219"/>
      <c r="U1074" s="219"/>
      <c r="V1074" s="219"/>
      <c r="AB1074" s="219"/>
      <c r="AC1074" s="219"/>
      <c r="AD1074" s="219"/>
      <c r="AE1074" s="219"/>
      <c r="AF1074" s="219"/>
      <c r="AG1074" s="219"/>
      <c r="AH1074" s="219"/>
      <c r="AI1074" s="219"/>
      <c r="AJ1074" s="219"/>
      <c r="AK1074" s="219"/>
      <c r="AL1074" s="219"/>
    </row>
    <row r="1075" spans="12:38">
      <c r="L1075" s="219"/>
      <c r="M1075" s="219"/>
      <c r="N1075" s="219"/>
      <c r="O1075" s="219"/>
      <c r="P1075" s="219"/>
      <c r="Q1075" s="219"/>
      <c r="R1075" s="219"/>
      <c r="S1075" s="219"/>
      <c r="T1075" s="219"/>
      <c r="U1075" s="219"/>
      <c r="V1075" s="219"/>
      <c r="AB1075" s="219"/>
      <c r="AC1075" s="219"/>
      <c r="AD1075" s="219"/>
      <c r="AE1075" s="219"/>
      <c r="AF1075" s="219"/>
      <c r="AG1075" s="219"/>
      <c r="AH1075" s="219"/>
      <c r="AI1075" s="219"/>
      <c r="AJ1075" s="219"/>
      <c r="AK1075" s="219"/>
      <c r="AL1075" s="219"/>
    </row>
    <row r="1076" spans="12:38">
      <c r="L1076" s="219"/>
      <c r="M1076" s="219"/>
      <c r="N1076" s="219"/>
      <c r="O1076" s="219"/>
      <c r="P1076" s="219"/>
      <c r="Q1076" s="219"/>
      <c r="R1076" s="219"/>
      <c r="S1076" s="219"/>
      <c r="T1076" s="219"/>
      <c r="U1076" s="219"/>
      <c r="V1076" s="219"/>
      <c r="AB1076" s="219"/>
      <c r="AC1076" s="219"/>
      <c r="AD1076" s="219"/>
      <c r="AE1076" s="219"/>
      <c r="AF1076" s="219"/>
      <c r="AG1076" s="219"/>
      <c r="AH1076" s="219"/>
      <c r="AI1076" s="219"/>
      <c r="AJ1076" s="219"/>
      <c r="AK1076" s="219"/>
      <c r="AL1076" s="219"/>
    </row>
    <row r="1077" spans="12:38">
      <c r="L1077" s="219"/>
      <c r="M1077" s="219"/>
      <c r="N1077" s="219"/>
      <c r="O1077" s="219"/>
      <c r="P1077" s="219"/>
      <c r="Q1077" s="219"/>
      <c r="R1077" s="219"/>
      <c r="S1077" s="219"/>
      <c r="T1077" s="219"/>
      <c r="U1077" s="219"/>
      <c r="V1077" s="219"/>
      <c r="AB1077" s="219"/>
      <c r="AC1077" s="219"/>
      <c r="AD1077" s="219"/>
      <c r="AE1077" s="219"/>
      <c r="AF1077" s="219"/>
      <c r="AG1077" s="219"/>
      <c r="AH1077" s="219"/>
      <c r="AI1077" s="219"/>
      <c r="AJ1077" s="219"/>
      <c r="AK1077" s="219"/>
      <c r="AL1077" s="219"/>
    </row>
    <row r="1078" spans="12:38">
      <c r="L1078" s="219"/>
      <c r="M1078" s="219"/>
      <c r="N1078" s="219"/>
      <c r="O1078" s="219"/>
      <c r="P1078" s="219"/>
      <c r="Q1078" s="219"/>
      <c r="R1078" s="219"/>
      <c r="S1078" s="219"/>
      <c r="T1078" s="219"/>
      <c r="U1078" s="219"/>
      <c r="V1078" s="219"/>
      <c r="AB1078" s="219"/>
      <c r="AC1078" s="219"/>
      <c r="AD1078" s="219"/>
      <c r="AE1078" s="219"/>
      <c r="AF1078" s="219"/>
      <c r="AG1078" s="219"/>
      <c r="AH1078" s="219"/>
      <c r="AI1078" s="219"/>
      <c r="AJ1078" s="219"/>
      <c r="AK1078" s="219"/>
      <c r="AL1078" s="219"/>
    </row>
    <row r="1079" spans="12:38">
      <c r="L1079" s="219"/>
      <c r="M1079" s="219"/>
      <c r="N1079" s="219"/>
      <c r="O1079" s="219"/>
      <c r="P1079" s="219"/>
      <c r="Q1079" s="219"/>
      <c r="R1079" s="219"/>
      <c r="S1079" s="219"/>
      <c r="T1079" s="219"/>
      <c r="U1079" s="219"/>
      <c r="V1079" s="219"/>
      <c r="AB1079" s="219"/>
      <c r="AC1079" s="219"/>
      <c r="AD1079" s="219"/>
      <c r="AE1079" s="219"/>
      <c r="AF1079" s="219"/>
      <c r="AG1079" s="219"/>
      <c r="AH1079" s="219"/>
      <c r="AI1079" s="219"/>
      <c r="AJ1079" s="219"/>
      <c r="AK1079" s="219"/>
      <c r="AL1079" s="219"/>
    </row>
    <row r="1080" spans="12:38">
      <c r="L1080" s="219"/>
      <c r="M1080" s="219"/>
      <c r="N1080" s="219"/>
      <c r="O1080" s="219"/>
      <c r="P1080" s="219"/>
      <c r="Q1080" s="219"/>
      <c r="R1080" s="219"/>
      <c r="S1080" s="219"/>
      <c r="T1080" s="219"/>
      <c r="U1080" s="219"/>
      <c r="V1080" s="219"/>
      <c r="AB1080" s="219"/>
      <c r="AC1080" s="219"/>
      <c r="AD1080" s="219"/>
      <c r="AE1080" s="219"/>
      <c r="AF1080" s="219"/>
      <c r="AG1080" s="219"/>
      <c r="AH1080" s="219"/>
      <c r="AI1080" s="219"/>
      <c r="AJ1080" s="219"/>
      <c r="AK1080" s="219"/>
      <c r="AL1080" s="219"/>
    </row>
    <row r="1081" spans="12:38">
      <c r="L1081" s="219"/>
      <c r="M1081" s="219"/>
      <c r="N1081" s="219"/>
      <c r="O1081" s="219"/>
      <c r="P1081" s="219"/>
      <c r="Q1081" s="219"/>
      <c r="R1081" s="219"/>
      <c r="S1081" s="219"/>
      <c r="T1081" s="219"/>
      <c r="U1081" s="219"/>
      <c r="V1081" s="219"/>
      <c r="AB1081" s="219"/>
      <c r="AC1081" s="219"/>
      <c r="AD1081" s="219"/>
      <c r="AE1081" s="219"/>
      <c r="AF1081" s="219"/>
      <c r="AG1081" s="219"/>
      <c r="AH1081" s="219"/>
      <c r="AI1081" s="219"/>
      <c r="AJ1081" s="219"/>
      <c r="AK1081" s="219"/>
      <c r="AL1081" s="219"/>
    </row>
    <row r="1082" spans="12:38">
      <c r="L1082" s="219"/>
      <c r="M1082" s="219"/>
      <c r="N1082" s="219"/>
      <c r="O1082" s="219"/>
      <c r="P1082" s="219"/>
      <c r="Q1082" s="219"/>
      <c r="R1082" s="219"/>
      <c r="S1082" s="219"/>
      <c r="T1082" s="219"/>
      <c r="U1082" s="219"/>
      <c r="V1082" s="219"/>
      <c r="AB1082" s="219"/>
      <c r="AC1082" s="219"/>
      <c r="AD1082" s="219"/>
      <c r="AE1082" s="219"/>
      <c r="AF1082" s="219"/>
      <c r="AG1082" s="219"/>
      <c r="AH1082" s="219"/>
      <c r="AI1082" s="219"/>
      <c r="AJ1082" s="219"/>
      <c r="AK1082" s="219"/>
      <c r="AL1082" s="219"/>
    </row>
    <row r="1083" spans="12:38">
      <c r="L1083" s="219"/>
      <c r="M1083" s="219"/>
      <c r="N1083" s="219"/>
      <c r="O1083" s="219"/>
      <c r="P1083" s="219"/>
      <c r="Q1083" s="219"/>
      <c r="R1083" s="219"/>
      <c r="S1083" s="219"/>
      <c r="T1083" s="219"/>
      <c r="U1083" s="219"/>
      <c r="V1083" s="219"/>
      <c r="AB1083" s="219"/>
      <c r="AC1083" s="219"/>
      <c r="AD1083" s="219"/>
      <c r="AE1083" s="219"/>
      <c r="AF1083" s="219"/>
      <c r="AG1083" s="219"/>
      <c r="AH1083" s="219"/>
      <c r="AI1083" s="219"/>
      <c r="AJ1083" s="219"/>
      <c r="AK1083" s="219"/>
      <c r="AL1083" s="219"/>
    </row>
    <row r="1084" spans="12:38">
      <c r="L1084" s="219"/>
      <c r="M1084" s="219"/>
      <c r="N1084" s="219"/>
      <c r="O1084" s="219"/>
      <c r="P1084" s="219"/>
      <c r="Q1084" s="219"/>
      <c r="R1084" s="219"/>
      <c r="S1084" s="219"/>
      <c r="T1084" s="219"/>
      <c r="U1084" s="219"/>
      <c r="V1084" s="219"/>
      <c r="AB1084" s="219"/>
      <c r="AC1084" s="219"/>
      <c r="AD1084" s="219"/>
      <c r="AE1084" s="219"/>
      <c r="AF1084" s="219"/>
      <c r="AG1084" s="219"/>
      <c r="AH1084" s="219"/>
      <c r="AI1084" s="219"/>
      <c r="AJ1084" s="219"/>
      <c r="AK1084" s="219"/>
      <c r="AL1084" s="219"/>
    </row>
    <row r="1085" spans="12:38">
      <c r="L1085" s="219"/>
      <c r="M1085" s="219"/>
      <c r="N1085" s="219"/>
      <c r="O1085" s="219"/>
      <c r="P1085" s="219"/>
      <c r="Q1085" s="219"/>
      <c r="R1085" s="219"/>
      <c r="S1085" s="219"/>
      <c r="T1085" s="219"/>
      <c r="U1085" s="219"/>
      <c r="V1085" s="219"/>
      <c r="AB1085" s="219"/>
      <c r="AC1085" s="219"/>
      <c r="AD1085" s="219"/>
      <c r="AE1085" s="219"/>
      <c r="AF1085" s="219"/>
      <c r="AG1085" s="219"/>
      <c r="AH1085" s="219"/>
      <c r="AI1085" s="219"/>
      <c r="AJ1085" s="219"/>
      <c r="AK1085" s="219"/>
      <c r="AL1085" s="219"/>
    </row>
    <row r="1086" spans="12:38">
      <c r="L1086" s="219"/>
      <c r="M1086" s="219"/>
      <c r="N1086" s="219"/>
      <c r="O1086" s="219"/>
      <c r="P1086" s="219"/>
      <c r="Q1086" s="219"/>
      <c r="R1086" s="219"/>
      <c r="S1086" s="219"/>
      <c r="T1086" s="219"/>
      <c r="U1086" s="219"/>
      <c r="V1086" s="219"/>
      <c r="AB1086" s="219"/>
      <c r="AC1086" s="219"/>
      <c r="AD1086" s="219"/>
      <c r="AE1086" s="219"/>
      <c r="AF1086" s="219"/>
      <c r="AG1086" s="219"/>
      <c r="AH1086" s="219"/>
      <c r="AI1086" s="219"/>
      <c r="AJ1086" s="219"/>
      <c r="AK1086" s="219"/>
      <c r="AL1086" s="219"/>
    </row>
    <row r="1087" spans="12:38">
      <c r="L1087" s="219"/>
      <c r="M1087" s="219"/>
      <c r="N1087" s="219"/>
      <c r="O1087" s="219"/>
      <c r="P1087" s="219"/>
      <c r="Q1087" s="219"/>
      <c r="R1087" s="219"/>
      <c r="S1087" s="219"/>
      <c r="T1087" s="219"/>
      <c r="U1087" s="219"/>
      <c r="V1087" s="219"/>
      <c r="AB1087" s="219"/>
      <c r="AC1087" s="219"/>
      <c r="AD1087" s="219"/>
      <c r="AE1087" s="219"/>
      <c r="AF1087" s="219"/>
      <c r="AG1087" s="219"/>
      <c r="AH1087" s="219"/>
      <c r="AI1087" s="219"/>
      <c r="AJ1087" s="219"/>
      <c r="AK1087" s="219"/>
      <c r="AL1087" s="219"/>
    </row>
    <row r="1088" spans="12:38">
      <c r="L1088" s="219"/>
      <c r="M1088" s="219"/>
      <c r="N1088" s="219"/>
      <c r="O1088" s="219"/>
      <c r="P1088" s="219"/>
      <c r="Q1088" s="219"/>
      <c r="R1088" s="219"/>
      <c r="S1088" s="219"/>
      <c r="T1088" s="219"/>
      <c r="U1088" s="219"/>
      <c r="V1088" s="219"/>
      <c r="AB1088" s="219"/>
      <c r="AC1088" s="219"/>
      <c r="AD1088" s="219"/>
      <c r="AE1088" s="219"/>
      <c r="AF1088" s="219"/>
      <c r="AG1088" s="219"/>
      <c r="AH1088" s="219"/>
      <c r="AI1088" s="219"/>
      <c r="AJ1088" s="219"/>
      <c r="AK1088" s="219"/>
      <c r="AL1088" s="219"/>
    </row>
    <row r="1089" spans="12:38">
      <c r="L1089" s="219"/>
      <c r="M1089" s="219"/>
      <c r="N1089" s="219"/>
      <c r="O1089" s="219"/>
      <c r="P1089" s="219"/>
      <c r="Q1089" s="219"/>
      <c r="R1089" s="219"/>
      <c r="S1089" s="219"/>
      <c r="T1089" s="219"/>
      <c r="U1089" s="219"/>
      <c r="V1089" s="219"/>
      <c r="AB1089" s="219"/>
      <c r="AC1089" s="219"/>
      <c r="AD1089" s="219"/>
      <c r="AE1089" s="219"/>
      <c r="AF1089" s="219"/>
      <c r="AG1089" s="219"/>
      <c r="AH1089" s="219"/>
      <c r="AI1089" s="219"/>
      <c r="AJ1089" s="219"/>
      <c r="AK1089" s="219"/>
      <c r="AL1089" s="219"/>
    </row>
    <row r="1090" spans="12:38">
      <c r="L1090" s="219"/>
      <c r="M1090" s="219"/>
      <c r="N1090" s="219"/>
      <c r="O1090" s="219"/>
      <c r="P1090" s="219"/>
      <c r="Q1090" s="219"/>
      <c r="R1090" s="219"/>
      <c r="S1090" s="219"/>
      <c r="T1090" s="219"/>
      <c r="U1090" s="219"/>
      <c r="V1090" s="219"/>
      <c r="AB1090" s="219"/>
      <c r="AC1090" s="219"/>
      <c r="AD1090" s="219"/>
      <c r="AE1090" s="219"/>
      <c r="AF1090" s="219"/>
      <c r="AG1090" s="219"/>
      <c r="AH1090" s="219"/>
      <c r="AI1090" s="219"/>
      <c r="AJ1090" s="219"/>
      <c r="AK1090" s="219"/>
      <c r="AL1090" s="219"/>
    </row>
    <row r="1091" spans="12:38">
      <c r="L1091" s="219"/>
      <c r="M1091" s="219"/>
      <c r="N1091" s="219"/>
      <c r="O1091" s="219"/>
      <c r="P1091" s="219"/>
      <c r="Q1091" s="219"/>
      <c r="R1091" s="219"/>
      <c r="S1091" s="219"/>
      <c r="T1091" s="219"/>
      <c r="U1091" s="219"/>
      <c r="V1091" s="219"/>
      <c r="AB1091" s="219"/>
      <c r="AC1091" s="219"/>
      <c r="AD1091" s="219"/>
      <c r="AE1091" s="219"/>
      <c r="AF1091" s="219"/>
      <c r="AG1091" s="219"/>
      <c r="AH1091" s="219"/>
      <c r="AI1091" s="219"/>
      <c r="AJ1091" s="219"/>
      <c r="AK1091" s="219"/>
      <c r="AL1091" s="219"/>
    </row>
    <row r="1092" spans="12:38">
      <c r="L1092" s="219"/>
      <c r="M1092" s="219"/>
      <c r="N1092" s="219"/>
      <c r="O1092" s="219"/>
      <c r="P1092" s="219"/>
      <c r="Q1092" s="219"/>
      <c r="R1092" s="219"/>
      <c r="S1092" s="219"/>
      <c r="T1092" s="219"/>
      <c r="U1092" s="219"/>
      <c r="V1092" s="219"/>
      <c r="AB1092" s="219"/>
      <c r="AC1092" s="219"/>
      <c r="AD1092" s="219"/>
      <c r="AE1092" s="219"/>
      <c r="AF1092" s="219"/>
      <c r="AG1092" s="219"/>
      <c r="AH1092" s="219"/>
      <c r="AI1092" s="219"/>
      <c r="AJ1092" s="219"/>
      <c r="AK1092" s="219"/>
      <c r="AL1092" s="219"/>
    </row>
    <row r="1093" spans="12:38">
      <c r="L1093" s="219"/>
      <c r="M1093" s="219"/>
      <c r="N1093" s="219"/>
      <c r="O1093" s="219"/>
      <c r="P1093" s="219"/>
      <c r="Q1093" s="219"/>
      <c r="R1093" s="219"/>
      <c r="S1093" s="219"/>
      <c r="T1093" s="219"/>
      <c r="U1093" s="219"/>
      <c r="V1093" s="219"/>
      <c r="AB1093" s="219"/>
      <c r="AC1093" s="219"/>
      <c r="AD1093" s="219"/>
      <c r="AE1093" s="219"/>
      <c r="AF1093" s="219"/>
      <c r="AG1093" s="219"/>
      <c r="AH1093" s="219"/>
      <c r="AI1093" s="219"/>
      <c r="AJ1093" s="219"/>
      <c r="AK1093" s="219"/>
      <c r="AL1093" s="219"/>
    </row>
    <row r="1094" spans="12:38">
      <c r="L1094" s="219"/>
      <c r="M1094" s="219"/>
      <c r="N1094" s="219"/>
      <c r="O1094" s="219"/>
      <c r="P1094" s="219"/>
      <c r="Q1094" s="219"/>
      <c r="R1094" s="219"/>
      <c r="S1094" s="219"/>
      <c r="T1094" s="219"/>
      <c r="U1094" s="219"/>
      <c r="V1094" s="219"/>
      <c r="AB1094" s="219"/>
      <c r="AC1094" s="219"/>
      <c r="AD1094" s="219"/>
      <c r="AE1094" s="219"/>
      <c r="AF1094" s="219"/>
      <c r="AG1094" s="219"/>
      <c r="AH1094" s="219"/>
      <c r="AI1094" s="219"/>
      <c r="AJ1094" s="219"/>
      <c r="AK1094" s="219"/>
      <c r="AL1094" s="219"/>
    </row>
    <row r="1095" spans="12:38">
      <c r="L1095" s="219"/>
      <c r="M1095" s="219"/>
      <c r="N1095" s="219"/>
      <c r="O1095" s="219"/>
      <c r="P1095" s="219"/>
      <c r="Q1095" s="219"/>
      <c r="R1095" s="219"/>
      <c r="S1095" s="219"/>
      <c r="T1095" s="219"/>
      <c r="U1095" s="219"/>
      <c r="V1095" s="219"/>
      <c r="AB1095" s="219"/>
      <c r="AC1095" s="219"/>
      <c r="AD1095" s="219"/>
      <c r="AE1095" s="219"/>
      <c r="AF1095" s="219"/>
      <c r="AG1095" s="219"/>
      <c r="AH1095" s="219"/>
      <c r="AI1095" s="219"/>
      <c r="AJ1095" s="219"/>
      <c r="AK1095" s="219"/>
      <c r="AL1095" s="219"/>
    </row>
    <row r="1096" spans="12:38">
      <c r="L1096" s="219"/>
      <c r="M1096" s="219"/>
      <c r="N1096" s="219"/>
      <c r="O1096" s="219"/>
      <c r="P1096" s="219"/>
      <c r="Q1096" s="219"/>
      <c r="R1096" s="219"/>
      <c r="S1096" s="219"/>
      <c r="T1096" s="219"/>
      <c r="U1096" s="219"/>
      <c r="V1096" s="219"/>
      <c r="AB1096" s="219"/>
      <c r="AC1096" s="219"/>
      <c r="AD1096" s="219"/>
      <c r="AE1096" s="219"/>
      <c r="AF1096" s="219"/>
      <c r="AG1096" s="219"/>
      <c r="AH1096" s="219"/>
      <c r="AI1096" s="219"/>
      <c r="AJ1096" s="219"/>
      <c r="AK1096" s="219"/>
      <c r="AL1096" s="219"/>
    </row>
    <row r="1097" spans="12:38">
      <c r="L1097" s="219"/>
      <c r="M1097" s="219"/>
      <c r="N1097" s="219"/>
      <c r="O1097" s="219"/>
      <c r="P1097" s="219"/>
      <c r="Q1097" s="219"/>
      <c r="R1097" s="219"/>
      <c r="S1097" s="219"/>
      <c r="T1097" s="219"/>
      <c r="U1097" s="219"/>
      <c r="V1097" s="219"/>
      <c r="AB1097" s="219"/>
      <c r="AC1097" s="219"/>
      <c r="AD1097" s="219"/>
      <c r="AE1097" s="219"/>
      <c r="AF1097" s="219"/>
      <c r="AG1097" s="219"/>
      <c r="AH1097" s="219"/>
      <c r="AI1097" s="219"/>
      <c r="AJ1097" s="219"/>
      <c r="AK1097" s="219"/>
      <c r="AL1097" s="219"/>
    </row>
    <row r="1098" spans="12:38">
      <c r="L1098" s="219"/>
      <c r="M1098" s="219"/>
      <c r="N1098" s="219"/>
      <c r="O1098" s="219"/>
      <c r="P1098" s="219"/>
      <c r="Q1098" s="219"/>
      <c r="R1098" s="219"/>
      <c r="S1098" s="219"/>
      <c r="T1098" s="219"/>
      <c r="U1098" s="219"/>
      <c r="V1098" s="219"/>
      <c r="AB1098" s="219"/>
      <c r="AC1098" s="219"/>
      <c r="AD1098" s="219"/>
      <c r="AE1098" s="219"/>
      <c r="AF1098" s="219"/>
      <c r="AG1098" s="219"/>
      <c r="AH1098" s="219"/>
      <c r="AI1098" s="219"/>
      <c r="AJ1098" s="219"/>
      <c r="AK1098" s="219"/>
      <c r="AL1098" s="219"/>
    </row>
    <row r="1099" spans="12:38">
      <c r="L1099" s="219"/>
      <c r="M1099" s="219"/>
      <c r="N1099" s="219"/>
      <c r="O1099" s="219"/>
      <c r="P1099" s="219"/>
      <c r="Q1099" s="219"/>
      <c r="R1099" s="219"/>
      <c r="S1099" s="219"/>
      <c r="T1099" s="219"/>
      <c r="U1099" s="219"/>
      <c r="V1099" s="219"/>
      <c r="AB1099" s="219"/>
      <c r="AC1099" s="219"/>
      <c r="AD1099" s="219"/>
      <c r="AE1099" s="219"/>
      <c r="AF1099" s="219"/>
      <c r="AG1099" s="219"/>
      <c r="AH1099" s="219"/>
      <c r="AI1099" s="219"/>
      <c r="AJ1099" s="219"/>
      <c r="AK1099" s="219"/>
      <c r="AL1099" s="219"/>
    </row>
    <row r="1100" spans="12:38">
      <c r="L1100" s="219"/>
      <c r="M1100" s="219"/>
      <c r="N1100" s="219"/>
      <c r="O1100" s="219"/>
      <c r="P1100" s="219"/>
      <c r="Q1100" s="219"/>
      <c r="R1100" s="219"/>
      <c r="S1100" s="219"/>
      <c r="T1100" s="219"/>
      <c r="U1100" s="219"/>
      <c r="V1100" s="219"/>
      <c r="AB1100" s="219"/>
      <c r="AC1100" s="219"/>
      <c r="AD1100" s="219"/>
      <c r="AE1100" s="219"/>
      <c r="AF1100" s="219"/>
      <c r="AG1100" s="219"/>
      <c r="AH1100" s="219"/>
      <c r="AI1100" s="219"/>
      <c r="AJ1100" s="219"/>
      <c r="AK1100" s="219"/>
      <c r="AL1100" s="219"/>
    </row>
    <row r="1101" spans="12:38">
      <c r="L1101" s="219"/>
      <c r="M1101" s="219"/>
      <c r="N1101" s="219"/>
      <c r="O1101" s="219"/>
      <c r="P1101" s="219"/>
      <c r="Q1101" s="219"/>
      <c r="R1101" s="219"/>
      <c r="S1101" s="219"/>
      <c r="T1101" s="219"/>
      <c r="U1101" s="219"/>
      <c r="V1101" s="219"/>
      <c r="AB1101" s="219"/>
      <c r="AC1101" s="219"/>
      <c r="AD1101" s="219"/>
      <c r="AE1101" s="219"/>
      <c r="AF1101" s="219"/>
      <c r="AG1101" s="219"/>
      <c r="AH1101" s="219"/>
      <c r="AI1101" s="219"/>
      <c r="AJ1101" s="219"/>
      <c r="AK1101" s="219"/>
      <c r="AL1101" s="219"/>
    </row>
    <row r="1102" spans="12:38">
      <c r="L1102" s="219"/>
      <c r="M1102" s="219"/>
      <c r="N1102" s="219"/>
      <c r="O1102" s="219"/>
      <c r="P1102" s="219"/>
      <c r="Q1102" s="219"/>
      <c r="R1102" s="219"/>
      <c r="S1102" s="219"/>
      <c r="T1102" s="219"/>
      <c r="U1102" s="219"/>
      <c r="V1102" s="219"/>
      <c r="AB1102" s="219"/>
      <c r="AC1102" s="219"/>
      <c r="AD1102" s="219"/>
      <c r="AE1102" s="219"/>
      <c r="AF1102" s="219"/>
      <c r="AG1102" s="219"/>
      <c r="AH1102" s="219"/>
      <c r="AI1102" s="219"/>
      <c r="AJ1102" s="219"/>
      <c r="AK1102" s="219"/>
      <c r="AL1102" s="219"/>
    </row>
    <row r="1103" spans="12:38">
      <c r="L1103" s="219"/>
      <c r="M1103" s="219"/>
      <c r="N1103" s="219"/>
      <c r="O1103" s="219"/>
      <c r="P1103" s="219"/>
      <c r="Q1103" s="219"/>
      <c r="R1103" s="219"/>
      <c r="S1103" s="219"/>
      <c r="T1103" s="219"/>
      <c r="U1103" s="219"/>
      <c r="V1103" s="219"/>
      <c r="AB1103" s="219"/>
      <c r="AC1103" s="219"/>
      <c r="AD1103" s="219"/>
      <c r="AE1103" s="219"/>
      <c r="AF1103" s="219"/>
      <c r="AG1103" s="219"/>
      <c r="AH1103" s="219"/>
      <c r="AI1103" s="219"/>
      <c r="AJ1103" s="219"/>
      <c r="AK1103" s="219"/>
      <c r="AL1103" s="219"/>
    </row>
    <row r="1104" spans="12:38">
      <c r="L1104" s="219"/>
      <c r="M1104" s="219"/>
      <c r="N1104" s="219"/>
      <c r="O1104" s="219"/>
      <c r="P1104" s="219"/>
      <c r="Q1104" s="219"/>
      <c r="R1104" s="219"/>
      <c r="S1104" s="219"/>
      <c r="T1104" s="219"/>
      <c r="U1104" s="219"/>
      <c r="V1104" s="219"/>
      <c r="AB1104" s="219"/>
      <c r="AC1104" s="219"/>
      <c r="AD1104" s="219"/>
      <c r="AE1104" s="219"/>
      <c r="AF1104" s="219"/>
      <c r="AG1104" s="219"/>
      <c r="AH1104" s="219"/>
      <c r="AI1104" s="219"/>
      <c r="AJ1104" s="219"/>
      <c r="AK1104" s="219"/>
      <c r="AL1104" s="219"/>
    </row>
    <row r="1105" spans="12:38">
      <c r="L1105" s="219"/>
      <c r="M1105" s="219"/>
      <c r="N1105" s="219"/>
      <c r="O1105" s="219"/>
      <c r="P1105" s="219"/>
      <c r="Q1105" s="219"/>
      <c r="R1105" s="219"/>
      <c r="S1105" s="219"/>
      <c r="T1105" s="219"/>
      <c r="U1105" s="219"/>
      <c r="V1105" s="219"/>
      <c r="AB1105" s="219"/>
      <c r="AC1105" s="219"/>
      <c r="AD1105" s="219"/>
      <c r="AE1105" s="219"/>
      <c r="AF1105" s="219"/>
      <c r="AG1105" s="219"/>
      <c r="AH1105" s="219"/>
      <c r="AI1105" s="219"/>
      <c r="AJ1105" s="219"/>
      <c r="AK1105" s="219"/>
      <c r="AL1105" s="219"/>
    </row>
    <row r="1106" spans="12:38">
      <c r="L1106" s="219"/>
      <c r="M1106" s="219"/>
      <c r="N1106" s="219"/>
      <c r="O1106" s="219"/>
      <c r="P1106" s="219"/>
      <c r="Q1106" s="219"/>
      <c r="R1106" s="219"/>
      <c r="S1106" s="219"/>
      <c r="T1106" s="219"/>
      <c r="U1106" s="219"/>
      <c r="V1106" s="219"/>
      <c r="AB1106" s="219"/>
      <c r="AC1106" s="219"/>
      <c r="AD1106" s="219"/>
      <c r="AE1106" s="219"/>
      <c r="AF1106" s="219"/>
      <c r="AG1106" s="219"/>
      <c r="AH1106" s="219"/>
      <c r="AI1106" s="219"/>
      <c r="AJ1106" s="219"/>
      <c r="AK1106" s="219"/>
      <c r="AL1106" s="219"/>
    </row>
    <row r="1107" spans="12:38">
      <c r="L1107" s="219"/>
      <c r="M1107" s="219"/>
      <c r="N1107" s="219"/>
      <c r="O1107" s="219"/>
      <c r="P1107" s="219"/>
      <c r="Q1107" s="219"/>
      <c r="R1107" s="219"/>
      <c r="S1107" s="219"/>
      <c r="T1107" s="219"/>
      <c r="U1107" s="219"/>
      <c r="V1107" s="219"/>
      <c r="AB1107" s="219"/>
      <c r="AC1107" s="219"/>
      <c r="AD1107" s="219"/>
      <c r="AE1107" s="219"/>
      <c r="AF1107" s="219"/>
      <c r="AG1107" s="219"/>
      <c r="AH1107" s="219"/>
      <c r="AI1107" s="219"/>
      <c r="AJ1107" s="219"/>
      <c r="AK1107" s="219"/>
      <c r="AL1107" s="219"/>
    </row>
    <row r="1108" spans="12:38">
      <c r="L1108" s="219"/>
      <c r="M1108" s="219"/>
      <c r="N1108" s="219"/>
      <c r="O1108" s="219"/>
      <c r="P1108" s="219"/>
      <c r="Q1108" s="219"/>
      <c r="R1108" s="219"/>
      <c r="S1108" s="219"/>
      <c r="T1108" s="219"/>
      <c r="U1108" s="219"/>
      <c r="V1108" s="219"/>
      <c r="AB1108" s="219"/>
      <c r="AC1108" s="219"/>
      <c r="AD1108" s="219"/>
      <c r="AE1108" s="219"/>
      <c r="AF1108" s="219"/>
      <c r="AG1108" s="219"/>
      <c r="AH1108" s="219"/>
      <c r="AI1108" s="219"/>
      <c r="AJ1108" s="219"/>
      <c r="AK1108" s="219"/>
      <c r="AL1108" s="219"/>
    </row>
    <row r="1109" spans="12:38">
      <c r="L1109" s="219"/>
      <c r="M1109" s="219"/>
      <c r="N1109" s="219"/>
      <c r="O1109" s="219"/>
      <c r="P1109" s="219"/>
      <c r="Q1109" s="219"/>
      <c r="R1109" s="219"/>
      <c r="S1109" s="219"/>
      <c r="T1109" s="219"/>
      <c r="U1109" s="219"/>
      <c r="V1109" s="219"/>
      <c r="AB1109" s="219"/>
      <c r="AC1109" s="219"/>
      <c r="AD1109" s="219"/>
      <c r="AE1109" s="219"/>
      <c r="AF1109" s="219"/>
      <c r="AG1109" s="219"/>
      <c r="AH1109" s="219"/>
      <c r="AI1109" s="219"/>
      <c r="AJ1109" s="219"/>
      <c r="AK1109" s="219"/>
      <c r="AL1109" s="219"/>
    </row>
    <row r="1110" spans="12:38">
      <c r="L1110" s="219"/>
      <c r="M1110" s="219"/>
      <c r="N1110" s="219"/>
      <c r="O1110" s="219"/>
      <c r="P1110" s="219"/>
      <c r="Q1110" s="219"/>
      <c r="R1110" s="219"/>
      <c r="S1110" s="219"/>
      <c r="T1110" s="219"/>
      <c r="U1110" s="219"/>
      <c r="V1110" s="219"/>
      <c r="AB1110" s="219"/>
      <c r="AC1110" s="219"/>
      <c r="AD1110" s="219"/>
      <c r="AE1110" s="219"/>
      <c r="AF1110" s="219"/>
      <c r="AG1110" s="219"/>
      <c r="AH1110" s="219"/>
      <c r="AI1110" s="219"/>
      <c r="AJ1110" s="219"/>
      <c r="AK1110" s="219"/>
      <c r="AL1110" s="219"/>
    </row>
    <row r="1111" spans="12:38">
      <c r="L1111" s="219"/>
      <c r="M1111" s="219"/>
      <c r="N1111" s="219"/>
      <c r="O1111" s="219"/>
      <c r="P1111" s="219"/>
      <c r="Q1111" s="219"/>
      <c r="R1111" s="219"/>
      <c r="S1111" s="219"/>
      <c r="T1111" s="219"/>
      <c r="U1111" s="219"/>
      <c r="V1111" s="219"/>
      <c r="AB1111" s="219"/>
      <c r="AC1111" s="219"/>
      <c r="AD1111" s="219"/>
      <c r="AE1111" s="219"/>
      <c r="AF1111" s="219"/>
      <c r="AG1111" s="219"/>
      <c r="AH1111" s="219"/>
      <c r="AI1111" s="219"/>
      <c r="AJ1111" s="219"/>
      <c r="AK1111" s="219"/>
      <c r="AL1111" s="219"/>
    </row>
    <row r="1112" spans="12:38">
      <c r="L1112" s="219"/>
      <c r="M1112" s="219"/>
      <c r="N1112" s="219"/>
      <c r="O1112" s="219"/>
      <c r="P1112" s="219"/>
      <c r="Q1112" s="219"/>
      <c r="R1112" s="219"/>
      <c r="S1112" s="219"/>
      <c r="T1112" s="219"/>
      <c r="U1112" s="219"/>
      <c r="V1112" s="219"/>
      <c r="AB1112" s="219"/>
      <c r="AC1112" s="219"/>
      <c r="AD1112" s="219"/>
      <c r="AE1112" s="219"/>
      <c r="AF1112" s="219"/>
      <c r="AG1112" s="219"/>
      <c r="AH1112" s="219"/>
      <c r="AI1112" s="219"/>
      <c r="AJ1112" s="219"/>
      <c r="AK1112" s="219"/>
      <c r="AL1112" s="219"/>
    </row>
    <row r="1113" spans="12:38">
      <c r="L1113" s="219"/>
      <c r="M1113" s="219"/>
      <c r="N1113" s="219"/>
      <c r="O1113" s="219"/>
      <c r="P1113" s="219"/>
      <c r="Q1113" s="219"/>
      <c r="R1113" s="219"/>
      <c r="S1113" s="219"/>
      <c r="T1113" s="219"/>
      <c r="U1113" s="219"/>
      <c r="V1113" s="219"/>
      <c r="AB1113" s="219"/>
      <c r="AC1113" s="219"/>
      <c r="AD1113" s="219"/>
      <c r="AE1113" s="219"/>
      <c r="AF1113" s="219"/>
      <c r="AG1113" s="219"/>
      <c r="AH1113" s="219"/>
      <c r="AI1113" s="219"/>
      <c r="AJ1113" s="219"/>
      <c r="AK1113" s="219"/>
      <c r="AL1113" s="219"/>
    </row>
    <row r="1114" spans="12:38">
      <c r="L1114" s="219"/>
      <c r="M1114" s="219"/>
      <c r="N1114" s="219"/>
      <c r="O1114" s="219"/>
      <c r="P1114" s="219"/>
      <c r="Q1114" s="219"/>
      <c r="R1114" s="219"/>
      <c r="S1114" s="219"/>
      <c r="T1114" s="219"/>
      <c r="U1114" s="219"/>
      <c r="V1114" s="219"/>
      <c r="AB1114" s="219"/>
      <c r="AC1114" s="219"/>
      <c r="AD1114" s="219"/>
      <c r="AE1114" s="219"/>
      <c r="AF1114" s="219"/>
      <c r="AG1114" s="219"/>
      <c r="AH1114" s="219"/>
      <c r="AI1114" s="219"/>
      <c r="AJ1114" s="219"/>
      <c r="AK1114" s="219"/>
      <c r="AL1114" s="219"/>
    </row>
    <row r="1115" spans="12:38">
      <c r="L1115" s="219"/>
      <c r="M1115" s="219"/>
      <c r="N1115" s="219"/>
      <c r="O1115" s="219"/>
      <c r="P1115" s="219"/>
      <c r="Q1115" s="219"/>
      <c r="R1115" s="219"/>
      <c r="S1115" s="219"/>
      <c r="T1115" s="219"/>
      <c r="U1115" s="219"/>
      <c r="V1115" s="219"/>
      <c r="AB1115" s="219"/>
      <c r="AC1115" s="219"/>
      <c r="AD1115" s="219"/>
      <c r="AE1115" s="219"/>
      <c r="AF1115" s="219"/>
      <c r="AG1115" s="219"/>
      <c r="AH1115" s="219"/>
      <c r="AI1115" s="219"/>
      <c r="AJ1115" s="219"/>
      <c r="AK1115" s="219"/>
      <c r="AL1115" s="219"/>
    </row>
    <row r="1116" spans="12:38">
      <c r="L1116" s="219"/>
      <c r="M1116" s="219"/>
      <c r="N1116" s="219"/>
      <c r="O1116" s="219"/>
      <c r="P1116" s="219"/>
      <c r="Q1116" s="219"/>
      <c r="R1116" s="219"/>
      <c r="S1116" s="219"/>
      <c r="T1116" s="219"/>
      <c r="U1116" s="219"/>
      <c r="V1116" s="219"/>
      <c r="AB1116" s="219"/>
      <c r="AC1116" s="219"/>
      <c r="AD1116" s="219"/>
      <c r="AE1116" s="219"/>
      <c r="AF1116" s="219"/>
      <c r="AG1116" s="219"/>
      <c r="AH1116" s="219"/>
      <c r="AI1116" s="219"/>
      <c r="AJ1116" s="219"/>
      <c r="AK1116" s="219"/>
      <c r="AL1116" s="219"/>
    </row>
    <row r="1117" spans="12:38">
      <c r="L1117" s="219"/>
      <c r="M1117" s="219"/>
      <c r="N1117" s="219"/>
      <c r="O1117" s="219"/>
      <c r="P1117" s="219"/>
      <c r="Q1117" s="219"/>
      <c r="R1117" s="219"/>
      <c r="S1117" s="219"/>
      <c r="T1117" s="219"/>
      <c r="U1117" s="219"/>
      <c r="V1117" s="219"/>
      <c r="AB1117" s="219"/>
      <c r="AC1117" s="219"/>
      <c r="AD1117" s="219"/>
      <c r="AE1117" s="219"/>
      <c r="AF1117" s="219"/>
      <c r="AG1117" s="219"/>
      <c r="AH1117" s="219"/>
      <c r="AI1117" s="219"/>
      <c r="AJ1117" s="219"/>
      <c r="AK1117" s="219"/>
      <c r="AL1117" s="219"/>
    </row>
    <row r="1118" spans="12:38">
      <c r="L1118" s="219"/>
      <c r="M1118" s="219"/>
      <c r="N1118" s="219"/>
      <c r="O1118" s="219"/>
      <c r="P1118" s="219"/>
      <c r="Q1118" s="219"/>
      <c r="R1118" s="219"/>
      <c r="S1118" s="219"/>
      <c r="T1118" s="219"/>
      <c r="U1118" s="219"/>
      <c r="V1118" s="219"/>
      <c r="AB1118" s="219"/>
      <c r="AC1118" s="219"/>
      <c r="AD1118" s="219"/>
      <c r="AE1118" s="219"/>
      <c r="AF1118" s="219"/>
      <c r="AG1118" s="219"/>
      <c r="AH1118" s="219"/>
      <c r="AI1118" s="219"/>
      <c r="AJ1118" s="219"/>
      <c r="AK1118" s="219"/>
      <c r="AL1118" s="219"/>
    </row>
    <row r="1119" spans="12:38">
      <c r="L1119" s="219"/>
      <c r="M1119" s="219"/>
      <c r="N1119" s="219"/>
      <c r="O1119" s="219"/>
      <c r="P1119" s="219"/>
      <c r="Q1119" s="219"/>
      <c r="R1119" s="219"/>
      <c r="S1119" s="219"/>
      <c r="T1119" s="219"/>
      <c r="U1119" s="219"/>
      <c r="V1119" s="219"/>
      <c r="AB1119" s="219"/>
      <c r="AC1119" s="219"/>
      <c r="AD1119" s="219"/>
      <c r="AE1119" s="219"/>
      <c r="AF1119" s="219"/>
      <c r="AG1119" s="219"/>
      <c r="AH1119" s="219"/>
      <c r="AI1119" s="219"/>
      <c r="AJ1119" s="219"/>
      <c r="AK1119" s="219"/>
      <c r="AL1119" s="219"/>
    </row>
    <row r="1120" spans="12:38">
      <c r="L1120" s="219"/>
      <c r="M1120" s="219"/>
      <c r="N1120" s="219"/>
      <c r="O1120" s="219"/>
      <c r="P1120" s="219"/>
      <c r="Q1120" s="219"/>
      <c r="R1120" s="219"/>
      <c r="S1120" s="219"/>
      <c r="T1120" s="219"/>
      <c r="U1120" s="219"/>
      <c r="V1120" s="219"/>
      <c r="AB1120" s="219"/>
      <c r="AC1120" s="219"/>
      <c r="AD1120" s="219"/>
      <c r="AE1120" s="219"/>
      <c r="AF1120" s="219"/>
      <c r="AG1120" s="219"/>
      <c r="AH1120" s="219"/>
      <c r="AI1120" s="219"/>
      <c r="AJ1120" s="219"/>
      <c r="AK1120" s="219"/>
      <c r="AL1120" s="219"/>
    </row>
    <row r="1121" spans="12:38">
      <c r="L1121" s="219"/>
      <c r="M1121" s="219"/>
      <c r="N1121" s="219"/>
      <c r="O1121" s="219"/>
      <c r="P1121" s="219"/>
      <c r="Q1121" s="219"/>
      <c r="R1121" s="219"/>
      <c r="S1121" s="219"/>
      <c r="T1121" s="219"/>
      <c r="U1121" s="219"/>
      <c r="V1121" s="219"/>
      <c r="AB1121" s="219"/>
      <c r="AC1121" s="219"/>
      <c r="AD1121" s="219"/>
      <c r="AE1121" s="219"/>
      <c r="AF1121" s="219"/>
      <c r="AG1121" s="219"/>
      <c r="AH1121" s="219"/>
      <c r="AI1121" s="219"/>
      <c r="AJ1121" s="219"/>
      <c r="AK1121" s="219"/>
      <c r="AL1121" s="219"/>
    </row>
    <row r="1122" spans="12:38">
      <c r="L1122" s="219"/>
      <c r="M1122" s="219"/>
      <c r="N1122" s="219"/>
      <c r="O1122" s="219"/>
      <c r="P1122" s="219"/>
      <c r="Q1122" s="219"/>
      <c r="R1122" s="219"/>
      <c r="S1122" s="219"/>
      <c r="T1122" s="219"/>
      <c r="U1122" s="219"/>
      <c r="V1122" s="219"/>
      <c r="AB1122" s="219"/>
      <c r="AC1122" s="219"/>
      <c r="AD1122" s="219"/>
      <c r="AE1122" s="219"/>
      <c r="AF1122" s="219"/>
      <c r="AG1122" s="219"/>
      <c r="AH1122" s="219"/>
      <c r="AI1122" s="219"/>
      <c r="AJ1122" s="219"/>
      <c r="AK1122" s="219"/>
      <c r="AL1122" s="219"/>
    </row>
    <row r="1123" spans="12:38">
      <c r="L1123" s="219"/>
      <c r="M1123" s="219"/>
      <c r="N1123" s="219"/>
      <c r="O1123" s="219"/>
      <c r="P1123" s="219"/>
      <c r="Q1123" s="219"/>
      <c r="R1123" s="219"/>
      <c r="S1123" s="219"/>
      <c r="T1123" s="219"/>
      <c r="U1123" s="219"/>
      <c r="V1123" s="219"/>
      <c r="AB1123" s="219"/>
      <c r="AC1123" s="219"/>
      <c r="AD1123" s="219"/>
      <c r="AE1123" s="219"/>
      <c r="AF1123" s="219"/>
      <c r="AG1123" s="219"/>
      <c r="AH1123" s="219"/>
      <c r="AI1123" s="219"/>
      <c r="AJ1123" s="219"/>
      <c r="AK1123" s="219"/>
      <c r="AL1123" s="219"/>
    </row>
    <row r="1124" spans="12:38">
      <c r="L1124" s="219"/>
      <c r="M1124" s="219"/>
      <c r="N1124" s="219"/>
      <c r="O1124" s="219"/>
      <c r="P1124" s="219"/>
      <c r="Q1124" s="219"/>
      <c r="R1124" s="219"/>
      <c r="S1124" s="219"/>
      <c r="T1124" s="219"/>
      <c r="U1124" s="219"/>
      <c r="V1124" s="219"/>
      <c r="AB1124" s="219"/>
      <c r="AC1124" s="219"/>
      <c r="AD1124" s="219"/>
      <c r="AE1124" s="219"/>
      <c r="AF1124" s="219"/>
      <c r="AG1124" s="219"/>
      <c r="AH1124" s="219"/>
      <c r="AI1124" s="219"/>
      <c r="AJ1124" s="219"/>
      <c r="AK1124" s="219"/>
      <c r="AL1124" s="219"/>
    </row>
    <row r="1125" spans="12:38">
      <c r="L1125" s="219"/>
      <c r="M1125" s="219"/>
      <c r="N1125" s="219"/>
      <c r="O1125" s="219"/>
      <c r="P1125" s="219"/>
      <c r="Q1125" s="219"/>
      <c r="R1125" s="219"/>
      <c r="S1125" s="219"/>
      <c r="T1125" s="219"/>
      <c r="U1125" s="219"/>
      <c r="V1125" s="219"/>
      <c r="AB1125" s="219"/>
      <c r="AC1125" s="219"/>
      <c r="AD1125" s="219"/>
      <c r="AE1125" s="219"/>
      <c r="AF1125" s="219"/>
      <c r="AG1125" s="219"/>
      <c r="AH1125" s="219"/>
      <c r="AI1125" s="219"/>
      <c r="AJ1125" s="219"/>
      <c r="AK1125" s="219"/>
      <c r="AL1125" s="219"/>
    </row>
    <row r="1126" spans="12:38">
      <c r="L1126" s="219"/>
      <c r="M1126" s="219"/>
      <c r="N1126" s="219"/>
      <c r="O1126" s="219"/>
      <c r="P1126" s="219"/>
      <c r="Q1126" s="219"/>
      <c r="R1126" s="219"/>
      <c r="S1126" s="219"/>
      <c r="T1126" s="219"/>
      <c r="U1126" s="219"/>
      <c r="V1126" s="219"/>
      <c r="AB1126" s="219"/>
      <c r="AC1126" s="219"/>
      <c r="AD1126" s="219"/>
      <c r="AE1126" s="219"/>
      <c r="AF1126" s="219"/>
      <c r="AG1126" s="219"/>
      <c r="AH1126" s="219"/>
      <c r="AI1126" s="219"/>
      <c r="AJ1126" s="219"/>
      <c r="AK1126" s="219"/>
      <c r="AL1126" s="219"/>
    </row>
    <row r="1127" spans="12:38">
      <c r="L1127" s="219"/>
      <c r="M1127" s="219"/>
      <c r="N1127" s="219"/>
      <c r="O1127" s="219"/>
      <c r="P1127" s="219"/>
      <c r="Q1127" s="219"/>
      <c r="R1127" s="219"/>
      <c r="S1127" s="219"/>
      <c r="T1127" s="219"/>
      <c r="U1127" s="219"/>
      <c r="V1127" s="219"/>
      <c r="AB1127" s="219"/>
      <c r="AC1127" s="219"/>
      <c r="AD1127" s="219"/>
      <c r="AE1127" s="219"/>
      <c r="AF1127" s="219"/>
      <c r="AG1127" s="219"/>
      <c r="AH1127" s="219"/>
      <c r="AI1127" s="219"/>
      <c r="AJ1127" s="219"/>
      <c r="AK1127" s="219"/>
      <c r="AL1127" s="219"/>
    </row>
    <row r="1128" spans="12:38">
      <c r="L1128" s="219"/>
      <c r="M1128" s="219"/>
      <c r="N1128" s="219"/>
      <c r="O1128" s="219"/>
      <c r="P1128" s="219"/>
      <c r="Q1128" s="219"/>
      <c r="R1128" s="219"/>
      <c r="S1128" s="219"/>
      <c r="T1128" s="219"/>
      <c r="U1128" s="219"/>
      <c r="V1128" s="219"/>
      <c r="AB1128" s="219"/>
      <c r="AC1128" s="219"/>
      <c r="AD1128" s="219"/>
      <c r="AE1128" s="219"/>
      <c r="AF1128" s="219"/>
      <c r="AG1128" s="219"/>
      <c r="AH1128" s="219"/>
      <c r="AI1128" s="219"/>
      <c r="AJ1128" s="219"/>
      <c r="AK1128" s="219"/>
      <c r="AL1128" s="219"/>
    </row>
    <row r="1129" spans="12:38">
      <c r="L1129" s="219"/>
      <c r="M1129" s="219"/>
      <c r="N1129" s="219"/>
      <c r="O1129" s="219"/>
      <c r="P1129" s="219"/>
      <c r="Q1129" s="219"/>
      <c r="R1129" s="219"/>
      <c r="S1129" s="219"/>
      <c r="T1129" s="219"/>
      <c r="U1129" s="219"/>
      <c r="V1129" s="219"/>
      <c r="AB1129" s="219"/>
      <c r="AC1129" s="219"/>
      <c r="AD1129" s="219"/>
      <c r="AE1129" s="219"/>
      <c r="AF1129" s="219"/>
      <c r="AG1129" s="219"/>
      <c r="AH1129" s="219"/>
      <c r="AI1129" s="219"/>
      <c r="AJ1129" s="219"/>
      <c r="AK1129" s="219"/>
      <c r="AL1129" s="219"/>
    </row>
    <row r="1130" spans="12:38">
      <c r="L1130" s="219"/>
      <c r="M1130" s="219"/>
      <c r="N1130" s="219"/>
      <c r="O1130" s="219"/>
      <c r="P1130" s="219"/>
      <c r="Q1130" s="219"/>
      <c r="R1130" s="219"/>
      <c r="S1130" s="219"/>
      <c r="T1130" s="219"/>
      <c r="U1130" s="219"/>
      <c r="V1130" s="219"/>
      <c r="AB1130" s="219"/>
      <c r="AC1130" s="219"/>
      <c r="AD1130" s="219"/>
      <c r="AE1130" s="219"/>
      <c r="AF1130" s="219"/>
      <c r="AG1130" s="219"/>
      <c r="AH1130" s="219"/>
      <c r="AI1130" s="219"/>
      <c r="AJ1130" s="219"/>
      <c r="AK1130" s="219"/>
      <c r="AL1130" s="219"/>
    </row>
    <row r="1131" spans="12:38">
      <c r="L1131" s="219"/>
      <c r="M1131" s="219"/>
      <c r="N1131" s="219"/>
      <c r="O1131" s="219"/>
      <c r="P1131" s="219"/>
      <c r="Q1131" s="219"/>
      <c r="R1131" s="219"/>
      <c r="S1131" s="219"/>
      <c r="T1131" s="219"/>
      <c r="U1131" s="219"/>
      <c r="V1131" s="219"/>
      <c r="AB1131" s="219"/>
      <c r="AC1131" s="219"/>
      <c r="AD1131" s="219"/>
      <c r="AE1131" s="219"/>
      <c r="AF1131" s="219"/>
      <c r="AG1131" s="219"/>
      <c r="AH1131" s="219"/>
      <c r="AI1131" s="219"/>
      <c r="AJ1131" s="219"/>
      <c r="AK1131" s="219"/>
      <c r="AL1131" s="219"/>
    </row>
    <row r="1132" spans="12:38">
      <c r="L1132" s="219"/>
      <c r="M1132" s="219"/>
      <c r="N1132" s="219"/>
      <c r="O1132" s="219"/>
      <c r="P1132" s="219"/>
      <c r="Q1132" s="219"/>
      <c r="R1132" s="219"/>
      <c r="S1132" s="219"/>
      <c r="T1132" s="219"/>
      <c r="U1132" s="219"/>
      <c r="V1132" s="219"/>
      <c r="AB1132" s="219"/>
      <c r="AC1132" s="219"/>
      <c r="AD1132" s="219"/>
      <c r="AE1132" s="219"/>
      <c r="AF1132" s="219"/>
      <c r="AG1132" s="219"/>
      <c r="AH1132" s="219"/>
      <c r="AI1132" s="219"/>
      <c r="AJ1132" s="219"/>
      <c r="AK1132" s="219"/>
      <c r="AL1132" s="219"/>
    </row>
    <row r="1133" spans="12:38">
      <c r="L1133" s="219"/>
      <c r="M1133" s="219"/>
      <c r="N1133" s="219"/>
      <c r="O1133" s="219"/>
      <c r="P1133" s="219"/>
      <c r="Q1133" s="219"/>
      <c r="R1133" s="219"/>
      <c r="S1133" s="219"/>
      <c r="T1133" s="219"/>
      <c r="U1133" s="219"/>
      <c r="V1133" s="219"/>
      <c r="AB1133" s="219"/>
      <c r="AC1133" s="219"/>
      <c r="AD1133" s="219"/>
      <c r="AE1133" s="219"/>
      <c r="AF1133" s="219"/>
      <c r="AG1133" s="219"/>
      <c r="AH1133" s="219"/>
      <c r="AI1133" s="219"/>
      <c r="AJ1133" s="219"/>
      <c r="AK1133" s="219"/>
      <c r="AL1133" s="219"/>
    </row>
    <row r="1134" spans="12:38">
      <c r="L1134" s="219"/>
      <c r="M1134" s="219"/>
      <c r="N1134" s="219"/>
      <c r="O1134" s="219"/>
      <c r="P1134" s="219"/>
      <c r="Q1134" s="219"/>
      <c r="R1134" s="219"/>
      <c r="S1134" s="219"/>
      <c r="T1134" s="219"/>
      <c r="U1134" s="219"/>
      <c r="V1134" s="219"/>
      <c r="AB1134" s="219"/>
      <c r="AC1134" s="219"/>
      <c r="AD1134" s="219"/>
      <c r="AE1134" s="219"/>
      <c r="AF1134" s="219"/>
      <c r="AG1134" s="219"/>
      <c r="AH1134" s="219"/>
      <c r="AI1134" s="219"/>
      <c r="AJ1134" s="219"/>
      <c r="AK1134" s="219"/>
      <c r="AL1134" s="219"/>
    </row>
    <row r="1135" spans="12:38">
      <c r="L1135" s="219"/>
      <c r="M1135" s="219"/>
      <c r="N1135" s="219"/>
      <c r="O1135" s="219"/>
      <c r="P1135" s="219"/>
      <c r="Q1135" s="219"/>
      <c r="R1135" s="219"/>
      <c r="S1135" s="219"/>
      <c r="T1135" s="219"/>
      <c r="U1135" s="219"/>
      <c r="V1135" s="219"/>
      <c r="AB1135" s="219"/>
      <c r="AC1135" s="219"/>
      <c r="AD1135" s="219"/>
      <c r="AE1135" s="219"/>
      <c r="AF1135" s="219"/>
      <c r="AG1135" s="219"/>
      <c r="AH1135" s="219"/>
      <c r="AI1135" s="219"/>
      <c r="AJ1135" s="219"/>
      <c r="AK1135" s="219"/>
      <c r="AL1135" s="219"/>
    </row>
    <row r="1136" spans="12:38">
      <c r="L1136" s="219"/>
      <c r="M1136" s="219"/>
      <c r="N1136" s="219"/>
      <c r="O1136" s="219"/>
      <c r="P1136" s="219"/>
      <c r="Q1136" s="219"/>
      <c r="R1136" s="219"/>
      <c r="S1136" s="219"/>
      <c r="T1136" s="219"/>
      <c r="U1136" s="219"/>
      <c r="V1136" s="219"/>
      <c r="AB1136" s="219"/>
      <c r="AC1136" s="219"/>
      <c r="AD1136" s="219"/>
      <c r="AE1136" s="219"/>
      <c r="AF1136" s="219"/>
      <c r="AG1136" s="219"/>
      <c r="AH1136" s="219"/>
      <c r="AI1136" s="219"/>
      <c r="AJ1136" s="219"/>
      <c r="AK1136" s="219"/>
      <c r="AL1136" s="219"/>
    </row>
    <row r="1137" spans="12:38">
      <c r="L1137" s="219"/>
      <c r="M1137" s="219"/>
      <c r="N1137" s="219"/>
      <c r="O1137" s="219"/>
      <c r="P1137" s="219"/>
      <c r="Q1137" s="219"/>
      <c r="R1137" s="219"/>
      <c r="S1137" s="219"/>
      <c r="T1137" s="219"/>
      <c r="U1137" s="219"/>
      <c r="V1137" s="219"/>
      <c r="AB1137" s="219"/>
      <c r="AC1137" s="219"/>
      <c r="AD1137" s="219"/>
      <c r="AE1137" s="219"/>
      <c r="AF1137" s="219"/>
      <c r="AG1137" s="219"/>
      <c r="AH1137" s="219"/>
      <c r="AI1137" s="219"/>
      <c r="AJ1137" s="219"/>
      <c r="AK1137" s="219"/>
      <c r="AL1137" s="219"/>
    </row>
    <row r="1138" spans="12:38">
      <c r="L1138" s="219"/>
      <c r="M1138" s="219"/>
      <c r="N1138" s="219"/>
      <c r="O1138" s="219"/>
      <c r="P1138" s="219"/>
      <c r="Q1138" s="219"/>
      <c r="R1138" s="219"/>
      <c r="S1138" s="219"/>
      <c r="T1138" s="219"/>
      <c r="U1138" s="219"/>
      <c r="V1138" s="219"/>
      <c r="AB1138" s="219"/>
      <c r="AC1138" s="219"/>
      <c r="AD1138" s="219"/>
      <c r="AE1138" s="219"/>
      <c r="AF1138" s="219"/>
      <c r="AG1138" s="219"/>
      <c r="AH1138" s="219"/>
      <c r="AI1138" s="219"/>
      <c r="AJ1138" s="219"/>
      <c r="AK1138" s="219"/>
      <c r="AL1138" s="219"/>
    </row>
    <row r="1139" spans="12:38">
      <c r="L1139" s="219"/>
      <c r="M1139" s="219"/>
      <c r="N1139" s="219"/>
      <c r="O1139" s="219"/>
      <c r="P1139" s="219"/>
      <c r="Q1139" s="219"/>
      <c r="R1139" s="219"/>
      <c r="S1139" s="219"/>
      <c r="T1139" s="219"/>
      <c r="U1139" s="219"/>
      <c r="V1139" s="219"/>
      <c r="AB1139" s="219"/>
      <c r="AC1139" s="219"/>
      <c r="AD1139" s="219"/>
      <c r="AE1139" s="219"/>
      <c r="AF1139" s="219"/>
      <c r="AG1139" s="219"/>
      <c r="AH1139" s="219"/>
      <c r="AI1139" s="219"/>
      <c r="AJ1139" s="219"/>
      <c r="AK1139" s="219"/>
      <c r="AL1139" s="219"/>
    </row>
    <row r="1140" spans="12:38">
      <c r="L1140" s="219"/>
      <c r="M1140" s="219"/>
      <c r="N1140" s="219"/>
      <c r="O1140" s="219"/>
      <c r="P1140" s="219"/>
      <c r="Q1140" s="219"/>
      <c r="R1140" s="219"/>
      <c r="S1140" s="219"/>
      <c r="T1140" s="219"/>
      <c r="U1140" s="219"/>
      <c r="V1140" s="219"/>
      <c r="AB1140" s="219"/>
      <c r="AC1140" s="219"/>
      <c r="AD1140" s="219"/>
      <c r="AE1140" s="219"/>
      <c r="AF1140" s="219"/>
      <c r="AG1140" s="219"/>
      <c r="AH1140" s="219"/>
      <c r="AI1140" s="219"/>
      <c r="AJ1140" s="219"/>
      <c r="AK1140" s="219"/>
      <c r="AL1140" s="219"/>
    </row>
    <row r="1141" spans="12:38">
      <c r="L1141" s="219"/>
      <c r="M1141" s="219"/>
      <c r="N1141" s="219"/>
      <c r="O1141" s="219"/>
      <c r="P1141" s="219"/>
      <c r="Q1141" s="219"/>
      <c r="R1141" s="219"/>
      <c r="S1141" s="219"/>
      <c r="T1141" s="219"/>
      <c r="U1141" s="219"/>
      <c r="V1141" s="219"/>
      <c r="AB1141" s="219"/>
      <c r="AC1141" s="219"/>
      <c r="AD1141" s="219"/>
      <c r="AE1141" s="219"/>
      <c r="AF1141" s="219"/>
      <c r="AG1141" s="219"/>
      <c r="AH1141" s="219"/>
      <c r="AI1141" s="219"/>
      <c r="AJ1141" s="219"/>
      <c r="AK1141" s="219"/>
      <c r="AL1141" s="219"/>
    </row>
    <row r="1142" spans="12:38">
      <c r="L1142" s="219"/>
      <c r="M1142" s="219"/>
      <c r="N1142" s="219"/>
      <c r="O1142" s="219"/>
      <c r="P1142" s="219"/>
      <c r="Q1142" s="219"/>
      <c r="R1142" s="219"/>
      <c r="S1142" s="219"/>
      <c r="T1142" s="219"/>
      <c r="U1142" s="219"/>
      <c r="V1142" s="219"/>
      <c r="AB1142" s="219"/>
      <c r="AC1142" s="219"/>
      <c r="AD1142" s="219"/>
      <c r="AE1142" s="219"/>
      <c r="AF1142" s="219"/>
      <c r="AG1142" s="219"/>
      <c r="AH1142" s="219"/>
      <c r="AI1142" s="219"/>
      <c r="AJ1142" s="219"/>
      <c r="AK1142" s="219"/>
      <c r="AL1142" s="219"/>
    </row>
    <row r="1143" spans="12:38">
      <c r="L1143" s="219"/>
      <c r="M1143" s="219"/>
      <c r="N1143" s="219"/>
      <c r="O1143" s="219"/>
      <c r="P1143" s="219"/>
      <c r="Q1143" s="219"/>
      <c r="R1143" s="219"/>
      <c r="S1143" s="219"/>
      <c r="T1143" s="219"/>
      <c r="U1143" s="219"/>
      <c r="V1143" s="219"/>
      <c r="AB1143" s="219"/>
      <c r="AC1143" s="219"/>
      <c r="AD1143" s="219"/>
      <c r="AE1143" s="219"/>
      <c r="AF1143" s="219"/>
      <c r="AG1143" s="219"/>
      <c r="AH1143" s="219"/>
      <c r="AI1143" s="219"/>
      <c r="AJ1143" s="219"/>
      <c r="AK1143" s="219"/>
      <c r="AL1143" s="219"/>
    </row>
    <row r="1144" spans="12:38">
      <c r="L1144" s="219"/>
      <c r="M1144" s="219"/>
      <c r="N1144" s="219"/>
      <c r="O1144" s="219"/>
      <c r="P1144" s="219"/>
      <c r="Q1144" s="219"/>
      <c r="R1144" s="219"/>
      <c r="S1144" s="219"/>
      <c r="T1144" s="219"/>
      <c r="U1144" s="219"/>
      <c r="V1144" s="219"/>
      <c r="AB1144" s="219"/>
      <c r="AC1144" s="219"/>
      <c r="AD1144" s="219"/>
      <c r="AE1144" s="219"/>
      <c r="AF1144" s="219"/>
      <c r="AG1144" s="219"/>
      <c r="AH1144" s="219"/>
      <c r="AI1144" s="219"/>
      <c r="AJ1144" s="219"/>
      <c r="AK1144" s="219"/>
      <c r="AL1144" s="219"/>
    </row>
    <row r="1145" spans="12:38">
      <c r="L1145" s="219"/>
      <c r="M1145" s="219"/>
      <c r="N1145" s="219"/>
      <c r="O1145" s="219"/>
      <c r="P1145" s="219"/>
      <c r="Q1145" s="219"/>
      <c r="R1145" s="219"/>
      <c r="S1145" s="219"/>
      <c r="T1145" s="219"/>
      <c r="U1145" s="219"/>
      <c r="V1145" s="219"/>
      <c r="AB1145" s="219"/>
      <c r="AC1145" s="219"/>
      <c r="AD1145" s="219"/>
      <c r="AE1145" s="219"/>
      <c r="AF1145" s="219"/>
      <c r="AG1145" s="219"/>
      <c r="AH1145" s="219"/>
      <c r="AI1145" s="219"/>
      <c r="AJ1145" s="219"/>
      <c r="AK1145" s="219"/>
      <c r="AL1145" s="219"/>
    </row>
    <row r="1146" spans="12:38">
      <c r="L1146" s="219"/>
      <c r="M1146" s="219"/>
      <c r="N1146" s="219"/>
      <c r="O1146" s="219"/>
      <c r="P1146" s="219"/>
      <c r="Q1146" s="219"/>
      <c r="R1146" s="219"/>
      <c r="S1146" s="219"/>
      <c r="T1146" s="219"/>
      <c r="U1146" s="219"/>
      <c r="V1146" s="219"/>
      <c r="AB1146" s="219"/>
      <c r="AC1146" s="219"/>
      <c r="AD1146" s="219"/>
      <c r="AE1146" s="219"/>
      <c r="AF1146" s="219"/>
      <c r="AG1146" s="219"/>
      <c r="AH1146" s="219"/>
      <c r="AI1146" s="219"/>
      <c r="AJ1146" s="219"/>
      <c r="AK1146" s="219"/>
      <c r="AL1146" s="219"/>
    </row>
    <row r="1147" spans="12:38">
      <c r="L1147" s="219"/>
      <c r="M1147" s="219"/>
      <c r="N1147" s="219"/>
      <c r="O1147" s="219"/>
      <c r="P1147" s="219"/>
      <c r="Q1147" s="219"/>
      <c r="R1147" s="219"/>
      <c r="S1147" s="219"/>
      <c r="T1147" s="219"/>
      <c r="U1147" s="219"/>
      <c r="V1147" s="219"/>
      <c r="AB1147" s="219"/>
      <c r="AC1147" s="219"/>
      <c r="AD1147" s="219"/>
      <c r="AE1147" s="219"/>
      <c r="AF1147" s="219"/>
      <c r="AG1147" s="219"/>
      <c r="AH1147" s="219"/>
      <c r="AI1147" s="219"/>
      <c r="AJ1147" s="219"/>
      <c r="AK1147" s="219"/>
      <c r="AL1147" s="219"/>
    </row>
    <row r="1148" spans="12:38">
      <c r="L1148" s="219"/>
      <c r="M1148" s="219"/>
      <c r="N1148" s="219"/>
      <c r="O1148" s="219"/>
      <c r="P1148" s="219"/>
      <c r="Q1148" s="219"/>
      <c r="R1148" s="219"/>
      <c r="S1148" s="219"/>
      <c r="T1148" s="219"/>
      <c r="U1148" s="219"/>
      <c r="V1148" s="219"/>
      <c r="AB1148" s="219"/>
      <c r="AC1148" s="219"/>
      <c r="AD1148" s="219"/>
      <c r="AE1148" s="219"/>
      <c r="AF1148" s="219"/>
      <c r="AG1148" s="219"/>
      <c r="AH1148" s="219"/>
      <c r="AI1148" s="219"/>
      <c r="AJ1148" s="219"/>
      <c r="AK1148" s="219"/>
      <c r="AL1148" s="219"/>
    </row>
    <row r="1149" spans="12:38">
      <c r="L1149" s="219"/>
      <c r="M1149" s="219"/>
      <c r="N1149" s="219"/>
      <c r="O1149" s="219"/>
      <c r="P1149" s="219"/>
      <c r="Q1149" s="219"/>
      <c r="R1149" s="219"/>
      <c r="S1149" s="219"/>
      <c r="T1149" s="219"/>
      <c r="U1149" s="219"/>
      <c r="V1149" s="219"/>
      <c r="AB1149" s="219"/>
      <c r="AC1149" s="219"/>
      <c r="AD1149" s="219"/>
      <c r="AE1149" s="219"/>
      <c r="AF1149" s="219"/>
      <c r="AG1149" s="219"/>
      <c r="AH1149" s="219"/>
      <c r="AI1149" s="219"/>
      <c r="AJ1149" s="219"/>
      <c r="AK1149" s="219"/>
      <c r="AL1149" s="219"/>
    </row>
    <row r="1150" spans="12:38">
      <c r="L1150" s="219"/>
      <c r="M1150" s="219"/>
      <c r="N1150" s="219"/>
      <c r="O1150" s="219"/>
      <c r="P1150" s="219"/>
      <c r="Q1150" s="219"/>
      <c r="R1150" s="219"/>
      <c r="S1150" s="219"/>
      <c r="T1150" s="219"/>
      <c r="U1150" s="219"/>
      <c r="V1150" s="219"/>
      <c r="AB1150" s="219"/>
      <c r="AC1150" s="219"/>
      <c r="AD1150" s="219"/>
      <c r="AE1150" s="219"/>
      <c r="AF1150" s="219"/>
      <c r="AG1150" s="219"/>
      <c r="AH1150" s="219"/>
      <c r="AI1150" s="219"/>
      <c r="AJ1150" s="219"/>
      <c r="AK1150" s="219"/>
      <c r="AL1150" s="219"/>
    </row>
    <row r="1151" spans="12:38">
      <c r="L1151" s="219"/>
      <c r="M1151" s="219"/>
      <c r="N1151" s="219"/>
      <c r="O1151" s="219"/>
      <c r="P1151" s="219"/>
      <c r="Q1151" s="219"/>
      <c r="R1151" s="219"/>
      <c r="S1151" s="219"/>
      <c r="T1151" s="219"/>
      <c r="U1151" s="219"/>
      <c r="V1151" s="219"/>
      <c r="AB1151" s="219"/>
      <c r="AC1151" s="219"/>
      <c r="AD1151" s="219"/>
      <c r="AE1151" s="219"/>
      <c r="AF1151" s="219"/>
      <c r="AG1151" s="219"/>
      <c r="AH1151" s="219"/>
      <c r="AI1151" s="219"/>
      <c r="AJ1151" s="219"/>
      <c r="AK1151" s="219"/>
      <c r="AL1151" s="219"/>
    </row>
    <row r="1152" spans="12:38">
      <c r="L1152" s="219"/>
      <c r="M1152" s="219"/>
      <c r="N1152" s="219"/>
      <c r="O1152" s="219"/>
      <c r="P1152" s="219"/>
      <c r="Q1152" s="219"/>
      <c r="R1152" s="219"/>
      <c r="S1152" s="219"/>
      <c r="T1152" s="219"/>
      <c r="U1152" s="219"/>
      <c r="V1152" s="219"/>
      <c r="AB1152" s="219"/>
      <c r="AC1152" s="219"/>
      <c r="AD1152" s="219"/>
      <c r="AE1152" s="219"/>
      <c r="AF1152" s="219"/>
      <c r="AG1152" s="219"/>
      <c r="AH1152" s="219"/>
      <c r="AI1152" s="219"/>
      <c r="AJ1152" s="219"/>
      <c r="AK1152" s="219"/>
      <c r="AL1152" s="219"/>
    </row>
    <row r="1153" spans="12:38">
      <c r="L1153" s="219"/>
      <c r="M1153" s="219"/>
      <c r="N1153" s="219"/>
      <c r="O1153" s="219"/>
      <c r="P1153" s="219"/>
      <c r="Q1153" s="219"/>
      <c r="R1153" s="219"/>
      <c r="S1153" s="219"/>
      <c r="T1153" s="219"/>
      <c r="U1153" s="219"/>
      <c r="V1153" s="219"/>
      <c r="AB1153" s="219"/>
      <c r="AC1153" s="219"/>
      <c r="AD1153" s="219"/>
      <c r="AE1153" s="219"/>
      <c r="AF1153" s="219"/>
      <c r="AG1153" s="219"/>
      <c r="AH1153" s="219"/>
      <c r="AI1153" s="219"/>
      <c r="AJ1153" s="219"/>
      <c r="AK1153" s="219"/>
      <c r="AL1153" s="219"/>
    </row>
    <row r="1154" spans="12:38">
      <c r="L1154" s="219"/>
      <c r="M1154" s="219"/>
      <c r="N1154" s="219"/>
      <c r="O1154" s="219"/>
      <c r="P1154" s="219"/>
      <c r="Q1154" s="219"/>
      <c r="R1154" s="219"/>
      <c r="S1154" s="219"/>
      <c r="T1154" s="219"/>
      <c r="U1154" s="219"/>
      <c r="V1154" s="219"/>
      <c r="AB1154" s="219"/>
      <c r="AC1154" s="219"/>
      <c r="AD1154" s="219"/>
      <c r="AE1154" s="219"/>
      <c r="AF1154" s="219"/>
      <c r="AG1154" s="219"/>
      <c r="AH1154" s="219"/>
      <c r="AI1154" s="219"/>
      <c r="AJ1154" s="219"/>
      <c r="AK1154" s="219"/>
      <c r="AL1154" s="219"/>
    </row>
    <row r="1155" spans="12:38">
      <c r="L1155" s="219"/>
      <c r="M1155" s="219"/>
      <c r="N1155" s="219"/>
      <c r="O1155" s="219"/>
      <c r="P1155" s="219"/>
      <c r="Q1155" s="219"/>
      <c r="R1155" s="219"/>
      <c r="S1155" s="219"/>
      <c r="T1155" s="219"/>
      <c r="U1155" s="219"/>
      <c r="V1155" s="219"/>
      <c r="AB1155" s="219"/>
      <c r="AC1155" s="219"/>
      <c r="AD1155" s="219"/>
      <c r="AE1155" s="219"/>
      <c r="AF1155" s="219"/>
      <c r="AG1155" s="219"/>
      <c r="AH1155" s="219"/>
      <c r="AI1155" s="219"/>
      <c r="AJ1155" s="219"/>
      <c r="AK1155" s="219"/>
      <c r="AL1155" s="219"/>
    </row>
    <row r="1156" spans="12:38">
      <c r="L1156" s="219"/>
      <c r="M1156" s="219"/>
      <c r="N1156" s="219"/>
      <c r="O1156" s="219"/>
      <c r="P1156" s="219"/>
      <c r="Q1156" s="219"/>
      <c r="R1156" s="219"/>
      <c r="S1156" s="219"/>
      <c r="T1156" s="219"/>
      <c r="U1156" s="219"/>
      <c r="V1156" s="219"/>
      <c r="AB1156" s="219"/>
      <c r="AC1156" s="219"/>
      <c r="AD1156" s="219"/>
      <c r="AE1156" s="219"/>
      <c r="AF1156" s="219"/>
      <c r="AG1156" s="219"/>
      <c r="AH1156" s="219"/>
      <c r="AI1156" s="219"/>
      <c r="AJ1156" s="219"/>
      <c r="AK1156" s="219"/>
      <c r="AL1156" s="219"/>
    </row>
    <row r="1157" spans="12:38">
      <c r="L1157" s="219"/>
      <c r="M1157" s="219"/>
      <c r="N1157" s="219"/>
      <c r="O1157" s="219"/>
      <c r="P1157" s="219"/>
      <c r="Q1157" s="219"/>
      <c r="R1157" s="219"/>
      <c r="S1157" s="219"/>
      <c r="T1157" s="219"/>
      <c r="U1157" s="219"/>
      <c r="V1157" s="219"/>
      <c r="AB1157" s="219"/>
      <c r="AC1157" s="219"/>
      <c r="AD1157" s="219"/>
      <c r="AE1157" s="219"/>
      <c r="AF1157" s="219"/>
      <c r="AG1157" s="219"/>
      <c r="AH1157" s="219"/>
      <c r="AI1157" s="219"/>
      <c r="AJ1157" s="219"/>
      <c r="AK1157" s="219"/>
      <c r="AL1157" s="219"/>
    </row>
    <row r="1158" spans="12:38">
      <c r="L1158" s="219"/>
      <c r="M1158" s="219"/>
      <c r="N1158" s="219"/>
      <c r="O1158" s="219"/>
      <c r="P1158" s="219"/>
      <c r="Q1158" s="219"/>
      <c r="R1158" s="219"/>
      <c r="S1158" s="219"/>
      <c r="T1158" s="219"/>
      <c r="U1158" s="219"/>
      <c r="V1158" s="219"/>
      <c r="AB1158" s="219"/>
      <c r="AC1158" s="219"/>
      <c r="AD1158" s="219"/>
      <c r="AE1158" s="219"/>
      <c r="AF1158" s="219"/>
      <c r="AG1158" s="219"/>
      <c r="AH1158" s="219"/>
      <c r="AI1158" s="219"/>
      <c r="AJ1158" s="219"/>
      <c r="AK1158" s="219"/>
      <c r="AL1158" s="219"/>
    </row>
    <row r="1159" spans="12:38">
      <c r="L1159" s="219"/>
      <c r="M1159" s="219"/>
      <c r="N1159" s="219"/>
      <c r="O1159" s="219"/>
      <c r="P1159" s="219"/>
      <c r="Q1159" s="219"/>
      <c r="R1159" s="219"/>
      <c r="S1159" s="219"/>
      <c r="T1159" s="219"/>
      <c r="U1159" s="219"/>
      <c r="V1159" s="219"/>
      <c r="AB1159" s="219"/>
      <c r="AC1159" s="219"/>
      <c r="AD1159" s="219"/>
      <c r="AE1159" s="219"/>
      <c r="AF1159" s="219"/>
      <c r="AG1159" s="219"/>
      <c r="AH1159" s="219"/>
      <c r="AI1159" s="219"/>
      <c r="AJ1159" s="219"/>
      <c r="AK1159" s="219"/>
      <c r="AL1159" s="219"/>
    </row>
    <row r="1160" spans="12:38">
      <c r="L1160" s="219"/>
      <c r="M1160" s="219"/>
      <c r="N1160" s="219"/>
      <c r="O1160" s="219"/>
      <c r="P1160" s="219"/>
      <c r="Q1160" s="219"/>
      <c r="R1160" s="219"/>
      <c r="S1160" s="219"/>
      <c r="T1160" s="219"/>
      <c r="U1160" s="219"/>
      <c r="V1160" s="219"/>
      <c r="AB1160" s="219"/>
      <c r="AC1160" s="219"/>
      <c r="AD1160" s="219"/>
      <c r="AE1160" s="219"/>
      <c r="AF1160" s="219"/>
      <c r="AG1160" s="219"/>
      <c r="AH1160" s="219"/>
      <c r="AI1160" s="219"/>
      <c r="AJ1160" s="219"/>
      <c r="AK1160" s="219"/>
      <c r="AL1160" s="219"/>
    </row>
    <row r="1161" spans="12:38">
      <c r="L1161" s="219"/>
      <c r="M1161" s="219"/>
      <c r="N1161" s="219"/>
      <c r="O1161" s="219"/>
      <c r="P1161" s="219"/>
      <c r="Q1161" s="219"/>
      <c r="R1161" s="219"/>
      <c r="S1161" s="219"/>
      <c r="T1161" s="219"/>
      <c r="U1161" s="219"/>
      <c r="V1161" s="219"/>
      <c r="AB1161" s="219"/>
      <c r="AC1161" s="219"/>
      <c r="AD1161" s="219"/>
      <c r="AE1161" s="219"/>
      <c r="AF1161" s="219"/>
      <c r="AG1161" s="219"/>
      <c r="AH1161" s="219"/>
      <c r="AI1161" s="219"/>
      <c r="AJ1161" s="219"/>
      <c r="AK1161" s="219"/>
      <c r="AL1161" s="219"/>
    </row>
    <row r="1162" spans="12:38">
      <c r="L1162" s="219"/>
      <c r="M1162" s="219"/>
      <c r="N1162" s="219"/>
      <c r="O1162" s="219"/>
      <c r="P1162" s="219"/>
      <c r="Q1162" s="219"/>
      <c r="R1162" s="219"/>
      <c r="S1162" s="219"/>
      <c r="T1162" s="219"/>
      <c r="U1162" s="219"/>
      <c r="V1162" s="219"/>
      <c r="AB1162" s="219"/>
      <c r="AC1162" s="219"/>
      <c r="AD1162" s="219"/>
      <c r="AE1162" s="219"/>
      <c r="AF1162" s="219"/>
      <c r="AG1162" s="219"/>
      <c r="AH1162" s="219"/>
      <c r="AI1162" s="219"/>
      <c r="AJ1162" s="219"/>
      <c r="AK1162" s="219"/>
      <c r="AL1162" s="219"/>
    </row>
    <row r="1163" spans="12:38">
      <c r="L1163" s="219"/>
      <c r="M1163" s="219"/>
      <c r="N1163" s="219"/>
      <c r="O1163" s="219"/>
      <c r="P1163" s="219"/>
      <c r="Q1163" s="219"/>
      <c r="R1163" s="219"/>
      <c r="S1163" s="219"/>
      <c r="T1163" s="219"/>
      <c r="U1163" s="219"/>
      <c r="V1163" s="219"/>
      <c r="AB1163" s="219"/>
      <c r="AC1163" s="219"/>
      <c r="AD1163" s="219"/>
      <c r="AE1163" s="219"/>
      <c r="AF1163" s="219"/>
      <c r="AG1163" s="219"/>
      <c r="AH1163" s="219"/>
      <c r="AI1163" s="219"/>
      <c r="AJ1163" s="219"/>
      <c r="AK1163" s="219"/>
      <c r="AL1163" s="219"/>
    </row>
    <row r="1164" spans="12:38">
      <c r="L1164" s="219"/>
      <c r="M1164" s="219"/>
      <c r="N1164" s="219"/>
      <c r="O1164" s="219"/>
      <c r="P1164" s="219"/>
      <c r="Q1164" s="219"/>
      <c r="R1164" s="219"/>
      <c r="S1164" s="219"/>
      <c r="T1164" s="219"/>
      <c r="U1164" s="219"/>
      <c r="V1164" s="219"/>
      <c r="AB1164" s="219"/>
      <c r="AC1164" s="219"/>
      <c r="AD1164" s="219"/>
      <c r="AE1164" s="219"/>
      <c r="AF1164" s="219"/>
      <c r="AG1164" s="219"/>
      <c r="AH1164" s="219"/>
      <c r="AI1164" s="219"/>
      <c r="AJ1164" s="219"/>
      <c r="AK1164" s="219"/>
      <c r="AL1164" s="219"/>
    </row>
    <row r="1165" spans="12:38">
      <c r="L1165" s="219"/>
      <c r="M1165" s="219"/>
      <c r="N1165" s="219"/>
      <c r="O1165" s="219"/>
      <c r="P1165" s="219"/>
      <c r="Q1165" s="219"/>
      <c r="R1165" s="219"/>
      <c r="S1165" s="219"/>
      <c r="T1165" s="219"/>
      <c r="U1165" s="219"/>
      <c r="V1165" s="219"/>
      <c r="AB1165" s="219"/>
      <c r="AC1165" s="219"/>
      <c r="AD1165" s="219"/>
      <c r="AE1165" s="219"/>
      <c r="AF1165" s="219"/>
      <c r="AG1165" s="219"/>
      <c r="AH1165" s="219"/>
      <c r="AI1165" s="219"/>
      <c r="AJ1165" s="219"/>
      <c r="AK1165" s="219"/>
      <c r="AL1165" s="219"/>
    </row>
    <row r="1166" spans="12:38">
      <c r="L1166" s="219"/>
      <c r="M1166" s="219"/>
      <c r="N1166" s="219"/>
      <c r="O1166" s="219"/>
      <c r="P1166" s="219"/>
      <c r="Q1166" s="219"/>
      <c r="R1166" s="219"/>
      <c r="S1166" s="219"/>
      <c r="T1166" s="219"/>
      <c r="U1166" s="219"/>
      <c r="V1166" s="219"/>
      <c r="AB1166" s="219"/>
      <c r="AC1166" s="219"/>
      <c r="AD1166" s="219"/>
      <c r="AE1166" s="219"/>
      <c r="AF1166" s="219"/>
      <c r="AG1166" s="219"/>
      <c r="AH1166" s="219"/>
      <c r="AI1166" s="219"/>
      <c r="AJ1166" s="219"/>
      <c r="AK1166" s="219"/>
      <c r="AL1166" s="219"/>
    </row>
    <row r="1167" spans="12:38">
      <c r="L1167" s="219"/>
      <c r="M1167" s="219"/>
      <c r="N1167" s="219"/>
      <c r="O1167" s="219"/>
      <c r="P1167" s="219"/>
      <c r="Q1167" s="219"/>
      <c r="R1167" s="219"/>
      <c r="S1167" s="219"/>
      <c r="T1167" s="219"/>
      <c r="U1167" s="219"/>
      <c r="V1167" s="219"/>
      <c r="AB1167" s="219"/>
      <c r="AC1167" s="219"/>
      <c r="AD1167" s="219"/>
      <c r="AE1167" s="219"/>
      <c r="AF1167" s="219"/>
      <c r="AG1167" s="219"/>
      <c r="AH1167" s="219"/>
      <c r="AI1167" s="219"/>
      <c r="AJ1167" s="219"/>
      <c r="AK1167" s="219"/>
      <c r="AL1167" s="219"/>
    </row>
    <row r="1168" spans="12:38">
      <c r="L1168" s="219"/>
      <c r="M1168" s="219"/>
      <c r="N1168" s="219"/>
      <c r="O1168" s="219"/>
      <c r="P1168" s="219"/>
      <c r="Q1168" s="219"/>
      <c r="R1168" s="219"/>
      <c r="S1168" s="219"/>
      <c r="T1168" s="219"/>
      <c r="U1168" s="219"/>
      <c r="V1168" s="219"/>
      <c r="AB1168" s="219"/>
      <c r="AC1168" s="219"/>
      <c r="AD1168" s="219"/>
      <c r="AE1168" s="219"/>
      <c r="AF1168" s="219"/>
      <c r="AG1168" s="219"/>
      <c r="AH1168" s="219"/>
      <c r="AI1168" s="219"/>
      <c r="AJ1168" s="219"/>
      <c r="AK1168" s="219"/>
      <c r="AL1168" s="219"/>
    </row>
    <row r="1169" spans="12:38">
      <c r="L1169" s="219"/>
      <c r="M1169" s="219"/>
      <c r="N1169" s="219"/>
      <c r="O1169" s="219"/>
      <c r="P1169" s="219"/>
      <c r="Q1169" s="219"/>
      <c r="R1169" s="219"/>
      <c r="S1169" s="219"/>
      <c r="T1169" s="219"/>
      <c r="U1169" s="219"/>
      <c r="V1169" s="219"/>
      <c r="AB1169" s="219"/>
      <c r="AC1169" s="219"/>
      <c r="AD1169" s="219"/>
      <c r="AE1169" s="219"/>
      <c r="AF1169" s="219"/>
      <c r="AG1169" s="219"/>
      <c r="AH1169" s="219"/>
      <c r="AI1169" s="219"/>
      <c r="AJ1169" s="219"/>
      <c r="AK1169" s="219"/>
      <c r="AL1169" s="219"/>
    </row>
    <row r="1170" spans="12:38">
      <c r="L1170" s="219"/>
      <c r="M1170" s="219"/>
      <c r="N1170" s="219"/>
      <c r="O1170" s="219"/>
      <c r="P1170" s="219"/>
      <c r="Q1170" s="219"/>
      <c r="R1170" s="219"/>
      <c r="S1170" s="219"/>
      <c r="T1170" s="219"/>
      <c r="U1170" s="219"/>
      <c r="V1170" s="219"/>
      <c r="AB1170" s="219"/>
      <c r="AC1170" s="219"/>
      <c r="AD1170" s="219"/>
      <c r="AE1170" s="219"/>
      <c r="AF1170" s="219"/>
      <c r="AG1170" s="219"/>
      <c r="AH1170" s="219"/>
      <c r="AI1170" s="219"/>
      <c r="AJ1170" s="219"/>
      <c r="AK1170" s="219"/>
      <c r="AL1170" s="219"/>
    </row>
    <row r="1171" spans="12:38">
      <c r="L1171" s="219"/>
      <c r="M1171" s="219"/>
      <c r="N1171" s="219"/>
      <c r="O1171" s="219"/>
      <c r="P1171" s="219"/>
      <c r="Q1171" s="219"/>
      <c r="R1171" s="219"/>
      <c r="S1171" s="219"/>
      <c r="T1171" s="219"/>
      <c r="U1171" s="219"/>
      <c r="V1171" s="219"/>
      <c r="AB1171" s="219"/>
      <c r="AC1171" s="219"/>
      <c r="AD1171" s="219"/>
      <c r="AE1171" s="219"/>
      <c r="AF1171" s="219"/>
      <c r="AG1171" s="219"/>
      <c r="AH1171" s="219"/>
      <c r="AI1171" s="219"/>
      <c r="AJ1171" s="219"/>
      <c r="AK1171" s="219"/>
      <c r="AL1171" s="219"/>
    </row>
    <row r="1172" spans="12:38">
      <c r="L1172" s="219"/>
      <c r="M1172" s="219"/>
      <c r="N1172" s="219"/>
      <c r="O1172" s="219"/>
      <c r="P1172" s="219"/>
      <c r="Q1172" s="219"/>
      <c r="R1172" s="219"/>
      <c r="S1172" s="219"/>
      <c r="T1172" s="219"/>
      <c r="U1172" s="219"/>
      <c r="V1172" s="219"/>
      <c r="AB1172" s="219"/>
      <c r="AC1172" s="219"/>
      <c r="AD1172" s="219"/>
      <c r="AE1172" s="219"/>
      <c r="AF1172" s="219"/>
      <c r="AG1172" s="219"/>
      <c r="AH1172" s="219"/>
      <c r="AI1172" s="219"/>
      <c r="AJ1172" s="219"/>
      <c r="AK1172" s="219"/>
      <c r="AL1172" s="219"/>
    </row>
    <row r="1173" spans="12:38">
      <c r="L1173" s="219"/>
      <c r="M1173" s="219"/>
      <c r="N1173" s="219"/>
      <c r="O1173" s="219"/>
      <c r="P1173" s="219"/>
      <c r="Q1173" s="219"/>
      <c r="R1173" s="219"/>
      <c r="S1173" s="219"/>
      <c r="T1173" s="219"/>
      <c r="U1173" s="219"/>
      <c r="V1173" s="219"/>
      <c r="AB1173" s="219"/>
      <c r="AC1173" s="219"/>
      <c r="AD1173" s="219"/>
      <c r="AE1173" s="219"/>
      <c r="AF1173" s="219"/>
      <c r="AG1173" s="219"/>
      <c r="AH1173" s="219"/>
      <c r="AI1173" s="219"/>
      <c r="AJ1173" s="219"/>
      <c r="AK1173" s="219"/>
      <c r="AL1173" s="219"/>
    </row>
    <row r="1174" spans="12:38">
      <c r="L1174" s="219"/>
      <c r="M1174" s="219"/>
      <c r="N1174" s="219"/>
      <c r="O1174" s="219"/>
      <c r="P1174" s="219"/>
      <c r="Q1174" s="219"/>
      <c r="R1174" s="219"/>
      <c r="S1174" s="219"/>
      <c r="T1174" s="219"/>
      <c r="U1174" s="219"/>
      <c r="V1174" s="219"/>
      <c r="AB1174" s="219"/>
      <c r="AC1174" s="219"/>
      <c r="AD1174" s="219"/>
      <c r="AE1174" s="219"/>
      <c r="AF1174" s="219"/>
      <c r="AG1174" s="219"/>
      <c r="AH1174" s="219"/>
      <c r="AI1174" s="219"/>
      <c r="AJ1174" s="219"/>
      <c r="AK1174" s="219"/>
      <c r="AL1174" s="219"/>
    </row>
    <row r="1175" spans="12:38">
      <c r="L1175" s="219"/>
      <c r="M1175" s="219"/>
      <c r="N1175" s="219"/>
      <c r="O1175" s="219"/>
      <c r="P1175" s="219"/>
      <c r="Q1175" s="219"/>
      <c r="R1175" s="219"/>
      <c r="S1175" s="219"/>
      <c r="T1175" s="219"/>
      <c r="U1175" s="219"/>
      <c r="V1175" s="219"/>
      <c r="AB1175" s="219"/>
      <c r="AC1175" s="219"/>
      <c r="AD1175" s="219"/>
      <c r="AE1175" s="219"/>
      <c r="AF1175" s="219"/>
      <c r="AG1175" s="219"/>
      <c r="AH1175" s="219"/>
      <c r="AI1175" s="219"/>
      <c r="AJ1175" s="219"/>
      <c r="AK1175" s="219"/>
      <c r="AL1175" s="219"/>
    </row>
    <row r="1176" spans="12:38">
      <c r="L1176" s="219"/>
      <c r="M1176" s="219"/>
      <c r="N1176" s="219"/>
      <c r="O1176" s="219"/>
      <c r="P1176" s="219"/>
      <c r="Q1176" s="219"/>
      <c r="R1176" s="219"/>
      <c r="S1176" s="219"/>
      <c r="T1176" s="219"/>
      <c r="U1176" s="219"/>
      <c r="V1176" s="219"/>
      <c r="AB1176" s="219"/>
      <c r="AC1176" s="219"/>
      <c r="AD1176" s="219"/>
      <c r="AE1176" s="219"/>
      <c r="AF1176" s="219"/>
      <c r="AG1176" s="219"/>
      <c r="AH1176" s="219"/>
      <c r="AI1176" s="219"/>
      <c r="AJ1176" s="219"/>
      <c r="AK1176" s="219"/>
      <c r="AL1176" s="219"/>
    </row>
    <row r="1177" spans="12:38">
      <c r="L1177" s="219"/>
      <c r="M1177" s="219"/>
      <c r="N1177" s="219"/>
      <c r="O1177" s="219"/>
      <c r="P1177" s="219"/>
      <c r="Q1177" s="219"/>
      <c r="R1177" s="219"/>
      <c r="S1177" s="219"/>
      <c r="T1177" s="219"/>
      <c r="U1177" s="219"/>
      <c r="V1177" s="219"/>
      <c r="AB1177" s="219"/>
      <c r="AC1177" s="219"/>
      <c r="AD1177" s="219"/>
      <c r="AE1177" s="219"/>
      <c r="AF1177" s="219"/>
      <c r="AG1177" s="219"/>
      <c r="AH1177" s="219"/>
      <c r="AI1177" s="219"/>
      <c r="AJ1177" s="219"/>
      <c r="AK1177" s="219"/>
      <c r="AL1177" s="219"/>
    </row>
    <row r="1178" spans="12:38">
      <c r="L1178" s="219"/>
      <c r="M1178" s="219"/>
      <c r="N1178" s="219"/>
      <c r="O1178" s="219"/>
      <c r="P1178" s="219"/>
      <c r="Q1178" s="219"/>
      <c r="R1178" s="219"/>
      <c r="S1178" s="219"/>
      <c r="T1178" s="219"/>
      <c r="U1178" s="219"/>
      <c r="V1178" s="219"/>
      <c r="AB1178" s="219"/>
      <c r="AC1178" s="219"/>
      <c r="AD1178" s="219"/>
      <c r="AE1178" s="219"/>
      <c r="AF1178" s="219"/>
      <c r="AG1178" s="219"/>
      <c r="AH1178" s="219"/>
      <c r="AI1178" s="219"/>
      <c r="AJ1178" s="219"/>
      <c r="AK1178" s="219"/>
      <c r="AL1178" s="219"/>
    </row>
    <row r="1179" spans="12:38">
      <c r="L1179" s="219"/>
      <c r="M1179" s="219"/>
      <c r="N1179" s="219"/>
      <c r="O1179" s="219"/>
      <c r="P1179" s="219"/>
      <c r="Q1179" s="219"/>
      <c r="R1179" s="219"/>
      <c r="S1179" s="219"/>
      <c r="T1179" s="219"/>
      <c r="U1179" s="219"/>
      <c r="V1179" s="219"/>
      <c r="AB1179" s="219"/>
      <c r="AC1179" s="219"/>
      <c r="AD1179" s="219"/>
      <c r="AE1179" s="219"/>
      <c r="AF1179" s="219"/>
      <c r="AG1179" s="219"/>
      <c r="AH1179" s="219"/>
      <c r="AI1179" s="219"/>
      <c r="AJ1179" s="219"/>
      <c r="AK1179" s="219"/>
      <c r="AL1179" s="219"/>
    </row>
    <row r="1180" spans="12:38">
      <c r="L1180" s="219"/>
      <c r="M1180" s="219"/>
      <c r="N1180" s="219"/>
      <c r="O1180" s="219"/>
      <c r="P1180" s="219"/>
      <c r="Q1180" s="219"/>
      <c r="R1180" s="219"/>
      <c r="S1180" s="219"/>
      <c r="T1180" s="219"/>
      <c r="U1180" s="219"/>
      <c r="V1180" s="219"/>
      <c r="AB1180" s="219"/>
      <c r="AC1180" s="219"/>
      <c r="AD1180" s="219"/>
      <c r="AE1180" s="219"/>
      <c r="AF1180" s="219"/>
      <c r="AG1180" s="219"/>
      <c r="AH1180" s="219"/>
      <c r="AI1180" s="219"/>
      <c r="AJ1180" s="219"/>
      <c r="AK1180" s="219"/>
      <c r="AL1180" s="219"/>
    </row>
    <row r="1181" spans="12:38">
      <c r="L1181" s="219"/>
      <c r="M1181" s="219"/>
      <c r="N1181" s="219"/>
      <c r="O1181" s="219"/>
      <c r="P1181" s="219"/>
      <c r="Q1181" s="219"/>
      <c r="R1181" s="219"/>
      <c r="S1181" s="219"/>
      <c r="T1181" s="219"/>
      <c r="U1181" s="219"/>
      <c r="V1181" s="219"/>
      <c r="AB1181" s="219"/>
      <c r="AC1181" s="219"/>
      <c r="AD1181" s="219"/>
      <c r="AE1181" s="219"/>
      <c r="AF1181" s="219"/>
      <c r="AG1181" s="219"/>
      <c r="AH1181" s="219"/>
      <c r="AI1181" s="219"/>
      <c r="AJ1181" s="219"/>
      <c r="AK1181" s="219"/>
      <c r="AL1181" s="219"/>
    </row>
    <row r="1182" spans="12:38">
      <c r="L1182" s="219"/>
      <c r="M1182" s="219"/>
      <c r="N1182" s="219"/>
      <c r="O1182" s="219"/>
      <c r="P1182" s="219"/>
      <c r="Q1182" s="219"/>
      <c r="R1182" s="219"/>
      <c r="S1182" s="219"/>
      <c r="T1182" s="219"/>
      <c r="U1182" s="219"/>
      <c r="V1182" s="219"/>
      <c r="AB1182" s="219"/>
      <c r="AC1182" s="219"/>
      <c r="AD1182" s="219"/>
      <c r="AE1182" s="219"/>
      <c r="AF1182" s="219"/>
      <c r="AG1182" s="219"/>
      <c r="AH1182" s="219"/>
      <c r="AI1182" s="219"/>
      <c r="AJ1182" s="219"/>
      <c r="AK1182" s="219"/>
      <c r="AL1182" s="219"/>
    </row>
    <row r="1183" spans="12:38">
      <c r="L1183" s="219"/>
      <c r="M1183" s="219"/>
      <c r="N1183" s="219"/>
      <c r="O1183" s="219"/>
      <c r="P1183" s="219"/>
      <c r="Q1183" s="219"/>
      <c r="R1183" s="219"/>
      <c r="S1183" s="219"/>
      <c r="T1183" s="219"/>
      <c r="U1183" s="219"/>
      <c r="V1183" s="219"/>
      <c r="AB1183" s="219"/>
      <c r="AC1183" s="219"/>
      <c r="AD1183" s="219"/>
      <c r="AE1183" s="219"/>
      <c r="AF1183" s="219"/>
      <c r="AG1183" s="219"/>
      <c r="AH1183" s="219"/>
      <c r="AI1183" s="219"/>
      <c r="AJ1183" s="219"/>
      <c r="AK1183" s="219"/>
      <c r="AL1183" s="219"/>
    </row>
    <row r="1184" spans="12:38">
      <c r="L1184" s="219"/>
      <c r="M1184" s="219"/>
      <c r="N1184" s="219"/>
      <c r="O1184" s="219"/>
      <c r="P1184" s="219"/>
      <c r="Q1184" s="219"/>
      <c r="R1184" s="219"/>
      <c r="S1184" s="219"/>
      <c r="T1184" s="219"/>
      <c r="U1184" s="219"/>
      <c r="V1184" s="219"/>
      <c r="AB1184" s="219"/>
      <c r="AC1184" s="219"/>
      <c r="AD1184" s="219"/>
      <c r="AE1184" s="219"/>
      <c r="AF1184" s="219"/>
      <c r="AG1184" s="219"/>
      <c r="AH1184" s="219"/>
      <c r="AI1184" s="219"/>
      <c r="AJ1184" s="219"/>
      <c r="AK1184" s="219"/>
      <c r="AL1184" s="219"/>
    </row>
    <row r="1185" spans="12:38">
      <c r="L1185" s="219"/>
      <c r="M1185" s="219"/>
      <c r="N1185" s="219"/>
      <c r="O1185" s="219"/>
      <c r="P1185" s="219"/>
      <c r="Q1185" s="219"/>
      <c r="R1185" s="219"/>
      <c r="S1185" s="219"/>
      <c r="T1185" s="219"/>
      <c r="U1185" s="219"/>
      <c r="V1185" s="219"/>
      <c r="AB1185" s="219"/>
      <c r="AC1185" s="219"/>
      <c r="AD1185" s="219"/>
      <c r="AE1185" s="219"/>
      <c r="AF1185" s="219"/>
      <c r="AG1185" s="219"/>
      <c r="AH1185" s="219"/>
      <c r="AI1185" s="219"/>
      <c r="AJ1185" s="219"/>
      <c r="AK1185" s="219"/>
      <c r="AL1185" s="219"/>
    </row>
    <row r="1186" spans="12:38">
      <c r="L1186" s="219"/>
      <c r="M1186" s="219"/>
      <c r="N1186" s="219"/>
      <c r="O1186" s="219"/>
      <c r="P1186" s="219"/>
      <c r="Q1186" s="219"/>
      <c r="R1186" s="219"/>
      <c r="S1186" s="219"/>
      <c r="T1186" s="219"/>
      <c r="U1186" s="219"/>
      <c r="V1186" s="219"/>
      <c r="AB1186" s="219"/>
      <c r="AC1186" s="219"/>
      <c r="AD1186" s="219"/>
      <c r="AE1186" s="219"/>
      <c r="AF1186" s="219"/>
      <c r="AG1186" s="219"/>
      <c r="AH1186" s="219"/>
      <c r="AI1186" s="219"/>
      <c r="AJ1186" s="219"/>
      <c r="AK1186" s="219"/>
      <c r="AL1186" s="219"/>
    </row>
    <row r="1187" spans="12:38">
      <c r="L1187" s="219"/>
      <c r="M1187" s="219"/>
      <c r="N1187" s="219"/>
      <c r="O1187" s="219"/>
      <c r="P1187" s="219"/>
      <c r="Q1187" s="219"/>
      <c r="R1187" s="219"/>
      <c r="S1187" s="219"/>
      <c r="T1187" s="219"/>
      <c r="U1187" s="219"/>
      <c r="V1187" s="219"/>
      <c r="AB1187" s="219"/>
      <c r="AC1187" s="219"/>
      <c r="AD1187" s="219"/>
      <c r="AE1187" s="219"/>
      <c r="AF1187" s="219"/>
      <c r="AG1187" s="219"/>
      <c r="AH1187" s="219"/>
      <c r="AI1187" s="219"/>
      <c r="AJ1187" s="219"/>
      <c r="AK1187" s="219"/>
      <c r="AL1187" s="219"/>
    </row>
    <row r="1188" spans="12:38">
      <c r="L1188" s="219"/>
      <c r="M1188" s="219"/>
      <c r="N1188" s="219"/>
      <c r="O1188" s="219"/>
      <c r="P1188" s="219"/>
      <c r="Q1188" s="219"/>
      <c r="R1188" s="219"/>
      <c r="S1188" s="219"/>
      <c r="T1188" s="219"/>
      <c r="U1188" s="219"/>
      <c r="V1188" s="219"/>
      <c r="AB1188" s="219"/>
      <c r="AC1188" s="219"/>
      <c r="AD1188" s="219"/>
      <c r="AE1188" s="219"/>
      <c r="AF1188" s="219"/>
      <c r="AG1188" s="219"/>
      <c r="AH1188" s="219"/>
      <c r="AI1188" s="219"/>
      <c r="AJ1188" s="219"/>
      <c r="AK1188" s="219"/>
      <c r="AL1188" s="219"/>
    </row>
    <row r="1189" spans="12:38">
      <c r="L1189" s="219"/>
      <c r="M1189" s="219"/>
      <c r="N1189" s="219"/>
      <c r="O1189" s="219"/>
      <c r="P1189" s="219"/>
      <c r="Q1189" s="219"/>
      <c r="R1189" s="219"/>
      <c r="S1189" s="219"/>
      <c r="T1189" s="219"/>
      <c r="U1189" s="219"/>
      <c r="V1189" s="219"/>
      <c r="AB1189" s="219"/>
      <c r="AC1189" s="219"/>
      <c r="AD1189" s="219"/>
      <c r="AE1189" s="219"/>
      <c r="AF1189" s="219"/>
      <c r="AG1189" s="219"/>
      <c r="AH1189" s="219"/>
      <c r="AI1189" s="219"/>
      <c r="AJ1189" s="219"/>
      <c r="AK1189" s="219"/>
      <c r="AL1189" s="219"/>
    </row>
    <row r="1190" spans="12:38">
      <c r="L1190" s="219"/>
      <c r="M1190" s="219"/>
      <c r="N1190" s="219"/>
      <c r="O1190" s="219"/>
      <c r="P1190" s="219"/>
      <c r="Q1190" s="219"/>
      <c r="R1190" s="219"/>
      <c r="S1190" s="219"/>
      <c r="T1190" s="219"/>
      <c r="U1190" s="219"/>
      <c r="V1190" s="219"/>
      <c r="AB1190" s="219"/>
      <c r="AC1190" s="219"/>
      <c r="AD1190" s="219"/>
      <c r="AE1190" s="219"/>
      <c r="AF1190" s="219"/>
      <c r="AG1190" s="219"/>
      <c r="AH1190" s="219"/>
      <c r="AI1190" s="219"/>
      <c r="AJ1190" s="219"/>
      <c r="AK1190" s="219"/>
      <c r="AL1190" s="219"/>
    </row>
    <row r="1191" spans="12:38">
      <c r="L1191" s="219"/>
      <c r="M1191" s="219"/>
      <c r="N1191" s="219"/>
      <c r="O1191" s="219"/>
      <c r="P1191" s="219"/>
      <c r="Q1191" s="219"/>
      <c r="R1191" s="219"/>
      <c r="S1191" s="219"/>
      <c r="T1191" s="219"/>
      <c r="U1191" s="219"/>
      <c r="V1191" s="219"/>
      <c r="AB1191" s="219"/>
      <c r="AC1191" s="219"/>
      <c r="AD1191" s="219"/>
      <c r="AE1191" s="219"/>
      <c r="AF1191" s="219"/>
      <c r="AG1191" s="219"/>
      <c r="AH1191" s="219"/>
      <c r="AI1191" s="219"/>
      <c r="AJ1191" s="219"/>
      <c r="AK1191" s="219"/>
      <c r="AL1191" s="219"/>
    </row>
    <row r="1192" spans="12:38">
      <c r="L1192" s="219"/>
      <c r="M1192" s="219"/>
      <c r="N1192" s="219"/>
      <c r="O1192" s="219"/>
      <c r="P1192" s="219"/>
      <c r="Q1192" s="219"/>
      <c r="R1192" s="219"/>
      <c r="S1192" s="219"/>
      <c r="T1192" s="219"/>
      <c r="U1192" s="219"/>
      <c r="V1192" s="219"/>
      <c r="AB1192" s="219"/>
      <c r="AC1192" s="219"/>
      <c r="AD1192" s="219"/>
      <c r="AE1192" s="219"/>
      <c r="AF1192" s="219"/>
      <c r="AG1192" s="219"/>
      <c r="AH1192" s="219"/>
      <c r="AI1192" s="219"/>
      <c r="AJ1192" s="219"/>
      <c r="AK1192" s="219"/>
      <c r="AL1192" s="219"/>
    </row>
    <row r="1193" spans="12:38">
      <c r="L1193" s="219"/>
      <c r="M1193" s="219"/>
      <c r="N1193" s="219"/>
      <c r="O1193" s="219"/>
      <c r="P1193" s="219"/>
      <c r="Q1193" s="219"/>
      <c r="R1193" s="219"/>
      <c r="S1193" s="219"/>
      <c r="T1193" s="219"/>
      <c r="U1193" s="219"/>
      <c r="V1193" s="219"/>
      <c r="AB1193" s="219"/>
      <c r="AC1193" s="219"/>
      <c r="AD1193" s="219"/>
      <c r="AE1193" s="219"/>
      <c r="AF1193" s="219"/>
      <c r="AG1193" s="219"/>
      <c r="AH1193" s="219"/>
      <c r="AI1193" s="219"/>
      <c r="AJ1193" s="219"/>
      <c r="AK1193" s="219"/>
      <c r="AL1193" s="219"/>
    </row>
    <row r="1194" spans="12:38">
      <c r="L1194" s="219"/>
      <c r="M1194" s="219"/>
      <c r="N1194" s="219"/>
      <c r="O1194" s="219"/>
      <c r="P1194" s="219"/>
      <c r="Q1194" s="219"/>
      <c r="R1194" s="219"/>
      <c r="S1194" s="219"/>
      <c r="T1194" s="219"/>
      <c r="U1194" s="219"/>
      <c r="V1194" s="219"/>
      <c r="AB1194" s="219"/>
      <c r="AC1194" s="219"/>
      <c r="AD1194" s="219"/>
      <c r="AE1194" s="219"/>
      <c r="AF1194" s="219"/>
      <c r="AG1194" s="219"/>
      <c r="AH1194" s="219"/>
      <c r="AI1194" s="219"/>
      <c r="AJ1194" s="219"/>
      <c r="AK1194" s="219"/>
      <c r="AL1194" s="219"/>
    </row>
    <row r="1195" spans="12:38">
      <c r="L1195" s="219"/>
      <c r="M1195" s="219"/>
      <c r="N1195" s="219"/>
      <c r="O1195" s="219"/>
      <c r="P1195" s="219"/>
      <c r="Q1195" s="219"/>
      <c r="R1195" s="219"/>
      <c r="S1195" s="219"/>
      <c r="T1195" s="219"/>
      <c r="U1195" s="219"/>
      <c r="V1195" s="219"/>
      <c r="AB1195" s="219"/>
      <c r="AC1195" s="219"/>
      <c r="AD1195" s="219"/>
      <c r="AE1195" s="219"/>
      <c r="AF1195" s="219"/>
      <c r="AG1195" s="219"/>
      <c r="AH1195" s="219"/>
      <c r="AI1195" s="219"/>
      <c r="AJ1195" s="219"/>
      <c r="AK1195" s="219"/>
      <c r="AL1195" s="219"/>
    </row>
    <row r="1196" spans="12:38">
      <c r="L1196" s="219"/>
      <c r="M1196" s="219"/>
      <c r="N1196" s="219"/>
      <c r="O1196" s="219"/>
      <c r="P1196" s="219"/>
      <c r="Q1196" s="219"/>
      <c r="R1196" s="219"/>
      <c r="S1196" s="219"/>
      <c r="T1196" s="219"/>
      <c r="U1196" s="219"/>
      <c r="V1196" s="219"/>
      <c r="AB1196" s="219"/>
      <c r="AC1196" s="219"/>
      <c r="AD1196" s="219"/>
      <c r="AE1196" s="219"/>
      <c r="AF1196" s="219"/>
      <c r="AG1196" s="219"/>
      <c r="AH1196" s="219"/>
      <c r="AI1196" s="219"/>
      <c r="AJ1196" s="219"/>
      <c r="AK1196" s="219"/>
      <c r="AL1196" s="219"/>
    </row>
    <row r="1197" spans="12:38">
      <c r="L1197" s="219"/>
      <c r="M1197" s="219"/>
      <c r="N1197" s="219"/>
      <c r="O1197" s="219"/>
      <c r="P1197" s="219"/>
      <c r="Q1197" s="219"/>
      <c r="R1197" s="219"/>
      <c r="S1197" s="219"/>
      <c r="T1197" s="219"/>
      <c r="U1197" s="219"/>
      <c r="V1197" s="219"/>
      <c r="AB1197" s="219"/>
      <c r="AC1197" s="219"/>
      <c r="AD1197" s="219"/>
      <c r="AE1197" s="219"/>
      <c r="AF1197" s="219"/>
      <c r="AG1197" s="219"/>
      <c r="AH1197" s="219"/>
      <c r="AI1197" s="219"/>
      <c r="AJ1197" s="219"/>
      <c r="AK1197" s="219"/>
      <c r="AL1197" s="219"/>
    </row>
    <row r="1198" spans="12:38">
      <c r="L1198" s="219"/>
      <c r="M1198" s="219"/>
      <c r="N1198" s="219"/>
      <c r="O1198" s="219"/>
      <c r="P1198" s="219"/>
      <c r="Q1198" s="219"/>
      <c r="R1198" s="219"/>
      <c r="S1198" s="219"/>
      <c r="T1198" s="219"/>
      <c r="U1198" s="219"/>
      <c r="V1198" s="219"/>
      <c r="AB1198" s="219"/>
      <c r="AC1198" s="219"/>
      <c r="AD1198" s="219"/>
      <c r="AE1198" s="219"/>
      <c r="AF1198" s="219"/>
      <c r="AG1198" s="219"/>
      <c r="AH1198" s="219"/>
      <c r="AI1198" s="219"/>
      <c r="AJ1198" s="219"/>
      <c r="AK1198" s="219"/>
      <c r="AL1198" s="219"/>
    </row>
    <row r="1199" spans="12:38">
      <c r="L1199" s="219"/>
      <c r="M1199" s="219"/>
      <c r="N1199" s="219"/>
      <c r="O1199" s="219"/>
      <c r="P1199" s="219"/>
      <c r="Q1199" s="219"/>
      <c r="R1199" s="219"/>
      <c r="S1199" s="219"/>
      <c r="T1199" s="219"/>
      <c r="U1199" s="219"/>
      <c r="V1199" s="219"/>
      <c r="AB1199" s="219"/>
      <c r="AC1199" s="219"/>
      <c r="AD1199" s="219"/>
      <c r="AE1199" s="219"/>
      <c r="AF1199" s="219"/>
      <c r="AG1199" s="219"/>
      <c r="AH1199" s="219"/>
      <c r="AI1199" s="219"/>
      <c r="AJ1199" s="219"/>
      <c r="AK1199" s="219"/>
      <c r="AL1199" s="219"/>
    </row>
    <row r="1200" spans="12:38">
      <c r="L1200" s="219"/>
      <c r="M1200" s="219"/>
      <c r="N1200" s="219"/>
      <c r="O1200" s="219"/>
      <c r="P1200" s="219"/>
      <c r="Q1200" s="219"/>
      <c r="R1200" s="219"/>
      <c r="S1200" s="219"/>
      <c r="T1200" s="219"/>
      <c r="U1200" s="219"/>
      <c r="V1200" s="219"/>
      <c r="AB1200" s="219"/>
      <c r="AC1200" s="219"/>
      <c r="AD1200" s="219"/>
      <c r="AE1200" s="219"/>
      <c r="AF1200" s="219"/>
      <c r="AG1200" s="219"/>
      <c r="AH1200" s="219"/>
      <c r="AI1200" s="219"/>
      <c r="AJ1200" s="219"/>
      <c r="AK1200" s="219"/>
      <c r="AL1200" s="219"/>
    </row>
    <row r="1201" spans="12:38">
      <c r="L1201" s="219"/>
      <c r="M1201" s="219"/>
      <c r="N1201" s="219"/>
      <c r="O1201" s="219"/>
      <c r="P1201" s="219"/>
      <c r="Q1201" s="219"/>
      <c r="R1201" s="219"/>
      <c r="S1201" s="219"/>
      <c r="T1201" s="219"/>
      <c r="U1201" s="219"/>
      <c r="V1201" s="219"/>
      <c r="AB1201" s="219"/>
      <c r="AC1201" s="219"/>
      <c r="AD1201" s="219"/>
      <c r="AE1201" s="219"/>
      <c r="AF1201" s="219"/>
      <c r="AG1201" s="219"/>
      <c r="AH1201" s="219"/>
      <c r="AI1201" s="219"/>
      <c r="AJ1201" s="219"/>
      <c r="AK1201" s="219"/>
      <c r="AL1201" s="219"/>
    </row>
    <row r="1202" spans="12:38">
      <c r="L1202" s="219"/>
      <c r="M1202" s="219"/>
      <c r="N1202" s="219"/>
      <c r="O1202" s="219"/>
      <c r="P1202" s="219"/>
      <c r="Q1202" s="219"/>
      <c r="R1202" s="219"/>
      <c r="S1202" s="219"/>
      <c r="T1202" s="219"/>
      <c r="U1202" s="219"/>
      <c r="V1202" s="219"/>
      <c r="AB1202" s="219"/>
      <c r="AC1202" s="219"/>
      <c r="AD1202" s="219"/>
      <c r="AE1202" s="219"/>
      <c r="AF1202" s="219"/>
      <c r="AG1202" s="219"/>
      <c r="AH1202" s="219"/>
      <c r="AI1202" s="219"/>
      <c r="AJ1202" s="219"/>
      <c r="AK1202" s="219"/>
      <c r="AL1202" s="219"/>
    </row>
    <row r="1203" spans="12:38">
      <c r="L1203" s="219"/>
      <c r="M1203" s="219"/>
      <c r="N1203" s="219"/>
      <c r="O1203" s="219"/>
      <c r="P1203" s="219"/>
      <c r="Q1203" s="219"/>
      <c r="R1203" s="219"/>
      <c r="S1203" s="219"/>
      <c r="T1203" s="219"/>
      <c r="U1203" s="219"/>
      <c r="V1203" s="219"/>
      <c r="AB1203" s="219"/>
      <c r="AC1203" s="219"/>
      <c r="AD1203" s="219"/>
      <c r="AE1203" s="219"/>
      <c r="AF1203" s="219"/>
      <c r="AG1203" s="219"/>
      <c r="AH1203" s="219"/>
      <c r="AI1203" s="219"/>
      <c r="AJ1203" s="219"/>
      <c r="AK1203" s="219"/>
      <c r="AL1203" s="219"/>
    </row>
    <row r="1204" spans="12:38">
      <c r="L1204" s="219"/>
      <c r="M1204" s="219"/>
      <c r="N1204" s="219"/>
      <c r="O1204" s="219"/>
      <c r="P1204" s="219"/>
      <c r="Q1204" s="219"/>
      <c r="R1204" s="219"/>
      <c r="S1204" s="219"/>
      <c r="T1204" s="219"/>
      <c r="U1204" s="219"/>
      <c r="V1204" s="219"/>
      <c r="AB1204" s="219"/>
      <c r="AC1204" s="219"/>
      <c r="AD1204" s="219"/>
      <c r="AE1204" s="219"/>
      <c r="AF1204" s="219"/>
      <c r="AG1204" s="219"/>
      <c r="AH1204" s="219"/>
      <c r="AI1204" s="219"/>
      <c r="AJ1204" s="219"/>
      <c r="AK1204" s="219"/>
      <c r="AL1204" s="219"/>
    </row>
    <row r="1205" spans="12:38">
      <c r="L1205" s="219"/>
      <c r="M1205" s="219"/>
      <c r="N1205" s="219"/>
      <c r="O1205" s="219"/>
      <c r="P1205" s="219"/>
      <c r="Q1205" s="219"/>
      <c r="R1205" s="219"/>
      <c r="S1205" s="219"/>
      <c r="T1205" s="219"/>
      <c r="U1205" s="219"/>
      <c r="V1205" s="219"/>
      <c r="AB1205" s="219"/>
      <c r="AC1205" s="219"/>
      <c r="AD1205" s="219"/>
      <c r="AE1205" s="219"/>
      <c r="AF1205" s="219"/>
      <c r="AG1205" s="219"/>
      <c r="AH1205" s="219"/>
      <c r="AI1205" s="219"/>
      <c r="AJ1205" s="219"/>
      <c r="AK1205" s="219"/>
      <c r="AL1205" s="219"/>
    </row>
    <row r="1206" spans="12:38">
      <c r="L1206" s="219"/>
      <c r="M1206" s="219"/>
      <c r="N1206" s="219"/>
      <c r="O1206" s="219"/>
      <c r="P1206" s="219"/>
      <c r="Q1206" s="219"/>
      <c r="R1206" s="219"/>
      <c r="S1206" s="219"/>
      <c r="T1206" s="219"/>
      <c r="U1206" s="219"/>
      <c r="V1206" s="219"/>
      <c r="AB1206" s="219"/>
      <c r="AC1206" s="219"/>
      <c r="AD1206" s="219"/>
      <c r="AE1206" s="219"/>
      <c r="AF1206" s="219"/>
      <c r="AG1206" s="219"/>
      <c r="AH1206" s="219"/>
      <c r="AI1206" s="219"/>
      <c r="AJ1206" s="219"/>
      <c r="AK1206" s="219"/>
      <c r="AL1206" s="219"/>
    </row>
    <row r="1207" spans="12:38">
      <c r="L1207" s="219"/>
      <c r="M1207" s="219"/>
      <c r="N1207" s="219"/>
      <c r="O1207" s="219"/>
      <c r="P1207" s="219"/>
      <c r="Q1207" s="219"/>
      <c r="R1207" s="219"/>
      <c r="S1207" s="219"/>
      <c r="T1207" s="219"/>
      <c r="U1207" s="219"/>
      <c r="V1207" s="219"/>
      <c r="AB1207" s="219"/>
      <c r="AC1207" s="219"/>
      <c r="AD1207" s="219"/>
      <c r="AE1207" s="219"/>
      <c r="AF1207" s="219"/>
      <c r="AG1207" s="219"/>
      <c r="AH1207" s="219"/>
      <c r="AI1207" s="219"/>
      <c r="AJ1207" s="219"/>
      <c r="AK1207" s="219"/>
      <c r="AL1207" s="219"/>
    </row>
    <row r="1208" spans="12:38">
      <c r="L1208" s="219"/>
      <c r="M1208" s="219"/>
      <c r="N1208" s="219"/>
      <c r="O1208" s="219"/>
      <c r="P1208" s="219"/>
      <c r="Q1208" s="219"/>
      <c r="R1208" s="219"/>
      <c r="S1208" s="219"/>
      <c r="T1208" s="219"/>
      <c r="U1208" s="219"/>
      <c r="V1208" s="219"/>
      <c r="AB1208" s="219"/>
      <c r="AC1208" s="219"/>
      <c r="AD1208" s="219"/>
      <c r="AE1208" s="219"/>
      <c r="AF1208" s="219"/>
      <c r="AG1208" s="219"/>
      <c r="AH1208" s="219"/>
      <c r="AI1208" s="219"/>
      <c r="AJ1208" s="219"/>
      <c r="AK1208" s="219"/>
      <c r="AL1208" s="219"/>
    </row>
    <row r="1209" spans="12:38">
      <c r="L1209" s="219"/>
      <c r="M1209" s="219"/>
      <c r="N1209" s="219"/>
      <c r="O1209" s="219"/>
      <c r="P1209" s="219"/>
      <c r="Q1209" s="219"/>
      <c r="R1209" s="219"/>
      <c r="S1209" s="219"/>
      <c r="T1209" s="219"/>
      <c r="U1209" s="219"/>
      <c r="V1209" s="219"/>
      <c r="AB1209" s="219"/>
      <c r="AC1209" s="219"/>
      <c r="AD1209" s="219"/>
      <c r="AE1209" s="219"/>
      <c r="AF1209" s="219"/>
      <c r="AG1209" s="219"/>
      <c r="AH1209" s="219"/>
      <c r="AI1209" s="219"/>
      <c r="AJ1209" s="219"/>
      <c r="AK1209" s="219"/>
      <c r="AL1209" s="219"/>
    </row>
    <row r="1210" spans="12:38">
      <c r="L1210" s="219"/>
      <c r="M1210" s="219"/>
      <c r="N1210" s="219"/>
      <c r="O1210" s="219"/>
      <c r="P1210" s="219"/>
      <c r="Q1210" s="219"/>
      <c r="R1210" s="219"/>
      <c r="S1210" s="219"/>
      <c r="T1210" s="219"/>
      <c r="U1210" s="219"/>
      <c r="V1210" s="219"/>
      <c r="AB1210" s="219"/>
      <c r="AC1210" s="219"/>
      <c r="AD1210" s="219"/>
      <c r="AE1210" s="219"/>
      <c r="AF1210" s="219"/>
      <c r="AG1210" s="219"/>
      <c r="AH1210" s="219"/>
      <c r="AI1210" s="219"/>
      <c r="AJ1210" s="219"/>
      <c r="AK1210" s="219"/>
      <c r="AL1210" s="219"/>
    </row>
    <row r="1211" spans="12:38">
      <c r="L1211" s="219"/>
      <c r="M1211" s="219"/>
      <c r="N1211" s="219"/>
      <c r="O1211" s="219"/>
      <c r="P1211" s="219"/>
      <c r="Q1211" s="219"/>
      <c r="R1211" s="219"/>
      <c r="S1211" s="219"/>
      <c r="T1211" s="219"/>
      <c r="U1211" s="219"/>
      <c r="V1211" s="219"/>
      <c r="AB1211" s="219"/>
      <c r="AC1211" s="219"/>
      <c r="AD1211" s="219"/>
      <c r="AE1211" s="219"/>
      <c r="AF1211" s="219"/>
      <c r="AG1211" s="219"/>
      <c r="AH1211" s="219"/>
      <c r="AI1211" s="219"/>
      <c r="AJ1211" s="219"/>
      <c r="AK1211" s="219"/>
      <c r="AL1211" s="219"/>
    </row>
    <row r="1212" spans="12:38">
      <c r="L1212" s="219"/>
      <c r="M1212" s="219"/>
      <c r="N1212" s="219"/>
      <c r="O1212" s="219"/>
      <c r="P1212" s="219"/>
      <c r="Q1212" s="219"/>
      <c r="R1212" s="219"/>
      <c r="S1212" s="219"/>
      <c r="T1212" s="219"/>
      <c r="U1212" s="219"/>
      <c r="V1212" s="219"/>
      <c r="AB1212" s="219"/>
      <c r="AC1212" s="219"/>
      <c r="AD1212" s="219"/>
      <c r="AE1212" s="219"/>
      <c r="AF1212" s="219"/>
      <c r="AG1212" s="219"/>
      <c r="AH1212" s="219"/>
      <c r="AI1212" s="219"/>
      <c r="AJ1212" s="219"/>
      <c r="AK1212" s="219"/>
      <c r="AL1212" s="219"/>
    </row>
    <row r="1213" spans="12:38">
      <c r="L1213" s="219"/>
      <c r="M1213" s="219"/>
      <c r="N1213" s="219"/>
      <c r="O1213" s="219"/>
      <c r="P1213" s="219"/>
      <c r="Q1213" s="219"/>
      <c r="R1213" s="219"/>
      <c r="S1213" s="219"/>
      <c r="T1213" s="219"/>
      <c r="U1213" s="219"/>
      <c r="V1213" s="219"/>
      <c r="AB1213" s="219"/>
      <c r="AC1213" s="219"/>
      <c r="AD1213" s="219"/>
      <c r="AE1213" s="219"/>
      <c r="AF1213" s="219"/>
      <c r="AG1213" s="219"/>
      <c r="AH1213" s="219"/>
      <c r="AI1213" s="219"/>
      <c r="AJ1213" s="219"/>
      <c r="AK1213" s="219"/>
      <c r="AL1213" s="219"/>
    </row>
    <row r="1214" spans="12:38">
      <c r="L1214" s="219"/>
      <c r="M1214" s="219"/>
      <c r="N1214" s="219"/>
      <c r="O1214" s="219"/>
      <c r="P1214" s="219"/>
      <c r="Q1214" s="219"/>
      <c r="R1214" s="219"/>
      <c r="S1214" s="219"/>
      <c r="T1214" s="219"/>
      <c r="U1214" s="219"/>
      <c r="V1214" s="219"/>
      <c r="AB1214" s="219"/>
      <c r="AC1214" s="219"/>
      <c r="AD1214" s="219"/>
      <c r="AE1214" s="219"/>
      <c r="AF1214" s="219"/>
      <c r="AG1214" s="219"/>
      <c r="AH1214" s="219"/>
      <c r="AI1214" s="219"/>
      <c r="AJ1214" s="219"/>
      <c r="AK1214" s="219"/>
      <c r="AL1214" s="219"/>
    </row>
    <row r="1215" spans="12:38">
      <c r="L1215" s="219"/>
      <c r="M1215" s="219"/>
      <c r="N1215" s="219"/>
      <c r="O1215" s="219"/>
      <c r="P1215" s="219"/>
      <c r="Q1215" s="219"/>
      <c r="R1215" s="219"/>
      <c r="S1215" s="219"/>
      <c r="T1215" s="219"/>
      <c r="U1215" s="219"/>
      <c r="V1215" s="219"/>
      <c r="AB1215" s="219"/>
      <c r="AC1215" s="219"/>
      <c r="AD1215" s="219"/>
      <c r="AE1215" s="219"/>
      <c r="AF1215" s="219"/>
      <c r="AG1215" s="219"/>
      <c r="AH1215" s="219"/>
      <c r="AI1215" s="219"/>
      <c r="AJ1215" s="219"/>
      <c r="AK1215" s="219"/>
      <c r="AL1215" s="219"/>
    </row>
    <row r="1216" spans="12:38">
      <c r="L1216" s="219"/>
      <c r="M1216" s="219"/>
      <c r="N1216" s="219"/>
      <c r="O1216" s="219"/>
      <c r="P1216" s="219"/>
      <c r="Q1216" s="219"/>
      <c r="R1216" s="219"/>
      <c r="S1216" s="219"/>
      <c r="T1216" s="219"/>
      <c r="U1216" s="219"/>
      <c r="V1216" s="219"/>
      <c r="AB1216" s="219"/>
      <c r="AC1216" s="219"/>
      <c r="AD1216" s="219"/>
      <c r="AE1216" s="219"/>
      <c r="AF1216" s="219"/>
      <c r="AG1216" s="219"/>
      <c r="AH1216" s="219"/>
      <c r="AI1216" s="219"/>
      <c r="AJ1216" s="219"/>
      <c r="AK1216" s="219"/>
      <c r="AL1216" s="219"/>
    </row>
    <row r="1217" spans="12:38">
      <c r="L1217" s="219"/>
      <c r="M1217" s="219"/>
      <c r="N1217" s="219"/>
      <c r="O1217" s="219"/>
      <c r="P1217" s="219"/>
      <c r="Q1217" s="219"/>
      <c r="R1217" s="219"/>
      <c r="S1217" s="219"/>
      <c r="T1217" s="219"/>
      <c r="U1217" s="219"/>
      <c r="V1217" s="219"/>
      <c r="AB1217" s="219"/>
      <c r="AC1217" s="219"/>
      <c r="AD1217" s="219"/>
      <c r="AE1217" s="219"/>
      <c r="AF1217" s="219"/>
      <c r="AG1217" s="219"/>
      <c r="AH1217" s="219"/>
      <c r="AI1217" s="219"/>
      <c r="AJ1217" s="219"/>
      <c r="AK1217" s="219"/>
      <c r="AL1217" s="219"/>
    </row>
    <row r="1218" spans="12:38">
      <c r="L1218" s="219"/>
      <c r="M1218" s="219"/>
      <c r="N1218" s="219"/>
      <c r="O1218" s="219"/>
      <c r="P1218" s="219"/>
      <c r="Q1218" s="219"/>
      <c r="R1218" s="219"/>
      <c r="S1218" s="219"/>
      <c r="T1218" s="219"/>
      <c r="U1218" s="219"/>
      <c r="V1218" s="219"/>
      <c r="AB1218" s="219"/>
      <c r="AC1218" s="219"/>
      <c r="AD1218" s="219"/>
      <c r="AE1218" s="219"/>
      <c r="AF1218" s="219"/>
      <c r="AG1218" s="219"/>
      <c r="AH1218" s="219"/>
      <c r="AI1218" s="219"/>
      <c r="AJ1218" s="219"/>
      <c r="AK1218" s="219"/>
      <c r="AL1218" s="219"/>
    </row>
    <row r="1219" spans="12:38">
      <c r="L1219" s="219"/>
      <c r="M1219" s="219"/>
      <c r="N1219" s="219"/>
      <c r="O1219" s="219"/>
      <c r="P1219" s="219"/>
      <c r="Q1219" s="219"/>
      <c r="R1219" s="219"/>
      <c r="S1219" s="219"/>
      <c r="T1219" s="219"/>
      <c r="U1219" s="219"/>
      <c r="V1219" s="219"/>
      <c r="AB1219" s="219"/>
      <c r="AC1219" s="219"/>
      <c r="AD1219" s="219"/>
      <c r="AE1219" s="219"/>
      <c r="AF1219" s="219"/>
      <c r="AG1219" s="219"/>
      <c r="AH1219" s="219"/>
      <c r="AI1219" s="219"/>
      <c r="AJ1219" s="219"/>
      <c r="AK1219" s="219"/>
      <c r="AL1219" s="219"/>
    </row>
    <row r="1220" spans="12:38">
      <c r="L1220" s="219"/>
      <c r="M1220" s="219"/>
      <c r="N1220" s="219"/>
      <c r="O1220" s="219"/>
      <c r="P1220" s="219"/>
      <c r="Q1220" s="219"/>
      <c r="R1220" s="219"/>
      <c r="S1220" s="219"/>
      <c r="T1220" s="219"/>
      <c r="U1220" s="219"/>
      <c r="V1220" s="219"/>
      <c r="AB1220" s="219"/>
      <c r="AC1220" s="219"/>
      <c r="AD1220" s="219"/>
      <c r="AE1220" s="219"/>
      <c r="AF1220" s="219"/>
      <c r="AG1220" s="219"/>
      <c r="AH1220" s="219"/>
      <c r="AI1220" s="219"/>
      <c r="AJ1220" s="219"/>
      <c r="AK1220" s="219"/>
      <c r="AL1220" s="219"/>
    </row>
    <row r="1221" spans="12:38">
      <c r="L1221" s="219"/>
      <c r="M1221" s="219"/>
      <c r="N1221" s="219"/>
      <c r="O1221" s="219"/>
      <c r="P1221" s="219"/>
      <c r="Q1221" s="219"/>
      <c r="R1221" s="219"/>
      <c r="S1221" s="219"/>
      <c r="T1221" s="219"/>
      <c r="U1221" s="219"/>
      <c r="V1221" s="219"/>
      <c r="AB1221" s="219"/>
      <c r="AC1221" s="219"/>
      <c r="AD1221" s="219"/>
      <c r="AE1221" s="219"/>
      <c r="AF1221" s="219"/>
      <c r="AG1221" s="219"/>
      <c r="AH1221" s="219"/>
      <c r="AI1221" s="219"/>
      <c r="AJ1221" s="219"/>
      <c r="AK1221" s="219"/>
      <c r="AL1221" s="219"/>
    </row>
    <row r="1222" spans="12:38">
      <c r="L1222" s="219"/>
      <c r="M1222" s="219"/>
      <c r="N1222" s="219"/>
      <c r="O1222" s="219"/>
      <c r="P1222" s="219"/>
      <c r="Q1222" s="219"/>
      <c r="R1222" s="219"/>
      <c r="S1222" s="219"/>
      <c r="T1222" s="219"/>
      <c r="U1222" s="219"/>
      <c r="V1222" s="219"/>
      <c r="AB1222" s="219"/>
      <c r="AC1222" s="219"/>
      <c r="AD1222" s="219"/>
      <c r="AE1222" s="219"/>
      <c r="AF1222" s="219"/>
      <c r="AG1222" s="219"/>
      <c r="AH1222" s="219"/>
      <c r="AI1222" s="219"/>
      <c r="AJ1222" s="219"/>
      <c r="AK1222" s="219"/>
      <c r="AL1222" s="219"/>
    </row>
    <row r="1223" spans="12:38">
      <c r="L1223" s="219"/>
      <c r="M1223" s="219"/>
      <c r="N1223" s="219"/>
      <c r="O1223" s="219"/>
      <c r="P1223" s="219"/>
      <c r="Q1223" s="219"/>
      <c r="R1223" s="219"/>
      <c r="S1223" s="219"/>
      <c r="T1223" s="219"/>
      <c r="U1223" s="219"/>
      <c r="V1223" s="219"/>
      <c r="AB1223" s="219"/>
      <c r="AC1223" s="219"/>
      <c r="AD1223" s="219"/>
      <c r="AE1223" s="219"/>
      <c r="AF1223" s="219"/>
      <c r="AG1223" s="219"/>
      <c r="AH1223" s="219"/>
      <c r="AI1223" s="219"/>
      <c r="AJ1223" s="219"/>
      <c r="AK1223" s="219"/>
      <c r="AL1223" s="219"/>
    </row>
    <row r="1224" spans="12:38">
      <c r="L1224" s="219"/>
      <c r="M1224" s="219"/>
      <c r="N1224" s="219"/>
      <c r="O1224" s="219"/>
      <c r="P1224" s="219"/>
      <c r="Q1224" s="219"/>
      <c r="R1224" s="219"/>
      <c r="S1224" s="219"/>
      <c r="T1224" s="219"/>
      <c r="U1224" s="219"/>
      <c r="V1224" s="219"/>
      <c r="AB1224" s="219"/>
      <c r="AC1224" s="219"/>
      <c r="AD1224" s="219"/>
      <c r="AE1224" s="219"/>
      <c r="AF1224" s="219"/>
      <c r="AG1224" s="219"/>
      <c r="AH1224" s="219"/>
      <c r="AI1224" s="219"/>
      <c r="AJ1224" s="219"/>
      <c r="AK1224" s="219"/>
      <c r="AL1224" s="219"/>
    </row>
    <row r="1225" spans="12:38">
      <c r="L1225" s="219"/>
      <c r="M1225" s="219"/>
      <c r="N1225" s="219"/>
      <c r="O1225" s="219"/>
      <c r="P1225" s="219"/>
      <c r="Q1225" s="219"/>
      <c r="R1225" s="219"/>
      <c r="S1225" s="219"/>
      <c r="T1225" s="219"/>
      <c r="U1225" s="219"/>
      <c r="V1225" s="219"/>
      <c r="AB1225" s="219"/>
      <c r="AC1225" s="219"/>
      <c r="AD1225" s="219"/>
      <c r="AE1225" s="219"/>
      <c r="AF1225" s="219"/>
      <c r="AG1225" s="219"/>
      <c r="AH1225" s="219"/>
      <c r="AI1225" s="219"/>
      <c r="AJ1225" s="219"/>
      <c r="AK1225" s="219"/>
      <c r="AL1225" s="219"/>
    </row>
    <row r="1226" spans="12:38">
      <c r="L1226" s="219"/>
      <c r="M1226" s="219"/>
      <c r="N1226" s="219"/>
      <c r="O1226" s="219"/>
      <c r="P1226" s="219"/>
      <c r="Q1226" s="219"/>
      <c r="R1226" s="219"/>
      <c r="S1226" s="219"/>
      <c r="T1226" s="219"/>
      <c r="U1226" s="219"/>
      <c r="V1226" s="219"/>
      <c r="AB1226" s="219"/>
      <c r="AC1226" s="219"/>
      <c r="AD1226" s="219"/>
      <c r="AE1226" s="219"/>
      <c r="AF1226" s="219"/>
      <c r="AG1226" s="219"/>
      <c r="AH1226" s="219"/>
      <c r="AI1226" s="219"/>
      <c r="AJ1226" s="219"/>
      <c r="AK1226" s="219"/>
      <c r="AL1226" s="219"/>
    </row>
    <row r="1227" spans="12:38">
      <c r="L1227" s="219"/>
      <c r="M1227" s="219"/>
      <c r="N1227" s="219"/>
      <c r="O1227" s="219"/>
      <c r="P1227" s="219"/>
      <c r="Q1227" s="219"/>
      <c r="R1227" s="219"/>
      <c r="S1227" s="219"/>
      <c r="T1227" s="219"/>
      <c r="U1227" s="219"/>
      <c r="V1227" s="219"/>
      <c r="AB1227" s="219"/>
      <c r="AC1227" s="219"/>
      <c r="AD1227" s="219"/>
      <c r="AE1227" s="219"/>
      <c r="AF1227" s="219"/>
      <c r="AG1227" s="219"/>
      <c r="AH1227" s="219"/>
      <c r="AI1227" s="219"/>
      <c r="AJ1227" s="219"/>
      <c r="AK1227" s="219"/>
      <c r="AL1227" s="219"/>
    </row>
    <row r="1228" spans="12:38">
      <c r="L1228" s="219"/>
      <c r="M1228" s="219"/>
      <c r="N1228" s="219"/>
      <c r="O1228" s="219"/>
      <c r="P1228" s="219"/>
      <c r="Q1228" s="219"/>
      <c r="R1228" s="219"/>
      <c r="S1228" s="219"/>
      <c r="T1228" s="219"/>
      <c r="U1228" s="219"/>
      <c r="V1228" s="219"/>
      <c r="AB1228" s="219"/>
      <c r="AC1228" s="219"/>
      <c r="AD1228" s="219"/>
      <c r="AE1228" s="219"/>
      <c r="AF1228" s="219"/>
      <c r="AG1228" s="219"/>
      <c r="AH1228" s="219"/>
      <c r="AI1228" s="219"/>
      <c r="AJ1228" s="219"/>
      <c r="AK1228" s="219"/>
      <c r="AL1228" s="219"/>
    </row>
    <row r="1229" spans="12:38">
      <c r="L1229" s="219"/>
      <c r="M1229" s="219"/>
      <c r="N1229" s="219"/>
      <c r="O1229" s="219"/>
      <c r="P1229" s="219"/>
      <c r="Q1229" s="219"/>
      <c r="R1229" s="219"/>
      <c r="S1229" s="219"/>
      <c r="T1229" s="219"/>
      <c r="U1229" s="219"/>
      <c r="V1229" s="219"/>
      <c r="AB1229" s="219"/>
      <c r="AC1229" s="219"/>
      <c r="AD1229" s="219"/>
      <c r="AE1229" s="219"/>
      <c r="AF1229" s="219"/>
      <c r="AG1229" s="219"/>
      <c r="AH1229" s="219"/>
      <c r="AI1229" s="219"/>
      <c r="AJ1229" s="219"/>
      <c r="AK1229" s="219"/>
      <c r="AL1229" s="219"/>
    </row>
    <row r="1230" spans="12:38">
      <c r="L1230" s="219"/>
      <c r="M1230" s="219"/>
      <c r="N1230" s="219"/>
      <c r="O1230" s="219"/>
      <c r="P1230" s="219"/>
      <c r="Q1230" s="219"/>
      <c r="R1230" s="219"/>
      <c r="S1230" s="219"/>
      <c r="T1230" s="219"/>
      <c r="U1230" s="219"/>
      <c r="V1230" s="219"/>
      <c r="AB1230" s="219"/>
      <c r="AC1230" s="219"/>
      <c r="AD1230" s="219"/>
      <c r="AE1230" s="219"/>
      <c r="AF1230" s="219"/>
      <c r="AG1230" s="219"/>
      <c r="AH1230" s="219"/>
      <c r="AI1230" s="219"/>
      <c r="AJ1230" s="219"/>
      <c r="AK1230" s="219"/>
      <c r="AL1230" s="219"/>
    </row>
    <row r="1231" spans="12:38">
      <c r="L1231" s="219"/>
      <c r="M1231" s="219"/>
      <c r="N1231" s="219"/>
      <c r="O1231" s="219"/>
      <c r="P1231" s="219"/>
      <c r="Q1231" s="219"/>
      <c r="R1231" s="219"/>
      <c r="S1231" s="219"/>
      <c r="T1231" s="219"/>
      <c r="U1231" s="219"/>
      <c r="V1231" s="219"/>
      <c r="AB1231" s="219"/>
      <c r="AC1231" s="219"/>
      <c r="AD1231" s="219"/>
      <c r="AE1231" s="219"/>
      <c r="AF1231" s="219"/>
      <c r="AG1231" s="219"/>
      <c r="AH1231" s="219"/>
      <c r="AI1231" s="219"/>
      <c r="AJ1231" s="219"/>
      <c r="AK1231" s="219"/>
      <c r="AL1231" s="219"/>
    </row>
    <row r="1232" spans="12:38">
      <c r="L1232" s="219"/>
      <c r="M1232" s="219"/>
      <c r="N1232" s="219"/>
      <c r="O1232" s="219"/>
      <c r="P1232" s="219"/>
      <c r="Q1232" s="219"/>
      <c r="R1232" s="219"/>
      <c r="S1232" s="219"/>
      <c r="T1232" s="219"/>
      <c r="U1232" s="219"/>
      <c r="V1232" s="219"/>
      <c r="AB1232" s="219"/>
      <c r="AC1232" s="219"/>
      <c r="AD1232" s="219"/>
      <c r="AE1232" s="219"/>
      <c r="AF1232" s="219"/>
      <c r="AG1232" s="219"/>
      <c r="AH1232" s="219"/>
      <c r="AI1232" s="219"/>
      <c r="AJ1232" s="219"/>
      <c r="AK1232" s="219"/>
      <c r="AL1232" s="219"/>
    </row>
    <row r="1233" spans="12:38">
      <c r="L1233" s="219"/>
      <c r="M1233" s="219"/>
      <c r="N1233" s="219"/>
      <c r="O1233" s="219"/>
      <c r="P1233" s="219"/>
      <c r="Q1233" s="219"/>
      <c r="R1233" s="219"/>
      <c r="S1233" s="219"/>
      <c r="T1233" s="219"/>
      <c r="U1233" s="219"/>
      <c r="V1233" s="219"/>
      <c r="AB1233" s="219"/>
      <c r="AC1233" s="219"/>
      <c r="AD1233" s="219"/>
      <c r="AE1233" s="219"/>
      <c r="AF1233" s="219"/>
      <c r="AG1233" s="219"/>
      <c r="AH1233" s="219"/>
      <c r="AI1233" s="219"/>
      <c r="AJ1233" s="219"/>
      <c r="AK1233" s="219"/>
      <c r="AL1233" s="219"/>
    </row>
    <row r="1234" spans="12:38">
      <c r="L1234" s="219"/>
      <c r="M1234" s="219"/>
      <c r="N1234" s="219"/>
      <c r="O1234" s="219"/>
      <c r="P1234" s="219"/>
      <c r="Q1234" s="219"/>
      <c r="R1234" s="219"/>
      <c r="S1234" s="219"/>
      <c r="T1234" s="219"/>
      <c r="U1234" s="219"/>
      <c r="V1234" s="219"/>
      <c r="AB1234" s="219"/>
      <c r="AC1234" s="219"/>
      <c r="AD1234" s="219"/>
      <c r="AE1234" s="219"/>
      <c r="AF1234" s="219"/>
      <c r="AG1234" s="219"/>
      <c r="AH1234" s="219"/>
      <c r="AI1234" s="219"/>
      <c r="AJ1234" s="219"/>
      <c r="AK1234" s="219"/>
      <c r="AL1234" s="219"/>
    </row>
    <row r="1235" spans="12:38">
      <c r="L1235" s="219"/>
      <c r="M1235" s="219"/>
      <c r="N1235" s="219"/>
      <c r="O1235" s="219"/>
      <c r="P1235" s="219"/>
      <c r="Q1235" s="219"/>
      <c r="R1235" s="219"/>
      <c r="S1235" s="219"/>
      <c r="T1235" s="219"/>
      <c r="U1235" s="219"/>
      <c r="V1235" s="219"/>
      <c r="AB1235" s="219"/>
      <c r="AC1235" s="219"/>
      <c r="AD1235" s="219"/>
      <c r="AE1235" s="219"/>
      <c r="AF1235" s="219"/>
      <c r="AG1235" s="219"/>
      <c r="AH1235" s="219"/>
      <c r="AI1235" s="219"/>
      <c r="AJ1235" s="219"/>
      <c r="AK1235" s="219"/>
      <c r="AL1235" s="219"/>
    </row>
    <row r="1236" spans="12:38">
      <c r="L1236" s="219"/>
      <c r="M1236" s="219"/>
      <c r="N1236" s="219"/>
      <c r="O1236" s="219"/>
      <c r="P1236" s="219"/>
      <c r="Q1236" s="219"/>
      <c r="R1236" s="219"/>
      <c r="S1236" s="219"/>
      <c r="T1236" s="219"/>
      <c r="U1236" s="219"/>
      <c r="V1236" s="219"/>
      <c r="AB1236" s="219"/>
      <c r="AC1236" s="219"/>
      <c r="AD1236" s="219"/>
      <c r="AE1236" s="219"/>
      <c r="AF1236" s="219"/>
      <c r="AG1236" s="219"/>
      <c r="AH1236" s="219"/>
      <c r="AI1236" s="219"/>
      <c r="AJ1236" s="219"/>
      <c r="AK1236" s="219"/>
      <c r="AL1236" s="219"/>
    </row>
    <row r="1237" spans="12:38">
      <c r="L1237" s="219"/>
      <c r="M1237" s="219"/>
      <c r="N1237" s="219"/>
      <c r="O1237" s="219"/>
      <c r="P1237" s="219"/>
      <c r="Q1237" s="219"/>
      <c r="R1237" s="219"/>
      <c r="S1237" s="219"/>
      <c r="T1237" s="219"/>
      <c r="U1237" s="219"/>
      <c r="V1237" s="219"/>
      <c r="AB1237" s="219"/>
      <c r="AC1237" s="219"/>
      <c r="AD1237" s="219"/>
      <c r="AE1237" s="219"/>
      <c r="AF1237" s="219"/>
      <c r="AG1237" s="219"/>
      <c r="AH1237" s="219"/>
      <c r="AI1237" s="219"/>
      <c r="AJ1237" s="219"/>
      <c r="AK1237" s="219"/>
      <c r="AL1237" s="219"/>
    </row>
    <row r="1238" spans="12:38">
      <c r="L1238" s="219"/>
      <c r="M1238" s="219"/>
      <c r="N1238" s="219"/>
      <c r="O1238" s="219"/>
      <c r="P1238" s="219"/>
      <c r="Q1238" s="219"/>
      <c r="R1238" s="219"/>
      <c r="S1238" s="219"/>
      <c r="T1238" s="219"/>
      <c r="U1238" s="219"/>
      <c r="V1238" s="219"/>
      <c r="AB1238" s="219"/>
      <c r="AC1238" s="219"/>
      <c r="AD1238" s="219"/>
      <c r="AE1238" s="219"/>
      <c r="AF1238" s="219"/>
      <c r="AG1238" s="219"/>
      <c r="AH1238" s="219"/>
      <c r="AI1238" s="219"/>
      <c r="AJ1238" s="219"/>
      <c r="AK1238" s="219"/>
      <c r="AL1238" s="219"/>
    </row>
    <row r="1239" spans="12:38">
      <c r="L1239" s="219"/>
      <c r="M1239" s="219"/>
      <c r="N1239" s="219"/>
      <c r="O1239" s="219"/>
      <c r="P1239" s="219"/>
      <c r="Q1239" s="219"/>
      <c r="R1239" s="219"/>
      <c r="S1239" s="219"/>
      <c r="T1239" s="219"/>
      <c r="U1239" s="219"/>
      <c r="V1239" s="219"/>
      <c r="AB1239" s="219"/>
      <c r="AC1239" s="219"/>
      <c r="AD1239" s="219"/>
      <c r="AE1239" s="219"/>
      <c r="AF1239" s="219"/>
      <c r="AG1239" s="219"/>
      <c r="AH1239" s="219"/>
      <c r="AI1239" s="219"/>
      <c r="AJ1239" s="219"/>
      <c r="AK1239" s="219"/>
      <c r="AL1239" s="219"/>
    </row>
    <row r="1240" spans="12:38">
      <c r="L1240" s="219"/>
      <c r="M1240" s="219"/>
      <c r="N1240" s="219"/>
      <c r="O1240" s="219"/>
      <c r="P1240" s="219"/>
      <c r="Q1240" s="219"/>
      <c r="R1240" s="219"/>
      <c r="S1240" s="219"/>
      <c r="T1240" s="219"/>
      <c r="U1240" s="219"/>
      <c r="V1240" s="219"/>
      <c r="AB1240" s="219"/>
      <c r="AC1240" s="219"/>
      <c r="AD1240" s="219"/>
      <c r="AE1240" s="219"/>
      <c r="AF1240" s="219"/>
      <c r="AG1240" s="219"/>
      <c r="AH1240" s="219"/>
      <c r="AI1240" s="219"/>
      <c r="AJ1240" s="219"/>
      <c r="AK1240" s="219"/>
      <c r="AL1240" s="219"/>
    </row>
    <row r="1241" spans="12:38">
      <c r="L1241" s="219"/>
      <c r="M1241" s="219"/>
      <c r="N1241" s="219"/>
      <c r="O1241" s="219"/>
      <c r="P1241" s="219"/>
      <c r="Q1241" s="219"/>
      <c r="R1241" s="219"/>
      <c r="S1241" s="219"/>
      <c r="T1241" s="219"/>
      <c r="U1241" s="219"/>
      <c r="V1241" s="219"/>
      <c r="AB1241" s="219"/>
      <c r="AC1241" s="219"/>
      <c r="AD1241" s="219"/>
      <c r="AE1241" s="219"/>
      <c r="AF1241" s="219"/>
      <c r="AG1241" s="219"/>
      <c r="AH1241" s="219"/>
      <c r="AI1241" s="219"/>
      <c r="AJ1241" s="219"/>
      <c r="AK1241" s="219"/>
      <c r="AL1241" s="219"/>
    </row>
    <row r="1242" spans="12:38">
      <c r="L1242" s="219"/>
      <c r="M1242" s="219"/>
      <c r="N1242" s="219"/>
      <c r="O1242" s="219"/>
      <c r="P1242" s="219"/>
      <c r="Q1242" s="219"/>
      <c r="R1242" s="219"/>
      <c r="S1242" s="219"/>
      <c r="T1242" s="219"/>
      <c r="U1242" s="219"/>
      <c r="V1242" s="219"/>
      <c r="AB1242" s="219"/>
      <c r="AC1242" s="219"/>
      <c r="AD1242" s="219"/>
      <c r="AE1242" s="219"/>
      <c r="AF1242" s="219"/>
      <c r="AG1242" s="219"/>
      <c r="AH1242" s="219"/>
      <c r="AI1242" s="219"/>
      <c r="AJ1242" s="219"/>
      <c r="AK1242" s="219"/>
      <c r="AL1242" s="219"/>
    </row>
    <row r="1243" spans="12:38">
      <c r="L1243" s="219"/>
      <c r="M1243" s="219"/>
      <c r="N1243" s="219"/>
      <c r="O1243" s="219"/>
      <c r="P1243" s="219"/>
      <c r="Q1243" s="219"/>
      <c r="R1243" s="219"/>
      <c r="S1243" s="219"/>
      <c r="T1243" s="219"/>
      <c r="U1243" s="219"/>
      <c r="V1243" s="219"/>
      <c r="AB1243" s="219"/>
      <c r="AC1243" s="219"/>
      <c r="AD1243" s="219"/>
      <c r="AE1243" s="219"/>
      <c r="AF1243" s="219"/>
      <c r="AG1243" s="219"/>
      <c r="AH1243" s="219"/>
      <c r="AI1243" s="219"/>
      <c r="AJ1243" s="219"/>
      <c r="AK1243" s="219"/>
      <c r="AL1243" s="219"/>
    </row>
    <row r="1244" spans="12:38">
      <c r="L1244" s="219"/>
      <c r="M1244" s="219"/>
      <c r="N1244" s="219"/>
      <c r="O1244" s="219"/>
      <c r="P1244" s="219"/>
      <c r="Q1244" s="219"/>
      <c r="R1244" s="219"/>
      <c r="S1244" s="219"/>
      <c r="T1244" s="219"/>
      <c r="U1244" s="219"/>
      <c r="V1244" s="219"/>
      <c r="AB1244" s="219"/>
      <c r="AC1244" s="219"/>
      <c r="AD1244" s="219"/>
      <c r="AE1244" s="219"/>
      <c r="AF1244" s="219"/>
      <c r="AG1244" s="219"/>
      <c r="AH1244" s="219"/>
      <c r="AI1244" s="219"/>
      <c r="AJ1244" s="219"/>
      <c r="AK1244" s="219"/>
      <c r="AL1244" s="219"/>
    </row>
    <row r="1245" spans="12:38">
      <c r="L1245" s="219"/>
      <c r="M1245" s="219"/>
      <c r="N1245" s="219"/>
      <c r="O1245" s="219"/>
      <c r="P1245" s="219"/>
      <c r="Q1245" s="219"/>
      <c r="R1245" s="219"/>
      <c r="S1245" s="219"/>
      <c r="T1245" s="219"/>
      <c r="U1245" s="219"/>
      <c r="V1245" s="219"/>
      <c r="AB1245" s="219"/>
      <c r="AC1245" s="219"/>
      <c r="AD1245" s="219"/>
      <c r="AE1245" s="219"/>
      <c r="AF1245" s="219"/>
      <c r="AG1245" s="219"/>
      <c r="AH1245" s="219"/>
      <c r="AI1245" s="219"/>
      <c r="AJ1245" s="219"/>
      <c r="AK1245" s="219"/>
      <c r="AL1245" s="219"/>
    </row>
    <row r="1246" spans="12:38">
      <c r="L1246" s="219"/>
      <c r="M1246" s="219"/>
      <c r="N1246" s="219"/>
      <c r="O1246" s="219"/>
      <c r="P1246" s="219"/>
      <c r="Q1246" s="219"/>
      <c r="R1246" s="219"/>
      <c r="S1246" s="219"/>
      <c r="T1246" s="219"/>
      <c r="U1246" s="219"/>
      <c r="V1246" s="219"/>
      <c r="AB1246" s="219"/>
      <c r="AC1246" s="219"/>
      <c r="AD1246" s="219"/>
      <c r="AE1246" s="219"/>
      <c r="AF1246" s="219"/>
      <c r="AG1246" s="219"/>
      <c r="AH1246" s="219"/>
      <c r="AI1246" s="219"/>
      <c r="AJ1246" s="219"/>
      <c r="AK1246" s="219"/>
      <c r="AL1246" s="219"/>
    </row>
    <row r="1247" spans="12:38">
      <c r="L1247" s="219"/>
      <c r="M1247" s="219"/>
      <c r="N1247" s="219"/>
      <c r="O1247" s="219"/>
      <c r="P1247" s="219"/>
      <c r="Q1247" s="219"/>
      <c r="R1247" s="219"/>
      <c r="S1247" s="219"/>
      <c r="T1247" s="219"/>
      <c r="U1247" s="219"/>
      <c r="V1247" s="219"/>
      <c r="AB1247" s="219"/>
      <c r="AC1247" s="219"/>
      <c r="AD1247" s="219"/>
      <c r="AE1247" s="219"/>
      <c r="AF1247" s="219"/>
      <c r="AG1247" s="219"/>
      <c r="AH1247" s="219"/>
      <c r="AI1247" s="219"/>
      <c r="AJ1247" s="219"/>
      <c r="AK1247" s="219"/>
      <c r="AL1247" s="219"/>
    </row>
    <row r="1248" spans="12:38">
      <c r="L1248" s="219"/>
      <c r="M1248" s="219"/>
      <c r="N1248" s="219"/>
      <c r="O1248" s="219"/>
      <c r="P1248" s="219"/>
      <c r="Q1248" s="219"/>
      <c r="R1248" s="219"/>
      <c r="S1248" s="219"/>
      <c r="T1248" s="219"/>
      <c r="U1248" s="219"/>
      <c r="V1248" s="219"/>
      <c r="AB1248" s="219"/>
      <c r="AC1248" s="219"/>
      <c r="AD1248" s="219"/>
      <c r="AE1248" s="219"/>
      <c r="AF1248" s="219"/>
      <c r="AG1248" s="219"/>
      <c r="AH1248" s="219"/>
      <c r="AI1248" s="219"/>
      <c r="AJ1248" s="219"/>
      <c r="AK1248" s="219"/>
      <c r="AL1248" s="219"/>
    </row>
    <row r="1249" spans="12:38">
      <c r="L1249" s="219"/>
      <c r="M1249" s="219"/>
      <c r="N1249" s="219"/>
      <c r="O1249" s="219"/>
      <c r="P1249" s="219"/>
      <c r="Q1249" s="219"/>
      <c r="R1249" s="219"/>
      <c r="S1249" s="219"/>
      <c r="T1249" s="219"/>
      <c r="U1249" s="219"/>
      <c r="V1249" s="219"/>
      <c r="AB1249" s="219"/>
      <c r="AC1249" s="219"/>
      <c r="AD1249" s="219"/>
      <c r="AE1249" s="219"/>
      <c r="AF1249" s="219"/>
      <c r="AG1249" s="219"/>
      <c r="AH1249" s="219"/>
      <c r="AI1249" s="219"/>
      <c r="AJ1249" s="219"/>
      <c r="AK1249" s="219"/>
      <c r="AL1249" s="219"/>
    </row>
    <row r="1250" spans="12:38">
      <c r="L1250" s="219"/>
      <c r="M1250" s="219"/>
      <c r="N1250" s="219"/>
      <c r="O1250" s="219"/>
      <c r="P1250" s="219"/>
      <c r="Q1250" s="219"/>
      <c r="R1250" s="219"/>
      <c r="S1250" s="219"/>
      <c r="T1250" s="219"/>
      <c r="U1250" s="219"/>
      <c r="V1250" s="219"/>
      <c r="AB1250" s="219"/>
      <c r="AC1250" s="219"/>
      <c r="AD1250" s="219"/>
      <c r="AE1250" s="219"/>
      <c r="AF1250" s="219"/>
      <c r="AG1250" s="219"/>
      <c r="AH1250" s="219"/>
      <c r="AI1250" s="219"/>
      <c r="AJ1250" s="219"/>
      <c r="AK1250" s="219"/>
      <c r="AL1250" s="219"/>
    </row>
    <row r="1251" spans="12:38">
      <c r="L1251" s="219"/>
      <c r="M1251" s="219"/>
      <c r="N1251" s="219"/>
      <c r="O1251" s="219"/>
      <c r="P1251" s="219"/>
      <c r="Q1251" s="219"/>
      <c r="R1251" s="219"/>
      <c r="S1251" s="219"/>
      <c r="T1251" s="219"/>
      <c r="U1251" s="219"/>
      <c r="V1251" s="219"/>
      <c r="AB1251" s="219"/>
      <c r="AC1251" s="219"/>
      <c r="AD1251" s="219"/>
      <c r="AE1251" s="219"/>
      <c r="AF1251" s="219"/>
      <c r="AG1251" s="219"/>
      <c r="AH1251" s="219"/>
      <c r="AI1251" s="219"/>
      <c r="AJ1251" s="219"/>
      <c r="AK1251" s="219"/>
      <c r="AL1251" s="219"/>
    </row>
    <row r="1252" spans="12:38">
      <c r="L1252" s="219"/>
      <c r="M1252" s="219"/>
      <c r="N1252" s="219"/>
      <c r="O1252" s="219"/>
      <c r="P1252" s="219"/>
      <c r="Q1252" s="219"/>
      <c r="R1252" s="219"/>
      <c r="S1252" s="219"/>
      <c r="T1252" s="219"/>
      <c r="U1252" s="219"/>
      <c r="V1252" s="219"/>
      <c r="AB1252" s="219"/>
      <c r="AC1252" s="219"/>
      <c r="AD1252" s="219"/>
      <c r="AE1252" s="219"/>
      <c r="AF1252" s="219"/>
      <c r="AG1252" s="219"/>
      <c r="AH1252" s="219"/>
      <c r="AI1252" s="219"/>
      <c r="AJ1252" s="219"/>
      <c r="AK1252" s="219"/>
      <c r="AL1252" s="219"/>
    </row>
    <row r="1253" spans="12:38">
      <c r="L1253" s="219"/>
      <c r="M1253" s="219"/>
      <c r="N1253" s="219"/>
      <c r="O1253" s="219"/>
      <c r="P1253" s="219"/>
      <c r="Q1253" s="219"/>
      <c r="R1253" s="219"/>
      <c r="S1253" s="219"/>
      <c r="T1253" s="219"/>
      <c r="U1253" s="219"/>
      <c r="V1253" s="219"/>
      <c r="AB1253" s="219"/>
      <c r="AC1253" s="219"/>
      <c r="AD1253" s="219"/>
      <c r="AE1253" s="219"/>
      <c r="AF1253" s="219"/>
      <c r="AG1253" s="219"/>
      <c r="AH1253" s="219"/>
      <c r="AI1253" s="219"/>
      <c r="AJ1253" s="219"/>
      <c r="AK1253" s="219"/>
      <c r="AL1253" s="219"/>
    </row>
    <row r="1254" spans="12:38">
      <c r="L1254" s="219"/>
      <c r="M1254" s="219"/>
      <c r="N1254" s="219"/>
      <c r="O1254" s="219"/>
      <c r="P1254" s="219"/>
      <c r="Q1254" s="219"/>
      <c r="R1254" s="219"/>
      <c r="S1254" s="219"/>
      <c r="T1254" s="219"/>
      <c r="U1254" s="219"/>
      <c r="V1254" s="219"/>
      <c r="AB1254" s="219"/>
      <c r="AC1254" s="219"/>
      <c r="AD1254" s="219"/>
      <c r="AE1254" s="219"/>
      <c r="AF1254" s="219"/>
      <c r="AG1254" s="219"/>
      <c r="AH1254" s="219"/>
      <c r="AI1254" s="219"/>
      <c r="AJ1254" s="219"/>
      <c r="AK1254" s="219"/>
      <c r="AL1254" s="219"/>
    </row>
    <row r="1255" spans="12:38">
      <c r="L1255" s="219"/>
      <c r="M1255" s="219"/>
      <c r="N1255" s="219"/>
      <c r="O1255" s="219"/>
      <c r="P1255" s="219"/>
      <c r="Q1255" s="219"/>
      <c r="R1255" s="219"/>
      <c r="S1255" s="219"/>
      <c r="T1255" s="219"/>
      <c r="U1255" s="219"/>
      <c r="V1255" s="219"/>
      <c r="AB1255" s="219"/>
      <c r="AC1255" s="219"/>
      <c r="AD1255" s="219"/>
      <c r="AE1255" s="219"/>
      <c r="AF1255" s="219"/>
      <c r="AG1255" s="219"/>
      <c r="AH1255" s="219"/>
      <c r="AI1255" s="219"/>
      <c r="AJ1255" s="219"/>
      <c r="AK1255" s="219"/>
      <c r="AL1255" s="219"/>
    </row>
    <row r="1256" spans="12:38">
      <c r="L1256" s="219"/>
      <c r="M1256" s="219"/>
      <c r="N1256" s="219"/>
      <c r="O1256" s="219"/>
      <c r="P1256" s="219"/>
      <c r="Q1256" s="219"/>
      <c r="R1256" s="219"/>
      <c r="S1256" s="219"/>
      <c r="T1256" s="219"/>
      <c r="U1256" s="219"/>
      <c r="V1256" s="219"/>
      <c r="AB1256" s="219"/>
      <c r="AC1256" s="219"/>
      <c r="AD1256" s="219"/>
      <c r="AE1256" s="219"/>
      <c r="AF1256" s="219"/>
      <c r="AG1256" s="219"/>
      <c r="AH1256" s="219"/>
      <c r="AI1256" s="219"/>
      <c r="AJ1256" s="219"/>
      <c r="AK1256" s="219"/>
      <c r="AL1256" s="219"/>
    </row>
    <row r="1257" spans="12:38">
      <c r="L1257" s="219"/>
      <c r="M1257" s="219"/>
      <c r="N1257" s="219"/>
      <c r="O1257" s="219"/>
      <c r="P1257" s="219"/>
      <c r="Q1257" s="219"/>
      <c r="R1257" s="219"/>
      <c r="S1257" s="219"/>
      <c r="T1257" s="219"/>
      <c r="U1257" s="219"/>
      <c r="V1257" s="219"/>
      <c r="AB1257" s="219"/>
      <c r="AC1257" s="219"/>
      <c r="AD1257" s="219"/>
      <c r="AE1257" s="219"/>
      <c r="AF1257" s="219"/>
      <c r="AG1257" s="219"/>
      <c r="AH1257" s="219"/>
      <c r="AI1257" s="219"/>
      <c r="AJ1257" s="219"/>
      <c r="AK1257" s="219"/>
      <c r="AL1257" s="219"/>
    </row>
    <row r="1258" spans="12:38">
      <c r="L1258" s="219"/>
      <c r="M1258" s="219"/>
      <c r="N1258" s="219"/>
      <c r="O1258" s="219"/>
      <c r="P1258" s="219"/>
      <c r="Q1258" s="219"/>
      <c r="R1258" s="219"/>
      <c r="S1258" s="219"/>
      <c r="T1258" s="219"/>
      <c r="U1258" s="219"/>
      <c r="V1258" s="219"/>
      <c r="AB1258" s="219"/>
      <c r="AC1258" s="219"/>
      <c r="AD1258" s="219"/>
      <c r="AE1258" s="219"/>
      <c r="AF1258" s="219"/>
      <c r="AG1258" s="219"/>
      <c r="AH1258" s="219"/>
      <c r="AI1258" s="219"/>
      <c r="AJ1258" s="219"/>
      <c r="AK1258" s="219"/>
      <c r="AL1258" s="219"/>
    </row>
    <row r="1259" spans="12:38">
      <c r="L1259" s="219"/>
      <c r="M1259" s="219"/>
      <c r="N1259" s="219"/>
      <c r="O1259" s="219"/>
      <c r="P1259" s="219"/>
      <c r="Q1259" s="219"/>
      <c r="R1259" s="219"/>
      <c r="S1259" s="219"/>
      <c r="T1259" s="219"/>
      <c r="U1259" s="219"/>
      <c r="V1259" s="219"/>
      <c r="AB1259" s="219"/>
      <c r="AC1259" s="219"/>
      <c r="AD1259" s="219"/>
      <c r="AE1259" s="219"/>
      <c r="AF1259" s="219"/>
      <c r="AG1259" s="219"/>
      <c r="AH1259" s="219"/>
      <c r="AI1259" s="219"/>
      <c r="AJ1259" s="219"/>
      <c r="AK1259" s="219"/>
      <c r="AL1259" s="219"/>
    </row>
    <row r="1260" spans="12:38">
      <c r="L1260" s="219"/>
      <c r="M1260" s="219"/>
      <c r="N1260" s="219"/>
      <c r="O1260" s="219"/>
      <c r="P1260" s="219"/>
      <c r="Q1260" s="219"/>
      <c r="R1260" s="219"/>
      <c r="S1260" s="219"/>
      <c r="T1260" s="219"/>
      <c r="U1260" s="219"/>
      <c r="V1260" s="219"/>
      <c r="AB1260" s="219"/>
      <c r="AC1260" s="219"/>
      <c r="AD1260" s="219"/>
      <c r="AE1260" s="219"/>
      <c r="AF1260" s="219"/>
      <c r="AG1260" s="219"/>
      <c r="AH1260" s="219"/>
      <c r="AI1260" s="219"/>
      <c r="AJ1260" s="219"/>
      <c r="AK1260" s="219"/>
      <c r="AL1260" s="219"/>
    </row>
    <row r="1261" spans="12:38">
      <c r="L1261" s="219"/>
      <c r="M1261" s="219"/>
      <c r="N1261" s="219"/>
      <c r="O1261" s="219"/>
      <c r="P1261" s="219"/>
      <c r="Q1261" s="219"/>
      <c r="R1261" s="219"/>
      <c r="S1261" s="219"/>
      <c r="T1261" s="219"/>
      <c r="U1261" s="219"/>
      <c r="V1261" s="219"/>
      <c r="AB1261" s="219"/>
      <c r="AC1261" s="219"/>
      <c r="AD1261" s="219"/>
      <c r="AE1261" s="219"/>
      <c r="AF1261" s="219"/>
      <c r="AG1261" s="219"/>
      <c r="AH1261" s="219"/>
      <c r="AI1261" s="219"/>
      <c r="AJ1261" s="219"/>
      <c r="AK1261" s="219"/>
      <c r="AL1261" s="219"/>
    </row>
    <row r="1262" spans="12:38">
      <c r="L1262" s="219"/>
      <c r="M1262" s="219"/>
      <c r="N1262" s="219"/>
      <c r="O1262" s="219"/>
      <c r="P1262" s="219"/>
      <c r="Q1262" s="219"/>
      <c r="R1262" s="219"/>
      <c r="S1262" s="219"/>
      <c r="T1262" s="219"/>
      <c r="U1262" s="219"/>
      <c r="V1262" s="219"/>
      <c r="AB1262" s="219"/>
      <c r="AC1262" s="219"/>
      <c r="AD1262" s="219"/>
      <c r="AE1262" s="219"/>
      <c r="AF1262" s="219"/>
      <c r="AG1262" s="219"/>
      <c r="AH1262" s="219"/>
      <c r="AI1262" s="219"/>
      <c r="AJ1262" s="219"/>
      <c r="AK1262" s="219"/>
      <c r="AL1262" s="219"/>
    </row>
    <row r="1263" spans="12:38">
      <c r="L1263" s="219"/>
      <c r="M1263" s="219"/>
      <c r="N1263" s="219"/>
      <c r="O1263" s="219"/>
      <c r="P1263" s="219"/>
      <c r="Q1263" s="219"/>
      <c r="R1263" s="219"/>
      <c r="S1263" s="219"/>
      <c r="T1263" s="219"/>
      <c r="U1263" s="219"/>
      <c r="V1263" s="219"/>
      <c r="AB1263" s="219"/>
      <c r="AC1263" s="219"/>
      <c r="AD1263" s="219"/>
      <c r="AE1263" s="219"/>
      <c r="AF1263" s="219"/>
      <c r="AG1263" s="219"/>
      <c r="AH1263" s="219"/>
      <c r="AI1263" s="219"/>
      <c r="AJ1263" s="219"/>
      <c r="AK1263" s="219"/>
      <c r="AL1263" s="219"/>
    </row>
    <row r="1264" spans="12:38">
      <c r="L1264" s="219"/>
      <c r="M1264" s="219"/>
      <c r="N1264" s="219"/>
      <c r="O1264" s="219"/>
      <c r="P1264" s="219"/>
      <c r="Q1264" s="219"/>
      <c r="R1264" s="219"/>
      <c r="S1264" s="219"/>
      <c r="T1264" s="219"/>
      <c r="U1264" s="219"/>
      <c r="V1264" s="219"/>
      <c r="AB1264" s="219"/>
      <c r="AC1264" s="219"/>
      <c r="AD1264" s="219"/>
      <c r="AE1264" s="219"/>
      <c r="AF1264" s="219"/>
      <c r="AG1264" s="219"/>
      <c r="AH1264" s="219"/>
      <c r="AI1264" s="219"/>
      <c r="AJ1264" s="219"/>
      <c r="AK1264" s="219"/>
      <c r="AL1264" s="219"/>
    </row>
  </sheetData>
  <mergeCells count="4">
    <mergeCell ref="H10:K10"/>
    <mergeCell ref="L10:V10"/>
    <mergeCell ref="X10:AA10"/>
    <mergeCell ref="AB10:AL10"/>
  </mergeCells>
  <pageMargins left="0.75" right="0.75" top="1" bottom="1" header="0.5" footer="0.5"/>
  <pageSetup orientation="portrait" r:id="rId1"/>
  <headerFooter alignWithMargins="0"/>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22"/>
  <dimension ref="A1:AW141"/>
  <sheetViews>
    <sheetView zoomScale="75" workbookViewId="0">
      <pane xSplit="1" ySplit="11" topLeftCell="D12" activePane="bottomRight" state="frozen"/>
      <selection activeCell="K53" sqref="K53"/>
      <selection pane="topRight" activeCell="K53" sqref="K53"/>
      <selection pane="bottomLeft" activeCell="K53" sqref="K53"/>
      <selection pane="bottomRight" activeCell="L19" sqref="L19"/>
    </sheetView>
  </sheetViews>
  <sheetFormatPr defaultColWidth="9.140625" defaultRowHeight="14.25" customHeight="1"/>
  <cols>
    <col min="1" max="1" width="11.42578125" style="201" customWidth="1"/>
    <col min="2" max="2" width="12.140625" style="201" bestFit="1" customWidth="1"/>
    <col min="3" max="3" width="52.42578125" style="201" bestFit="1" customWidth="1"/>
    <col min="4" max="4" width="8" style="201" bestFit="1" customWidth="1"/>
    <col min="5" max="5" width="12" style="201" customWidth="1"/>
    <col min="6" max="6" width="11.7109375" style="201" bestFit="1" customWidth="1"/>
    <col min="7" max="7" width="11.140625" style="201" customWidth="1"/>
    <col min="8" max="21" width="10" style="201" customWidth="1"/>
    <col min="22" max="22" width="3.85546875" style="201" customWidth="1"/>
    <col min="23" max="23" width="9.140625" style="201" customWidth="1"/>
    <col min="24" max="27" width="11.42578125" style="201" customWidth="1"/>
    <col min="28" max="28" width="14.28515625" style="201" customWidth="1"/>
    <col min="29" max="35" width="9.140625" style="201"/>
    <col min="36" max="37" width="9.85546875" style="201" customWidth="1"/>
    <col min="38" max="50" width="18.85546875" style="201" customWidth="1"/>
    <col min="51" max="16384" width="9.140625" style="201"/>
  </cols>
  <sheetData>
    <row r="1" spans="1:37" ht="12.75">
      <c r="A1" s="202" t="s">
        <v>738</v>
      </c>
    </row>
    <row r="2" spans="1:37" ht="12.75">
      <c r="A2" s="202"/>
    </row>
    <row r="3" spans="1:37" ht="12.75">
      <c r="A3" s="202" t="s">
        <v>714</v>
      </c>
    </row>
    <row r="4" spans="1:37" ht="12.75">
      <c r="A4" s="202"/>
      <c r="C4" s="235" t="s">
        <v>153</v>
      </c>
      <c r="D4" s="202"/>
      <c r="E4" s="206" t="s">
        <v>710</v>
      </c>
    </row>
    <row r="5" spans="1:37" ht="12.75">
      <c r="A5" s="243" t="s">
        <v>715</v>
      </c>
      <c r="B5" s="201">
        <v>1</v>
      </c>
      <c r="C5" s="259">
        <v>0.9</v>
      </c>
      <c r="D5" s="201">
        <v>1</v>
      </c>
      <c r="E5" s="224">
        <v>0.1</v>
      </c>
      <c r="G5" s="201" t="s">
        <v>990</v>
      </c>
      <c r="J5" s="201">
        <v>1.05</v>
      </c>
      <c r="K5" s="201">
        <v>1.1000000000000001</v>
      </c>
    </row>
    <row r="6" spans="1:37" ht="12.75">
      <c r="A6" s="202"/>
      <c r="B6" s="201">
        <v>2</v>
      </c>
      <c r="C6" s="259">
        <v>0.95</v>
      </c>
      <c r="D6" s="201">
        <v>2</v>
      </c>
      <c r="E6" s="224">
        <v>0.2</v>
      </c>
      <c r="J6" s="201" t="s">
        <v>993</v>
      </c>
    </row>
    <row r="7" spans="1:37" ht="12.75">
      <c r="A7" s="202"/>
      <c r="B7" s="201">
        <v>3</v>
      </c>
      <c r="C7" s="259">
        <v>1</v>
      </c>
      <c r="D7" s="201">
        <v>3</v>
      </c>
      <c r="E7" s="224">
        <v>1</v>
      </c>
    </row>
    <row r="8" spans="1:37" ht="12.75">
      <c r="A8" s="202"/>
      <c r="B8" s="201">
        <v>4</v>
      </c>
      <c r="C8" s="259">
        <v>1.05</v>
      </c>
      <c r="D8" s="201">
        <v>4</v>
      </c>
      <c r="E8" s="224">
        <v>1.2</v>
      </c>
    </row>
    <row r="9" spans="1:37" ht="12.75">
      <c r="A9" s="202"/>
      <c r="B9" s="201">
        <v>5</v>
      </c>
      <c r="C9" s="259">
        <v>1.3</v>
      </c>
      <c r="D9" s="201">
        <v>5</v>
      </c>
      <c r="E9" s="227">
        <v>1.3</v>
      </c>
    </row>
    <row r="10" spans="1:37" ht="14.25" customHeight="1">
      <c r="G10" s="442" t="s">
        <v>184</v>
      </c>
      <c r="H10" s="442"/>
      <c r="I10" s="442"/>
      <c r="J10" s="442"/>
      <c r="K10" s="442" t="s">
        <v>136</v>
      </c>
      <c r="L10" s="442"/>
      <c r="M10" s="442"/>
      <c r="N10" s="442"/>
      <c r="O10" s="442"/>
      <c r="P10" s="442"/>
      <c r="Q10" s="442"/>
      <c r="R10" s="442"/>
      <c r="S10" s="442"/>
      <c r="T10" s="442"/>
      <c r="U10" s="442"/>
      <c r="V10" s="233"/>
      <c r="W10" s="439" t="s">
        <v>185</v>
      </c>
      <c r="X10" s="439"/>
      <c r="Y10" s="439"/>
      <c r="Z10" s="439"/>
      <c r="AA10" s="442" t="s">
        <v>137</v>
      </c>
      <c r="AB10" s="442"/>
      <c r="AC10" s="442"/>
      <c r="AD10" s="442"/>
      <c r="AE10" s="442"/>
      <c r="AF10" s="442"/>
      <c r="AG10" s="442"/>
      <c r="AH10" s="442"/>
      <c r="AI10" s="442"/>
      <c r="AJ10" s="442"/>
      <c r="AK10" s="442"/>
    </row>
    <row r="11" spans="1:37" ht="41.25" customHeight="1">
      <c r="A11" s="201" t="s">
        <v>588</v>
      </c>
      <c r="B11" s="202" t="s">
        <v>135</v>
      </c>
      <c r="C11" s="202" t="s">
        <v>13</v>
      </c>
      <c r="D11" s="233" t="s">
        <v>133</v>
      </c>
      <c r="E11" s="233" t="s">
        <v>134</v>
      </c>
      <c r="F11" s="233" t="s">
        <v>56</v>
      </c>
      <c r="G11" s="202">
        <v>2005</v>
      </c>
      <c r="H11" s="233">
        <v>2010</v>
      </c>
      <c r="I11" s="202">
        <v>2015</v>
      </c>
      <c r="J11" s="233">
        <v>2020</v>
      </c>
      <c r="K11" s="202">
        <v>2005</v>
      </c>
      <c r="L11" s="233">
        <v>2010</v>
      </c>
      <c r="M11" s="202">
        <v>2015</v>
      </c>
      <c r="N11" s="233">
        <v>2020</v>
      </c>
      <c r="O11" s="202">
        <v>2025</v>
      </c>
      <c r="P11" s="233">
        <v>2030</v>
      </c>
      <c r="Q11" s="202">
        <v>2035</v>
      </c>
      <c r="R11" s="233">
        <v>2040</v>
      </c>
      <c r="S11" s="202">
        <v>2045</v>
      </c>
      <c r="T11" s="233">
        <v>2050</v>
      </c>
      <c r="U11" s="202">
        <v>2055</v>
      </c>
      <c r="V11" s="202"/>
      <c r="W11" s="202">
        <v>2005</v>
      </c>
      <c r="X11" s="233">
        <v>2010</v>
      </c>
      <c r="Y11" s="202">
        <v>2015</v>
      </c>
      <c r="Z11" s="233">
        <v>2020</v>
      </c>
      <c r="AA11" s="202">
        <v>2005</v>
      </c>
      <c r="AB11" s="233">
        <v>2010</v>
      </c>
      <c r="AC11" s="202">
        <v>2015</v>
      </c>
      <c r="AD11" s="233">
        <v>2020</v>
      </c>
      <c r="AE11" s="202">
        <v>2005</v>
      </c>
      <c r="AF11" s="233">
        <v>2010</v>
      </c>
      <c r="AG11" s="202">
        <v>2015</v>
      </c>
      <c r="AH11" s="233">
        <v>2020</v>
      </c>
      <c r="AI11" s="202"/>
      <c r="AJ11" s="233"/>
      <c r="AK11" s="202"/>
    </row>
    <row r="12" spans="1:37" ht="12.75">
      <c r="A12" s="202" t="s">
        <v>713</v>
      </c>
      <c r="B12" s="202"/>
      <c r="C12" s="202"/>
      <c r="D12" s="233"/>
      <c r="E12" s="233"/>
      <c r="F12" s="233"/>
      <c r="G12" s="202"/>
      <c r="H12" s="233"/>
      <c r="I12" s="202"/>
      <c r="J12" s="233"/>
      <c r="K12" s="202"/>
      <c r="L12" s="233"/>
      <c r="M12" s="202"/>
      <c r="N12" s="233"/>
      <c r="O12" s="202"/>
      <c r="P12" s="233"/>
      <c r="Q12" s="202"/>
      <c r="R12" s="233"/>
      <c r="S12" s="202"/>
      <c r="T12" s="233"/>
      <c r="U12" s="202"/>
      <c r="V12" s="202"/>
      <c r="W12" s="202"/>
      <c r="X12" s="233"/>
      <c r="Y12" s="202"/>
      <c r="Z12" s="233"/>
      <c r="AA12" s="202"/>
      <c r="AB12" s="233"/>
      <c r="AC12" s="202"/>
      <c r="AD12" s="233"/>
      <c r="AE12" s="202"/>
      <c r="AF12" s="233"/>
      <c r="AG12" s="202"/>
      <c r="AH12" s="233"/>
      <c r="AI12" s="202"/>
      <c r="AJ12" s="233"/>
      <c r="AK12" s="202"/>
    </row>
    <row r="13" spans="1:37" ht="14.25" customHeight="1">
      <c r="A13" s="201" t="str">
        <f>'Agg crdcrv'!C4</f>
        <v>FHH</v>
      </c>
      <c r="B13" s="201" t="str">
        <f t="shared" ref="B13:B80" si="0">CONCATENATE("IMP",D13,E13)</f>
        <v>IMPOILHH13</v>
      </c>
      <c r="C13" s="201" t="str">
        <f>CONCATENATE("Imported ",VLOOKUP($A13,Types!$A$13:$C$18,3,FALSE),", PADD ",RIGHT(F13,1),", Step ",RIGHT(E13,1))</f>
        <v>Imported Imported Oil-High Sulfur, Heavy G, PADD 1, Step 3</v>
      </c>
      <c r="D13" s="201" t="str">
        <f>CONCATENATE(VLOOKUP($A13,Types!$A$14:$C$18,2,FALSE),RIGHT(F13,1))</f>
        <v>OILHH1</v>
      </c>
      <c r="E13" s="201">
        <v>3</v>
      </c>
      <c r="F13" s="201" t="str">
        <f>'Agg crdcrv'!D4</f>
        <v>P1</v>
      </c>
      <c r="G13" s="244">
        <f>'Agg crdcrv'!H4*$K$5</f>
        <v>31.900000000000002</v>
      </c>
      <c r="H13" s="244">
        <f>'Agg crdcrv'!H9*K5</f>
        <v>46.406250000000007</v>
      </c>
      <c r="I13" s="244">
        <f>'Agg crdcrv'!H14*K5</f>
        <v>31.57</v>
      </c>
      <c r="J13" s="244">
        <f>'Agg crdcrv'!H19*K5</f>
        <v>33.407000000000004</v>
      </c>
      <c r="K13" s="245">
        <f>G13*Conv!$J$20/10^6/Conv!$C$47/Conv!$I$5</f>
        <v>7.6738981061112703</v>
      </c>
      <c r="L13" s="245">
        <f>H13*Conv!$J$20/10^6/Conv!$C$47/Conv!$I$5</f>
        <v>11.163537115571355</v>
      </c>
      <c r="M13" s="245">
        <f>L13*'Imported Price Trends'!$K$10</f>
        <v>12.611639314152493</v>
      </c>
      <c r="N13" s="245">
        <f>M13*'Imported Price Trends'!$L$10</f>
        <v>12.490189153572638</v>
      </c>
      <c r="O13" s="245">
        <f>N13*'Imported Price Trends'!$M$10</f>
        <v>14.183961749966075</v>
      </c>
      <c r="P13" s="245">
        <f>O13*'Imported Price Trends'!$N$10</f>
        <v>15.489247085944466</v>
      </c>
      <c r="Q13" s="245">
        <f>P13*'Imported Price Trends'!$O$10</f>
        <v>16.990327094377189</v>
      </c>
      <c r="R13" s="245">
        <f>Q13*'Imported Price Trends'!$O$10</f>
        <v>18.636878421022729</v>
      </c>
      <c r="S13" s="245">
        <f>R13*'Imported Price Trends'!$O$10</f>
        <v>20.442998851677775</v>
      </c>
      <c r="T13" s="245">
        <f>S13*'Imported Price Trends'!$O$10</f>
        <v>22.424152404100138</v>
      </c>
      <c r="U13" s="245">
        <f>T13*'Imported Price Trends'!$O$10</f>
        <v>24.597301731054063</v>
      </c>
      <c r="V13" s="227"/>
      <c r="W13" s="201">
        <f>'Agg crdcrv'!F4</f>
        <v>256.31</v>
      </c>
      <c r="X13" s="201">
        <f>'Agg crdcrv'!F9</f>
        <v>128.74</v>
      </c>
      <c r="Y13" s="201">
        <f>'Agg crdcrv'!F14</f>
        <v>45.75</v>
      </c>
      <c r="Z13" s="201">
        <f>'Agg crdcrv'!F19</f>
        <v>50.51</v>
      </c>
      <c r="AA13" s="260">
        <f>W13*Conv!$C$47*Conv!$I$5*1000*365</f>
        <v>596.75554982346068</v>
      </c>
      <c r="AB13" s="260">
        <f>X13*Conv!$C$47*Conv!$I$5*1000*365</f>
        <v>299.73980525251585</v>
      </c>
      <c r="AC13" s="260">
        <f>Y13*Conv!$C$47*Conv!$I$5*1000*365</f>
        <v>106.51775742040235</v>
      </c>
      <c r="AD13" s="260">
        <f>Z13*Conv!$C$47*Conv!$I$5*1000*365</f>
        <v>117.60026070610976</v>
      </c>
      <c r="AE13" s="260">
        <f>AA13-AA15</f>
        <v>477.40443985876851</v>
      </c>
      <c r="AF13" s="260">
        <f t="shared" ref="AF13" si="1">AB13-AB15</f>
        <v>239.79184420201267</v>
      </c>
      <c r="AG13" s="260">
        <f t="shared" ref="AG13" si="2">AC13-AC15</f>
        <v>85.214205936321875</v>
      </c>
      <c r="AH13" s="260">
        <f t="shared" ref="AH13" si="3">AD13-AD15</f>
        <v>94.080208564887798</v>
      </c>
      <c r="AI13" s="236"/>
    </row>
    <row r="14" spans="1:37" ht="14.25" customHeight="1">
      <c r="A14" s="201" t="str">
        <f>A13</f>
        <v>FHH</v>
      </c>
      <c r="B14" s="201" t="str">
        <f t="shared" ref="B14:B17" si="4">CONCATENATE("IMP",D14,E14)</f>
        <v>IMPOILHH11</v>
      </c>
      <c r="C14" s="201" t="str">
        <f>CONCATENATE("Imported ",VLOOKUP($A14,Types!$A$13:$C$18,3,FALSE),", PADD ",RIGHT(F14,1),", Step ",RIGHT(E14,1))</f>
        <v>Imported Imported Oil-High Sulfur, Heavy G, PADD 1, Step 1</v>
      </c>
      <c r="D14" s="201" t="str">
        <f>D13</f>
        <v>OILHH1</v>
      </c>
      <c r="E14" s="201">
        <v>1</v>
      </c>
      <c r="F14" s="201" t="str">
        <f>F13</f>
        <v>P1</v>
      </c>
      <c r="G14" s="244">
        <f>G13*$C$5</f>
        <v>28.71</v>
      </c>
      <c r="H14" s="244">
        <f t="shared" ref="H14:J14" si="5">H13*$C$5</f>
        <v>41.765625000000007</v>
      </c>
      <c r="I14" s="244">
        <f t="shared" si="5"/>
        <v>28.413</v>
      </c>
      <c r="J14" s="244">
        <f t="shared" si="5"/>
        <v>30.066300000000005</v>
      </c>
      <c r="K14" s="245">
        <f>G14*Conv!$J$20/10^6/Conv!$C$47/Conv!$I$5</f>
        <v>6.9065082955001431</v>
      </c>
      <c r="L14" s="245">
        <f>H14*Conv!$J$20/10^6/Conv!$C$47/Conv!$I$5</f>
        <v>10.04718340401422</v>
      </c>
      <c r="M14" s="245">
        <f>L14*'Imported Price Trends'!$K$10</f>
        <v>11.350475382737244</v>
      </c>
      <c r="N14" s="245">
        <f>M14*'Imported Price Trends'!$L$10</f>
        <v>11.241170238215375</v>
      </c>
      <c r="O14" s="245">
        <f>N14*'Imported Price Trends'!$M$10</f>
        <v>12.765565574969468</v>
      </c>
      <c r="P14" s="245">
        <f>O14*'Imported Price Trends'!$N$10</f>
        <v>13.94032237735002</v>
      </c>
      <c r="Q14" s="245">
        <f>P14*'Imported Price Trends'!$O$10</f>
        <v>15.291294384939469</v>
      </c>
      <c r="R14" s="245">
        <f>Q14*'Imported Price Trends'!$O$10</f>
        <v>16.773190578920456</v>
      </c>
      <c r="S14" s="245">
        <f>R14*'Imported Price Trends'!$O$10</f>
        <v>18.398698966509997</v>
      </c>
      <c r="T14" s="245">
        <f>S14*'Imported Price Trends'!$O$10</f>
        <v>20.181737163690123</v>
      </c>
      <c r="U14" s="245">
        <f>T14*'Imported Price Trends'!$O$10</f>
        <v>22.137571557948657</v>
      </c>
      <c r="V14" s="227"/>
      <c r="W14" s="261">
        <f>W13*$E$5</f>
        <v>25.631</v>
      </c>
      <c r="X14" s="261">
        <f t="shared" ref="X14:Z14" si="6">X13*$E$5</f>
        <v>12.874000000000002</v>
      </c>
      <c r="Y14" s="261">
        <f t="shared" si="6"/>
        <v>4.5750000000000002</v>
      </c>
      <c r="Z14" s="261">
        <f t="shared" si="6"/>
        <v>5.0510000000000002</v>
      </c>
      <c r="AA14" s="260">
        <f>W14*Conv!$C$47*Conv!$I$5*1000*365</f>
        <v>59.675554982346078</v>
      </c>
      <c r="AB14" s="260">
        <f>X14*Conv!$C$47*Conv!$I$5*1000*365</f>
        <v>29.973980525251584</v>
      </c>
      <c r="AC14" s="260">
        <f>Y14*Conv!$C$47*Conv!$I$5*1000*365</f>
        <v>10.651775742040236</v>
      </c>
      <c r="AD14" s="260">
        <f>Z14*Conv!$C$47*Conv!$I$5*1000*365</f>
        <v>11.760026070610982</v>
      </c>
      <c r="AE14" s="260">
        <f>AA14</f>
        <v>59.675554982346078</v>
      </c>
      <c r="AF14" s="260">
        <f t="shared" ref="AF14" si="7">AB14</f>
        <v>29.973980525251584</v>
      </c>
      <c r="AG14" s="260">
        <f t="shared" ref="AG14" si="8">AC14</f>
        <v>10.651775742040236</v>
      </c>
      <c r="AH14" s="260">
        <f t="shared" ref="AH14" si="9">AD14</f>
        <v>11.760026070610982</v>
      </c>
      <c r="AI14" s="236"/>
    </row>
    <row r="15" spans="1:37" ht="14.25" customHeight="1">
      <c r="A15" s="201" t="str">
        <f t="shared" ref="A15:A17" si="10">A14</f>
        <v>FHH</v>
      </c>
      <c r="B15" s="201" t="str">
        <f t="shared" si="4"/>
        <v>IMPOILHH12</v>
      </c>
      <c r="C15" s="201" t="str">
        <f>CONCATENATE("Imported ",VLOOKUP($A15,Types!$A$13:$C$18,3,FALSE),", PADD ",RIGHT(F15,1),", Step ",RIGHT(E15,1))</f>
        <v>Imported Imported Oil-High Sulfur, Heavy G, PADD 1, Step 2</v>
      </c>
      <c r="D15" s="201" t="str">
        <f t="shared" ref="D15:D17" si="11">D14</f>
        <v>OILHH1</v>
      </c>
      <c r="E15" s="201">
        <v>2</v>
      </c>
      <c r="F15" s="201" t="str">
        <f t="shared" ref="F15:F17" si="12">F14</f>
        <v>P1</v>
      </c>
      <c r="G15" s="244">
        <f>G13*$C$6</f>
        <v>30.305</v>
      </c>
      <c r="H15" s="244">
        <f t="shared" ref="H15:J15" si="13">H13*$C$6</f>
        <v>44.085937500000007</v>
      </c>
      <c r="I15" s="244">
        <f t="shared" si="13"/>
        <v>29.991499999999998</v>
      </c>
      <c r="J15" s="244">
        <f t="shared" si="13"/>
        <v>31.736650000000001</v>
      </c>
      <c r="K15" s="245">
        <f>G15*Conv!$J$20/10^6/Conv!$C$47/Conv!$I$5</f>
        <v>7.2902032008057063</v>
      </c>
      <c r="L15" s="245">
        <f>H15*Conv!$J$20/10^6/Conv!$C$47/Conv!$I$5</f>
        <v>10.605360259792784</v>
      </c>
      <c r="M15" s="245">
        <f>L15*'Imported Price Trends'!$K$10</f>
        <v>11.981057348444864</v>
      </c>
      <c r="N15" s="245">
        <f>M15*'Imported Price Trends'!$L$10</f>
        <v>11.865679695894002</v>
      </c>
      <c r="O15" s="245">
        <f>N15*'Imported Price Trends'!$M$10</f>
        <v>13.474763662467767</v>
      </c>
      <c r="P15" s="245">
        <f>O15*'Imported Price Trends'!$N$10</f>
        <v>14.714784731647239</v>
      </c>
      <c r="Q15" s="245">
        <f>P15*'Imported Price Trends'!$O$10</f>
        <v>16.140810739658324</v>
      </c>
      <c r="R15" s="245">
        <f>Q15*'Imported Price Trends'!$O$10</f>
        <v>17.705034499971585</v>
      </c>
      <c r="S15" s="245">
        <f>R15*'Imported Price Trends'!$O$10</f>
        <v>19.420848909093877</v>
      </c>
      <c r="T15" s="245">
        <f>S15*'Imported Price Trends'!$O$10</f>
        <v>21.302944783895121</v>
      </c>
      <c r="U15" s="245">
        <f>T15*'Imported Price Trends'!$O$10</f>
        <v>23.36743664450135</v>
      </c>
      <c r="V15" s="227"/>
      <c r="W15" s="261">
        <f>W13*$E$6</f>
        <v>51.262</v>
      </c>
      <c r="X15" s="261">
        <f t="shared" ref="X15:Z15" si="14">X13*$E$6</f>
        <v>25.748000000000005</v>
      </c>
      <c r="Y15" s="261">
        <f t="shared" si="14"/>
        <v>9.15</v>
      </c>
      <c r="Z15" s="261">
        <f t="shared" si="14"/>
        <v>10.102</v>
      </c>
      <c r="AA15" s="260">
        <f>W15*Conv!$C$47*Conv!$I$5*1000*365</f>
        <v>119.35110996469216</v>
      </c>
      <c r="AB15" s="260">
        <f>X15*Conv!$C$47*Conv!$I$5*1000*365</f>
        <v>59.947961050503167</v>
      </c>
      <c r="AC15" s="260">
        <f>Y15*Conv!$C$47*Conv!$I$5*1000*365</f>
        <v>21.303551484080472</v>
      </c>
      <c r="AD15" s="260">
        <f>Z15*Conv!$C$47*Conv!$I$5*1000*365</f>
        <v>23.520052141221964</v>
      </c>
      <c r="AE15" s="260">
        <f>AA15-AE14</f>
        <v>59.675554982346078</v>
      </c>
      <c r="AF15" s="260">
        <f t="shared" ref="AF15" si="15">AB15-AF14</f>
        <v>29.973980525251584</v>
      </c>
      <c r="AG15" s="260">
        <f t="shared" ref="AG15" si="16">AC15-AG14</f>
        <v>10.651775742040236</v>
      </c>
      <c r="AH15" s="260">
        <f t="shared" ref="AH15" si="17">AD15-AH14</f>
        <v>11.760026070610982</v>
      </c>
      <c r="AI15" s="236"/>
    </row>
    <row r="16" spans="1:37" ht="14.25" customHeight="1">
      <c r="A16" s="201" t="str">
        <f t="shared" si="10"/>
        <v>FHH</v>
      </c>
      <c r="B16" s="201" t="str">
        <f t="shared" si="4"/>
        <v>IMPOILHH14</v>
      </c>
      <c r="C16" s="201" t="str">
        <f>CONCATENATE("Imported ",VLOOKUP($A16,Types!$A$13:$C$18,3,FALSE),", PADD ",RIGHT(F16,1),", Step ",RIGHT(E16,1))</f>
        <v>Imported Imported Oil-High Sulfur, Heavy G, PADD 1, Step 4</v>
      </c>
      <c r="D16" s="201" t="str">
        <f t="shared" si="11"/>
        <v>OILHH1</v>
      </c>
      <c r="E16" s="201">
        <v>4</v>
      </c>
      <c r="F16" s="201" t="str">
        <f t="shared" si="12"/>
        <v>P1</v>
      </c>
      <c r="G16" s="244">
        <f>G13*$C$8</f>
        <v>33.495000000000005</v>
      </c>
      <c r="H16" s="244">
        <f t="shared" ref="H16:J16" si="18">H13*$C$8</f>
        <v>48.726562500000007</v>
      </c>
      <c r="I16" s="244">
        <f t="shared" si="18"/>
        <v>33.148499999999999</v>
      </c>
      <c r="J16" s="244">
        <f t="shared" si="18"/>
        <v>35.077350000000003</v>
      </c>
      <c r="K16" s="245">
        <f>G16*Conv!$J$20/10^6/Conv!$C$47/Conv!$I$5</f>
        <v>8.0575930114168361</v>
      </c>
      <c r="L16" s="245">
        <f>H16*Conv!$J$20/10^6/Conv!$C$47/Conv!$I$5</f>
        <v>11.721713971349921</v>
      </c>
      <c r="M16" s="245">
        <f>L16*'Imported Price Trends'!$K$10</f>
        <v>13.242221279860116</v>
      </c>
      <c r="N16" s="245">
        <f>M16*'Imported Price Trends'!$L$10</f>
        <v>13.114698611251269</v>
      </c>
      <c r="O16" s="245">
        <f>N16*'Imported Price Trends'!$M$10</f>
        <v>14.893159837464378</v>
      </c>
      <c r="P16" s="245">
        <f>O16*'Imported Price Trends'!$N$10</f>
        <v>16.263709440241687</v>
      </c>
      <c r="Q16" s="245">
        <f>P16*'Imported Price Trends'!$O$10</f>
        <v>17.839843449096044</v>
      </c>
      <c r="R16" s="245">
        <f>Q16*'Imported Price Trends'!$O$10</f>
        <v>19.568722342073858</v>
      </c>
      <c r="S16" s="245">
        <f>R16*'Imported Price Trends'!$O$10</f>
        <v>21.465148794261655</v>
      </c>
      <c r="T16" s="245">
        <f>S16*'Imported Price Trends'!$O$10</f>
        <v>23.545360024305133</v>
      </c>
      <c r="U16" s="245">
        <f>T16*'Imported Price Trends'!$O$10</f>
        <v>25.827166817606752</v>
      </c>
      <c r="V16" s="227"/>
      <c r="W16" s="261">
        <f>W13*$E$8</f>
        <v>307.572</v>
      </c>
      <c r="X16" s="261">
        <f t="shared" ref="X16:Z16" si="19">X13*$E$8</f>
        <v>154.488</v>
      </c>
      <c r="Y16" s="261">
        <f t="shared" si="19"/>
        <v>54.9</v>
      </c>
      <c r="Z16" s="261">
        <f t="shared" si="19"/>
        <v>60.611999999999995</v>
      </c>
      <c r="AA16" s="260">
        <f>W16*Conv!$C$47*Conv!$I$5*1000*365</f>
        <v>716.1066597881528</v>
      </c>
      <c r="AB16" s="260">
        <f>X16*Conv!$C$47*Conv!$I$5*1000*365</f>
        <v>359.68776630301898</v>
      </c>
      <c r="AC16" s="260">
        <f>Y16*Conv!$C$47*Conv!$I$5*1000*365</f>
        <v>127.82130890448282</v>
      </c>
      <c r="AD16" s="260">
        <f>Z16*Conv!$C$47*Conv!$I$5*1000*365</f>
        <v>141.12031284733175</v>
      </c>
      <c r="AE16" s="260">
        <f>AA16-AA13</f>
        <v>119.35110996469211</v>
      </c>
      <c r="AF16" s="260">
        <f t="shared" ref="AF16" si="20">AB16-AB13</f>
        <v>59.947961050503125</v>
      </c>
      <c r="AG16" s="260">
        <f t="shared" ref="AG16" si="21">AC16-AC13</f>
        <v>21.303551484080472</v>
      </c>
      <c r="AH16" s="260">
        <f t="shared" ref="AH16" si="22">AD16-AD13</f>
        <v>23.520052141221981</v>
      </c>
      <c r="AI16" s="236"/>
    </row>
    <row r="17" spans="1:49" ht="14.25" customHeight="1">
      <c r="A17" s="201" t="str">
        <f t="shared" si="10"/>
        <v>FHH</v>
      </c>
      <c r="B17" s="201" t="str">
        <f t="shared" si="4"/>
        <v>IMPOILHH15</v>
      </c>
      <c r="C17" s="201" t="str">
        <f>CONCATENATE("Imported ",VLOOKUP($A17,Types!$A$13:$C$18,3,FALSE),", PADD ",RIGHT(F17,1),", Step ",RIGHT(E17,1))</f>
        <v>Imported Imported Oil-High Sulfur, Heavy G, PADD 1, Step 5</v>
      </c>
      <c r="D17" s="201" t="str">
        <f t="shared" si="11"/>
        <v>OILHH1</v>
      </c>
      <c r="E17" s="201">
        <v>5</v>
      </c>
      <c r="F17" s="201" t="str">
        <f t="shared" si="12"/>
        <v>P1</v>
      </c>
      <c r="G17" s="244">
        <f>G13*$C$9</f>
        <v>41.470000000000006</v>
      </c>
      <c r="H17" s="244">
        <f t="shared" ref="H17:J17" si="23">H13*$C$9</f>
        <v>60.328125000000014</v>
      </c>
      <c r="I17" s="244">
        <f t="shared" si="23"/>
        <v>41.041000000000004</v>
      </c>
      <c r="J17" s="244">
        <f t="shared" si="23"/>
        <v>43.429100000000005</v>
      </c>
      <c r="K17" s="245">
        <f>G17*Conv!$J$20/10^6/Conv!$C$47/Conv!$I$5</f>
        <v>9.9760675379446511</v>
      </c>
      <c r="L17" s="245">
        <f>H17*Conv!$J$20/10^6/Conv!$C$47/Conv!$I$5</f>
        <v>14.512598250242762</v>
      </c>
      <c r="M17" s="245">
        <f>L17*'Imported Price Trends'!$K$10</f>
        <v>16.395131108398243</v>
      </c>
      <c r="N17" s="245">
        <f>M17*'Imported Price Trends'!$L$10</f>
        <v>16.237245899644432</v>
      </c>
      <c r="O17" s="245">
        <f>N17*'Imported Price Trends'!$M$10</f>
        <v>18.4391502749559</v>
      </c>
      <c r="P17" s="245">
        <f>O17*'Imported Price Trends'!$N$10</f>
        <v>20.136021211727808</v>
      </c>
      <c r="Q17" s="245">
        <f>P17*'Imported Price Trends'!$O$10</f>
        <v>22.087425222690346</v>
      </c>
      <c r="R17" s="245">
        <f>Q17*'Imported Price Trends'!$O$10</f>
        <v>24.227941947329548</v>
      </c>
      <c r="S17" s="245">
        <f>R17*'Imported Price Trends'!$O$10</f>
        <v>26.575898507181105</v>
      </c>
      <c r="T17" s="245">
        <f>S17*'Imported Price Trends'!$O$10</f>
        <v>29.151398125330175</v>
      </c>
      <c r="U17" s="245">
        <f>T17*'Imported Price Trends'!$O$10</f>
        <v>31.976492250370278</v>
      </c>
      <c r="V17" s="227"/>
      <c r="W17" s="261">
        <f>W13*$E$9</f>
        <v>333.20300000000003</v>
      </c>
      <c r="X17" s="261">
        <f t="shared" ref="X17:Z17" si="24">X13*$E$9</f>
        <v>167.36200000000002</v>
      </c>
      <c r="Y17" s="261">
        <f t="shared" si="24"/>
        <v>59.475000000000001</v>
      </c>
      <c r="Z17" s="261">
        <f t="shared" si="24"/>
        <v>65.662999999999997</v>
      </c>
      <c r="AA17" s="260">
        <f>W17*Conv!$C$47*Conv!$I$5*1000*365</f>
        <v>775.78221477049885</v>
      </c>
      <c r="AB17" s="260">
        <f>X17*Conv!$C$47*Conv!$I$5*1000*365</f>
        <v>389.66174682827062</v>
      </c>
      <c r="AC17" s="260">
        <f>Y17*Conv!$C$47*Conv!$I$5*1000*365</f>
        <v>138.47308464652306</v>
      </c>
      <c r="AD17" s="260">
        <f>Z17*Conv!$C$47*Conv!$I$5*1000*365</f>
        <v>152.88033891794271</v>
      </c>
      <c r="AE17" s="260">
        <f>AA17-AA16</f>
        <v>59.675554982346057</v>
      </c>
      <c r="AF17" s="260">
        <f t="shared" ref="AF17" si="25">AB17-AB16</f>
        <v>29.973980525251648</v>
      </c>
      <c r="AG17" s="260">
        <f t="shared" ref="AG17" si="26">AC17-AC16</f>
        <v>10.651775742040243</v>
      </c>
      <c r="AH17" s="260">
        <f t="shared" ref="AH17" si="27">AD17-AD16</f>
        <v>11.760026070610962</v>
      </c>
      <c r="AI17" s="236"/>
    </row>
    <row r="18" spans="1:49" ht="14.25" customHeight="1">
      <c r="A18" s="201" t="str">
        <f>'Agg crdcrv'!C5</f>
        <v>FHL</v>
      </c>
      <c r="B18" s="201" t="str">
        <f t="shared" si="0"/>
        <v>IMPOILHL13</v>
      </c>
      <c r="C18" s="201" t="str">
        <f>CONCATENATE("Imported ",VLOOKUP($A18,Types!$A$13:$C$18,3,FALSE),", PADD ",RIGHT(F18,1),", Step ",RIGHT(E18,1))</f>
        <v>Imported Imported Oil-High Sulfur, Low G, PADD 1, Step 3</v>
      </c>
      <c r="D18" s="201" t="str">
        <f>CONCATENATE(VLOOKUP($A18,Types!$A$14:$C$18,2,FALSE),RIGHT(F18,1))</f>
        <v>OILHL1</v>
      </c>
      <c r="E18" s="201">
        <v>3</v>
      </c>
      <c r="F18" s="201" t="str">
        <f>'Agg crdcrv'!D5</f>
        <v>P1</v>
      </c>
      <c r="G18" s="244">
        <f>'Agg crdcrv'!H5*$K$5</f>
        <v>41.514000000000003</v>
      </c>
      <c r="H18" s="244">
        <f>'Agg crdcrv'!H10*K5</f>
        <v>50.187500000000007</v>
      </c>
      <c r="I18" s="244">
        <f>'Agg crdcrv'!H15*K5</f>
        <v>34.551000000000002</v>
      </c>
      <c r="J18" s="244">
        <f>'Agg crdcrv'!H20*K5</f>
        <v>36.410000000000004</v>
      </c>
      <c r="K18" s="245">
        <f>G18*Conv!$J$20/10^6/Conv!$C$47/Conv!$I$5</f>
        <v>9.9866522249875622</v>
      </c>
      <c r="L18" s="245">
        <f>H18*Conv!$J$20/10^6/Conv!$C$47/Conv!$I$5</f>
        <v>12.073158658321612</v>
      </c>
      <c r="M18" s="245">
        <f>L18*'Imported Price Trends'!$K$10</f>
        <v>13.639254369379731</v>
      </c>
      <c r="N18" s="245">
        <f>M18*'Imported Price Trends'!$L$10</f>
        <v>13.507908269789667</v>
      </c>
      <c r="O18" s="245">
        <f>N18*'Imported Price Trends'!$M$10</f>
        <v>15.339691966629976</v>
      </c>
      <c r="P18" s="245">
        <f>O18*'Imported Price Trends'!$N$10</f>
        <v>16.751333885539939</v>
      </c>
      <c r="Q18" s="245">
        <f>P18*'Imported Price Trends'!$O$10</f>
        <v>18.374724116881993</v>
      </c>
      <c r="R18" s="245">
        <f>Q18*'Imported Price Trends'!$O$10</f>
        <v>20.15543888495791</v>
      </c>
      <c r="S18" s="245">
        <f>R18*'Imported Price Trends'!$O$10</f>
        <v>22.108724684036698</v>
      </c>
      <c r="T18" s="245">
        <f>S18*'Imported Price Trends'!$O$10</f>
        <v>24.251305562952734</v>
      </c>
      <c r="U18" s="245">
        <f>T18*'Imported Price Trends'!$O$10</f>
        <v>26.60152631654735</v>
      </c>
      <c r="V18" s="227"/>
      <c r="W18" s="201">
        <f>'Agg crdcrv'!F5</f>
        <v>93.86</v>
      </c>
      <c r="X18" s="201">
        <f>'Agg crdcrv'!F10</f>
        <v>79.84</v>
      </c>
      <c r="Y18" s="201">
        <f>'Agg crdcrv'!F15</f>
        <v>8.02</v>
      </c>
      <c r="Z18" s="201">
        <f>'Agg crdcrv'!F20</f>
        <v>8.85</v>
      </c>
      <c r="AA18" s="260">
        <f>W18*Conv!$C$47*Conv!$I$5*1000*365</f>
        <v>218.53020134380253</v>
      </c>
      <c r="AB18" s="260">
        <f>X18*Conv!$C$47*Conv!$I$5*1000*365</f>
        <v>185.88803830480708</v>
      </c>
      <c r="AC18" s="260">
        <f>Y18*Conv!$C$47*Conv!$I$5*1000*365</f>
        <v>18.672621082221351</v>
      </c>
      <c r="AD18" s="260">
        <f>Z18*Conv!$C$47*Conv!$I$5*1000*365</f>
        <v>20.605074386241768</v>
      </c>
      <c r="AE18" s="260">
        <f>AA18-AA20</f>
        <v>174.82416107504201</v>
      </c>
      <c r="AF18" s="260">
        <f t="shared" ref="AF18" si="28">AB18-AB20</f>
        <v>148.71043064384565</v>
      </c>
      <c r="AG18" s="260">
        <f t="shared" ref="AG18" si="29">AC18-AC20</f>
        <v>14.93809686577708</v>
      </c>
      <c r="AH18" s="260">
        <f t="shared" ref="AH18" si="30">AD18-AD20</f>
        <v>16.484059508993415</v>
      </c>
      <c r="AI18" s="223"/>
      <c r="AJ18" s="223"/>
      <c r="AK18" s="223"/>
      <c r="AL18" s="223"/>
      <c r="AM18" s="223"/>
      <c r="AN18" s="223"/>
      <c r="AO18" s="223"/>
      <c r="AP18" s="223"/>
      <c r="AQ18" s="223"/>
      <c r="AR18" s="223"/>
      <c r="AS18" s="223"/>
      <c r="AT18" s="223"/>
      <c r="AU18" s="223"/>
      <c r="AV18" s="223"/>
      <c r="AW18" s="223"/>
    </row>
    <row r="19" spans="1:49" ht="14.25" customHeight="1">
      <c r="A19" s="201" t="str">
        <f>A18</f>
        <v>FHL</v>
      </c>
      <c r="B19" s="201" t="str">
        <f t="shared" si="0"/>
        <v>IMPOILHL11</v>
      </c>
      <c r="C19" s="201" t="str">
        <f>CONCATENATE("Imported ",VLOOKUP($A19,Types!$A$13:$C$18,3,FALSE),", PADD ",RIGHT(F19,1),", Step ",RIGHT(E19,1))</f>
        <v>Imported Imported Oil-High Sulfur, Low G, PADD 1, Step 1</v>
      </c>
      <c r="D19" s="201" t="str">
        <f>D18</f>
        <v>OILHL1</v>
      </c>
      <c r="E19" s="201">
        <v>1</v>
      </c>
      <c r="F19" s="201" t="str">
        <f>F18</f>
        <v>P1</v>
      </c>
      <c r="G19" s="244">
        <f>G18*$C$5</f>
        <v>37.3626</v>
      </c>
      <c r="H19" s="244">
        <f t="shared" ref="H19" si="31">H18*$C$5</f>
        <v>45.16875000000001</v>
      </c>
      <c r="I19" s="244">
        <f t="shared" ref="I19" si="32">I18*$C$5</f>
        <v>31.095900000000004</v>
      </c>
      <c r="J19" s="244">
        <f t="shared" ref="J19" si="33">J18*$C$5</f>
        <v>32.769000000000005</v>
      </c>
      <c r="K19" s="245">
        <f>G19*Conv!$J$20/10^6/Conv!$C$47/Conv!$I$5</f>
        <v>8.987987002488806</v>
      </c>
      <c r="L19" s="245">
        <f>H19*Conv!$J$20/10^6/Conv!$C$47/Conv!$I$5</f>
        <v>10.865842792489451</v>
      </c>
      <c r="M19" s="245">
        <f>L19*'Imported Price Trends'!$K$10</f>
        <v>12.275328932441758</v>
      </c>
      <c r="N19" s="245">
        <f>M19*'Imported Price Trends'!$L$10</f>
        <v>12.1571174428107</v>
      </c>
      <c r="O19" s="245">
        <f>N19*'Imported Price Trends'!$M$10</f>
        <v>13.805722769966978</v>
      </c>
      <c r="P19" s="245">
        <f>O19*'Imported Price Trends'!$N$10</f>
        <v>15.076200496985946</v>
      </c>
      <c r="Q19" s="245">
        <f>P19*'Imported Price Trends'!$O$10</f>
        <v>16.537251705193796</v>
      </c>
      <c r="R19" s="245">
        <f>Q19*'Imported Price Trends'!$O$10</f>
        <v>18.139894996462122</v>
      </c>
      <c r="S19" s="245">
        <f>R19*'Imported Price Trends'!$O$10</f>
        <v>19.89785221563303</v>
      </c>
      <c r="T19" s="245">
        <f>S19*'Imported Price Trends'!$O$10</f>
        <v>21.826175006657461</v>
      </c>
      <c r="U19" s="245">
        <f>T19*'Imported Price Trends'!$O$10</f>
        <v>23.941373684892614</v>
      </c>
      <c r="V19" s="227"/>
      <c r="W19" s="261">
        <f>W18*$E$5</f>
        <v>9.386000000000001</v>
      </c>
      <c r="X19" s="261">
        <f t="shared" ref="X19" si="34">X18*$E$5</f>
        <v>7.9840000000000009</v>
      </c>
      <c r="Y19" s="261">
        <f t="shared" ref="Y19" si="35">Y18*$E$5</f>
        <v>0.80200000000000005</v>
      </c>
      <c r="Z19" s="261">
        <f t="shared" ref="Z19" si="36">Z18*$E$5</f>
        <v>0.88500000000000001</v>
      </c>
      <c r="AA19" s="260">
        <f>W19*Conv!$C$47*Conv!$I$5*1000*365</f>
        <v>21.853020134380252</v>
      </c>
      <c r="AB19" s="260">
        <f>X19*Conv!$C$47*Conv!$I$5*1000*365</f>
        <v>18.58880383048071</v>
      </c>
      <c r="AC19" s="260">
        <f>Y19*Conv!$C$47*Conv!$I$5*1000*365</f>
        <v>1.8672621082221355</v>
      </c>
      <c r="AD19" s="260">
        <f>Z19*Conv!$C$47*Conv!$I$5*1000*365</f>
        <v>2.0605074386241764</v>
      </c>
      <c r="AE19" s="260">
        <f>AA19</f>
        <v>21.853020134380252</v>
      </c>
      <c r="AF19" s="260">
        <f t="shared" ref="AF19" si="37">AB19</f>
        <v>18.58880383048071</v>
      </c>
      <c r="AG19" s="260">
        <f t="shared" ref="AG19" si="38">AC19</f>
        <v>1.8672621082221355</v>
      </c>
      <c r="AH19" s="260">
        <f t="shared" ref="AH19" si="39">AD19</f>
        <v>2.0605074386241764</v>
      </c>
      <c r="AI19" s="236"/>
    </row>
    <row r="20" spans="1:49" ht="14.25" customHeight="1">
      <c r="A20" s="201" t="str">
        <f t="shared" ref="A20:A22" si="40">A19</f>
        <v>FHL</v>
      </c>
      <c r="B20" s="201" t="str">
        <f t="shared" si="0"/>
        <v>IMPOILHL12</v>
      </c>
      <c r="C20" s="201" t="str">
        <f>CONCATENATE("Imported ",VLOOKUP($A20,Types!$A$13:$C$18,3,FALSE),", PADD ",RIGHT(F20,1),", Step ",RIGHT(E20,1))</f>
        <v>Imported Imported Oil-High Sulfur, Low G, PADD 1, Step 2</v>
      </c>
      <c r="D20" s="201" t="str">
        <f t="shared" ref="D20:D22" si="41">D19</f>
        <v>OILHL1</v>
      </c>
      <c r="E20" s="201">
        <v>2</v>
      </c>
      <c r="F20" s="201" t="str">
        <f t="shared" ref="F20:F22" si="42">F19</f>
        <v>P1</v>
      </c>
      <c r="G20" s="244">
        <f>G18*$C$6</f>
        <v>39.438299999999998</v>
      </c>
      <c r="H20" s="244">
        <f t="shared" ref="H20:J20" si="43">H18*$C$6</f>
        <v>47.678125000000001</v>
      </c>
      <c r="I20" s="244">
        <f t="shared" si="43"/>
        <v>32.823450000000001</v>
      </c>
      <c r="J20" s="244">
        <f t="shared" si="43"/>
        <v>34.589500000000001</v>
      </c>
      <c r="K20" s="245">
        <f>G20*Conv!$J$20/10^6/Conv!$C$47/Conv!$I$5</f>
        <v>9.487319613738185</v>
      </c>
      <c r="L20" s="245">
        <f>H20*Conv!$J$20/10^6/Conv!$C$47/Conv!$I$5</f>
        <v>11.469500725405531</v>
      </c>
      <c r="M20" s="245">
        <f>L20*'Imported Price Trends'!$K$10</f>
        <v>12.957291650910745</v>
      </c>
      <c r="N20" s="245">
        <f>M20*'Imported Price Trends'!$L$10</f>
        <v>12.832512856300184</v>
      </c>
      <c r="O20" s="245">
        <f>N20*'Imported Price Trends'!$M$10</f>
        <v>14.572707368298477</v>
      </c>
      <c r="P20" s="245">
        <f>O20*'Imported Price Trends'!$N$10</f>
        <v>15.913767191262943</v>
      </c>
      <c r="Q20" s="245">
        <f>P20*'Imported Price Trends'!$O$10</f>
        <v>17.455987911037894</v>
      </c>
      <c r="R20" s="245">
        <f>Q20*'Imported Price Trends'!$O$10</f>
        <v>19.147666940710014</v>
      </c>
      <c r="S20" s="245">
        <f>R20*'Imported Price Trends'!$O$10</f>
        <v>21.003288449834862</v>
      </c>
      <c r="T20" s="245">
        <f>S20*'Imported Price Trends'!$O$10</f>
        <v>23.038740284805094</v>
      </c>
      <c r="U20" s="245">
        <f>T20*'Imported Price Trends'!$O$10</f>
        <v>25.271450000719977</v>
      </c>
      <c r="V20" s="227"/>
      <c r="W20" s="261">
        <f>W18*$E$6</f>
        <v>18.772000000000002</v>
      </c>
      <c r="X20" s="261">
        <f t="shared" ref="X20:Z20" si="44">X18*$E$6</f>
        <v>15.968000000000002</v>
      </c>
      <c r="Y20" s="261">
        <f t="shared" si="44"/>
        <v>1.6040000000000001</v>
      </c>
      <c r="Z20" s="261">
        <f t="shared" si="44"/>
        <v>1.77</v>
      </c>
      <c r="AA20" s="260">
        <f>W20*Conv!$C$47*Conv!$I$5*1000*365</f>
        <v>43.706040268760503</v>
      </c>
      <c r="AB20" s="260">
        <f>X20*Conv!$C$47*Conv!$I$5*1000*365</f>
        <v>37.177607660961421</v>
      </c>
      <c r="AC20" s="260">
        <f>Y20*Conv!$C$47*Conv!$I$5*1000*365</f>
        <v>3.7345242164442709</v>
      </c>
      <c r="AD20" s="260">
        <f>Z20*Conv!$C$47*Conv!$I$5*1000*365</f>
        <v>4.1210148772483528</v>
      </c>
      <c r="AE20" s="260">
        <f>AA20-AE19</f>
        <v>21.853020134380252</v>
      </c>
      <c r="AF20" s="260">
        <f t="shared" ref="AF20" si="45">AB20-AF19</f>
        <v>18.58880383048071</v>
      </c>
      <c r="AG20" s="260">
        <f t="shared" ref="AG20" si="46">AC20-AG19</f>
        <v>1.8672621082221355</v>
      </c>
      <c r="AH20" s="260">
        <f t="shared" ref="AH20" si="47">AD20-AH19</f>
        <v>2.0605074386241764</v>
      </c>
      <c r="AI20" s="236"/>
    </row>
    <row r="21" spans="1:49" ht="14.25" customHeight="1">
      <c r="A21" s="201" t="str">
        <f t="shared" si="40"/>
        <v>FHL</v>
      </c>
      <c r="B21" s="201" t="str">
        <f t="shared" si="0"/>
        <v>IMPOILHL14</v>
      </c>
      <c r="C21" s="201" t="str">
        <f>CONCATENATE("Imported ",VLOOKUP($A21,Types!$A$13:$C$18,3,FALSE),", PADD ",RIGHT(F21,1),", Step ",RIGHT(E21,1))</f>
        <v>Imported Imported Oil-High Sulfur, Low G, PADD 1, Step 4</v>
      </c>
      <c r="D21" s="201" t="str">
        <f t="shared" si="41"/>
        <v>OILHL1</v>
      </c>
      <c r="E21" s="201">
        <v>4</v>
      </c>
      <c r="F21" s="201" t="str">
        <f t="shared" si="42"/>
        <v>P1</v>
      </c>
      <c r="G21" s="244">
        <f>G18*$C$8</f>
        <v>43.589700000000008</v>
      </c>
      <c r="H21" s="244">
        <f t="shared" ref="H21:J21" si="48">H18*$C$8</f>
        <v>52.696875000000013</v>
      </c>
      <c r="I21" s="244">
        <f t="shared" si="48"/>
        <v>36.278550000000003</v>
      </c>
      <c r="J21" s="244">
        <f t="shared" si="48"/>
        <v>38.230500000000006</v>
      </c>
      <c r="K21" s="245">
        <f>G21*Conv!$J$20/10^6/Conv!$C$47/Conv!$I$5</f>
        <v>10.485984836236943</v>
      </c>
      <c r="L21" s="245">
        <f>H21*Conv!$J$20/10^6/Conv!$C$47/Conv!$I$5</f>
        <v>12.676816591237694</v>
      </c>
      <c r="M21" s="245">
        <f>L21*'Imported Price Trends'!$K$10</f>
        <v>14.321217087848719</v>
      </c>
      <c r="N21" s="245">
        <f>M21*'Imported Price Trends'!$L$10</f>
        <v>14.183303683279151</v>
      </c>
      <c r="O21" s="245">
        <f>N21*'Imported Price Trends'!$M$10</f>
        <v>16.106676564961475</v>
      </c>
      <c r="P21" s="245">
        <f>O21*'Imported Price Trends'!$N$10</f>
        <v>17.588900579816936</v>
      </c>
      <c r="Q21" s="245">
        <f>P21*'Imported Price Trends'!$O$10</f>
        <v>19.293460322726094</v>
      </c>
      <c r="R21" s="245">
        <f>Q21*'Imported Price Trends'!$O$10</f>
        <v>21.163210829205806</v>
      </c>
      <c r="S21" s="245">
        <f>R21*'Imported Price Trends'!$O$10</f>
        <v>23.214160918238534</v>
      </c>
      <c r="T21" s="245">
        <f>S21*'Imported Price Trends'!$O$10</f>
        <v>25.46387084110037</v>
      </c>
      <c r="U21" s="245">
        <f>T21*'Imported Price Trends'!$O$10</f>
        <v>27.931602632374716</v>
      </c>
      <c r="V21" s="227"/>
      <c r="W21" s="261">
        <f>W18*$E$8</f>
        <v>112.63199999999999</v>
      </c>
      <c r="X21" s="261">
        <f t="shared" ref="X21:Z21" si="49">X18*$E$8</f>
        <v>95.808000000000007</v>
      </c>
      <c r="Y21" s="261">
        <f t="shared" si="49"/>
        <v>9.6239999999999988</v>
      </c>
      <c r="Z21" s="261">
        <f t="shared" si="49"/>
        <v>10.62</v>
      </c>
      <c r="AA21" s="260">
        <f>W21*Conv!$C$47*Conv!$I$5*1000*365</f>
        <v>262.23624161256299</v>
      </c>
      <c r="AB21" s="260">
        <f>X21*Conv!$C$47*Conv!$I$5*1000*365</f>
        <v>223.06564596576854</v>
      </c>
      <c r="AC21" s="260">
        <f>Y21*Conv!$C$47*Conv!$I$5*1000*365</f>
        <v>22.407145298665618</v>
      </c>
      <c r="AD21" s="260">
        <f>Z21*Conv!$C$47*Conv!$I$5*1000*365</f>
        <v>24.726089263490113</v>
      </c>
      <c r="AE21" s="260">
        <f>AA21-AA18</f>
        <v>43.706040268760461</v>
      </c>
      <c r="AF21" s="260">
        <f t="shared" ref="AF21" si="50">AB21-AB18</f>
        <v>37.177607660961456</v>
      </c>
      <c r="AG21" s="260">
        <f t="shared" ref="AG21" si="51">AC21-AC18</f>
        <v>3.7345242164442674</v>
      </c>
      <c r="AH21" s="260">
        <f t="shared" ref="AH21" si="52">AD21-AD18</f>
        <v>4.1210148772483457</v>
      </c>
      <c r="AI21" s="236"/>
    </row>
    <row r="22" spans="1:49" ht="14.25" customHeight="1">
      <c r="A22" s="201" t="str">
        <f t="shared" si="40"/>
        <v>FHL</v>
      </c>
      <c r="B22" s="201" t="str">
        <f t="shared" si="0"/>
        <v>IMPOILHL15</v>
      </c>
      <c r="C22" s="201" t="str">
        <f>CONCATENATE("Imported ",VLOOKUP($A22,Types!$A$13:$C$18,3,FALSE),", PADD ",RIGHT(F22,1),", Step ",RIGHT(E22,1))</f>
        <v>Imported Imported Oil-High Sulfur, Low G, PADD 1, Step 5</v>
      </c>
      <c r="D22" s="201" t="str">
        <f t="shared" si="41"/>
        <v>OILHL1</v>
      </c>
      <c r="E22" s="201">
        <v>5</v>
      </c>
      <c r="F22" s="201" t="str">
        <f t="shared" si="42"/>
        <v>P1</v>
      </c>
      <c r="G22" s="244">
        <f>G18*$C$9</f>
        <v>53.968200000000003</v>
      </c>
      <c r="H22" s="244">
        <f t="shared" ref="H22:J22" si="53">H18*$C$9</f>
        <v>65.243750000000006</v>
      </c>
      <c r="I22" s="244">
        <f t="shared" si="53"/>
        <v>44.916300000000007</v>
      </c>
      <c r="J22" s="244">
        <f t="shared" si="53"/>
        <v>47.333000000000006</v>
      </c>
      <c r="K22" s="245">
        <f>G22*Conv!$J$20/10^6/Conv!$C$47/Conv!$I$5</f>
        <v>12.982647892483834</v>
      </c>
      <c r="L22" s="245">
        <f>H22*Conv!$J$20/10^6/Conv!$C$47/Conv!$I$5</f>
        <v>15.695106255818095</v>
      </c>
      <c r="M22" s="245">
        <f>L22*'Imported Price Trends'!$K$10</f>
        <v>17.731030680193651</v>
      </c>
      <c r="N22" s="245">
        <f>M22*'Imported Price Trends'!$L$10</f>
        <v>17.560280750726566</v>
      </c>
      <c r="O22" s="245">
        <f>N22*'Imported Price Trends'!$M$10</f>
        <v>19.941599556618968</v>
      </c>
      <c r="P22" s="245">
        <f>O22*'Imported Price Trends'!$N$10</f>
        <v>21.77673405120192</v>
      </c>
      <c r="Q22" s="245">
        <f>P22*'Imported Price Trends'!$O$10</f>
        <v>23.887141351946592</v>
      </c>
      <c r="R22" s="245">
        <f>Q22*'Imported Price Trends'!$O$10</f>
        <v>26.202070550445285</v>
      </c>
      <c r="S22" s="245">
        <f>R22*'Imported Price Trends'!$O$10</f>
        <v>28.741342089247709</v>
      </c>
      <c r="T22" s="245">
        <f>S22*'Imported Price Trends'!$O$10</f>
        <v>31.526697231838554</v>
      </c>
      <c r="U22" s="245">
        <f>T22*'Imported Price Trends'!$O$10</f>
        <v>34.581984211511553</v>
      </c>
      <c r="V22" s="227"/>
      <c r="W22" s="261">
        <f>W18*$E$9</f>
        <v>122.018</v>
      </c>
      <c r="X22" s="261">
        <f t="shared" ref="X22:Z22" si="54">X18*$E$9</f>
        <v>103.792</v>
      </c>
      <c r="Y22" s="261">
        <f t="shared" si="54"/>
        <v>10.426</v>
      </c>
      <c r="Z22" s="261">
        <f t="shared" si="54"/>
        <v>11.505000000000001</v>
      </c>
      <c r="AA22" s="260">
        <f>W22*Conv!$C$47*Conv!$I$5*1000*365</f>
        <v>284.08926174694324</v>
      </c>
      <c r="AB22" s="260">
        <f>X22*Conv!$C$47*Conv!$I$5*1000*365</f>
        <v>241.6544497962492</v>
      </c>
      <c r="AC22" s="260">
        <f>Y22*Conv!$C$47*Conv!$I$5*1000*365</f>
        <v>24.274407406887757</v>
      </c>
      <c r="AD22" s="260">
        <f>Z22*Conv!$C$47*Conv!$I$5*1000*365</f>
        <v>26.786596702114302</v>
      </c>
      <c r="AE22" s="260">
        <f>AA22-AA21</f>
        <v>21.853020134380245</v>
      </c>
      <c r="AF22" s="260">
        <f t="shared" ref="AF22" si="55">AB22-AB21</f>
        <v>18.588803830480657</v>
      </c>
      <c r="AG22" s="260">
        <f t="shared" ref="AG22" si="56">AC22-AC21</f>
        <v>1.867262108222139</v>
      </c>
      <c r="AH22" s="260">
        <f t="shared" ref="AH22" si="57">AD22-AD21</f>
        <v>2.0605074386241888</v>
      </c>
      <c r="AI22" s="236"/>
    </row>
    <row r="23" spans="1:49" ht="14.25" customHeight="1">
      <c r="A23" s="201" t="str">
        <f>'Agg crdcrv'!C6</f>
        <v>FHV</v>
      </c>
      <c r="B23" s="201" t="str">
        <f t="shared" si="0"/>
        <v>IMPOILHV13</v>
      </c>
      <c r="C23" s="201" t="str">
        <f>CONCATENATE("Imported ",VLOOKUP($A23,Types!$A$13:$C$18,3,FALSE),", PADD ",RIGHT(F23,1),", Step ",RIGHT(E23,1))</f>
        <v>Imported Imported Oil-High Sulfur, Very HG, PADD 1, Step 3</v>
      </c>
      <c r="D23" s="201" t="str">
        <f>CONCATENATE(VLOOKUP($A23,Types!$A$14:$C$18,2,FALSE),RIGHT(F23,1))</f>
        <v>OILHV1</v>
      </c>
      <c r="E23" s="201">
        <v>3</v>
      </c>
      <c r="F23" s="201" t="str">
        <f>'Agg crdcrv'!D6</f>
        <v>P1</v>
      </c>
      <c r="G23" s="244">
        <f>'Agg crdcrv'!H6*$K$5</f>
        <v>28.6</v>
      </c>
      <c r="H23" s="244">
        <f>'Agg crdcrv'!H11*K5</f>
        <v>45.993750000000006</v>
      </c>
      <c r="I23" s="244">
        <f>'Agg crdcrv'!H16*K5</f>
        <v>31.251000000000001</v>
      </c>
      <c r="J23" s="244">
        <f>'Agg crdcrv'!H21*K5</f>
        <v>33.088000000000001</v>
      </c>
      <c r="K23" s="245">
        <f>G23*Conv!$J$20/10^6/Conv!$C$47/Conv!$I$5</f>
        <v>6.8800465778928626</v>
      </c>
      <c r="L23" s="245">
        <f>H23*Conv!$J$20/10^6/Conv!$C$47/Conv!$I$5</f>
        <v>11.064305674544054</v>
      </c>
      <c r="M23" s="245">
        <f>L23*'Imported Price Trends'!$K$10</f>
        <v>12.499535853582248</v>
      </c>
      <c r="N23" s="245">
        <f>M23*'Imported Price Trends'!$L$10</f>
        <v>12.379165249985325</v>
      </c>
      <c r="O23" s="245">
        <f>N23*'Imported Price Trends'!$M$10</f>
        <v>14.057882089966375</v>
      </c>
      <c r="P23" s="245">
        <f>O23*'Imported Price Trends'!$N$10</f>
        <v>15.351564889624958</v>
      </c>
      <c r="Q23" s="245">
        <f>P23*'Imported Price Trends'!$O$10</f>
        <v>16.83930196464939</v>
      </c>
      <c r="R23" s="245">
        <f>Q23*'Imported Price Trends'!$O$10</f>
        <v>18.471217279502525</v>
      </c>
      <c r="S23" s="245">
        <f>R23*'Imported Price Trends'!$O$10</f>
        <v>20.261283306329524</v>
      </c>
      <c r="T23" s="245">
        <f>S23*'Imported Price Trends'!$O$10</f>
        <v>22.224826604952575</v>
      </c>
      <c r="U23" s="245">
        <f>T23*'Imported Price Trends'!$O$10</f>
        <v>24.378659049000245</v>
      </c>
      <c r="V23" s="227"/>
      <c r="W23" s="201">
        <f>'Agg crdcrv'!F6</f>
        <v>123.31</v>
      </c>
      <c r="X23" s="201">
        <f>'Agg crdcrv'!F11</f>
        <v>63.32</v>
      </c>
      <c r="Y23" s="201">
        <f>'Agg crdcrv'!F16</f>
        <v>21.34</v>
      </c>
      <c r="Z23" s="201">
        <f>'Agg crdcrv'!F21</f>
        <v>23.56</v>
      </c>
      <c r="AA23" s="260">
        <f>W23*Conv!$C$47*Conv!$I$5*1000*365</f>
        <v>287.09736978163528</v>
      </c>
      <c r="AB23" s="260">
        <f>X23*Conv!$C$47*Conv!$I$5*1000*365</f>
        <v>147.42523278382245</v>
      </c>
      <c r="AC23" s="260">
        <f>Y23*Conv!$C$47*Conv!$I$5*1000*365</f>
        <v>49.685004226259807</v>
      </c>
      <c r="AD23" s="260">
        <f>Z23*Conv!$C$47*Conv!$I$5*1000*365</f>
        <v>54.85373475026622</v>
      </c>
      <c r="AE23" s="260">
        <f>AA23-AA25</f>
        <v>229.67789582530821</v>
      </c>
      <c r="AF23" s="260">
        <f t="shared" ref="AF23" si="58">AB23-AB25</f>
        <v>117.94018622705795</v>
      </c>
      <c r="AG23" s="260">
        <f t="shared" ref="AG23" si="59">AC23-AC25</f>
        <v>39.748003381007848</v>
      </c>
      <c r="AH23" s="260">
        <f t="shared" ref="AH23" si="60">AD23-AD25</f>
        <v>43.882987800212973</v>
      </c>
      <c r="AI23" s="262"/>
      <c r="AJ23" s="262"/>
      <c r="AK23" s="262"/>
      <c r="AL23" s="262"/>
      <c r="AM23" s="262"/>
      <c r="AN23" s="262"/>
      <c r="AO23" s="262"/>
      <c r="AP23" s="262"/>
      <c r="AQ23" s="262"/>
      <c r="AR23" s="262"/>
      <c r="AS23" s="262"/>
      <c r="AT23" s="262"/>
      <c r="AU23" s="262"/>
      <c r="AV23" s="262"/>
      <c r="AW23" s="262"/>
    </row>
    <row r="24" spans="1:49" ht="14.25" customHeight="1">
      <c r="A24" s="201" t="str">
        <f>A23</f>
        <v>FHV</v>
      </c>
      <c r="B24" s="201" t="str">
        <f t="shared" si="0"/>
        <v>IMPOILHV11</v>
      </c>
      <c r="C24" s="201" t="str">
        <f>CONCATENATE("Imported ",VLOOKUP($A24,Types!$A$13:$C$18,3,FALSE),", PADD ",RIGHT(F24,1),", Step ",RIGHT(E24,1))</f>
        <v>Imported Imported Oil-High Sulfur, Very HG, PADD 1, Step 1</v>
      </c>
      <c r="D24" s="201" t="str">
        <f>D23</f>
        <v>OILHV1</v>
      </c>
      <c r="E24" s="201">
        <v>1</v>
      </c>
      <c r="F24" s="201" t="str">
        <f>F23</f>
        <v>P1</v>
      </c>
      <c r="G24" s="244">
        <f>G23*$C$5</f>
        <v>25.740000000000002</v>
      </c>
      <c r="H24" s="244">
        <f t="shared" ref="H24" si="61">H23*$C$5</f>
        <v>41.394375000000004</v>
      </c>
      <c r="I24" s="244">
        <f t="shared" ref="I24" si="62">I23*$C$5</f>
        <v>28.125900000000001</v>
      </c>
      <c r="J24" s="244">
        <f t="shared" ref="J24" si="63">J23*$C$5</f>
        <v>29.779200000000003</v>
      </c>
      <c r="K24" s="245">
        <f>G24*Conv!$J$20/10^6/Conv!$C$47/Conv!$I$5</f>
        <v>6.192041920103577</v>
      </c>
      <c r="L24" s="245">
        <f>H24*Conv!$J$20/10^6/Conv!$C$47/Conv!$I$5</f>
        <v>9.9578751070896452</v>
      </c>
      <c r="M24" s="245">
        <f>L24*'Imported Price Trends'!$K$10</f>
        <v>11.249582268224019</v>
      </c>
      <c r="N24" s="245">
        <f>M24*'Imported Price Trends'!$L$10</f>
        <v>11.14124872498679</v>
      </c>
      <c r="O24" s="245">
        <f>N24*'Imported Price Trends'!$M$10</f>
        <v>12.652093880969735</v>
      </c>
      <c r="P24" s="245">
        <f>O24*'Imported Price Trends'!$N$10</f>
        <v>13.816408400662461</v>
      </c>
      <c r="Q24" s="245">
        <f>P24*'Imported Price Trends'!$O$10</f>
        <v>15.155371768184448</v>
      </c>
      <c r="R24" s="245">
        <f>Q24*'Imported Price Trends'!$O$10</f>
        <v>16.624095551552269</v>
      </c>
      <c r="S24" s="245">
        <f>R24*'Imported Price Trends'!$O$10</f>
        <v>18.235154975696567</v>
      </c>
      <c r="T24" s="245">
        <f>S24*'Imported Price Trends'!$O$10</f>
        <v>20.002343944457312</v>
      </c>
      <c r="U24" s="245">
        <f>T24*'Imported Price Trends'!$O$10</f>
        <v>21.940793144100212</v>
      </c>
      <c r="V24" s="227"/>
      <c r="W24" s="261">
        <f>W23*$E$5</f>
        <v>12.331000000000001</v>
      </c>
      <c r="X24" s="261">
        <f t="shared" ref="X24" si="64">X23*$E$5</f>
        <v>6.3320000000000007</v>
      </c>
      <c r="Y24" s="261">
        <f t="shared" ref="Y24" si="65">Y23*$E$5</f>
        <v>2.1339999999999999</v>
      </c>
      <c r="Z24" s="261">
        <f t="shared" ref="Z24" si="66">Z23*$E$5</f>
        <v>2.3559999999999999</v>
      </c>
      <c r="AA24" s="260">
        <f>W24*Conv!$C$47*Conv!$I$5*1000*365</f>
        <v>28.709736978163527</v>
      </c>
      <c r="AB24" s="260">
        <f>X24*Conv!$C$47*Conv!$I$5*1000*365</f>
        <v>14.742523278382247</v>
      </c>
      <c r="AC24" s="260">
        <f>Y24*Conv!$C$47*Conv!$I$5*1000*365</f>
        <v>4.9685004226259801</v>
      </c>
      <c r="AD24" s="260">
        <f>Z24*Conv!$C$47*Conv!$I$5*1000*365</f>
        <v>5.4853734750266216</v>
      </c>
      <c r="AE24" s="260">
        <f>AA24</f>
        <v>28.709736978163527</v>
      </c>
      <c r="AF24" s="260">
        <f t="shared" ref="AF24" si="67">AB24</f>
        <v>14.742523278382247</v>
      </c>
      <c r="AG24" s="260">
        <f t="shared" ref="AG24" si="68">AC24</f>
        <v>4.9685004226259801</v>
      </c>
      <c r="AH24" s="260">
        <f t="shared" ref="AH24" si="69">AD24</f>
        <v>5.4853734750266216</v>
      </c>
      <c r="AI24" s="236"/>
    </row>
    <row r="25" spans="1:49" ht="14.25" customHeight="1">
      <c r="A25" s="201" t="str">
        <f t="shared" ref="A25:A27" si="70">A24</f>
        <v>FHV</v>
      </c>
      <c r="B25" s="201" t="str">
        <f t="shared" si="0"/>
        <v>IMPOILHV12</v>
      </c>
      <c r="C25" s="201" t="str">
        <f>CONCATENATE("Imported ",VLOOKUP($A25,Types!$A$13:$C$18,3,FALSE),", PADD ",RIGHT(F25,1),", Step ",RIGHT(E25,1))</f>
        <v>Imported Imported Oil-High Sulfur, Very HG, PADD 1, Step 2</v>
      </c>
      <c r="D25" s="201" t="str">
        <f t="shared" ref="D25:D27" si="71">D24</f>
        <v>OILHV1</v>
      </c>
      <c r="E25" s="201">
        <v>2</v>
      </c>
      <c r="F25" s="201" t="str">
        <f t="shared" ref="F25:F27" si="72">F24</f>
        <v>P1</v>
      </c>
      <c r="G25" s="244">
        <f>G23*$C$6</f>
        <v>27.17</v>
      </c>
      <c r="H25" s="244">
        <f t="shared" ref="H25:J25" si="73">H23*$C$6</f>
        <v>43.694062500000001</v>
      </c>
      <c r="I25" s="244">
        <f t="shared" si="73"/>
        <v>29.68845</v>
      </c>
      <c r="J25" s="244">
        <f t="shared" si="73"/>
        <v>31.433599999999998</v>
      </c>
      <c r="K25" s="245">
        <f>G25*Conv!$J$20/10^6/Conv!$C$47/Conv!$I$5</f>
        <v>6.5360442489982198</v>
      </c>
      <c r="L25" s="245">
        <f>H25*Conv!$J$20/10^6/Conv!$C$47/Conv!$I$5</f>
        <v>10.511090390816848</v>
      </c>
      <c r="M25" s="245">
        <f>L25*'Imported Price Trends'!$K$10</f>
        <v>11.874559060903133</v>
      </c>
      <c r="N25" s="245">
        <f>M25*'Imported Price Trends'!$L$10</f>
        <v>11.760206987486056</v>
      </c>
      <c r="O25" s="245">
        <f>N25*'Imported Price Trends'!$M$10</f>
        <v>13.354987985468053</v>
      </c>
      <c r="P25" s="245">
        <f>O25*'Imported Price Trends'!$N$10</f>
        <v>14.583986645143707</v>
      </c>
      <c r="Q25" s="245">
        <f>P25*'Imported Price Trends'!$O$10</f>
        <v>15.997336866416916</v>
      </c>
      <c r="R25" s="245">
        <f>Q25*'Imported Price Trends'!$O$10</f>
        <v>17.547656415527392</v>
      </c>
      <c r="S25" s="245">
        <f>R25*'Imported Price Trends'!$O$10</f>
        <v>19.248219141013042</v>
      </c>
      <c r="T25" s="245">
        <f>S25*'Imported Price Trends'!$O$10</f>
        <v>21.113585274704942</v>
      </c>
      <c r="U25" s="245">
        <f>T25*'Imported Price Trends'!$O$10</f>
        <v>23.159726096550227</v>
      </c>
      <c r="V25" s="227"/>
      <c r="W25" s="261">
        <f>W23*$E$6</f>
        <v>24.662000000000003</v>
      </c>
      <c r="X25" s="261">
        <f t="shared" ref="X25:Z25" si="74">X23*$E$6</f>
        <v>12.664000000000001</v>
      </c>
      <c r="Y25" s="261">
        <f t="shared" si="74"/>
        <v>4.2679999999999998</v>
      </c>
      <c r="Z25" s="261">
        <f t="shared" si="74"/>
        <v>4.7119999999999997</v>
      </c>
      <c r="AA25" s="260">
        <f>W25*Conv!$C$47*Conv!$I$5*1000*365</f>
        <v>57.419473956327053</v>
      </c>
      <c r="AB25" s="260">
        <f>X25*Conv!$C$47*Conv!$I$5*1000*365</f>
        <v>29.485046556764495</v>
      </c>
      <c r="AC25" s="260">
        <f>Y25*Conv!$C$47*Conv!$I$5*1000*365</f>
        <v>9.9370008452519603</v>
      </c>
      <c r="AD25" s="260">
        <f>Z25*Conv!$C$47*Conv!$I$5*1000*365</f>
        <v>10.970746950053243</v>
      </c>
      <c r="AE25" s="260">
        <f>AA25-AE24</f>
        <v>28.709736978163527</v>
      </c>
      <c r="AF25" s="260">
        <f t="shared" ref="AF25" si="75">AB25-AF24</f>
        <v>14.742523278382247</v>
      </c>
      <c r="AG25" s="260">
        <f t="shared" ref="AG25" si="76">AC25-AG24</f>
        <v>4.9685004226259801</v>
      </c>
      <c r="AH25" s="260">
        <f t="shared" ref="AH25" si="77">AD25-AH24</f>
        <v>5.4853734750266216</v>
      </c>
      <c r="AI25" s="236"/>
    </row>
    <row r="26" spans="1:49" ht="14.25" customHeight="1">
      <c r="A26" s="201" t="str">
        <f t="shared" si="70"/>
        <v>FHV</v>
      </c>
      <c r="B26" s="201" t="str">
        <f t="shared" si="0"/>
        <v>IMPOILHV14</v>
      </c>
      <c r="C26" s="201" t="str">
        <f>CONCATENATE("Imported ",VLOOKUP($A26,Types!$A$13:$C$18,3,FALSE),", PADD ",RIGHT(F26,1),", Step ",RIGHT(E26,1))</f>
        <v>Imported Imported Oil-High Sulfur, Very HG, PADD 1, Step 4</v>
      </c>
      <c r="D26" s="201" t="str">
        <f t="shared" si="71"/>
        <v>OILHV1</v>
      </c>
      <c r="E26" s="201">
        <v>4</v>
      </c>
      <c r="F26" s="201" t="str">
        <f t="shared" si="72"/>
        <v>P1</v>
      </c>
      <c r="G26" s="244">
        <f>G23*$C$8</f>
        <v>30.03</v>
      </c>
      <c r="H26" s="244">
        <f t="shared" ref="H26:J26" si="78">H23*$C$8</f>
        <v>48.29343750000001</v>
      </c>
      <c r="I26" s="244">
        <f t="shared" si="78"/>
        <v>32.813549999999999</v>
      </c>
      <c r="J26" s="244">
        <f t="shared" si="78"/>
        <v>34.742400000000004</v>
      </c>
      <c r="K26" s="245">
        <f>G26*Conv!$J$20/10^6/Conv!$C$47/Conv!$I$5</f>
        <v>7.2240489067875053</v>
      </c>
      <c r="L26" s="245">
        <f>H26*Conv!$J$20/10^6/Conv!$C$47/Conv!$I$5</f>
        <v>11.617520958271253</v>
      </c>
      <c r="M26" s="245">
        <f>L26*'Imported Price Trends'!$K$10</f>
        <v>13.124512646261357</v>
      </c>
      <c r="N26" s="245">
        <f>M26*'Imported Price Trends'!$L$10</f>
        <v>12.998123512484588</v>
      </c>
      <c r="O26" s="245">
        <f>N26*'Imported Price Trends'!$M$10</f>
        <v>14.76077619446469</v>
      </c>
      <c r="P26" s="245">
        <f>O26*'Imported Price Trends'!$N$10</f>
        <v>16.119143134106203</v>
      </c>
      <c r="Q26" s="245">
        <f>P26*'Imported Price Trends'!$O$10</f>
        <v>17.681267062881854</v>
      </c>
      <c r="R26" s="245">
        <f>Q26*'Imported Price Trends'!$O$10</f>
        <v>19.394778143477645</v>
      </c>
      <c r="S26" s="245">
        <f>R26*'Imported Price Trends'!$O$10</f>
        <v>21.274347471645992</v>
      </c>
      <c r="T26" s="245">
        <f>S26*'Imported Price Trends'!$O$10</f>
        <v>23.336067935200195</v>
      </c>
      <c r="U26" s="245">
        <f>T26*'Imported Price Trends'!$O$10</f>
        <v>25.597592001450245</v>
      </c>
      <c r="V26" s="227"/>
      <c r="W26" s="261">
        <f>W23*$E$8</f>
        <v>147.97200000000001</v>
      </c>
      <c r="X26" s="261">
        <f t="shared" ref="X26:Z26" si="79">X23*$E$8</f>
        <v>75.983999999999995</v>
      </c>
      <c r="Y26" s="261">
        <f t="shared" si="79"/>
        <v>25.608000000000001</v>
      </c>
      <c r="Z26" s="261">
        <f t="shared" si="79"/>
        <v>28.271999999999998</v>
      </c>
      <c r="AA26" s="260">
        <f>W26*Conv!$C$47*Conv!$I$5*1000*365</f>
        <v>344.51684373796235</v>
      </c>
      <c r="AB26" s="260">
        <f>X26*Conv!$C$47*Conv!$I$5*1000*365</f>
        <v>176.91027934058692</v>
      </c>
      <c r="AC26" s="260">
        <f>Y26*Conv!$C$47*Conv!$I$5*1000*365</f>
        <v>59.622005071511772</v>
      </c>
      <c r="AD26" s="260">
        <f>Z26*Conv!$C$47*Conv!$I$5*1000*365</f>
        <v>65.824481700319438</v>
      </c>
      <c r="AE26" s="260">
        <f>AA26-AA23</f>
        <v>57.419473956327067</v>
      </c>
      <c r="AF26" s="260">
        <f t="shared" ref="AF26" si="80">AB26-AB23</f>
        <v>29.485046556764473</v>
      </c>
      <c r="AG26" s="260">
        <f t="shared" ref="AG26" si="81">AC26-AC23</f>
        <v>9.9370008452519656</v>
      </c>
      <c r="AH26" s="260">
        <f t="shared" ref="AH26" si="82">AD26-AD23</f>
        <v>10.970746950053218</v>
      </c>
      <c r="AI26" s="236"/>
    </row>
    <row r="27" spans="1:49" ht="14.25" customHeight="1">
      <c r="A27" s="201" t="str">
        <f t="shared" si="70"/>
        <v>FHV</v>
      </c>
      <c r="B27" s="201" t="str">
        <f t="shared" si="0"/>
        <v>IMPOILHV15</v>
      </c>
      <c r="C27" s="201" t="str">
        <f>CONCATENATE("Imported ",VLOOKUP($A27,Types!$A$13:$C$18,3,FALSE),", PADD ",RIGHT(F27,1),", Step ",RIGHT(E27,1))</f>
        <v>Imported Imported Oil-High Sulfur, Very HG, PADD 1, Step 5</v>
      </c>
      <c r="D27" s="201" t="str">
        <f t="shared" si="71"/>
        <v>OILHV1</v>
      </c>
      <c r="E27" s="201">
        <v>5</v>
      </c>
      <c r="F27" s="201" t="str">
        <f t="shared" si="72"/>
        <v>P1</v>
      </c>
      <c r="G27" s="244">
        <f>G23*$C$9</f>
        <v>37.18</v>
      </c>
      <c r="H27" s="244">
        <f t="shared" ref="H27:J27" si="83">H23*$C$9</f>
        <v>59.791875000000012</v>
      </c>
      <c r="I27" s="244">
        <f t="shared" si="83"/>
        <v>40.626300000000001</v>
      </c>
      <c r="J27" s="244">
        <f t="shared" si="83"/>
        <v>43.014400000000002</v>
      </c>
      <c r="K27" s="245">
        <f>G27*Conv!$J$20/10^6/Conv!$C$47/Conv!$I$5</f>
        <v>8.944060551260721</v>
      </c>
      <c r="L27" s="245">
        <f>H27*Conv!$J$20/10^6/Conv!$C$47/Conv!$I$5</f>
        <v>14.383597376907268</v>
      </c>
      <c r="M27" s="245">
        <f>L27*'Imported Price Trends'!$K$10</f>
        <v>16.24939660965692</v>
      </c>
      <c r="N27" s="245">
        <f>M27*'Imported Price Trends'!$L$10</f>
        <v>16.09291482498092</v>
      </c>
      <c r="O27" s="245">
        <f>N27*'Imported Price Trends'!$M$10</f>
        <v>18.275246716956286</v>
      </c>
      <c r="P27" s="245">
        <f>O27*'Imported Price Trends'!$N$10</f>
        <v>19.957034356512445</v>
      </c>
      <c r="Q27" s="245">
        <f>P27*'Imported Price Trends'!$O$10</f>
        <v>21.891092554044203</v>
      </c>
      <c r="R27" s="245">
        <f>Q27*'Imported Price Trends'!$O$10</f>
        <v>24.012582463353276</v>
      </c>
      <c r="S27" s="245">
        <f>R27*'Imported Price Trends'!$O$10</f>
        <v>26.339668298228375</v>
      </c>
      <c r="T27" s="245">
        <f>S27*'Imported Price Trends'!$O$10</f>
        <v>28.89227458643834</v>
      </c>
      <c r="U27" s="245">
        <f>T27*'Imported Price Trends'!$O$10</f>
        <v>31.692256763700307</v>
      </c>
      <c r="V27" s="227"/>
      <c r="W27" s="261">
        <f>W23*$E$9</f>
        <v>160.303</v>
      </c>
      <c r="X27" s="261">
        <f t="shared" ref="X27:Z27" si="84">X23*$E$9</f>
        <v>82.316000000000003</v>
      </c>
      <c r="Y27" s="261">
        <f t="shared" si="84"/>
        <v>27.742000000000001</v>
      </c>
      <c r="Z27" s="261">
        <f t="shared" si="84"/>
        <v>30.628</v>
      </c>
      <c r="AA27" s="260">
        <f>W27*Conv!$C$47*Conv!$I$5*1000*365</f>
        <v>373.22658071612585</v>
      </c>
      <c r="AB27" s="260">
        <f>X27*Conv!$C$47*Conv!$I$5*1000*365</f>
        <v>191.65280261896919</v>
      </c>
      <c r="AC27" s="260">
        <f>Y27*Conv!$C$47*Conv!$I$5*1000*365</f>
        <v>64.590505494137759</v>
      </c>
      <c r="AD27" s="260">
        <f>Z27*Conv!$C$47*Conv!$I$5*1000*365</f>
        <v>71.309855175346087</v>
      </c>
      <c r="AE27" s="260">
        <f>AA27-AA26</f>
        <v>28.709736978163505</v>
      </c>
      <c r="AF27" s="260">
        <f t="shared" ref="AF27" si="85">AB27-AB26</f>
        <v>14.742523278382265</v>
      </c>
      <c r="AG27" s="260">
        <f t="shared" ref="AG27" si="86">AC27-AC26</f>
        <v>4.9685004226259863</v>
      </c>
      <c r="AH27" s="260">
        <f t="shared" ref="AH27" si="87">AD27-AD26</f>
        <v>5.4853734750266483</v>
      </c>
      <c r="AI27" s="236"/>
    </row>
    <row r="28" spans="1:49" ht="14.25" customHeight="1">
      <c r="A28" s="201" t="str">
        <f>'Agg crdcrv'!C7</f>
        <v>FLL</v>
      </c>
      <c r="B28" s="201" t="str">
        <f t="shared" si="0"/>
        <v>IMPOILLL13</v>
      </c>
      <c r="C28" s="201" t="str">
        <f>CONCATENATE("Imported ",VLOOKUP($A28,Types!$A$13:$C$18,3,FALSE),", PADD ",RIGHT(F28,1),", Step ",RIGHT(E28,1))</f>
        <v>Imported Imported Oil-Low Sulfur, Low G, PADD 1, Step 3</v>
      </c>
      <c r="D28" s="201" t="str">
        <f>CONCATENATE(VLOOKUP($A28,Types!$A$14:$C$18,2,FALSE),RIGHT(F28,1))</f>
        <v>OILLL1</v>
      </c>
      <c r="E28" s="201">
        <v>3</v>
      </c>
      <c r="F28" s="201" t="str">
        <f>'Agg crdcrv'!D7</f>
        <v>P1</v>
      </c>
      <c r="G28" s="244">
        <f>'Agg crdcrv'!H7*K5</f>
        <v>40.260000000000005</v>
      </c>
      <c r="H28" s="244">
        <f>'Agg crdcrv'!H12*K5</f>
        <v>60.981250000000003</v>
      </c>
      <c r="I28" s="244">
        <f>'Agg crdcrv'!H17*K5</f>
        <v>42.283999999999999</v>
      </c>
      <c r="J28" s="244">
        <f>'Agg crdcrv'!H22*K5</f>
        <v>44.440000000000005</v>
      </c>
      <c r="K28" s="245">
        <f>G28*Conv!$J$20/10^6/Conv!$C$47/Conv!$I$5</f>
        <v>9.6849886442645694</v>
      </c>
      <c r="L28" s="245">
        <f>H28*Conv!$J$20/10^6/Conv!$C$47/Conv!$I$5</f>
        <v>14.669714698535982</v>
      </c>
      <c r="M28" s="245">
        <f>L28*'Imported Price Trends'!$K$10</f>
        <v>16.572628254301122</v>
      </c>
      <c r="N28" s="245">
        <f>M28*'Imported Price Trends'!$L$10</f>
        <v>16.413033746991001</v>
      </c>
      <c r="O28" s="245">
        <f>N28*'Imported Price Trends'!$M$10</f>
        <v>18.638776403288745</v>
      </c>
      <c r="P28" s="245">
        <f>O28*'Imported Price Trends'!$N$10</f>
        <v>20.354018022567015</v>
      </c>
      <c r="Q28" s="245">
        <f>P28*'Imported Price Trends'!$O$10</f>
        <v>22.326548344759345</v>
      </c>
      <c r="R28" s="245">
        <f>Q28*'Imported Price Trends'!$O$10</f>
        <v>24.49023875473652</v>
      </c>
      <c r="S28" s="245">
        <f>R28*'Imported Price Trends'!$O$10</f>
        <v>26.863614787315814</v>
      </c>
      <c r="T28" s="245">
        <f>S28*'Imported Price Trends'!$O$10</f>
        <v>29.46699730731379</v>
      </c>
      <c r="U28" s="245">
        <f>T28*'Imported Price Trends'!$O$10</f>
        <v>32.322676496955467</v>
      </c>
      <c r="V28" s="227"/>
      <c r="W28" s="201">
        <f>'Agg crdcrv'!F7</f>
        <v>1062.18</v>
      </c>
      <c r="X28" s="201">
        <f>'Agg crdcrv'!F12</f>
        <v>891.61</v>
      </c>
      <c r="Y28" s="201">
        <f>'Agg crdcrv'!F17</f>
        <v>13.24</v>
      </c>
      <c r="Z28" s="201">
        <f>'Agg crdcrv'!F22</f>
        <v>14.61</v>
      </c>
      <c r="AA28" s="260">
        <f>W28*Conv!$C$47*Conv!$I$5*1000*365</f>
        <v>2473.0280126077155</v>
      </c>
      <c r="AB28" s="260">
        <f>X28*Conv!$C$47*Conv!$I$5*1000*365</f>
        <v>2075.8972173465563</v>
      </c>
      <c r="AC28" s="260">
        <f>Y28*Conv!$C$47*Conv!$I$5*1000*365</f>
        <v>30.826122584614804</v>
      </c>
      <c r="AD28" s="260">
        <f>Z28*Conv!$C$47*Conv!$I$5*1000*365</f>
        <v>34.015834664744887</v>
      </c>
      <c r="AE28" s="260">
        <f>AA28-AA30</f>
        <v>1978.4224100861722</v>
      </c>
      <c r="AF28" s="260">
        <f t="shared" ref="AF28" si="88">AB28-AB30</f>
        <v>1660.717773877245</v>
      </c>
      <c r="AG28" s="260">
        <f t="shared" ref="AG28" si="89">AC28-AC30</f>
        <v>24.660898067691843</v>
      </c>
      <c r="AH28" s="260">
        <f t="shared" ref="AH28" si="90">AD28-AD30</f>
        <v>27.212667731795911</v>
      </c>
    </row>
    <row r="29" spans="1:49" ht="14.25" customHeight="1">
      <c r="A29" s="201" t="str">
        <f>A28</f>
        <v>FLL</v>
      </c>
      <c r="B29" s="201" t="str">
        <f t="shared" si="0"/>
        <v>IMPOILLL11</v>
      </c>
      <c r="C29" s="201" t="str">
        <f>CONCATENATE("Imported ",VLOOKUP($A29,Types!$A$13:$C$18,3,FALSE),", PADD ",RIGHT(F29,1),", Step ",RIGHT(E29,1))</f>
        <v>Imported Imported Oil-Low Sulfur, Low G, PADD 1, Step 1</v>
      </c>
      <c r="D29" s="201" t="str">
        <f>D28</f>
        <v>OILLL1</v>
      </c>
      <c r="E29" s="201">
        <v>1</v>
      </c>
      <c r="F29" s="201" t="str">
        <f>F28</f>
        <v>P1</v>
      </c>
      <c r="G29" s="244">
        <f>G28*$C$5</f>
        <v>36.234000000000009</v>
      </c>
      <c r="H29" s="244">
        <f t="shared" ref="H29" si="91">H28*$C$5</f>
        <v>54.883125000000007</v>
      </c>
      <c r="I29" s="244">
        <f t="shared" ref="I29" si="92">I28*$C$5</f>
        <v>38.055599999999998</v>
      </c>
      <c r="J29" s="244">
        <f t="shared" ref="J29" si="93">J28*$C$5</f>
        <v>39.996000000000002</v>
      </c>
      <c r="K29" s="245">
        <f>G29*Conv!$J$20/10^6/Conv!$C$47/Conv!$I$5</f>
        <v>8.7164897798381133</v>
      </c>
      <c r="L29" s="245">
        <f>H29*Conv!$J$20/10^6/Conv!$C$47/Conv!$I$5</f>
        <v>13.202743228682387</v>
      </c>
      <c r="M29" s="245">
        <f>L29*'Imported Price Trends'!$K$10</f>
        <v>14.915365428871013</v>
      </c>
      <c r="N29" s="245">
        <f>M29*'Imported Price Trends'!$L$10</f>
        <v>14.771730372291906</v>
      </c>
      <c r="O29" s="245">
        <f>N29*'Imported Price Trends'!$M$10</f>
        <v>16.774898762959875</v>
      </c>
      <c r="P29" s="245">
        <f>O29*'Imported Price Trends'!$N$10</f>
        <v>18.318616220310318</v>
      </c>
      <c r="Q29" s="245">
        <f>P29*'Imported Price Trends'!$O$10</f>
        <v>20.093893510283415</v>
      </c>
      <c r="R29" s="245">
        <f>Q29*'Imported Price Trends'!$O$10</f>
        <v>22.041214879262871</v>
      </c>
      <c r="S29" s="245">
        <f>R29*'Imported Price Trends'!$O$10</f>
        <v>24.177253308584234</v>
      </c>
      <c r="T29" s="245">
        <f>S29*'Imported Price Trends'!$O$10</f>
        <v>26.520297576582411</v>
      </c>
      <c r="U29" s="245">
        <f>T29*'Imported Price Trends'!$O$10</f>
        <v>29.090408847259919</v>
      </c>
      <c r="V29" s="227"/>
      <c r="W29" s="261">
        <f>W28*$E$5</f>
        <v>106.21800000000002</v>
      </c>
      <c r="X29" s="261">
        <f t="shared" ref="X29" si="94">X28*$E$5</f>
        <v>89.161000000000001</v>
      </c>
      <c r="Y29" s="261">
        <f t="shared" ref="Y29" si="95">Y28*$E$5</f>
        <v>1.3240000000000001</v>
      </c>
      <c r="Z29" s="261">
        <f t="shared" ref="Z29" si="96">Z28*$E$5</f>
        <v>1.4610000000000001</v>
      </c>
      <c r="AA29" s="260">
        <f>W29*Conv!$C$47*Conv!$I$5*1000*365</f>
        <v>247.30280126077159</v>
      </c>
      <c r="AB29" s="260">
        <f>X29*Conv!$C$47*Conv!$I$5*1000*365</f>
        <v>207.58972173465565</v>
      </c>
      <c r="AC29" s="260">
        <f>Y29*Conv!$C$47*Conv!$I$5*1000*365</f>
        <v>3.0826122584614803</v>
      </c>
      <c r="AD29" s="260">
        <f>Z29*Conv!$C$47*Conv!$I$5*1000*365</f>
        <v>3.4015834664744884</v>
      </c>
      <c r="AE29" s="260">
        <f>AA29</f>
        <v>247.30280126077159</v>
      </c>
      <c r="AF29" s="260">
        <f t="shared" ref="AF29" si="97">AB29</f>
        <v>207.58972173465565</v>
      </c>
      <c r="AG29" s="260">
        <f t="shared" ref="AG29" si="98">AC29</f>
        <v>3.0826122584614803</v>
      </c>
      <c r="AH29" s="260">
        <f t="shared" ref="AH29" si="99">AD29</f>
        <v>3.4015834664744884</v>
      </c>
      <c r="AI29" s="236"/>
    </row>
    <row r="30" spans="1:49" ht="14.25" customHeight="1">
      <c r="A30" s="201" t="str">
        <f t="shared" ref="A30:A32" si="100">A29</f>
        <v>FLL</v>
      </c>
      <c r="B30" s="201" t="str">
        <f t="shared" si="0"/>
        <v>IMPOILLL12</v>
      </c>
      <c r="C30" s="201" t="str">
        <f>CONCATENATE("Imported ",VLOOKUP($A30,Types!$A$13:$C$18,3,FALSE),", PADD ",RIGHT(F30,1),", Step ",RIGHT(E30,1))</f>
        <v>Imported Imported Oil-Low Sulfur, Low G, PADD 1, Step 2</v>
      </c>
      <c r="D30" s="201" t="str">
        <f t="shared" ref="D30:D32" si="101">D29</f>
        <v>OILLL1</v>
      </c>
      <c r="E30" s="201">
        <v>2</v>
      </c>
      <c r="F30" s="201" t="str">
        <f t="shared" ref="F30:F32" si="102">F29</f>
        <v>P1</v>
      </c>
      <c r="G30" s="244">
        <f>G28*$C$6</f>
        <v>38.247</v>
      </c>
      <c r="H30" s="244">
        <f t="shared" ref="H30:J30" si="103">H28*$C$6</f>
        <v>57.932187499999998</v>
      </c>
      <c r="I30" s="244">
        <f t="shared" si="103"/>
        <v>40.169799999999995</v>
      </c>
      <c r="J30" s="244">
        <f t="shared" si="103"/>
        <v>42.218000000000004</v>
      </c>
      <c r="K30" s="245">
        <f>G30*Conv!$J$20/10^6/Conv!$C$47/Conv!$I$5</f>
        <v>9.2007392120513387</v>
      </c>
      <c r="L30" s="245">
        <f>H30*Conv!$J$20/10^6/Conv!$C$47/Conv!$I$5</f>
        <v>13.936228963609183</v>
      </c>
      <c r="M30" s="245">
        <f>L30*'Imported Price Trends'!$K$10</f>
        <v>15.743996841586066</v>
      </c>
      <c r="N30" s="245">
        <f>M30*'Imported Price Trends'!$L$10</f>
        <v>15.592382059641452</v>
      </c>
      <c r="O30" s="245">
        <f>N30*'Imported Price Trends'!$M$10</f>
        <v>17.706837583124308</v>
      </c>
      <c r="P30" s="245">
        <f>O30*'Imported Price Trends'!$N$10</f>
        <v>19.336317121438665</v>
      </c>
      <c r="Q30" s="245">
        <f>P30*'Imported Price Trends'!$O$10</f>
        <v>21.21022092752138</v>
      </c>
      <c r="R30" s="245">
        <f>Q30*'Imported Price Trends'!$O$10</f>
        <v>23.265726816999695</v>
      </c>
      <c r="S30" s="245">
        <f>R30*'Imported Price Trends'!$O$10</f>
        <v>25.520434047950026</v>
      </c>
      <c r="T30" s="245">
        <f>S30*'Imported Price Trends'!$O$10</f>
        <v>27.993647441948102</v>
      </c>
      <c r="U30" s="245">
        <f>T30*'Imported Price Trends'!$O$10</f>
        <v>30.706542672107695</v>
      </c>
      <c r="V30" s="227"/>
      <c r="W30" s="261">
        <f>W28*$E$6</f>
        <v>212.43600000000004</v>
      </c>
      <c r="X30" s="261">
        <f t="shared" ref="X30:Z30" si="104">X28*$E$6</f>
        <v>178.322</v>
      </c>
      <c r="Y30" s="261">
        <f t="shared" si="104"/>
        <v>2.6480000000000001</v>
      </c>
      <c r="Z30" s="261">
        <f t="shared" si="104"/>
        <v>2.9220000000000002</v>
      </c>
      <c r="AA30" s="260">
        <f>W30*Conv!$C$47*Conv!$I$5*1000*365</f>
        <v>494.60560252154318</v>
      </c>
      <c r="AB30" s="260">
        <f>X30*Conv!$C$47*Conv!$I$5*1000*365</f>
        <v>415.17944346931131</v>
      </c>
      <c r="AC30" s="260">
        <f>Y30*Conv!$C$47*Conv!$I$5*1000*365</f>
        <v>6.1652245169229607</v>
      </c>
      <c r="AD30" s="260">
        <f>Z30*Conv!$C$47*Conv!$I$5*1000*365</f>
        <v>6.8031669329489768</v>
      </c>
      <c r="AE30" s="260">
        <f>AA30-AE29</f>
        <v>247.30280126077159</v>
      </c>
      <c r="AF30" s="260">
        <f t="shared" ref="AF30" si="105">AB30-AF29</f>
        <v>207.58972173465565</v>
      </c>
      <c r="AG30" s="260">
        <f t="shared" ref="AG30" si="106">AC30-AG29</f>
        <v>3.0826122584614803</v>
      </c>
      <c r="AH30" s="260">
        <f t="shared" ref="AH30" si="107">AD30-AH29</f>
        <v>3.4015834664744884</v>
      </c>
      <c r="AI30" s="236"/>
    </row>
    <row r="31" spans="1:49" ht="14.25" customHeight="1">
      <c r="A31" s="201" t="str">
        <f t="shared" si="100"/>
        <v>FLL</v>
      </c>
      <c r="B31" s="201" t="str">
        <f t="shared" si="0"/>
        <v>IMPOILLL14</v>
      </c>
      <c r="C31" s="201" t="str">
        <f>CONCATENATE("Imported ",VLOOKUP($A31,Types!$A$13:$C$18,3,FALSE),", PADD ",RIGHT(F31,1),", Step ",RIGHT(E31,1))</f>
        <v>Imported Imported Oil-Low Sulfur, Low G, PADD 1, Step 4</v>
      </c>
      <c r="D31" s="201" t="str">
        <f t="shared" si="101"/>
        <v>OILLL1</v>
      </c>
      <c r="E31" s="201">
        <v>4</v>
      </c>
      <c r="F31" s="201" t="str">
        <f t="shared" si="102"/>
        <v>P1</v>
      </c>
      <c r="G31" s="244">
        <f>G28*$C$8</f>
        <v>42.27300000000001</v>
      </c>
      <c r="H31" s="244">
        <f t="shared" ref="H31:J31" si="108">H28*$C$8</f>
        <v>64.030312500000008</v>
      </c>
      <c r="I31" s="244">
        <f t="shared" si="108"/>
        <v>44.398200000000003</v>
      </c>
      <c r="J31" s="244">
        <f t="shared" si="108"/>
        <v>46.662000000000006</v>
      </c>
      <c r="K31" s="245">
        <f>G31*Conv!$J$20/10^6/Conv!$C$47/Conv!$I$5</f>
        <v>10.169238076477798</v>
      </c>
      <c r="L31" s="245">
        <f>H31*Conv!$J$20/10^6/Conv!$C$47/Conv!$I$5</f>
        <v>15.403200433462786</v>
      </c>
      <c r="M31" s="245">
        <f>L31*'Imported Price Trends'!$K$10</f>
        <v>17.401259667016181</v>
      </c>
      <c r="N31" s="245">
        <f>M31*'Imported Price Trends'!$L$10</f>
        <v>17.233685434340554</v>
      </c>
      <c r="O31" s="245">
        <f>N31*'Imported Price Trends'!$M$10</f>
        <v>19.570715223453185</v>
      </c>
      <c r="P31" s="245">
        <f>O31*'Imported Price Trends'!$N$10</f>
        <v>21.371718923695369</v>
      </c>
      <c r="Q31" s="245">
        <f>P31*'Imported Price Trends'!$O$10</f>
        <v>23.442875761997318</v>
      </c>
      <c r="R31" s="245">
        <f>Q31*'Imported Price Trends'!$O$10</f>
        <v>25.714750692473352</v>
      </c>
      <c r="S31" s="245">
        <f>R31*'Imported Price Trends'!$O$10</f>
        <v>28.20679552668161</v>
      </c>
      <c r="T31" s="245">
        <f>S31*'Imported Price Trends'!$O$10</f>
        <v>30.940347172679484</v>
      </c>
      <c r="U31" s="245">
        <f>T31*'Imported Price Trends'!$O$10</f>
        <v>33.938810321803246</v>
      </c>
      <c r="V31" s="227"/>
      <c r="W31" s="261">
        <f>W28*$E$8</f>
        <v>1274.616</v>
      </c>
      <c r="X31" s="261">
        <f t="shared" ref="X31:Z31" si="109">X28*$E$8</f>
        <v>1069.932</v>
      </c>
      <c r="Y31" s="261">
        <f t="shared" si="109"/>
        <v>15.888</v>
      </c>
      <c r="Z31" s="261">
        <f t="shared" si="109"/>
        <v>17.532</v>
      </c>
      <c r="AA31" s="260">
        <f>W31*Conv!$C$47*Conv!$I$5*1000*365</f>
        <v>2967.6336151292585</v>
      </c>
      <c r="AB31" s="260">
        <f>X31*Conv!$C$47*Conv!$I$5*1000*365</f>
        <v>2491.0766608158674</v>
      </c>
      <c r="AC31" s="260">
        <f>Y31*Conv!$C$47*Conv!$I$5*1000*365</f>
        <v>36.991347101537762</v>
      </c>
      <c r="AD31" s="260">
        <f>Z31*Conv!$C$47*Conv!$I$5*1000*365</f>
        <v>40.819001597693862</v>
      </c>
      <c r="AE31" s="260">
        <f>AA31-AA28</f>
        <v>494.60560252154301</v>
      </c>
      <c r="AF31" s="260">
        <f t="shared" ref="AF31" si="110">AB31-AB28</f>
        <v>415.17944346931108</v>
      </c>
      <c r="AG31" s="260">
        <f t="shared" ref="AG31" si="111">AC31-AC28</f>
        <v>6.165224516922958</v>
      </c>
      <c r="AH31" s="260">
        <f t="shared" ref="AH31" si="112">AD31-AD28</f>
        <v>6.8031669329489759</v>
      </c>
      <c r="AI31" s="236"/>
    </row>
    <row r="32" spans="1:49" ht="14.25" customHeight="1">
      <c r="A32" s="201" t="str">
        <f t="shared" si="100"/>
        <v>FLL</v>
      </c>
      <c r="B32" s="201" t="str">
        <f t="shared" si="0"/>
        <v>IMPOILLL15</v>
      </c>
      <c r="C32" s="201" t="str">
        <f>CONCATENATE("Imported ",VLOOKUP($A32,Types!$A$13:$C$18,3,FALSE),", PADD ",RIGHT(F32,1),", Step ",RIGHT(E32,1))</f>
        <v>Imported Imported Oil-Low Sulfur, Low G, PADD 1, Step 5</v>
      </c>
      <c r="D32" s="201" t="str">
        <f t="shared" si="101"/>
        <v>OILLL1</v>
      </c>
      <c r="E32" s="201">
        <v>5</v>
      </c>
      <c r="F32" s="201" t="str">
        <f t="shared" si="102"/>
        <v>P1</v>
      </c>
      <c r="G32" s="244">
        <f>G28*$C$9</f>
        <v>52.338000000000008</v>
      </c>
      <c r="H32" s="244">
        <f t="shared" ref="H32:J32" si="113">H28*$C$9</f>
        <v>79.275625000000005</v>
      </c>
      <c r="I32" s="244">
        <f t="shared" si="113"/>
        <v>54.969200000000001</v>
      </c>
      <c r="J32" s="244">
        <f t="shared" si="113"/>
        <v>57.772000000000006</v>
      </c>
      <c r="K32" s="245">
        <f>G32*Conv!$J$20/10^6/Conv!$C$47/Conv!$I$5</f>
        <v>12.590485237543941</v>
      </c>
      <c r="L32" s="245">
        <f>H32*Conv!$J$20/10^6/Conv!$C$47/Conv!$I$5</f>
        <v>19.070629108096782</v>
      </c>
      <c r="M32" s="245">
        <f>L32*'Imported Price Trends'!$K$10</f>
        <v>21.544416730591465</v>
      </c>
      <c r="N32" s="245">
        <f>M32*'Imported Price Trends'!$L$10</f>
        <v>21.336943871088309</v>
      </c>
      <c r="O32" s="245">
        <f>N32*'Imported Price Trends'!$M$10</f>
        <v>24.230409324275378</v>
      </c>
      <c r="P32" s="245">
        <f>O32*'Imported Price Trends'!$N$10</f>
        <v>26.46022342933713</v>
      </c>
      <c r="Q32" s="245">
        <f>P32*'Imported Price Trends'!$O$10</f>
        <v>29.024512848187161</v>
      </c>
      <c r="R32" s="245">
        <f>Q32*'Imported Price Trends'!$O$10</f>
        <v>31.83731038115749</v>
      </c>
      <c r="S32" s="245">
        <f>R32*'Imported Price Trends'!$O$10</f>
        <v>34.922699223510577</v>
      </c>
      <c r="T32" s="245">
        <f>S32*'Imported Price Trends'!$O$10</f>
        <v>38.307096499507949</v>
      </c>
      <c r="U32" s="245">
        <f>T32*'Imported Price Trends'!$O$10</f>
        <v>42.019479446042126</v>
      </c>
      <c r="V32" s="227"/>
      <c r="W32" s="261">
        <f>W28*$E$9</f>
        <v>1380.8340000000001</v>
      </c>
      <c r="X32" s="261">
        <f t="shared" ref="X32:Z32" si="114">X28*$E$9</f>
        <v>1159.0930000000001</v>
      </c>
      <c r="Y32" s="261">
        <f t="shared" si="114"/>
        <v>17.212</v>
      </c>
      <c r="Z32" s="261">
        <f t="shared" si="114"/>
        <v>18.992999999999999</v>
      </c>
      <c r="AA32" s="260">
        <f>W32*Conv!$C$47*Conv!$I$5*1000*365</f>
        <v>3214.93641639003</v>
      </c>
      <c r="AB32" s="260">
        <f>X32*Conv!$C$47*Conv!$I$5*1000*365</f>
        <v>2698.6663825505229</v>
      </c>
      <c r="AC32" s="260">
        <f>Y32*Conv!$C$47*Conv!$I$5*1000*365</f>
        <v>40.073959359999243</v>
      </c>
      <c r="AD32" s="260">
        <f>Z32*Conv!$C$47*Conv!$I$5*1000*365</f>
        <v>44.220585064168347</v>
      </c>
      <c r="AE32" s="260">
        <f>AA32-AA31</f>
        <v>247.3028012607715</v>
      </c>
      <c r="AF32" s="260">
        <f t="shared" ref="AF32" si="115">AB32-AB31</f>
        <v>207.58972173465554</v>
      </c>
      <c r="AG32" s="260">
        <f t="shared" ref="AG32" si="116">AC32-AC31</f>
        <v>3.0826122584614808</v>
      </c>
      <c r="AH32" s="260">
        <f t="shared" ref="AH32" si="117">AD32-AD31</f>
        <v>3.4015834664744844</v>
      </c>
      <c r="AI32" s="236"/>
    </row>
    <row r="33" spans="1:37" ht="14.25" customHeight="1">
      <c r="A33" s="201" t="str">
        <f>'Agg crdcrv'!C8</f>
        <v>FMH</v>
      </c>
      <c r="B33" s="201" t="str">
        <f t="shared" si="0"/>
        <v>IMPOILMH13</v>
      </c>
      <c r="C33" s="201" t="str">
        <f>CONCATENATE("Imported ",VLOOKUP($A33,Types!$A$13:$C$18,3,FALSE),", PADD ",RIGHT(F33,1),", Step ",RIGHT(E33,1))</f>
        <v>Imported Imported Oil-Medium Sulfur, HG, PADD 1, Step 3</v>
      </c>
      <c r="D33" s="201" t="str">
        <f>CONCATENATE(VLOOKUP($A33,Types!$A$14:$C$18,2,FALSE),RIGHT(F33,1))</f>
        <v>OILMH1</v>
      </c>
      <c r="E33" s="201">
        <v>3</v>
      </c>
      <c r="F33" s="201" t="str">
        <f>'Agg crdcrv'!D8</f>
        <v>P1</v>
      </c>
      <c r="G33" s="244">
        <f>'Agg crdcrv'!H8*K5</f>
        <v>36.201000000000001</v>
      </c>
      <c r="H33" s="244">
        <f>'Agg crdcrv'!H13*K5</f>
        <v>50.105000000000004</v>
      </c>
      <c r="I33" s="244">
        <f>'Agg crdcrv'!H18*K5</f>
        <v>34.441000000000003</v>
      </c>
      <c r="J33" s="244">
        <f>'Agg crdcrv'!H23*K5</f>
        <v>36.32200000000001</v>
      </c>
      <c r="K33" s="245">
        <f>G33*Conv!$J$20/10^6/Conv!$C$47/Conv!$I$5</f>
        <v>8.7085512645559255</v>
      </c>
      <c r="L33" s="245">
        <f>H33*Conv!$J$20/10^6/Conv!$C$47/Conv!$I$5</f>
        <v>12.053312370116149</v>
      </c>
      <c r="M33" s="245">
        <f>L33*'Imported Price Trends'!$K$10</f>
        <v>13.61683367726568</v>
      </c>
      <c r="N33" s="245">
        <f>M33*'Imported Price Trends'!$L$10</f>
        <v>13.485703489072201</v>
      </c>
      <c r="O33" s="245">
        <f>N33*'Imported Price Trends'!$M$10</f>
        <v>15.314476034630031</v>
      </c>
      <c r="P33" s="245">
        <f>O33*'Imported Price Trends'!$N$10</f>
        <v>16.723797446276034</v>
      </c>
      <c r="Q33" s="245">
        <f>P33*'Imported Price Trends'!$O$10</f>
        <v>18.34451909093643</v>
      </c>
      <c r="R33" s="245">
        <f>Q33*'Imported Price Trends'!$O$10</f>
        <v>20.122306656653866</v>
      </c>
      <c r="S33" s="245">
        <f>R33*'Imported Price Trends'!$O$10</f>
        <v>22.072381574967043</v>
      </c>
      <c r="T33" s="245">
        <f>S33*'Imported Price Trends'!$O$10</f>
        <v>24.211440403123216</v>
      </c>
      <c r="U33" s="245">
        <f>T33*'Imported Price Trends'!$O$10</f>
        <v>26.557797780136578</v>
      </c>
      <c r="V33" s="227"/>
      <c r="W33" s="201">
        <f>'Agg crdcrv'!F8</f>
        <v>52.75</v>
      </c>
      <c r="X33" s="201">
        <f>'Agg crdcrv'!F13</f>
        <v>50.87</v>
      </c>
      <c r="Y33" s="201">
        <f>'Agg crdcrv'!F18</f>
        <v>15.65</v>
      </c>
      <c r="Z33" s="201">
        <f>'Agg crdcrv'!F23</f>
        <v>17.28</v>
      </c>
      <c r="AA33" s="260">
        <f>W33*Conv!$C$47*Conv!$I$5*1000*365</f>
        <v>122.81555636997211</v>
      </c>
      <c r="AB33" s="260">
        <f>X33*Conv!$C$47*Conv!$I$5*1000*365</f>
        <v>118.43843322351623</v>
      </c>
      <c r="AC33" s="260">
        <f>Y33*Conv!$C$47*Conv!$I$5*1000*365</f>
        <v>36.437221937252389</v>
      </c>
      <c r="AD33" s="260">
        <f>Z33*Conv!$C$47*Conv!$I$5*1000*365</f>
        <v>40.23228083550935</v>
      </c>
      <c r="AE33" s="260">
        <f>AA33-AA35</f>
        <v>98.252445095977691</v>
      </c>
      <c r="AF33" s="260">
        <f t="shared" ref="AF33" si="118">AB33-AB35</f>
        <v>94.750746578812979</v>
      </c>
      <c r="AG33" s="260">
        <f t="shared" ref="AG33" si="119">AC33-AC35</f>
        <v>29.149777549801911</v>
      </c>
      <c r="AH33" s="260">
        <f t="shared" ref="AH33" si="120">AD33-AD35</f>
        <v>32.185824668407477</v>
      </c>
    </row>
    <row r="34" spans="1:37" ht="14.25" customHeight="1">
      <c r="A34" s="201" t="str">
        <f>A33</f>
        <v>FMH</v>
      </c>
      <c r="B34" s="201" t="str">
        <f t="shared" ref="B34:B37" si="121">CONCATENATE("IMP",D34,E34)</f>
        <v>IMPOILMH11</v>
      </c>
      <c r="C34" s="201" t="str">
        <f>CONCATENATE("Imported ",VLOOKUP($A34,Types!$A$13:$C$18,3,FALSE),", PADD ",RIGHT(F34,1),", Step ",RIGHT(E34,1))</f>
        <v>Imported Imported Oil-Medium Sulfur, HG, PADD 1, Step 1</v>
      </c>
      <c r="D34" s="201" t="str">
        <f>D33</f>
        <v>OILMH1</v>
      </c>
      <c r="E34" s="201">
        <v>1</v>
      </c>
      <c r="F34" s="201" t="str">
        <f>F33</f>
        <v>P1</v>
      </c>
      <c r="G34" s="244">
        <f>G33*$C$5</f>
        <v>32.5809</v>
      </c>
      <c r="H34" s="244">
        <f t="shared" ref="H34" si="122">H33*$C$5</f>
        <v>45.094500000000004</v>
      </c>
      <c r="I34" s="244">
        <f t="shared" ref="I34" si="123">I33*$C$5</f>
        <v>30.996900000000004</v>
      </c>
      <c r="J34" s="244">
        <f t="shared" ref="J34" si="124">J33*$C$5</f>
        <v>32.689800000000012</v>
      </c>
      <c r="K34" s="245">
        <f>G34*Conv!$J$20/10^6/Conv!$C$47/Conv!$I$5</f>
        <v>7.8376961381003349</v>
      </c>
      <c r="L34" s="245">
        <f>H34*Conv!$J$20/10^6/Conv!$C$47/Conv!$I$5</f>
        <v>10.847981133104536</v>
      </c>
      <c r="M34" s="245">
        <f>L34*'Imported Price Trends'!$K$10</f>
        <v>12.255150309539113</v>
      </c>
      <c r="N34" s="245">
        <f>M34*'Imported Price Trends'!$L$10</f>
        <v>12.137133140164982</v>
      </c>
      <c r="O34" s="245">
        <f>N34*'Imported Price Trends'!$M$10</f>
        <v>13.783028431167031</v>
      </c>
      <c r="P34" s="245">
        <f>O34*'Imported Price Trends'!$N$10</f>
        <v>15.051417701648433</v>
      </c>
      <c r="Q34" s="245">
        <f>P34*'Imported Price Trends'!$O$10</f>
        <v>16.510067181842789</v>
      </c>
      <c r="R34" s="245">
        <f>Q34*'Imported Price Trends'!$O$10</f>
        <v>18.110075990988481</v>
      </c>
      <c r="S34" s="245">
        <f>R34*'Imported Price Trends'!$O$10</f>
        <v>19.865143417470343</v>
      </c>
      <c r="T34" s="245">
        <f>S34*'Imported Price Trends'!$O$10</f>
        <v>21.790296362810899</v>
      </c>
      <c r="U34" s="245">
        <f>T34*'Imported Price Trends'!$O$10</f>
        <v>23.902018002122926</v>
      </c>
      <c r="V34" s="227"/>
      <c r="W34" s="261">
        <f>W33*$E$5</f>
        <v>5.2750000000000004</v>
      </c>
      <c r="X34" s="261">
        <f t="shared" ref="X34" si="125">X33*$E$5</f>
        <v>5.0869999999999997</v>
      </c>
      <c r="Y34" s="261">
        <f t="shared" ref="Y34" si="126">Y33*$E$5</f>
        <v>1.5650000000000002</v>
      </c>
      <c r="Z34" s="261">
        <f t="shared" ref="Z34" si="127">Z33*$E$5</f>
        <v>1.7280000000000002</v>
      </c>
      <c r="AA34" s="260">
        <f>W34*Conv!$C$47*Conv!$I$5*1000*365</f>
        <v>12.281555636997211</v>
      </c>
      <c r="AB34" s="260">
        <f>X34*Conv!$C$47*Conv!$I$5*1000*365</f>
        <v>11.843843322351622</v>
      </c>
      <c r="AC34" s="260">
        <f>Y34*Conv!$C$47*Conv!$I$5*1000*365</f>
        <v>3.6437221937252389</v>
      </c>
      <c r="AD34" s="260">
        <f>Z34*Conv!$C$47*Conv!$I$5*1000*365</f>
        <v>4.0232280835509355</v>
      </c>
      <c r="AE34" s="260">
        <f>AA34</f>
        <v>12.281555636997211</v>
      </c>
      <c r="AF34" s="260">
        <f t="shared" ref="AF34" si="128">AB34</f>
        <v>11.843843322351622</v>
      </c>
      <c r="AG34" s="260">
        <f t="shared" ref="AG34" si="129">AC34</f>
        <v>3.6437221937252389</v>
      </c>
      <c r="AH34" s="260">
        <f t="shared" ref="AH34" si="130">AD34</f>
        <v>4.0232280835509355</v>
      </c>
      <c r="AI34" s="236"/>
    </row>
    <row r="35" spans="1:37" ht="14.25" customHeight="1">
      <c r="A35" s="201" t="str">
        <f t="shared" ref="A35:A37" si="131">A34</f>
        <v>FMH</v>
      </c>
      <c r="B35" s="201" t="str">
        <f t="shared" si="121"/>
        <v>IMPOILMH12</v>
      </c>
      <c r="C35" s="201" t="str">
        <f>CONCATENATE("Imported ",VLOOKUP($A35,Types!$A$13:$C$18,3,FALSE),", PADD ",RIGHT(F35,1),", Step ",RIGHT(E35,1))</f>
        <v>Imported Imported Oil-Medium Sulfur, HG, PADD 1, Step 2</v>
      </c>
      <c r="D35" s="201" t="str">
        <f t="shared" ref="D35:D37" si="132">D34</f>
        <v>OILMH1</v>
      </c>
      <c r="E35" s="201">
        <v>2</v>
      </c>
      <c r="F35" s="201" t="str">
        <f t="shared" ref="F35:F37" si="133">F34</f>
        <v>P1</v>
      </c>
      <c r="G35" s="244">
        <f>G33*$C$6</f>
        <v>34.390949999999997</v>
      </c>
      <c r="H35" s="244">
        <f t="shared" ref="H35:J35" si="134">H33*$C$6</f>
        <v>47.59975</v>
      </c>
      <c r="I35" s="244">
        <f t="shared" si="134"/>
        <v>32.71895</v>
      </c>
      <c r="J35" s="244">
        <f t="shared" si="134"/>
        <v>34.505900000000011</v>
      </c>
      <c r="K35" s="245">
        <f>G35*Conv!$J$20/10^6/Conv!$C$47/Conv!$I$5</f>
        <v>8.2731237013281316</v>
      </c>
      <c r="L35" s="245">
        <f>H35*Conv!$J$20/10^6/Conv!$C$47/Conv!$I$5</f>
        <v>11.450646751610343</v>
      </c>
      <c r="M35" s="245">
        <f>L35*'Imported Price Trends'!$K$10</f>
        <v>12.935991993402396</v>
      </c>
      <c r="N35" s="245">
        <f>M35*'Imported Price Trends'!$L$10</f>
        <v>12.811418314618592</v>
      </c>
      <c r="O35" s="245">
        <f>N35*'Imported Price Trends'!$M$10</f>
        <v>14.548752232898533</v>
      </c>
      <c r="P35" s="245">
        <f>O35*'Imported Price Trends'!$N$10</f>
        <v>15.887607573962235</v>
      </c>
      <c r="Q35" s="245">
        <f>P35*'Imported Price Trends'!$O$10</f>
        <v>17.427293136389611</v>
      </c>
      <c r="R35" s="245">
        <f>Q35*'Imported Price Trends'!$O$10</f>
        <v>19.116191323821173</v>
      </c>
      <c r="S35" s="245">
        <f>R35*'Imported Price Trends'!$O$10</f>
        <v>20.968762496218694</v>
      </c>
      <c r="T35" s="245">
        <f>S35*'Imported Price Trends'!$O$10</f>
        <v>23.000868382967059</v>
      </c>
      <c r="U35" s="245">
        <f>T35*'Imported Price Trends'!$O$10</f>
        <v>25.229907891129756</v>
      </c>
      <c r="V35" s="227"/>
      <c r="W35" s="261">
        <f>W33*$E$6</f>
        <v>10.55</v>
      </c>
      <c r="X35" s="261">
        <f t="shared" ref="X35:Z35" si="135">X33*$E$6</f>
        <v>10.173999999999999</v>
      </c>
      <c r="Y35" s="261">
        <f t="shared" si="135"/>
        <v>3.1300000000000003</v>
      </c>
      <c r="Z35" s="261">
        <f t="shared" si="135"/>
        <v>3.4560000000000004</v>
      </c>
      <c r="AA35" s="260">
        <f>W35*Conv!$C$47*Conv!$I$5*1000*365</f>
        <v>24.563111273994423</v>
      </c>
      <c r="AB35" s="260">
        <f>X35*Conv!$C$47*Conv!$I$5*1000*365</f>
        <v>23.687686644703245</v>
      </c>
      <c r="AC35" s="260">
        <f>Y35*Conv!$C$47*Conv!$I$5*1000*365</f>
        <v>7.2874443874504777</v>
      </c>
      <c r="AD35" s="260">
        <f>Z35*Conv!$C$47*Conv!$I$5*1000*365</f>
        <v>8.0464561671018711</v>
      </c>
      <c r="AE35" s="260">
        <f>AA35-AE34</f>
        <v>12.281555636997211</v>
      </c>
      <c r="AF35" s="260">
        <f t="shared" ref="AF35" si="136">AB35-AF34</f>
        <v>11.843843322351622</v>
      </c>
      <c r="AG35" s="260">
        <f t="shared" ref="AG35" si="137">AC35-AG34</f>
        <v>3.6437221937252389</v>
      </c>
      <c r="AH35" s="260">
        <f t="shared" ref="AH35" si="138">AD35-AH34</f>
        <v>4.0232280835509355</v>
      </c>
      <c r="AI35" s="236"/>
    </row>
    <row r="36" spans="1:37" ht="14.25" customHeight="1">
      <c r="A36" s="201" t="str">
        <f t="shared" si="131"/>
        <v>FMH</v>
      </c>
      <c r="B36" s="201" t="str">
        <f t="shared" si="121"/>
        <v>IMPOILMH14</v>
      </c>
      <c r="C36" s="201" t="str">
        <f>CONCATENATE("Imported ",VLOOKUP($A36,Types!$A$13:$C$18,3,FALSE),", PADD ",RIGHT(F36,1),", Step ",RIGHT(E36,1))</f>
        <v>Imported Imported Oil-Medium Sulfur, HG, PADD 1, Step 4</v>
      </c>
      <c r="D36" s="201" t="str">
        <f t="shared" si="132"/>
        <v>OILMH1</v>
      </c>
      <c r="E36" s="201">
        <v>4</v>
      </c>
      <c r="F36" s="201" t="str">
        <f t="shared" si="133"/>
        <v>P1</v>
      </c>
      <c r="G36" s="244">
        <f>G33*$C$8</f>
        <v>38.011050000000004</v>
      </c>
      <c r="H36" s="244">
        <f t="shared" ref="H36:J36" si="139">H33*$C$8</f>
        <v>52.610250000000008</v>
      </c>
      <c r="I36" s="244">
        <f t="shared" si="139"/>
        <v>36.163050000000005</v>
      </c>
      <c r="J36" s="244">
        <f t="shared" si="139"/>
        <v>38.138100000000009</v>
      </c>
      <c r="K36" s="245">
        <f>G36*Conv!$J$20/10^6/Conv!$C$47/Conv!$I$5</f>
        <v>9.1439788277837248</v>
      </c>
      <c r="L36" s="245">
        <f>H36*Conv!$J$20/10^6/Conv!$C$47/Conv!$I$5</f>
        <v>12.655977988621959</v>
      </c>
      <c r="M36" s="245">
        <f>L36*'Imported Price Trends'!$K$10</f>
        <v>14.297675361128967</v>
      </c>
      <c r="N36" s="245">
        <f>M36*'Imported Price Trends'!$L$10</f>
        <v>14.159988663525814</v>
      </c>
      <c r="O36" s="245">
        <f>N36*'Imported Price Trends'!$M$10</f>
        <v>16.080199836361537</v>
      </c>
      <c r="P36" s="245">
        <f>O36*'Imported Price Trends'!$N$10</f>
        <v>17.55998731858984</v>
      </c>
      <c r="Q36" s="245">
        <f>P36*'Imported Price Trends'!$O$10</f>
        <v>19.261745045483256</v>
      </c>
      <c r="R36" s="245">
        <f>Q36*'Imported Price Trends'!$O$10</f>
        <v>21.128421989486561</v>
      </c>
      <c r="S36" s="245">
        <f>R36*'Imported Price Trends'!$O$10</f>
        <v>23.176000653715398</v>
      </c>
      <c r="T36" s="245">
        <f>S36*'Imported Price Trends'!$O$10</f>
        <v>25.42201242327938</v>
      </c>
      <c r="U36" s="245">
        <f>T36*'Imported Price Trends'!$O$10</f>
        <v>27.885687669143412</v>
      </c>
      <c r="V36" s="227"/>
      <c r="W36" s="261">
        <f>W33*$E$8</f>
        <v>63.3</v>
      </c>
      <c r="X36" s="261">
        <f t="shared" ref="X36:Z36" si="140">X33*$E$8</f>
        <v>61.043999999999997</v>
      </c>
      <c r="Y36" s="261">
        <f t="shared" si="140"/>
        <v>18.78</v>
      </c>
      <c r="Z36" s="261">
        <f t="shared" si="140"/>
        <v>20.736000000000001</v>
      </c>
      <c r="AA36" s="260">
        <f>W36*Conv!$C$47*Conv!$I$5*1000*365</f>
        <v>147.37866764396651</v>
      </c>
      <c r="AB36" s="260">
        <f>X36*Conv!$C$47*Conv!$I$5*1000*365</f>
        <v>142.12611986821949</v>
      </c>
      <c r="AC36" s="260">
        <f>Y36*Conv!$C$47*Conv!$I$5*1000*365</f>
        <v>43.724666324702866</v>
      </c>
      <c r="AD36" s="260">
        <f>Z36*Conv!$C$47*Conv!$I$5*1000*365</f>
        <v>48.278737002611216</v>
      </c>
      <c r="AE36" s="260">
        <f>AA36-AA33</f>
        <v>24.563111273994394</v>
      </c>
      <c r="AF36" s="260">
        <f t="shared" ref="AF36" si="141">AB36-AB33</f>
        <v>23.687686644703263</v>
      </c>
      <c r="AG36" s="260">
        <f t="shared" ref="AG36" si="142">AC36-AC33</f>
        <v>7.2874443874504777</v>
      </c>
      <c r="AH36" s="260">
        <f t="shared" ref="AH36" si="143">AD36-AD33</f>
        <v>8.0464561671018657</v>
      </c>
      <c r="AI36" s="236"/>
    </row>
    <row r="37" spans="1:37" ht="14.25" customHeight="1">
      <c r="A37" s="201" t="str">
        <f t="shared" si="131"/>
        <v>FMH</v>
      </c>
      <c r="B37" s="201" t="str">
        <f t="shared" si="121"/>
        <v>IMPOILMH15</v>
      </c>
      <c r="C37" s="201" t="str">
        <f>CONCATENATE("Imported ",VLOOKUP($A37,Types!$A$13:$C$18,3,FALSE),", PADD ",RIGHT(F37,1),", Step ",RIGHT(E37,1))</f>
        <v>Imported Imported Oil-Medium Sulfur, HG, PADD 1, Step 5</v>
      </c>
      <c r="D37" s="201" t="str">
        <f t="shared" si="132"/>
        <v>OILMH1</v>
      </c>
      <c r="E37" s="201">
        <v>5</v>
      </c>
      <c r="F37" s="201" t="str">
        <f t="shared" si="133"/>
        <v>P1</v>
      </c>
      <c r="G37" s="244">
        <f>G33*$C$9</f>
        <v>47.061300000000003</v>
      </c>
      <c r="H37" s="244">
        <f t="shared" ref="H37:J37" si="144">H33*$C$9</f>
        <v>65.136500000000012</v>
      </c>
      <c r="I37" s="244">
        <f t="shared" si="144"/>
        <v>44.773300000000006</v>
      </c>
      <c r="J37" s="244">
        <f t="shared" si="144"/>
        <v>47.218600000000016</v>
      </c>
      <c r="K37" s="245">
        <f>G37*Conv!$J$20/10^6/Conv!$C$47/Conv!$I$5</f>
        <v>11.321116643922707</v>
      </c>
      <c r="L37" s="245">
        <f>H37*Conv!$J$20/10^6/Conv!$C$47/Conv!$I$5</f>
        <v>15.669306081150996</v>
      </c>
      <c r="M37" s="245">
        <f>L37*'Imported Price Trends'!$K$10</f>
        <v>17.701883780445385</v>
      </c>
      <c r="N37" s="245">
        <f>M37*'Imported Price Trends'!$L$10</f>
        <v>17.531414535793864</v>
      </c>
      <c r="O37" s="245">
        <f>N37*'Imported Price Trends'!$M$10</f>
        <v>19.908818845019045</v>
      </c>
      <c r="P37" s="245">
        <f>O37*'Imported Price Trends'!$N$10</f>
        <v>21.740936680158846</v>
      </c>
      <c r="Q37" s="245">
        <f>P37*'Imported Price Trends'!$O$10</f>
        <v>23.84787481821736</v>
      </c>
      <c r="R37" s="245">
        <f>Q37*'Imported Price Trends'!$O$10</f>
        <v>26.158998653650023</v>
      </c>
      <c r="S37" s="245">
        <f>R37*'Imported Price Trends'!$O$10</f>
        <v>28.694096047457155</v>
      </c>
      <c r="T37" s="245">
        <f>S37*'Imported Price Trends'!$O$10</f>
        <v>31.474872524060178</v>
      </c>
      <c r="U37" s="245">
        <f>T37*'Imported Price Trends'!$O$10</f>
        <v>34.525137114177546</v>
      </c>
      <c r="V37" s="227"/>
      <c r="W37" s="261">
        <f>W33*$E$9</f>
        <v>68.575000000000003</v>
      </c>
      <c r="X37" s="261">
        <f t="shared" ref="X37:Z37" si="145">X33*$E$9</f>
        <v>66.131</v>
      </c>
      <c r="Y37" s="261">
        <f t="shared" si="145"/>
        <v>20.345000000000002</v>
      </c>
      <c r="Z37" s="261">
        <f t="shared" si="145"/>
        <v>22.464000000000002</v>
      </c>
      <c r="AA37" s="260">
        <f>W37*Conv!$C$47*Conv!$I$5*1000*365</f>
        <v>159.66022328096375</v>
      </c>
      <c r="AB37" s="260">
        <f>X37*Conv!$C$47*Conv!$I$5*1000*365</f>
        <v>153.96996319057112</v>
      </c>
      <c r="AC37" s="260">
        <f>Y37*Conv!$C$47*Conv!$I$5*1000*365</f>
        <v>47.368388518428112</v>
      </c>
      <c r="AD37" s="260">
        <f>Z37*Conv!$C$47*Conv!$I$5*1000*365</f>
        <v>52.301965086162163</v>
      </c>
      <c r="AE37" s="260">
        <f>AA37-AA36</f>
        <v>12.28155563699724</v>
      </c>
      <c r="AF37" s="260">
        <f t="shared" ref="AF37" si="146">AB37-AB36</f>
        <v>11.843843322351631</v>
      </c>
      <c r="AG37" s="260">
        <f t="shared" ref="AG37" si="147">AC37-AC36</f>
        <v>3.643722193725246</v>
      </c>
      <c r="AH37" s="260">
        <f t="shared" ref="AH37" si="148">AD37-AD36</f>
        <v>4.0232280835509471</v>
      </c>
      <c r="AI37" s="236"/>
    </row>
    <row r="38" spans="1:37" ht="12.75">
      <c r="A38" s="202" t="s">
        <v>725</v>
      </c>
      <c r="B38" s="202"/>
      <c r="C38" s="202"/>
      <c r="D38" s="233"/>
      <c r="E38" s="233"/>
      <c r="F38" s="233"/>
      <c r="G38" s="241"/>
      <c r="H38" s="251"/>
      <c r="I38" s="241"/>
      <c r="J38" s="251"/>
      <c r="K38" s="242"/>
      <c r="L38" s="252"/>
      <c r="M38" s="242"/>
      <c r="N38" s="252"/>
      <c r="O38" s="242"/>
      <c r="P38" s="252"/>
      <c r="Q38" s="242"/>
      <c r="R38" s="252"/>
      <c r="S38" s="242"/>
      <c r="T38" s="252"/>
      <c r="U38" s="242"/>
      <c r="V38" s="202"/>
      <c r="W38" s="202"/>
      <c r="X38" s="233"/>
      <c r="Y38" s="202"/>
      <c r="Z38" s="233"/>
      <c r="AA38" s="253"/>
      <c r="AB38" s="253"/>
      <c r="AC38" s="254"/>
      <c r="AD38" s="253"/>
      <c r="AE38" s="254"/>
      <c r="AF38" s="253"/>
      <c r="AG38" s="254"/>
      <c r="AH38" s="253"/>
      <c r="AI38" s="202"/>
      <c r="AJ38" s="233"/>
      <c r="AK38" s="202"/>
    </row>
    <row r="39" spans="1:37" ht="14.25" customHeight="1">
      <c r="A39" s="201" t="str">
        <f>'Agg crdcrv'!C24</f>
        <v>FHH</v>
      </c>
      <c r="B39" s="201" t="str">
        <f t="shared" si="0"/>
        <v>IMPOILHH23</v>
      </c>
      <c r="C39" s="201" t="str">
        <f>CONCATENATE("Imported ",VLOOKUP($A39,Types!$A$13:$C$18,3,FALSE),", PADD ",RIGHT(F39,1),", Step ",RIGHT(E39,1))</f>
        <v>Imported Imported Oil-High Sulfur, Heavy G, PADD 2, Step 3</v>
      </c>
      <c r="D39" s="201" t="str">
        <f>CONCATENATE(VLOOKUP($A39,Types!$A$14:$C$18,2,FALSE),RIGHT(F39,1))</f>
        <v>OILHH2</v>
      </c>
      <c r="E39" s="201">
        <v>3</v>
      </c>
      <c r="F39" s="201" t="str">
        <f>'Agg crdcrv'!D24</f>
        <v>P2</v>
      </c>
      <c r="G39" s="244">
        <f>'Agg crdcrv'!H24*K5</f>
        <v>31.900000000000002</v>
      </c>
      <c r="H39" s="244">
        <f>'Agg crdcrv'!H29*K5</f>
        <v>46.406250000000007</v>
      </c>
      <c r="I39" s="244">
        <f>'Agg crdcrv'!H34*K5</f>
        <v>31.57</v>
      </c>
      <c r="J39" s="244">
        <f>'Agg crdcrv'!H39*K5</f>
        <v>33.407000000000004</v>
      </c>
      <c r="K39" s="245">
        <f>G39*Conv!$J$20/10^6/Conv!$C$47/Conv!$I$5</f>
        <v>7.6738981061112703</v>
      </c>
      <c r="L39" s="245">
        <f>H39*Conv!$J$20/10^6/Conv!$C$47/Conv!$I$5</f>
        <v>11.163537115571355</v>
      </c>
      <c r="M39" s="245">
        <f>L39*'Imported Price Trends'!$K$10</f>
        <v>12.611639314152493</v>
      </c>
      <c r="N39" s="245">
        <f>M39*'Imported Price Trends'!$L$10</f>
        <v>12.490189153572638</v>
      </c>
      <c r="O39" s="245">
        <f>N39*'Imported Price Trends'!$M$10</f>
        <v>14.183961749966075</v>
      </c>
      <c r="P39" s="245">
        <f>O39*'Imported Price Trends'!$N$10</f>
        <v>15.489247085944466</v>
      </c>
      <c r="Q39" s="245">
        <f>P39*'Imported Price Trends'!$O$10</f>
        <v>16.990327094377189</v>
      </c>
      <c r="R39" s="245">
        <f>Q39*'Imported Price Trends'!$O$10</f>
        <v>18.636878421022729</v>
      </c>
      <c r="S39" s="245">
        <f>R39*'Imported Price Trends'!$O$10</f>
        <v>20.442998851677775</v>
      </c>
      <c r="T39" s="245">
        <f>S39*'Imported Price Trends'!$O$10</f>
        <v>22.424152404100138</v>
      </c>
      <c r="U39" s="245">
        <f>T39*'Imported Price Trends'!$O$10</f>
        <v>24.597301731054063</v>
      </c>
      <c r="V39" s="227"/>
      <c r="W39" s="201">
        <f>'Agg crdcrv'!F24</f>
        <v>227.78</v>
      </c>
      <c r="X39" s="201">
        <f>'Agg crdcrv'!F29</f>
        <v>243.83</v>
      </c>
      <c r="Y39" s="201">
        <f>'Agg crdcrv'!F34</f>
        <v>44.46</v>
      </c>
      <c r="Z39" s="201">
        <f>'Agg crdcrv'!F39</f>
        <v>49.09</v>
      </c>
      <c r="AA39" s="260">
        <f>W39*Conv!$C$47*Conv!$I$5*1000*365</f>
        <v>530.33037781900009</v>
      </c>
      <c r="AB39" s="260">
        <f>X39*Conv!$C$47*Conv!$I$5*1000*365</f>
        <v>567.69890255337066</v>
      </c>
      <c r="AC39" s="260">
        <f>Y39*Conv!$C$47*Conv!$I$5*1000*365</f>
        <v>103.51430589969591</v>
      </c>
      <c r="AD39" s="260">
        <f>Z39*Conv!$C$47*Conv!$I$5*1000*365</f>
        <v>114.29413577633993</v>
      </c>
      <c r="AE39" s="260">
        <f>AA39-AA41</f>
        <v>424.26430225520011</v>
      </c>
      <c r="AF39" s="260">
        <f t="shared" ref="AF39" si="149">AB39-AB41</f>
        <v>454.15912204269654</v>
      </c>
      <c r="AG39" s="260">
        <f t="shared" ref="AG39" si="150">AC39-AC41</f>
        <v>82.811444719756722</v>
      </c>
      <c r="AH39" s="260">
        <f t="shared" ref="AH39" si="151">AD39-AD41</f>
        <v>91.43530862107194</v>
      </c>
    </row>
    <row r="40" spans="1:37" ht="14.25" customHeight="1">
      <c r="A40" s="201" t="str">
        <f>A39</f>
        <v>FHH</v>
      </c>
      <c r="B40" s="201" t="str">
        <f t="shared" si="0"/>
        <v>IMPOILHH21</v>
      </c>
      <c r="C40" s="201" t="str">
        <f>CONCATENATE("Imported ",VLOOKUP($A40,Types!$A$13:$C$18,3,FALSE),", PADD ",RIGHT(F40,1),", Step ",RIGHT(E40,1))</f>
        <v>Imported Imported Oil-High Sulfur, Heavy G, PADD 2, Step 1</v>
      </c>
      <c r="D40" s="201" t="str">
        <f>D39</f>
        <v>OILHH2</v>
      </c>
      <c r="E40" s="201">
        <v>1</v>
      </c>
      <c r="F40" s="201" t="str">
        <f>F39</f>
        <v>P2</v>
      </c>
      <c r="G40" s="244">
        <f>G39*$C$5</f>
        <v>28.71</v>
      </c>
      <c r="H40" s="244">
        <f t="shared" ref="H40" si="152">H39*$C$5</f>
        <v>41.765625000000007</v>
      </c>
      <c r="I40" s="244">
        <f t="shared" ref="I40" si="153">I39*$C$5</f>
        <v>28.413</v>
      </c>
      <c r="J40" s="244">
        <f t="shared" ref="J40" si="154">J39*$C$5</f>
        <v>30.066300000000005</v>
      </c>
      <c r="K40" s="245">
        <f>G40*Conv!$J$20/10^6/Conv!$C$47/Conv!$I$5</f>
        <v>6.9065082955001431</v>
      </c>
      <c r="L40" s="245">
        <f>H40*Conv!$J$20/10^6/Conv!$C$47/Conv!$I$5</f>
        <v>10.04718340401422</v>
      </c>
      <c r="M40" s="245">
        <f>L40*'Imported Price Trends'!$K$10</f>
        <v>11.350475382737244</v>
      </c>
      <c r="N40" s="245">
        <f>M40*'Imported Price Trends'!$L$10</f>
        <v>11.241170238215375</v>
      </c>
      <c r="O40" s="245">
        <f>N40*'Imported Price Trends'!$M$10</f>
        <v>12.765565574969468</v>
      </c>
      <c r="P40" s="245">
        <f>O40*'Imported Price Trends'!$N$10</f>
        <v>13.94032237735002</v>
      </c>
      <c r="Q40" s="245">
        <f>P40*'Imported Price Trends'!$O$10</f>
        <v>15.291294384939469</v>
      </c>
      <c r="R40" s="245">
        <f>Q40*'Imported Price Trends'!$O$10</f>
        <v>16.773190578920456</v>
      </c>
      <c r="S40" s="245">
        <f>R40*'Imported Price Trends'!$O$10</f>
        <v>18.398698966509997</v>
      </c>
      <c r="T40" s="245">
        <f>S40*'Imported Price Trends'!$O$10</f>
        <v>20.181737163690123</v>
      </c>
      <c r="U40" s="245">
        <f>T40*'Imported Price Trends'!$O$10</f>
        <v>22.137571557948657</v>
      </c>
      <c r="V40" s="227"/>
      <c r="W40" s="261">
        <f>W39*$E$5</f>
        <v>22.778000000000002</v>
      </c>
      <c r="X40" s="261">
        <f t="shared" ref="X40" si="155">X39*$E$5</f>
        <v>24.383000000000003</v>
      </c>
      <c r="Y40" s="261">
        <f t="shared" ref="Y40" si="156">Y39*$E$5</f>
        <v>4.4460000000000006</v>
      </c>
      <c r="Z40" s="261">
        <f t="shared" ref="Z40" si="157">Z39*$E$5</f>
        <v>4.9090000000000007</v>
      </c>
      <c r="AA40" s="260">
        <f>W40*Conv!$C$47*Conv!$I$5*1000*365</f>
        <v>53.033037781899999</v>
      </c>
      <c r="AB40" s="260">
        <f>X40*Conv!$C$47*Conv!$I$5*1000*365</f>
        <v>56.769890255337067</v>
      </c>
      <c r="AC40" s="260">
        <f>Y40*Conv!$C$47*Conv!$I$5*1000*365</f>
        <v>10.351430589969594</v>
      </c>
      <c r="AD40" s="260">
        <f>Z40*Conv!$C$47*Conv!$I$5*1000*365</f>
        <v>11.429413577633994</v>
      </c>
      <c r="AE40" s="260">
        <f>AA40</f>
        <v>53.033037781899999</v>
      </c>
      <c r="AF40" s="260">
        <f t="shared" ref="AF40" si="158">AB40</f>
        <v>56.769890255337067</v>
      </c>
      <c r="AG40" s="260">
        <f t="shared" ref="AG40" si="159">AC40</f>
        <v>10.351430589969594</v>
      </c>
      <c r="AH40" s="260">
        <f t="shared" ref="AH40" si="160">AD40</f>
        <v>11.429413577633994</v>
      </c>
      <c r="AI40" s="236"/>
    </row>
    <row r="41" spans="1:37" ht="14.25" customHeight="1">
      <c r="A41" s="201" t="str">
        <f t="shared" ref="A41:A43" si="161">A40</f>
        <v>FHH</v>
      </c>
      <c r="B41" s="201" t="str">
        <f t="shared" si="0"/>
        <v>IMPOILHH22</v>
      </c>
      <c r="C41" s="201" t="str">
        <f>CONCATENATE("Imported ",VLOOKUP($A41,Types!$A$13:$C$18,3,FALSE),", PADD ",RIGHT(F41,1),", Step ",RIGHT(E41,1))</f>
        <v>Imported Imported Oil-High Sulfur, Heavy G, PADD 2, Step 2</v>
      </c>
      <c r="D41" s="201" t="str">
        <f t="shared" ref="D41:D43" si="162">D40</f>
        <v>OILHH2</v>
      </c>
      <c r="E41" s="201">
        <v>2</v>
      </c>
      <c r="F41" s="201" t="str">
        <f t="shared" ref="F41:F43" si="163">F40</f>
        <v>P2</v>
      </c>
      <c r="G41" s="244">
        <f>G39*$C$6</f>
        <v>30.305</v>
      </c>
      <c r="H41" s="244">
        <f t="shared" ref="H41:J41" si="164">H39*$C$6</f>
        <v>44.085937500000007</v>
      </c>
      <c r="I41" s="244">
        <f t="shared" si="164"/>
        <v>29.991499999999998</v>
      </c>
      <c r="J41" s="244">
        <f t="shared" si="164"/>
        <v>31.736650000000001</v>
      </c>
      <c r="K41" s="245">
        <f>G41*Conv!$J$20/10^6/Conv!$C$47/Conv!$I$5</f>
        <v>7.2902032008057063</v>
      </c>
      <c r="L41" s="245">
        <f>H41*Conv!$J$20/10^6/Conv!$C$47/Conv!$I$5</f>
        <v>10.605360259792784</v>
      </c>
      <c r="M41" s="245">
        <f>L41*'Imported Price Trends'!$K$10</f>
        <v>11.981057348444864</v>
      </c>
      <c r="N41" s="245">
        <f>M41*'Imported Price Trends'!$L$10</f>
        <v>11.865679695894002</v>
      </c>
      <c r="O41" s="245">
        <f>N41*'Imported Price Trends'!$M$10</f>
        <v>13.474763662467767</v>
      </c>
      <c r="P41" s="245">
        <f>O41*'Imported Price Trends'!$N$10</f>
        <v>14.714784731647239</v>
      </c>
      <c r="Q41" s="245">
        <f>P41*'Imported Price Trends'!$O$10</f>
        <v>16.140810739658324</v>
      </c>
      <c r="R41" s="245">
        <f>Q41*'Imported Price Trends'!$O$10</f>
        <v>17.705034499971585</v>
      </c>
      <c r="S41" s="245">
        <f>R41*'Imported Price Trends'!$O$10</f>
        <v>19.420848909093877</v>
      </c>
      <c r="T41" s="245">
        <f>S41*'Imported Price Trends'!$O$10</f>
        <v>21.302944783895121</v>
      </c>
      <c r="U41" s="245">
        <f>T41*'Imported Price Trends'!$O$10</f>
        <v>23.36743664450135</v>
      </c>
      <c r="V41" s="227"/>
      <c r="W41" s="261">
        <f>W39*$E$6</f>
        <v>45.556000000000004</v>
      </c>
      <c r="X41" s="261">
        <f t="shared" ref="X41:Z41" si="165">X39*$E$6</f>
        <v>48.766000000000005</v>
      </c>
      <c r="Y41" s="261">
        <f t="shared" si="165"/>
        <v>8.8920000000000012</v>
      </c>
      <c r="Z41" s="261">
        <f t="shared" si="165"/>
        <v>9.8180000000000014</v>
      </c>
      <c r="AA41" s="260">
        <f>W41*Conv!$C$47*Conv!$I$5*1000*365</f>
        <v>106.0660755638</v>
      </c>
      <c r="AB41" s="260">
        <f>X41*Conv!$C$47*Conv!$I$5*1000*365</f>
        <v>113.53978051067413</v>
      </c>
      <c r="AC41" s="260">
        <f>Y41*Conv!$C$47*Conv!$I$5*1000*365</f>
        <v>20.702861179939188</v>
      </c>
      <c r="AD41" s="260">
        <f>Z41*Conv!$C$47*Conv!$I$5*1000*365</f>
        <v>22.858827155267988</v>
      </c>
      <c r="AE41" s="260">
        <f>AA41-AE40</f>
        <v>53.033037781899999</v>
      </c>
      <c r="AF41" s="260">
        <f t="shared" ref="AF41" si="166">AB41-AF40</f>
        <v>56.769890255337067</v>
      </c>
      <c r="AG41" s="260">
        <f t="shared" ref="AG41" si="167">AC41-AG40</f>
        <v>10.351430589969594</v>
      </c>
      <c r="AH41" s="260">
        <f t="shared" ref="AH41" si="168">AD41-AH40</f>
        <v>11.429413577633994</v>
      </c>
      <c r="AI41" s="236"/>
    </row>
    <row r="42" spans="1:37" ht="14.25" customHeight="1">
      <c r="A42" s="201" t="str">
        <f t="shared" si="161"/>
        <v>FHH</v>
      </c>
      <c r="B42" s="201" t="str">
        <f t="shared" si="0"/>
        <v>IMPOILHH24</v>
      </c>
      <c r="C42" s="201" t="str">
        <f>CONCATENATE("Imported ",VLOOKUP($A42,Types!$A$13:$C$18,3,FALSE),", PADD ",RIGHT(F42,1),", Step ",RIGHT(E42,1))</f>
        <v>Imported Imported Oil-High Sulfur, Heavy G, PADD 2, Step 4</v>
      </c>
      <c r="D42" s="201" t="str">
        <f t="shared" si="162"/>
        <v>OILHH2</v>
      </c>
      <c r="E42" s="201">
        <v>4</v>
      </c>
      <c r="F42" s="201" t="str">
        <f t="shared" si="163"/>
        <v>P2</v>
      </c>
      <c r="G42" s="244">
        <f>G39*$C$8</f>
        <v>33.495000000000005</v>
      </c>
      <c r="H42" s="244">
        <f t="shared" ref="H42:J42" si="169">H39*$C$8</f>
        <v>48.726562500000007</v>
      </c>
      <c r="I42" s="244">
        <f t="shared" si="169"/>
        <v>33.148499999999999</v>
      </c>
      <c r="J42" s="244">
        <f t="shared" si="169"/>
        <v>35.077350000000003</v>
      </c>
      <c r="K42" s="245">
        <f>G42*Conv!$J$20/10^6/Conv!$C$47/Conv!$I$5</f>
        <v>8.0575930114168361</v>
      </c>
      <c r="L42" s="245">
        <f>H42*Conv!$J$20/10^6/Conv!$C$47/Conv!$I$5</f>
        <v>11.721713971349921</v>
      </c>
      <c r="M42" s="245">
        <f>L42*'Imported Price Trends'!$K$10</f>
        <v>13.242221279860116</v>
      </c>
      <c r="N42" s="245">
        <f>M42*'Imported Price Trends'!$L$10</f>
        <v>13.114698611251269</v>
      </c>
      <c r="O42" s="245">
        <f>N42*'Imported Price Trends'!$M$10</f>
        <v>14.893159837464378</v>
      </c>
      <c r="P42" s="245">
        <f>O42*'Imported Price Trends'!$N$10</f>
        <v>16.263709440241687</v>
      </c>
      <c r="Q42" s="245">
        <f>P42*'Imported Price Trends'!$O$10</f>
        <v>17.839843449096044</v>
      </c>
      <c r="R42" s="245">
        <f>Q42*'Imported Price Trends'!$O$10</f>
        <v>19.568722342073858</v>
      </c>
      <c r="S42" s="245">
        <f>R42*'Imported Price Trends'!$O$10</f>
        <v>21.465148794261655</v>
      </c>
      <c r="T42" s="245">
        <f>S42*'Imported Price Trends'!$O$10</f>
        <v>23.545360024305133</v>
      </c>
      <c r="U42" s="245">
        <f>T42*'Imported Price Trends'!$O$10</f>
        <v>25.827166817606752</v>
      </c>
      <c r="V42" s="227"/>
      <c r="W42" s="261">
        <f>W39*$E$8</f>
        <v>273.33600000000001</v>
      </c>
      <c r="X42" s="261">
        <f t="shared" ref="X42:Z42" si="170">X39*$E$8</f>
        <v>292.596</v>
      </c>
      <c r="Y42" s="261">
        <f t="shared" si="170"/>
        <v>53.351999999999997</v>
      </c>
      <c r="Z42" s="261">
        <f t="shared" si="170"/>
        <v>58.908000000000001</v>
      </c>
      <c r="AA42" s="260">
        <f>W42*Conv!$C$47*Conv!$I$5*1000*365</f>
        <v>636.3964533827999</v>
      </c>
      <c r="AB42" s="260">
        <f>X42*Conv!$C$47*Conv!$I$5*1000*365</f>
        <v>681.23868306404484</v>
      </c>
      <c r="AC42" s="260">
        <f>Y42*Conv!$C$47*Conv!$I$5*1000*365</f>
        <v>124.2171670796351</v>
      </c>
      <c r="AD42" s="260">
        <f>Z42*Conv!$C$47*Conv!$I$5*1000*365</f>
        <v>137.1529629316079</v>
      </c>
      <c r="AE42" s="260">
        <f>AA42-AA39</f>
        <v>106.06607556379981</v>
      </c>
      <c r="AF42" s="260">
        <f t="shared" ref="AF42" si="171">AB42-AB39</f>
        <v>113.53978051067418</v>
      </c>
      <c r="AG42" s="260">
        <f t="shared" ref="AG42" si="172">AC42-AC39</f>
        <v>20.702861179939191</v>
      </c>
      <c r="AH42" s="260">
        <f t="shared" ref="AH42" si="173">AD42-AD39</f>
        <v>22.858827155267974</v>
      </c>
      <c r="AI42" s="236"/>
    </row>
    <row r="43" spans="1:37" ht="14.25" customHeight="1">
      <c r="A43" s="201" t="str">
        <f t="shared" si="161"/>
        <v>FHH</v>
      </c>
      <c r="B43" s="201" t="str">
        <f t="shared" si="0"/>
        <v>IMPOILHH25</v>
      </c>
      <c r="C43" s="201" t="str">
        <f>CONCATENATE("Imported ",VLOOKUP($A43,Types!$A$13:$C$18,3,FALSE),", PADD ",RIGHT(F43,1),", Step ",RIGHT(E43,1))</f>
        <v>Imported Imported Oil-High Sulfur, Heavy G, PADD 2, Step 5</v>
      </c>
      <c r="D43" s="201" t="str">
        <f t="shared" si="162"/>
        <v>OILHH2</v>
      </c>
      <c r="E43" s="201">
        <v>5</v>
      </c>
      <c r="F43" s="201" t="str">
        <f t="shared" si="163"/>
        <v>P2</v>
      </c>
      <c r="G43" s="244">
        <f>G39*$C$9</f>
        <v>41.470000000000006</v>
      </c>
      <c r="H43" s="244">
        <f t="shared" ref="H43:J43" si="174">H39*$C$9</f>
        <v>60.328125000000014</v>
      </c>
      <c r="I43" s="244">
        <f t="shared" si="174"/>
        <v>41.041000000000004</v>
      </c>
      <c r="J43" s="244">
        <f t="shared" si="174"/>
        <v>43.429100000000005</v>
      </c>
      <c r="K43" s="245">
        <f>G43*Conv!$J$20/10^6/Conv!$C$47/Conv!$I$5</f>
        <v>9.9760675379446511</v>
      </c>
      <c r="L43" s="245">
        <f>H43*Conv!$J$20/10^6/Conv!$C$47/Conv!$I$5</f>
        <v>14.512598250242762</v>
      </c>
      <c r="M43" s="245">
        <f>L43*'Imported Price Trends'!$K$10</f>
        <v>16.395131108398243</v>
      </c>
      <c r="N43" s="245">
        <f>M43*'Imported Price Trends'!$L$10</f>
        <v>16.237245899644432</v>
      </c>
      <c r="O43" s="245">
        <f>N43*'Imported Price Trends'!$M$10</f>
        <v>18.4391502749559</v>
      </c>
      <c r="P43" s="245">
        <f>O43*'Imported Price Trends'!$N$10</f>
        <v>20.136021211727808</v>
      </c>
      <c r="Q43" s="245">
        <f>P43*'Imported Price Trends'!$O$10</f>
        <v>22.087425222690346</v>
      </c>
      <c r="R43" s="245">
        <f>Q43*'Imported Price Trends'!$O$10</f>
        <v>24.227941947329548</v>
      </c>
      <c r="S43" s="245">
        <f>R43*'Imported Price Trends'!$O$10</f>
        <v>26.575898507181105</v>
      </c>
      <c r="T43" s="245">
        <f>S43*'Imported Price Trends'!$O$10</f>
        <v>29.151398125330175</v>
      </c>
      <c r="U43" s="245">
        <f>T43*'Imported Price Trends'!$O$10</f>
        <v>31.976492250370278</v>
      </c>
      <c r="V43" s="227"/>
      <c r="W43" s="261">
        <f>W39*$E$9</f>
        <v>296.11400000000003</v>
      </c>
      <c r="X43" s="261">
        <f t="shared" ref="X43:Z43" si="175">X39*$E$9</f>
        <v>316.97900000000004</v>
      </c>
      <c r="Y43" s="261">
        <f t="shared" si="175"/>
        <v>57.798000000000002</v>
      </c>
      <c r="Z43" s="261">
        <f t="shared" si="175"/>
        <v>63.817000000000007</v>
      </c>
      <c r="AA43" s="260">
        <f>W43*Conv!$C$47*Conv!$I$5*1000*365</f>
        <v>689.42949116470004</v>
      </c>
      <c r="AB43" s="260">
        <f>X43*Conv!$C$47*Conv!$I$5*1000*365</f>
        <v>738.00857331938175</v>
      </c>
      <c r="AC43" s="260">
        <f>Y43*Conv!$C$47*Conv!$I$5*1000*365</f>
        <v>134.56859766960471</v>
      </c>
      <c r="AD43" s="260">
        <f>Z43*Conv!$C$47*Conv!$I$5*1000*365</f>
        <v>148.58237650924193</v>
      </c>
      <c r="AE43" s="260">
        <f>AA43-AA42</f>
        <v>53.033037781900134</v>
      </c>
      <c r="AF43" s="260">
        <f t="shared" ref="AF43" si="176">AB43-AB42</f>
        <v>56.769890255336918</v>
      </c>
      <c r="AG43" s="260">
        <f t="shared" ref="AG43" si="177">AC43-AC42</f>
        <v>10.35143058996961</v>
      </c>
      <c r="AH43" s="260">
        <f t="shared" ref="AH43" si="178">AD43-AD42</f>
        <v>11.429413577634023</v>
      </c>
      <c r="AI43" s="236"/>
    </row>
    <row r="44" spans="1:37" ht="14.25" customHeight="1">
      <c r="A44" s="201" t="str">
        <f>'Agg crdcrv'!C25</f>
        <v>FHL</v>
      </c>
      <c r="B44" s="201" t="str">
        <f t="shared" si="0"/>
        <v>IMPOILHL23</v>
      </c>
      <c r="C44" s="201" t="str">
        <f>CONCATENATE("Imported ",VLOOKUP($A44,Types!$A$13:$C$18,3,FALSE),", PADD ",RIGHT(F44,1),", Step ",RIGHT(E44,1))</f>
        <v>Imported Imported Oil-High Sulfur, Low G, PADD 2, Step 3</v>
      </c>
      <c r="D44" s="201" t="str">
        <f>CONCATENATE(VLOOKUP($A44,Types!$A$14:$C$18,2,FALSE),RIGHT(F44,1))</f>
        <v>OILHL2</v>
      </c>
      <c r="E44" s="201">
        <v>3</v>
      </c>
      <c r="F44" s="201" t="str">
        <f>'Agg crdcrv'!D25</f>
        <v>P2</v>
      </c>
      <c r="G44" s="244">
        <f>'Agg crdcrv'!H25*K5</f>
        <v>41.514000000000003</v>
      </c>
      <c r="H44" s="244">
        <f>'Agg crdcrv'!H30*K5</f>
        <v>50.187500000000007</v>
      </c>
      <c r="I44" s="244">
        <f>'Agg crdcrv'!H35*K5</f>
        <v>34.551000000000002</v>
      </c>
      <c r="J44" s="244">
        <f>'Agg crdcrv'!H40*K5</f>
        <v>36.410000000000004</v>
      </c>
      <c r="K44" s="245">
        <f>G44*Conv!$J$20/10^6/Conv!$C$47/Conv!$I$5</f>
        <v>9.9866522249875622</v>
      </c>
      <c r="L44" s="245">
        <f>H44*Conv!$J$20/10^6/Conv!$C$47/Conv!$I$5</f>
        <v>12.073158658321612</v>
      </c>
      <c r="M44" s="245">
        <f>L44*'Imported Price Trends'!$K$10</f>
        <v>13.639254369379731</v>
      </c>
      <c r="N44" s="245">
        <f>M44*'Imported Price Trends'!$L$10</f>
        <v>13.507908269789667</v>
      </c>
      <c r="O44" s="245">
        <f>N44*'Imported Price Trends'!$M$10</f>
        <v>15.339691966629976</v>
      </c>
      <c r="P44" s="245">
        <f>O44*'Imported Price Trends'!$N$10</f>
        <v>16.751333885539939</v>
      </c>
      <c r="Q44" s="245">
        <f>P44*'Imported Price Trends'!$O$10</f>
        <v>18.374724116881993</v>
      </c>
      <c r="R44" s="245">
        <f>Q44*'Imported Price Trends'!$O$10</f>
        <v>20.15543888495791</v>
      </c>
      <c r="S44" s="245">
        <f>R44*'Imported Price Trends'!$O$10</f>
        <v>22.108724684036698</v>
      </c>
      <c r="T44" s="245">
        <f>S44*'Imported Price Trends'!$O$10</f>
        <v>24.251305562952734</v>
      </c>
      <c r="U44" s="245">
        <f>T44*'Imported Price Trends'!$O$10</f>
        <v>26.60152631654735</v>
      </c>
      <c r="V44" s="227"/>
      <c r="W44" s="201">
        <f>'Agg crdcrv'!F25</f>
        <v>148.24</v>
      </c>
      <c r="X44" s="201">
        <f>'Agg crdcrv'!F30</f>
        <v>118.79</v>
      </c>
      <c r="Y44" s="201">
        <f>'Agg crdcrv'!F35</f>
        <v>30.27</v>
      </c>
      <c r="Z44" s="201">
        <f>'Agg crdcrv'!F40</f>
        <v>33.42</v>
      </c>
      <c r="AA44" s="260">
        <f>W44*Conv!$C$47*Conv!$I$5*1000*365</f>
        <v>345.14081661203164</v>
      </c>
      <c r="AB44" s="260">
        <f>X44*Conv!$C$47*Conv!$I$5*1000*365</f>
        <v>276.57364817419881</v>
      </c>
      <c r="AC44" s="260">
        <f>Y44*Conv!$C$47*Conv!$I$5*1000*365</f>
        <v>70.476339171925218</v>
      </c>
      <c r="AD44" s="260">
        <f>Z44*Conv!$C$47*Conv!$I$5*1000*365</f>
        <v>77.810348699231625</v>
      </c>
      <c r="AE44" s="260">
        <f>AA44-AA46</f>
        <v>276.11265328962531</v>
      </c>
      <c r="AF44" s="260">
        <f t="shared" ref="AF44" si="179">AB44-AB46</f>
        <v>221.25891853935906</v>
      </c>
      <c r="AG44" s="260">
        <f t="shared" ref="AG44" si="180">AC44-AC46</f>
        <v>56.381071337540178</v>
      </c>
      <c r="AH44" s="260">
        <f t="shared" ref="AH44" si="181">AD44-AD46</f>
        <v>62.248278959385296</v>
      </c>
    </row>
    <row r="45" spans="1:37" ht="14.25" customHeight="1">
      <c r="A45" s="201" t="str">
        <f>A44</f>
        <v>FHL</v>
      </c>
      <c r="B45" s="201" t="str">
        <f t="shared" si="0"/>
        <v>IMPOILHL21</v>
      </c>
      <c r="C45" s="201" t="str">
        <f>CONCATENATE("Imported ",VLOOKUP($A45,Types!$A$13:$C$18,3,FALSE),", PADD ",RIGHT(F45,1),", Step ",RIGHT(E45,1))</f>
        <v>Imported Imported Oil-High Sulfur, Low G, PADD 2, Step 1</v>
      </c>
      <c r="D45" s="201" t="str">
        <f>D44</f>
        <v>OILHL2</v>
      </c>
      <c r="E45" s="201">
        <v>1</v>
      </c>
      <c r="F45" s="201" t="str">
        <f>F44</f>
        <v>P2</v>
      </c>
      <c r="G45" s="244">
        <f>G44*$C$5</f>
        <v>37.3626</v>
      </c>
      <c r="H45" s="244">
        <f t="shared" ref="H45" si="182">H44*$C$5</f>
        <v>45.16875000000001</v>
      </c>
      <c r="I45" s="244">
        <f t="shared" ref="I45" si="183">I44*$C$5</f>
        <v>31.095900000000004</v>
      </c>
      <c r="J45" s="244">
        <f t="shared" ref="J45" si="184">J44*$C$5</f>
        <v>32.769000000000005</v>
      </c>
      <c r="K45" s="245">
        <f>G45*Conv!$J$20/10^6/Conv!$C$47/Conv!$I$5</f>
        <v>8.987987002488806</v>
      </c>
      <c r="L45" s="245">
        <f>H45*Conv!$J$20/10^6/Conv!$C$47/Conv!$I$5</f>
        <v>10.865842792489451</v>
      </c>
      <c r="M45" s="245">
        <f>L45*'Imported Price Trends'!$K$10</f>
        <v>12.275328932441758</v>
      </c>
      <c r="N45" s="245">
        <f>M45*'Imported Price Trends'!$L$10</f>
        <v>12.1571174428107</v>
      </c>
      <c r="O45" s="245">
        <f>N45*'Imported Price Trends'!$M$10</f>
        <v>13.805722769966978</v>
      </c>
      <c r="P45" s="245">
        <f>O45*'Imported Price Trends'!$N$10</f>
        <v>15.076200496985946</v>
      </c>
      <c r="Q45" s="245">
        <f>P45*'Imported Price Trends'!$O$10</f>
        <v>16.537251705193796</v>
      </c>
      <c r="R45" s="245">
        <f>Q45*'Imported Price Trends'!$O$10</f>
        <v>18.139894996462122</v>
      </c>
      <c r="S45" s="245">
        <f>R45*'Imported Price Trends'!$O$10</f>
        <v>19.89785221563303</v>
      </c>
      <c r="T45" s="245">
        <f>S45*'Imported Price Trends'!$O$10</f>
        <v>21.826175006657461</v>
      </c>
      <c r="U45" s="245">
        <f>T45*'Imported Price Trends'!$O$10</f>
        <v>23.941373684892614</v>
      </c>
      <c r="V45" s="227"/>
      <c r="W45" s="261">
        <f>W44*$E$5</f>
        <v>14.824000000000002</v>
      </c>
      <c r="X45" s="261">
        <f t="shared" ref="X45" si="185">X44*$E$5</f>
        <v>11.879000000000001</v>
      </c>
      <c r="Y45" s="261">
        <f t="shared" ref="Y45" si="186">Y44*$E$5</f>
        <v>3.0270000000000001</v>
      </c>
      <c r="Z45" s="261">
        <f t="shared" ref="Z45" si="187">Z44*$E$5</f>
        <v>3.3420000000000005</v>
      </c>
      <c r="AA45" s="260">
        <f>W45*Conv!$C$47*Conv!$I$5*1000*365</f>
        <v>34.514081661203164</v>
      </c>
      <c r="AB45" s="260">
        <f>X45*Conv!$C$47*Conv!$I$5*1000*365</f>
        <v>27.657364817419879</v>
      </c>
      <c r="AC45" s="260">
        <f>Y45*Conv!$C$47*Conv!$I$5*1000*365</f>
        <v>7.0476339171925222</v>
      </c>
      <c r="AD45" s="260">
        <f>Z45*Conv!$C$47*Conv!$I$5*1000*365</f>
        <v>7.7810348699231637</v>
      </c>
      <c r="AE45" s="260">
        <f>AA45</f>
        <v>34.514081661203164</v>
      </c>
      <c r="AF45" s="260">
        <f t="shared" ref="AF45" si="188">AB45</f>
        <v>27.657364817419879</v>
      </c>
      <c r="AG45" s="260">
        <f t="shared" ref="AG45" si="189">AC45</f>
        <v>7.0476339171925222</v>
      </c>
      <c r="AH45" s="260">
        <f t="shared" ref="AH45" si="190">AD45</f>
        <v>7.7810348699231637</v>
      </c>
      <c r="AI45" s="236"/>
    </row>
    <row r="46" spans="1:37" ht="14.25" customHeight="1">
      <c r="A46" s="201" t="str">
        <f t="shared" ref="A46:A48" si="191">A45</f>
        <v>FHL</v>
      </c>
      <c r="B46" s="201" t="str">
        <f t="shared" si="0"/>
        <v>IMPOILHL22</v>
      </c>
      <c r="C46" s="201" t="str">
        <f>CONCATENATE("Imported ",VLOOKUP($A46,Types!$A$13:$C$18,3,FALSE),", PADD ",RIGHT(F46,1),", Step ",RIGHT(E46,1))</f>
        <v>Imported Imported Oil-High Sulfur, Low G, PADD 2, Step 2</v>
      </c>
      <c r="D46" s="201" t="str">
        <f t="shared" ref="D46:D48" si="192">D45</f>
        <v>OILHL2</v>
      </c>
      <c r="E46" s="201">
        <v>2</v>
      </c>
      <c r="F46" s="201" t="str">
        <f t="shared" ref="F46:F48" si="193">F45</f>
        <v>P2</v>
      </c>
      <c r="G46" s="244">
        <f>G44*$C$6</f>
        <v>39.438299999999998</v>
      </c>
      <c r="H46" s="244">
        <f t="shared" ref="H46:J46" si="194">H44*$C$6</f>
        <v>47.678125000000001</v>
      </c>
      <c r="I46" s="244">
        <f t="shared" si="194"/>
        <v>32.823450000000001</v>
      </c>
      <c r="J46" s="244">
        <f t="shared" si="194"/>
        <v>34.589500000000001</v>
      </c>
      <c r="K46" s="245">
        <f>G46*Conv!$J$20/10^6/Conv!$C$47/Conv!$I$5</f>
        <v>9.487319613738185</v>
      </c>
      <c r="L46" s="245">
        <f>H46*Conv!$J$20/10^6/Conv!$C$47/Conv!$I$5</f>
        <v>11.469500725405531</v>
      </c>
      <c r="M46" s="245">
        <f>L46*'Imported Price Trends'!$K$10</f>
        <v>12.957291650910745</v>
      </c>
      <c r="N46" s="245">
        <f>M46*'Imported Price Trends'!$L$10</f>
        <v>12.832512856300184</v>
      </c>
      <c r="O46" s="245">
        <f>N46*'Imported Price Trends'!$M$10</f>
        <v>14.572707368298477</v>
      </c>
      <c r="P46" s="245">
        <f>O46*'Imported Price Trends'!$N$10</f>
        <v>15.913767191262943</v>
      </c>
      <c r="Q46" s="245">
        <f>P46*'Imported Price Trends'!$O$10</f>
        <v>17.455987911037894</v>
      </c>
      <c r="R46" s="245">
        <f>Q46*'Imported Price Trends'!$O$10</f>
        <v>19.147666940710014</v>
      </c>
      <c r="S46" s="245">
        <f>R46*'Imported Price Trends'!$O$10</f>
        <v>21.003288449834862</v>
      </c>
      <c r="T46" s="245">
        <f>S46*'Imported Price Trends'!$O$10</f>
        <v>23.038740284805094</v>
      </c>
      <c r="U46" s="245">
        <f>T46*'Imported Price Trends'!$O$10</f>
        <v>25.271450000719977</v>
      </c>
      <c r="V46" s="227"/>
      <c r="W46" s="261">
        <f>W44*$E$6</f>
        <v>29.648000000000003</v>
      </c>
      <c r="X46" s="261">
        <f t="shared" ref="X46:Z46" si="195">X44*$E$6</f>
        <v>23.758000000000003</v>
      </c>
      <c r="Y46" s="261">
        <f t="shared" si="195"/>
        <v>6.0540000000000003</v>
      </c>
      <c r="Z46" s="261">
        <f t="shared" si="195"/>
        <v>6.6840000000000011</v>
      </c>
      <c r="AA46" s="260">
        <f>W46*Conv!$C$47*Conv!$I$5*1000*365</f>
        <v>69.028163322406328</v>
      </c>
      <c r="AB46" s="260">
        <f>X46*Conv!$C$47*Conv!$I$5*1000*365</f>
        <v>55.314729634839757</v>
      </c>
      <c r="AC46" s="260">
        <f>Y46*Conv!$C$47*Conv!$I$5*1000*365</f>
        <v>14.095267834385044</v>
      </c>
      <c r="AD46" s="260">
        <f>Z46*Conv!$C$47*Conv!$I$5*1000*365</f>
        <v>15.562069739846327</v>
      </c>
      <c r="AE46" s="260">
        <f>AA46-AE45</f>
        <v>34.514081661203164</v>
      </c>
      <c r="AF46" s="260">
        <f t="shared" ref="AF46" si="196">AB46-AF45</f>
        <v>27.657364817419879</v>
      </c>
      <c r="AG46" s="260">
        <f t="shared" ref="AG46" si="197">AC46-AG45</f>
        <v>7.0476339171925222</v>
      </c>
      <c r="AH46" s="260">
        <f t="shared" ref="AH46" si="198">AD46-AH45</f>
        <v>7.7810348699231637</v>
      </c>
      <c r="AI46" s="236"/>
    </row>
    <row r="47" spans="1:37" ht="14.25" customHeight="1">
      <c r="A47" s="201" t="str">
        <f t="shared" si="191"/>
        <v>FHL</v>
      </c>
      <c r="B47" s="201" t="str">
        <f t="shared" si="0"/>
        <v>IMPOILHL24</v>
      </c>
      <c r="C47" s="201" t="str">
        <f>CONCATENATE("Imported ",VLOOKUP($A47,Types!$A$13:$C$18,3,FALSE),", PADD ",RIGHT(F47,1),", Step ",RIGHT(E47,1))</f>
        <v>Imported Imported Oil-High Sulfur, Low G, PADD 2, Step 4</v>
      </c>
      <c r="D47" s="201" t="str">
        <f t="shared" si="192"/>
        <v>OILHL2</v>
      </c>
      <c r="E47" s="201">
        <v>4</v>
      </c>
      <c r="F47" s="201" t="str">
        <f t="shared" si="193"/>
        <v>P2</v>
      </c>
      <c r="G47" s="244">
        <f>G44*$C$8</f>
        <v>43.589700000000008</v>
      </c>
      <c r="H47" s="244">
        <f t="shared" ref="H47:J47" si="199">H44*$C$8</f>
        <v>52.696875000000013</v>
      </c>
      <c r="I47" s="244">
        <f t="shared" si="199"/>
        <v>36.278550000000003</v>
      </c>
      <c r="J47" s="244">
        <f t="shared" si="199"/>
        <v>38.230500000000006</v>
      </c>
      <c r="K47" s="245">
        <f>G47*Conv!$J$20/10^6/Conv!$C$47/Conv!$I$5</f>
        <v>10.485984836236943</v>
      </c>
      <c r="L47" s="245">
        <f>H47*Conv!$J$20/10^6/Conv!$C$47/Conv!$I$5</f>
        <v>12.676816591237694</v>
      </c>
      <c r="M47" s="245">
        <f>L47*'Imported Price Trends'!$K$10</f>
        <v>14.321217087848719</v>
      </c>
      <c r="N47" s="245">
        <f>M47*'Imported Price Trends'!$L$10</f>
        <v>14.183303683279151</v>
      </c>
      <c r="O47" s="245">
        <f>N47*'Imported Price Trends'!$M$10</f>
        <v>16.106676564961475</v>
      </c>
      <c r="P47" s="245">
        <f>O47*'Imported Price Trends'!$N$10</f>
        <v>17.588900579816936</v>
      </c>
      <c r="Q47" s="245">
        <f>P47*'Imported Price Trends'!$O$10</f>
        <v>19.293460322726094</v>
      </c>
      <c r="R47" s="245">
        <f>Q47*'Imported Price Trends'!$O$10</f>
        <v>21.163210829205806</v>
      </c>
      <c r="S47" s="245">
        <f>R47*'Imported Price Trends'!$O$10</f>
        <v>23.214160918238534</v>
      </c>
      <c r="T47" s="245">
        <f>S47*'Imported Price Trends'!$O$10</f>
        <v>25.46387084110037</v>
      </c>
      <c r="U47" s="245">
        <f>T47*'Imported Price Trends'!$O$10</f>
        <v>27.931602632374716</v>
      </c>
      <c r="V47" s="227"/>
      <c r="W47" s="261">
        <f>W44*$E$8</f>
        <v>177.88800000000001</v>
      </c>
      <c r="X47" s="261">
        <f t="shared" ref="X47:Z47" si="200">X44*$E$8</f>
        <v>142.548</v>
      </c>
      <c r="Y47" s="261">
        <f t="shared" si="200"/>
        <v>36.323999999999998</v>
      </c>
      <c r="Z47" s="261">
        <f t="shared" si="200"/>
        <v>40.103999999999999</v>
      </c>
      <c r="AA47" s="260">
        <f>W47*Conv!$C$47*Conv!$I$5*1000*365</f>
        <v>414.16897993443797</v>
      </c>
      <c r="AB47" s="260">
        <f>X47*Conv!$C$47*Conv!$I$5*1000*365</f>
        <v>331.88837780903856</v>
      </c>
      <c r="AC47" s="260">
        <f>Y47*Conv!$C$47*Conv!$I$5*1000*365</f>
        <v>84.571607006310273</v>
      </c>
      <c r="AD47" s="260">
        <f>Z47*Conv!$C$47*Conv!$I$5*1000*365</f>
        <v>93.372418439077947</v>
      </c>
      <c r="AE47" s="260">
        <f>AA47-AA44</f>
        <v>69.028163322406328</v>
      </c>
      <c r="AF47" s="260">
        <f t="shared" ref="AF47" si="201">AB47-AB44</f>
        <v>55.31472963483975</v>
      </c>
      <c r="AG47" s="260">
        <f t="shared" ref="AG47" si="202">AC47-AC44</f>
        <v>14.095267834385055</v>
      </c>
      <c r="AH47" s="260">
        <f t="shared" ref="AH47" si="203">AD47-AD44</f>
        <v>15.562069739846322</v>
      </c>
      <c r="AI47" s="236"/>
    </row>
    <row r="48" spans="1:37" ht="14.25" customHeight="1">
      <c r="A48" s="201" t="str">
        <f t="shared" si="191"/>
        <v>FHL</v>
      </c>
      <c r="B48" s="201" t="str">
        <f t="shared" si="0"/>
        <v>IMPOILHL25</v>
      </c>
      <c r="C48" s="201" t="str">
        <f>CONCATENATE("Imported ",VLOOKUP($A48,Types!$A$13:$C$18,3,FALSE),", PADD ",RIGHT(F48,1),", Step ",RIGHT(E48,1))</f>
        <v>Imported Imported Oil-High Sulfur, Low G, PADD 2, Step 5</v>
      </c>
      <c r="D48" s="201" t="str">
        <f t="shared" si="192"/>
        <v>OILHL2</v>
      </c>
      <c r="E48" s="201">
        <v>5</v>
      </c>
      <c r="F48" s="201" t="str">
        <f t="shared" si="193"/>
        <v>P2</v>
      </c>
      <c r="G48" s="244">
        <f>G44*$C$9</f>
        <v>53.968200000000003</v>
      </c>
      <c r="H48" s="244">
        <f t="shared" ref="H48:J48" si="204">H44*$C$9</f>
        <v>65.243750000000006</v>
      </c>
      <c r="I48" s="244">
        <f t="shared" si="204"/>
        <v>44.916300000000007</v>
      </c>
      <c r="J48" s="244">
        <f t="shared" si="204"/>
        <v>47.333000000000006</v>
      </c>
      <c r="K48" s="245">
        <f>G48*Conv!$J$20/10^6/Conv!$C$47/Conv!$I$5</f>
        <v>12.982647892483834</v>
      </c>
      <c r="L48" s="245">
        <f>H48*Conv!$J$20/10^6/Conv!$C$47/Conv!$I$5</f>
        <v>15.695106255818095</v>
      </c>
      <c r="M48" s="245">
        <f>L48*'Imported Price Trends'!$K$10</f>
        <v>17.731030680193651</v>
      </c>
      <c r="N48" s="245">
        <f>M48*'Imported Price Trends'!$L$10</f>
        <v>17.560280750726566</v>
      </c>
      <c r="O48" s="245">
        <f>N48*'Imported Price Trends'!$M$10</f>
        <v>19.941599556618968</v>
      </c>
      <c r="P48" s="245">
        <f>O48*'Imported Price Trends'!$N$10</f>
        <v>21.77673405120192</v>
      </c>
      <c r="Q48" s="245">
        <f>P48*'Imported Price Trends'!$O$10</f>
        <v>23.887141351946592</v>
      </c>
      <c r="R48" s="245">
        <f>Q48*'Imported Price Trends'!$O$10</f>
        <v>26.202070550445285</v>
      </c>
      <c r="S48" s="245">
        <f>R48*'Imported Price Trends'!$O$10</f>
        <v>28.741342089247709</v>
      </c>
      <c r="T48" s="245">
        <f>S48*'Imported Price Trends'!$O$10</f>
        <v>31.526697231838554</v>
      </c>
      <c r="U48" s="245">
        <f>T48*'Imported Price Trends'!$O$10</f>
        <v>34.581984211511553</v>
      </c>
      <c r="V48" s="227"/>
      <c r="W48" s="261">
        <f>W44*$E$9</f>
        <v>192.71200000000002</v>
      </c>
      <c r="X48" s="261">
        <f t="shared" ref="X48:Z48" si="205">X44*$E$9</f>
        <v>154.42700000000002</v>
      </c>
      <c r="Y48" s="261">
        <f t="shared" si="205"/>
        <v>39.350999999999999</v>
      </c>
      <c r="Z48" s="261">
        <f t="shared" si="205"/>
        <v>43.446000000000005</v>
      </c>
      <c r="AA48" s="260">
        <f>W48*Conv!$C$47*Conv!$I$5*1000*365</f>
        <v>448.68306159564105</v>
      </c>
      <c r="AB48" s="260">
        <f>X48*Conv!$C$47*Conv!$I$5*1000*365</f>
        <v>359.54574262645849</v>
      </c>
      <c r="AC48" s="260">
        <f>Y48*Conv!$C$47*Conv!$I$5*1000*365</f>
        <v>91.619240923502801</v>
      </c>
      <c r="AD48" s="260">
        <f>Z48*Conv!$C$47*Conv!$I$5*1000*365</f>
        <v>101.15345330900111</v>
      </c>
      <c r="AE48" s="260">
        <f>AA48-AA47</f>
        <v>34.514081661203079</v>
      </c>
      <c r="AF48" s="260">
        <f t="shared" ref="AF48" si="206">AB48-AB47</f>
        <v>27.657364817419932</v>
      </c>
      <c r="AG48" s="260">
        <f t="shared" ref="AG48" si="207">AC48-AC47</f>
        <v>7.0476339171925275</v>
      </c>
      <c r="AH48" s="260">
        <f t="shared" ref="AH48" si="208">AD48-AD47</f>
        <v>7.7810348699231611</v>
      </c>
      <c r="AI48" s="236"/>
    </row>
    <row r="49" spans="1:37" ht="14.25" customHeight="1">
      <c r="A49" s="201" t="str">
        <f>'Agg crdcrv'!C26</f>
        <v>FHV</v>
      </c>
      <c r="B49" s="201" t="str">
        <f t="shared" si="0"/>
        <v>IMPOILHV23</v>
      </c>
      <c r="C49" s="201" t="str">
        <f>CONCATENATE("Imported ",VLOOKUP($A49,Types!$A$13:$C$18,3,FALSE),", PADD ",RIGHT(F49,1),", Step ",RIGHT(E49,1))</f>
        <v>Imported Imported Oil-High Sulfur, Very HG, PADD 2, Step 3</v>
      </c>
      <c r="D49" s="201" t="str">
        <f>CONCATENATE(VLOOKUP($A49,Types!$A$14:$C$18,2,FALSE),RIGHT(F49,1))</f>
        <v>OILHV2</v>
      </c>
      <c r="E49" s="201">
        <v>3</v>
      </c>
      <c r="F49" s="201" t="str">
        <f>'Agg crdcrv'!D26</f>
        <v>P2</v>
      </c>
      <c r="G49" s="244">
        <f>'Agg crdcrv'!H26*K5</f>
        <v>28.6</v>
      </c>
      <c r="H49" s="244">
        <f>'Agg crdcrv'!H31*K5</f>
        <v>45.993750000000006</v>
      </c>
      <c r="I49" s="244">
        <f>'Agg crdcrv'!H36*K5</f>
        <v>31.251000000000001</v>
      </c>
      <c r="J49" s="244">
        <f>'Agg crdcrv'!H41*K5</f>
        <v>33.088000000000001</v>
      </c>
      <c r="K49" s="245">
        <f>G49*Conv!$J$20/10^6/Conv!$C$47/Conv!$I$5</f>
        <v>6.8800465778928626</v>
      </c>
      <c r="L49" s="245">
        <f>H49*Conv!$J$20/10^6/Conv!$C$47/Conv!$I$5</f>
        <v>11.064305674544054</v>
      </c>
      <c r="M49" s="245">
        <f>L49*'Imported Price Trends'!$K$10</f>
        <v>12.499535853582248</v>
      </c>
      <c r="N49" s="245">
        <f>M49*'Imported Price Trends'!$L$10</f>
        <v>12.379165249985325</v>
      </c>
      <c r="O49" s="245">
        <f>N49*'Imported Price Trends'!$M$10</f>
        <v>14.057882089966375</v>
      </c>
      <c r="P49" s="245">
        <f>O49*'Imported Price Trends'!$N$10</f>
        <v>15.351564889624958</v>
      </c>
      <c r="Q49" s="245">
        <f>P49*'Imported Price Trends'!$O$10</f>
        <v>16.83930196464939</v>
      </c>
      <c r="R49" s="245">
        <f>Q49*'Imported Price Trends'!$O$10</f>
        <v>18.471217279502525</v>
      </c>
      <c r="S49" s="245">
        <f>R49*'Imported Price Trends'!$O$10</f>
        <v>20.261283306329524</v>
      </c>
      <c r="T49" s="245">
        <f>S49*'Imported Price Trends'!$O$10</f>
        <v>22.224826604952575</v>
      </c>
      <c r="U49" s="245">
        <f>T49*'Imported Price Trends'!$O$10</f>
        <v>24.378659049000245</v>
      </c>
      <c r="V49" s="227"/>
      <c r="W49" s="201">
        <f>'Agg crdcrv'!F26</f>
        <v>583.42999999999995</v>
      </c>
      <c r="X49" s="201">
        <f>'Agg crdcrv'!F31</f>
        <v>699.11</v>
      </c>
      <c r="Y49" s="201">
        <f>'Agg crdcrv'!F36</f>
        <v>43.85</v>
      </c>
      <c r="Z49" s="201">
        <f>'Agg crdcrv'!F41</f>
        <v>48.42</v>
      </c>
      <c r="AA49" s="260">
        <f>W49*Conv!$C$47*Conv!$I$5*1000*365</f>
        <v>1358.3749773067834</v>
      </c>
      <c r="AB49" s="260">
        <f>X49*Conv!$C$47*Conv!$I$5*1000*365</f>
        <v>1627.707746233388</v>
      </c>
      <c r="AC49" s="260">
        <f>Y49*Conv!$C$47*Conv!$I$5*1000*365</f>
        <v>102.09406913409059</v>
      </c>
      <c r="AD49" s="260">
        <f>Z49*Conv!$C$47*Conv!$I$5*1000*365</f>
        <v>112.73420359116682</v>
      </c>
      <c r="AE49" s="260">
        <f>AA49-AA51</f>
        <v>1086.6999818454267</v>
      </c>
      <c r="AF49" s="260">
        <f t="shared" ref="AF49" si="209">AB49-AB51</f>
        <v>1302.1661969867105</v>
      </c>
      <c r="AG49" s="260">
        <f t="shared" ref="AG49" si="210">AC49-AC51</f>
        <v>81.675255307272465</v>
      </c>
      <c r="AH49" s="260">
        <f t="shared" ref="AH49" si="211">AD49-AD51</f>
        <v>90.187362872933448</v>
      </c>
    </row>
    <row r="50" spans="1:37" ht="14.25" customHeight="1">
      <c r="A50" s="201" t="str">
        <f>A49</f>
        <v>FHV</v>
      </c>
      <c r="B50" s="201" t="str">
        <f t="shared" si="0"/>
        <v>IMPOILHV21</v>
      </c>
      <c r="C50" s="201" t="str">
        <f>CONCATENATE("Imported ",VLOOKUP($A50,Types!$A$13:$C$18,3,FALSE),", PADD ",RIGHT(F50,1),", Step ",RIGHT(E50,1))</f>
        <v>Imported Imported Oil-High Sulfur, Very HG, PADD 2, Step 1</v>
      </c>
      <c r="D50" s="201" t="str">
        <f>D49</f>
        <v>OILHV2</v>
      </c>
      <c r="E50" s="201">
        <v>1</v>
      </c>
      <c r="F50" s="201" t="str">
        <f>F49</f>
        <v>P2</v>
      </c>
      <c r="G50" s="244">
        <f>G49*$C$5</f>
        <v>25.740000000000002</v>
      </c>
      <c r="H50" s="244">
        <f t="shared" ref="H50" si="212">H49*$C$5</f>
        <v>41.394375000000004</v>
      </c>
      <c r="I50" s="244">
        <f t="shared" ref="I50" si="213">I49*$C$5</f>
        <v>28.125900000000001</v>
      </c>
      <c r="J50" s="244">
        <f t="shared" ref="J50" si="214">J49*$C$5</f>
        <v>29.779200000000003</v>
      </c>
      <c r="K50" s="245">
        <f>G50*Conv!$J$20/10^6/Conv!$C$47/Conv!$I$5</f>
        <v>6.192041920103577</v>
      </c>
      <c r="L50" s="245">
        <f>H50*Conv!$J$20/10^6/Conv!$C$47/Conv!$I$5</f>
        <v>9.9578751070896452</v>
      </c>
      <c r="M50" s="245">
        <f>L50*'Imported Price Trends'!$K$10</f>
        <v>11.249582268224019</v>
      </c>
      <c r="N50" s="245">
        <f>M50*'Imported Price Trends'!$L$10</f>
        <v>11.14124872498679</v>
      </c>
      <c r="O50" s="245">
        <f>N50*'Imported Price Trends'!$M$10</f>
        <v>12.652093880969735</v>
      </c>
      <c r="P50" s="245">
        <f>O50*'Imported Price Trends'!$N$10</f>
        <v>13.816408400662461</v>
      </c>
      <c r="Q50" s="245">
        <f>P50*'Imported Price Trends'!$O$10</f>
        <v>15.155371768184448</v>
      </c>
      <c r="R50" s="245">
        <f>Q50*'Imported Price Trends'!$O$10</f>
        <v>16.624095551552269</v>
      </c>
      <c r="S50" s="245">
        <f>R50*'Imported Price Trends'!$O$10</f>
        <v>18.235154975696567</v>
      </c>
      <c r="T50" s="245">
        <f>S50*'Imported Price Trends'!$O$10</f>
        <v>20.002343944457312</v>
      </c>
      <c r="U50" s="245">
        <f>T50*'Imported Price Trends'!$O$10</f>
        <v>21.940793144100212</v>
      </c>
      <c r="V50" s="227"/>
      <c r="W50" s="261">
        <f>W49*$E$5</f>
        <v>58.342999999999996</v>
      </c>
      <c r="X50" s="261">
        <f t="shared" ref="X50" si="215">X49*$E$5</f>
        <v>69.911000000000001</v>
      </c>
      <c r="Y50" s="261">
        <f t="shared" ref="Y50" si="216">Y49*$E$5</f>
        <v>4.3850000000000007</v>
      </c>
      <c r="Z50" s="261">
        <f t="shared" ref="Z50" si="217">Z49*$E$5</f>
        <v>4.8420000000000005</v>
      </c>
      <c r="AA50" s="260">
        <f>W50*Conv!$C$47*Conv!$I$5*1000*365</f>
        <v>135.83749773067834</v>
      </c>
      <c r="AB50" s="260">
        <f>X50*Conv!$C$47*Conv!$I$5*1000*365</f>
        <v>162.77077462333878</v>
      </c>
      <c r="AC50" s="260">
        <f>Y50*Conv!$C$47*Conv!$I$5*1000*365</f>
        <v>10.209406913409058</v>
      </c>
      <c r="AD50" s="260">
        <f>Z50*Conv!$C$47*Conv!$I$5*1000*365</f>
        <v>11.273420359116683</v>
      </c>
      <c r="AE50" s="260">
        <f>AA50</f>
        <v>135.83749773067834</v>
      </c>
      <c r="AF50" s="260">
        <f t="shared" ref="AF50" si="218">AB50</f>
        <v>162.77077462333878</v>
      </c>
      <c r="AG50" s="260">
        <f t="shared" ref="AG50" si="219">AC50</f>
        <v>10.209406913409058</v>
      </c>
      <c r="AH50" s="260">
        <f t="shared" ref="AH50" si="220">AD50</f>
        <v>11.273420359116683</v>
      </c>
      <c r="AI50" s="236"/>
    </row>
    <row r="51" spans="1:37" ht="14.25" customHeight="1">
      <c r="A51" s="201" t="str">
        <f t="shared" ref="A51:A53" si="221">A50</f>
        <v>FHV</v>
      </c>
      <c r="B51" s="201" t="str">
        <f t="shared" si="0"/>
        <v>IMPOILHV22</v>
      </c>
      <c r="C51" s="201" t="str">
        <f>CONCATENATE("Imported ",VLOOKUP($A51,Types!$A$13:$C$18,3,FALSE),", PADD ",RIGHT(F51,1),", Step ",RIGHT(E51,1))</f>
        <v>Imported Imported Oil-High Sulfur, Very HG, PADD 2, Step 2</v>
      </c>
      <c r="D51" s="201" t="str">
        <f t="shared" ref="D51:D53" si="222">D50</f>
        <v>OILHV2</v>
      </c>
      <c r="E51" s="201">
        <v>2</v>
      </c>
      <c r="F51" s="201" t="str">
        <f t="shared" ref="F51:F53" si="223">F50</f>
        <v>P2</v>
      </c>
      <c r="G51" s="244">
        <f>G49*$C$6</f>
        <v>27.17</v>
      </c>
      <c r="H51" s="244">
        <f t="shared" ref="H51:J51" si="224">H49*$C$6</f>
        <v>43.694062500000001</v>
      </c>
      <c r="I51" s="244">
        <f t="shared" si="224"/>
        <v>29.68845</v>
      </c>
      <c r="J51" s="244">
        <f t="shared" si="224"/>
        <v>31.433599999999998</v>
      </c>
      <c r="K51" s="245">
        <f>G51*Conv!$J$20/10^6/Conv!$C$47/Conv!$I$5</f>
        <v>6.5360442489982198</v>
      </c>
      <c r="L51" s="245">
        <f>H51*Conv!$J$20/10^6/Conv!$C$47/Conv!$I$5</f>
        <v>10.511090390816848</v>
      </c>
      <c r="M51" s="245">
        <f>L51*'Imported Price Trends'!$K$10</f>
        <v>11.874559060903133</v>
      </c>
      <c r="N51" s="245">
        <f>M51*'Imported Price Trends'!$L$10</f>
        <v>11.760206987486056</v>
      </c>
      <c r="O51" s="245">
        <f>N51*'Imported Price Trends'!$M$10</f>
        <v>13.354987985468053</v>
      </c>
      <c r="P51" s="245">
        <f>O51*'Imported Price Trends'!$N$10</f>
        <v>14.583986645143707</v>
      </c>
      <c r="Q51" s="245">
        <f>P51*'Imported Price Trends'!$O$10</f>
        <v>15.997336866416916</v>
      </c>
      <c r="R51" s="245">
        <f>Q51*'Imported Price Trends'!$O$10</f>
        <v>17.547656415527392</v>
      </c>
      <c r="S51" s="245">
        <f>R51*'Imported Price Trends'!$O$10</f>
        <v>19.248219141013042</v>
      </c>
      <c r="T51" s="245">
        <f>S51*'Imported Price Trends'!$O$10</f>
        <v>21.113585274704942</v>
      </c>
      <c r="U51" s="245">
        <f>T51*'Imported Price Trends'!$O$10</f>
        <v>23.159726096550227</v>
      </c>
      <c r="V51" s="227"/>
      <c r="W51" s="261">
        <f>W49*$E$6</f>
        <v>116.68599999999999</v>
      </c>
      <c r="X51" s="261">
        <f t="shared" ref="X51:Z51" si="225">X49*$E$6</f>
        <v>139.822</v>
      </c>
      <c r="Y51" s="261">
        <f t="shared" si="225"/>
        <v>8.7700000000000014</v>
      </c>
      <c r="Z51" s="261">
        <f t="shared" si="225"/>
        <v>9.6840000000000011</v>
      </c>
      <c r="AA51" s="260">
        <f>W51*Conv!$C$47*Conv!$I$5*1000*365</f>
        <v>271.67499546135667</v>
      </c>
      <c r="AB51" s="260">
        <f>X51*Conv!$C$47*Conv!$I$5*1000*365</f>
        <v>325.54154924667756</v>
      </c>
      <c r="AC51" s="260">
        <f>Y51*Conv!$C$47*Conv!$I$5*1000*365</f>
        <v>20.418813826818116</v>
      </c>
      <c r="AD51" s="260">
        <f>Z51*Conv!$C$47*Conv!$I$5*1000*365</f>
        <v>22.546840718233366</v>
      </c>
      <c r="AE51" s="260">
        <f>AA51-AE50</f>
        <v>135.83749773067834</v>
      </c>
      <c r="AF51" s="260">
        <f t="shared" ref="AF51" si="226">AB51-AF50</f>
        <v>162.77077462333878</v>
      </c>
      <c r="AG51" s="260">
        <f t="shared" ref="AG51" si="227">AC51-AG50</f>
        <v>10.209406913409058</v>
      </c>
      <c r="AH51" s="260">
        <f t="shared" ref="AH51" si="228">AD51-AH50</f>
        <v>11.273420359116683</v>
      </c>
      <c r="AI51" s="236"/>
    </row>
    <row r="52" spans="1:37" ht="14.25" customHeight="1">
      <c r="A52" s="201" t="str">
        <f t="shared" si="221"/>
        <v>FHV</v>
      </c>
      <c r="B52" s="201" t="str">
        <f t="shared" si="0"/>
        <v>IMPOILHV24</v>
      </c>
      <c r="C52" s="201" t="str">
        <f>CONCATENATE("Imported ",VLOOKUP($A52,Types!$A$13:$C$18,3,FALSE),", PADD ",RIGHT(F52,1),", Step ",RIGHT(E52,1))</f>
        <v>Imported Imported Oil-High Sulfur, Very HG, PADD 2, Step 4</v>
      </c>
      <c r="D52" s="201" t="str">
        <f t="shared" si="222"/>
        <v>OILHV2</v>
      </c>
      <c r="E52" s="201">
        <v>4</v>
      </c>
      <c r="F52" s="201" t="str">
        <f t="shared" si="223"/>
        <v>P2</v>
      </c>
      <c r="G52" s="244">
        <f>G49*$C$8</f>
        <v>30.03</v>
      </c>
      <c r="H52" s="244">
        <f t="shared" ref="H52:J52" si="229">H49*$C$8</f>
        <v>48.29343750000001</v>
      </c>
      <c r="I52" s="244">
        <f t="shared" si="229"/>
        <v>32.813549999999999</v>
      </c>
      <c r="J52" s="244">
        <f t="shared" si="229"/>
        <v>34.742400000000004</v>
      </c>
      <c r="K52" s="245">
        <f>G52*Conv!$J$20/10^6/Conv!$C$47/Conv!$I$5</f>
        <v>7.2240489067875053</v>
      </c>
      <c r="L52" s="245">
        <f>H52*Conv!$J$20/10^6/Conv!$C$47/Conv!$I$5</f>
        <v>11.617520958271253</v>
      </c>
      <c r="M52" s="245">
        <f>L52*'Imported Price Trends'!$K$10</f>
        <v>13.124512646261357</v>
      </c>
      <c r="N52" s="245">
        <f>M52*'Imported Price Trends'!$L$10</f>
        <v>12.998123512484588</v>
      </c>
      <c r="O52" s="245">
        <f>N52*'Imported Price Trends'!$M$10</f>
        <v>14.76077619446469</v>
      </c>
      <c r="P52" s="245">
        <f>O52*'Imported Price Trends'!$N$10</f>
        <v>16.119143134106203</v>
      </c>
      <c r="Q52" s="245">
        <f>P52*'Imported Price Trends'!$O$10</f>
        <v>17.681267062881854</v>
      </c>
      <c r="R52" s="245">
        <f>Q52*'Imported Price Trends'!$O$10</f>
        <v>19.394778143477645</v>
      </c>
      <c r="S52" s="245">
        <f>R52*'Imported Price Trends'!$O$10</f>
        <v>21.274347471645992</v>
      </c>
      <c r="T52" s="245">
        <f>S52*'Imported Price Trends'!$O$10</f>
        <v>23.336067935200195</v>
      </c>
      <c r="U52" s="245">
        <f>T52*'Imported Price Trends'!$O$10</f>
        <v>25.597592001450245</v>
      </c>
      <c r="V52" s="227"/>
      <c r="W52" s="261">
        <f>W49*$E$8</f>
        <v>700.11599999999987</v>
      </c>
      <c r="X52" s="261">
        <f t="shared" ref="X52:Z52" si="230">X49*$E$8</f>
        <v>838.93200000000002</v>
      </c>
      <c r="Y52" s="261">
        <f t="shared" si="230"/>
        <v>52.62</v>
      </c>
      <c r="Z52" s="261">
        <f t="shared" si="230"/>
        <v>58.103999999999999</v>
      </c>
      <c r="AA52" s="260">
        <f>W52*Conv!$C$47*Conv!$I$5*1000*365</f>
        <v>1630.0499727681397</v>
      </c>
      <c r="AB52" s="260">
        <f>X52*Conv!$C$47*Conv!$I$5*1000*365</f>
        <v>1953.2492954800657</v>
      </c>
      <c r="AC52" s="260">
        <f>Y52*Conv!$C$47*Conv!$I$5*1000*365</f>
        <v>122.51288296090867</v>
      </c>
      <c r="AD52" s="260">
        <f>Z52*Conv!$C$47*Conv!$I$5*1000*365</f>
        <v>135.28104430940019</v>
      </c>
      <c r="AE52" s="260">
        <f>AA52-AA49</f>
        <v>271.67499546135627</v>
      </c>
      <c r="AF52" s="260">
        <f t="shared" ref="AF52" si="231">AB52-AB49</f>
        <v>325.54154924667773</v>
      </c>
      <c r="AG52" s="260">
        <f t="shared" ref="AG52" si="232">AC52-AC49</f>
        <v>20.418813826818081</v>
      </c>
      <c r="AH52" s="260">
        <f t="shared" ref="AH52" si="233">AD52-AD49</f>
        <v>22.546840718233369</v>
      </c>
      <c r="AI52" s="236"/>
    </row>
    <row r="53" spans="1:37" ht="14.25" customHeight="1">
      <c r="A53" s="201" t="str">
        <f t="shared" si="221"/>
        <v>FHV</v>
      </c>
      <c r="B53" s="201" t="str">
        <f t="shared" si="0"/>
        <v>IMPOILHV25</v>
      </c>
      <c r="C53" s="201" t="str">
        <f>CONCATENATE("Imported ",VLOOKUP($A53,Types!$A$13:$C$18,3,FALSE),", PADD ",RIGHT(F53,1),", Step ",RIGHT(E53,1))</f>
        <v>Imported Imported Oil-High Sulfur, Very HG, PADD 2, Step 5</v>
      </c>
      <c r="D53" s="201" t="str">
        <f t="shared" si="222"/>
        <v>OILHV2</v>
      </c>
      <c r="E53" s="201">
        <v>5</v>
      </c>
      <c r="F53" s="201" t="str">
        <f t="shared" si="223"/>
        <v>P2</v>
      </c>
      <c r="G53" s="244">
        <f>G49*$C$9</f>
        <v>37.18</v>
      </c>
      <c r="H53" s="244">
        <f t="shared" ref="H53:J53" si="234">H49*$C$9</f>
        <v>59.791875000000012</v>
      </c>
      <c r="I53" s="244">
        <f t="shared" si="234"/>
        <v>40.626300000000001</v>
      </c>
      <c r="J53" s="244">
        <f t="shared" si="234"/>
        <v>43.014400000000002</v>
      </c>
      <c r="K53" s="245">
        <f>G53*Conv!$J$20/10^6/Conv!$C$47/Conv!$I$5</f>
        <v>8.944060551260721</v>
      </c>
      <c r="L53" s="245">
        <f>H53*Conv!$J$20/10^6/Conv!$C$47/Conv!$I$5</f>
        <v>14.383597376907268</v>
      </c>
      <c r="M53" s="245">
        <f>L53*'Imported Price Trends'!$K$10</f>
        <v>16.24939660965692</v>
      </c>
      <c r="N53" s="245">
        <f>M53*'Imported Price Trends'!$L$10</f>
        <v>16.09291482498092</v>
      </c>
      <c r="O53" s="245">
        <f>N53*'Imported Price Trends'!$M$10</f>
        <v>18.275246716956286</v>
      </c>
      <c r="P53" s="245">
        <f>O53*'Imported Price Trends'!$N$10</f>
        <v>19.957034356512445</v>
      </c>
      <c r="Q53" s="245">
        <f>P53*'Imported Price Trends'!$O$10</f>
        <v>21.891092554044203</v>
      </c>
      <c r="R53" s="245">
        <f>Q53*'Imported Price Trends'!$O$10</f>
        <v>24.012582463353276</v>
      </c>
      <c r="S53" s="245">
        <f>R53*'Imported Price Trends'!$O$10</f>
        <v>26.339668298228375</v>
      </c>
      <c r="T53" s="245">
        <f>S53*'Imported Price Trends'!$O$10</f>
        <v>28.89227458643834</v>
      </c>
      <c r="U53" s="245">
        <f>T53*'Imported Price Trends'!$O$10</f>
        <v>31.692256763700307</v>
      </c>
      <c r="V53" s="227"/>
      <c r="W53" s="261">
        <f>W49*$E$9</f>
        <v>758.45899999999995</v>
      </c>
      <c r="X53" s="261">
        <f t="shared" ref="X53:Z53" si="235">X49*$E$9</f>
        <v>908.84300000000007</v>
      </c>
      <c r="Y53" s="261">
        <f t="shared" si="235"/>
        <v>57.005000000000003</v>
      </c>
      <c r="Z53" s="261">
        <f t="shared" si="235"/>
        <v>62.946000000000005</v>
      </c>
      <c r="AA53" s="260">
        <f>W53*Conv!$C$47*Conv!$I$5*1000*365</f>
        <v>1765.8874704988184</v>
      </c>
      <c r="AB53" s="260">
        <f>X53*Conv!$C$47*Conv!$I$5*1000*365</f>
        <v>2116.0200701034041</v>
      </c>
      <c r="AC53" s="260">
        <f>Y53*Conv!$C$47*Conv!$I$5*1000*365</f>
        <v>132.72228987431774</v>
      </c>
      <c r="AD53" s="260">
        <f>Z53*Conv!$C$47*Conv!$I$5*1000*365</f>
        <v>146.55446466851686</v>
      </c>
      <c r="AE53" s="260">
        <f>AA53-AA52</f>
        <v>135.83749773067871</v>
      </c>
      <c r="AF53" s="260">
        <f t="shared" ref="AF53" si="236">AB53-AB52</f>
        <v>162.77077462333841</v>
      </c>
      <c r="AG53" s="260">
        <f t="shared" ref="AG53" si="237">AC53-AC52</f>
        <v>10.209406913409069</v>
      </c>
      <c r="AH53" s="260">
        <f t="shared" ref="AH53" si="238">AD53-AD52</f>
        <v>11.27342035911667</v>
      </c>
      <c r="AI53" s="236"/>
    </row>
    <row r="54" spans="1:37" ht="14.25" customHeight="1">
      <c r="A54" s="201" t="str">
        <f>'Agg crdcrv'!C27</f>
        <v>FLL</v>
      </c>
      <c r="B54" s="201" t="str">
        <f t="shared" si="0"/>
        <v>IMPOILLL23</v>
      </c>
      <c r="C54" s="201" t="str">
        <f>CONCATENATE("Imported ",VLOOKUP($A54,Types!$A$13:$C$18,3,FALSE),", PADD ",RIGHT(F54,1),", Step ",RIGHT(E54,1))</f>
        <v>Imported Imported Oil-Low Sulfur, Low G, PADD 2, Step 3</v>
      </c>
      <c r="D54" s="201" t="str">
        <f>CONCATENATE(VLOOKUP($A54,Types!$A$14:$C$18,2,FALSE),RIGHT(F54,1))</f>
        <v>OILLL2</v>
      </c>
      <c r="E54" s="201">
        <v>3</v>
      </c>
      <c r="F54" s="201" t="str">
        <f>'Agg crdcrv'!D27</f>
        <v>P2</v>
      </c>
      <c r="G54" s="244">
        <f>'Agg crdcrv'!H27*K5</f>
        <v>40.260000000000005</v>
      </c>
      <c r="H54" s="244">
        <f>'Agg crdcrv'!H32*K5</f>
        <v>60.981250000000003</v>
      </c>
      <c r="I54" s="244">
        <f>'Agg crdcrv'!H37*K5</f>
        <v>42.283999999999999</v>
      </c>
      <c r="J54" s="244">
        <f>'Agg crdcrv'!H42*K5</f>
        <v>44.440000000000005</v>
      </c>
      <c r="K54" s="245">
        <f>G54*Conv!$J$20/10^6/Conv!$C$47/Conv!$I$5</f>
        <v>9.6849886442645694</v>
      </c>
      <c r="L54" s="245">
        <f>H54*Conv!$J$20/10^6/Conv!$C$47/Conv!$I$5</f>
        <v>14.669714698535982</v>
      </c>
      <c r="M54" s="245">
        <f>L54*'Imported Price Trends'!$K$10</f>
        <v>16.572628254301122</v>
      </c>
      <c r="N54" s="245">
        <f>M54*'Imported Price Trends'!$L$10</f>
        <v>16.413033746991001</v>
      </c>
      <c r="O54" s="245">
        <f>N54*'Imported Price Trends'!$M$10</f>
        <v>18.638776403288745</v>
      </c>
      <c r="P54" s="245">
        <f>O54*'Imported Price Trends'!$N$10</f>
        <v>20.354018022567015</v>
      </c>
      <c r="Q54" s="245">
        <f>P54*'Imported Price Trends'!$O$10</f>
        <v>22.326548344759345</v>
      </c>
      <c r="R54" s="245">
        <f>Q54*'Imported Price Trends'!$O$10</f>
        <v>24.49023875473652</v>
      </c>
      <c r="S54" s="245">
        <f>R54*'Imported Price Trends'!$O$10</f>
        <v>26.863614787315814</v>
      </c>
      <c r="T54" s="245">
        <f>S54*'Imported Price Trends'!$O$10</f>
        <v>29.46699730731379</v>
      </c>
      <c r="U54" s="245">
        <f>T54*'Imported Price Trends'!$O$10</f>
        <v>32.322676496955467</v>
      </c>
      <c r="V54" s="227"/>
      <c r="W54" s="201">
        <f>'Agg crdcrv'!F27</f>
        <v>374.87</v>
      </c>
      <c r="X54" s="201">
        <f>'Agg crdcrv'!F32</f>
        <v>369.94</v>
      </c>
      <c r="Y54" s="201">
        <f>'Agg crdcrv'!F37</f>
        <v>1.85</v>
      </c>
      <c r="Z54" s="201">
        <f>'Agg crdcrv'!F42</f>
        <v>2.0499999999999998</v>
      </c>
      <c r="AA54" s="260">
        <f>W54*Conv!$C$47*Conv!$I$5*1000*365</f>
        <v>872.79369888931649</v>
      </c>
      <c r="AB54" s="260">
        <f>X54*Conv!$C$47*Conv!$I$5*1000*365</f>
        <v>861.31539191483387</v>
      </c>
      <c r="AC54" s="260">
        <f>Y54*Conv!$C$47*Conv!$I$5*1000*365</f>
        <v>4.3072754366720076</v>
      </c>
      <c r="AD54" s="260">
        <f>Z54*Conv!$C$47*Conv!$I$5*1000*365</f>
        <v>4.7729268352311429</v>
      </c>
      <c r="AE54" s="260">
        <f>AA54-AA56</f>
        <v>698.23495911145324</v>
      </c>
      <c r="AF54" s="260">
        <f t="shared" ref="AF54" si="239">AB54-AB56</f>
        <v>689.05231353186718</v>
      </c>
      <c r="AG54" s="260">
        <f t="shared" ref="AG54" si="240">AC54-AC56</f>
        <v>3.4458203493376063</v>
      </c>
      <c r="AH54" s="260">
        <f t="shared" ref="AH54" si="241">AD54-AD56</f>
        <v>3.8183414681849142</v>
      </c>
    </row>
    <row r="55" spans="1:37" ht="14.25" customHeight="1">
      <c r="A55" s="201" t="str">
        <f>A54</f>
        <v>FLL</v>
      </c>
      <c r="B55" s="201" t="str">
        <f t="shared" si="0"/>
        <v>IMPOILLL21</v>
      </c>
      <c r="C55" s="201" t="str">
        <f>CONCATENATE("Imported ",VLOOKUP($A55,Types!$A$13:$C$18,3,FALSE),", PADD ",RIGHT(F55,1),", Step ",RIGHT(E55,1))</f>
        <v>Imported Imported Oil-Low Sulfur, Low G, PADD 2, Step 1</v>
      </c>
      <c r="D55" s="201" t="str">
        <f>D54</f>
        <v>OILLL2</v>
      </c>
      <c r="E55" s="201">
        <v>1</v>
      </c>
      <c r="F55" s="201" t="str">
        <f>F54</f>
        <v>P2</v>
      </c>
      <c r="G55" s="244">
        <f>G54*$C$5</f>
        <v>36.234000000000009</v>
      </c>
      <c r="H55" s="244">
        <f t="shared" ref="H55" si="242">H54*$C$5</f>
        <v>54.883125000000007</v>
      </c>
      <c r="I55" s="244">
        <f t="shared" ref="I55" si="243">I54*$C$5</f>
        <v>38.055599999999998</v>
      </c>
      <c r="J55" s="244">
        <f t="shared" ref="J55" si="244">J54*$C$5</f>
        <v>39.996000000000002</v>
      </c>
      <c r="K55" s="245">
        <f>G55*Conv!$J$20/10^6/Conv!$C$47/Conv!$I$5</f>
        <v>8.7164897798381133</v>
      </c>
      <c r="L55" s="245">
        <f>H55*Conv!$J$20/10^6/Conv!$C$47/Conv!$I$5</f>
        <v>13.202743228682387</v>
      </c>
      <c r="M55" s="245">
        <f>L55*'Imported Price Trends'!$K$10</f>
        <v>14.915365428871013</v>
      </c>
      <c r="N55" s="245">
        <f>M55*'Imported Price Trends'!$L$10</f>
        <v>14.771730372291906</v>
      </c>
      <c r="O55" s="245">
        <f>N55*'Imported Price Trends'!$M$10</f>
        <v>16.774898762959875</v>
      </c>
      <c r="P55" s="245">
        <f>O55*'Imported Price Trends'!$N$10</f>
        <v>18.318616220310318</v>
      </c>
      <c r="Q55" s="245">
        <f>P55*'Imported Price Trends'!$O$10</f>
        <v>20.093893510283415</v>
      </c>
      <c r="R55" s="245">
        <f>Q55*'Imported Price Trends'!$O$10</f>
        <v>22.041214879262871</v>
      </c>
      <c r="S55" s="245">
        <f>R55*'Imported Price Trends'!$O$10</f>
        <v>24.177253308584234</v>
      </c>
      <c r="T55" s="245">
        <f>S55*'Imported Price Trends'!$O$10</f>
        <v>26.520297576582411</v>
      </c>
      <c r="U55" s="245">
        <f>T55*'Imported Price Trends'!$O$10</f>
        <v>29.090408847259919</v>
      </c>
      <c r="V55" s="227"/>
      <c r="W55" s="261">
        <f>W54*$E$5</f>
        <v>37.487000000000002</v>
      </c>
      <c r="X55" s="261">
        <f t="shared" ref="X55" si="245">X54*$E$5</f>
        <v>36.994</v>
      </c>
      <c r="Y55" s="261">
        <f t="shared" ref="Y55" si="246">Y54*$E$5</f>
        <v>0.18500000000000003</v>
      </c>
      <c r="Z55" s="261">
        <f t="shared" ref="Z55" si="247">Z54*$E$5</f>
        <v>0.20499999999999999</v>
      </c>
      <c r="AA55" s="260">
        <f>W55*Conv!$C$47*Conv!$I$5*1000*365</f>
        <v>87.279369888931654</v>
      </c>
      <c r="AB55" s="260">
        <f>X55*Conv!$C$47*Conv!$I$5*1000*365</f>
        <v>86.13153919148337</v>
      </c>
      <c r="AC55" s="260">
        <f>Y55*Conv!$C$47*Conv!$I$5*1000*365</f>
        <v>0.43072754366720079</v>
      </c>
      <c r="AD55" s="260">
        <f>Z55*Conv!$C$47*Conv!$I$5*1000*365</f>
        <v>0.47729268352311444</v>
      </c>
      <c r="AE55" s="260">
        <f>AA55</f>
        <v>87.279369888931654</v>
      </c>
      <c r="AF55" s="260">
        <f t="shared" ref="AF55" si="248">AB55</f>
        <v>86.13153919148337</v>
      </c>
      <c r="AG55" s="260">
        <f t="shared" ref="AG55" si="249">AC55</f>
        <v>0.43072754366720079</v>
      </c>
      <c r="AH55" s="260">
        <f t="shared" ref="AH55" si="250">AD55</f>
        <v>0.47729268352311444</v>
      </c>
      <c r="AI55" s="236"/>
    </row>
    <row r="56" spans="1:37" ht="14.25" customHeight="1">
      <c r="A56" s="201" t="str">
        <f t="shared" ref="A56:A58" si="251">A55</f>
        <v>FLL</v>
      </c>
      <c r="B56" s="201" t="str">
        <f t="shared" si="0"/>
        <v>IMPOILLL22</v>
      </c>
      <c r="C56" s="201" t="str">
        <f>CONCATENATE("Imported ",VLOOKUP($A56,Types!$A$13:$C$18,3,FALSE),", PADD ",RIGHT(F56,1),", Step ",RIGHT(E56,1))</f>
        <v>Imported Imported Oil-Low Sulfur, Low G, PADD 2, Step 2</v>
      </c>
      <c r="D56" s="201" t="str">
        <f t="shared" ref="D56:D58" si="252">D55</f>
        <v>OILLL2</v>
      </c>
      <c r="E56" s="201">
        <v>2</v>
      </c>
      <c r="F56" s="201" t="str">
        <f t="shared" ref="F56:F58" si="253">F55</f>
        <v>P2</v>
      </c>
      <c r="G56" s="244">
        <f>G54*$C$6</f>
        <v>38.247</v>
      </c>
      <c r="H56" s="244">
        <f t="shared" ref="H56:J56" si="254">H54*$C$6</f>
        <v>57.932187499999998</v>
      </c>
      <c r="I56" s="244">
        <f t="shared" si="254"/>
        <v>40.169799999999995</v>
      </c>
      <c r="J56" s="244">
        <f t="shared" si="254"/>
        <v>42.218000000000004</v>
      </c>
      <c r="K56" s="245">
        <f>G56*Conv!$J$20/10^6/Conv!$C$47/Conv!$I$5</f>
        <v>9.2007392120513387</v>
      </c>
      <c r="L56" s="245">
        <f>H56*Conv!$J$20/10^6/Conv!$C$47/Conv!$I$5</f>
        <v>13.936228963609183</v>
      </c>
      <c r="M56" s="245">
        <f>L56*'Imported Price Trends'!$K$10</f>
        <v>15.743996841586066</v>
      </c>
      <c r="N56" s="245">
        <f>M56*'Imported Price Trends'!$L$10</f>
        <v>15.592382059641452</v>
      </c>
      <c r="O56" s="245">
        <f>N56*'Imported Price Trends'!$M$10</f>
        <v>17.706837583124308</v>
      </c>
      <c r="P56" s="245">
        <f>O56*'Imported Price Trends'!$N$10</f>
        <v>19.336317121438665</v>
      </c>
      <c r="Q56" s="245">
        <f>P56*'Imported Price Trends'!$O$10</f>
        <v>21.21022092752138</v>
      </c>
      <c r="R56" s="245">
        <f>Q56*'Imported Price Trends'!$O$10</f>
        <v>23.265726816999695</v>
      </c>
      <c r="S56" s="245">
        <f>R56*'Imported Price Trends'!$O$10</f>
        <v>25.520434047950026</v>
      </c>
      <c r="T56" s="245">
        <f>S56*'Imported Price Trends'!$O$10</f>
        <v>27.993647441948102</v>
      </c>
      <c r="U56" s="245">
        <f>T56*'Imported Price Trends'!$O$10</f>
        <v>30.706542672107695</v>
      </c>
      <c r="V56" s="227"/>
      <c r="W56" s="261">
        <f>W54*$E$6</f>
        <v>74.974000000000004</v>
      </c>
      <c r="X56" s="261">
        <f t="shared" ref="X56:Z56" si="255">X54*$E$6</f>
        <v>73.988</v>
      </c>
      <c r="Y56" s="261">
        <f t="shared" si="255"/>
        <v>0.37000000000000005</v>
      </c>
      <c r="Z56" s="261">
        <f t="shared" si="255"/>
        <v>0.41</v>
      </c>
      <c r="AA56" s="260">
        <f>W56*Conv!$C$47*Conv!$I$5*1000*365</f>
        <v>174.55873977786331</v>
      </c>
      <c r="AB56" s="260">
        <f>X56*Conv!$C$47*Conv!$I$5*1000*365</f>
        <v>172.26307838296674</v>
      </c>
      <c r="AC56" s="260">
        <f>Y56*Conv!$C$47*Conv!$I$5*1000*365</f>
        <v>0.86145508733440157</v>
      </c>
      <c r="AD56" s="260">
        <f>Z56*Conv!$C$47*Conv!$I$5*1000*365</f>
        <v>0.95458536704622887</v>
      </c>
      <c r="AE56" s="260">
        <f>AA56-AE55</f>
        <v>87.279369888931654</v>
      </c>
      <c r="AF56" s="260">
        <f t="shared" ref="AF56" si="256">AB56-AF55</f>
        <v>86.13153919148337</v>
      </c>
      <c r="AG56" s="260">
        <f t="shared" ref="AG56" si="257">AC56-AG55</f>
        <v>0.43072754366720079</v>
      </c>
      <c r="AH56" s="260">
        <f t="shared" ref="AH56" si="258">AD56-AH55</f>
        <v>0.47729268352311444</v>
      </c>
      <c r="AI56" s="236"/>
    </row>
    <row r="57" spans="1:37" ht="14.25" customHeight="1">
      <c r="A57" s="201" t="str">
        <f t="shared" si="251"/>
        <v>FLL</v>
      </c>
      <c r="B57" s="201" t="str">
        <f t="shared" si="0"/>
        <v>IMPOILLL24</v>
      </c>
      <c r="C57" s="201" t="str">
        <f>CONCATENATE("Imported ",VLOOKUP($A57,Types!$A$13:$C$18,3,FALSE),", PADD ",RIGHT(F57,1),", Step ",RIGHT(E57,1))</f>
        <v>Imported Imported Oil-Low Sulfur, Low G, PADD 2, Step 4</v>
      </c>
      <c r="D57" s="201" t="str">
        <f t="shared" si="252"/>
        <v>OILLL2</v>
      </c>
      <c r="E57" s="201">
        <v>4</v>
      </c>
      <c r="F57" s="201" t="str">
        <f t="shared" si="253"/>
        <v>P2</v>
      </c>
      <c r="G57" s="244">
        <f>G54*$C$8</f>
        <v>42.27300000000001</v>
      </c>
      <c r="H57" s="244">
        <f t="shared" ref="H57:J57" si="259">H54*$C$8</f>
        <v>64.030312500000008</v>
      </c>
      <c r="I57" s="244">
        <f t="shared" si="259"/>
        <v>44.398200000000003</v>
      </c>
      <c r="J57" s="244">
        <f t="shared" si="259"/>
        <v>46.662000000000006</v>
      </c>
      <c r="K57" s="245">
        <f>G57*Conv!$J$20/10^6/Conv!$C$47/Conv!$I$5</f>
        <v>10.169238076477798</v>
      </c>
      <c r="L57" s="245">
        <f>H57*Conv!$J$20/10^6/Conv!$C$47/Conv!$I$5</f>
        <v>15.403200433462786</v>
      </c>
      <c r="M57" s="245">
        <f>L57*'Imported Price Trends'!$K$10</f>
        <v>17.401259667016181</v>
      </c>
      <c r="N57" s="245">
        <f>M57*'Imported Price Trends'!$L$10</f>
        <v>17.233685434340554</v>
      </c>
      <c r="O57" s="245">
        <f>N57*'Imported Price Trends'!$M$10</f>
        <v>19.570715223453185</v>
      </c>
      <c r="P57" s="245">
        <f>O57*'Imported Price Trends'!$N$10</f>
        <v>21.371718923695369</v>
      </c>
      <c r="Q57" s="245">
        <f>P57*'Imported Price Trends'!$O$10</f>
        <v>23.442875761997318</v>
      </c>
      <c r="R57" s="245">
        <f>Q57*'Imported Price Trends'!$O$10</f>
        <v>25.714750692473352</v>
      </c>
      <c r="S57" s="245">
        <f>R57*'Imported Price Trends'!$O$10</f>
        <v>28.20679552668161</v>
      </c>
      <c r="T57" s="245">
        <f>S57*'Imported Price Trends'!$O$10</f>
        <v>30.940347172679484</v>
      </c>
      <c r="U57" s="245">
        <f>T57*'Imported Price Trends'!$O$10</f>
        <v>33.938810321803246</v>
      </c>
      <c r="V57" s="227"/>
      <c r="W57" s="261">
        <f>W54*$E$8</f>
        <v>449.84399999999999</v>
      </c>
      <c r="X57" s="261">
        <f t="shared" ref="X57:Z57" si="260">X54*$E$8</f>
        <v>443.928</v>
      </c>
      <c r="Y57" s="261">
        <f t="shared" si="260"/>
        <v>2.2200000000000002</v>
      </c>
      <c r="Z57" s="261">
        <f t="shared" si="260"/>
        <v>2.4599999999999995</v>
      </c>
      <c r="AA57" s="260">
        <f>W57*Conv!$C$47*Conv!$I$5*1000*365</f>
        <v>1047.3524386671797</v>
      </c>
      <c r="AB57" s="260">
        <f>X57*Conv!$C$47*Conv!$I$5*1000*365</f>
        <v>1033.5784702978008</v>
      </c>
      <c r="AC57" s="260">
        <f>Y57*Conv!$C$47*Conv!$I$5*1000*365</f>
        <v>5.168730524006409</v>
      </c>
      <c r="AD57" s="260">
        <f>Z57*Conv!$C$47*Conv!$I$5*1000*365</f>
        <v>5.7275122022773708</v>
      </c>
      <c r="AE57" s="260">
        <f>AA57-AA54</f>
        <v>174.55873977786325</v>
      </c>
      <c r="AF57" s="260">
        <f t="shared" ref="AF57" si="261">AB57-AB54</f>
        <v>172.26307838296691</v>
      </c>
      <c r="AG57" s="260">
        <f t="shared" ref="AG57" si="262">AC57-AC54</f>
        <v>0.86145508733440135</v>
      </c>
      <c r="AH57" s="260">
        <f t="shared" ref="AH57" si="263">AD57-AD54</f>
        <v>0.95458536704622787</v>
      </c>
      <c r="AI57" s="236"/>
    </row>
    <row r="58" spans="1:37" ht="14.25" customHeight="1">
      <c r="A58" s="201" t="str">
        <f t="shared" si="251"/>
        <v>FLL</v>
      </c>
      <c r="B58" s="201" t="str">
        <f t="shared" si="0"/>
        <v>IMPOILLL25</v>
      </c>
      <c r="C58" s="201" t="str">
        <f>CONCATENATE("Imported ",VLOOKUP($A58,Types!$A$13:$C$18,3,FALSE),", PADD ",RIGHT(F58,1),", Step ",RIGHT(E58,1))</f>
        <v>Imported Imported Oil-Low Sulfur, Low G, PADD 2, Step 5</v>
      </c>
      <c r="D58" s="201" t="str">
        <f t="shared" si="252"/>
        <v>OILLL2</v>
      </c>
      <c r="E58" s="201">
        <v>5</v>
      </c>
      <c r="F58" s="201" t="str">
        <f t="shared" si="253"/>
        <v>P2</v>
      </c>
      <c r="G58" s="244">
        <f>G54*$C$9</f>
        <v>52.338000000000008</v>
      </c>
      <c r="H58" s="244">
        <f t="shared" ref="H58:J58" si="264">H54*$C$9</f>
        <v>79.275625000000005</v>
      </c>
      <c r="I58" s="244">
        <f t="shared" si="264"/>
        <v>54.969200000000001</v>
      </c>
      <c r="J58" s="244">
        <f t="shared" si="264"/>
        <v>57.772000000000006</v>
      </c>
      <c r="K58" s="245">
        <f>G58*Conv!$J$20/10^6/Conv!$C$47/Conv!$I$5</f>
        <v>12.590485237543941</v>
      </c>
      <c r="L58" s="245">
        <f>H58*Conv!$J$20/10^6/Conv!$C$47/Conv!$I$5</f>
        <v>19.070629108096782</v>
      </c>
      <c r="M58" s="245">
        <f>L58*'Imported Price Trends'!$K$10</f>
        <v>21.544416730591465</v>
      </c>
      <c r="N58" s="245">
        <f>M58*'Imported Price Trends'!$L$10</f>
        <v>21.336943871088309</v>
      </c>
      <c r="O58" s="245">
        <f>N58*'Imported Price Trends'!$M$10</f>
        <v>24.230409324275378</v>
      </c>
      <c r="P58" s="245">
        <f>O58*'Imported Price Trends'!$N$10</f>
        <v>26.46022342933713</v>
      </c>
      <c r="Q58" s="245">
        <f>P58*'Imported Price Trends'!$O$10</f>
        <v>29.024512848187161</v>
      </c>
      <c r="R58" s="245">
        <f>Q58*'Imported Price Trends'!$O$10</f>
        <v>31.83731038115749</v>
      </c>
      <c r="S58" s="245">
        <f>R58*'Imported Price Trends'!$O$10</f>
        <v>34.922699223510577</v>
      </c>
      <c r="T58" s="245">
        <f>S58*'Imported Price Trends'!$O$10</f>
        <v>38.307096499507949</v>
      </c>
      <c r="U58" s="245">
        <f>T58*'Imported Price Trends'!$O$10</f>
        <v>42.019479446042126</v>
      </c>
      <c r="V58" s="227"/>
      <c r="W58" s="261">
        <f>W54*$E$9</f>
        <v>487.33100000000002</v>
      </c>
      <c r="X58" s="261">
        <f t="shared" ref="X58:Z58" si="265">X54*$E$9</f>
        <v>480.92200000000003</v>
      </c>
      <c r="Y58" s="261">
        <f t="shared" si="265"/>
        <v>2.4050000000000002</v>
      </c>
      <c r="Z58" s="261">
        <f t="shared" si="265"/>
        <v>2.665</v>
      </c>
      <c r="AA58" s="260">
        <f>W58*Conv!$C$47*Conv!$I$5*1000*365</f>
        <v>1134.6318085561115</v>
      </c>
      <c r="AB58" s="260">
        <f>X58*Conv!$C$47*Conv!$I$5*1000*365</f>
        <v>1119.7100094892839</v>
      </c>
      <c r="AC58" s="260">
        <f>Y58*Conv!$C$47*Conv!$I$5*1000*365</f>
        <v>5.5994580676736101</v>
      </c>
      <c r="AD58" s="260">
        <f>Z58*Conv!$C$47*Conv!$I$5*1000*365</f>
        <v>6.2048048858004874</v>
      </c>
      <c r="AE58" s="260">
        <f>AA58-AA57</f>
        <v>87.279369888931797</v>
      </c>
      <c r="AF58" s="260">
        <f t="shared" ref="AF58" si="266">AB58-AB57</f>
        <v>86.131539191483171</v>
      </c>
      <c r="AG58" s="260">
        <f t="shared" ref="AG58" si="267">AC58-AC57</f>
        <v>0.43072754366720112</v>
      </c>
      <c r="AH58" s="260">
        <f t="shared" ref="AH58" si="268">AD58-AD57</f>
        <v>0.4772926835231166</v>
      </c>
      <c r="AI58" s="236"/>
    </row>
    <row r="59" spans="1:37" ht="14.25" customHeight="1">
      <c r="A59" s="201" t="str">
        <f>'Agg crdcrv'!C28</f>
        <v>FMH</v>
      </c>
      <c r="B59" s="201" t="str">
        <f t="shared" si="0"/>
        <v>IMPOILMH23</v>
      </c>
      <c r="C59" s="201" t="str">
        <f>CONCATENATE("Imported ",VLOOKUP($A59,Types!$A$13:$C$18,3,FALSE),", PADD ",RIGHT(F59,1),", Step ",RIGHT(E59,1))</f>
        <v>Imported Imported Oil-Medium Sulfur, HG, PADD 2, Step 3</v>
      </c>
      <c r="D59" s="201" t="str">
        <f>CONCATENATE(VLOOKUP($A59,Types!$A$14:$C$18,2,FALSE),RIGHT(F59,1))</f>
        <v>OILMH2</v>
      </c>
      <c r="E59" s="201">
        <v>3</v>
      </c>
      <c r="F59" s="201" t="str">
        <f>'Agg crdcrv'!D28</f>
        <v>P2</v>
      </c>
      <c r="G59" s="244">
        <f>'Agg crdcrv'!H28*K5</f>
        <v>36.201000000000001</v>
      </c>
      <c r="H59" s="244">
        <f>'Agg crdcrv'!H33*K5</f>
        <v>50.105000000000004</v>
      </c>
      <c r="I59" s="244">
        <f>'Agg crdcrv'!H38*K5</f>
        <v>34.441000000000003</v>
      </c>
      <c r="J59" s="244">
        <f>'Agg crdcrv'!H43*K5</f>
        <v>36.32200000000001</v>
      </c>
      <c r="K59" s="245">
        <f>G59*Conv!$J$20/10^6/Conv!$C$47/Conv!$I$5</f>
        <v>8.7085512645559255</v>
      </c>
      <c r="L59" s="245">
        <f>H59*Conv!$J$20/10^6/Conv!$C$47/Conv!$I$5</f>
        <v>12.053312370116149</v>
      </c>
      <c r="M59" s="245">
        <f>L59*'Imported Price Trends'!$K$10</f>
        <v>13.61683367726568</v>
      </c>
      <c r="N59" s="245">
        <f>M59*'Imported Price Trends'!$L$10</f>
        <v>13.485703489072201</v>
      </c>
      <c r="O59" s="245">
        <f>N59*'Imported Price Trends'!$M$10</f>
        <v>15.314476034630031</v>
      </c>
      <c r="P59" s="245">
        <f>O59*'Imported Price Trends'!$N$10</f>
        <v>16.723797446276034</v>
      </c>
      <c r="Q59" s="245">
        <f>P59*'Imported Price Trends'!$O$10</f>
        <v>18.34451909093643</v>
      </c>
      <c r="R59" s="245">
        <f>Q59*'Imported Price Trends'!$O$10</f>
        <v>20.122306656653866</v>
      </c>
      <c r="S59" s="245">
        <f>R59*'Imported Price Trends'!$O$10</f>
        <v>22.072381574967043</v>
      </c>
      <c r="T59" s="245">
        <f>S59*'Imported Price Trends'!$O$10</f>
        <v>24.211440403123216</v>
      </c>
      <c r="U59" s="245">
        <f>T59*'Imported Price Trends'!$O$10</f>
        <v>26.557797780136578</v>
      </c>
      <c r="V59" s="227"/>
      <c r="W59" s="201">
        <f>'Agg crdcrv'!F28</f>
        <v>227.53</v>
      </c>
      <c r="X59" s="201">
        <f>'Agg crdcrv'!F33</f>
        <v>34.909999999999997</v>
      </c>
      <c r="Y59" s="201">
        <f>'Agg crdcrv'!F38</f>
        <v>3.86</v>
      </c>
      <c r="Z59" s="201">
        <f>'Agg crdcrv'!F43</f>
        <v>4.26</v>
      </c>
      <c r="AA59" s="260">
        <f>W59*Conv!$C$47*Conv!$I$5*1000*365</f>
        <v>529.74831357080109</v>
      </c>
      <c r="AB59" s="260">
        <f>X59*Conv!$C$47*Conv!$I$5*1000*365</f>
        <v>81.279451618497177</v>
      </c>
      <c r="AC59" s="260">
        <f>Y59*Conv!$C$47*Conv!$I$5*1000*365</f>
        <v>8.9870719921913249</v>
      </c>
      <c r="AD59" s="260">
        <f>Z59*Conv!$C$47*Conv!$I$5*1000*365</f>
        <v>9.9183747893095955</v>
      </c>
      <c r="AE59" s="260">
        <f>AA59-AA61</f>
        <v>423.7986508566409</v>
      </c>
      <c r="AF59" s="260">
        <f t="shared" ref="AF59" si="269">AB59-AB61</f>
        <v>65.023561294797744</v>
      </c>
      <c r="AG59" s="260">
        <f t="shared" ref="AG59" si="270">AC59-AC61</f>
        <v>7.1896575937530596</v>
      </c>
      <c r="AH59" s="260">
        <f t="shared" ref="AH59" si="271">AD59-AD61</f>
        <v>7.9346998314476762</v>
      </c>
    </row>
    <row r="60" spans="1:37" ht="14.25" customHeight="1">
      <c r="A60" s="201" t="str">
        <f>A59</f>
        <v>FMH</v>
      </c>
      <c r="B60" s="201" t="str">
        <f t="shared" si="0"/>
        <v>IMPOILMH21</v>
      </c>
      <c r="C60" s="201" t="str">
        <f>CONCATENATE("Imported ",VLOOKUP($A60,Types!$A$13:$C$18,3,FALSE),", PADD ",RIGHT(F60,1),", Step ",RIGHT(E60,1))</f>
        <v>Imported Imported Oil-Medium Sulfur, HG, PADD 2, Step 1</v>
      </c>
      <c r="D60" s="201" t="str">
        <f>D59</f>
        <v>OILMH2</v>
      </c>
      <c r="E60" s="201">
        <v>1</v>
      </c>
      <c r="F60" s="201" t="str">
        <f>F59</f>
        <v>P2</v>
      </c>
      <c r="G60" s="244">
        <f>G59*$C$5</f>
        <v>32.5809</v>
      </c>
      <c r="H60" s="244">
        <f t="shared" ref="H60" si="272">H59*$C$5</f>
        <v>45.094500000000004</v>
      </c>
      <c r="I60" s="244">
        <f t="shared" ref="I60" si="273">I59*$C$5</f>
        <v>30.996900000000004</v>
      </c>
      <c r="J60" s="244">
        <f t="shared" ref="J60" si="274">J59*$C$5</f>
        <v>32.689800000000012</v>
      </c>
      <c r="K60" s="245">
        <f>G60*Conv!$J$20/10^6/Conv!$C$47/Conv!$I$5</f>
        <v>7.8376961381003349</v>
      </c>
      <c r="L60" s="245">
        <f>H60*Conv!$J$20/10^6/Conv!$C$47/Conv!$I$5</f>
        <v>10.847981133104536</v>
      </c>
      <c r="M60" s="245">
        <f>L60*'Imported Price Trends'!$K$10</f>
        <v>12.255150309539113</v>
      </c>
      <c r="N60" s="245">
        <f>M60*'Imported Price Trends'!$L$10</f>
        <v>12.137133140164982</v>
      </c>
      <c r="O60" s="245">
        <f>N60*'Imported Price Trends'!$M$10</f>
        <v>13.783028431167031</v>
      </c>
      <c r="P60" s="245">
        <f>O60*'Imported Price Trends'!$N$10</f>
        <v>15.051417701648433</v>
      </c>
      <c r="Q60" s="245">
        <f>P60*'Imported Price Trends'!$O$10</f>
        <v>16.510067181842789</v>
      </c>
      <c r="R60" s="245">
        <f>Q60*'Imported Price Trends'!$O$10</f>
        <v>18.110075990988481</v>
      </c>
      <c r="S60" s="245">
        <f>R60*'Imported Price Trends'!$O$10</f>
        <v>19.865143417470343</v>
      </c>
      <c r="T60" s="245">
        <f>S60*'Imported Price Trends'!$O$10</f>
        <v>21.790296362810899</v>
      </c>
      <c r="U60" s="245">
        <f>T60*'Imported Price Trends'!$O$10</f>
        <v>23.902018002122926</v>
      </c>
      <c r="V60" s="227"/>
      <c r="W60" s="261">
        <f>W59*$E$5</f>
        <v>22.753</v>
      </c>
      <c r="X60" s="261">
        <f t="shared" ref="X60" si="275">X59*$E$5</f>
        <v>3.4909999999999997</v>
      </c>
      <c r="Y60" s="261">
        <f t="shared" ref="Y60" si="276">Y59*$E$5</f>
        <v>0.38600000000000001</v>
      </c>
      <c r="Z60" s="261">
        <f t="shared" ref="Z60" si="277">Z59*$E$5</f>
        <v>0.42599999999999999</v>
      </c>
      <c r="AA60" s="260">
        <f>W60*Conv!$C$47*Conv!$I$5*1000*365</f>
        <v>52.974831357080099</v>
      </c>
      <c r="AB60" s="260">
        <f>X60*Conv!$C$47*Conv!$I$5*1000*365</f>
        <v>8.127945161849718</v>
      </c>
      <c r="AC60" s="260">
        <f>Y60*Conv!$C$47*Conv!$I$5*1000*365</f>
        <v>0.89870719921913245</v>
      </c>
      <c r="AD60" s="260">
        <f>Z60*Conv!$C$47*Conv!$I$5*1000*365</f>
        <v>0.99183747893095964</v>
      </c>
      <c r="AE60" s="260">
        <f>AA60</f>
        <v>52.974831357080099</v>
      </c>
      <c r="AF60" s="260">
        <f t="shared" ref="AF60" si="278">AB60</f>
        <v>8.127945161849718</v>
      </c>
      <c r="AG60" s="260">
        <f t="shared" ref="AG60" si="279">AC60</f>
        <v>0.89870719921913245</v>
      </c>
      <c r="AH60" s="260">
        <f t="shared" ref="AH60" si="280">AD60</f>
        <v>0.99183747893095964</v>
      </c>
      <c r="AI60" s="236"/>
    </row>
    <row r="61" spans="1:37" ht="14.25" customHeight="1">
      <c r="A61" s="201" t="str">
        <f t="shared" ref="A61:A63" si="281">A60</f>
        <v>FMH</v>
      </c>
      <c r="B61" s="201" t="str">
        <f t="shared" si="0"/>
        <v>IMPOILMH22</v>
      </c>
      <c r="C61" s="201" t="str">
        <f>CONCATENATE("Imported ",VLOOKUP($A61,Types!$A$13:$C$18,3,FALSE),", PADD ",RIGHT(F61,1),", Step ",RIGHT(E61,1))</f>
        <v>Imported Imported Oil-Medium Sulfur, HG, PADD 2, Step 2</v>
      </c>
      <c r="D61" s="201" t="str">
        <f t="shared" ref="D61:D63" si="282">D60</f>
        <v>OILMH2</v>
      </c>
      <c r="E61" s="201">
        <v>2</v>
      </c>
      <c r="F61" s="201" t="str">
        <f t="shared" ref="F61:F63" si="283">F60</f>
        <v>P2</v>
      </c>
      <c r="G61" s="244">
        <f>G59*$C$6</f>
        <v>34.390949999999997</v>
      </c>
      <c r="H61" s="244">
        <f t="shared" ref="H61:J61" si="284">H59*$C$6</f>
        <v>47.59975</v>
      </c>
      <c r="I61" s="244">
        <f t="shared" si="284"/>
        <v>32.71895</v>
      </c>
      <c r="J61" s="244">
        <f t="shared" si="284"/>
        <v>34.505900000000011</v>
      </c>
      <c r="K61" s="245">
        <f>G61*Conv!$J$20/10^6/Conv!$C$47/Conv!$I$5</f>
        <v>8.2731237013281316</v>
      </c>
      <c r="L61" s="245">
        <f>H61*Conv!$J$20/10^6/Conv!$C$47/Conv!$I$5</f>
        <v>11.450646751610343</v>
      </c>
      <c r="M61" s="245">
        <f>L61*'Imported Price Trends'!$K$10</f>
        <v>12.935991993402396</v>
      </c>
      <c r="N61" s="245">
        <f>M61*'Imported Price Trends'!$L$10</f>
        <v>12.811418314618592</v>
      </c>
      <c r="O61" s="245">
        <f>N61*'Imported Price Trends'!$M$10</f>
        <v>14.548752232898533</v>
      </c>
      <c r="P61" s="245">
        <f>O61*'Imported Price Trends'!$N$10</f>
        <v>15.887607573962235</v>
      </c>
      <c r="Q61" s="245">
        <f>P61*'Imported Price Trends'!$O$10</f>
        <v>17.427293136389611</v>
      </c>
      <c r="R61" s="245">
        <f>Q61*'Imported Price Trends'!$O$10</f>
        <v>19.116191323821173</v>
      </c>
      <c r="S61" s="245">
        <f>R61*'Imported Price Trends'!$O$10</f>
        <v>20.968762496218694</v>
      </c>
      <c r="T61" s="245">
        <f>S61*'Imported Price Trends'!$O$10</f>
        <v>23.000868382967059</v>
      </c>
      <c r="U61" s="245">
        <f>T61*'Imported Price Trends'!$O$10</f>
        <v>25.229907891129756</v>
      </c>
      <c r="V61" s="227"/>
      <c r="W61" s="261">
        <f>W59*$E$6</f>
        <v>45.506</v>
      </c>
      <c r="X61" s="261">
        <f t="shared" ref="X61:Z61" si="285">X59*$E$6</f>
        <v>6.9819999999999993</v>
      </c>
      <c r="Y61" s="261">
        <f t="shared" si="285"/>
        <v>0.77200000000000002</v>
      </c>
      <c r="Z61" s="261">
        <f t="shared" si="285"/>
        <v>0.85199999999999998</v>
      </c>
      <c r="AA61" s="260">
        <f>W61*Conv!$C$47*Conv!$I$5*1000*365</f>
        <v>105.9496627141602</v>
      </c>
      <c r="AB61" s="260">
        <f>X61*Conv!$C$47*Conv!$I$5*1000*365</f>
        <v>16.255890323699436</v>
      </c>
      <c r="AC61" s="260">
        <f>Y61*Conv!$C$47*Conv!$I$5*1000*365</f>
        <v>1.7974143984382649</v>
      </c>
      <c r="AD61" s="260">
        <f>Z61*Conv!$C$47*Conv!$I$5*1000*365</f>
        <v>1.9836749578619193</v>
      </c>
      <c r="AE61" s="260">
        <f>AA61-AE60</f>
        <v>52.974831357080099</v>
      </c>
      <c r="AF61" s="260">
        <f t="shared" ref="AF61" si="286">AB61-AF60</f>
        <v>8.127945161849718</v>
      </c>
      <c r="AG61" s="260">
        <f t="shared" ref="AG61" si="287">AC61-AG60</f>
        <v>0.89870719921913245</v>
      </c>
      <c r="AH61" s="260">
        <f t="shared" ref="AH61" si="288">AD61-AH60</f>
        <v>0.99183747893095964</v>
      </c>
      <c r="AI61" s="236"/>
    </row>
    <row r="62" spans="1:37" ht="14.25" customHeight="1">
      <c r="A62" s="201" t="str">
        <f t="shared" si="281"/>
        <v>FMH</v>
      </c>
      <c r="B62" s="201" t="str">
        <f t="shared" si="0"/>
        <v>IMPOILMH24</v>
      </c>
      <c r="C62" s="201" t="str">
        <f>CONCATENATE("Imported ",VLOOKUP($A62,Types!$A$13:$C$18,3,FALSE),", PADD ",RIGHT(F62,1),", Step ",RIGHT(E62,1))</f>
        <v>Imported Imported Oil-Medium Sulfur, HG, PADD 2, Step 4</v>
      </c>
      <c r="D62" s="201" t="str">
        <f t="shared" si="282"/>
        <v>OILMH2</v>
      </c>
      <c r="E62" s="201">
        <v>4</v>
      </c>
      <c r="F62" s="201" t="str">
        <f t="shared" si="283"/>
        <v>P2</v>
      </c>
      <c r="G62" s="244">
        <f>G59*$C$8</f>
        <v>38.011050000000004</v>
      </c>
      <c r="H62" s="244">
        <f t="shared" ref="H62:J62" si="289">H59*$C$8</f>
        <v>52.610250000000008</v>
      </c>
      <c r="I62" s="244">
        <f t="shared" si="289"/>
        <v>36.163050000000005</v>
      </c>
      <c r="J62" s="244">
        <f t="shared" si="289"/>
        <v>38.138100000000009</v>
      </c>
      <c r="K62" s="245">
        <f>G62*Conv!$J$20/10^6/Conv!$C$47/Conv!$I$5</f>
        <v>9.1439788277837248</v>
      </c>
      <c r="L62" s="245">
        <f>H62*Conv!$J$20/10^6/Conv!$C$47/Conv!$I$5</f>
        <v>12.655977988621959</v>
      </c>
      <c r="M62" s="245">
        <f>L62*'Imported Price Trends'!$K$10</f>
        <v>14.297675361128967</v>
      </c>
      <c r="N62" s="245">
        <f>M62*'Imported Price Trends'!$L$10</f>
        <v>14.159988663525814</v>
      </c>
      <c r="O62" s="245">
        <f>N62*'Imported Price Trends'!$M$10</f>
        <v>16.080199836361537</v>
      </c>
      <c r="P62" s="245">
        <f>O62*'Imported Price Trends'!$N$10</f>
        <v>17.55998731858984</v>
      </c>
      <c r="Q62" s="245">
        <f>P62*'Imported Price Trends'!$O$10</f>
        <v>19.261745045483256</v>
      </c>
      <c r="R62" s="245">
        <f>Q62*'Imported Price Trends'!$O$10</f>
        <v>21.128421989486561</v>
      </c>
      <c r="S62" s="245">
        <f>R62*'Imported Price Trends'!$O$10</f>
        <v>23.176000653715398</v>
      </c>
      <c r="T62" s="245">
        <f>S62*'Imported Price Trends'!$O$10</f>
        <v>25.42201242327938</v>
      </c>
      <c r="U62" s="245">
        <f>T62*'Imported Price Trends'!$O$10</f>
        <v>27.885687669143412</v>
      </c>
      <c r="V62" s="227"/>
      <c r="W62" s="261">
        <f>W59*$E$8</f>
        <v>273.036</v>
      </c>
      <c r="X62" s="261">
        <f t="shared" ref="X62:Z62" si="290">X59*$E$8</f>
        <v>41.891999999999996</v>
      </c>
      <c r="Y62" s="261">
        <f t="shared" si="290"/>
        <v>4.6319999999999997</v>
      </c>
      <c r="Z62" s="261">
        <f t="shared" si="290"/>
        <v>5.1119999999999992</v>
      </c>
      <c r="AA62" s="260">
        <f>W62*Conv!$C$47*Conv!$I$5*1000*365</f>
        <v>635.69797628496133</v>
      </c>
      <c r="AB62" s="260">
        <f>X62*Conv!$C$47*Conv!$I$5*1000*365</f>
        <v>97.535341942196609</v>
      </c>
      <c r="AC62" s="260">
        <f>Y62*Conv!$C$47*Conv!$I$5*1000*365</f>
        <v>10.784486390629588</v>
      </c>
      <c r="AD62" s="260">
        <f>Z62*Conv!$C$47*Conv!$I$5*1000*365</f>
        <v>11.902049747171514</v>
      </c>
      <c r="AE62" s="260">
        <f>AA62-AA59</f>
        <v>105.94966271416024</v>
      </c>
      <c r="AF62" s="260">
        <f t="shared" ref="AF62" si="291">AB62-AB59</f>
        <v>16.255890323699433</v>
      </c>
      <c r="AG62" s="260">
        <f t="shared" ref="AG62" si="292">AC62-AC59</f>
        <v>1.7974143984382636</v>
      </c>
      <c r="AH62" s="260">
        <f t="shared" ref="AH62" si="293">AD62-AD59</f>
        <v>1.9836749578619184</v>
      </c>
      <c r="AI62" s="236"/>
    </row>
    <row r="63" spans="1:37" ht="14.25" customHeight="1">
      <c r="A63" s="201" t="str">
        <f t="shared" si="281"/>
        <v>FMH</v>
      </c>
      <c r="B63" s="201" t="str">
        <f t="shared" si="0"/>
        <v>IMPOILMH25</v>
      </c>
      <c r="C63" s="201" t="str">
        <f>CONCATENATE("Imported ",VLOOKUP($A63,Types!$A$13:$C$18,3,FALSE),", PADD ",RIGHT(F63,1),", Step ",RIGHT(E63,1))</f>
        <v>Imported Imported Oil-Medium Sulfur, HG, PADD 2, Step 5</v>
      </c>
      <c r="D63" s="201" t="str">
        <f t="shared" si="282"/>
        <v>OILMH2</v>
      </c>
      <c r="E63" s="201">
        <v>5</v>
      </c>
      <c r="F63" s="201" t="str">
        <f t="shared" si="283"/>
        <v>P2</v>
      </c>
      <c r="G63" s="244">
        <f>G59*$C$9</f>
        <v>47.061300000000003</v>
      </c>
      <c r="H63" s="244">
        <f t="shared" ref="H63:J63" si="294">H59*$C$9</f>
        <v>65.136500000000012</v>
      </c>
      <c r="I63" s="244">
        <f t="shared" si="294"/>
        <v>44.773300000000006</v>
      </c>
      <c r="J63" s="244">
        <f t="shared" si="294"/>
        <v>47.218600000000016</v>
      </c>
      <c r="K63" s="245">
        <f>G63*Conv!$J$20/10^6/Conv!$C$47/Conv!$I$5</f>
        <v>11.321116643922707</v>
      </c>
      <c r="L63" s="245">
        <f>H63*Conv!$J$20/10^6/Conv!$C$47/Conv!$I$5</f>
        <v>15.669306081150996</v>
      </c>
      <c r="M63" s="245">
        <f>L63*'Imported Price Trends'!$K$10</f>
        <v>17.701883780445385</v>
      </c>
      <c r="N63" s="245">
        <f>M63*'Imported Price Trends'!$L$10</f>
        <v>17.531414535793864</v>
      </c>
      <c r="O63" s="245">
        <f>N63*'Imported Price Trends'!$M$10</f>
        <v>19.908818845019045</v>
      </c>
      <c r="P63" s="245">
        <f>O63*'Imported Price Trends'!$N$10</f>
        <v>21.740936680158846</v>
      </c>
      <c r="Q63" s="245">
        <f>P63*'Imported Price Trends'!$O$10</f>
        <v>23.84787481821736</v>
      </c>
      <c r="R63" s="245">
        <f>Q63*'Imported Price Trends'!$O$10</f>
        <v>26.158998653650023</v>
      </c>
      <c r="S63" s="245">
        <f>R63*'Imported Price Trends'!$O$10</f>
        <v>28.694096047457155</v>
      </c>
      <c r="T63" s="245">
        <f>S63*'Imported Price Trends'!$O$10</f>
        <v>31.474872524060178</v>
      </c>
      <c r="U63" s="245">
        <f>T63*'Imported Price Trends'!$O$10</f>
        <v>34.525137114177546</v>
      </c>
      <c r="V63" s="227"/>
      <c r="W63" s="261">
        <f>W59*$E$9</f>
        <v>295.78899999999999</v>
      </c>
      <c r="X63" s="261">
        <f t="shared" ref="X63:Z63" si="295">X59*$E$9</f>
        <v>45.382999999999996</v>
      </c>
      <c r="Y63" s="261">
        <f t="shared" si="295"/>
        <v>5.0179999999999998</v>
      </c>
      <c r="Z63" s="261">
        <f t="shared" si="295"/>
        <v>5.5380000000000003</v>
      </c>
      <c r="AA63" s="260">
        <f>W63*Conv!$C$47*Conv!$I$5*1000*365</f>
        <v>688.67280764204133</v>
      </c>
      <c r="AB63" s="260">
        <f>X63*Conv!$C$47*Conv!$I$5*1000*365</f>
        <v>105.66328710404632</v>
      </c>
      <c r="AC63" s="260">
        <f>Y63*Conv!$C$47*Conv!$I$5*1000*365</f>
        <v>11.68319358984872</v>
      </c>
      <c r="AD63" s="260">
        <f>Z63*Conv!$C$47*Conv!$I$5*1000*365</f>
        <v>12.893887226102477</v>
      </c>
      <c r="AE63" s="260">
        <f>AA63-AA62</f>
        <v>52.974831357080006</v>
      </c>
      <c r="AF63" s="260">
        <f t="shared" ref="AF63" si="296">AB63-AB62</f>
        <v>8.1279451618497092</v>
      </c>
      <c r="AG63" s="260">
        <f t="shared" ref="AG63" si="297">AC63-AC62</f>
        <v>0.89870719921913178</v>
      </c>
      <c r="AH63" s="260">
        <f t="shared" ref="AH63" si="298">AD63-AD62</f>
        <v>0.99183747893096275</v>
      </c>
      <c r="AI63" s="236"/>
    </row>
    <row r="64" spans="1:37" ht="12.75">
      <c r="A64" s="202" t="s">
        <v>726</v>
      </c>
      <c r="B64" s="202"/>
      <c r="C64" s="202"/>
      <c r="D64" s="233"/>
      <c r="E64" s="233"/>
      <c r="F64" s="233"/>
      <c r="G64" s="241"/>
      <c r="H64" s="251"/>
      <c r="I64" s="241"/>
      <c r="J64" s="251"/>
      <c r="K64" s="242"/>
      <c r="L64" s="252"/>
      <c r="M64" s="242"/>
      <c r="N64" s="252"/>
      <c r="O64" s="242"/>
      <c r="P64" s="252"/>
      <c r="Q64" s="242"/>
      <c r="R64" s="252"/>
      <c r="S64" s="242"/>
      <c r="T64" s="252"/>
      <c r="U64" s="242"/>
      <c r="V64" s="202"/>
      <c r="W64" s="202"/>
      <c r="X64" s="233"/>
      <c r="Y64" s="202"/>
      <c r="Z64" s="233"/>
      <c r="AA64" s="254"/>
      <c r="AB64" s="254"/>
      <c r="AC64" s="254"/>
      <c r="AD64" s="254"/>
      <c r="AE64" s="254"/>
      <c r="AF64" s="253"/>
      <c r="AG64" s="254"/>
      <c r="AH64" s="253"/>
      <c r="AI64" s="202"/>
      <c r="AJ64" s="233"/>
      <c r="AK64" s="202"/>
    </row>
    <row r="65" spans="1:35" ht="14.25" customHeight="1">
      <c r="A65" s="201" t="str">
        <f>'Agg crdcrv'!C44</f>
        <v>FHH</v>
      </c>
      <c r="B65" s="201" t="str">
        <f t="shared" si="0"/>
        <v>IMPOILHH33</v>
      </c>
      <c r="C65" s="201" t="str">
        <f>CONCATENATE("Imported ",VLOOKUP($A65,Types!$A$13:$C$18,3,FALSE),", PADD ",RIGHT(F65,1),", Step ",RIGHT(E65,1))</f>
        <v>Imported Imported Oil-High Sulfur, Heavy G, PADD 3, Step 3</v>
      </c>
      <c r="D65" s="201" t="str">
        <f>CONCATENATE(VLOOKUP($A65,Types!$A$14:$C$18,2,FALSE),RIGHT(F65,1))</f>
        <v>OILHH3</v>
      </c>
      <c r="E65" s="201">
        <v>3</v>
      </c>
      <c r="F65" s="201" t="str">
        <f>'Agg crdcrv'!D44</f>
        <v>P3</v>
      </c>
      <c r="G65" s="244">
        <f>'Agg crdcrv'!H44*K5</f>
        <v>31.900000000000002</v>
      </c>
      <c r="H65" s="244">
        <f>'Agg crdcrv'!H49*K5</f>
        <v>46.406250000000007</v>
      </c>
      <c r="I65" s="244">
        <f>'Agg crdcrv'!H54*K5</f>
        <v>31.57</v>
      </c>
      <c r="J65" s="244">
        <f>'Agg crdcrv'!H59*K5</f>
        <v>33.407000000000004</v>
      </c>
      <c r="K65" s="245">
        <f>G65*Conv!$J$20/10^6/Conv!$C$47/Conv!$I$5</f>
        <v>7.6738981061112703</v>
      </c>
      <c r="L65" s="245">
        <f>H65*Conv!$J$20/10^6/Conv!$C$47/Conv!$I$5</f>
        <v>11.163537115571355</v>
      </c>
      <c r="M65" s="245">
        <f>L65*'Imported Price Trends'!$K$10</f>
        <v>12.611639314152493</v>
      </c>
      <c r="N65" s="245">
        <f>M65*'Imported Price Trends'!$L$10</f>
        <v>12.490189153572638</v>
      </c>
      <c r="O65" s="245">
        <f>N65*'Imported Price Trends'!$M$10</f>
        <v>14.183961749966075</v>
      </c>
      <c r="P65" s="245">
        <f>O65*'Imported Price Trends'!$N$10</f>
        <v>15.489247085944466</v>
      </c>
      <c r="Q65" s="245">
        <f>P65*'Imported Price Trends'!$O$10</f>
        <v>16.990327094377189</v>
      </c>
      <c r="R65" s="245">
        <f>Q65*'Imported Price Trends'!$O$10</f>
        <v>18.636878421022729</v>
      </c>
      <c r="S65" s="245">
        <f>R65*'Imported Price Trends'!$O$10</f>
        <v>20.442998851677775</v>
      </c>
      <c r="T65" s="245">
        <f>S65*'Imported Price Trends'!$O$10</f>
        <v>22.424152404100138</v>
      </c>
      <c r="U65" s="245">
        <f>T65*'Imported Price Trends'!$O$10</f>
        <v>24.597301731054063</v>
      </c>
      <c r="V65" s="227"/>
      <c r="W65" s="201">
        <f>'Agg crdcrv'!F44</f>
        <v>1525.41</v>
      </c>
      <c r="X65" s="201">
        <f>'Agg crdcrv'!F49</f>
        <v>1078.94</v>
      </c>
      <c r="Y65" s="201">
        <f>'Agg crdcrv'!F54</f>
        <v>432.71</v>
      </c>
      <c r="Z65" s="201">
        <f>'Agg crdcrv'!F59</f>
        <v>477.74</v>
      </c>
      <c r="AA65" s="260">
        <f>W65*Conv!$C$47*Conv!$I$5*1000*365</f>
        <v>3551.546499380458</v>
      </c>
      <c r="AB65" s="260">
        <f>X65*Conv!$C$47*Conv!$I$5*1000*365</f>
        <v>2512.0495998069709</v>
      </c>
      <c r="AC65" s="260">
        <f>Y65*Conv!$C$47*Conv!$I$5*1000*365</f>
        <v>1007.4600833526185</v>
      </c>
      <c r="AD65" s="260">
        <f>Z65*Conv!$C$47*Conv!$I$5*1000*365</f>
        <v>1112.3014957382081</v>
      </c>
      <c r="AE65" s="260">
        <f>AA65-AA67</f>
        <v>2841.2371995043663</v>
      </c>
      <c r="AF65" s="260">
        <f t="shared" ref="AF65" si="299">AB65-AB67</f>
        <v>2009.6396798455767</v>
      </c>
      <c r="AG65" s="260">
        <f t="shared" ref="AG65" si="300">AC65-AC67</f>
        <v>805.96806668209479</v>
      </c>
      <c r="AH65" s="260">
        <f t="shared" ref="AH65" si="301">AD65-AD67</f>
        <v>889.84119659056648</v>
      </c>
    </row>
    <row r="66" spans="1:35" ht="14.25" customHeight="1">
      <c r="A66" s="201" t="str">
        <f>A65</f>
        <v>FHH</v>
      </c>
      <c r="B66" s="201" t="str">
        <f t="shared" si="0"/>
        <v>IMPOILHH31</v>
      </c>
      <c r="C66" s="201" t="str">
        <f>CONCATENATE("Imported ",VLOOKUP($A66,Types!$A$13:$C$18,3,FALSE),", PADD ",RIGHT(F66,1),", Step ",RIGHT(E66,1))</f>
        <v>Imported Imported Oil-High Sulfur, Heavy G, PADD 3, Step 1</v>
      </c>
      <c r="D66" s="201" t="str">
        <f>D65</f>
        <v>OILHH3</v>
      </c>
      <c r="E66" s="201">
        <v>1</v>
      </c>
      <c r="F66" s="201" t="str">
        <f>F65</f>
        <v>P3</v>
      </c>
      <c r="G66" s="244">
        <f>G65*$C$5</f>
        <v>28.71</v>
      </c>
      <c r="H66" s="244">
        <f t="shared" ref="H66" si="302">H65*$C$5</f>
        <v>41.765625000000007</v>
      </c>
      <c r="I66" s="244">
        <f t="shared" ref="I66" si="303">I65*$C$5</f>
        <v>28.413</v>
      </c>
      <c r="J66" s="244">
        <f t="shared" ref="J66" si="304">J65*$C$5</f>
        <v>30.066300000000005</v>
      </c>
      <c r="K66" s="245">
        <f>G66*Conv!$J$20/10^6/Conv!$C$47/Conv!$I$5</f>
        <v>6.9065082955001431</v>
      </c>
      <c r="L66" s="245">
        <f>H66*Conv!$J$20/10^6/Conv!$C$47/Conv!$I$5</f>
        <v>10.04718340401422</v>
      </c>
      <c r="M66" s="245">
        <f>L66*'Imported Price Trends'!$K$10</f>
        <v>11.350475382737244</v>
      </c>
      <c r="N66" s="245">
        <f>M66*'Imported Price Trends'!$L$10</f>
        <v>11.241170238215375</v>
      </c>
      <c r="O66" s="245">
        <f>N66*'Imported Price Trends'!$M$10</f>
        <v>12.765565574969468</v>
      </c>
      <c r="P66" s="245">
        <f>O66*'Imported Price Trends'!$N$10</f>
        <v>13.94032237735002</v>
      </c>
      <c r="Q66" s="245">
        <f>P66*'Imported Price Trends'!$O$10</f>
        <v>15.291294384939469</v>
      </c>
      <c r="R66" s="245">
        <f>Q66*'Imported Price Trends'!$O$10</f>
        <v>16.773190578920456</v>
      </c>
      <c r="S66" s="245">
        <f>R66*'Imported Price Trends'!$O$10</f>
        <v>18.398698966509997</v>
      </c>
      <c r="T66" s="245">
        <f>S66*'Imported Price Trends'!$O$10</f>
        <v>20.181737163690123</v>
      </c>
      <c r="U66" s="245">
        <f>T66*'Imported Price Trends'!$O$10</f>
        <v>22.137571557948657</v>
      </c>
      <c r="V66" s="227"/>
      <c r="W66" s="261">
        <f>W65*$E$5</f>
        <v>152.54100000000003</v>
      </c>
      <c r="X66" s="261">
        <f t="shared" ref="X66" si="305">X65*$E$5</f>
        <v>107.89400000000001</v>
      </c>
      <c r="Y66" s="261">
        <f t="shared" ref="Y66" si="306">Y65*$E$5</f>
        <v>43.271000000000001</v>
      </c>
      <c r="Z66" s="261">
        <f t="shared" ref="Z66" si="307">Z65*$E$5</f>
        <v>47.774000000000001</v>
      </c>
      <c r="AA66" s="260">
        <f>W66*Conv!$C$47*Conv!$I$5*1000*365</f>
        <v>355.15464993804585</v>
      </c>
      <c r="AB66" s="260">
        <f>X66*Conv!$C$47*Conv!$I$5*1000*365</f>
        <v>251.20495998069708</v>
      </c>
      <c r="AC66" s="260">
        <f>Y66*Conv!$C$47*Conv!$I$5*1000*365</f>
        <v>100.74600833526185</v>
      </c>
      <c r="AD66" s="260">
        <f>Z66*Conv!$C$47*Conv!$I$5*1000*365</f>
        <v>111.23014957382081</v>
      </c>
      <c r="AE66" s="260">
        <f>AA66</f>
        <v>355.15464993804585</v>
      </c>
      <c r="AF66" s="260">
        <f t="shared" ref="AF66" si="308">AB66</f>
        <v>251.20495998069708</v>
      </c>
      <c r="AG66" s="260">
        <f t="shared" ref="AG66" si="309">AC66</f>
        <v>100.74600833526185</v>
      </c>
      <c r="AH66" s="260">
        <f t="shared" ref="AH66" si="310">AD66</f>
        <v>111.23014957382081</v>
      </c>
      <c r="AI66" s="236"/>
    </row>
    <row r="67" spans="1:35" ht="14.25" customHeight="1">
      <c r="A67" s="201" t="str">
        <f t="shared" ref="A67:A69" si="311">A66</f>
        <v>FHH</v>
      </c>
      <c r="B67" s="201" t="str">
        <f t="shared" si="0"/>
        <v>IMPOILHH32</v>
      </c>
      <c r="C67" s="201" t="str">
        <f>CONCATENATE("Imported ",VLOOKUP($A67,Types!$A$13:$C$18,3,FALSE),", PADD ",RIGHT(F67,1),", Step ",RIGHT(E67,1))</f>
        <v>Imported Imported Oil-High Sulfur, Heavy G, PADD 3, Step 2</v>
      </c>
      <c r="D67" s="201" t="str">
        <f t="shared" ref="D67:D69" si="312">D66</f>
        <v>OILHH3</v>
      </c>
      <c r="E67" s="201">
        <v>2</v>
      </c>
      <c r="F67" s="201" t="str">
        <f t="shared" ref="F67:F69" si="313">F66</f>
        <v>P3</v>
      </c>
      <c r="G67" s="244">
        <f>G65*$C$6</f>
        <v>30.305</v>
      </c>
      <c r="H67" s="244">
        <f t="shared" ref="H67:J67" si="314">H65*$C$6</f>
        <v>44.085937500000007</v>
      </c>
      <c r="I67" s="244">
        <f t="shared" si="314"/>
        <v>29.991499999999998</v>
      </c>
      <c r="J67" s="244">
        <f t="shared" si="314"/>
        <v>31.736650000000001</v>
      </c>
      <c r="K67" s="245">
        <f>G67*Conv!$J$20/10^6/Conv!$C$47/Conv!$I$5</f>
        <v>7.2902032008057063</v>
      </c>
      <c r="L67" s="245">
        <f>H67*Conv!$J$20/10^6/Conv!$C$47/Conv!$I$5</f>
        <v>10.605360259792784</v>
      </c>
      <c r="M67" s="245">
        <f>L67*'Imported Price Trends'!$K$10</f>
        <v>11.981057348444864</v>
      </c>
      <c r="N67" s="245">
        <f>M67*'Imported Price Trends'!$L$10</f>
        <v>11.865679695894002</v>
      </c>
      <c r="O67" s="245">
        <f>N67*'Imported Price Trends'!$M$10</f>
        <v>13.474763662467767</v>
      </c>
      <c r="P67" s="245">
        <f>O67*'Imported Price Trends'!$N$10</f>
        <v>14.714784731647239</v>
      </c>
      <c r="Q67" s="245">
        <f>P67*'Imported Price Trends'!$O$10</f>
        <v>16.140810739658324</v>
      </c>
      <c r="R67" s="245">
        <f>Q67*'Imported Price Trends'!$O$10</f>
        <v>17.705034499971585</v>
      </c>
      <c r="S67" s="245">
        <f>R67*'Imported Price Trends'!$O$10</f>
        <v>19.420848909093877</v>
      </c>
      <c r="T67" s="245">
        <f>S67*'Imported Price Trends'!$O$10</f>
        <v>21.302944783895121</v>
      </c>
      <c r="U67" s="245">
        <f>T67*'Imported Price Trends'!$O$10</f>
        <v>23.36743664450135</v>
      </c>
      <c r="V67" s="227"/>
      <c r="W67" s="261">
        <f>W65*$E$6</f>
        <v>305.08200000000005</v>
      </c>
      <c r="X67" s="261">
        <f t="shared" ref="X67:Z67" si="315">X65*$E$6</f>
        <v>215.78800000000001</v>
      </c>
      <c r="Y67" s="261">
        <f t="shared" si="315"/>
        <v>86.542000000000002</v>
      </c>
      <c r="Z67" s="261">
        <f t="shared" si="315"/>
        <v>95.548000000000002</v>
      </c>
      <c r="AA67" s="260">
        <f>W67*Conv!$C$47*Conv!$I$5*1000*365</f>
        <v>710.3092998760917</v>
      </c>
      <c r="AB67" s="260">
        <f>X67*Conv!$C$47*Conv!$I$5*1000*365</f>
        <v>502.40991996139417</v>
      </c>
      <c r="AC67" s="260">
        <f>Y67*Conv!$C$47*Conv!$I$5*1000*365</f>
        <v>201.4920166705237</v>
      </c>
      <c r="AD67" s="260">
        <f>Z67*Conv!$C$47*Conv!$I$5*1000*365</f>
        <v>222.46029914764162</v>
      </c>
      <c r="AE67" s="260">
        <f>AA67-AE66</f>
        <v>355.15464993804585</v>
      </c>
      <c r="AF67" s="260">
        <f t="shared" ref="AF67" si="316">AB67-AF66</f>
        <v>251.20495998069708</v>
      </c>
      <c r="AG67" s="260">
        <f t="shared" ref="AG67" si="317">AC67-AG66</f>
        <v>100.74600833526185</v>
      </c>
      <c r="AH67" s="260">
        <f t="shared" ref="AH67" si="318">AD67-AH66</f>
        <v>111.23014957382081</v>
      </c>
      <c r="AI67" s="236"/>
    </row>
    <row r="68" spans="1:35" ht="14.25" customHeight="1">
      <c r="A68" s="201" t="str">
        <f t="shared" si="311"/>
        <v>FHH</v>
      </c>
      <c r="B68" s="201" t="str">
        <f t="shared" si="0"/>
        <v>IMPOILHH34</v>
      </c>
      <c r="C68" s="201" t="str">
        <f>CONCATENATE("Imported ",VLOOKUP($A68,Types!$A$13:$C$18,3,FALSE),", PADD ",RIGHT(F68,1),", Step ",RIGHT(E68,1))</f>
        <v>Imported Imported Oil-High Sulfur, Heavy G, PADD 3, Step 4</v>
      </c>
      <c r="D68" s="201" t="str">
        <f t="shared" si="312"/>
        <v>OILHH3</v>
      </c>
      <c r="E68" s="201">
        <v>4</v>
      </c>
      <c r="F68" s="201" t="str">
        <f t="shared" si="313"/>
        <v>P3</v>
      </c>
      <c r="G68" s="244">
        <f>G65*$C$8</f>
        <v>33.495000000000005</v>
      </c>
      <c r="H68" s="244">
        <f t="shared" ref="H68:J68" si="319">H65*$C$8</f>
        <v>48.726562500000007</v>
      </c>
      <c r="I68" s="244">
        <f t="shared" si="319"/>
        <v>33.148499999999999</v>
      </c>
      <c r="J68" s="244">
        <f t="shared" si="319"/>
        <v>35.077350000000003</v>
      </c>
      <c r="K68" s="245">
        <f>G68*Conv!$J$20/10^6/Conv!$C$47/Conv!$I$5</f>
        <v>8.0575930114168361</v>
      </c>
      <c r="L68" s="245">
        <f>H68*Conv!$J$20/10^6/Conv!$C$47/Conv!$I$5</f>
        <v>11.721713971349921</v>
      </c>
      <c r="M68" s="245">
        <f>L68*'Imported Price Trends'!$K$10</f>
        <v>13.242221279860116</v>
      </c>
      <c r="N68" s="245">
        <f>M68*'Imported Price Trends'!$L$10</f>
        <v>13.114698611251269</v>
      </c>
      <c r="O68" s="245">
        <f>N68*'Imported Price Trends'!$M$10</f>
        <v>14.893159837464378</v>
      </c>
      <c r="P68" s="245">
        <f>O68*'Imported Price Trends'!$N$10</f>
        <v>16.263709440241687</v>
      </c>
      <c r="Q68" s="245">
        <f>P68*'Imported Price Trends'!$O$10</f>
        <v>17.839843449096044</v>
      </c>
      <c r="R68" s="245">
        <f>Q68*'Imported Price Trends'!$O$10</f>
        <v>19.568722342073858</v>
      </c>
      <c r="S68" s="245">
        <f>R68*'Imported Price Trends'!$O$10</f>
        <v>21.465148794261655</v>
      </c>
      <c r="T68" s="245">
        <f>S68*'Imported Price Trends'!$O$10</f>
        <v>23.545360024305133</v>
      </c>
      <c r="U68" s="245">
        <f>T68*'Imported Price Trends'!$O$10</f>
        <v>25.827166817606752</v>
      </c>
      <c r="V68" s="227"/>
      <c r="W68" s="261">
        <f>W65*$E$8</f>
        <v>1830.492</v>
      </c>
      <c r="X68" s="261">
        <f t="shared" ref="X68:Z68" si="320">X65*$E$8</f>
        <v>1294.7280000000001</v>
      </c>
      <c r="Y68" s="261">
        <f t="shared" si="320"/>
        <v>519.25199999999995</v>
      </c>
      <c r="Z68" s="261">
        <f t="shared" si="320"/>
        <v>573.28800000000001</v>
      </c>
      <c r="AA68" s="260">
        <f>W68*Conv!$C$47*Conv!$I$5*1000*365</f>
        <v>4261.8557992565502</v>
      </c>
      <c r="AB68" s="260">
        <f>X68*Conv!$C$47*Conv!$I$5*1000*365</f>
        <v>3014.4595197683648</v>
      </c>
      <c r="AC68" s="260">
        <f>Y68*Conv!$C$47*Conv!$I$5*1000*365</f>
        <v>1208.9521000231421</v>
      </c>
      <c r="AD68" s="260">
        <f>Z68*Conv!$C$47*Conv!$I$5*1000*365</f>
        <v>1334.7617948858497</v>
      </c>
      <c r="AE68" s="260">
        <f>AA68-AA65</f>
        <v>710.30929987609215</v>
      </c>
      <c r="AF68" s="260">
        <f t="shared" ref="AF68" si="321">AB68-AB65</f>
        <v>502.40991996139383</v>
      </c>
      <c r="AG68" s="260">
        <f t="shared" ref="AG68" si="322">AC68-AC65</f>
        <v>201.49201667052353</v>
      </c>
      <c r="AH68" s="260">
        <f t="shared" ref="AH68" si="323">AD68-AD65</f>
        <v>222.46029914764154</v>
      </c>
      <c r="AI68" s="236"/>
    </row>
    <row r="69" spans="1:35" ht="14.25" customHeight="1">
      <c r="A69" s="201" t="str">
        <f t="shared" si="311"/>
        <v>FHH</v>
      </c>
      <c r="B69" s="201" t="str">
        <f t="shared" si="0"/>
        <v>IMPOILHH35</v>
      </c>
      <c r="C69" s="201" t="str">
        <f>CONCATENATE("Imported ",VLOOKUP($A69,Types!$A$13:$C$18,3,FALSE),", PADD ",RIGHT(F69,1),", Step ",RIGHT(E69,1))</f>
        <v>Imported Imported Oil-High Sulfur, Heavy G, PADD 3, Step 5</v>
      </c>
      <c r="D69" s="201" t="str">
        <f t="shared" si="312"/>
        <v>OILHH3</v>
      </c>
      <c r="E69" s="201">
        <v>5</v>
      </c>
      <c r="F69" s="201" t="str">
        <f t="shared" si="313"/>
        <v>P3</v>
      </c>
      <c r="G69" s="244">
        <f>G65*$C$9</f>
        <v>41.470000000000006</v>
      </c>
      <c r="H69" s="244">
        <f t="shared" ref="H69:J69" si="324">H65*$C$9</f>
        <v>60.328125000000014</v>
      </c>
      <c r="I69" s="244">
        <f t="shared" si="324"/>
        <v>41.041000000000004</v>
      </c>
      <c r="J69" s="244">
        <f t="shared" si="324"/>
        <v>43.429100000000005</v>
      </c>
      <c r="K69" s="245">
        <f>G69*Conv!$J$20/10^6/Conv!$C$47/Conv!$I$5</f>
        <v>9.9760675379446511</v>
      </c>
      <c r="L69" s="245">
        <f>H69*Conv!$J$20/10^6/Conv!$C$47/Conv!$I$5</f>
        <v>14.512598250242762</v>
      </c>
      <c r="M69" s="245">
        <f>L69*'Imported Price Trends'!$K$10</f>
        <v>16.395131108398243</v>
      </c>
      <c r="N69" s="245">
        <f>M69*'Imported Price Trends'!$L$10</f>
        <v>16.237245899644432</v>
      </c>
      <c r="O69" s="245">
        <f>N69*'Imported Price Trends'!$M$10</f>
        <v>18.4391502749559</v>
      </c>
      <c r="P69" s="245">
        <f>O69*'Imported Price Trends'!$N$10</f>
        <v>20.136021211727808</v>
      </c>
      <c r="Q69" s="245">
        <f>P69*'Imported Price Trends'!$O$10</f>
        <v>22.087425222690346</v>
      </c>
      <c r="R69" s="245">
        <f>Q69*'Imported Price Trends'!$O$10</f>
        <v>24.227941947329548</v>
      </c>
      <c r="S69" s="245">
        <f>R69*'Imported Price Trends'!$O$10</f>
        <v>26.575898507181105</v>
      </c>
      <c r="T69" s="245">
        <f>S69*'Imported Price Trends'!$O$10</f>
        <v>29.151398125330175</v>
      </c>
      <c r="U69" s="245">
        <f>T69*'Imported Price Trends'!$O$10</f>
        <v>31.976492250370278</v>
      </c>
      <c r="V69" s="227"/>
      <c r="W69" s="261">
        <f>W65*$E$9</f>
        <v>1983.0330000000001</v>
      </c>
      <c r="X69" s="261">
        <f t="shared" ref="X69:Z69" si="325">X65*$E$9</f>
        <v>1402.6220000000001</v>
      </c>
      <c r="Y69" s="261">
        <f t="shared" si="325"/>
        <v>562.52300000000002</v>
      </c>
      <c r="Z69" s="261">
        <f t="shared" si="325"/>
        <v>621.06200000000001</v>
      </c>
      <c r="AA69" s="260">
        <f>W69*Conv!$C$47*Conv!$I$5*1000*365</f>
        <v>4617.0104491945967</v>
      </c>
      <c r="AB69" s="260">
        <f>X69*Conv!$C$47*Conv!$I$5*1000*365</f>
        <v>3265.6644797490626</v>
      </c>
      <c r="AC69" s="260">
        <f>Y69*Conv!$C$47*Conv!$I$5*1000*365</f>
        <v>1309.6981083584042</v>
      </c>
      <c r="AD69" s="260">
        <f>Z69*Conv!$C$47*Conv!$I$5*1000*365</f>
        <v>1445.9919444596705</v>
      </c>
      <c r="AE69" s="260">
        <f>AA69-AA68</f>
        <v>355.15464993804653</v>
      </c>
      <c r="AF69" s="260">
        <f t="shared" ref="AF69" si="326">AB69-AB68</f>
        <v>251.20495998069782</v>
      </c>
      <c r="AG69" s="260">
        <f t="shared" ref="AG69" si="327">AC69-AC68</f>
        <v>100.7460083352621</v>
      </c>
      <c r="AH69" s="260">
        <f t="shared" ref="AH69" si="328">AD69-AD68</f>
        <v>111.23014957382088</v>
      </c>
      <c r="AI69" s="236"/>
    </row>
    <row r="70" spans="1:35" ht="14.25" customHeight="1">
      <c r="A70" s="201" t="str">
        <f>'Agg crdcrv'!C45</f>
        <v>FHL</v>
      </c>
      <c r="B70" s="201" t="str">
        <f t="shared" si="0"/>
        <v>IMPOILHL33</v>
      </c>
      <c r="C70" s="201" t="str">
        <f>CONCATENATE("Imported ",VLOOKUP($A70,Types!$A$13:$C$18,3,FALSE),", PADD ",RIGHT(F70,1),", Step ",RIGHT(E70,1))</f>
        <v>Imported Imported Oil-High Sulfur, Low G, PADD 3, Step 3</v>
      </c>
      <c r="D70" s="201" t="str">
        <f>CONCATENATE(VLOOKUP($A70,Types!$A$14:$C$18,2,FALSE),RIGHT(F70,1))</f>
        <v>OILHL3</v>
      </c>
      <c r="E70" s="201">
        <v>3</v>
      </c>
      <c r="F70" s="201" t="str">
        <f>'Agg crdcrv'!D45</f>
        <v>P3</v>
      </c>
      <c r="G70" s="244">
        <f>'Agg crdcrv'!H45*K5</f>
        <v>41.514000000000003</v>
      </c>
      <c r="H70" s="244">
        <f>'Agg crdcrv'!H50*K5</f>
        <v>50.187500000000007</v>
      </c>
      <c r="I70" s="244">
        <f>'Agg crdcrv'!H55*K5</f>
        <v>34.551000000000002</v>
      </c>
      <c r="J70" s="244">
        <f>'Agg crdcrv'!H60*K5</f>
        <v>36.410000000000004</v>
      </c>
      <c r="K70" s="245">
        <f>G70*Conv!$J$20/10^6/Conv!$C$47/Conv!$I$5</f>
        <v>9.9866522249875622</v>
      </c>
      <c r="L70" s="245">
        <f>H70*Conv!$J$20/10^6/Conv!$C$47/Conv!$I$5</f>
        <v>12.073158658321612</v>
      </c>
      <c r="M70" s="245">
        <f>L70*'Imported Price Trends'!$K$10</f>
        <v>13.639254369379731</v>
      </c>
      <c r="N70" s="245">
        <f>M70*'Imported Price Trends'!$L$10</f>
        <v>13.507908269789667</v>
      </c>
      <c r="O70" s="245">
        <f>N70*'Imported Price Trends'!$M$10</f>
        <v>15.339691966629976</v>
      </c>
      <c r="P70" s="245">
        <f>O70*'Imported Price Trends'!$N$10</f>
        <v>16.751333885539939</v>
      </c>
      <c r="Q70" s="245">
        <f>P70*'Imported Price Trends'!$O$10</f>
        <v>18.374724116881993</v>
      </c>
      <c r="R70" s="245">
        <f>Q70*'Imported Price Trends'!$O$10</f>
        <v>20.15543888495791</v>
      </c>
      <c r="S70" s="245">
        <f>R70*'Imported Price Trends'!$O$10</f>
        <v>22.108724684036698</v>
      </c>
      <c r="T70" s="245">
        <f>S70*'Imported Price Trends'!$O$10</f>
        <v>24.251305562952734</v>
      </c>
      <c r="U70" s="245">
        <f>T70*'Imported Price Trends'!$O$10</f>
        <v>26.60152631654735</v>
      </c>
      <c r="V70" s="227"/>
      <c r="W70" s="201">
        <f>'Agg crdcrv'!F45</f>
        <v>270.20999999999998</v>
      </c>
      <c r="X70" s="201">
        <f>'Agg crdcrv'!F50</f>
        <v>328.69</v>
      </c>
      <c r="Y70" s="201">
        <f>'Agg crdcrv'!F55</f>
        <v>63.98</v>
      </c>
      <c r="Z70" s="201">
        <f>'Agg crdcrv'!F60</f>
        <v>70.64</v>
      </c>
      <c r="AA70" s="260">
        <f>W70*Conv!$C$47*Conv!$I$5*1000*365</f>
        <v>629.11832202332062</v>
      </c>
      <c r="AB70" s="260">
        <f>X70*Conv!$C$47*Conv!$I$5*1000*365</f>
        <v>765.27479096201193</v>
      </c>
      <c r="AC70" s="260">
        <f>Y70*Conv!$C$47*Conv!$I$5*1000*365</f>
        <v>148.96188239906758</v>
      </c>
      <c r="AD70" s="260">
        <f>Z70*Conv!$C$47*Conv!$I$5*1000*365</f>
        <v>164.46807397108685</v>
      </c>
      <c r="AE70" s="260">
        <f>AA70-AA72</f>
        <v>503.29465761865652</v>
      </c>
      <c r="AF70" s="260">
        <f t="shared" ref="AF70" si="329">AB70-AB72</f>
        <v>612.21983276960952</v>
      </c>
      <c r="AG70" s="260">
        <f t="shared" ref="AG70" si="330">AC70-AC72</f>
        <v>119.16950591925406</v>
      </c>
      <c r="AH70" s="260">
        <f t="shared" ref="AH70" si="331">AD70-AD72</f>
        <v>131.57445917686948</v>
      </c>
    </row>
    <row r="71" spans="1:35" ht="14.25" customHeight="1">
      <c r="A71" s="201" t="str">
        <f>A70</f>
        <v>FHL</v>
      </c>
      <c r="B71" s="201" t="str">
        <f t="shared" si="0"/>
        <v>IMPOILHL31</v>
      </c>
      <c r="C71" s="201" t="str">
        <f>CONCATENATE("Imported ",VLOOKUP($A71,Types!$A$13:$C$18,3,FALSE),", PADD ",RIGHT(F71,1),", Step ",RIGHT(E71,1))</f>
        <v>Imported Imported Oil-High Sulfur, Low G, PADD 3, Step 1</v>
      </c>
      <c r="D71" s="201" t="str">
        <f>D70</f>
        <v>OILHL3</v>
      </c>
      <c r="E71" s="201">
        <v>1</v>
      </c>
      <c r="F71" s="201" t="str">
        <f>F70</f>
        <v>P3</v>
      </c>
      <c r="G71" s="244">
        <f>G70*$C$5</f>
        <v>37.3626</v>
      </c>
      <c r="H71" s="244">
        <f t="shared" ref="H71" si="332">H70*$C$5</f>
        <v>45.16875000000001</v>
      </c>
      <c r="I71" s="244">
        <f t="shared" ref="I71" si="333">I70*$C$5</f>
        <v>31.095900000000004</v>
      </c>
      <c r="J71" s="244">
        <f t="shared" ref="J71" si="334">J70*$C$5</f>
        <v>32.769000000000005</v>
      </c>
      <c r="K71" s="245">
        <f>G71*Conv!$J$20/10^6/Conv!$C$47/Conv!$I$5</f>
        <v>8.987987002488806</v>
      </c>
      <c r="L71" s="245">
        <f>H71*Conv!$J$20/10^6/Conv!$C$47/Conv!$I$5</f>
        <v>10.865842792489451</v>
      </c>
      <c r="M71" s="245">
        <f>L71*'Imported Price Trends'!$K$10</f>
        <v>12.275328932441758</v>
      </c>
      <c r="N71" s="245">
        <f>M71*'Imported Price Trends'!$L$10</f>
        <v>12.1571174428107</v>
      </c>
      <c r="O71" s="245">
        <f>N71*'Imported Price Trends'!$M$10</f>
        <v>13.805722769966978</v>
      </c>
      <c r="P71" s="245">
        <f>O71*'Imported Price Trends'!$N$10</f>
        <v>15.076200496985946</v>
      </c>
      <c r="Q71" s="245">
        <f>P71*'Imported Price Trends'!$O$10</f>
        <v>16.537251705193796</v>
      </c>
      <c r="R71" s="245">
        <f>Q71*'Imported Price Trends'!$O$10</f>
        <v>18.139894996462122</v>
      </c>
      <c r="S71" s="245">
        <f>R71*'Imported Price Trends'!$O$10</f>
        <v>19.89785221563303</v>
      </c>
      <c r="T71" s="245">
        <f>S71*'Imported Price Trends'!$O$10</f>
        <v>21.826175006657461</v>
      </c>
      <c r="U71" s="245">
        <f>T71*'Imported Price Trends'!$O$10</f>
        <v>23.941373684892614</v>
      </c>
      <c r="V71" s="227"/>
      <c r="W71" s="261">
        <f>W70*$E$5</f>
        <v>27.021000000000001</v>
      </c>
      <c r="X71" s="261">
        <f t="shared" ref="X71" si="335">X70*$E$5</f>
        <v>32.869</v>
      </c>
      <c r="Y71" s="261">
        <f t="shared" ref="Y71" si="336">Y70*$E$5</f>
        <v>6.3979999999999997</v>
      </c>
      <c r="Z71" s="261">
        <f t="shared" ref="Z71" si="337">Z70*$E$5</f>
        <v>7.0640000000000001</v>
      </c>
      <c r="AA71" s="260">
        <f>W71*Conv!$C$47*Conv!$I$5*1000*365</f>
        <v>62.911832202332064</v>
      </c>
      <c r="AB71" s="260">
        <f>X71*Conv!$C$47*Conv!$I$5*1000*365</f>
        <v>76.527479096201191</v>
      </c>
      <c r="AC71" s="260">
        <f>Y71*Conv!$C$47*Conv!$I$5*1000*365</f>
        <v>14.896188239906758</v>
      </c>
      <c r="AD71" s="260">
        <f>Z71*Conv!$C$47*Conv!$I$5*1000*365</f>
        <v>16.446807397108682</v>
      </c>
      <c r="AE71" s="260">
        <f>AA71</f>
        <v>62.911832202332064</v>
      </c>
      <c r="AF71" s="260">
        <f t="shared" ref="AF71" si="338">AB71</f>
        <v>76.527479096201191</v>
      </c>
      <c r="AG71" s="260">
        <f t="shared" ref="AG71" si="339">AC71</f>
        <v>14.896188239906758</v>
      </c>
      <c r="AH71" s="260">
        <f t="shared" ref="AH71" si="340">AD71</f>
        <v>16.446807397108682</v>
      </c>
      <c r="AI71" s="236"/>
    </row>
    <row r="72" spans="1:35" ht="14.25" customHeight="1">
      <c r="A72" s="201" t="str">
        <f t="shared" ref="A72:A74" si="341">A71</f>
        <v>FHL</v>
      </c>
      <c r="B72" s="201" t="str">
        <f t="shared" si="0"/>
        <v>IMPOILHL32</v>
      </c>
      <c r="C72" s="201" t="str">
        <f>CONCATENATE("Imported ",VLOOKUP($A72,Types!$A$13:$C$18,3,FALSE),", PADD ",RIGHT(F72,1),", Step ",RIGHT(E72,1))</f>
        <v>Imported Imported Oil-High Sulfur, Low G, PADD 3, Step 2</v>
      </c>
      <c r="D72" s="201" t="str">
        <f t="shared" ref="D72:D74" si="342">D71</f>
        <v>OILHL3</v>
      </c>
      <c r="E72" s="201">
        <v>2</v>
      </c>
      <c r="F72" s="201" t="str">
        <f t="shared" ref="F72:F74" si="343">F71</f>
        <v>P3</v>
      </c>
      <c r="G72" s="244">
        <f>G70*$C$6</f>
        <v>39.438299999999998</v>
      </c>
      <c r="H72" s="244">
        <f t="shared" ref="H72:J72" si="344">H70*$C$6</f>
        <v>47.678125000000001</v>
      </c>
      <c r="I72" s="244">
        <f t="shared" si="344"/>
        <v>32.823450000000001</v>
      </c>
      <c r="J72" s="244">
        <f t="shared" si="344"/>
        <v>34.589500000000001</v>
      </c>
      <c r="K72" s="245">
        <f>G72*Conv!$J$20/10^6/Conv!$C$47/Conv!$I$5</f>
        <v>9.487319613738185</v>
      </c>
      <c r="L72" s="245">
        <f>H72*Conv!$J$20/10^6/Conv!$C$47/Conv!$I$5</f>
        <v>11.469500725405531</v>
      </c>
      <c r="M72" s="245">
        <f>L72*'Imported Price Trends'!$K$10</f>
        <v>12.957291650910745</v>
      </c>
      <c r="N72" s="245">
        <f>M72*'Imported Price Trends'!$L$10</f>
        <v>12.832512856300184</v>
      </c>
      <c r="O72" s="245">
        <f>N72*'Imported Price Trends'!$M$10</f>
        <v>14.572707368298477</v>
      </c>
      <c r="P72" s="245">
        <f>O72*'Imported Price Trends'!$N$10</f>
        <v>15.913767191262943</v>
      </c>
      <c r="Q72" s="245">
        <f>P72*'Imported Price Trends'!$O$10</f>
        <v>17.455987911037894</v>
      </c>
      <c r="R72" s="245">
        <f>Q72*'Imported Price Trends'!$O$10</f>
        <v>19.147666940710014</v>
      </c>
      <c r="S72" s="245">
        <f>R72*'Imported Price Trends'!$O$10</f>
        <v>21.003288449834862</v>
      </c>
      <c r="T72" s="245">
        <f>S72*'Imported Price Trends'!$O$10</f>
        <v>23.038740284805094</v>
      </c>
      <c r="U72" s="245">
        <f>T72*'Imported Price Trends'!$O$10</f>
        <v>25.271450000719977</v>
      </c>
      <c r="V72" s="227"/>
      <c r="W72" s="261">
        <f>W70*$E$6</f>
        <v>54.042000000000002</v>
      </c>
      <c r="X72" s="261">
        <f t="shared" ref="X72:Z72" si="345">X70*$E$6</f>
        <v>65.738</v>
      </c>
      <c r="Y72" s="261">
        <f t="shared" si="345"/>
        <v>12.795999999999999</v>
      </c>
      <c r="Z72" s="261">
        <f t="shared" si="345"/>
        <v>14.128</v>
      </c>
      <c r="AA72" s="260">
        <f>W72*Conv!$C$47*Conv!$I$5*1000*365</f>
        <v>125.82366440466413</v>
      </c>
      <c r="AB72" s="260">
        <f>X72*Conv!$C$47*Conv!$I$5*1000*365</f>
        <v>153.05495819240238</v>
      </c>
      <c r="AC72" s="260">
        <f>Y72*Conv!$C$47*Conv!$I$5*1000*365</f>
        <v>29.792376479813516</v>
      </c>
      <c r="AD72" s="260">
        <f>Z72*Conv!$C$47*Conv!$I$5*1000*365</f>
        <v>32.893614794217363</v>
      </c>
      <c r="AE72" s="260">
        <f>AA72-AE71</f>
        <v>62.911832202332064</v>
      </c>
      <c r="AF72" s="260">
        <f t="shared" ref="AF72" si="346">AB72-AF71</f>
        <v>76.527479096201191</v>
      </c>
      <c r="AG72" s="260">
        <f t="shared" ref="AG72" si="347">AC72-AG71</f>
        <v>14.896188239906758</v>
      </c>
      <c r="AH72" s="260">
        <f t="shared" ref="AH72" si="348">AD72-AH71</f>
        <v>16.446807397108682</v>
      </c>
      <c r="AI72" s="236"/>
    </row>
    <row r="73" spans="1:35" ht="14.25" customHeight="1">
      <c r="A73" s="201" t="str">
        <f t="shared" si="341"/>
        <v>FHL</v>
      </c>
      <c r="B73" s="201" t="str">
        <f t="shared" si="0"/>
        <v>IMPOILHL34</v>
      </c>
      <c r="C73" s="201" t="str">
        <f>CONCATENATE("Imported ",VLOOKUP($A73,Types!$A$13:$C$18,3,FALSE),", PADD ",RIGHT(F73,1),", Step ",RIGHT(E73,1))</f>
        <v>Imported Imported Oil-High Sulfur, Low G, PADD 3, Step 4</v>
      </c>
      <c r="D73" s="201" t="str">
        <f t="shared" si="342"/>
        <v>OILHL3</v>
      </c>
      <c r="E73" s="201">
        <v>4</v>
      </c>
      <c r="F73" s="201" t="str">
        <f t="shared" si="343"/>
        <v>P3</v>
      </c>
      <c r="G73" s="244">
        <f>G70*$C$8</f>
        <v>43.589700000000008</v>
      </c>
      <c r="H73" s="244">
        <f t="shared" ref="H73:J73" si="349">H70*$C$8</f>
        <v>52.696875000000013</v>
      </c>
      <c r="I73" s="244">
        <f t="shared" si="349"/>
        <v>36.278550000000003</v>
      </c>
      <c r="J73" s="244">
        <f t="shared" si="349"/>
        <v>38.230500000000006</v>
      </c>
      <c r="K73" s="245">
        <f>G73*Conv!$J$20/10^6/Conv!$C$47/Conv!$I$5</f>
        <v>10.485984836236943</v>
      </c>
      <c r="L73" s="245">
        <f>H73*Conv!$J$20/10^6/Conv!$C$47/Conv!$I$5</f>
        <v>12.676816591237694</v>
      </c>
      <c r="M73" s="245">
        <f>L73*'Imported Price Trends'!$K$10</f>
        <v>14.321217087848719</v>
      </c>
      <c r="N73" s="245">
        <f>M73*'Imported Price Trends'!$L$10</f>
        <v>14.183303683279151</v>
      </c>
      <c r="O73" s="245">
        <f>N73*'Imported Price Trends'!$M$10</f>
        <v>16.106676564961475</v>
      </c>
      <c r="P73" s="245">
        <f>O73*'Imported Price Trends'!$N$10</f>
        <v>17.588900579816936</v>
      </c>
      <c r="Q73" s="245">
        <f>P73*'Imported Price Trends'!$O$10</f>
        <v>19.293460322726094</v>
      </c>
      <c r="R73" s="245">
        <f>Q73*'Imported Price Trends'!$O$10</f>
        <v>21.163210829205806</v>
      </c>
      <c r="S73" s="245">
        <f>R73*'Imported Price Trends'!$O$10</f>
        <v>23.214160918238534</v>
      </c>
      <c r="T73" s="245">
        <f>S73*'Imported Price Trends'!$O$10</f>
        <v>25.46387084110037</v>
      </c>
      <c r="U73" s="245">
        <f>T73*'Imported Price Trends'!$O$10</f>
        <v>27.931602632374716</v>
      </c>
      <c r="V73" s="227"/>
      <c r="W73" s="261">
        <f>W70*$E$8</f>
        <v>324.25199999999995</v>
      </c>
      <c r="X73" s="261">
        <f t="shared" ref="X73:Z73" si="350">X70*$E$8</f>
        <v>394.428</v>
      </c>
      <c r="Y73" s="261">
        <f t="shared" si="350"/>
        <v>76.775999999999996</v>
      </c>
      <c r="Z73" s="261">
        <f t="shared" si="350"/>
        <v>84.768000000000001</v>
      </c>
      <c r="AA73" s="260">
        <f>W73*Conv!$C$47*Conv!$I$5*1000*365</f>
        <v>754.94198642798483</v>
      </c>
      <c r="AB73" s="260">
        <f>X73*Conv!$C$47*Conv!$I$5*1000*365</f>
        <v>918.32974915441434</v>
      </c>
      <c r="AC73" s="260">
        <f>Y73*Conv!$C$47*Conv!$I$5*1000*365</f>
        <v>178.7542588788811</v>
      </c>
      <c r="AD73" s="260">
        <f>Z73*Conv!$C$47*Conv!$I$5*1000*365</f>
        <v>197.36168876530419</v>
      </c>
      <c r="AE73" s="260">
        <f>AA73-AA70</f>
        <v>125.82366440466421</v>
      </c>
      <c r="AF73" s="260">
        <f t="shared" ref="AF73" si="351">AB73-AB70</f>
        <v>153.05495819240241</v>
      </c>
      <c r="AG73" s="260">
        <f t="shared" ref="AG73" si="352">AC73-AC70</f>
        <v>29.792376479813527</v>
      </c>
      <c r="AH73" s="260">
        <f t="shared" ref="AH73" si="353">AD73-AD70</f>
        <v>32.893614794217342</v>
      </c>
      <c r="AI73" s="236"/>
    </row>
    <row r="74" spans="1:35" ht="14.25" customHeight="1">
      <c r="A74" s="201" t="str">
        <f t="shared" si="341"/>
        <v>FHL</v>
      </c>
      <c r="B74" s="201" t="str">
        <f t="shared" si="0"/>
        <v>IMPOILHL35</v>
      </c>
      <c r="C74" s="201" t="str">
        <f>CONCATENATE("Imported ",VLOOKUP($A74,Types!$A$13:$C$18,3,FALSE),", PADD ",RIGHT(F74,1),", Step ",RIGHT(E74,1))</f>
        <v>Imported Imported Oil-High Sulfur, Low G, PADD 3, Step 5</v>
      </c>
      <c r="D74" s="201" t="str">
        <f t="shared" si="342"/>
        <v>OILHL3</v>
      </c>
      <c r="E74" s="201">
        <v>5</v>
      </c>
      <c r="F74" s="201" t="str">
        <f t="shared" si="343"/>
        <v>P3</v>
      </c>
      <c r="G74" s="244">
        <f>G70*$C$9</f>
        <v>53.968200000000003</v>
      </c>
      <c r="H74" s="244">
        <f t="shared" ref="H74:J74" si="354">H70*$C$9</f>
        <v>65.243750000000006</v>
      </c>
      <c r="I74" s="244">
        <f t="shared" si="354"/>
        <v>44.916300000000007</v>
      </c>
      <c r="J74" s="244">
        <f t="shared" si="354"/>
        <v>47.333000000000006</v>
      </c>
      <c r="K74" s="245">
        <f>G74*Conv!$J$20/10^6/Conv!$C$47/Conv!$I$5</f>
        <v>12.982647892483834</v>
      </c>
      <c r="L74" s="245">
        <f>H74*Conv!$J$20/10^6/Conv!$C$47/Conv!$I$5</f>
        <v>15.695106255818095</v>
      </c>
      <c r="M74" s="245">
        <f>L74*'Imported Price Trends'!$K$10</f>
        <v>17.731030680193651</v>
      </c>
      <c r="N74" s="245">
        <f>M74*'Imported Price Trends'!$L$10</f>
        <v>17.560280750726566</v>
      </c>
      <c r="O74" s="245">
        <f>N74*'Imported Price Trends'!$M$10</f>
        <v>19.941599556618968</v>
      </c>
      <c r="P74" s="245">
        <f>O74*'Imported Price Trends'!$N$10</f>
        <v>21.77673405120192</v>
      </c>
      <c r="Q74" s="245">
        <f>P74*'Imported Price Trends'!$O$10</f>
        <v>23.887141351946592</v>
      </c>
      <c r="R74" s="245">
        <f>Q74*'Imported Price Trends'!$O$10</f>
        <v>26.202070550445285</v>
      </c>
      <c r="S74" s="245">
        <f>R74*'Imported Price Trends'!$O$10</f>
        <v>28.741342089247709</v>
      </c>
      <c r="T74" s="245">
        <f>S74*'Imported Price Trends'!$O$10</f>
        <v>31.526697231838554</v>
      </c>
      <c r="U74" s="245">
        <f>T74*'Imported Price Trends'!$O$10</f>
        <v>34.581984211511553</v>
      </c>
      <c r="V74" s="227"/>
      <c r="W74" s="261">
        <f>W70*$E$9</f>
        <v>351.27299999999997</v>
      </c>
      <c r="X74" s="261">
        <f t="shared" ref="X74:Z74" si="355">X70*$E$9</f>
        <v>427.29700000000003</v>
      </c>
      <c r="Y74" s="261">
        <f t="shared" si="355"/>
        <v>83.173999999999992</v>
      </c>
      <c r="Z74" s="261">
        <f t="shared" si="355"/>
        <v>91.832000000000008</v>
      </c>
      <c r="AA74" s="260">
        <f>W74*Conv!$C$47*Conv!$I$5*1000*365</f>
        <v>817.85381863031682</v>
      </c>
      <c r="AB74" s="260">
        <f>X74*Conv!$C$47*Conv!$I$5*1000*365</f>
        <v>994.85722825061578</v>
      </c>
      <c r="AC74" s="260">
        <f>Y74*Conv!$C$47*Conv!$I$5*1000*365</f>
        <v>193.65044711878784</v>
      </c>
      <c r="AD74" s="260">
        <f>Z74*Conv!$C$47*Conv!$I$5*1000*365</f>
        <v>213.80849616241289</v>
      </c>
      <c r="AE74" s="260">
        <f>AA74-AA73</f>
        <v>62.911832202331993</v>
      </c>
      <c r="AF74" s="260">
        <f t="shared" ref="AF74" si="356">AB74-AB73</f>
        <v>76.527479096201432</v>
      </c>
      <c r="AG74" s="260">
        <f t="shared" ref="AG74" si="357">AC74-AC73</f>
        <v>14.896188239906735</v>
      </c>
      <c r="AH74" s="260">
        <f t="shared" ref="AH74" si="358">AD74-AD73</f>
        <v>16.446807397108699</v>
      </c>
      <c r="AI74" s="236"/>
    </row>
    <row r="75" spans="1:35" ht="14.25" customHeight="1">
      <c r="A75" s="201" t="str">
        <f>'Agg crdcrv'!C46</f>
        <v>FHV</v>
      </c>
      <c r="B75" s="201" t="str">
        <f t="shared" si="0"/>
        <v>IMPOILHV33</v>
      </c>
      <c r="C75" s="201" t="str">
        <f>CONCATENATE("Imported ",VLOOKUP($A75,Types!$A$13:$C$18,3,FALSE),", PADD ",RIGHT(F75,1),", Step ",RIGHT(E75,1))</f>
        <v>Imported Imported Oil-High Sulfur, Very HG, PADD 3, Step 3</v>
      </c>
      <c r="D75" s="201" t="str">
        <f>CONCATENATE(VLOOKUP($A75,Types!$A$14:$C$18,2,FALSE),RIGHT(F75,1))</f>
        <v>OILHV3</v>
      </c>
      <c r="E75" s="201">
        <v>3</v>
      </c>
      <c r="F75" s="201" t="str">
        <f>'Agg crdcrv'!D46</f>
        <v>P3</v>
      </c>
      <c r="G75" s="244">
        <f>'Agg crdcrv'!H46*K5</f>
        <v>28.6</v>
      </c>
      <c r="H75" s="244">
        <f>'Agg crdcrv'!H51*K5</f>
        <v>45.993750000000006</v>
      </c>
      <c r="I75" s="244">
        <f>'Agg crdcrv'!H56*K5</f>
        <v>31.251000000000001</v>
      </c>
      <c r="J75" s="244">
        <f>'Agg crdcrv'!H61*K5</f>
        <v>33.088000000000001</v>
      </c>
      <c r="K75" s="245">
        <f>G75*Conv!$J$20/10^6/Conv!$C$47/Conv!$I$5</f>
        <v>6.8800465778928626</v>
      </c>
      <c r="L75" s="245">
        <f>H75*Conv!$J$20/10^6/Conv!$C$47/Conv!$I$5</f>
        <v>11.064305674544054</v>
      </c>
      <c r="M75" s="245">
        <f>L75*'Imported Price Trends'!$K$10</f>
        <v>12.499535853582248</v>
      </c>
      <c r="N75" s="245">
        <f>M75*'Imported Price Trends'!$L$10</f>
        <v>12.379165249985325</v>
      </c>
      <c r="O75" s="245">
        <f>N75*'Imported Price Trends'!$M$10</f>
        <v>14.057882089966375</v>
      </c>
      <c r="P75" s="245">
        <f>O75*'Imported Price Trends'!$N$10</f>
        <v>15.351564889624958</v>
      </c>
      <c r="Q75" s="245">
        <f>P75*'Imported Price Trends'!$O$10</f>
        <v>16.83930196464939</v>
      </c>
      <c r="R75" s="245">
        <f>Q75*'Imported Price Trends'!$O$10</f>
        <v>18.471217279502525</v>
      </c>
      <c r="S75" s="245">
        <f>R75*'Imported Price Trends'!$O$10</f>
        <v>20.261283306329524</v>
      </c>
      <c r="T75" s="245">
        <f>S75*'Imported Price Trends'!$O$10</f>
        <v>22.224826604952575</v>
      </c>
      <c r="U75" s="245">
        <f>T75*'Imported Price Trends'!$O$10</f>
        <v>24.378659049000245</v>
      </c>
      <c r="V75" s="227"/>
      <c r="W75" s="201">
        <f>'Agg crdcrv'!F46</f>
        <v>2051.17</v>
      </c>
      <c r="X75" s="201">
        <f>'Agg crdcrv'!F51</f>
        <v>2083.44</v>
      </c>
      <c r="Y75" s="201">
        <f>'Agg crdcrv'!F56</f>
        <v>99.62</v>
      </c>
      <c r="Z75" s="201">
        <f>'Agg crdcrv'!F61</f>
        <v>109.98</v>
      </c>
      <c r="AA75" s="260">
        <f>W75*Conv!$C$47*Conv!$I$5*1000*365</f>
        <v>4775.650895912715</v>
      </c>
      <c r="AB75" s="260">
        <f>X75*Conv!$C$47*Conv!$I$5*1000*365</f>
        <v>4850.7837490702314</v>
      </c>
      <c r="AC75" s="260">
        <f>Y75*Conv!$C$47*Conv!$I$5*1000*365</f>
        <v>231.94096162230565</v>
      </c>
      <c r="AD75" s="260">
        <f>Z75*Conv!$C$47*Conv!$I$5*1000*365</f>
        <v>256.06170406766887</v>
      </c>
      <c r="AE75" s="260">
        <f>AA75-AA77</f>
        <v>3820.5207167301719</v>
      </c>
      <c r="AF75" s="260">
        <f t="shared" ref="AF75" si="359">AB75-AB77</f>
        <v>3880.6269992561847</v>
      </c>
      <c r="AG75" s="260">
        <f t="shared" ref="AG75" si="360">AC75-AC77</f>
        <v>185.55276929784452</v>
      </c>
      <c r="AH75" s="260">
        <f t="shared" ref="AH75" si="361">AD75-AD77</f>
        <v>204.84936325413508</v>
      </c>
    </row>
    <row r="76" spans="1:35" ht="14.25" customHeight="1">
      <c r="A76" s="201" t="str">
        <f>A75</f>
        <v>FHV</v>
      </c>
      <c r="B76" s="201" t="str">
        <f t="shared" si="0"/>
        <v>IMPOILHV31</v>
      </c>
      <c r="C76" s="201" t="str">
        <f>CONCATENATE("Imported ",VLOOKUP($A76,Types!$A$13:$C$18,3,FALSE),", PADD ",RIGHT(F76,1),", Step ",RIGHT(E76,1))</f>
        <v>Imported Imported Oil-High Sulfur, Very HG, PADD 3, Step 1</v>
      </c>
      <c r="D76" s="201" t="str">
        <f>D75</f>
        <v>OILHV3</v>
      </c>
      <c r="E76" s="201">
        <v>1</v>
      </c>
      <c r="F76" s="201" t="str">
        <f>F75</f>
        <v>P3</v>
      </c>
      <c r="G76" s="244">
        <f>G75*$C$5</f>
        <v>25.740000000000002</v>
      </c>
      <c r="H76" s="244">
        <f t="shared" ref="H76" si="362">H75*$C$5</f>
        <v>41.394375000000004</v>
      </c>
      <c r="I76" s="244">
        <f t="shared" ref="I76" si="363">I75*$C$5</f>
        <v>28.125900000000001</v>
      </c>
      <c r="J76" s="244">
        <f t="shared" ref="J76" si="364">J75*$C$5</f>
        <v>29.779200000000003</v>
      </c>
      <c r="K76" s="245">
        <f>G76*Conv!$J$20/10^6/Conv!$C$47/Conv!$I$5</f>
        <v>6.192041920103577</v>
      </c>
      <c r="L76" s="245">
        <f>H76*Conv!$J$20/10^6/Conv!$C$47/Conv!$I$5</f>
        <v>9.9578751070896452</v>
      </c>
      <c r="M76" s="245">
        <f>L76*'Imported Price Trends'!$K$10</f>
        <v>11.249582268224019</v>
      </c>
      <c r="N76" s="245">
        <f>M76*'Imported Price Trends'!$L$10</f>
        <v>11.14124872498679</v>
      </c>
      <c r="O76" s="245">
        <f>N76*'Imported Price Trends'!$M$10</f>
        <v>12.652093880969735</v>
      </c>
      <c r="P76" s="245">
        <f>O76*'Imported Price Trends'!$N$10</f>
        <v>13.816408400662461</v>
      </c>
      <c r="Q76" s="245">
        <f>P76*'Imported Price Trends'!$O$10</f>
        <v>15.155371768184448</v>
      </c>
      <c r="R76" s="245">
        <f>Q76*'Imported Price Trends'!$O$10</f>
        <v>16.624095551552269</v>
      </c>
      <c r="S76" s="245">
        <f>R76*'Imported Price Trends'!$O$10</f>
        <v>18.235154975696567</v>
      </c>
      <c r="T76" s="245">
        <f>S76*'Imported Price Trends'!$O$10</f>
        <v>20.002343944457312</v>
      </c>
      <c r="U76" s="245">
        <f>T76*'Imported Price Trends'!$O$10</f>
        <v>21.940793144100212</v>
      </c>
      <c r="V76" s="227"/>
      <c r="W76" s="261">
        <f>W75*$E$5</f>
        <v>205.11700000000002</v>
      </c>
      <c r="X76" s="261">
        <f t="shared" ref="X76" si="365">X75*$E$5</f>
        <v>208.34400000000002</v>
      </c>
      <c r="Y76" s="261">
        <f t="shared" ref="Y76" si="366">Y75*$E$5</f>
        <v>9.9620000000000015</v>
      </c>
      <c r="Z76" s="261">
        <f t="shared" ref="Z76" si="367">Z75*$E$5</f>
        <v>10.998000000000001</v>
      </c>
      <c r="AA76" s="260">
        <f>W76*Conv!$C$47*Conv!$I$5*1000*365</f>
        <v>477.56508959127149</v>
      </c>
      <c r="AB76" s="260">
        <f>X76*Conv!$C$47*Conv!$I$5*1000*365</f>
        <v>485.0783749070232</v>
      </c>
      <c r="AC76" s="260">
        <f>Y76*Conv!$C$47*Conv!$I$5*1000*365</f>
        <v>23.194096162230565</v>
      </c>
      <c r="AD76" s="260">
        <f>Z76*Conv!$C$47*Conv!$I$5*1000*365</f>
        <v>25.606170406766893</v>
      </c>
      <c r="AE76" s="260">
        <f>AA76</f>
        <v>477.56508959127149</v>
      </c>
      <c r="AF76" s="260">
        <f t="shared" ref="AF76" si="368">AB76</f>
        <v>485.0783749070232</v>
      </c>
      <c r="AG76" s="260">
        <f t="shared" ref="AG76" si="369">AC76</f>
        <v>23.194096162230565</v>
      </c>
      <c r="AH76" s="260">
        <f t="shared" ref="AH76" si="370">AD76</f>
        <v>25.606170406766893</v>
      </c>
      <c r="AI76" s="236"/>
    </row>
    <row r="77" spans="1:35" ht="14.25" customHeight="1">
      <c r="A77" s="201" t="str">
        <f t="shared" ref="A77:A79" si="371">A76</f>
        <v>FHV</v>
      </c>
      <c r="B77" s="201" t="str">
        <f t="shared" si="0"/>
        <v>IMPOILHV32</v>
      </c>
      <c r="C77" s="201" t="str">
        <f>CONCATENATE("Imported ",VLOOKUP($A77,Types!$A$13:$C$18,3,FALSE),", PADD ",RIGHT(F77,1),", Step ",RIGHT(E77,1))</f>
        <v>Imported Imported Oil-High Sulfur, Very HG, PADD 3, Step 2</v>
      </c>
      <c r="D77" s="201" t="str">
        <f t="shared" ref="D77:D79" si="372">D76</f>
        <v>OILHV3</v>
      </c>
      <c r="E77" s="201">
        <v>2</v>
      </c>
      <c r="F77" s="201" t="str">
        <f t="shared" ref="F77:F79" si="373">F76</f>
        <v>P3</v>
      </c>
      <c r="G77" s="244">
        <f>G75*$C$6</f>
        <v>27.17</v>
      </c>
      <c r="H77" s="244">
        <f t="shared" ref="H77:J77" si="374">H75*$C$6</f>
        <v>43.694062500000001</v>
      </c>
      <c r="I77" s="244">
        <f t="shared" si="374"/>
        <v>29.68845</v>
      </c>
      <c r="J77" s="244">
        <f t="shared" si="374"/>
        <v>31.433599999999998</v>
      </c>
      <c r="K77" s="245">
        <f>G77*Conv!$J$20/10^6/Conv!$C$47/Conv!$I$5</f>
        <v>6.5360442489982198</v>
      </c>
      <c r="L77" s="245">
        <f>H77*Conv!$J$20/10^6/Conv!$C$47/Conv!$I$5</f>
        <v>10.511090390816848</v>
      </c>
      <c r="M77" s="245">
        <f>L77*'Imported Price Trends'!$K$10</f>
        <v>11.874559060903133</v>
      </c>
      <c r="N77" s="245">
        <f>M77*'Imported Price Trends'!$L$10</f>
        <v>11.760206987486056</v>
      </c>
      <c r="O77" s="245">
        <f>N77*'Imported Price Trends'!$M$10</f>
        <v>13.354987985468053</v>
      </c>
      <c r="P77" s="245">
        <f>O77*'Imported Price Trends'!$N$10</f>
        <v>14.583986645143707</v>
      </c>
      <c r="Q77" s="245">
        <f>P77*'Imported Price Trends'!$O$10</f>
        <v>15.997336866416916</v>
      </c>
      <c r="R77" s="245">
        <f>Q77*'Imported Price Trends'!$O$10</f>
        <v>17.547656415527392</v>
      </c>
      <c r="S77" s="245">
        <f>R77*'Imported Price Trends'!$O$10</f>
        <v>19.248219141013042</v>
      </c>
      <c r="T77" s="245">
        <f>S77*'Imported Price Trends'!$O$10</f>
        <v>21.113585274704942</v>
      </c>
      <c r="U77" s="245">
        <f>T77*'Imported Price Trends'!$O$10</f>
        <v>23.159726096550227</v>
      </c>
      <c r="V77" s="227"/>
      <c r="W77" s="261">
        <f>W75*$E$6</f>
        <v>410.23400000000004</v>
      </c>
      <c r="X77" s="261">
        <f t="shared" ref="X77:Z77" si="375">X75*$E$6</f>
        <v>416.68800000000005</v>
      </c>
      <c r="Y77" s="261">
        <f t="shared" si="375"/>
        <v>19.924000000000003</v>
      </c>
      <c r="Z77" s="261">
        <f t="shared" si="375"/>
        <v>21.996000000000002</v>
      </c>
      <c r="AA77" s="260">
        <f>W77*Conv!$C$47*Conv!$I$5*1000*365</f>
        <v>955.13017918254297</v>
      </c>
      <c r="AB77" s="260">
        <f>X77*Conv!$C$47*Conv!$I$5*1000*365</f>
        <v>970.15674981404641</v>
      </c>
      <c r="AC77" s="260">
        <f>Y77*Conv!$C$47*Conv!$I$5*1000*365</f>
        <v>46.38819232446113</v>
      </c>
      <c r="AD77" s="260">
        <f>Z77*Conv!$C$47*Conv!$I$5*1000*365</f>
        <v>51.212340813533785</v>
      </c>
      <c r="AE77" s="260">
        <f>AA77-AE76</f>
        <v>477.56508959127149</v>
      </c>
      <c r="AF77" s="260">
        <f t="shared" ref="AF77" si="376">AB77-AF76</f>
        <v>485.0783749070232</v>
      </c>
      <c r="AG77" s="260">
        <f t="shared" ref="AG77" si="377">AC77-AG76</f>
        <v>23.194096162230565</v>
      </c>
      <c r="AH77" s="260">
        <f t="shared" ref="AH77" si="378">AD77-AH76</f>
        <v>25.606170406766893</v>
      </c>
      <c r="AI77" s="236"/>
    </row>
    <row r="78" spans="1:35" ht="14.25" customHeight="1">
      <c r="A78" s="201" t="str">
        <f t="shared" si="371"/>
        <v>FHV</v>
      </c>
      <c r="B78" s="201" t="str">
        <f t="shared" si="0"/>
        <v>IMPOILHV34</v>
      </c>
      <c r="C78" s="201" t="str">
        <f>CONCATENATE("Imported ",VLOOKUP($A78,Types!$A$13:$C$18,3,FALSE),", PADD ",RIGHT(F78,1),", Step ",RIGHT(E78,1))</f>
        <v>Imported Imported Oil-High Sulfur, Very HG, PADD 3, Step 4</v>
      </c>
      <c r="D78" s="201" t="str">
        <f t="shared" si="372"/>
        <v>OILHV3</v>
      </c>
      <c r="E78" s="201">
        <v>4</v>
      </c>
      <c r="F78" s="201" t="str">
        <f t="shared" si="373"/>
        <v>P3</v>
      </c>
      <c r="G78" s="244">
        <f>G75*$C$8</f>
        <v>30.03</v>
      </c>
      <c r="H78" s="244">
        <f t="shared" ref="H78:J78" si="379">H75*$C$8</f>
        <v>48.29343750000001</v>
      </c>
      <c r="I78" s="244">
        <f t="shared" si="379"/>
        <v>32.813549999999999</v>
      </c>
      <c r="J78" s="244">
        <f t="shared" si="379"/>
        <v>34.742400000000004</v>
      </c>
      <c r="K78" s="245">
        <f>G78*Conv!$J$20/10^6/Conv!$C$47/Conv!$I$5</f>
        <v>7.2240489067875053</v>
      </c>
      <c r="L78" s="245">
        <f>H78*Conv!$J$20/10^6/Conv!$C$47/Conv!$I$5</f>
        <v>11.617520958271253</v>
      </c>
      <c r="M78" s="245">
        <f>L78*'Imported Price Trends'!$K$10</f>
        <v>13.124512646261357</v>
      </c>
      <c r="N78" s="245">
        <f>M78*'Imported Price Trends'!$L$10</f>
        <v>12.998123512484588</v>
      </c>
      <c r="O78" s="245">
        <f>N78*'Imported Price Trends'!$M$10</f>
        <v>14.76077619446469</v>
      </c>
      <c r="P78" s="245">
        <f>O78*'Imported Price Trends'!$N$10</f>
        <v>16.119143134106203</v>
      </c>
      <c r="Q78" s="245">
        <f>P78*'Imported Price Trends'!$O$10</f>
        <v>17.681267062881854</v>
      </c>
      <c r="R78" s="245">
        <f>Q78*'Imported Price Trends'!$O$10</f>
        <v>19.394778143477645</v>
      </c>
      <c r="S78" s="245">
        <f>R78*'Imported Price Trends'!$O$10</f>
        <v>21.274347471645992</v>
      </c>
      <c r="T78" s="245">
        <f>S78*'Imported Price Trends'!$O$10</f>
        <v>23.336067935200195</v>
      </c>
      <c r="U78" s="245">
        <f>T78*'Imported Price Trends'!$O$10</f>
        <v>25.597592001450245</v>
      </c>
      <c r="V78" s="227"/>
      <c r="W78" s="261">
        <f>W75*$E$8</f>
        <v>2461.404</v>
      </c>
      <c r="X78" s="261">
        <f t="shared" ref="X78:Z78" si="380">X75*$E$8</f>
        <v>2500.1280000000002</v>
      </c>
      <c r="Y78" s="261">
        <f t="shared" si="380"/>
        <v>119.544</v>
      </c>
      <c r="Z78" s="261">
        <f t="shared" si="380"/>
        <v>131.976</v>
      </c>
      <c r="AA78" s="260">
        <f>W78*Conv!$C$47*Conv!$I$5*1000*365</f>
        <v>5730.7810750952576</v>
      </c>
      <c r="AB78" s="260">
        <f>X78*Conv!$C$47*Conv!$I$5*1000*365</f>
        <v>5820.940498884278</v>
      </c>
      <c r="AC78" s="260">
        <f>Y78*Conv!$C$47*Conv!$I$5*1000*365</f>
        <v>278.32915394676672</v>
      </c>
      <c r="AD78" s="260">
        <f>Z78*Conv!$C$47*Conv!$I$5*1000*365</f>
        <v>307.27404488120266</v>
      </c>
      <c r="AE78" s="260">
        <f>AA78-AA75</f>
        <v>955.13017918254263</v>
      </c>
      <c r="AF78" s="260">
        <f t="shared" ref="AF78" si="381">AB78-AB75</f>
        <v>970.15674981404663</v>
      </c>
      <c r="AG78" s="260">
        <f t="shared" ref="AG78" si="382">AC78-AC75</f>
        <v>46.388192324461073</v>
      </c>
      <c r="AH78" s="260">
        <f t="shared" ref="AH78" si="383">AD78-AD75</f>
        <v>51.212340813533785</v>
      </c>
      <c r="AI78" s="236"/>
    </row>
    <row r="79" spans="1:35" ht="14.25" customHeight="1">
      <c r="A79" s="201" t="str">
        <f t="shared" si="371"/>
        <v>FHV</v>
      </c>
      <c r="B79" s="201" t="str">
        <f t="shared" si="0"/>
        <v>IMPOILHV35</v>
      </c>
      <c r="C79" s="201" t="str">
        <f>CONCATENATE("Imported ",VLOOKUP($A79,Types!$A$13:$C$18,3,FALSE),", PADD ",RIGHT(F79,1),", Step ",RIGHT(E79,1))</f>
        <v>Imported Imported Oil-High Sulfur, Very HG, PADD 3, Step 5</v>
      </c>
      <c r="D79" s="201" t="str">
        <f t="shared" si="372"/>
        <v>OILHV3</v>
      </c>
      <c r="E79" s="201">
        <v>5</v>
      </c>
      <c r="F79" s="201" t="str">
        <f t="shared" si="373"/>
        <v>P3</v>
      </c>
      <c r="G79" s="244">
        <f>G75*$C$9</f>
        <v>37.18</v>
      </c>
      <c r="H79" s="244">
        <f t="shared" ref="H79:J79" si="384">H75*$C$9</f>
        <v>59.791875000000012</v>
      </c>
      <c r="I79" s="244">
        <f t="shared" si="384"/>
        <v>40.626300000000001</v>
      </c>
      <c r="J79" s="244">
        <f t="shared" si="384"/>
        <v>43.014400000000002</v>
      </c>
      <c r="K79" s="245">
        <f>G79*Conv!$J$20/10^6/Conv!$C$47/Conv!$I$5</f>
        <v>8.944060551260721</v>
      </c>
      <c r="L79" s="245">
        <f>H79*Conv!$J$20/10^6/Conv!$C$47/Conv!$I$5</f>
        <v>14.383597376907268</v>
      </c>
      <c r="M79" s="245">
        <f>L79*'Imported Price Trends'!$K$10</f>
        <v>16.24939660965692</v>
      </c>
      <c r="N79" s="245">
        <f>M79*'Imported Price Trends'!$L$10</f>
        <v>16.09291482498092</v>
      </c>
      <c r="O79" s="245">
        <f>N79*'Imported Price Trends'!$M$10</f>
        <v>18.275246716956286</v>
      </c>
      <c r="P79" s="245">
        <f>O79*'Imported Price Trends'!$N$10</f>
        <v>19.957034356512445</v>
      </c>
      <c r="Q79" s="245">
        <f>P79*'Imported Price Trends'!$O$10</f>
        <v>21.891092554044203</v>
      </c>
      <c r="R79" s="245">
        <f>Q79*'Imported Price Trends'!$O$10</f>
        <v>24.012582463353276</v>
      </c>
      <c r="S79" s="245">
        <f>R79*'Imported Price Trends'!$O$10</f>
        <v>26.339668298228375</v>
      </c>
      <c r="T79" s="245">
        <f>S79*'Imported Price Trends'!$O$10</f>
        <v>28.89227458643834</v>
      </c>
      <c r="U79" s="245">
        <f>T79*'Imported Price Trends'!$O$10</f>
        <v>31.692256763700307</v>
      </c>
      <c r="V79" s="227"/>
      <c r="W79" s="261">
        <f>W75*$E$9</f>
        <v>2666.5210000000002</v>
      </c>
      <c r="X79" s="261">
        <f t="shared" ref="X79:Z79" si="385">X75*$E$9</f>
        <v>2708.4720000000002</v>
      </c>
      <c r="Y79" s="261">
        <f t="shared" si="385"/>
        <v>129.506</v>
      </c>
      <c r="Z79" s="261">
        <f t="shared" si="385"/>
        <v>142.97400000000002</v>
      </c>
      <c r="AA79" s="260">
        <f>W79*Conv!$C$47*Conv!$I$5*1000*365</f>
        <v>6208.3461646865298</v>
      </c>
      <c r="AB79" s="260">
        <f>X79*Conv!$C$47*Conv!$I$5*1000*365</f>
        <v>6306.0188737913004</v>
      </c>
      <c r="AC79" s="260">
        <f>Y79*Conv!$C$47*Conv!$I$5*1000*365</f>
        <v>301.52325010899733</v>
      </c>
      <c r="AD79" s="260">
        <f>Z79*Conv!$C$47*Conv!$I$5*1000*365</f>
        <v>332.88021528796958</v>
      </c>
      <c r="AE79" s="260">
        <f>AA79-AA78</f>
        <v>477.56508959127223</v>
      </c>
      <c r="AF79" s="260">
        <f t="shared" ref="AF79" si="386">AB79-AB78</f>
        <v>485.07837490702241</v>
      </c>
      <c r="AG79" s="260">
        <f t="shared" ref="AG79" si="387">AC79-AC78</f>
        <v>23.194096162230608</v>
      </c>
      <c r="AH79" s="260">
        <f t="shared" ref="AH79" si="388">AD79-AD78</f>
        <v>25.606170406766921</v>
      </c>
      <c r="AI79" s="236"/>
    </row>
    <row r="80" spans="1:35" ht="14.25" customHeight="1">
      <c r="A80" s="201" t="str">
        <f>'Agg crdcrv'!C47</f>
        <v>FLL</v>
      </c>
      <c r="B80" s="201" t="str">
        <f t="shared" si="0"/>
        <v>IMPOILLL33</v>
      </c>
      <c r="C80" s="201" t="str">
        <f>CONCATENATE("Imported ",VLOOKUP($A80,Types!$A$13:$C$18,3,FALSE),", PADD ",RIGHT(F80,1),", Step ",RIGHT(E80,1))</f>
        <v>Imported Imported Oil-Low Sulfur, Low G, PADD 3, Step 3</v>
      </c>
      <c r="D80" s="201" t="str">
        <f>CONCATENATE(VLOOKUP($A80,Types!$A$14:$C$18,2,FALSE),RIGHT(F80,1))</f>
        <v>OILLL3</v>
      </c>
      <c r="E80" s="201">
        <v>3</v>
      </c>
      <c r="F80" s="201" t="str">
        <f>'Agg crdcrv'!D47</f>
        <v>P3</v>
      </c>
      <c r="G80" s="244">
        <f>'Agg crdcrv'!H47*K5</f>
        <v>40.260000000000005</v>
      </c>
      <c r="H80" s="244">
        <f>'Agg crdcrv'!H52*K5</f>
        <v>60.981250000000003</v>
      </c>
      <c r="I80" s="244">
        <f>'Agg crdcrv'!H57*K5</f>
        <v>42.283999999999999</v>
      </c>
      <c r="J80" s="244">
        <f>'Agg crdcrv'!H62*K5</f>
        <v>44.440000000000005</v>
      </c>
      <c r="K80" s="245">
        <f>G80*Conv!$J$20/10^6/Conv!$C$47/Conv!$I$5</f>
        <v>9.6849886442645694</v>
      </c>
      <c r="L80" s="245">
        <f>H80*Conv!$J$20/10^6/Conv!$C$47/Conv!$I$5</f>
        <v>14.669714698535982</v>
      </c>
      <c r="M80" s="245">
        <f>L80*'Imported Price Trends'!$K$10</f>
        <v>16.572628254301122</v>
      </c>
      <c r="N80" s="245">
        <f>M80*'Imported Price Trends'!$L$10</f>
        <v>16.413033746991001</v>
      </c>
      <c r="O80" s="245">
        <f>N80*'Imported Price Trends'!$M$10</f>
        <v>18.638776403288745</v>
      </c>
      <c r="P80" s="245">
        <f>O80*'Imported Price Trends'!$N$10</f>
        <v>20.354018022567015</v>
      </c>
      <c r="Q80" s="245">
        <f>P80*'Imported Price Trends'!$O$10</f>
        <v>22.326548344759345</v>
      </c>
      <c r="R80" s="245">
        <f>Q80*'Imported Price Trends'!$O$10</f>
        <v>24.49023875473652</v>
      </c>
      <c r="S80" s="245">
        <f>R80*'Imported Price Trends'!$O$10</f>
        <v>26.863614787315814</v>
      </c>
      <c r="T80" s="245">
        <f>S80*'Imported Price Trends'!$O$10</f>
        <v>29.46699730731379</v>
      </c>
      <c r="U80" s="245">
        <f>T80*'Imported Price Trends'!$O$10</f>
        <v>32.322676496955467</v>
      </c>
      <c r="V80" s="227"/>
      <c r="W80" s="201">
        <f>'Agg crdcrv'!F47</f>
        <v>1327.66</v>
      </c>
      <c r="X80" s="201">
        <f>'Agg crdcrv'!F52</f>
        <v>1310.29</v>
      </c>
      <c r="Y80" s="201">
        <f>'Agg crdcrv'!F57</f>
        <v>16.72</v>
      </c>
      <c r="Z80" s="201">
        <f>'Agg crdcrv'!F62</f>
        <v>18.46</v>
      </c>
      <c r="AA80" s="260">
        <f>W80*Conv!$C$47*Conv!$I$5*1000*365</f>
        <v>3091.1336790551122</v>
      </c>
      <c r="AB80" s="260">
        <f>X80*Conv!$C$47*Conv!$I$5*1000*365</f>
        <v>3050.691855090251</v>
      </c>
      <c r="AC80" s="260">
        <f>Y80*Conv!$C$47*Conv!$I$5*1000*365</f>
        <v>38.928456919543763</v>
      </c>
      <c r="AD80" s="260">
        <f>Z80*Conv!$C$47*Conv!$I$5*1000*365</f>
        <v>42.979624087008254</v>
      </c>
      <c r="AE80" s="260">
        <f>AA80-AA82</f>
        <v>2472.9069432440897</v>
      </c>
      <c r="AF80" s="260">
        <f t="shared" ref="AF80" si="389">AB80-AB82</f>
        <v>2440.5534840722007</v>
      </c>
      <c r="AG80" s="260">
        <f t="shared" ref="AG80" si="390">AC80-AC82</f>
        <v>31.142765535635011</v>
      </c>
      <c r="AH80" s="260">
        <f t="shared" ref="AH80" si="391">AD80-AD82</f>
        <v>34.383699269606602</v>
      </c>
    </row>
    <row r="81" spans="1:37" ht="14.25" customHeight="1">
      <c r="A81" s="201" t="str">
        <f>A80</f>
        <v>FLL</v>
      </c>
      <c r="B81" s="201" t="str">
        <f t="shared" ref="B81:B84" si="392">CONCATENATE("IMP",D81,E81)</f>
        <v>IMPOILLL31</v>
      </c>
      <c r="C81" s="201" t="str">
        <f>CONCATENATE("Imported ",VLOOKUP($A81,Types!$A$13:$C$18,3,FALSE),", PADD ",RIGHT(F81,1),", Step ",RIGHT(E81,1))</f>
        <v>Imported Imported Oil-Low Sulfur, Low G, PADD 3, Step 1</v>
      </c>
      <c r="D81" s="201" t="str">
        <f>D80</f>
        <v>OILLL3</v>
      </c>
      <c r="E81" s="201">
        <v>1</v>
      </c>
      <c r="F81" s="201" t="str">
        <f>F80</f>
        <v>P3</v>
      </c>
      <c r="G81" s="244">
        <f>G80*$C$5</f>
        <v>36.234000000000009</v>
      </c>
      <c r="H81" s="244">
        <f t="shared" ref="H81" si="393">H80*$C$5</f>
        <v>54.883125000000007</v>
      </c>
      <c r="I81" s="244">
        <f t="shared" ref="I81" si="394">I80*$C$5</f>
        <v>38.055599999999998</v>
      </c>
      <c r="J81" s="244">
        <f t="shared" ref="J81" si="395">J80*$C$5</f>
        <v>39.996000000000002</v>
      </c>
      <c r="K81" s="245">
        <f>G81*Conv!$J$20/10^6/Conv!$C$47/Conv!$I$5</f>
        <v>8.7164897798381133</v>
      </c>
      <c r="L81" s="245">
        <f>H81*Conv!$J$20/10^6/Conv!$C$47/Conv!$I$5</f>
        <v>13.202743228682387</v>
      </c>
      <c r="M81" s="245">
        <f>L81*'Imported Price Trends'!$K$10</f>
        <v>14.915365428871013</v>
      </c>
      <c r="N81" s="245">
        <f>M81*'Imported Price Trends'!$L$10</f>
        <v>14.771730372291906</v>
      </c>
      <c r="O81" s="245">
        <f>N81*'Imported Price Trends'!$M$10</f>
        <v>16.774898762959875</v>
      </c>
      <c r="P81" s="245">
        <f>O81*'Imported Price Trends'!$N$10</f>
        <v>18.318616220310318</v>
      </c>
      <c r="Q81" s="245">
        <f>P81*'Imported Price Trends'!$O$10</f>
        <v>20.093893510283415</v>
      </c>
      <c r="R81" s="245">
        <f>Q81*'Imported Price Trends'!$O$10</f>
        <v>22.041214879262871</v>
      </c>
      <c r="S81" s="245">
        <f>R81*'Imported Price Trends'!$O$10</f>
        <v>24.177253308584234</v>
      </c>
      <c r="T81" s="245">
        <f>S81*'Imported Price Trends'!$O$10</f>
        <v>26.520297576582411</v>
      </c>
      <c r="U81" s="245">
        <f>T81*'Imported Price Trends'!$O$10</f>
        <v>29.090408847259919</v>
      </c>
      <c r="V81" s="227"/>
      <c r="W81" s="261">
        <f>W80*$E$5</f>
        <v>132.76600000000002</v>
      </c>
      <c r="X81" s="261">
        <f t="shared" ref="X81" si="396">X80*$E$5</f>
        <v>131.029</v>
      </c>
      <c r="Y81" s="261">
        <f t="shared" ref="Y81" si="397">Y80*$E$5</f>
        <v>1.6719999999999999</v>
      </c>
      <c r="Z81" s="261">
        <f t="shared" ref="Z81" si="398">Z80*$E$5</f>
        <v>1.8460000000000001</v>
      </c>
      <c r="AA81" s="260">
        <f>W81*Conv!$C$47*Conv!$I$5*1000*365</f>
        <v>309.11336790551127</v>
      </c>
      <c r="AB81" s="260">
        <f>X81*Conv!$C$47*Conv!$I$5*1000*365</f>
        <v>305.06918550902515</v>
      </c>
      <c r="AC81" s="260">
        <f>Y81*Conv!$C$47*Conv!$I$5*1000*365</f>
        <v>3.8928456919543764</v>
      </c>
      <c r="AD81" s="260">
        <f>Z81*Conv!$C$47*Conv!$I$5*1000*365</f>
        <v>4.2979624087008252</v>
      </c>
      <c r="AE81" s="260">
        <f>AA81</f>
        <v>309.11336790551127</v>
      </c>
      <c r="AF81" s="260">
        <f t="shared" ref="AF81" si="399">AB81</f>
        <v>305.06918550902515</v>
      </c>
      <c r="AG81" s="260">
        <f t="shared" ref="AG81" si="400">AC81</f>
        <v>3.8928456919543764</v>
      </c>
      <c r="AH81" s="260">
        <f t="shared" ref="AH81" si="401">AD81</f>
        <v>4.2979624087008252</v>
      </c>
      <c r="AI81" s="236"/>
    </row>
    <row r="82" spans="1:37" ht="14.25" customHeight="1">
      <c r="A82" s="201" t="str">
        <f t="shared" ref="A82:A84" si="402">A81</f>
        <v>FLL</v>
      </c>
      <c r="B82" s="201" t="str">
        <f t="shared" si="392"/>
        <v>IMPOILLL32</v>
      </c>
      <c r="C82" s="201" t="str">
        <f>CONCATENATE("Imported ",VLOOKUP($A82,Types!$A$13:$C$18,3,FALSE),", PADD ",RIGHT(F82,1),", Step ",RIGHT(E82,1))</f>
        <v>Imported Imported Oil-Low Sulfur, Low G, PADD 3, Step 2</v>
      </c>
      <c r="D82" s="201" t="str">
        <f t="shared" ref="D82:D84" si="403">D81</f>
        <v>OILLL3</v>
      </c>
      <c r="E82" s="201">
        <v>2</v>
      </c>
      <c r="F82" s="201" t="str">
        <f t="shared" ref="F82:F84" si="404">F81</f>
        <v>P3</v>
      </c>
      <c r="G82" s="244">
        <f>G80*$C$6</f>
        <v>38.247</v>
      </c>
      <c r="H82" s="244">
        <f t="shared" ref="H82:J82" si="405">H80*$C$6</f>
        <v>57.932187499999998</v>
      </c>
      <c r="I82" s="244">
        <f t="shared" si="405"/>
        <v>40.169799999999995</v>
      </c>
      <c r="J82" s="244">
        <f t="shared" si="405"/>
        <v>42.218000000000004</v>
      </c>
      <c r="K82" s="245">
        <f>G82*Conv!$J$20/10^6/Conv!$C$47/Conv!$I$5</f>
        <v>9.2007392120513387</v>
      </c>
      <c r="L82" s="245">
        <f>H82*Conv!$J$20/10^6/Conv!$C$47/Conv!$I$5</f>
        <v>13.936228963609183</v>
      </c>
      <c r="M82" s="245">
        <f>L82*'Imported Price Trends'!$K$10</f>
        <v>15.743996841586066</v>
      </c>
      <c r="N82" s="245">
        <f>M82*'Imported Price Trends'!$L$10</f>
        <v>15.592382059641452</v>
      </c>
      <c r="O82" s="245">
        <f>N82*'Imported Price Trends'!$M$10</f>
        <v>17.706837583124308</v>
      </c>
      <c r="P82" s="245">
        <f>O82*'Imported Price Trends'!$N$10</f>
        <v>19.336317121438665</v>
      </c>
      <c r="Q82" s="245">
        <f>P82*'Imported Price Trends'!$O$10</f>
        <v>21.21022092752138</v>
      </c>
      <c r="R82" s="245">
        <f>Q82*'Imported Price Trends'!$O$10</f>
        <v>23.265726816999695</v>
      </c>
      <c r="S82" s="245">
        <f>R82*'Imported Price Trends'!$O$10</f>
        <v>25.520434047950026</v>
      </c>
      <c r="T82" s="245">
        <f>S82*'Imported Price Trends'!$O$10</f>
        <v>27.993647441948102</v>
      </c>
      <c r="U82" s="245">
        <f>T82*'Imported Price Trends'!$O$10</f>
        <v>30.706542672107695</v>
      </c>
      <c r="V82" s="227"/>
      <c r="W82" s="261">
        <f>W80*$E$6</f>
        <v>265.53200000000004</v>
      </c>
      <c r="X82" s="261">
        <f t="shared" ref="X82:Z82" si="406">X80*$E$6</f>
        <v>262.05799999999999</v>
      </c>
      <c r="Y82" s="261">
        <f t="shared" si="406"/>
        <v>3.3439999999999999</v>
      </c>
      <c r="Z82" s="261">
        <f t="shared" si="406"/>
        <v>3.6920000000000002</v>
      </c>
      <c r="AA82" s="260">
        <f>W82*Conv!$C$47*Conv!$I$5*1000*365</f>
        <v>618.22673581102254</v>
      </c>
      <c r="AB82" s="260">
        <f>X82*Conv!$C$47*Conv!$I$5*1000*365</f>
        <v>610.13837101805029</v>
      </c>
      <c r="AC82" s="260">
        <f>Y82*Conv!$C$47*Conv!$I$5*1000*365</f>
        <v>7.7856913839087527</v>
      </c>
      <c r="AD82" s="260">
        <f>Z82*Conv!$C$47*Conv!$I$5*1000*365</f>
        <v>8.5959248174016505</v>
      </c>
      <c r="AE82" s="260">
        <f>AA82-AE81</f>
        <v>309.11336790551127</v>
      </c>
      <c r="AF82" s="260">
        <f t="shared" ref="AF82" si="407">AB82-AF81</f>
        <v>305.06918550902515</v>
      </c>
      <c r="AG82" s="260">
        <f t="shared" ref="AG82" si="408">AC82-AG81</f>
        <v>3.8928456919543764</v>
      </c>
      <c r="AH82" s="260">
        <f t="shared" ref="AH82" si="409">AD82-AH81</f>
        <v>4.2979624087008252</v>
      </c>
      <c r="AI82" s="236"/>
    </row>
    <row r="83" spans="1:37" ht="14.25" customHeight="1">
      <c r="A83" s="201" t="str">
        <f t="shared" si="402"/>
        <v>FLL</v>
      </c>
      <c r="B83" s="201" t="str">
        <f t="shared" si="392"/>
        <v>IMPOILLL34</v>
      </c>
      <c r="C83" s="201" t="str">
        <f>CONCATENATE("Imported ",VLOOKUP($A83,Types!$A$13:$C$18,3,FALSE),", PADD ",RIGHT(F83,1),", Step ",RIGHT(E83,1))</f>
        <v>Imported Imported Oil-Low Sulfur, Low G, PADD 3, Step 4</v>
      </c>
      <c r="D83" s="201" t="str">
        <f t="shared" si="403"/>
        <v>OILLL3</v>
      </c>
      <c r="E83" s="201">
        <v>4</v>
      </c>
      <c r="F83" s="201" t="str">
        <f t="shared" si="404"/>
        <v>P3</v>
      </c>
      <c r="G83" s="244">
        <f>G80*$C$8</f>
        <v>42.27300000000001</v>
      </c>
      <c r="H83" s="244">
        <f t="shared" ref="H83:J83" si="410">H80*$C$8</f>
        <v>64.030312500000008</v>
      </c>
      <c r="I83" s="244">
        <f t="shared" si="410"/>
        <v>44.398200000000003</v>
      </c>
      <c r="J83" s="244">
        <f t="shared" si="410"/>
        <v>46.662000000000006</v>
      </c>
      <c r="K83" s="245">
        <f>G83*Conv!$J$20/10^6/Conv!$C$47/Conv!$I$5</f>
        <v>10.169238076477798</v>
      </c>
      <c r="L83" s="245">
        <f>H83*Conv!$J$20/10^6/Conv!$C$47/Conv!$I$5</f>
        <v>15.403200433462786</v>
      </c>
      <c r="M83" s="245">
        <f>L83*'Imported Price Trends'!$K$10</f>
        <v>17.401259667016181</v>
      </c>
      <c r="N83" s="245">
        <f>M83*'Imported Price Trends'!$L$10</f>
        <v>17.233685434340554</v>
      </c>
      <c r="O83" s="245">
        <f>N83*'Imported Price Trends'!$M$10</f>
        <v>19.570715223453185</v>
      </c>
      <c r="P83" s="245">
        <f>O83*'Imported Price Trends'!$N$10</f>
        <v>21.371718923695369</v>
      </c>
      <c r="Q83" s="245">
        <f>P83*'Imported Price Trends'!$O$10</f>
        <v>23.442875761997318</v>
      </c>
      <c r="R83" s="245">
        <f>Q83*'Imported Price Trends'!$O$10</f>
        <v>25.714750692473352</v>
      </c>
      <c r="S83" s="245">
        <f>R83*'Imported Price Trends'!$O$10</f>
        <v>28.20679552668161</v>
      </c>
      <c r="T83" s="245">
        <f>S83*'Imported Price Trends'!$O$10</f>
        <v>30.940347172679484</v>
      </c>
      <c r="U83" s="245">
        <f>T83*'Imported Price Trends'!$O$10</f>
        <v>33.938810321803246</v>
      </c>
      <c r="V83" s="227"/>
      <c r="W83" s="261">
        <f>W80*$E$8</f>
        <v>1593.192</v>
      </c>
      <c r="X83" s="261">
        <f t="shared" ref="X83:Z83" si="411">X80*$E$8</f>
        <v>1572.348</v>
      </c>
      <c r="Y83" s="261">
        <f t="shared" si="411"/>
        <v>20.063999999999997</v>
      </c>
      <c r="Z83" s="261">
        <f t="shared" si="411"/>
        <v>22.152000000000001</v>
      </c>
      <c r="AA83" s="260">
        <f>W83*Conv!$C$47*Conv!$I$5*1000*365</f>
        <v>3709.3604148661348</v>
      </c>
      <c r="AB83" s="260">
        <f>X83*Conv!$C$47*Conv!$I$5*1000*365</f>
        <v>3660.8302261083013</v>
      </c>
      <c r="AC83" s="260">
        <f>Y83*Conv!$C$47*Conv!$I$5*1000*365</f>
        <v>46.714148303452511</v>
      </c>
      <c r="AD83" s="260">
        <f>Z83*Conv!$C$47*Conv!$I$5*1000*365</f>
        <v>51.575548904409906</v>
      </c>
      <c r="AE83" s="260">
        <f>AA83-AA80</f>
        <v>618.22673581102254</v>
      </c>
      <c r="AF83" s="260">
        <f t="shared" ref="AF83" si="412">AB83-AB80</f>
        <v>610.13837101805029</v>
      </c>
      <c r="AG83" s="260">
        <f t="shared" ref="AG83" si="413">AC83-AC80</f>
        <v>7.7856913839087483</v>
      </c>
      <c r="AH83" s="260">
        <f t="shared" ref="AH83" si="414">AD83-AD80</f>
        <v>8.5959248174016523</v>
      </c>
      <c r="AI83" s="236"/>
    </row>
    <row r="84" spans="1:37" ht="14.25" customHeight="1">
      <c r="A84" s="201" t="str">
        <f t="shared" si="402"/>
        <v>FLL</v>
      </c>
      <c r="B84" s="201" t="str">
        <f t="shared" si="392"/>
        <v>IMPOILLL35</v>
      </c>
      <c r="C84" s="201" t="str">
        <f>CONCATENATE("Imported ",VLOOKUP($A84,Types!$A$13:$C$18,3,FALSE),", PADD ",RIGHT(F84,1),", Step ",RIGHT(E84,1))</f>
        <v>Imported Imported Oil-Low Sulfur, Low G, PADD 3, Step 5</v>
      </c>
      <c r="D84" s="201" t="str">
        <f t="shared" si="403"/>
        <v>OILLL3</v>
      </c>
      <c r="E84" s="201">
        <v>5</v>
      </c>
      <c r="F84" s="201" t="str">
        <f t="shared" si="404"/>
        <v>P3</v>
      </c>
      <c r="G84" s="244">
        <f>G80*$C$9</f>
        <v>52.338000000000008</v>
      </c>
      <c r="H84" s="244">
        <f t="shared" ref="H84:J84" si="415">H80*$C$9</f>
        <v>79.275625000000005</v>
      </c>
      <c r="I84" s="244">
        <f t="shared" si="415"/>
        <v>54.969200000000001</v>
      </c>
      <c r="J84" s="244">
        <f t="shared" si="415"/>
        <v>57.772000000000006</v>
      </c>
      <c r="K84" s="245">
        <f>G84*Conv!$J$20/10^6/Conv!$C$47/Conv!$I$5</f>
        <v>12.590485237543941</v>
      </c>
      <c r="L84" s="245">
        <f>H84*Conv!$J$20/10^6/Conv!$C$47/Conv!$I$5</f>
        <v>19.070629108096782</v>
      </c>
      <c r="M84" s="245">
        <f>L84*'Imported Price Trends'!$K$10</f>
        <v>21.544416730591465</v>
      </c>
      <c r="N84" s="245">
        <f>M84*'Imported Price Trends'!$L$10</f>
        <v>21.336943871088309</v>
      </c>
      <c r="O84" s="245">
        <f>N84*'Imported Price Trends'!$M$10</f>
        <v>24.230409324275378</v>
      </c>
      <c r="P84" s="245">
        <f>O84*'Imported Price Trends'!$N$10</f>
        <v>26.46022342933713</v>
      </c>
      <c r="Q84" s="245">
        <f>P84*'Imported Price Trends'!$O$10</f>
        <v>29.024512848187161</v>
      </c>
      <c r="R84" s="245">
        <f>Q84*'Imported Price Trends'!$O$10</f>
        <v>31.83731038115749</v>
      </c>
      <c r="S84" s="245">
        <f>R84*'Imported Price Trends'!$O$10</f>
        <v>34.922699223510577</v>
      </c>
      <c r="T84" s="245">
        <f>S84*'Imported Price Trends'!$O$10</f>
        <v>38.307096499507949</v>
      </c>
      <c r="U84" s="245">
        <f>T84*'Imported Price Trends'!$O$10</f>
        <v>42.019479446042126</v>
      </c>
      <c r="V84" s="227"/>
      <c r="W84" s="261">
        <f>W80*$E$9</f>
        <v>1725.9580000000001</v>
      </c>
      <c r="X84" s="261">
        <f t="shared" ref="X84:Z84" si="416">X80*$E$9</f>
        <v>1703.377</v>
      </c>
      <c r="Y84" s="261">
        <f t="shared" si="416"/>
        <v>21.736000000000001</v>
      </c>
      <c r="Z84" s="261">
        <f t="shared" si="416"/>
        <v>23.998000000000001</v>
      </c>
      <c r="AA84" s="260">
        <f>W84*Conv!$C$47*Conv!$I$5*1000*365</f>
        <v>4018.4737827716463</v>
      </c>
      <c r="AB84" s="260">
        <f>X84*Conv!$C$47*Conv!$I$5*1000*365</f>
        <v>3965.8994116173267</v>
      </c>
      <c r="AC84" s="260">
        <f>Y84*Conv!$C$47*Conv!$I$5*1000*365</f>
        <v>50.606993995406903</v>
      </c>
      <c r="AD84" s="260">
        <f>Z84*Conv!$C$47*Conv!$I$5*1000*365</f>
        <v>55.873511313110725</v>
      </c>
      <c r="AE84" s="260">
        <f>AA84-AA83</f>
        <v>309.1133679055115</v>
      </c>
      <c r="AF84" s="260">
        <f t="shared" ref="AF84" si="417">AB84-AB83</f>
        <v>305.06918550902537</v>
      </c>
      <c r="AG84" s="260">
        <f t="shared" ref="AG84" si="418">AC84-AC83</f>
        <v>3.8928456919543919</v>
      </c>
      <c r="AH84" s="260">
        <f t="shared" ref="AH84" si="419">AD84-AD83</f>
        <v>4.297962408700819</v>
      </c>
      <c r="AI84" s="236"/>
    </row>
    <row r="85" spans="1:37" ht="14.25" customHeight="1">
      <c r="A85" s="201" t="str">
        <f>'Agg crdcrv'!C48</f>
        <v>FMH</v>
      </c>
      <c r="B85" s="201" t="str">
        <f t="shared" ref="B85:B141" si="420">CONCATENATE("IMP",D85,E85)</f>
        <v>IMPOILMH33</v>
      </c>
      <c r="C85" s="201" t="str">
        <f>CONCATENATE("Imported ",VLOOKUP($A85,Types!$A$13:$C$18,3,FALSE),", PADD ",RIGHT(F85,1),", Step ",RIGHT(E85,1))</f>
        <v>Imported Imported Oil-Medium Sulfur, HG, PADD 3, Step 3</v>
      </c>
      <c r="D85" s="201" t="str">
        <f>CONCATENATE(VLOOKUP($A85,Types!$A$14:$C$18,2,FALSE),RIGHT(F85,1))</f>
        <v>OILMH3</v>
      </c>
      <c r="E85" s="201">
        <v>3</v>
      </c>
      <c r="F85" s="201" t="str">
        <f>'Agg crdcrv'!D48</f>
        <v>P3</v>
      </c>
      <c r="G85" s="244">
        <f>'Agg crdcrv'!H48*K5</f>
        <v>36.201000000000001</v>
      </c>
      <c r="H85" s="244">
        <f>'Agg crdcrv'!H53*K5</f>
        <v>50.105000000000004</v>
      </c>
      <c r="I85" s="244">
        <f>'Agg crdcrv'!H58*K5</f>
        <v>34.441000000000003</v>
      </c>
      <c r="J85" s="244">
        <f>'Agg crdcrv'!H63*K5</f>
        <v>36.32200000000001</v>
      </c>
      <c r="K85" s="245">
        <f>G85*Conv!$J$20/10^6/Conv!$C$47/Conv!$I$5</f>
        <v>8.7085512645559255</v>
      </c>
      <c r="L85" s="245">
        <f>H85*Conv!$J$20/10^6/Conv!$C$47/Conv!$I$5</f>
        <v>12.053312370116149</v>
      </c>
      <c r="M85" s="245">
        <f>L85*'Imported Price Trends'!$K$10</f>
        <v>13.61683367726568</v>
      </c>
      <c r="N85" s="245">
        <f>M85*'Imported Price Trends'!$L$10</f>
        <v>13.485703489072201</v>
      </c>
      <c r="O85" s="245">
        <f>N85*'Imported Price Trends'!$M$10</f>
        <v>15.314476034630031</v>
      </c>
      <c r="P85" s="245">
        <f>O85*'Imported Price Trends'!$N$10</f>
        <v>16.723797446276034</v>
      </c>
      <c r="Q85" s="245">
        <f>P85*'Imported Price Trends'!$O$10</f>
        <v>18.34451909093643</v>
      </c>
      <c r="R85" s="245">
        <f>Q85*'Imported Price Trends'!$O$10</f>
        <v>20.122306656653866</v>
      </c>
      <c r="S85" s="245">
        <f>R85*'Imported Price Trends'!$O$10</f>
        <v>22.072381574967043</v>
      </c>
      <c r="T85" s="245">
        <f>S85*'Imported Price Trends'!$O$10</f>
        <v>24.211440403123216</v>
      </c>
      <c r="U85" s="245">
        <f>T85*'Imported Price Trends'!$O$10</f>
        <v>26.557797780136578</v>
      </c>
      <c r="V85" s="227"/>
      <c r="W85" s="201">
        <f>'Agg crdcrv'!F48</f>
        <v>545.74</v>
      </c>
      <c r="X85" s="201">
        <f>'Agg crdcrv'!F53</f>
        <v>425.12</v>
      </c>
      <c r="Y85" s="201">
        <f>'Agg crdcrv'!F58</f>
        <v>80.13</v>
      </c>
      <c r="Z85" s="201">
        <f>'Agg crdcrv'!F63</f>
        <v>88.47</v>
      </c>
      <c r="AA85" s="260">
        <f>W85*Conv!$C$47*Conv!$I$5*1000*365</f>
        <v>1270.6229712483141</v>
      </c>
      <c r="AB85" s="260">
        <f>X85*Conv!$C$47*Conv!$I$5*1000*365</f>
        <v>989.78861277729959</v>
      </c>
      <c r="AC85" s="260">
        <f>Y85*Conv!$C$47*Conv!$I$5*1000*365</f>
        <v>186.56323283271783</v>
      </c>
      <c r="AD85" s="260">
        <f>Z85*Conv!$C$47*Conv!$I$5*1000*365</f>
        <v>205.98089615263379</v>
      </c>
      <c r="AE85" s="260">
        <f>AA85-AA87</f>
        <v>1016.4983769986512</v>
      </c>
      <c r="AF85" s="260">
        <f t="shared" ref="AF85" si="421">AB85-AB87</f>
        <v>791.8308902218397</v>
      </c>
      <c r="AG85" s="260">
        <f t="shared" ref="AG85" si="422">AC85-AC87</f>
        <v>149.25058626617425</v>
      </c>
      <c r="AH85" s="260">
        <f t="shared" ref="AH85" si="423">AD85-AD87</f>
        <v>164.78471692210704</v>
      </c>
    </row>
    <row r="86" spans="1:37" ht="14.25" customHeight="1">
      <c r="A86" s="201" t="str">
        <f>A85</f>
        <v>FMH</v>
      </c>
      <c r="B86" s="201" t="str">
        <f t="shared" si="420"/>
        <v>IMPOILMH31</v>
      </c>
      <c r="C86" s="201" t="str">
        <f>CONCATENATE("Imported ",VLOOKUP($A86,Types!$A$13:$C$18,3,FALSE),", PADD ",RIGHT(F86,1),", Step ",RIGHT(E86,1))</f>
        <v>Imported Imported Oil-Medium Sulfur, HG, PADD 3, Step 1</v>
      </c>
      <c r="D86" s="201" t="str">
        <f>D85</f>
        <v>OILMH3</v>
      </c>
      <c r="E86" s="201">
        <v>1</v>
      </c>
      <c r="F86" s="201" t="str">
        <f>F85</f>
        <v>P3</v>
      </c>
      <c r="G86" s="244">
        <f>G85*$C$5</f>
        <v>32.5809</v>
      </c>
      <c r="H86" s="244">
        <f t="shared" ref="H86" si="424">H85*$C$5</f>
        <v>45.094500000000004</v>
      </c>
      <c r="I86" s="244">
        <f t="shared" ref="I86" si="425">I85*$C$5</f>
        <v>30.996900000000004</v>
      </c>
      <c r="J86" s="244">
        <f t="shared" ref="J86" si="426">J85*$C$5</f>
        <v>32.689800000000012</v>
      </c>
      <c r="K86" s="245">
        <f>G86*Conv!$J$20/10^6/Conv!$C$47/Conv!$I$5</f>
        <v>7.8376961381003349</v>
      </c>
      <c r="L86" s="245">
        <f>H86*Conv!$J$20/10^6/Conv!$C$47/Conv!$I$5</f>
        <v>10.847981133104536</v>
      </c>
      <c r="M86" s="245">
        <f>L86*'Imported Price Trends'!$K$10</f>
        <v>12.255150309539113</v>
      </c>
      <c r="N86" s="245">
        <f>M86*'Imported Price Trends'!$L$10</f>
        <v>12.137133140164982</v>
      </c>
      <c r="O86" s="245">
        <f>N86*'Imported Price Trends'!$M$10</f>
        <v>13.783028431167031</v>
      </c>
      <c r="P86" s="245">
        <f>O86*'Imported Price Trends'!$N$10</f>
        <v>15.051417701648433</v>
      </c>
      <c r="Q86" s="245">
        <f>P86*'Imported Price Trends'!$O$10</f>
        <v>16.510067181842789</v>
      </c>
      <c r="R86" s="245">
        <f>Q86*'Imported Price Trends'!$O$10</f>
        <v>18.110075990988481</v>
      </c>
      <c r="S86" s="245">
        <f>R86*'Imported Price Trends'!$O$10</f>
        <v>19.865143417470343</v>
      </c>
      <c r="T86" s="245">
        <f>S86*'Imported Price Trends'!$O$10</f>
        <v>21.790296362810899</v>
      </c>
      <c r="U86" s="245">
        <f>T86*'Imported Price Trends'!$O$10</f>
        <v>23.902018002122926</v>
      </c>
      <c r="V86" s="227"/>
      <c r="W86" s="261">
        <f>W85*$E$5</f>
        <v>54.574000000000005</v>
      </c>
      <c r="X86" s="261">
        <f t="shared" ref="X86" si="427">X85*$E$5</f>
        <v>42.512</v>
      </c>
      <c r="Y86" s="261">
        <f t="shared" ref="Y86" si="428">Y85*$E$5</f>
        <v>8.0129999999999999</v>
      </c>
      <c r="Z86" s="261">
        <f t="shared" ref="Z86" si="429">Z85*$E$5</f>
        <v>8.8469999999999995</v>
      </c>
      <c r="AA86" s="260">
        <f>W86*Conv!$C$47*Conv!$I$5*1000*365</f>
        <v>127.06229712483145</v>
      </c>
      <c r="AB86" s="260">
        <f>X86*Conv!$C$47*Conv!$I$5*1000*365</f>
        <v>98.978861277729933</v>
      </c>
      <c r="AC86" s="260">
        <f>Y86*Conv!$C$47*Conv!$I$5*1000*365</f>
        <v>18.656323283271782</v>
      </c>
      <c r="AD86" s="260">
        <f>Z86*Conv!$C$47*Conv!$I$5*1000*365</f>
        <v>20.59808961526338</v>
      </c>
      <c r="AE86" s="260">
        <f>AA86</f>
        <v>127.06229712483145</v>
      </c>
      <c r="AF86" s="260">
        <f t="shared" ref="AF86" si="430">AB86</f>
        <v>98.978861277729933</v>
      </c>
      <c r="AG86" s="260">
        <f t="shared" ref="AG86" si="431">AC86</f>
        <v>18.656323283271782</v>
      </c>
      <c r="AH86" s="260">
        <f t="shared" ref="AH86" si="432">AD86</f>
        <v>20.59808961526338</v>
      </c>
      <c r="AI86" s="236"/>
    </row>
    <row r="87" spans="1:37" ht="14.25" customHeight="1">
      <c r="A87" s="201" t="str">
        <f t="shared" ref="A87:A89" si="433">A86</f>
        <v>FMH</v>
      </c>
      <c r="B87" s="201" t="str">
        <f t="shared" si="420"/>
        <v>IMPOILMH32</v>
      </c>
      <c r="C87" s="201" t="str">
        <f>CONCATENATE("Imported ",VLOOKUP($A87,Types!$A$13:$C$18,3,FALSE),", PADD ",RIGHT(F87,1),", Step ",RIGHT(E87,1))</f>
        <v>Imported Imported Oil-Medium Sulfur, HG, PADD 3, Step 2</v>
      </c>
      <c r="D87" s="201" t="str">
        <f t="shared" ref="D87:D89" si="434">D86</f>
        <v>OILMH3</v>
      </c>
      <c r="E87" s="201">
        <v>2</v>
      </c>
      <c r="F87" s="201" t="str">
        <f t="shared" ref="F87:F89" si="435">F86</f>
        <v>P3</v>
      </c>
      <c r="G87" s="244">
        <f>G85*$C$6</f>
        <v>34.390949999999997</v>
      </c>
      <c r="H87" s="244">
        <f t="shared" ref="H87:J87" si="436">H85*$C$6</f>
        <v>47.59975</v>
      </c>
      <c r="I87" s="244">
        <f t="shared" si="436"/>
        <v>32.71895</v>
      </c>
      <c r="J87" s="244">
        <f t="shared" si="436"/>
        <v>34.505900000000011</v>
      </c>
      <c r="K87" s="245">
        <f>G87*Conv!$J$20/10^6/Conv!$C$47/Conv!$I$5</f>
        <v>8.2731237013281316</v>
      </c>
      <c r="L87" s="245">
        <f>H87*Conv!$J$20/10^6/Conv!$C$47/Conv!$I$5</f>
        <v>11.450646751610343</v>
      </c>
      <c r="M87" s="245">
        <f>L87*'Imported Price Trends'!$K$10</f>
        <v>12.935991993402396</v>
      </c>
      <c r="N87" s="245">
        <f>M87*'Imported Price Trends'!$L$10</f>
        <v>12.811418314618592</v>
      </c>
      <c r="O87" s="245">
        <f>N87*'Imported Price Trends'!$M$10</f>
        <v>14.548752232898533</v>
      </c>
      <c r="P87" s="245">
        <f>O87*'Imported Price Trends'!$N$10</f>
        <v>15.887607573962235</v>
      </c>
      <c r="Q87" s="245">
        <f>P87*'Imported Price Trends'!$O$10</f>
        <v>17.427293136389611</v>
      </c>
      <c r="R87" s="245">
        <f>Q87*'Imported Price Trends'!$O$10</f>
        <v>19.116191323821173</v>
      </c>
      <c r="S87" s="245">
        <f>R87*'Imported Price Trends'!$O$10</f>
        <v>20.968762496218694</v>
      </c>
      <c r="T87" s="245">
        <f>S87*'Imported Price Trends'!$O$10</f>
        <v>23.000868382967059</v>
      </c>
      <c r="U87" s="245">
        <f>T87*'Imported Price Trends'!$O$10</f>
        <v>25.229907891129756</v>
      </c>
      <c r="V87" s="227"/>
      <c r="W87" s="261">
        <f>W85*$E$6</f>
        <v>109.14800000000001</v>
      </c>
      <c r="X87" s="261">
        <f t="shared" ref="X87:Z87" si="437">X85*$E$6</f>
        <v>85.024000000000001</v>
      </c>
      <c r="Y87" s="261">
        <f t="shared" si="437"/>
        <v>16.026</v>
      </c>
      <c r="Z87" s="261">
        <f t="shared" si="437"/>
        <v>17.693999999999999</v>
      </c>
      <c r="AA87" s="260">
        <f>W87*Conv!$C$47*Conv!$I$5*1000*365</f>
        <v>254.12459424966289</v>
      </c>
      <c r="AB87" s="260">
        <f>X87*Conv!$C$47*Conv!$I$5*1000*365</f>
        <v>197.95772255545987</v>
      </c>
      <c r="AC87" s="260">
        <f>Y87*Conv!$C$47*Conv!$I$5*1000*365</f>
        <v>37.312646566543563</v>
      </c>
      <c r="AD87" s="260">
        <f>Z87*Conv!$C$47*Conv!$I$5*1000*365</f>
        <v>41.196179230526759</v>
      </c>
      <c r="AE87" s="260">
        <f>AA87-AE86</f>
        <v>127.06229712483145</v>
      </c>
      <c r="AF87" s="260">
        <f t="shared" ref="AF87" si="438">AB87-AF86</f>
        <v>98.978861277729933</v>
      </c>
      <c r="AG87" s="260">
        <f t="shared" ref="AG87" si="439">AC87-AG86</f>
        <v>18.656323283271782</v>
      </c>
      <c r="AH87" s="260">
        <f t="shared" ref="AH87" si="440">AD87-AH86</f>
        <v>20.59808961526338</v>
      </c>
      <c r="AI87" s="236"/>
    </row>
    <row r="88" spans="1:37" ht="14.25" customHeight="1">
      <c r="A88" s="201" t="str">
        <f t="shared" si="433"/>
        <v>FMH</v>
      </c>
      <c r="B88" s="201" t="str">
        <f t="shared" si="420"/>
        <v>IMPOILMH34</v>
      </c>
      <c r="C88" s="201" t="str">
        <f>CONCATENATE("Imported ",VLOOKUP($A88,Types!$A$13:$C$18,3,FALSE),", PADD ",RIGHT(F88,1),", Step ",RIGHT(E88,1))</f>
        <v>Imported Imported Oil-Medium Sulfur, HG, PADD 3, Step 4</v>
      </c>
      <c r="D88" s="201" t="str">
        <f t="shared" si="434"/>
        <v>OILMH3</v>
      </c>
      <c r="E88" s="201">
        <v>4</v>
      </c>
      <c r="F88" s="201" t="str">
        <f t="shared" si="435"/>
        <v>P3</v>
      </c>
      <c r="G88" s="244">
        <f>G85*$C$8</f>
        <v>38.011050000000004</v>
      </c>
      <c r="H88" s="244">
        <f t="shared" ref="H88:J88" si="441">H85*$C$8</f>
        <v>52.610250000000008</v>
      </c>
      <c r="I88" s="244">
        <f t="shared" si="441"/>
        <v>36.163050000000005</v>
      </c>
      <c r="J88" s="244">
        <f t="shared" si="441"/>
        <v>38.138100000000009</v>
      </c>
      <c r="K88" s="245">
        <f>G88*Conv!$J$20/10^6/Conv!$C$47/Conv!$I$5</f>
        <v>9.1439788277837248</v>
      </c>
      <c r="L88" s="245">
        <f>H88*Conv!$J$20/10^6/Conv!$C$47/Conv!$I$5</f>
        <v>12.655977988621959</v>
      </c>
      <c r="M88" s="245">
        <f>L88*'Imported Price Trends'!$K$10</f>
        <v>14.297675361128967</v>
      </c>
      <c r="N88" s="245">
        <f>M88*'Imported Price Trends'!$L$10</f>
        <v>14.159988663525814</v>
      </c>
      <c r="O88" s="245">
        <f>N88*'Imported Price Trends'!$M$10</f>
        <v>16.080199836361537</v>
      </c>
      <c r="P88" s="245">
        <f>O88*'Imported Price Trends'!$N$10</f>
        <v>17.55998731858984</v>
      </c>
      <c r="Q88" s="245">
        <f>P88*'Imported Price Trends'!$O$10</f>
        <v>19.261745045483256</v>
      </c>
      <c r="R88" s="245">
        <f>Q88*'Imported Price Trends'!$O$10</f>
        <v>21.128421989486561</v>
      </c>
      <c r="S88" s="245">
        <f>R88*'Imported Price Trends'!$O$10</f>
        <v>23.176000653715398</v>
      </c>
      <c r="T88" s="245">
        <f>S88*'Imported Price Trends'!$O$10</f>
        <v>25.42201242327938</v>
      </c>
      <c r="U88" s="245">
        <f>T88*'Imported Price Trends'!$O$10</f>
        <v>27.885687669143412</v>
      </c>
      <c r="V88" s="227"/>
      <c r="W88" s="261">
        <f>W85*$E$8</f>
        <v>654.88800000000003</v>
      </c>
      <c r="X88" s="261">
        <f t="shared" ref="X88:Z88" si="442">X85*$E$8</f>
        <v>510.14400000000001</v>
      </c>
      <c r="Y88" s="261">
        <f t="shared" si="442"/>
        <v>96.155999999999992</v>
      </c>
      <c r="Z88" s="261">
        <f t="shared" si="442"/>
        <v>106.164</v>
      </c>
      <c r="AA88" s="260">
        <f>W88*Conv!$C$47*Conv!$I$5*1000*365</f>
        <v>1524.7475654979771</v>
      </c>
      <c r="AB88" s="260">
        <f>X88*Conv!$C$47*Conv!$I$5*1000*365</f>
        <v>1187.7463353327594</v>
      </c>
      <c r="AC88" s="260">
        <f>Y88*Conv!$C$47*Conv!$I$5*1000*365</f>
        <v>223.87587939926138</v>
      </c>
      <c r="AD88" s="260">
        <f>Z88*Conv!$C$47*Conv!$I$5*1000*365</f>
        <v>247.17707538316054</v>
      </c>
      <c r="AE88" s="260">
        <f>AA88-AA85</f>
        <v>254.12459424966301</v>
      </c>
      <c r="AF88" s="260">
        <f t="shared" ref="AF88" si="443">AB88-AB85</f>
        <v>197.95772255545978</v>
      </c>
      <c r="AG88" s="260">
        <f t="shared" ref="AG88" si="444">AC88-AC85</f>
        <v>37.312646566543549</v>
      </c>
      <c r="AH88" s="260">
        <f t="shared" ref="AH88" si="445">AD88-AD85</f>
        <v>41.196179230526752</v>
      </c>
      <c r="AI88" s="236"/>
    </row>
    <row r="89" spans="1:37" ht="14.25" customHeight="1">
      <c r="A89" s="201" t="str">
        <f t="shared" si="433"/>
        <v>FMH</v>
      </c>
      <c r="B89" s="201" t="str">
        <f t="shared" si="420"/>
        <v>IMPOILMH35</v>
      </c>
      <c r="C89" s="201" t="str">
        <f>CONCATENATE("Imported ",VLOOKUP($A89,Types!$A$13:$C$18,3,FALSE),", PADD ",RIGHT(F89,1),", Step ",RIGHT(E89,1))</f>
        <v>Imported Imported Oil-Medium Sulfur, HG, PADD 3, Step 5</v>
      </c>
      <c r="D89" s="201" t="str">
        <f t="shared" si="434"/>
        <v>OILMH3</v>
      </c>
      <c r="E89" s="201">
        <v>5</v>
      </c>
      <c r="F89" s="201" t="str">
        <f t="shared" si="435"/>
        <v>P3</v>
      </c>
      <c r="G89" s="244">
        <f>G85*$C$9</f>
        <v>47.061300000000003</v>
      </c>
      <c r="H89" s="244">
        <f t="shared" ref="H89:J89" si="446">H85*$C$9</f>
        <v>65.136500000000012</v>
      </c>
      <c r="I89" s="244">
        <f t="shared" si="446"/>
        <v>44.773300000000006</v>
      </c>
      <c r="J89" s="244">
        <f t="shared" si="446"/>
        <v>47.218600000000016</v>
      </c>
      <c r="K89" s="245">
        <f>G89*Conv!$J$20/10^6/Conv!$C$47/Conv!$I$5</f>
        <v>11.321116643922707</v>
      </c>
      <c r="L89" s="245">
        <f>H89*Conv!$J$20/10^6/Conv!$C$47/Conv!$I$5</f>
        <v>15.669306081150996</v>
      </c>
      <c r="M89" s="245">
        <f>L89*'Imported Price Trends'!$K$10</f>
        <v>17.701883780445385</v>
      </c>
      <c r="N89" s="245">
        <f>M89*'Imported Price Trends'!$L$10</f>
        <v>17.531414535793864</v>
      </c>
      <c r="O89" s="245">
        <f>N89*'Imported Price Trends'!$M$10</f>
        <v>19.908818845019045</v>
      </c>
      <c r="P89" s="245">
        <f>O89*'Imported Price Trends'!$N$10</f>
        <v>21.740936680158846</v>
      </c>
      <c r="Q89" s="245">
        <f>P89*'Imported Price Trends'!$O$10</f>
        <v>23.84787481821736</v>
      </c>
      <c r="R89" s="245">
        <f>Q89*'Imported Price Trends'!$O$10</f>
        <v>26.158998653650023</v>
      </c>
      <c r="S89" s="245">
        <f>R89*'Imported Price Trends'!$O$10</f>
        <v>28.694096047457155</v>
      </c>
      <c r="T89" s="245">
        <f>S89*'Imported Price Trends'!$O$10</f>
        <v>31.474872524060178</v>
      </c>
      <c r="U89" s="245">
        <f>T89*'Imported Price Trends'!$O$10</f>
        <v>34.525137114177546</v>
      </c>
      <c r="V89" s="227"/>
      <c r="W89" s="261">
        <f>W85*$E$9</f>
        <v>709.46199999999999</v>
      </c>
      <c r="X89" s="261">
        <f t="shared" ref="X89:Z89" si="447">X85*$E$9</f>
        <v>552.65600000000006</v>
      </c>
      <c r="Y89" s="261">
        <f t="shared" si="447"/>
        <v>104.169</v>
      </c>
      <c r="Z89" s="261">
        <f t="shared" si="447"/>
        <v>115.011</v>
      </c>
      <c r="AA89" s="260">
        <f>W89*Conv!$C$47*Conv!$I$5*1000*365</f>
        <v>1651.8098626228086</v>
      </c>
      <c r="AB89" s="260">
        <f>X89*Conv!$C$47*Conv!$I$5*1000*365</f>
        <v>1286.7251966104893</v>
      </c>
      <c r="AC89" s="260">
        <f>Y89*Conv!$C$47*Conv!$I$5*1000*365</f>
        <v>242.53220268253315</v>
      </c>
      <c r="AD89" s="260">
        <f>Z89*Conv!$C$47*Conv!$I$5*1000*365</f>
        <v>267.77516499842392</v>
      </c>
      <c r="AE89" s="260">
        <f>AA89-AA88</f>
        <v>127.0622971248315</v>
      </c>
      <c r="AF89" s="260">
        <f t="shared" ref="AF89" si="448">AB89-AB88</f>
        <v>98.978861277729948</v>
      </c>
      <c r="AG89" s="260">
        <f t="shared" ref="AG89" si="449">AC89-AC88</f>
        <v>18.656323283271774</v>
      </c>
      <c r="AH89" s="260">
        <f t="shared" ref="AH89" si="450">AD89-AD88</f>
        <v>20.598089615263376</v>
      </c>
      <c r="AI89" s="236"/>
    </row>
    <row r="90" spans="1:37" ht="12.75">
      <c r="A90" s="202" t="s">
        <v>727</v>
      </c>
      <c r="B90" s="202"/>
      <c r="C90" s="202"/>
      <c r="D90" s="233"/>
      <c r="E90" s="233"/>
      <c r="F90" s="233"/>
      <c r="G90" s="241"/>
      <c r="H90" s="251"/>
      <c r="I90" s="241"/>
      <c r="J90" s="251"/>
      <c r="K90" s="242"/>
      <c r="L90" s="252"/>
      <c r="M90" s="242"/>
      <c r="N90" s="252"/>
      <c r="O90" s="242"/>
      <c r="P90" s="252"/>
      <c r="Q90" s="242"/>
      <c r="R90" s="252"/>
      <c r="S90" s="242"/>
      <c r="T90" s="252"/>
      <c r="U90" s="242"/>
      <c r="V90" s="202"/>
      <c r="W90" s="202"/>
      <c r="X90" s="233"/>
      <c r="Y90" s="202"/>
      <c r="Z90" s="233"/>
      <c r="AA90" s="254"/>
      <c r="AB90" s="254"/>
      <c r="AC90" s="254"/>
      <c r="AD90" s="254"/>
      <c r="AE90" s="254"/>
      <c r="AF90" s="253"/>
      <c r="AG90" s="254"/>
      <c r="AH90" s="253"/>
      <c r="AI90" s="202"/>
      <c r="AJ90" s="233"/>
      <c r="AK90" s="202"/>
    </row>
    <row r="91" spans="1:37" ht="14.25" customHeight="1">
      <c r="A91" s="201" t="str">
        <f>'Agg crdcrv'!C64</f>
        <v>FHH</v>
      </c>
      <c r="B91" s="201" t="str">
        <f t="shared" si="420"/>
        <v>IMPOILHH43</v>
      </c>
      <c r="C91" s="201" t="str">
        <f>CONCATENATE("Imported ",VLOOKUP($A91,Types!$A$13:$C$18,3,FALSE),", PADD ",RIGHT(F91,1),", Step ",RIGHT(E91,1))</f>
        <v>Imported Imported Oil-High Sulfur, Heavy G, PADD 4, Step 3</v>
      </c>
      <c r="D91" s="201" t="str">
        <f>CONCATENATE(VLOOKUP($A91,Types!$A$14:$C$18,2,FALSE),RIGHT(F91,1))</f>
        <v>OILHH4</v>
      </c>
      <c r="E91" s="201">
        <v>3</v>
      </c>
      <c r="F91" s="201" t="str">
        <f>'Agg crdcrv'!D64</f>
        <v>P4</v>
      </c>
      <c r="G91" s="244">
        <f>'Agg crdcrv'!H64*K5</f>
        <v>31.900000000000002</v>
      </c>
      <c r="H91" s="244">
        <f>'Agg crdcrv'!H69*K5</f>
        <v>46.406250000000007</v>
      </c>
      <c r="I91" s="244">
        <f>'Agg crdcrv'!H74*K5</f>
        <v>31.57</v>
      </c>
      <c r="J91" s="244">
        <f>'Agg crdcrv'!H79*K5</f>
        <v>33.407000000000004</v>
      </c>
      <c r="K91" s="245">
        <f>G91*Conv!$J$20/10^6/Conv!$C$47/Conv!$I$5</f>
        <v>7.6738981061112703</v>
      </c>
      <c r="L91" s="245">
        <f>H91*Conv!$J$20/10^6/Conv!$C$47/Conv!$I$5</f>
        <v>11.163537115571355</v>
      </c>
      <c r="M91" s="245">
        <f>L91*'Imported Price Trends'!$K$10</f>
        <v>12.611639314152493</v>
      </c>
      <c r="N91" s="245">
        <f>M91*'Imported Price Trends'!$L$10</f>
        <v>12.490189153572638</v>
      </c>
      <c r="O91" s="245">
        <f>N91*'Imported Price Trends'!$M$10</f>
        <v>14.183961749966075</v>
      </c>
      <c r="P91" s="245">
        <f>O91*'Imported Price Trends'!$N$10</f>
        <v>15.489247085944466</v>
      </c>
      <c r="Q91" s="245">
        <f>P91*'Imported Price Trends'!$O$10</f>
        <v>16.990327094377189</v>
      </c>
      <c r="R91" s="245">
        <f>Q91*'Imported Price Trends'!$O$10</f>
        <v>18.636878421022729</v>
      </c>
      <c r="S91" s="245">
        <f>R91*'Imported Price Trends'!$O$10</f>
        <v>20.442998851677775</v>
      </c>
      <c r="T91" s="245">
        <f>S91*'Imported Price Trends'!$O$10</f>
        <v>22.424152404100138</v>
      </c>
      <c r="U91" s="245">
        <f>T91*'Imported Price Trends'!$O$10</f>
        <v>24.597301731054063</v>
      </c>
      <c r="V91" s="227"/>
      <c r="W91" s="201">
        <f>'Agg crdcrv'!F64</f>
        <v>19.690000000000001</v>
      </c>
      <c r="X91" s="201">
        <f>'Agg crdcrv'!F69</f>
        <v>43.33</v>
      </c>
      <c r="Y91" s="201">
        <f>'Agg crdcrv'!F74</f>
        <v>22.09</v>
      </c>
      <c r="Z91" s="201">
        <f>'Agg crdcrv'!F79</f>
        <v>24.39</v>
      </c>
      <c r="AA91" s="260">
        <f>W91*Conv!$C$47*Conv!$I$5*1000*365</f>
        <v>45.843380188146938</v>
      </c>
      <c r="AB91" s="260">
        <f>X91*Conv!$C$47*Conv!$I$5*1000*365</f>
        <v>100.88337549783682</v>
      </c>
      <c r="AC91" s="260">
        <f>Y91*Conv!$C$47*Conv!$I$5*1000*365</f>
        <v>51.431196970856568</v>
      </c>
      <c r="AD91" s="260">
        <f>Z91*Conv!$C$47*Conv!$I$5*1000*365</f>
        <v>56.786188054286633</v>
      </c>
      <c r="AE91" s="260">
        <f>AA91-AA93</f>
        <v>36.674704150517549</v>
      </c>
      <c r="AF91" s="260">
        <f t="shared" ref="AF91" si="451">AB91-AB93</f>
        <v>80.706700398269462</v>
      </c>
      <c r="AG91" s="260">
        <f t="shared" ref="AG91" si="452">AC91-AC93</f>
        <v>41.144957576685258</v>
      </c>
      <c r="AH91" s="260">
        <f t="shared" ref="AH91" si="453">AD91-AD93</f>
        <v>45.428950443429308</v>
      </c>
      <c r="AI91" s="255"/>
      <c r="AJ91" s="256"/>
      <c r="AK91" s="256"/>
    </row>
    <row r="92" spans="1:37" ht="14.25" customHeight="1">
      <c r="A92" s="201" t="str">
        <f>A91</f>
        <v>FHH</v>
      </c>
      <c r="B92" s="201" t="str">
        <f t="shared" si="420"/>
        <v>IMPOILHH41</v>
      </c>
      <c r="C92" s="201" t="str">
        <f>CONCATENATE("Imported ",VLOOKUP($A92,Types!$A$13:$C$18,3,FALSE),", PADD ",RIGHT(F92,1),", Step ",RIGHT(E92,1))</f>
        <v>Imported Imported Oil-High Sulfur, Heavy G, PADD 4, Step 1</v>
      </c>
      <c r="D92" s="201" t="str">
        <f>D91</f>
        <v>OILHH4</v>
      </c>
      <c r="E92" s="201">
        <v>1</v>
      </c>
      <c r="F92" s="201" t="str">
        <f>F91</f>
        <v>P4</v>
      </c>
      <c r="G92" s="244">
        <f>G91*$C$5</f>
        <v>28.71</v>
      </c>
      <c r="H92" s="244">
        <f t="shared" ref="H92" si="454">H91*$C$5</f>
        <v>41.765625000000007</v>
      </c>
      <c r="I92" s="244">
        <f t="shared" ref="I92" si="455">I91*$C$5</f>
        <v>28.413</v>
      </c>
      <c r="J92" s="244">
        <f t="shared" ref="J92" si="456">J91*$C$5</f>
        <v>30.066300000000005</v>
      </c>
      <c r="K92" s="245">
        <f>G92*Conv!$J$20/10^6/Conv!$C$47/Conv!$I$5</f>
        <v>6.9065082955001431</v>
      </c>
      <c r="L92" s="245">
        <f>H92*Conv!$J$20/10^6/Conv!$C$47/Conv!$I$5</f>
        <v>10.04718340401422</v>
      </c>
      <c r="M92" s="245">
        <f>L92*'Imported Price Trends'!$K$10</f>
        <v>11.350475382737244</v>
      </c>
      <c r="N92" s="245">
        <f>M92*'Imported Price Trends'!$L$10</f>
        <v>11.241170238215375</v>
      </c>
      <c r="O92" s="245">
        <f>N92*'Imported Price Trends'!$M$10</f>
        <v>12.765565574969468</v>
      </c>
      <c r="P92" s="245">
        <f>O92*'Imported Price Trends'!$N$10</f>
        <v>13.94032237735002</v>
      </c>
      <c r="Q92" s="245">
        <f>P92*'Imported Price Trends'!$O$10</f>
        <v>15.291294384939469</v>
      </c>
      <c r="R92" s="245">
        <f>Q92*'Imported Price Trends'!$O$10</f>
        <v>16.773190578920456</v>
      </c>
      <c r="S92" s="245">
        <f>R92*'Imported Price Trends'!$O$10</f>
        <v>18.398698966509997</v>
      </c>
      <c r="T92" s="245">
        <f>S92*'Imported Price Trends'!$O$10</f>
        <v>20.181737163690123</v>
      </c>
      <c r="U92" s="245">
        <f>T92*'Imported Price Trends'!$O$10</f>
        <v>22.137571557948657</v>
      </c>
      <c r="V92" s="227"/>
      <c r="W92" s="261">
        <f>W91*$E$5</f>
        <v>1.9690000000000003</v>
      </c>
      <c r="X92" s="261">
        <f t="shared" ref="X92" si="457">X91*$E$5</f>
        <v>4.3330000000000002</v>
      </c>
      <c r="Y92" s="261">
        <f t="shared" ref="Y92" si="458">Y91*$E$5</f>
        <v>2.2090000000000001</v>
      </c>
      <c r="Z92" s="261">
        <f t="shared" ref="Z92" si="459">Z91*$E$5</f>
        <v>2.4390000000000001</v>
      </c>
      <c r="AA92" s="260">
        <f>W92*Conv!$C$47*Conv!$I$5*1000*365</f>
        <v>4.5843380188146945</v>
      </c>
      <c r="AB92" s="260">
        <f>X92*Conv!$C$47*Conv!$I$5*1000*365</f>
        <v>10.088337549783681</v>
      </c>
      <c r="AC92" s="260">
        <f>Y92*Conv!$C$47*Conv!$I$5*1000*365</f>
        <v>5.1431196970856572</v>
      </c>
      <c r="AD92" s="260">
        <f>Z92*Conv!$C$47*Conv!$I$5*1000*365</f>
        <v>5.6786188054286635</v>
      </c>
      <c r="AE92" s="260">
        <f>AA92</f>
        <v>4.5843380188146945</v>
      </c>
      <c r="AF92" s="260">
        <f t="shared" ref="AF92" si="460">AB92</f>
        <v>10.088337549783681</v>
      </c>
      <c r="AG92" s="260">
        <f t="shared" ref="AG92" si="461">AC92</f>
        <v>5.1431196970856572</v>
      </c>
      <c r="AH92" s="260">
        <f t="shared" ref="AH92" si="462">AD92</f>
        <v>5.6786188054286635</v>
      </c>
      <c r="AI92" s="255"/>
    </row>
    <row r="93" spans="1:37" ht="14.25" customHeight="1">
      <c r="A93" s="201" t="str">
        <f t="shared" ref="A93:A95" si="463">A92</f>
        <v>FHH</v>
      </c>
      <c r="B93" s="201" t="str">
        <f t="shared" si="420"/>
        <v>IMPOILHH42</v>
      </c>
      <c r="C93" s="201" t="str">
        <f>CONCATENATE("Imported ",VLOOKUP($A93,Types!$A$13:$C$18,3,FALSE),", PADD ",RIGHT(F93,1),", Step ",RIGHT(E93,1))</f>
        <v>Imported Imported Oil-High Sulfur, Heavy G, PADD 4, Step 2</v>
      </c>
      <c r="D93" s="201" t="str">
        <f t="shared" ref="D93:D95" si="464">D92</f>
        <v>OILHH4</v>
      </c>
      <c r="E93" s="201">
        <v>2</v>
      </c>
      <c r="F93" s="201" t="str">
        <f t="shared" ref="F93:F95" si="465">F92</f>
        <v>P4</v>
      </c>
      <c r="G93" s="244">
        <f>G91*$C$6</f>
        <v>30.305</v>
      </c>
      <c r="H93" s="244">
        <f t="shared" ref="H93:J93" si="466">H91*$C$6</f>
        <v>44.085937500000007</v>
      </c>
      <c r="I93" s="244">
        <f t="shared" si="466"/>
        <v>29.991499999999998</v>
      </c>
      <c r="J93" s="244">
        <f t="shared" si="466"/>
        <v>31.736650000000001</v>
      </c>
      <c r="K93" s="245">
        <f>G93*Conv!$J$20/10^6/Conv!$C$47/Conv!$I$5</f>
        <v>7.2902032008057063</v>
      </c>
      <c r="L93" s="245">
        <f>H93*Conv!$J$20/10^6/Conv!$C$47/Conv!$I$5</f>
        <v>10.605360259792784</v>
      </c>
      <c r="M93" s="245">
        <f>L93*'Imported Price Trends'!$K$10</f>
        <v>11.981057348444864</v>
      </c>
      <c r="N93" s="245">
        <f>M93*'Imported Price Trends'!$L$10</f>
        <v>11.865679695894002</v>
      </c>
      <c r="O93" s="245">
        <f>N93*'Imported Price Trends'!$M$10</f>
        <v>13.474763662467767</v>
      </c>
      <c r="P93" s="245">
        <f>O93*'Imported Price Trends'!$N$10</f>
        <v>14.714784731647239</v>
      </c>
      <c r="Q93" s="245">
        <f>P93*'Imported Price Trends'!$O$10</f>
        <v>16.140810739658324</v>
      </c>
      <c r="R93" s="245">
        <f>Q93*'Imported Price Trends'!$O$10</f>
        <v>17.705034499971585</v>
      </c>
      <c r="S93" s="245">
        <f>R93*'Imported Price Trends'!$O$10</f>
        <v>19.420848909093877</v>
      </c>
      <c r="T93" s="245">
        <f>S93*'Imported Price Trends'!$O$10</f>
        <v>21.302944783895121</v>
      </c>
      <c r="U93" s="245">
        <f>T93*'Imported Price Trends'!$O$10</f>
        <v>23.36743664450135</v>
      </c>
      <c r="V93" s="227"/>
      <c r="W93" s="261">
        <f>W91*$E$6</f>
        <v>3.9380000000000006</v>
      </c>
      <c r="X93" s="261">
        <f t="shared" ref="X93:Z93" si="467">X91*$E$6</f>
        <v>8.6660000000000004</v>
      </c>
      <c r="Y93" s="261">
        <f t="shared" si="467"/>
        <v>4.4180000000000001</v>
      </c>
      <c r="Z93" s="261">
        <f t="shared" si="467"/>
        <v>4.8780000000000001</v>
      </c>
      <c r="AA93" s="260">
        <f>W93*Conv!$C$47*Conv!$I$5*1000*365</f>
        <v>9.168676037629389</v>
      </c>
      <c r="AB93" s="260">
        <f>X93*Conv!$C$47*Conv!$I$5*1000*365</f>
        <v>20.176675099567362</v>
      </c>
      <c r="AC93" s="260">
        <f>Y93*Conv!$C$47*Conv!$I$5*1000*365</f>
        <v>10.286239394171314</v>
      </c>
      <c r="AD93" s="260">
        <f>Z93*Conv!$C$47*Conv!$I$5*1000*365</f>
        <v>11.357237610857327</v>
      </c>
      <c r="AE93" s="260">
        <f>AA93-AE92</f>
        <v>4.5843380188146945</v>
      </c>
      <c r="AF93" s="260">
        <f t="shared" ref="AF93" si="468">AB93-AF92</f>
        <v>10.088337549783681</v>
      </c>
      <c r="AG93" s="260">
        <f t="shared" ref="AG93" si="469">AC93-AG92</f>
        <v>5.1431196970856572</v>
      </c>
      <c r="AH93" s="260">
        <f t="shared" ref="AH93" si="470">AD93-AH92</f>
        <v>5.6786188054286635</v>
      </c>
      <c r="AI93" s="255"/>
    </row>
    <row r="94" spans="1:37" ht="14.25" customHeight="1">
      <c r="A94" s="201" t="str">
        <f t="shared" si="463"/>
        <v>FHH</v>
      </c>
      <c r="B94" s="201" t="str">
        <f t="shared" si="420"/>
        <v>IMPOILHH44</v>
      </c>
      <c r="C94" s="201" t="str">
        <f>CONCATENATE("Imported ",VLOOKUP($A94,Types!$A$13:$C$18,3,FALSE),", PADD ",RIGHT(F94,1),", Step ",RIGHT(E94,1))</f>
        <v>Imported Imported Oil-High Sulfur, Heavy G, PADD 4, Step 4</v>
      </c>
      <c r="D94" s="201" t="str">
        <f t="shared" si="464"/>
        <v>OILHH4</v>
      </c>
      <c r="E94" s="201">
        <v>4</v>
      </c>
      <c r="F94" s="201" t="str">
        <f t="shared" si="465"/>
        <v>P4</v>
      </c>
      <c r="G94" s="244">
        <f>G91*$C$8</f>
        <v>33.495000000000005</v>
      </c>
      <c r="H94" s="244">
        <f t="shared" ref="H94:J94" si="471">H91*$C$8</f>
        <v>48.726562500000007</v>
      </c>
      <c r="I94" s="244">
        <f t="shared" si="471"/>
        <v>33.148499999999999</v>
      </c>
      <c r="J94" s="244">
        <f t="shared" si="471"/>
        <v>35.077350000000003</v>
      </c>
      <c r="K94" s="245">
        <f>G94*Conv!$J$20/10^6/Conv!$C$47/Conv!$I$5</f>
        <v>8.0575930114168361</v>
      </c>
      <c r="L94" s="245">
        <f>H94*Conv!$J$20/10^6/Conv!$C$47/Conv!$I$5</f>
        <v>11.721713971349921</v>
      </c>
      <c r="M94" s="245">
        <f>L94*'Imported Price Trends'!$K$10</f>
        <v>13.242221279860116</v>
      </c>
      <c r="N94" s="245">
        <f>M94*'Imported Price Trends'!$L$10</f>
        <v>13.114698611251269</v>
      </c>
      <c r="O94" s="245">
        <f>N94*'Imported Price Trends'!$M$10</f>
        <v>14.893159837464378</v>
      </c>
      <c r="P94" s="245">
        <f>O94*'Imported Price Trends'!$N$10</f>
        <v>16.263709440241687</v>
      </c>
      <c r="Q94" s="245">
        <f>P94*'Imported Price Trends'!$O$10</f>
        <v>17.839843449096044</v>
      </c>
      <c r="R94" s="245">
        <f>Q94*'Imported Price Trends'!$O$10</f>
        <v>19.568722342073858</v>
      </c>
      <c r="S94" s="245">
        <f>R94*'Imported Price Trends'!$O$10</f>
        <v>21.465148794261655</v>
      </c>
      <c r="T94" s="245">
        <f>S94*'Imported Price Trends'!$O$10</f>
        <v>23.545360024305133</v>
      </c>
      <c r="U94" s="245">
        <f>T94*'Imported Price Trends'!$O$10</f>
        <v>25.827166817606752</v>
      </c>
      <c r="V94" s="227"/>
      <c r="W94" s="261">
        <f>W91*$E$8</f>
        <v>23.628</v>
      </c>
      <c r="X94" s="261">
        <f t="shared" ref="X94:Z94" si="472">X91*$E$8</f>
        <v>51.995999999999995</v>
      </c>
      <c r="Y94" s="261">
        <f t="shared" si="472"/>
        <v>26.507999999999999</v>
      </c>
      <c r="Z94" s="261">
        <f t="shared" si="472"/>
        <v>29.268000000000001</v>
      </c>
      <c r="AA94" s="260">
        <f>W94*Conv!$C$47*Conv!$I$5*1000*365</f>
        <v>55.012056225776327</v>
      </c>
      <c r="AB94" s="260">
        <f>X94*Conv!$C$47*Conv!$I$5*1000*365</f>
        <v>121.06005059740416</v>
      </c>
      <c r="AC94" s="260">
        <f>Y94*Conv!$C$47*Conv!$I$5*1000*365</f>
        <v>61.717436365027879</v>
      </c>
      <c r="AD94" s="260">
        <f>Z94*Conv!$C$47*Conv!$I$5*1000*365</f>
        <v>68.143425665143965</v>
      </c>
      <c r="AE94" s="260">
        <f>AA94-AA91</f>
        <v>9.168676037629389</v>
      </c>
      <c r="AF94" s="260">
        <f t="shared" ref="AF94" si="473">AB94-AB91</f>
        <v>20.176675099567333</v>
      </c>
      <c r="AG94" s="260">
        <f t="shared" ref="AG94" si="474">AC94-AC91</f>
        <v>10.286239394171311</v>
      </c>
      <c r="AH94" s="260">
        <f t="shared" ref="AH94" si="475">AD94-AD91</f>
        <v>11.357237610857332</v>
      </c>
      <c r="AI94" s="255"/>
    </row>
    <row r="95" spans="1:37" ht="14.25" customHeight="1">
      <c r="A95" s="201" t="str">
        <f t="shared" si="463"/>
        <v>FHH</v>
      </c>
      <c r="B95" s="201" t="str">
        <f t="shared" si="420"/>
        <v>IMPOILHH45</v>
      </c>
      <c r="C95" s="201" t="str">
        <f>CONCATENATE("Imported ",VLOOKUP($A95,Types!$A$13:$C$18,3,FALSE),", PADD ",RIGHT(F95,1),", Step ",RIGHT(E95,1))</f>
        <v>Imported Imported Oil-High Sulfur, Heavy G, PADD 4, Step 5</v>
      </c>
      <c r="D95" s="201" t="str">
        <f t="shared" si="464"/>
        <v>OILHH4</v>
      </c>
      <c r="E95" s="201">
        <v>5</v>
      </c>
      <c r="F95" s="201" t="str">
        <f t="shared" si="465"/>
        <v>P4</v>
      </c>
      <c r="G95" s="244">
        <f>G91*$C$9</f>
        <v>41.470000000000006</v>
      </c>
      <c r="H95" s="244">
        <f t="shared" ref="H95:J95" si="476">H91*$C$9</f>
        <v>60.328125000000014</v>
      </c>
      <c r="I95" s="244">
        <f t="shared" si="476"/>
        <v>41.041000000000004</v>
      </c>
      <c r="J95" s="244">
        <f t="shared" si="476"/>
        <v>43.429100000000005</v>
      </c>
      <c r="K95" s="245">
        <f>G95*Conv!$J$20/10^6/Conv!$C$47/Conv!$I$5</f>
        <v>9.9760675379446511</v>
      </c>
      <c r="L95" s="245">
        <f>H95*Conv!$J$20/10^6/Conv!$C$47/Conv!$I$5</f>
        <v>14.512598250242762</v>
      </c>
      <c r="M95" s="245">
        <f>L95*'Imported Price Trends'!$K$10</f>
        <v>16.395131108398243</v>
      </c>
      <c r="N95" s="245">
        <f>M95*'Imported Price Trends'!$L$10</f>
        <v>16.237245899644432</v>
      </c>
      <c r="O95" s="245">
        <f>N95*'Imported Price Trends'!$M$10</f>
        <v>18.4391502749559</v>
      </c>
      <c r="P95" s="245">
        <f>O95*'Imported Price Trends'!$N$10</f>
        <v>20.136021211727808</v>
      </c>
      <c r="Q95" s="245">
        <f>P95*'Imported Price Trends'!$O$10</f>
        <v>22.087425222690346</v>
      </c>
      <c r="R95" s="245">
        <f>Q95*'Imported Price Trends'!$O$10</f>
        <v>24.227941947329548</v>
      </c>
      <c r="S95" s="245">
        <f>R95*'Imported Price Trends'!$O$10</f>
        <v>26.575898507181105</v>
      </c>
      <c r="T95" s="245">
        <f>S95*'Imported Price Trends'!$O$10</f>
        <v>29.151398125330175</v>
      </c>
      <c r="U95" s="245">
        <f>T95*'Imported Price Trends'!$O$10</f>
        <v>31.976492250370278</v>
      </c>
      <c r="V95" s="227"/>
      <c r="W95" s="261">
        <f>W91*$E$9</f>
        <v>25.597000000000001</v>
      </c>
      <c r="X95" s="261">
        <f t="shared" ref="X95:Z95" si="477">X91*$E$9</f>
        <v>56.329000000000001</v>
      </c>
      <c r="Y95" s="261">
        <f t="shared" si="477"/>
        <v>28.717000000000002</v>
      </c>
      <c r="Z95" s="261">
        <f t="shared" si="477"/>
        <v>31.707000000000001</v>
      </c>
      <c r="AA95" s="260">
        <f>W95*Conv!$C$47*Conv!$I$5*1000*365</f>
        <v>59.596394244591018</v>
      </c>
      <c r="AB95" s="260">
        <f>X95*Conv!$C$47*Conv!$I$5*1000*365</f>
        <v>131.14838814718783</v>
      </c>
      <c r="AC95" s="260">
        <f>Y95*Conv!$C$47*Conv!$I$5*1000*365</f>
        <v>66.860556062113545</v>
      </c>
      <c r="AD95" s="260">
        <f>Z95*Conv!$C$47*Conv!$I$5*1000*365</f>
        <v>73.822044470572621</v>
      </c>
      <c r="AE95" s="260">
        <f>AA95-AA94</f>
        <v>4.5843380188146909</v>
      </c>
      <c r="AF95" s="260">
        <f t="shared" ref="AF95" si="478">AB95-AB94</f>
        <v>10.088337549783674</v>
      </c>
      <c r="AG95" s="260">
        <f t="shared" ref="AG95" si="479">AC95-AC94</f>
        <v>5.1431196970856661</v>
      </c>
      <c r="AH95" s="260">
        <f t="shared" ref="AH95" si="480">AD95-AD94</f>
        <v>5.6786188054286555</v>
      </c>
      <c r="AI95" s="255"/>
    </row>
    <row r="96" spans="1:37" ht="14.25" customHeight="1">
      <c r="A96" s="201" t="str">
        <f>'Agg crdcrv'!C65</f>
        <v>FHL</v>
      </c>
      <c r="B96" s="201" t="str">
        <f t="shared" si="420"/>
        <v>IMPOILHL43</v>
      </c>
      <c r="C96" s="201" t="str">
        <f>CONCATENATE("Imported ",VLOOKUP($A96,Types!$A$13:$C$18,3,FALSE),", PADD ",RIGHT(F96,1),", Step ",RIGHT(E96,1))</f>
        <v>Imported Imported Oil-High Sulfur, Low G, PADD 4, Step 3</v>
      </c>
      <c r="D96" s="201" t="str">
        <f>CONCATENATE(VLOOKUP($A96,Types!$A$14:$C$18,2,FALSE),RIGHT(F96,1))</f>
        <v>OILHL4</v>
      </c>
      <c r="E96" s="201">
        <v>3</v>
      </c>
      <c r="F96" s="201" t="str">
        <f>'Agg crdcrv'!D65</f>
        <v>P4</v>
      </c>
      <c r="G96" s="244">
        <f>'Agg crdcrv'!H65*K5</f>
        <v>41.514000000000003</v>
      </c>
      <c r="H96" s="244">
        <f>'Agg crdcrv'!H70*K5</f>
        <v>50.187500000000007</v>
      </c>
      <c r="I96" s="244">
        <f>'Agg crdcrv'!H75*K5</f>
        <v>34.551000000000002</v>
      </c>
      <c r="J96" s="244">
        <f>'Agg crdcrv'!H80*K5</f>
        <v>36.410000000000004</v>
      </c>
      <c r="K96" s="245">
        <f>G96*Conv!$J$20/10^6/Conv!$C$47/Conv!$I$5</f>
        <v>9.9866522249875622</v>
      </c>
      <c r="L96" s="245">
        <f>H96*Conv!$J$20/10^6/Conv!$C$47/Conv!$I$5</f>
        <v>12.073158658321612</v>
      </c>
      <c r="M96" s="245">
        <f>L96*'Imported Price Trends'!$K$10</f>
        <v>13.639254369379731</v>
      </c>
      <c r="N96" s="245">
        <f>M96*'Imported Price Trends'!$L$10</f>
        <v>13.507908269789667</v>
      </c>
      <c r="O96" s="245">
        <f>N96*'Imported Price Trends'!$M$10</f>
        <v>15.339691966629976</v>
      </c>
      <c r="P96" s="245">
        <f>O96*'Imported Price Trends'!$N$10</f>
        <v>16.751333885539939</v>
      </c>
      <c r="Q96" s="245">
        <f>P96*'Imported Price Trends'!$O$10</f>
        <v>18.374724116881993</v>
      </c>
      <c r="R96" s="245">
        <f>Q96*'Imported Price Trends'!$O$10</f>
        <v>20.15543888495791</v>
      </c>
      <c r="S96" s="245">
        <f>R96*'Imported Price Trends'!$O$10</f>
        <v>22.108724684036698</v>
      </c>
      <c r="T96" s="245">
        <f>S96*'Imported Price Trends'!$O$10</f>
        <v>24.251305562952734</v>
      </c>
      <c r="U96" s="245">
        <f>T96*'Imported Price Trends'!$O$10</f>
        <v>26.60152631654735</v>
      </c>
      <c r="V96" s="227"/>
      <c r="W96" s="201">
        <f>'Agg crdcrv'!F65</f>
        <v>2.4500000000000002</v>
      </c>
      <c r="X96" s="201">
        <f>'Agg crdcrv'!F70</f>
        <v>1.29</v>
      </c>
      <c r="Y96" s="201">
        <f>'Agg crdcrv'!F75</f>
        <v>10.25</v>
      </c>
      <c r="Z96" s="201">
        <f>'Agg crdcrv'!F80</f>
        <v>11.32</v>
      </c>
      <c r="AA96" s="260">
        <f>W96*Conv!$C$47*Conv!$I$5*1000*365</f>
        <v>5.7042296323494153</v>
      </c>
      <c r="AB96" s="260">
        <f>X96*Conv!$C$47*Conv!$I$5*1000*365</f>
        <v>3.003451520706427</v>
      </c>
      <c r="AC96" s="260">
        <f>Y96*Conv!$C$47*Conv!$I$5*1000*365</f>
        <v>23.864634176155722</v>
      </c>
      <c r="AD96" s="260">
        <f>Z96*Conv!$C$47*Conv!$I$5*1000*365</f>
        <v>26.355869158447096</v>
      </c>
      <c r="AE96" s="260">
        <f>AA96-AA98</f>
        <v>4.5633837058795326</v>
      </c>
      <c r="AF96" s="260">
        <f t="shared" ref="AF96" si="481">AB96-AB98</f>
        <v>2.4027612165651417</v>
      </c>
      <c r="AG96" s="260">
        <f t="shared" ref="AG96" si="482">AC96-AC98</f>
        <v>19.091707340924579</v>
      </c>
      <c r="AH96" s="260">
        <f t="shared" ref="AH96" si="483">AD96-AD98</f>
        <v>21.084695326757675</v>
      </c>
      <c r="AI96" s="255"/>
      <c r="AJ96" s="256"/>
      <c r="AK96" s="256"/>
    </row>
    <row r="97" spans="1:37" ht="14.25" customHeight="1">
      <c r="A97" s="201" t="str">
        <f>A96</f>
        <v>FHL</v>
      </c>
      <c r="B97" s="201" t="str">
        <f t="shared" si="420"/>
        <v>IMPOILHL41</v>
      </c>
      <c r="C97" s="201" t="str">
        <f>CONCATENATE("Imported ",VLOOKUP($A97,Types!$A$13:$C$18,3,FALSE),", PADD ",RIGHT(F97,1),", Step ",RIGHT(E97,1))</f>
        <v>Imported Imported Oil-High Sulfur, Low G, PADD 4, Step 1</v>
      </c>
      <c r="D97" s="201" t="str">
        <f>D96</f>
        <v>OILHL4</v>
      </c>
      <c r="E97" s="201">
        <v>1</v>
      </c>
      <c r="F97" s="201" t="str">
        <f>F96</f>
        <v>P4</v>
      </c>
      <c r="G97" s="244">
        <f>G96*$C$5</f>
        <v>37.3626</v>
      </c>
      <c r="H97" s="244">
        <f t="shared" ref="H97" si="484">H96*$C$5</f>
        <v>45.16875000000001</v>
      </c>
      <c r="I97" s="244">
        <f t="shared" ref="I97" si="485">I96*$C$5</f>
        <v>31.095900000000004</v>
      </c>
      <c r="J97" s="244">
        <f t="shared" ref="J97" si="486">J96*$C$5</f>
        <v>32.769000000000005</v>
      </c>
      <c r="K97" s="245">
        <f>G97*Conv!$J$20/10^6/Conv!$C$47/Conv!$I$5</f>
        <v>8.987987002488806</v>
      </c>
      <c r="L97" s="245">
        <f>H97*Conv!$J$20/10^6/Conv!$C$47/Conv!$I$5</f>
        <v>10.865842792489451</v>
      </c>
      <c r="M97" s="245">
        <f>L97*'Imported Price Trends'!$K$10</f>
        <v>12.275328932441758</v>
      </c>
      <c r="N97" s="245">
        <f>M97*'Imported Price Trends'!$L$10</f>
        <v>12.1571174428107</v>
      </c>
      <c r="O97" s="245">
        <f>N97*'Imported Price Trends'!$M$10</f>
        <v>13.805722769966978</v>
      </c>
      <c r="P97" s="245">
        <f>O97*'Imported Price Trends'!$N$10</f>
        <v>15.076200496985946</v>
      </c>
      <c r="Q97" s="245">
        <f>P97*'Imported Price Trends'!$O$10</f>
        <v>16.537251705193796</v>
      </c>
      <c r="R97" s="245">
        <f>Q97*'Imported Price Trends'!$O$10</f>
        <v>18.139894996462122</v>
      </c>
      <c r="S97" s="245">
        <f>R97*'Imported Price Trends'!$O$10</f>
        <v>19.89785221563303</v>
      </c>
      <c r="T97" s="245">
        <f>S97*'Imported Price Trends'!$O$10</f>
        <v>21.826175006657461</v>
      </c>
      <c r="U97" s="245">
        <f>T97*'Imported Price Trends'!$O$10</f>
        <v>23.941373684892614</v>
      </c>
      <c r="V97" s="227"/>
      <c r="W97" s="261">
        <f>W96*$E$5</f>
        <v>0.24500000000000002</v>
      </c>
      <c r="X97" s="261">
        <f t="shared" ref="X97" si="487">X96*$E$5</f>
        <v>0.129</v>
      </c>
      <c r="Y97" s="261">
        <f t="shared" ref="Y97" si="488">Y96*$E$5</f>
        <v>1.0250000000000001</v>
      </c>
      <c r="Z97" s="261">
        <f t="shared" ref="Z97" si="489">Z96*$E$5</f>
        <v>1.1320000000000001</v>
      </c>
      <c r="AA97" s="260">
        <f>W97*Conv!$C$47*Conv!$I$5*1000*365</f>
        <v>0.57042296323494157</v>
      </c>
      <c r="AB97" s="260">
        <f>X97*Conv!$C$47*Conv!$I$5*1000*365</f>
        <v>0.30034515207064266</v>
      </c>
      <c r="AC97" s="260">
        <f>Y97*Conv!$C$47*Conv!$I$5*1000*365</f>
        <v>2.3864634176155723</v>
      </c>
      <c r="AD97" s="260">
        <f>Z97*Conv!$C$47*Conv!$I$5*1000*365</f>
        <v>2.6355869158447103</v>
      </c>
      <c r="AE97" s="260">
        <f>AA97</f>
        <v>0.57042296323494157</v>
      </c>
      <c r="AF97" s="260">
        <f t="shared" ref="AF97" si="490">AB97</f>
        <v>0.30034515207064266</v>
      </c>
      <c r="AG97" s="260">
        <f t="shared" ref="AG97" si="491">AC97</f>
        <v>2.3864634176155723</v>
      </c>
      <c r="AH97" s="260">
        <f t="shared" ref="AH97" si="492">AD97</f>
        <v>2.6355869158447103</v>
      </c>
      <c r="AI97" s="236"/>
    </row>
    <row r="98" spans="1:37" ht="14.25" customHeight="1">
      <c r="A98" s="201" t="str">
        <f t="shared" ref="A98:A100" si="493">A97</f>
        <v>FHL</v>
      </c>
      <c r="B98" s="201" t="str">
        <f t="shared" si="420"/>
        <v>IMPOILHL42</v>
      </c>
      <c r="C98" s="201" t="str">
        <f>CONCATENATE("Imported ",VLOOKUP($A98,Types!$A$13:$C$18,3,FALSE),", PADD ",RIGHT(F98,1),", Step ",RIGHT(E98,1))</f>
        <v>Imported Imported Oil-High Sulfur, Low G, PADD 4, Step 2</v>
      </c>
      <c r="D98" s="201" t="str">
        <f t="shared" ref="D98:D100" si="494">D97</f>
        <v>OILHL4</v>
      </c>
      <c r="E98" s="201">
        <v>2</v>
      </c>
      <c r="F98" s="201" t="str">
        <f t="shared" ref="F98:F100" si="495">F97</f>
        <v>P4</v>
      </c>
      <c r="G98" s="244">
        <f>G96*$C$6</f>
        <v>39.438299999999998</v>
      </c>
      <c r="H98" s="244">
        <f t="shared" ref="H98:J98" si="496">H96*$C$6</f>
        <v>47.678125000000001</v>
      </c>
      <c r="I98" s="244">
        <f t="shared" si="496"/>
        <v>32.823450000000001</v>
      </c>
      <c r="J98" s="244">
        <f t="shared" si="496"/>
        <v>34.589500000000001</v>
      </c>
      <c r="K98" s="245">
        <f>G98*Conv!$J$20/10^6/Conv!$C$47/Conv!$I$5</f>
        <v>9.487319613738185</v>
      </c>
      <c r="L98" s="245">
        <f>H98*Conv!$J$20/10^6/Conv!$C$47/Conv!$I$5</f>
        <v>11.469500725405531</v>
      </c>
      <c r="M98" s="245">
        <f>L98*'Imported Price Trends'!$K$10</f>
        <v>12.957291650910745</v>
      </c>
      <c r="N98" s="245">
        <f>M98*'Imported Price Trends'!$L$10</f>
        <v>12.832512856300184</v>
      </c>
      <c r="O98" s="245">
        <f>N98*'Imported Price Trends'!$M$10</f>
        <v>14.572707368298477</v>
      </c>
      <c r="P98" s="245">
        <f>O98*'Imported Price Trends'!$N$10</f>
        <v>15.913767191262943</v>
      </c>
      <c r="Q98" s="245">
        <f>P98*'Imported Price Trends'!$O$10</f>
        <v>17.455987911037894</v>
      </c>
      <c r="R98" s="245">
        <f>Q98*'Imported Price Trends'!$O$10</f>
        <v>19.147666940710014</v>
      </c>
      <c r="S98" s="245">
        <f>R98*'Imported Price Trends'!$O$10</f>
        <v>21.003288449834862</v>
      </c>
      <c r="T98" s="245">
        <f>S98*'Imported Price Trends'!$O$10</f>
        <v>23.038740284805094</v>
      </c>
      <c r="U98" s="245">
        <f>T98*'Imported Price Trends'!$O$10</f>
        <v>25.271450000719977</v>
      </c>
      <c r="V98" s="227"/>
      <c r="W98" s="261">
        <f>W96*$E$6</f>
        <v>0.49000000000000005</v>
      </c>
      <c r="X98" s="261">
        <f t="shared" ref="X98:Z98" si="497">X96*$E$6</f>
        <v>0.25800000000000001</v>
      </c>
      <c r="Y98" s="261">
        <f t="shared" si="497"/>
        <v>2.0500000000000003</v>
      </c>
      <c r="Z98" s="261">
        <f t="shared" si="497"/>
        <v>2.2640000000000002</v>
      </c>
      <c r="AA98" s="260">
        <f>W98*Conv!$C$47*Conv!$I$5*1000*365</f>
        <v>1.1408459264698831</v>
      </c>
      <c r="AB98" s="260">
        <f>X98*Conv!$C$47*Conv!$I$5*1000*365</f>
        <v>0.60069030414128533</v>
      </c>
      <c r="AC98" s="260">
        <f>Y98*Conv!$C$47*Conv!$I$5*1000*365</f>
        <v>4.7729268352311447</v>
      </c>
      <c r="AD98" s="260">
        <f>Z98*Conv!$C$47*Conv!$I$5*1000*365</f>
        <v>5.2711738316894206</v>
      </c>
      <c r="AE98" s="260">
        <f>AA98-AE97</f>
        <v>0.57042296323494157</v>
      </c>
      <c r="AF98" s="260">
        <f t="shared" ref="AF98" si="498">AB98-AF97</f>
        <v>0.30034515207064266</v>
      </c>
      <c r="AG98" s="260">
        <f t="shared" ref="AG98" si="499">AC98-AG97</f>
        <v>2.3864634176155723</v>
      </c>
      <c r="AH98" s="260">
        <f t="shared" ref="AH98" si="500">AD98-AH97</f>
        <v>2.6355869158447103</v>
      </c>
      <c r="AI98" s="236"/>
    </row>
    <row r="99" spans="1:37" ht="14.25" customHeight="1">
      <c r="A99" s="201" t="str">
        <f t="shared" si="493"/>
        <v>FHL</v>
      </c>
      <c r="B99" s="201" t="str">
        <f t="shared" si="420"/>
        <v>IMPOILHL44</v>
      </c>
      <c r="C99" s="201" t="str">
        <f>CONCATENATE("Imported ",VLOOKUP($A99,Types!$A$13:$C$18,3,FALSE),", PADD ",RIGHT(F99,1),", Step ",RIGHT(E99,1))</f>
        <v>Imported Imported Oil-High Sulfur, Low G, PADD 4, Step 4</v>
      </c>
      <c r="D99" s="201" t="str">
        <f t="shared" si="494"/>
        <v>OILHL4</v>
      </c>
      <c r="E99" s="201">
        <v>4</v>
      </c>
      <c r="F99" s="201" t="str">
        <f t="shared" si="495"/>
        <v>P4</v>
      </c>
      <c r="G99" s="244">
        <f>G96*$C$8</f>
        <v>43.589700000000008</v>
      </c>
      <c r="H99" s="244">
        <f t="shared" ref="H99:J99" si="501">H96*$C$8</f>
        <v>52.696875000000013</v>
      </c>
      <c r="I99" s="244">
        <f t="shared" si="501"/>
        <v>36.278550000000003</v>
      </c>
      <c r="J99" s="244">
        <f t="shared" si="501"/>
        <v>38.230500000000006</v>
      </c>
      <c r="K99" s="245">
        <f>G99*Conv!$J$20/10^6/Conv!$C$47/Conv!$I$5</f>
        <v>10.485984836236943</v>
      </c>
      <c r="L99" s="245">
        <f>H99*Conv!$J$20/10^6/Conv!$C$47/Conv!$I$5</f>
        <v>12.676816591237694</v>
      </c>
      <c r="M99" s="245">
        <f>L99*'Imported Price Trends'!$K$10</f>
        <v>14.321217087848719</v>
      </c>
      <c r="N99" s="245">
        <f>M99*'Imported Price Trends'!$L$10</f>
        <v>14.183303683279151</v>
      </c>
      <c r="O99" s="245">
        <f>N99*'Imported Price Trends'!$M$10</f>
        <v>16.106676564961475</v>
      </c>
      <c r="P99" s="245">
        <f>O99*'Imported Price Trends'!$N$10</f>
        <v>17.588900579816936</v>
      </c>
      <c r="Q99" s="245">
        <f>P99*'Imported Price Trends'!$O$10</f>
        <v>19.293460322726094</v>
      </c>
      <c r="R99" s="245">
        <f>Q99*'Imported Price Trends'!$O$10</f>
        <v>21.163210829205806</v>
      </c>
      <c r="S99" s="245">
        <f>R99*'Imported Price Trends'!$O$10</f>
        <v>23.214160918238534</v>
      </c>
      <c r="T99" s="245">
        <f>S99*'Imported Price Trends'!$O$10</f>
        <v>25.46387084110037</v>
      </c>
      <c r="U99" s="245">
        <f>T99*'Imported Price Trends'!$O$10</f>
        <v>27.931602632374716</v>
      </c>
      <c r="V99" s="227"/>
      <c r="W99" s="261">
        <f>W96*$E$8</f>
        <v>2.94</v>
      </c>
      <c r="X99" s="261">
        <f t="shared" ref="X99:Z99" si="502">X96*$E$8</f>
        <v>1.548</v>
      </c>
      <c r="Y99" s="261">
        <f t="shared" si="502"/>
        <v>12.299999999999999</v>
      </c>
      <c r="Z99" s="261">
        <f t="shared" si="502"/>
        <v>13.584</v>
      </c>
      <c r="AA99" s="260">
        <f>W99*Conv!$C$47*Conv!$I$5*1000*365</f>
        <v>6.8450755588192989</v>
      </c>
      <c r="AB99" s="260">
        <f>X99*Conv!$C$47*Conv!$I$5*1000*365</f>
        <v>3.6041418248477122</v>
      </c>
      <c r="AC99" s="260">
        <f>Y99*Conv!$C$47*Conv!$I$5*1000*365</f>
        <v>28.637561011386861</v>
      </c>
      <c r="AD99" s="260">
        <f>Z99*Conv!$C$47*Conv!$I$5*1000*365</f>
        <v>31.627042990136516</v>
      </c>
      <c r="AE99" s="260">
        <f>AA99-AA96</f>
        <v>1.1408459264698836</v>
      </c>
      <c r="AF99" s="260">
        <f t="shared" ref="AF99" si="503">AB99-AB96</f>
        <v>0.60069030414128521</v>
      </c>
      <c r="AG99" s="260">
        <f t="shared" ref="AG99" si="504">AC99-AC96</f>
        <v>4.7729268352311394</v>
      </c>
      <c r="AH99" s="260">
        <f t="shared" ref="AH99" si="505">AD99-AD96</f>
        <v>5.2711738316894206</v>
      </c>
      <c r="AI99" s="236"/>
    </row>
    <row r="100" spans="1:37" ht="14.25" customHeight="1">
      <c r="A100" s="201" t="str">
        <f t="shared" si="493"/>
        <v>FHL</v>
      </c>
      <c r="B100" s="201" t="str">
        <f t="shared" si="420"/>
        <v>IMPOILHL45</v>
      </c>
      <c r="C100" s="201" t="str">
        <f>CONCATENATE("Imported ",VLOOKUP($A100,Types!$A$13:$C$18,3,FALSE),", PADD ",RIGHT(F100,1),", Step ",RIGHT(E100,1))</f>
        <v>Imported Imported Oil-High Sulfur, Low G, PADD 4, Step 5</v>
      </c>
      <c r="D100" s="201" t="str">
        <f t="shared" si="494"/>
        <v>OILHL4</v>
      </c>
      <c r="E100" s="201">
        <v>5</v>
      </c>
      <c r="F100" s="201" t="str">
        <f t="shared" si="495"/>
        <v>P4</v>
      </c>
      <c r="G100" s="244">
        <f>G96*$C$9</f>
        <v>53.968200000000003</v>
      </c>
      <c r="H100" s="244">
        <f t="shared" ref="H100:J100" si="506">H96*$C$9</f>
        <v>65.243750000000006</v>
      </c>
      <c r="I100" s="244">
        <f t="shared" si="506"/>
        <v>44.916300000000007</v>
      </c>
      <c r="J100" s="244">
        <f t="shared" si="506"/>
        <v>47.333000000000006</v>
      </c>
      <c r="K100" s="245">
        <f>G100*Conv!$J$20/10^6/Conv!$C$47/Conv!$I$5</f>
        <v>12.982647892483834</v>
      </c>
      <c r="L100" s="245">
        <f>H100*Conv!$J$20/10^6/Conv!$C$47/Conv!$I$5</f>
        <v>15.695106255818095</v>
      </c>
      <c r="M100" s="245">
        <f>L100*'Imported Price Trends'!$K$10</f>
        <v>17.731030680193651</v>
      </c>
      <c r="N100" s="245">
        <f>M100*'Imported Price Trends'!$L$10</f>
        <v>17.560280750726566</v>
      </c>
      <c r="O100" s="245">
        <f>N100*'Imported Price Trends'!$M$10</f>
        <v>19.941599556618968</v>
      </c>
      <c r="P100" s="245">
        <f>O100*'Imported Price Trends'!$N$10</f>
        <v>21.77673405120192</v>
      </c>
      <c r="Q100" s="245">
        <f>P100*'Imported Price Trends'!$O$10</f>
        <v>23.887141351946592</v>
      </c>
      <c r="R100" s="245">
        <f>Q100*'Imported Price Trends'!$O$10</f>
        <v>26.202070550445285</v>
      </c>
      <c r="S100" s="245">
        <f>R100*'Imported Price Trends'!$O$10</f>
        <v>28.741342089247709</v>
      </c>
      <c r="T100" s="245">
        <f>S100*'Imported Price Trends'!$O$10</f>
        <v>31.526697231838554</v>
      </c>
      <c r="U100" s="245">
        <f>T100*'Imported Price Trends'!$O$10</f>
        <v>34.581984211511553</v>
      </c>
      <c r="V100" s="227"/>
      <c r="W100" s="261">
        <f>W96*$E$9</f>
        <v>3.1850000000000005</v>
      </c>
      <c r="X100" s="261">
        <f t="shared" ref="X100:Z100" si="507">X96*$E$9</f>
        <v>1.677</v>
      </c>
      <c r="Y100" s="261">
        <f t="shared" si="507"/>
        <v>13.325000000000001</v>
      </c>
      <c r="Z100" s="261">
        <f t="shared" si="507"/>
        <v>14.716000000000001</v>
      </c>
      <c r="AA100" s="260">
        <f>W100*Conv!$C$47*Conv!$I$5*1000*365</f>
        <v>7.4154985220542411</v>
      </c>
      <c r="AB100" s="260">
        <f>X100*Conv!$C$47*Conv!$I$5*1000*365</f>
        <v>3.904486976918355</v>
      </c>
      <c r="AC100" s="260">
        <f>Y100*Conv!$C$47*Conv!$I$5*1000*365</f>
        <v>31.024024429002438</v>
      </c>
      <c r="AD100" s="260">
        <f>Z100*Conv!$C$47*Conv!$I$5*1000*365</f>
        <v>34.262629905981228</v>
      </c>
      <c r="AE100" s="260">
        <f>AA100-AA99</f>
        <v>0.57042296323494224</v>
      </c>
      <c r="AF100" s="260">
        <f t="shared" ref="AF100" si="508">AB100-AB99</f>
        <v>0.30034515207064283</v>
      </c>
      <c r="AG100" s="260">
        <f t="shared" ref="AG100" si="509">AC100-AC99</f>
        <v>2.3864634176155768</v>
      </c>
      <c r="AH100" s="260">
        <f t="shared" ref="AH100" si="510">AD100-AD99</f>
        <v>2.6355869158447121</v>
      </c>
      <c r="AI100" s="236"/>
    </row>
    <row r="101" spans="1:37" ht="14.25" customHeight="1">
      <c r="A101" s="201" t="str">
        <f>'Agg crdcrv'!C66</f>
        <v>FHV</v>
      </c>
      <c r="B101" s="201" t="str">
        <f t="shared" si="420"/>
        <v>IMPOILHV43</v>
      </c>
      <c r="C101" s="201" t="str">
        <f>CONCATENATE("Imported ",VLOOKUP($A101,Types!$A$13:$C$18,3,FALSE),", PADD ",RIGHT(F101,1),", Step ",RIGHT(E101,1))</f>
        <v>Imported Imported Oil-High Sulfur, Very HG, PADD 4, Step 3</v>
      </c>
      <c r="D101" s="201" t="str">
        <f>CONCATENATE(VLOOKUP($A101,Types!$A$14:$C$18,2,FALSE),RIGHT(F101,1))</f>
        <v>OILHV4</v>
      </c>
      <c r="E101" s="201">
        <v>3</v>
      </c>
      <c r="F101" s="201" t="str">
        <f>'Agg crdcrv'!D66</f>
        <v>P4</v>
      </c>
      <c r="G101" s="244">
        <f>'Agg crdcrv'!H66*K5</f>
        <v>28.6</v>
      </c>
      <c r="H101" s="244">
        <f>'Agg crdcrv'!H71*K5</f>
        <v>45.993750000000006</v>
      </c>
      <c r="I101" s="244">
        <f>'Agg crdcrv'!H76*K5</f>
        <v>31.251000000000001</v>
      </c>
      <c r="J101" s="244">
        <f>'Agg crdcrv'!H81*K5</f>
        <v>33.088000000000001</v>
      </c>
      <c r="K101" s="245">
        <f>G101*Conv!$J$20/10^6/Conv!$C$47/Conv!$I$5</f>
        <v>6.8800465778928626</v>
      </c>
      <c r="L101" s="245">
        <f>H101*Conv!$J$20/10^6/Conv!$C$47/Conv!$I$5</f>
        <v>11.064305674544054</v>
      </c>
      <c r="M101" s="245">
        <f>L101*'Imported Price Trends'!$K$10</f>
        <v>12.499535853582248</v>
      </c>
      <c r="N101" s="245">
        <f>M101*'Imported Price Trends'!$L$10</f>
        <v>12.379165249985325</v>
      </c>
      <c r="O101" s="245">
        <f>N101*'Imported Price Trends'!$M$10</f>
        <v>14.057882089966375</v>
      </c>
      <c r="P101" s="245">
        <f>O101*'Imported Price Trends'!$N$10</f>
        <v>15.351564889624958</v>
      </c>
      <c r="Q101" s="245">
        <f>P101*'Imported Price Trends'!$O$10</f>
        <v>16.83930196464939</v>
      </c>
      <c r="R101" s="245">
        <f>Q101*'Imported Price Trends'!$O$10</f>
        <v>18.471217279502525</v>
      </c>
      <c r="S101" s="245">
        <f>R101*'Imported Price Trends'!$O$10</f>
        <v>20.261283306329524</v>
      </c>
      <c r="T101" s="245">
        <f>S101*'Imported Price Trends'!$O$10</f>
        <v>22.224826604952575</v>
      </c>
      <c r="U101" s="245">
        <f>T101*'Imported Price Trends'!$O$10</f>
        <v>24.378659049000245</v>
      </c>
      <c r="V101" s="227"/>
      <c r="W101" s="201">
        <f>'Agg crdcrv'!F66</f>
        <v>135.31</v>
      </c>
      <c r="X101" s="201">
        <f>'Agg crdcrv'!F71</f>
        <v>115.78</v>
      </c>
      <c r="Y101" s="201">
        <f>'Agg crdcrv'!F76</f>
        <v>5.3</v>
      </c>
      <c r="Z101" s="201">
        <f>'Agg crdcrv'!F81</f>
        <v>5.85</v>
      </c>
      <c r="AA101" s="260">
        <f>W101*Conv!$C$47*Conv!$I$5*1000*365</f>
        <v>315.03645369518341</v>
      </c>
      <c r="AB101" s="260">
        <f>X101*Conv!$C$47*Conv!$I$5*1000*365</f>
        <v>269.56559462588382</v>
      </c>
      <c r="AC101" s="260">
        <f>Y101*Conv!$C$47*Conv!$I$5*1000*365</f>
        <v>12.339762061817103</v>
      </c>
      <c r="AD101" s="260">
        <f>Z101*Conv!$C$47*Conv!$I$5*1000*365</f>
        <v>13.620303407854728</v>
      </c>
      <c r="AE101" s="260">
        <f>AA101-AA103</f>
        <v>252.02916295614671</v>
      </c>
      <c r="AF101" s="260">
        <f t="shared" ref="AF101" si="511">AB101-AB103</f>
        <v>215.65247570070704</v>
      </c>
      <c r="AG101" s="260">
        <f t="shared" ref="AG101" si="512">AC101-AC103</f>
        <v>9.8718096494536827</v>
      </c>
      <c r="AH101" s="260">
        <f t="shared" ref="AH101" si="513">AD101-AD103</f>
        <v>10.896242726283782</v>
      </c>
      <c r="AI101" s="257"/>
      <c r="AJ101" s="258"/>
      <c r="AK101" s="258"/>
    </row>
    <row r="102" spans="1:37" ht="14.25" customHeight="1">
      <c r="A102" s="201" t="str">
        <f>A101</f>
        <v>FHV</v>
      </c>
      <c r="B102" s="201" t="str">
        <f t="shared" si="420"/>
        <v>IMPOILHV41</v>
      </c>
      <c r="C102" s="201" t="str">
        <f>CONCATENATE("Imported ",VLOOKUP($A102,Types!$A$13:$C$18,3,FALSE),", PADD ",RIGHT(F102,1),", Step ",RIGHT(E102,1))</f>
        <v>Imported Imported Oil-High Sulfur, Very HG, PADD 4, Step 1</v>
      </c>
      <c r="D102" s="201" t="str">
        <f>D101</f>
        <v>OILHV4</v>
      </c>
      <c r="E102" s="201">
        <v>1</v>
      </c>
      <c r="F102" s="201" t="str">
        <f>F101</f>
        <v>P4</v>
      </c>
      <c r="G102" s="244">
        <f>G101*$C$5</f>
        <v>25.740000000000002</v>
      </c>
      <c r="H102" s="244">
        <f t="shared" ref="H102" si="514">H101*$C$5</f>
        <v>41.394375000000004</v>
      </c>
      <c r="I102" s="244">
        <f t="shared" ref="I102" si="515">I101*$C$5</f>
        <v>28.125900000000001</v>
      </c>
      <c r="J102" s="244">
        <f t="shared" ref="J102" si="516">J101*$C$5</f>
        <v>29.779200000000003</v>
      </c>
      <c r="K102" s="245">
        <f>G102*Conv!$J$20/10^6/Conv!$C$47/Conv!$I$5</f>
        <v>6.192041920103577</v>
      </c>
      <c r="L102" s="245">
        <f>H102*Conv!$J$20/10^6/Conv!$C$47/Conv!$I$5</f>
        <v>9.9578751070896452</v>
      </c>
      <c r="M102" s="245">
        <f>L102*'Imported Price Trends'!$K$10</f>
        <v>11.249582268224019</v>
      </c>
      <c r="N102" s="245">
        <f>M102*'Imported Price Trends'!$L$10</f>
        <v>11.14124872498679</v>
      </c>
      <c r="O102" s="245">
        <f>N102*'Imported Price Trends'!$M$10</f>
        <v>12.652093880969735</v>
      </c>
      <c r="P102" s="245">
        <f>O102*'Imported Price Trends'!$N$10</f>
        <v>13.816408400662461</v>
      </c>
      <c r="Q102" s="245">
        <f>P102*'Imported Price Trends'!$O$10</f>
        <v>15.155371768184448</v>
      </c>
      <c r="R102" s="245">
        <f>Q102*'Imported Price Trends'!$O$10</f>
        <v>16.624095551552269</v>
      </c>
      <c r="S102" s="245">
        <f>R102*'Imported Price Trends'!$O$10</f>
        <v>18.235154975696567</v>
      </c>
      <c r="T102" s="245">
        <f>S102*'Imported Price Trends'!$O$10</f>
        <v>20.002343944457312</v>
      </c>
      <c r="U102" s="245">
        <f>T102*'Imported Price Trends'!$O$10</f>
        <v>21.940793144100212</v>
      </c>
      <c r="V102" s="227"/>
      <c r="W102" s="261">
        <f>W101*$E$5</f>
        <v>13.531000000000001</v>
      </c>
      <c r="X102" s="261">
        <f t="shared" ref="X102" si="517">X101*$E$5</f>
        <v>11.578000000000001</v>
      </c>
      <c r="Y102" s="261">
        <f t="shared" ref="Y102" si="518">Y101*$E$5</f>
        <v>0.53</v>
      </c>
      <c r="Z102" s="261">
        <f t="shared" ref="Z102" si="519">Z101*$E$5</f>
        <v>0.58499999999999996</v>
      </c>
      <c r="AA102" s="260">
        <f>W102*Conv!$C$47*Conv!$I$5*1000*365</f>
        <v>31.503645369518349</v>
      </c>
      <c r="AB102" s="260">
        <f>X102*Conv!$C$47*Conv!$I$5*1000*365</f>
        <v>26.95655946258838</v>
      </c>
      <c r="AC102" s="260">
        <f>Y102*Conv!$C$47*Conv!$I$5*1000*365</f>
        <v>1.2339762061817103</v>
      </c>
      <c r="AD102" s="260">
        <f>Z102*Conv!$C$47*Conv!$I$5*1000*365</f>
        <v>1.3620303407854726</v>
      </c>
      <c r="AE102" s="260">
        <f>AA102</f>
        <v>31.503645369518349</v>
      </c>
      <c r="AF102" s="260">
        <f t="shared" ref="AF102" si="520">AB102</f>
        <v>26.95655946258838</v>
      </c>
      <c r="AG102" s="260">
        <f t="shared" ref="AG102" si="521">AC102</f>
        <v>1.2339762061817103</v>
      </c>
      <c r="AH102" s="260">
        <f t="shared" ref="AH102" si="522">AD102</f>
        <v>1.3620303407854726</v>
      </c>
      <c r="AI102" s="236"/>
    </row>
    <row r="103" spans="1:37" ht="14.25" customHeight="1">
      <c r="A103" s="201" t="str">
        <f t="shared" ref="A103:A105" si="523">A102</f>
        <v>FHV</v>
      </c>
      <c r="B103" s="201" t="str">
        <f t="shared" si="420"/>
        <v>IMPOILHV42</v>
      </c>
      <c r="C103" s="201" t="str">
        <f>CONCATENATE("Imported ",VLOOKUP($A103,Types!$A$13:$C$18,3,FALSE),", PADD ",RIGHT(F103,1),", Step ",RIGHT(E103,1))</f>
        <v>Imported Imported Oil-High Sulfur, Very HG, PADD 4, Step 2</v>
      </c>
      <c r="D103" s="201" t="str">
        <f t="shared" ref="D103:D105" si="524">D102</f>
        <v>OILHV4</v>
      </c>
      <c r="E103" s="201">
        <v>2</v>
      </c>
      <c r="F103" s="201" t="str">
        <f t="shared" ref="F103:F105" si="525">F102</f>
        <v>P4</v>
      </c>
      <c r="G103" s="244">
        <f>G101*$C$6</f>
        <v>27.17</v>
      </c>
      <c r="H103" s="244">
        <f t="shared" ref="H103:J103" si="526">H101*$C$6</f>
        <v>43.694062500000001</v>
      </c>
      <c r="I103" s="244">
        <f t="shared" si="526"/>
        <v>29.68845</v>
      </c>
      <c r="J103" s="244">
        <f t="shared" si="526"/>
        <v>31.433599999999998</v>
      </c>
      <c r="K103" s="245">
        <f>G103*Conv!$J$20/10^6/Conv!$C$47/Conv!$I$5</f>
        <v>6.5360442489982198</v>
      </c>
      <c r="L103" s="245">
        <f>H103*Conv!$J$20/10^6/Conv!$C$47/Conv!$I$5</f>
        <v>10.511090390816848</v>
      </c>
      <c r="M103" s="245">
        <f>L103*'Imported Price Trends'!$K$10</f>
        <v>11.874559060903133</v>
      </c>
      <c r="N103" s="245">
        <f>M103*'Imported Price Trends'!$L$10</f>
        <v>11.760206987486056</v>
      </c>
      <c r="O103" s="245">
        <f>N103*'Imported Price Trends'!$M$10</f>
        <v>13.354987985468053</v>
      </c>
      <c r="P103" s="245">
        <f>O103*'Imported Price Trends'!$N$10</f>
        <v>14.583986645143707</v>
      </c>
      <c r="Q103" s="245">
        <f>P103*'Imported Price Trends'!$O$10</f>
        <v>15.997336866416916</v>
      </c>
      <c r="R103" s="245">
        <f>Q103*'Imported Price Trends'!$O$10</f>
        <v>17.547656415527392</v>
      </c>
      <c r="S103" s="245">
        <f>R103*'Imported Price Trends'!$O$10</f>
        <v>19.248219141013042</v>
      </c>
      <c r="T103" s="245">
        <f>S103*'Imported Price Trends'!$O$10</f>
        <v>21.113585274704942</v>
      </c>
      <c r="U103" s="245">
        <f>T103*'Imported Price Trends'!$O$10</f>
        <v>23.159726096550227</v>
      </c>
      <c r="V103" s="227"/>
      <c r="W103" s="261">
        <f>W101*$E$6</f>
        <v>27.062000000000001</v>
      </c>
      <c r="X103" s="261">
        <f t="shared" ref="X103:Z103" si="527">X101*$E$6</f>
        <v>23.156000000000002</v>
      </c>
      <c r="Y103" s="261">
        <f t="shared" si="527"/>
        <v>1.06</v>
      </c>
      <c r="Z103" s="261">
        <f t="shared" si="527"/>
        <v>1.17</v>
      </c>
      <c r="AA103" s="260">
        <f>W103*Conv!$C$47*Conv!$I$5*1000*365</f>
        <v>63.007290739036698</v>
      </c>
      <c r="AB103" s="260">
        <f>X103*Conv!$C$47*Conv!$I$5*1000*365</f>
        <v>53.913118925176761</v>
      </c>
      <c r="AC103" s="260">
        <f>Y103*Conv!$C$47*Conv!$I$5*1000*365</f>
        <v>2.4679524123634207</v>
      </c>
      <c r="AD103" s="260">
        <f>Z103*Conv!$C$47*Conv!$I$5*1000*365</f>
        <v>2.7240606815709452</v>
      </c>
      <c r="AE103" s="260">
        <f>AA103-AE102</f>
        <v>31.503645369518349</v>
      </c>
      <c r="AF103" s="260">
        <f t="shared" ref="AF103" si="528">AB103-AF102</f>
        <v>26.95655946258838</v>
      </c>
      <c r="AG103" s="260">
        <f t="shared" ref="AG103" si="529">AC103-AG102</f>
        <v>1.2339762061817103</v>
      </c>
      <c r="AH103" s="260">
        <f t="shared" ref="AH103" si="530">AD103-AH102</f>
        <v>1.3620303407854726</v>
      </c>
      <c r="AI103" s="236"/>
    </row>
    <row r="104" spans="1:37" ht="14.25" customHeight="1">
      <c r="A104" s="201" t="str">
        <f t="shared" si="523"/>
        <v>FHV</v>
      </c>
      <c r="B104" s="201" t="str">
        <f t="shared" si="420"/>
        <v>IMPOILHV44</v>
      </c>
      <c r="C104" s="201" t="str">
        <f>CONCATENATE("Imported ",VLOOKUP($A104,Types!$A$13:$C$18,3,FALSE),", PADD ",RIGHT(F104,1),", Step ",RIGHT(E104,1))</f>
        <v>Imported Imported Oil-High Sulfur, Very HG, PADD 4, Step 4</v>
      </c>
      <c r="D104" s="201" t="str">
        <f t="shared" si="524"/>
        <v>OILHV4</v>
      </c>
      <c r="E104" s="201">
        <v>4</v>
      </c>
      <c r="F104" s="201" t="str">
        <f t="shared" si="525"/>
        <v>P4</v>
      </c>
      <c r="G104" s="244">
        <f>G101*$C$8</f>
        <v>30.03</v>
      </c>
      <c r="H104" s="244">
        <f t="shared" ref="H104:J104" si="531">H101*$C$8</f>
        <v>48.29343750000001</v>
      </c>
      <c r="I104" s="244">
        <f t="shared" si="531"/>
        <v>32.813549999999999</v>
      </c>
      <c r="J104" s="244">
        <f t="shared" si="531"/>
        <v>34.742400000000004</v>
      </c>
      <c r="K104" s="245">
        <f>G104*Conv!$J$20/10^6/Conv!$C$47/Conv!$I$5</f>
        <v>7.2240489067875053</v>
      </c>
      <c r="L104" s="245">
        <f>H104*Conv!$J$20/10^6/Conv!$C$47/Conv!$I$5</f>
        <v>11.617520958271253</v>
      </c>
      <c r="M104" s="245">
        <f>L104*'Imported Price Trends'!$K$10</f>
        <v>13.124512646261357</v>
      </c>
      <c r="N104" s="245">
        <f>M104*'Imported Price Trends'!$L$10</f>
        <v>12.998123512484588</v>
      </c>
      <c r="O104" s="245">
        <f>N104*'Imported Price Trends'!$M$10</f>
        <v>14.76077619446469</v>
      </c>
      <c r="P104" s="245">
        <f>O104*'Imported Price Trends'!$N$10</f>
        <v>16.119143134106203</v>
      </c>
      <c r="Q104" s="245">
        <f>P104*'Imported Price Trends'!$O$10</f>
        <v>17.681267062881854</v>
      </c>
      <c r="R104" s="245">
        <f>Q104*'Imported Price Trends'!$O$10</f>
        <v>19.394778143477645</v>
      </c>
      <c r="S104" s="245">
        <f>R104*'Imported Price Trends'!$O$10</f>
        <v>21.274347471645992</v>
      </c>
      <c r="T104" s="245">
        <f>S104*'Imported Price Trends'!$O$10</f>
        <v>23.336067935200195</v>
      </c>
      <c r="U104" s="245">
        <f>T104*'Imported Price Trends'!$O$10</f>
        <v>25.597592001450245</v>
      </c>
      <c r="V104" s="227"/>
      <c r="W104" s="261">
        <f>W101*$E$8</f>
        <v>162.37199999999999</v>
      </c>
      <c r="X104" s="261">
        <f t="shared" ref="X104:Z104" si="532">X101*$E$8</f>
        <v>138.93600000000001</v>
      </c>
      <c r="Y104" s="261">
        <f t="shared" si="532"/>
        <v>6.3599999999999994</v>
      </c>
      <c r="Z104" s="261">
        <f t="shared" si="532"/>
        <v>7.02</v>
      </c>
      <c r="AA104" s="260">
        <f>W104*Conv!$C$47*Conv!$I$5*1000*365</f>
        <v>378.04374443422</v>
      </c>
      <c r="AB104" s="260">
        <f>X104*Conv!$C$47*Conv!$I$5*1000*365</f>
        <v>323.47871355106059</v>
      </c>
      <c r="AC104" s="260">
        <f>Y104*Conv!$C$47*Conv!$I$5*1000*365</f>
        <v>14.80771447418052</v>
      </c>
      <c r="AD104" s="260">
        <f>Z104*Conv!$C$47*Conv!$I$5*1000*365</f>
        <v>16.344364089425675</v>
      </c>
      <c r="AE104" s="260">
        <f>AA104-AA101</f>
        <v>63.007290739036591</v>
      </c>
      <c r="AF104" s="260">
        <f t="shared" ref="AF104" si="533">AB104-AB101</f>
        <v>53.913118925176775</v>
      </c>
      <c r="AG104" s="260">
        <f t="shared" ref="AG104" si="534">AC104-AC101</f>
        <v>2.4679524123634167</v>
      </c>
      <c r="AH104" s="260">
        <f t="shared" ref="AH104" si="535">AD104-AD101</f>
        <v>2.7240606815709469</v>
      </c>
      <c r="AI104" s="236"/>
    </row>
    <row r="105" spans="1:37" ht="14.25" customHeight="1">
      <c r="A105" s="201" t="str">
        <f t="shared" si="523"/>
        <v>FHV</v>
      </c>
      <c r="B105" s="201" t="str">
        <f t="shared" si="420"/>
        <v>IMPOILHV45</v>
      </c>
      <c r="C105" s="201" t="str">
        <f>CONCATENATE("Imported ",VLOOKUP($A105,Types!$A$13:$C$18,3,FALSE),", PADD ",RIGHT(F105,1),", Step ",RIGHT(E105,1))</f>
        <v>Imported Imported Oil-High Sulfur, Very HG, PADD 4, Step 5</v>
      </c>
      <c r="D105" s="201" t="str">
        <f t="shared" si="524"/>
        <v>OILHV4</v>
      </c>
      <c r="E105" s="201">
        <v>5</v>
      </c>
      <c r="F105" s="201" t="str">
        <f t="shared" si="525"/>
        <v>P4</v>
      </c>
      <c r="G105" s="244">
        <f>G101*$C$9</f>
        <v>37.18</v>
      </c>
      <c r="H105" s="244">
        <f t="shared" ref="H105:J105" si="536">H101*$C$9</f>
        <v>59.791875000000012</v>
      </c>
      <c r="I105" s="244">
        <f t="shared" si="536"/>
        <v>40.626300000000001</v>
      </c>
      <c r="J105" s="244">
        <f t="shared" si="536"/>
        <v>43.014400000000002</v>
      </c>
      <c r="K105" s="245">
        <f>G105*Conv!$J$20/10^6/Conv!$C$47/Conv!$I$5</f>
        <v>8.944060551260721</v>
      </c>
      <c r="L105" s="245">
        <f>H105*Conv!$J$20/10^6/Conv!$C$47/Conv!$I$5</f>
        <v>14.383597376907268</v>
      </c>
      <c r="M105" s="245">
        <f>L105*'Imported Price Trends'!$K$10</f>
        <v>16.24939660965692</v>
      </c>
      <c r="N105" s="245">
        <f>M105*'Imported Price Trends'!$L$10</f>
        <v>16.09291482498092</v>
      </c>
      <c r="O105" s="245">
        <f>N105*'Imported Price Trends'!$M$10</f>
        <v>18.275246716956286</v>
      </c>
      <c r="P105" s="245">
        <f>O105*'Imported Price Trends'!$N$10</f>
        <v>19.957034356512445</v>
      </c>
      <c r="Q105" s="245">
        <f>P105*'Imported Price Trends'!$O$10</f>
        <v>21.891092554044203</v>
      </c>
      <c r="R105" s="245">
        <f>Q105*'Imported Price Trends'!$O$10</f>
        <v>24.012582463353276</v>
      </c>
      <c r="S105" s="245">
        <f>R105*'Imported Price Trends'!$O$10</f>
        <v>26.339668298228375</v>
      </c>
      <c r="T105" s="245">
        <f>S105*'Imported Price Trends'!$O$10</f>
        <v>28.89227458643834</v>
      </c>
      <c r="U105" s="245">
        <f>T105*'Imported Price Trends'!$O$10</f>
        <v>31.692256763700307</v>
      </c>
      <c r="V105" s="227"/>
      <c r="W105" s="261">
        <f>W101*$E$9</f>
        <v>175.90300000000002</v>
      </c>
      <c r="X105" s="261">
        <f t="shared" ref="X105:Z105" si="537">X101*$E$9</f>
        <v>150.51400000000001</v>
      </c>
      <c r="Y105" s="261">
        <f t="shared" si="537"/>
        <v>6.89</v>
      </c>
      <c r="Z105" s="261">
        <f t="shared" si="537"/>
        <v>7.6049999999999995</v>
      </c>
      <c r="AA105" s="260">
        <f>W105*Conv!$C$47*Conv!$I$5*1000*365</f>
        <v>409.54738980373855</v>
      </c>
      <c r="AB105" s="260">
        <f>X105*Conv!$C$47*Conv!$I$5*1000*365</f>
        <v>350.43527301364901</v>
      </c>
      <c r="AC105" s="260">
        <f>Y105*Conv!$C$47*Conv!$I$5*1000*365</f>
        <v>16.041690680362233</v>
      </c>
      <c r="AD105" s="260">
        <f>Z105*Conv!$C$47*Conv!$I$5*1000*365</f>
        <v>17.706394430211144</v>
      </c>
      <c r="AE105" s="260">
        <f>AA105-AA104</f>
        <v>31.503645369518551</v>
      </c>
      <c r="AF105" s="260">
        <f t="shared" ref="AF105" si="538">AB105-AB104</f>
        <v>26.956559462588416</v>
      </c>
      <c r="AG105" s="260">
        <f t="shared" ref="AG105" si="539">AC105-AC104</f>
        <v>1.2339762061817137</v>
      </c>
      <c r="AH105" s="260">
        <f t="shared" ref="AH105" si="540">AD105-AD104</f>
        <v>1.3620303407854699</v>
      </c>
      <c r="AI105" s="236"/>
    </row>
    <row r="106" spans="1:37" ht="14.25" customHeight="1">
      <c r="A106" s="201" t="str">
        <f>'Agg crdcrv'!C67</f>
        <v>FLL</v>
      </c>
      <c r="B106" s="201" t="str">
        <f t="shared" si="420"/>
        <v>IMPOILLL43</v>
      </c>
      <c r="C106" s="201" t="str">
        <f>CONCATENATE("Imported ",VLOOKUP($A106,Types!$A$13:$C$18,3,FALSE),", PADD ",RIGHT(F106,1),", Step ",RIGHT(E106,1))</f>
        <v>Imported Imported Oil-Low Sulfur, Low G, PADD 4, Step 3</v>
      </c>
      <c r="D106" s="201" t="str">
        <f>CONCATENATE(VLOOKUP($A106,Types!$A$14:$C$18,2,FALSE),RIGHT(F106,1))</f>
        <v>OILLL4</v>
      </c>
      <c r="E106" s="201">
        <v>3</v>
      </c>
      <c r="F106" s="201" t="str">
        <f>'Agg crdcrv'!D67</f>
        <v>P4</v>
      </c>
      <c r="G106" s="244">
        <f>'Agg crdcrv'!H67*K5</f>
        <v>40.260000000000005</v>
      </c>
      <c r="H106" s="244">
        <f>'Agg crdcrv'!H72*K5</f>
        <v>60.981250000000003</v>
      </c>
      <c r="I106" s="244">
        <f>'Agg crdcrv'!H77*K5</f>
        <v>42.283999999999999</v>
      </c>
      <c r="J106" s="244">
        <f>'Agg crdcrv'!H82*K5</f>
        <v>44.440000000000005</v>
      </c>
      <c r="K106" s="245">
        <f>G106*Conv!$J$20/10^6/Conv!$C$47/Conv!$I$5</f>
        <v>9.6849886442645694</v>
      </c>
      <c r="L106" s="245">
        <f>H106*Conv!$J$20/10^6/Conv!$C$47/Conv!$I$5</f>
        <v>14.669714698535982</v>
      </c>
      <c r="M106" s="245">
        <f>L106*'Imported Price Trends'!$K$10</f>
        <v>16.572628254301122</v>
      </c>
      <c r="N106" s="245">
        <f>M106*'Imported Price Trends'!$L$10</f>
        <v>16.413033746991001</v>
      </c>
      <c r="O106" s="245">
        <f>N106*'Imported Price Trends'!$M$10</f>
        <v>18.638776403288745</v>
      </c>
      <c r="P106" s="245">
        <f>O106*'Imported Price Trends'!$N$10</f>
        <v>20.354018022567015</v>
      </c>
      <c r="Q106" s="245">
        <f>P106*'Imported Price Trends'!$O$10</f>
        <v>22.326548344759345</v>
      </c>
      <c r="R106" s="245">
        <f>Q106*'Imported Price Trends'!$O$10</f>
        <v>24.49023875473652</v>
      </c>
      <c r="S106" s="245">
        <f>R106*'Imported Price Trends'!$O$10</f>
        <v>26.863614787315814</v>
      </c>
      <c r="T106" s="245">
        <f>S106*'Imported Price Trends'!$O$10</f>
        <v>29.46699730731379</v>
      </c>
      <c r="U106" s="245">
        <f>T106*'Imported Price Trends'!$O$10</f>
        <v>32.322676496955467</v>
      </c>
      <c r="V106" s="227"/>
      <c r="W106" s="201">
        <f>'Agg crdcrv'!F67</f>
        <v>85.87</v>
      </c>
      <c r="X106" s="201">
        <f>'Agg crdcrv'!F72</f>
        <v>38.9</v>
      </c>
      <c r="Y106" s="201">
        <f>'Agg crdcrv'!F77</f>
        <v>1.1100000000000001</v>
      </c>
      <c r="Z106" s="201">
        <f>'Agg crdcrv'!F82</f>
        <v>1.22</v>
      </c>
      <c r="AA106" s="260">
        <f>W106*Conv!$C$47*Conv!$I$5*1000*365</f>
        <v>199.92742797136501</v>
      </c>
      <c r="AB106" s="260">
        <f>X106*Conv!$C$47*Conv!$I$5*1000*365</f>
        <v>90.569197019751954</v>
      </c>
      <c r="AC106" s="260">
        <f>Y106*Conv!$C$47*Conv!$I$5*1000*365</f>
        <v>2.5843652620032045</v>
      </c>
      <c r="AD106" s="260">
        <f>Z106*Conv!$C$47*Conv!$I$5*1000*365</f>
        <v>2.8404735312107294</v>
      </c>
      <c r="AE106" s="260">
        <f>AA106-AA108</f>
        <v>159.941942377092</v>
      </c>
      <c r="AF106" s="260">
        <f t="shared" ref="AF106" si="541">AB106-AB108</f>
        <v>72.45535761580156</v>
      </c>
      <c r="AG106" s="260">
        <f t="shared" ref="AG106" si="542">AC106-AC108</f>
        <v>2.0674922096025634</v>
      </c>
      <c r="AH106" s="260">
        <f t="shared" ref="AH106" si="543">AD106-AD108</f>
        <v>2.2723788249685839</v>
      </c>
      <c r="AI106" s="257"/>
      <c r="AJ106" s="258"/>
      <c r="AK106" s="258"/>
    </row>
    <row r="107" spans="1:37" ht="14.25" customHeight="1">
      <c r="A107" s="201" t="str">
        <f>A106</f>
        <v>FLL</v>
      </c>
      <c r="B107" s="201" t="str">
        <f t="shared" si="420"/>
        <v>IMPOILLL41</v>
      </c>
      <c r="C107" s="201" t="str">
        <f>CONCATENATE("Imported ",VLOOKUP($A107,Types!$A$13:$C$18,3,FALSE),", PADD ",RIGHT(F107,1),", Step ",RIGHT(E107,1))</f>
        <v>Imported Imported Oil-Low Sulfur, Low G, PADD 4, Step 1</v>
      </c>
      <c r="D107" s="201" t="str">
        <f>D106</f>
        <v>OILLL4</v>
      </c>
      <c r="E107" s="201">
        <v>1</v>
      </c>
      <c r="F107" s="201" t="str">
        <f>F106</f>
        <v>P4</v>
      </c>
      <c r="G107" s="244">
        <f>G106*$C$5</f>
        <v>36.234000000000009</v>
      </c>
      <c r="H107" s="244">
        <f t="shared" ref="H107" si="544">H106*$C$5</f>
        <v>54.883125000000007</v>
      </c>
      <c r="I107" s="244">
        <f t="shared" ref="I107" si="545">I106*$C$5</f>
        <v>38.055599999999998</v>
      </c>
      <c r="J107" s="244">
        <f t="shared" ref="J107" si="546">J106*$C$5</f>
        <v>39.996000000000002</v>
      </c>
      <c r="K107" s="245">
        <f>G107*Conv!$J$20/10^6/Conv!$C$47/Conv!$I$5</f>
        <v>8.7164897798381133</v>
      </c>
      <c r="L107" s="245">
        <f>H107*Conv!$J$20/10^6/Conv!$C$47/Conv!$I$5</f>
        <v>13.202743228682387</v>
      </c>
      <c r="M107" s="245">
        <f>L107*'Imported Price Trends'!$K$10</f>
        <v>14.915365428871013</v>
      </c>
      <c r="N107" s="245">
        <f>M107*'Imported Price Trends'!$L$10</f>
        <v>14.771730372291906</v>
      </c>
      <c r="O107" s="245">
        <f>N107*'Imported Price Trends'!$M$10</f>
        <v>16.774898762959875</v>
      </c>
      <c r="P107" s="245">
        <f>O107*'Imported Price Trends'!$N$10</f>
        <v>18.318616220310318</v>
      </c>
      <c r="Q107" s="245">
        <f>P107*'Imported Price Trends'!$O$10</f>
        <v>20.093893510283415</v>
      </c>
      <c r="R107" s="245">
        <f>Q107*'Imported Price Trends'!$O$10</f>
        <v>22.041214879262871</v>
      </c>
      <c r="S107" s="245">
        <f>R107*'Imported Price Trends'!$O$10</f>
        <v>24.177253308584234</v>
      </c>
      <c r="T107" s="245">
        <f>S107*'Imported Price Trends'!$O$10</f>
        <v>26.520297576582411</v>
      </c>
      <c r="U107" s="245">
        <f>T107*'Imported Price Trends'!$O$10</f>
        <v>29.090408847259919</v>
      </c>
      <c r="V107" s="227"/>
      <c r="W107" s="261">
        <f>W106*$E$5</f>
        <v>8.5870000000000015</v>
      </c>
      <c r="X107" s="261">
        <f t="shared" ref="X107" si="547">X106*$E$5</f>
        <v>3.89</v>
      </c>
      <c r="Y107" s="261">
        <f t="shared" ref="Y107" si="548">Y106*$E$5</f>
        <v>0.11100000000000002</v>
      </c>
      <c r="Z107" s="261">
        <f t="shared" ref="Z107" si="549">Z106*$E$5</f>
        <v>0.122</v>
      </c>
      <c r="AA107" s="260">
        <f>W107*Conv!$C$47*Conv!$I$5*1000*365</f>
        <v>19.992742797136504</v>
      </c>
      <c r="AB107" s="260">
        <f>X107*Conv!$C$47*Conv!$I$5*1000*365</f>
        <v>9.056919701975195</v>
      </c>
      <c r="AC107" s="260">
        <f>Y107*Conv!$C$47*Conv!$I$5*1000*365</f>
        <v>0.25843652620032048</v>
      </c>
      <c r="AD107" s="260">
        <f>Z107*Conv!$C$47*Conv!$I$5*1000*365</f>
        <v>0.28404735312107288</v>
      </c>
      <c r="AE107" s="260">
        <f>AA107</f>
        <v>19.992742797136504</v>
      </c>
      <c r="AF107" s="260">
        <f t="shared" ref="AF107" si="550">AB107</f>
        <v>9.056919701975195</v>
      </c>
      <c r="AG107" s="260">
        <f t="shared" ref="AG107" si="551">AC107</f>
        <v>0.25843652620032048</v>
      </c>
      <c r="AH107" s="260">
        <f t="shared" ref="AH107" si="552">AD107</f>
        <v>0.28404735312107288</v>
      </c>
      <c r="AI107" s="236"/>
    </row>
    <row r="108" spans="1:37" ht="14.25" customHeight="1">
      <c r="A108" s="201" t="str">
        <f t="shared" ref="A108:A110" si="553">A107</f>
        <v>FLL</v>
      </c>
      <c r="B108" s="201" t="str">
        <f t="shared" si="420"/>
        <v>IMPOILLL42</v>
      </c>
      <c r="C108" s="201" t="str">
        <f>CONCATENATE("Imported ",VLOOKUP($A108,Types!$A$13:$C$18,3,FALSE),", PADD ",RIGHT(F108,1),", Step ",RIGHT(E108,1))</f>
        <v>Imported Imported Oil-Low Sulfur, Low G, PADD 4, Step 2</v>
      </c>
      <c r="D108" s="201" t="str">
        <f t="shared" ref="D108:D110" si="554">D107</f>
        <v>OILLL4</v>
      </c>
      <c r="E108" s="201">
        <v>2</v>
      </c>
      <c r="F108" s="201" t="str">
        <f t="shared" ref="F108:F110" si="555">F107</f>
        <v>P4</v>
      </c>
      <c r="G108" s="244">
        <f>G106*$C$6</f>
        <v>38.247</v>
      </c>
      <c r="H108" s="244">
        <f t="shared" ref="H108:J108" si="556">H106*$C$6</f>
        <v>57.932187499999998</v>
      </c>
      <c r="I108" s="244">
        <f t="shared" si="556"/>
        <v>40.169799999999995</v>
      </c>
      <c r="J108" s="244">
        <f t="shared" si="556"/>
        <v>42.218000000000004</v>
      </c>
      <c r="K108" s="245">
        <f>G108*Conv!$J$20/10^6/Conv!$C$47/Conv!$I$5</f>
        <v>9.2007392120513387</v>
      </c>
      <c r="L108" s="245">
        <f>H108*Conv!$J$20/10^6/Conv!$C$47/Conv!$I$5</f>
        <v>13.936228963609183</v>
      </c>
      <c r="M108" s="245">
        <f>L108*'Imported Price Trends'!$K$10</f>
        <v>15.743996841586066</v>
      </c>
      <c r="N108" s="245">
        <f>M108*'Imported Price Trends'!$L$10</f>
        <v>15.592382059641452</v>
      </c>
      <c r="O108" s="245">
        <f>N108*'Imported Price Trends'!$M$10</f>
        <v>17.706837583124308</v>
      </c>
      <c r="P108" s="245">
        <f>O108*'Imported Price Trends'!$N$10</f>
        <v>19.336317121438665</v>
      </c>
      <c r="Q108" s="245">
        <f>P108*'Imported Price Trends'!$O$10</f>
        <v>21.21022092752138</v>
      </c>
      <c r="R108" s="245">
        <f>Q108*'Imported Price Trends'!$O$10</f>
        <v>23.265726816999695</v>
      </c>
      <c r="S108" s="245">
        <f>R108*'Imported Price Trends'!$O$10</f>
        <v>25.520434047950026</v>
      </c>
      <c r="T108" s="245">
        <f>S108*'Imported Price Trends'!$O$10</f>
        <v>27.993647441948102</v>
      </c>
      <c r="U108" s="245">
        <f>T108*'Imported Price Trends'!$O$10</f>
        <v>30.706542672107695</v>
      </c>
      <c r="V108" s="227"/>
      <c r="W108" s="261">
        <f>W106*$E$6</f>
        <v>17.174000000000003</v>
      </c>
      <c r="X108" s="261">
        <f t="shared" ref="X108:Z108" si="557">X106*$E$6</f>
        <v>7.78</v>
      </c>
      <c r="Y108" s="261">
        <f t="shared" si="557"/>
        <v>0.22200000000000003</v>
      </c>
      <c r="Z108" s="261">
        <f t="shared" si="557"/>
        <v>0.24399999999999999</v>
      </c>
      <c r="AA108" s="260">
        <f>W108*Conv!$C$47*Conv!$I$5*1000*365</f>
        <v>39.985485594273008</v>
      </c>
      <c r="AB108" s="260">
        <f>X108*Conv!$C$47*Conv!$I$5*1000*365</f>
        <v>18.11383940395039</v>
      </c>
      <c r="AC108" s="260">
        <f>Y108*Conv!$C$47*Conv!$I$5*1000*365</f>
        <v>0.51687305240064096</v>
      </c>
      <c r="AD108" s="260">
        <f>Z108*Conv!$C$47*Conv!$I$5*1000*365</f>
        <v>0.56809470624214575</v>
      </c>
      <c r="AE108" s="260">
        <f>AA108-AE107</f>
        <v>19.992742797136504</v>
      </c>
      <c r="AF108" s="260">
        <f t="shared" ref="AF108" si="558">AB108-AF107</f>
        <v>9.056919701975195</v>
      </c>
      <c r="AG108" s="260">
        <f t="shared" ref="AG108" si="559">AC108-AG107</f>
        <v>0.25843652620032048</v>
      </c>
      <c r="AH108" s="260">
        <f t="shared" ref="AH108" si="560">AD108-AH107</f>
        <v>0.28404735312107288</v>
      </c>
      <c r="AI108" s="236"/>
    </row>
    <row r="109" spans="1:37" ht="14.25" customHeight="1">
      <c r="A109" s="201" t="str">
        <f t="shared" si="553"/>
        <v>FLL</v>
      </c>
      <c r="B109" s="201" t="str">
        <f t="shared" si="420"/>
        <v>IMPOILLL44</v>
      </c>
      <c r="C109" s="201" t="str">
        <f>CONCATENATE("Imported ",VLOOKUP($A109,Types!$A$13:$C$18,3,FALSE),", PADD ",RIGHT(F109,1),", Step ",RIGHT(E109,1))</f>
        <v>Imported Imported Oil-Low Sulfur, Low G, PADD 4, Step 4</v>
      </c>
      <c r="D109" s="201" t="str">
        <f t="shared" si="554"/>
        <v>OILLL4</v>
      </c>
      <c r="E109" s="201">
        <v>4</v>
      </c>
      <c r="F109" s="201" t="str">
        <f t="shared" si="555"/>
        <v>P4</v>
      </c>
      <c r="G109" s="244">
        <f>G106*$C$8</f>
        <v>42.27300000000001</v>
      </c>
      <c r="H109" s="244">
        <f t="shared" ref="H109:J109" si="561">H106*$C$8</f>
        <v>64.030312500000008</v>
      </c>
      <c r="I109" s="244">
        <f t="shared" si="561"/>
        <v>44.398200000000003</v>
      </c>
      <c r="J109" s="244">
        <f t="shared" si="561"/>
        <v>46.662000000000006</v>
      </c>
      <c r="K109" s="245">
        <f>G109*Conv!$J$20/10^6/Conv!$C$47/Conv!$I$5</f>
        <v>10.169238076477798</v>
      </c>
      <c r="L109" s="245">
        <f>H109*Conv!$J$20/10^6/Conv!$C$47/Conv!$I$5</f>
        <v>15.403200433462786</v>
      </c>
      <c r="M109" s="245">
        <f>L109*'Imported Price Trends'!$K$10</f>
        <v>17.401259667016181</v>
      </c>
      <c r="N109" s="245">
        <f>M109*'Imported Price Trends'!$L$10</f>
        <v>17.233685434340554</v>
      </c>
      <c r="O109" s="245">
        <f>N109*'Imported Price Trends'!$M$10</f>
        <v>19.570715223453185</v>
      </c>
      <c r="P109" s="245">
        <f>O109*'Imported Price Trends'!$N$10</f>
        <v>21.371718923695369</v>
      </c>
      <c r="Q109" s="245">
        <f>P109*'Imported Price Trends'!$O$10</f>
        <v>23.442875761997318</v>
      </c>
      <c r="R109" s="245">
        <f>Q109*'Imported Price Trends'!$O$10</f>
        <v>25.714750692473352</v>
      </c>
      <c r="S109" s="245">
        <f>R109*'Imported Price Trends'!$O$10</f>
        <v>28.20679552668161</v>
      </c>
      <c r="T109" s="245">
        <f>S109*'Imported Price Trends'!$O$10</f>
        <v>30.940347172679484</v>
      </c>
      <c r="U109" s="245">
        <f>T109*'Imported Price Trends'!$O$10</f>
        <v>33.938810321803246</v>
      </c>
      <c r="V109" s="227"/>
      <c r="W109" s="261">
        <f>W106*$E$8</f>
        <v>103.044</v>
      </c>
      <c r="X109" s="261">
        <f t="shared" ref="X109:Z109" si="562">X106*$E$8</f>
        <v>46.68</v>
      </c>
      <c r="Y109" s="261">
        <f t="shared" si="562"/>
        <v>1.3320000000000001</v>
      </c>
      <c r="Z109" s="261">
        <f t="shared" si="562"/>
        <v>1.464</v>
      </c>
      <c r="AA109" s="260">
        <f>W109*Conv!$C$47*Conv!$I$5*1000*365</f>
        <v>239.91291356563806</v>
      </c>
      <c r="AB109" s="260">
        <f>X109*Conv!$C$47*Conv!$I$5*1000*365</f>
        <v>108.68303642370233</v>
      </c>
      <c r="AC109" s="260">
        <f>Y109*Conv!$C$47*Conv!$I$5*1000*365</f>
        <v>3.1012383144038456</v>
      </c>
      <c r="AD109" s="260">
        <f>Z109*Conv!$C$47*Conv!$I$5*1000*365</f>
        <v>3.408568237452875</v>
      </c>
      <c r="AE109" s="260">
        <f>AA109-AA106</f>
        <v>39.985485594273058</v>
      </c>
      <c r="AF109" s="260">
        <f t="shared" ref="AF109" si="563">AB109-AB106</f>
        <v>18.113839403950379</v>
      </c>
      <c r="AG109" s="260">
        <f t="shared" ref="AG109" si="564">AC109-AC106</f>
        <v>0.51687305240064108</v>
      </c>
      <c r="AH109" s="260">
        <f t="shared" ref="AH109" si="565">AD109-AD106</f>
        <v>0.56809470624214553</v>
      </c>
      <c r="AI109" s="236"/>
    </row>
    <row r="110" spans="1:37" ht="14.25" customHeight="1">
      <c r="A110" s="201" t="str">
        <f t="shared" si="553"/>
        <v>FLL</v>
      </c>
      <c r="B110" s="201" t="str">
        <f t="shared" si="420"/>
        <v>IMPOILLL45</v>
      </c>
      <c r="C110" s="201" t="str">
        <f>CONCATENATE("Imported ",VLOOKUP($A110,Types!$A$13:$C$18,3,FALSE),", PADD ",RIGHT(F110,1),", Step ",RIGHT(E110,1))</f>
        <v>Imported Imported Oil-Low Sulfur, Low G, PADD 4, Step 5</v>
      </c>
      <c r="D110" s="201" t="str">
        <f t="shared" si="554"/>
        <v>OILLL4</v>
      </c>
      <c r="E110" s="201">
        <v>5</v>
      </c>
      <c r="F110" s="201" t="str">
        <f t="shared" si="555"/>
        <v>P4</v>
      </c>
      <c r="G110" s="244">
        <f>G106*$C$9</f>
        <v>52.338000000000008</v>
      </c>
      <c r="H110" s="244">
        <f t="shared" ref="H110:J110" si="566">H106*$C$9</f>
        <v>79.275625000000005</v>
      </c>
      <c r="I110" s="244">
        <f t="shared" si="566"/>
        <v>54.969200000000001</v>
      </c>
      <c r="J110" s="244">
        <f t="shared" si="566"/>
        <v>57.772000000000006</v>
      </c>
      <c r="K110" s="245">
        <f>G110*Conv!$J$20/10^6/Conv!$C$47/Conv!$I$5</f>
        <v>12.590485237543941</v>
      </c>
      <c r="L110" s="245">
        <f>H110*Conv!$J$20/10^6/Conv!$C$47/Conv!$I$5</f>
        <v>19.070629108096782</v>
      </c>
      <c r="M110" s="245">
        <f>L110*'Imported Price Trends'!$K$10</f>
        <v>21.544416730591465</v>
      </c>
      <c r="N110" s="245">
        <f>M110*'Imported Price Trends'!$L$10</f>
        <v>21.336943871088309</v>
      </c>
      <c r="O110" s="245">
        <f>N110*'Imported Price Trends'!$M$10</f>
        <v>24.230409324275378</v>
      </c>
      <c r="P110" s="245">
        <f>O110*'Imported Price Trends'!$N$10</f>
        <v>26.46022342933713</v>
      </c>
      <c r="Q110" s="245">
        <f>P110*'Imported Price Trends'!$O$10</f>
        <v>29.024512848187161</v>
      </c>
      <c r="R110" s="245">
        <f>Q110*'Imported Price Trends'!$O$10</f>
        <v>31.83731038115749</v>
      </c>
      <c r="S110" s="245">
        <f>R110*'Imported Price Trends'!$O$10</f>
        <v>34.922699223510577</v>
      </c>
      <c r="T110" s="245">
        <f>S110*'Imported Price Trends'!$O$10</f>
        <v>38.307096499507949</v>
      </c>
      <c r="U110" s="245">
        <f>T110*'Imported Price Trends'!$O$10</f>
        <v>42.019479446042126</v>
      </c>
      <c r="V110" s="227"/>
      <c r="W110" s="261">
        <f>W106*$E$9</f>
        <v>111.63100000000001</v>
      </c>
      <c r="X110" s="261">
        <f t="shared" ref="X110:Z110" si="567">X106*$E$9</f>
        <v>50.57</v>
      </c>
      <c r="Y110" s="261">
        <f t="shared" si="567"/>
        <v>1.4430000000000003</v>
      </c>
      <c r="Z110" s="261">
        <f t="shared" si="567"/>
        <v>1.5860000000000001</v>
      </c>
      <c r="AA110" s="260">
        <f>W110*Conv!$C$47*Conv!$I$5*1000*365</f>
        <v>259.90565636277455</v>
      </c>
      <c r="AB110" s="260">
        <f>X110*Conv!$C$47*Conv!$I$5*1000*365</f>
        <v>117.73995612567752</v>
      </c>
      <c r="AC110" s="260">
        <f>Y110*Conv!$C$47*Conv!$I$5*1000*365</f>
        <v>3.3596748406041672</v>
      </c>
      <c r="AD110" s="260">
        <f>Z110*Conv!$C$47*Conv!$I$5*1000*365</f>
        <v>3.6926155905739488</v>
      </c>
      <c r="AE110" s="260">
        <f>AA110-AA109</f>
        <v>19.992742797136486</v>
      </c>
      <c r="AF110" s="260">
        <f t="shared" ref="AF110" si="568">AB110-AB109</f>
        <v>9.0569197019751897</v>
      </c>
      <c r="AG110" s="260">
        <f t="shared" ref="AG110" si="569">AC110-AC109</f>
        <v>0.25843652620032165</v>
      </c>
      <c r="AH110" s="260">
        <f t="shared" ref="AH110" si="570">AD110-AD109</f>
        <v>0.28404735312107388</v>
      </c>
      <c r="AI110" s="236"/>
    </row>
    <row r="111" spans="1:37" ht="14.25" customHeight="1">
      <c r="A111" s="201" t="str">
        <f>'Agg crdcrv'!C68</f>
        <v>FMH</v>
      </c>
      <c r="B111" s="201" t="str">
        <f t="shared" si="420"/>
        <v>IMPOILMH43</v>
      </c>
      <c r="C111" s="201" t="str">
        <f>CONCATENATE("Imported ",VLOOKUP($A111,Types!$A$13:$C$18,3,FALSE),", PADD ",RIGHT(F111,1),", Step ",RIGHT(E111,1))</f>
        <v>Imported Imported Oil-Medium Sulfur, HG, PADD 4, Step 3</v>
      </c>
      <c r="D111" s="201" t="str">
        <f>CONCATENATE(VLOOKUP($A111,Types!$A$14:$C$18,2,FALSE),RIGHT(F111,1))</f>
        <v>OILMH4</v>
      </c>
      <c r="E111" s="201">
        <v>3</v>
      </c>
      <c r="F111" s="201" t="str">
        <f>'Agg crdcrv'!D68</f>
        <v>P4</v>
      </c>
      <c r="G111" s="244">
        <f>'Agg crdcrv'!H68*K5</f>
        <v>36.201000000000001</v>
      </c>
      <c r="H111" s="244">
        <f>'Agg crdcrv'!H73*K5</f>
        <v>50.105000000000004</v>
      </c>
      <c r="I111" s="244">
        <f>'Agg crdcrv'!H78*K5</f>
        <v>34.441000000000003</v>
      </c>
      <c r="J111" s="244">
        <f>'Agg crdcrv'!H83*K5</f>
        <v>36.32200000000001</v>
      </c>
      <c r="K111" s="245">
        <f>G111*Conv!$J$20/10^6/Conv!$C$47/Conv!$I$5</f>
        <v>8.7085512645559255</v>
      </c>
      <c r="L111" s="245">
        <f>H111*Conv!$J$20/10^6/Conv!$C$47/Conv!$I$5</f>
        <v>12.053312370116149</v>
      </c>
      <c r="M111" s="245">
        <f>L111*'Imported Price Trends'!$K$10</f>
        <v>13.61683367726568</v>
      </c>
      <c r="N111" s="245">
        <f>M111*'Imported Price Trends'!$L$10</f>
        <v>13.485703489072201</v>
      </c>
      <c r="O111" s="245">
        <f>N111*'Imported Price Trends'!$M$10</f>
        <v>15.314476034630031</v>
      </c>
      <c r="P111" s="245">
        <f>O111*'Imported Price Trends'!$N$10</f>
        <v>16.723797446276034</v>
      </c>
      <c r="Q111" s="245">
        <f>P111*'Imported Price Trends'!$O$10</f>
        <v>18.34451909093643</v>
      </c>
      <c r="R111" s="245">
        <f>Q111*'Imported Price Trends'!$O$10</f>
        <v>20.122306656653866</v>
      </c>
      <c r="S111" s="245">
        <f>R111*'Imported Price Trends'!$O$10</f>
        <v>22.072381574967043</v>
      </c>
      <c r="T111" s="245">
        <f>S111*'Imported Price Trends'!$O$10</f>
        <v>24.211440403123216</v>
      </c>
      <c r="U111" s="245">
        <f>T111*'Imported Price Trends'!$O$10</f>
        <v>26.557797780136578</v>
      </c>
      <c r="V111" s="227"/>
      <c r="W111" s="201">
        <f>'Agg crdcrv'!F68</f>
        <v>50.96</v>
      </c>
      <c r="X111" s="201">
        <f>'Agg crdcrv'!F73</f>
        <v>25.12</v>
      </c>
      <c r="Y111" s="201">
        <f>'Agg crdcrv'!F78</f>
        <v>2.2999999999999998</v>
      </c>
      <c r="Z111" s="201">
        <f>'Agg crdcrv'!F83</f>
        <v>2.54</v>
      </c>
      <c r="AA111" s="260">
        <f>W111*Conv!$C$47*Conv!$I$5*1000*365</f>
        <v>118.64797635286784</v>
      </c>
      <c r="AB111" s="260">
        <f>X111*Conv!$C$47*Conv!$I$5*1000*365</f>
        <v>58.48581565902748</v>
      </c>
      <c r="AC111" s="260">
        <f>Y111*Conv!$C$47*Conv!$I$5*1000*365</f>
        <v>5.3549910834300629</v>
      </c>
      <c r="AD111" s="260">
        <f>Z111*Conv!$C$47*Conv!$I$5*1000*365</f>
        <v>5.9137727617010256</v>
      </c>
      <c r="AE111" s="260">
        <f>AA111-AA113</f>
        <v>94.918381082294275</v>
      </c>
      <c r="AF111" s="260">
        <f t="shared" ref="AF111" si="571">AB111-AB113</f>
        <v>46.788652527221984</v>
      </c>
      <c r="AG111" s="260">
        <f t="shared" ref="AG111" si="572">AC111-AC113</f>
        <v>4.2839928667440503</v>
      </c>
      <c r="AH111" s="260">
        <f t="shared" ref="AH111" si="573">AD111-AD113</f>
        <v>4.7310182093608208</v>
      </c>
      <c r="AI111" s="257"/>
      <c r="AJ111" s="258"/>
      <c r="AK111" s="258"/>
    </row>
    <row r="112" spans="1:37" ht="14.25" customHeight="1">
      <c r="A112" s="201" t="str">
        <f>A111</f>
        <v>FMH</v>
      </c>
      <c r="B112" s="201" t="str">
        <f t="shared" si="420"/>
        <v>IMPOILMH41</v>
      </c>
      <c r="C112" s="201" t="str">
        <f>CONCATENATE("Imported ",VLOOKUP($A112,Types!$A$13:$C$18,3,FALSE),", PADD ",RIGHT(F112,1),", Step ",RIGHT(E112,1))</f>
        <v>Imported Imported Oil-Medium Sulfur, HG, PADD 4, Step 1</v>
      </c>
      <c r="D112" s="201" t="str">
        <f>D111</f>
        <v>OILMH4</v>
      </c>
      <c r="E112" s="201">
        <v>1</v>
      </c>
      <c r="F112" s="201" t="str">
        <f>F111</f>
        <v>P4</v>
      </c>
      <c r="G112" s="244">
        <f>G111*$C$5</f>
        <v>32.5809</v>
      </c>
      <c r="H112" s="244">
        <f t="shared" ref="H112" si="574">H111*$C$5</f>
        <v>45.094500000000004</v>
      </c>
      <c r="I112" s="244">
        <f t="shared" ref="I112" si="575">I111*$C$5</f>
        <v>30.996900000000004</v>
      </c>
      <c r="J112" s="244">
        <f t="shared" ref="J112" si="576">J111*$C$5</f>
        <v>32.689800000000012</v>
      </c>
      <c r="K112" s="245">
        <f>G112*Conv!$J$20/10^6/Conv!$C$47/Conv!$I$5</f>
        <v>7.8376961381003349</v>
      </c>
      <c r="L112" s="245">
        <f>H112*Conv!$J$20/10^6/Conv!$C$47/Conv!$I$5</f>
        <v>10.847981133104536</v>
      </c>
      <c r="M112" s="245">
        <f>L112*'Imported Price Trends'!$K$10</f>
        <v>12.255150309539113</v>
      </c>
      <c r="N112" s="245">
        <f>M112*'Imported Price Trends'!$L$10</f>
        <v>12.137133140164982</v>
      </c>
      <c r="O112" s="245">
        <f>N112*'Imported Price Trends'!$M$10</f>
        <v>13.783028431167031</v>
      </c>
      <c r="P112" s="245">
        <f>O112*'Imported Price Trends'!$N$10</f>
        <v>15.051417701648433</v>
      </c>
      <c r="Q112" s="245">
        <f>P112*'Imported Price Trends'!$O$10</f>
        <v>16.510067181842789</v>
      </c>
      <c r="R112" s="245">
        <f>Q112*'Imported Price Trends'!$O$10</f>
        <v>18.110075990988481</v>
      </c>
      <c r="S112" s="245">
        <f>R112*'Imported Price Trends'!$O$10</f>
        <v>19.865143417470343</v>
      </c>
      <c r="T112" s="245">
        <f>S112*'Imported Price Trends'!$O$10</f>
        <v>21.790296362810899</v>
      </c>
      <c r="U112" s="245">
        <f>T112*'Imported Price Trends'!$O$10</f>
        <v>23.902018002122926</v>
      </c>
      <c r="V112" s="227"/>
      <c r="W112" s="261">
        <f>W111*$E$5</f>
        <v>5.0960000000000001</v>
      </c>
      <c r="X112" s="261">
        <f t="shared" ref="X112" si="577">X111*$E$5</f>
        <v>2.5120000000000005</v>
      </c>
      <c r="Y112" s="261">
        <f t="shared" ref="Y112" si="578">Y111*$E$5</f>
        <v>0.22999999999999998</v>
      </c>
      <c r="Z112" s="261">
        <f t="shared" ref="Z112" si="579">Z111*$E$5</f>
        <v>0.254</v>
      </c>
      <c r="AA112" s="260">
        <f>W112*Conv!$C$47*Conv!$I$5*1000*365</f>
        <v>11.864797635286784</v>
      </c>
      <c r="AB112" s="260">
        <f>X112*Conv!$C$47*Conv!$I$5*1000*365</f>
        <v>5.8485815659027489</v>
      </c>
      <c r="AC112" s="260">
        <f>Y112*Conv!$C$47*Conv!$I$5*1000*365</f>
        <v>0.53549910834300629</v>
      </c>
      <c r="AD112" s="260">
        <f>Z112*Conv!$C$47*Conv!$I$5*1000*365</f>
        <v>0.59137727617010261</v>
      </c>
      <c r="AE112" s="260">
        <f>AA112</f>
        <v>11.864797635286784</v>
      </c>
      <c r="AF112" s="260">
        <f t="shared" ref="AF112" si="580">AB112</f>
        <v>5.8485815659027489</v>
      </c>
      <c r="AG112" s="260">
        <f t="shared" ref="AG112" si="581">AC112</f>
        <v>0.53549910834300629</v>
      </c>
      <c r="AH112" s="260">
        <f t="shared" ref="AH112" si="582">AD112</f>
        <v>0.59137727617010261</v>
      </c>
      <c r="AI112" s="236"/>
    </row>
    <row r="113" spans="1:37" ht="14.25" customHeight="1">
      <c r="A113" s="201" t="str">
        <f t="shared" ref="A113:A115" si="583">A112</f>
        <v>FMH</v>
      </c>
      <c r="B113" s="201" t="str">
        <f t="shared" si="420"/>
        <v>IMPOILMH42</v>
      </c>
      <c r="C113" s="201" t="str">
        <f>CONCATENATE("Imported ",VLOOKUP($A113,Types!$A$13:$C$18,3,FALSE),", PADD ",RIGHT(F113,1),", Step ",RIGHT(E113,1))</f>
        <v>Imported Imported Oil-Medium Sulfur, HG, PADD 4, Step 2</v>
      </c>
      <c r="D113" s="201" t="str">
        <f t="shared" ref="D113:D115" si="584">D112</f>
        <v>OILMH4</v>
      </c>
      <c r="E113" s="201">
        <v>2</v>
      </c>
      <c r="F113" s="201" t="str">
        <f t="shared" ref="F113:F115" si="585">F112</f>
        <v>P4</v>
      </c>
      <c r="G113" s="244">
        <f>G111*$C$6</f>
        <v>34.390949999999997</v>
      </c>
      <c r="H113" s="244">
        <f t="shared" ref="H113:J113" si="586">H111*$C$6</f>
        <v>47.59975</v>
      </c>
      <c r="I113" s="244">
        <f t="shared" si="586"/>
        <v>32.71895</v>
      </c>
      <c r="J113" s="244">
        <f t="shared" si="586"/>
        <v>34.505900000000011</v>
      </c>
      <c r="K113" s="245">
        <f>G113*Conv!$J$20/10^6/Conv!$C$47/Conv!$I$5</f>
        <v>8.2731237013281316</v>
      </c>
      <c r="L113" s="245">
        <f>H113*Conv!$J$20/10^6/Conv!$C$47/Conv!$I$5</f>
        <v>11.450646751610343</v>
      </c>
      <c r="M113" s="245">
        <f>L113*'Imported Price Trends'!$K$10</f>
        <v>12.935991993402396</v>
      </c>
      <c r="N113" s="245">
        <f>M113*'Imported Price Trends'!$L$10</f>
        <v>12.811418314618592</v>
      </c>
      <c r="O113" s="245">
        <f>N113*'Imported Price Trends'!$M$10</f>
        <v>14.548752232898533</v>
      </c>
      <c r="P113" s="245">
        <f>O113*'Imported Price Trends'!$N$10</f>
        <v>15.887607573962235</v>
      </c>
      <c r="Q113" s="245">
        <f>P113*'Imported Price Trends'!$O$10</f>
        <v>17.427293136389611</v>
      </c>
      <c r="R113" s="245">
        <f>Q113*'Imported Price Trends'!$O$10</f>
        <v>19.116191323821173</v>
      </c>
      <c r="S113" s="245">
        <f>R113*'Imported Price Trends'!$O$10</f>
        <v>20.968762496218694</v>
      </c>
      <c r="T113" s="245">
        <f>S113*'Imported Price Trends'!$O$10</f>
        <v>23.000868382967059</v>
      </c>
      <c r="U113" s="245">
        <f>T113*'Imported Price Trends'!$O$10</f>
        <v>25.229907891129756</v>
      </c>
      <c r="V113" s="227"/>
      <c r="W113" s="261">
        <f>W111*$E$6</f>
        <v>10.192</v>
      </c>
      <c r="X113" s="261">
        <f t="shared" ref="X113:Z113" si="587">X111*$E$6</f>
        <v>5.0240000000000009</v>
      </c>
      <c r="Y113" s="261">
        <f t="shared" si="587"/>
        <v>0.45999999999999996</v>
      </c>
      <c r="Z113" s="261">
        <f t="shared" si="587"/>
        <v>0.50800000000000001</v>
      </c>
      <c r="AA113" s="260">
        <f>W113*Conv!$C$47*Conv!$I$5*1000*365</f>
        <v>23.729595270573569</v>
      </c>
      <c r="AB113" s="260">
        <f>X113*Conv!$C$47*Conv!$I$5*1000*365</f>
        <v>11.697163131805498</v>
      </c>
      <c r="AC113" s="260">
        <f>Y113*Conv!$C$47*Conv!$I$5*1000*365</f>
        <v>1.0709982166860126</v>
      </c>
      <c r="AD113" s="260">
        <f>Z113*Conv!$C$47*Conv!$I$5*1000*365</f>
        <v>1.1827545523402052</v>
      </c>
      <c r="AE113" s="260">
        <f>AA113-AE112</f>
        <v>11.864797635286784</v>
      </c>
      <c r="AF113" s="260">
        <f t="shared" ref="AF113" si="588">AB113-AF112</f>
        <v>5.8485815659027489</v>
      </c>
      <c r="AG113" s="260">
        <f t="shared" ref="AG113" si="589">AC113-AG112</f>
        <v>0.53549910834300629</v>
      </c>
      <c r="AH113" s="260">
        <f t="shared" ref="AH113" si="590">AD113-AH112</f>
        <v>0.59137727617010261</v>
      </c>
      <c r="AI113" s="236"/>
    </row>
    <row r="114" spans="1:37" ht="14.25" customHeight="1">
      <c r="A114" s="201" t="str">
        <f t="shared" si="583"/>
        <v>FMH</v>
      </c>
      <c r="B114" s="201" t="str">
        <f t="shared" si="420"/>
        <v>IMPOILMH44</v>
      </c>
      <c r="C114" s="201" t="str">
        <f>CONCATENATE("Imported ",VLOOKUP($A114,Types!$A$13:$C$18,3,FALSE),", PADD ",RIGHT(F114,1),", Step ",RIGHT(E114,1))</f>
        <v>Imported Imported Oil-Medium Sulfur, HG, PADD 4, Step 4</v>
      </c>
      <c r="D114" s="201" t="str">
        <f t="shared" si="584"/>
        <v>OILMH4</v>
      </c>
      <c r="E114" s="201">
        <v>4</v>
      </c>
      <c r="F114" s="201" t="str">
        <f t="shared" si="585"/>
        <v>P4</v>
      </c>
      <c r="G114" s="244">
        <f>G111*$C$8</f>
        <v>38.011050000000004</v>
      </c>
      <c r="H114" s="244">
        <f t="shared" ref="H114:J114" si="591">H111*$C$8</f>
        <v>52.610250000000008</v>
      </c>
      <c r="I114" s="244">
        <f t="shared" si="591"/>
        <v>36.163050000000005</v>
      </c>
      <c r="J114" s="244">
        <f t="shared" si="591"/>
        <v>38.138100000000009</v>
      </c>
      <c r="K114" s="245">
        <f>G114*Conv!$J$20/10^6/Conv!$C$47/Conv!$I$5</f>
        <v>9.1439788277837248</v>
      </c>
      <c r="L114" s="245">
        <f>H114*Conv!$J$20/10^6/Conv!$C$47/Conv!$I$5</f>
        <v>12.655977988621959</v>
      </c>
      <c r="M114" s="245">
        <f>L114*'Imported Price Trends'!$K$10</f>
        <v>14.297675361128967</v>
      </c>
      <c r="N114" s="245">
        <f>M114*'Imported Price Trends'!$L$10</f>
        <v>14.159988663525814</v>
      </c>
      <c r="O114" s="245">
        <f>N114*'Imported Price Trends'!$M$10</f>
        <v>16.080199836361537</v>
      </c>
      <c r="P114" s="245">
        <f>O114*'Imported Price Trends'!$N$10</f>
        <v>17.55998731858984</v>
      </c>
      <c r="Q114" s="245">
        <f>P114*'Imported Price Trends'!$O$10</f>
        <v>19.261745045483256</v>
      </c>
      <c r="R114" s="245">
        <f>Q114*'Imported Price Trends'!$O$10</f>
        <v>21.128421989486561</v>
      </c>
      <c r="S114" s="245">
        <f>R114*'Imported Price Trends'!$O$10</f>
        <v>23.176000653715398</v>
      </c>
      <c r="T114" s="245">
        <f>S114*'Imported Price Trends'!$O$10</f>
        <v>25.42201242327938</v>
      </c>
      <c r="U114" s="245">
        <f>T114*'Imported Price Trends'!$O$10</f>
        <v>27.885687669143412</v>
      </c>
      <c r="V114" s="227"/>
      <c r="W114" s="261">
        <f>W111*$E$8</f>
        <v>61.152000000000001</v>
      </c>
      <c r="X114" s="261">
        <f t="shared" ref="X114:Z114" si="592">X111*$E$8</f>
        <v>30.143999999999998</v>
      </c>
      <c r="Y114" s="261">
        <f t="shared" si="592"/>
        <v>2.76</v>
      </c>
      <c r="Z114" s="261">
        <f t="shared" si="592"/>
        <v>3.048</v>
      </c>
      <c r="AA114" s="260">
        <f>W114*Conv!$C$47*Conv!$I$5*1000*365</f>
        <v>142.37757162344141</v>
      </c>
      <c r="AB114" s="260">
        <f>X114*Conv!$C$47*Conv!$I$5*1000*365</f>
        <v>70.182978790832976</v>
      </c>
      <c r="AC114" s="260">
        <f>Y114*Conv!$C$47*Conv!$I$5*1000*365</f>
        <v>6.4259893001160764</v>
      </c>
      <c r="AD114" s="260">
        <f>Z114*Conv!$C$47*Conv!$I$5*1000*365</f>
        <v>7.0965273140412322</v>
      </c>
      <c r="AE114" s="260">
        <f>AA114-AA111</f>
        <v>23.729595270573569</v>
      </c>
      <c r="AF114" s="260">
        <f t="shared" ref="AF114" si="593">AB114-AB111</f>
        <v>11.697163131805496</v>
      </c>
      <c r="AG114" s="260">
        <f t="shared" ref="AG114" si="594">AC114-AC111</f>
        <v>1.0709982166860135</v>
      </c>
      <c r="AH114" s="260">
        <f t="shared" ref="AH114" si="595">AD114-AD111</f>
        <v>1.1827545523402065</v>
      </c>
      <c r="AI114" s="236"/>
    </row>
    <row r="115" spans="1:37" ht="14.25" customHeight="1">
      <c r="A115" s="201" t="str">
        <f t="shared" si="583"/>
        <v>FMH</v>
      </c>
      <c r="B115" s="201" t="str">
        <f t="shared" si="420"/>
        <v>IMPOILMH45</v>
      </c>
      <c r="C115" s="201" t="str">
        <f>CONCATENATE("Imported ",VLOOKUP($A115,Types!$A$13:$C$18,3,FALSE),", PADD ",RIGHT(F115,1),", Step ",RIGHT(E115,1))</f>
        <v>Imported Imported Oil-Medium Sulfur, HG, PADD 4, Step 5</v>
      </c>
      <c r="D115" s="201" t="str">
        <f t="shared" si="584"/>
        <v>OILMH4</v>
      </c>
      <c r="E115" s="201">
        <v>5</v>
      </c>
      <c r="F115" s="201" t="str">
        <f t="shared" si="585"/>
        <v>P4</v>
      </c>
      <c r="G115" s="244">
        <f>G111*$C$9</f>
        <v>47.061300000000003</v>
      </c>
      <c r="H115" s="244">
        <f t="shared" ref="H115:J115" si="596">H111*$C$9</f>
        <v>65.136500000000012</v>
      </c>
      <c r="I115" s="244">
        <f t="shared" si="596"/>
        <v>44.773300000000006</v>
      </c>
      <c r="J115" s="244">
        <f t="shared" si="596"/>
        <v>47.218600000000016</v>
      </c>
      <c r="K115" s="245">
        <f>G115*Conv!$J$20/10^6/Conv!$C$47/Conv!$I$5</f>
        <v>11.321116643922707</v>
      </c>
      <c r="L115" s="245">
        <f>H115*Conv!$J$20/10^6/Conv!$C$47/Conv!$I$5</f>
        <v>15.669306081150996</v>
      </c>
      <c r="M115" s="245">
        <f>L115*'Imported Price Trends'!$K$10</f>
        <v>17.701883780445385</v>
      </c>
      <c r="N115" s="245">
        <f>M115*'Imported Price Trends'!$L$10</f>
        <v>17.531414535793864</v>
      </c>
      <c r="O115" s="245">
        <f>N115*'Imported Price Trends'!$M$10</f>
        <v>19.908818845019045</v>
      </c>
      <c r="P115" s="245">
        <f>O115*'Imported Price Trends'!$N$10</f>
        <v>21.740936680158846</v>
      </c>
      <c r="Q115" s="245">
        <f>P115*'Imported Price Trends'!$O$10</f>
        <v>23.84787481821736</v>
      </c>
      <c r="R115" s="245">
        <f>Q115*'Imported Price Trends'!$O$10</f>
        <v>26.158998653650023</v>
      </c>
      <c r="S115" s="245">
        <f>R115*'Imported Price Trends'!$O$10</f>
        <v>28.694096047457155</v>
      </c>
      <c r="T115" s="245">
        <f>S115*'Imported Price Trends'!$O$10</f>
        <v>31.474872524060178</v>
      </c>
      <c r="U115" s="245">
        <f>T115*'Imported Price Trends'!$O$10</f>
        <v>34.525137114177546</v>
      </c>
      <c r="V115" s="227"/>
      <c r="W115" s="261">
        <f>W111*$E$9</f>
        <v>66.248000000000005</v>
      </c>
      <c r="X115" s="261">
        <f t="shared" ref="X115:Z115" si="597">X111*$E$9</f>
        <v>32.656000000000006</v>
      </c>
      <c r="Y115" s="261">
        <f t="shared" si="597"/>
        <v>2.9899999999999998</v>
      </c>
      <c r="Z115" s="261">
        <f t="shared" si="597"/>
        <v>3.302</v>
      </c>
      <c r="AA115" s="260">
        <f>W115*Conv!$C$47*Conv!$I$5*1000*365</f>
        <v>154.24236925872822</v>
      </c>
      <c r="AB115" s="260">
        <f>X115*Conv!$C$47*Conv!$I$5*1000*365</f>
        <v>76.031560356735739</v>
      </c>
      <c r="AC115" s="260">
        <f>Y115*Conv!$C$47*Conv!$I$5*1000*365</f>
        <v>6.9614884084590818</v>
      </c>
      <c r="AD115" s="260">
        <f>Z115*Conv!$C$47*Conv!$I$5*1000*365</f>
        <v>7.6879045902113345</v>
      </c>
      <c r="AE115" s="260">
        <f>AA115-AA114</f>
        <v>11.864797635286806</v>
      </c>
      <c r="AF115" s="260">
        <f t="shared" ref="AF115" si="598">AB115-AB114</f>
        <v>5.8485815659027622</v>
      </c>
      <c r="AG115" s="260">
        <f t="shared" ref="AG115" si="599">AC115-AC114</f>
        <v>0.5354991083430054</v>
      </c>
      <c r="AH115" s="260">
        <f t="shared" ref="AH115" si="600">AD115-AD114</f>
        <v>0.59137727617010238</v>
      </c>
      <c r="AI115" s="236"/>
    </row>
    <row r="116" spans="1:37" ht="12.75">
      <c r="A116" s="202" t="s">
        <v>728</v>
      </c>
      <c r="B116" s="202"/>
      <c r="C116" s="202"/>
      <c r="D116" s="233"/>
      <c r="E116" s="233"/>
      <c r="F116" s="233"/>
      <c r="G116" s="241"/>
      <c r="H116" s="251"/>
      <c r="I116" s="241"/>
      <c r="J116" s="251"/>
      <c r="K116" s="242"/>
      <c r="L116" s="252"/>
      <c r="M116" s="242"/>
      <c r="N116" s="252"/>
      <c r="O116" s="242"/>
      <c r="P116" s="252"/>
      <c r="Q116" s="242"/>
      <c r="R116" s="252"/>
      <c r="S116" s="242"/>
      <c r="T116" s="252"/>
      <c r="U116" s="242"/>
      <c r="V116" s="202"/>
      <c r="W116" s="202"/>
      <c r="X116" s="233"/>
      <c r="Y116" s="202"/>
      <c r="Z116" s="233"/>
      <c r="AA116" s="254"/>
      <c r="AB116" s="254"/>
      <c r="AC116" s="254"/>
      <c r="AD116" s="254"/>
      <c r="AE116" s="254"/>
      <c r="AF116" s="253"/>
      <c r="AG116" s="254"/>
      <c r="AH116" s="253"/>
      <c r="AI116" s="202"/>
      <c r="AJ116" s="233"/>
      <c r="AK116" s="202"/>
    </row>
    <row r="117" spans="1:37" ht="14.25" customHeight="1">
      <c r="A117" s="201" t="str">
        <f>'Agg crdcrv'!C84</f>
        <v>FHH</v>
      </c>
      <c r="B117" s="201" t="str">
        <f t="shared" si="420"/>
        <v>IMPOILHH53</v>
      </c>
      <c r="C117" s="201" t="str">
        <f>CONCATENATE("Imported ",VLOOKUP($A117,Types!$A$13:$C$18,3,FALSE),", PADD ",RIGHT(F117,1),", Step ",RIGHT(E117,1))</f>
        <v>Imported Imported Oil-High Sulfur, Heavy G, PADD 5, Step 3</v>
      </c>
      <c r="D117" s="201" t="str">
        <f>CONCATENATE(VLOOKUP($A117,Types!$A$14:$C$18,2,FALSE),RIGHT(F117,1))</f>
        <v>OILHH5</v>
      </c>
      <c r="E117" s="201">
        <v>3</v>
      </c>
      <c r="F117" s="201" t="str">
        <f>'Agg crdcrv'!D84</f>
        <v>P5</v>
      </c>
      <c r="G117" s="244">
        <f>'Agg crdcrv'!H84*K5</f>
        <v>31.900000000000002</v>
      </c>
      <c r="H117" s="244">
        <f>'Agg crdcrv'!H89*K5</f>
        <v>46.406250000000007</v>
      </c>
      <c r="I117" s="244">
        <f>'Agg crdcrv'!H94*K5</f>
        <v>31.57</v>
      </c>
      <c r="J117" s="244">
        <f>'Agg crdcrv'!H99*K5</f>
        <v>33.407000000000004</v>
      </c>
      <c r="K117" s="245">
        <f>G117*Conv!$J$20/10^6/Conv!$C$47/Conv!$I$5</f>
        <v>7.6738981061112703</v>
      </c>
      <c r="L117" s="245">
        <f>H117*Conv!$J$20/10^6/Conv!$C$47/Conv!$I$5</f>
        <v>11.163537115571355</v>
      </c>
      <c r="M117" s="245">
        <f>L117*'Imported Price Trends'!$K$10</f>
        <v>12.611639314152493</v>
      </c>
      <c r="N117" s="245">
        <f>M117*'Imported Price Trends'!$L$10</f>
        <v>12.490189153572638</v>
      </c>
      <c r="O117" s="245">
        <f>N117*'Imported Price Trends'!$M$10</f>
        <v>14.183961749966075</v>
      </c>
      <c r="P117" s="245">
        <f>O117*'Imported Price Trends'!$N$10</f>
        <v>15.489247085944466</v>
      </c>
      <c r="Q117" s="245">
        <f>P117*'Imported Price Trends'!$O$10</f>
        <v>16.990327094377189</v>
      </c>
      <c r="R117" s="245">
        <f>Q117*'Imported Price Trends'!$O$10</f>
        <v>18.636878421022729</v>
      </c>
      <c r="S117" s="245">
        <f>R117*'Imported Price Trends'!$O$10</f>
        <v>20.442998851677775</v>
      </c>
      <c r="T117" s="245">
        <f>S117*'Imported Price Trends'!$O$10</f>
        <v>22.424152404100138</v>
      </c>
      <c r="U117" s="245">
        <f>T117*'Imported Price Trends'!$O$10</f>
        <v>24.597301731054063</v>
      </c>
      <c r="V117" s="227"/>
      <c r="W117" s="201">
        <f>'Agg crdcrv'!F84</f>
        <v>336.83</v>
      </c>
      <c r="X117" s="201">
        <f>'Agg crdcrv'!F89</f>
        <v>245.37</v>
      </c>
      <c r="Y117" s="201">
        <f>'Agg crdcrv'!F94</f>
        <v>56.99</v>
      </c>
      <c r="Z117" s="201">
        <f>'Agg crdcrv'!F99</f>
        <v>62.92</v>
      </c>
      <c r="AA117" s="260">
        <f>W117*Conv!$C$47*Conv!$I$5*1000*365</f>
        <v>784.2268028833688</v>
      </c>
      <c r="AB117" s="260">
        <f>X117*Conv!$C$47*Conv!$I$5*1000*365</f>
        <v>571.284418322276</v>
      </c>
      <c r="AC117" s="260">
        <f>Y117*Conv!$C$47*Conv!$I$5*1000*365</f>
        <v>132.68736601942578</v>
      </c>
      <c r="AD117" s="260">
        <f>Z117*Conv!$C$47*Conv!$I$5*1000*365</f>
        <v>146.49392998670416</v>
      </c>
      <c r="AE117" s="260">
        <f>AA117-AA119</f>
        <v>627.38144230669502</v>
      </c>
      <c r="AF117" s="260">
        <f t="shared" ref="AF117" si="601">AB117-AB119</f>
        <v>457.02753465782081</v>
      </c>
      <c r="AG117" s="260">
        <f t="shared" ref="AG117" si="602">AC117-AC119</f>
        <v>106.14989281554062</v>
      </c>
      <c r="AH117" s="260">
        <f t="shared" ref="AH117" si="603">AD117-AD119</f>
        <v>117.19514398936332</v>
      </c>
    </row>
    <row r="118" spans="1:37" ht="14.25" customHeight="1">
      <c r="A118" s="201" t="str">
        <f>A117</f>
        <v>FHH</v>
      </c>
      <c r="B118" s="201" t="str">
        <f t="shared" si="420"/>
        <v>IMPOILHH51</v>
      </c>
      <c r="C118" s="201" t="str">
        <f>CONCATENATE("Imported ",VLOOKUP($A118,Types!$A$13:$C$18,3,FALSE),", PADD ",RIGHT(F118,1),", Step ",RIGHT(E118,1))</f>
        <v>Imported Imported Oil-High Sulfur, Heavy G, PADD 5, Step 1</v>
      </c>
      <c r="D118" s="201" t="str">
        <f>D117</f>
        <v>OILHH5</v>
      </c>
      <c r="E118" s="201">
        <v>1</v>
      </c>
      <c r="F118" s="201" t="str">
        <f>F117</f>
        <v>P5</v>
      </c>
      <c r="G118" s="244">
        <f>G117*$C$5</f>
        <v>28.71</v>
      </c>
      <c r="H118" s="244">
        <f t="shared" ref="H118" si="604">H117*$C$5</f>
        <v>41.765625000000007</v>
      </c>
      <c r="I118" s="244">
        <f t="shared" ref="I118" si="605">I117*$C$5</f>
        <v>28.413</v>
      </c>
      <c r="J118" s="244">
        <f t="shared" ref="J118" si="606">J117*$C$5</f>
        <v>30.066300000000005</v>
      </c>
      <c r="K118" s="245">
        <f>G118*Conv!$J$20/10^6/Conv!$C$47/Conv!$I$5</f>
        <v>6.9065082955001431</v>
      </c>
      <c r="L118" s="245">
        <f>H118*Conv!$J$20/10^6/Conv!$C$47/Conv!$I$5</f>
        <v>10.04718340401422</v>
      </c>
      <c r="M118" s="245">
        <f>L118*'Imported Price Trends'!$K$10</f>
        <v>11.350475382737244</v>
      </c>
      <c r="N118" s="245">
        <f>M118*'Imported Price Trends'!$L$10</f>
        <v>11.241170238215375</v>
      </c>
      <c r="O118" s="245">
        <f>N118*'Imported Price Trends'!$M$10</f>
        <v>12.765565574969468</v>
      </c>
      <c r="P118" s="245">
        <f>O118*'Imported Price Trends'!$N$10</f>
        <v>13.94032237735002</v>
      </c>
      <c r="Q118" s="245">
        <f>P118*'Imported Price Trends'!$O$10</f>
        <v>15.291294384939469</v>
      </c>
      <c r="R118" s="245">
        <f>Q118*'Imported Price Trends'!$O$10</f>
        <v>16.773190578920456</v>
      </c>
      <c r="S118" s="245">
        <f>R118*'Imported Price Trends'!$O$10</f>
        <v>18.398698966509997</v>
      </c>
      <c r="T118" s="245">
        <f>S118*'Imported Price Trends'!$O$10</f>
        <v>20.181737163690123</v>
      </c>
      <c r="U118" s="245">
        <f>T118*'Imported Price Trends'!$O$10</f>
        <v>22.137571557948657</v>
      </c>
      <c r="V118" s="227"/>
      <c r="W118" s="261">
        <f>W117*$E$5</f>
        <v>33.683</v>
      </c>
      <c r="X118" s="261">
        <f t="shared" ref="X118" si="607">X117*$E$5</f>
        <v>24.537000000000003</v>
      </c>
      <c r="Y118" s="261">
        <f t="shared" ref="Y118" si="608">Y117*$E$5</f>
        <v>5.6990000000000007</v>
      </c>
      <c r="Z118" s="261">
        <f t="shared" ref="Z118" si="609">Z117*$E$5</f>
        <v>6.2920000000000007</v>
      </c>
      <c r="AA118" s="260">
        <f>W118*Conv!$C$47*Conv!$I$5*1000*365</f>
        <v>78.422680288336878</v>
      </c>
      <c r="AB118" s="260">
        <f>X118*Conv!$C$47*Conv!$I$5*1000*365</f>
        <v>57.128441832227601</v>
      </c>
      <c r="AC118" s="260">
        <f>Y118*Conv!$C$47*Conv!$I$5*1000*365</f>
        <v>13.268736601942578</v>
      </c>
      <c r="AD118" s="260">
        <f>Z118*Conv!$C$47*Conv!$I$5*1000*365</f>
        <v>14.649392998670418</v>
      </c>
      <c r="AE118" s="260">
        <f>AA118</f>
        <v>78.422680288336878</v>
      </c>
      <c r="AF118" s="260">
        <f t="shared" ref="AF118" si="610">AB118</f>
        <v>57.128441832227601</v>
      </c>
      <c r="AG118" s="260">
        <f t="shared" ref="AG118" si="611">AC118</f>
        <v>13.268736601942578</v>
      </c>
      <c r="AH118" s="260">
        <f t="shared" ref="AH118" si="612">AD118</f>
        <v>14.649392998670418</v>
      </c>
      <c r="AI118" s="236"/>
    </row>
    <row r="119" spans="1:37" ht="14.25" customHeight="1">
      <c r="A119" s="201" t="str">
        <f t="shared" ref="A119:A121" si="613">A118</f>
        <v>FHH</v>
      </c>
      <c r="B119" s="201" t="str">
        <f t="shared" si="420"/>
        <v>IMPOILHH52</v>
      </c>
      <c r="C119" s="201" t="str">
        <f>CONCATENATE("Imported ",VLOOKUP($A119,Types!$A$13:$C$18,3,FALSE),", PADD ",RIGHT(F119,1),", Step ",RIGHT(E119,1))</f>
        <v>Imported Imported Oil-High Sulfur, Heavy G, PADD 5, Step 2</v>
      </c>
      <c r="D119" s="201" t="str">
        <f t="shared" ref="D119:D121" si="614">D118</f>
        <v>OILHH5</v>
      </c>
      <c r="E119" s="201">
        <v>2</v>
      </c>
      <c r="F119" s="201" t="str">
        <f t="shared" ref="F119:F121" si="615">F118</f>
        <v>P5</v>
      </c>
      <c r="G119" s="244">
        <f>G117*$C$6</f>
        <v>30.305</v>
      </c>
      <c r="H119" s="244">
        <f t="shared" ref="H119:J119" si="616">H117*$C$6</f>
        <v>44.085937500000007</v>
      </c>
      <c r="I119" s="244">
        <f t="shared" si="616"/>
        <v>29.991499999999998</v>
      </c>
      <c r="J119" s="244">
        <f t="shared" si="616"/>
        <v>31.736650000000001</v>
      </c>
      <c r="K119" s="245">
        <f>G119*Conv!$J$20/10^6/Conv!$C$47/Conv!$I$5</f>
        <v>7.2902032008057063</v>
      </c>
      <c r="L119" s="245">
        <f>H119*Conv!$J$20/10^6/Conv!$C$47/Conv!$I$5</f>
        <v>10.605360259792784</v>
      </c>
      <c r="M119" s="245">
        <f>L119*'Imported Price Trends'!$K$10</f>
        <v>11.981057348444864</v>
      </c>
      <c r="N119" s="245">
        <f>M119*'Imported Price Trends'!$L$10</f>
        <v>11.865679695894002</v>
      </c>
      <c r="O119" s="245">
        <f>N119*'Imported Price Trends'!$M$10</f>
        <v>13.474763662467767</v>
      </c>
      <c r="P119" s="245">
        <f>O119*'Imported Price Trends'!$N$10</f>
        <v>14.714784731647239</v>
      </c>
      <c r="Q119" s="245">
        <f>P119*'Imported Price Trends'!$O$10</f>
        <v>16.140810739658324</v>
      </c>
      <c r="R119" s="245">
        <f>Q119*'Imported Price Trends'!$O$10</f>
        <v>17.705034499971585</v>
      </c>
      <c r="S119" s="245">
        <f>R119*'Imported Price Trends'!$O$10</f>
        <v>19.420848909093877</v>
      </c>
      <c r="T119" s="245">
        <f>S119*'Imported Price Trends'!$O$10</f>
        <v>21.302944783895121</v>
      </c>
      <c r="U119" s="245">
        <f>T119*'Imported Price Trends'!$O$10</f>
        <v>23.36743664450135</v>
      </c>
      <c r="V119" s="227"/>
      <c r="W119" s="261">
        <f>W117*$E$6</f>
        <v>67.366</v>
      </c>
      <c r="X119" s="261">
        <f t="shared" ref="X119:Z119" si="617">X117*$E$6</f>
        <v>49.074000000000005</v>
      </c>
      <c r="Y119" s="261">
        <f t="shared" si="617"/>
        <v>11.398000000000001</v>
      </c>
      <c r="Z119" s="261">
        <f t="shared" si="617"/>
        <v>12.584000000000001</v>
      </c>
      <c r="AA119" s="260">
        <f>W119*Conv!$C$47*Conv!$I$5*1000*365</f>
        <v>156.84536057667376</v>
      </c>
      <c r="AB119" s="260">
        <f>X119*Conv!$C$47*Conv!$I$5*1000*365</f>
        <v>114.2568836644552</v>
      </c>
      <c r="AC119" s="260">
        <f>Y119*Conv!$C$47*Conv!$I$5*1000*365</f>
        <v>26.537473203885156</v>
      </c>
      <c r="AD119" s="260">
        <f>Z119*Conv!$C$47*Conv!$I$5*1000*365</f>
        <v>29.298785997340836</v>
      </c>
      <c r="AE119" s="260">
        <f>AA119-AE118</f>
        <v>78.422680288336878</v>
      </c>
      <c r="AF119" s="260">
        <f t="shared" ref="AF119" si="618">AB119-AF118</f>
        <v>57.128441832227601</v>
      </c>
      <c r="AG119" s="260">
        <f t="shared" ref="AG119" si="619">AC119-AG118</f>
        <v>13.268736601942578</v>
      </c>
      <c r="AH119" s="260">
        <f t="shared" ref="AH119" si="620">AD119-AH118</f>
        <v>14.649392998670418</v>
      </c>
      <c r="AI119" s="236"/>
    </row>
    <row r="120" spans="1:37" ht="14.25" customHeight="1">
      <c r="A120" s="201" t="str">
        <f t="shared" si="613"/>
        <v>FHH</v>
      </c>
      <c r="B120" s="201" t="str">
        <f t="shared" si="420"/>
        <v>IMPOILHH54</v>
      </c>
      <c r="C120" s="201" t="str">
        <f>CONCATENATE("Imported ",VLOOKUP($A120,Types!$A$13:$C$18,3,FALSE),", PADD ",RIGHT(F120,1),", Step ",RIGHT(E120,1))</f>
        <v>Imported Imported Oil-High Sulfur, Heavy G, PADD 5, Step 4</v>
      </c>
      <c r="D120" s="201" t="str">
        <f t="shared" si="614"/>
        <v>OILHH5</v>
      </c>
      <c r="E120" s="201">
        <v>4</v>
      </c>
      <c r="F120" s="201" t="str">
        <f t="shared" si="615"/>
        <v>P5</v>
      </c>
      <c r="G120" s="244">
        <f>G117*$C$8</f>
        <v>33.495000000000005</v>
      </c>
      <c r="H120" s="244">
        <f t="shared" ref="H120:J120" si="621">H117*$C$8</f>
        <v>48.726562500000007</v>
      </c>
      <c r="I120" s="244">
        <f t="shared" si="621"/>
        <v>33.148499999999999</v>
      </c>
      <c r="J120" s="244">
        <f t="shared" si="621"/>
        <v>35.077350000000003</v>
      </c>
      <c r="K120" s="245">
        <f>G120*Conv!$J$20/10^6/Conv!$C$47/Conv!$I$5</f>
        <v>8.0575930114168361</v>
      </c>
      <c r="L120" s="245">
        <f>H120*Conv!$J$20/10^6/Conv!$C$47/Conv!$I$5</f>
        <v>11.721713971349921</v>
      </c>
      <c r="M120" s="245">
        <f>L120*'Imported Price Trends'!$K$10</f>
        <v>13.242221279860116</v>
      </c>
      <c r="N120" s="245">
        <f>M120*'Imported Price Trends'!$L$10</f>
        <v>13.114698611251269</v>
      </c>
      <c r="O120" s="245">
        <f>N120*'Imported Price Trends'!$M$10</f>
        <v>14.893159837464378</v>
      </c>
      <c r="P120" s="245">
        <f>O120*'Imported Price Trends'!$N$10</f>
        <v>16.263709440241687</v>
      </c>
      <c r="Q120" s="245">
        <f>P120*'Imported Price Trends'!$O$10</f>
        <v>17.839843449096044</v>
      </c>
      <c r="R120" s="245">
        <f>Q120*'Imported Price Trends'!$O$10</f>
        <v>19.568722342073858</v>
      </c>
      <c r="S120" s="245">
        <f>R120*'Imported Price Trends'!$O$10</f>
        <v>21.465148794261655</v>
      </c>
      <c r="T120" s="245">
        <f>S120*'Imported Price Trends'!$O$10</f>
        <v>23.545360024305133</v>
      </c>
      <c r="U120" s="245">
        <f>T120*'Imported Price Trends'!$O$10</f>
        <v>25.827166817606752</v>
      </c>
      <c r="V120" s="227"/>
      <c r="W120" s="261">
        <f>W117*$E$8</f>
        <v>404.19599999999997</v>
      </c>
      <c r="X120" s="261">
        <f t="shared" ref="X120:Z120" si="622">X117*$E$8</f>
        <v>294.44400000000002</v>
      </c>
      <c r="Y120" s="261">
        <f t="shared" si="622"/>
        <v>68.388000000000005</v>
      </c>
      <c r="Z120" s="261">
        <f t="shared" si="622"/>
        <v>75.504000000000005</v>
      </c>
      <c r="AA120" s="260">
        <f>W120*Conv!$C$47*Conv!$I$5*1000*365</f>
        <v>941.07216346004259</v>
      </c>
      <c r="AB120" s="260">
        <f>X120*Conv!$C$47*Conv!$I$5*1000*365</f>
        <v>685.54130198673113</v>
      </c>
      <c r="AC120" s="260">
        <f>Y120*Conv!$C$47*Conv!$I$5*1000*365</f>
        <v>159.22483922331097</v>
      </c>
      <c r="AD120" s="260">
        <f>Z120*Conv!$C$47*Conv!$I$5*1000*365</f>
        <v>175.792715984045</v>
      </c>
      <c r="AE120" s="260">
        <f>AA120-AA117</f>
        <v>156.84536057667378</v>
      </c>
      <c r="AF120" s="260">
        <f t="shared" ref="AF120" si="623">AB120-AB117</f>
        <v>114.25688366445513</v>
      </c>
      <c r="AG120" s="260">
        <f t="shared" ref="AG120" si="624">AC120-AC117</f>
        <v>26.537473203885185</v>
      </c>
      <c r="AH120" s="260">
        <f t="shared" ref="AH120" si="625">AD120-AD117</f>
        <v>29.298785997340843</v>
      </c>
      <c r="AI120" s="236"/>
    </row>
    <row r="121" spans="1:37" ht="14.25" customHeight="1">
      <c r="A121" s="201" t="str">
        <f t="shared" si="613"/>
        <v>FHH</v>
      </c>
      <c r="B121" s="201" t="str">
        <f t="shared" si="420"/>
        <v>IMPOILHH55</v>
      </c>
      <c r="C121" s="201" t="str">
        <f>CONCATENATE("Imported ",VLOOKUP($A121,Types!$A$13:$C$18,3,FALSE),", PADD ",RIGHT(F121,1),", Step ",RIGHT(E121,1))</f>
        <v>Imported Imported Oil-High Sulfur, Heavy G, PADD 5, Step 5</v>
      </c>
      <c r="D121" s="201" t="str">
        <f t="shared" si="614"/>
        <v>OILHH5</v>
      </c>
      <c r="E121" s="201">
        <v>5</v>
      </c>
      <c r="F121" s="201" t="str">
        <f t="shared" si="615"/>
        <v>P5</v>
      </c>
      <c r="G121" s="244">
        <f>G117*$C$9</f>
        <v>41.470000000000006</v>
      </c>
      <c r="H121" s="244">
        <f t="shared" ref="H121:J121" si="626">H117*$C$9</f>
        <v>60.328125000000014</v>
      </c>
      <c r="I121" s="244">
        <f t="shared" si="626"/>
        <v>41.041000000000004</v>
      </c>
      <c r="J121" s="244">
        <f t="shared" si="626"/>
        <v>43.429100000000005</v>
      </c>
      <c r="K121" s="245">
        <f>G121*Conv!$J$20/10^6/Conv!$C$47/Conv!$I$5</f>
        <v>9.9760675379446511</v>
      </c>
      <c r="L121" s="245">
        <f>H121*Conv!$J$20/10^6/Conv!$C$47/Conv!$I$5</f>
        <v>14.512598250242762</v>
      </c>
      <c r="M121" s="245">
        <f>L121*'Imported Price Trends'!$K$10</f>
        <v>16.395131108398243</v>
      </c>
      <c r="N121" s="245">
        <f>M121*'Imported Price Trends'!$L$10</f>
        <v>16.237245899644432</v>
      </c>
      <c r="O121" s="245">
        <f>N121*'Imported Price Trends'!$M$10</f>
        <v>18.4391502749559</v>
      </c>
      <c r="P121" s="245">
        <f>O121*'Imported Price Trends'!$N$10</f>
        <v>20.136021211727808</v>
      </c>
      <c r="Q121" s="245">
        <f>P121*'Imported Price Trends'!$O$10</f>
        <v>22.087425222690346</v>
      </c>
      <c r="R121" s="245">
        <f>Q121*'Imported Price Trends'!$O$10</f>
        <v>24.227941947329548</v>
      </c>
      <c r="S121" s="245">
        <f>R121*'Imported Price Trends'!$O$10</f>
        <v>26.575898507181105</v>
      </c>
      <c r="T121" s="245">
        <f>S121*'Imported Price Trends'!$O$10</f>
        <v>29.151398125330175</v>
      </c>
      <c r="U121" s="245">
        <f>T121*'Imported Price Trends'!$O$10</f>
        <v>31.976492250370278</v>
      </c>
      <c r="V121" s="227"/>
      <c r="W121" s="261">
        <f>W117*$E$9</f>
        <v>437.87900000000002</v>
      </c>
      <c r="X121" s="261">
        <f t="shared" ref="X121:Z121" si="627">X117*$E$9</f>
        <v>318.98099999999999</v>
      </c>
      <c r="Y121" s="261">
        <f t="shared" si="627"/>
        <v>74.087000000000003</v>
      </c>
      <c r="Z121" s="261">
        <f t="shared" si="627"/>
        <v>81.796000000000006</v>
      </c>
      <c r="AA121" s="260">
        <f>W121*Conv!$C$47*Conv!$I$5*1000*365</f>
        <v>1019.4948437483796</v>
      </c>
      <c r="AB121" s="260">
        <f>X121*Conv!$C$47*Conv!$I$5*1000*365</f>
        <v>742.66974381895875</v>
      </c>
      <c r="AC121" s="260">
        <f>Y121*Conv!$C$47*Conv!$I$5*1000*365</f>
        <v>172.49357582525352</v>
      </c>
      <c r="AD121" s="260">
        <f>Z121*Conv!$C$47*Conv!$I$5*1000*365</f>
        <v>190.44210898271544</v>
      </c>
      <c r="AE121" s="260">
        <f>AA121-AA120</f>
        <v>78.422680288337006</v>
      </c>
      <c r="AF121" s="260">
        <f t="shared" ref="AF121" si="628">AB121-AB120</f>
        <v>57.128441832227622</v>
      </c>
      <c r="AG121" s="260">
        <f t="shared" ref="AG121" si="629">AC121-AC120</f>
        <v>13.26873660194255</v>
      </c>
      <c r="AH121" s="260">
        <f t="shared" ref="AH121" si="630">AD121-AD120</f>
        <v>14.649392998670436</v>
      </c>
      <c r="AI121" s="236"/>
    </row>
    <row r="122" spans="1:37" ht="14.25" customHeight="1">
      <c r="A122" s="201" t="str">
        <f>'Agg crdcrv'!C85</f>
        <v>FHL</v>
      </c>
      <c r="B122" s="201" t="str">
        <f t="shared" si="420"/>
        <v>IMPOILHL53</v>
      </c>
      <c r="C122" s="201" t="str">
        <f>CONCATENATE("Imported ",VLOOKUP($A122,Types!$A$13:$C$18,3,FALSE),", PADD ",RIGHT(F122,1),", Step ",RIGHT(E122,1))</f>
        <v>Imported Imported Oil-High Sulfur, Low G, PADD 5, Step 3</v>
      </c>
      <c r="D122" s="201" t="str">
        <f>CONCATENATE(VLOOKUP($A122,Types!$A$14:$C$18,2,FALSE),RIGHT(F122,1))</f>
        <v>OILHL5</v>
      </c>
      <c r="E122" s="201">
        <v>3</v>
      </c>
      <c r="F122" s="201" t="str">
        <f>'Agg crdcrv'!D85</f>
        <v>P5</v>
      </c>
      <c r="G122" s="244">
        <f>'Agg crdcrv'!H85*K5</f>
        <v>41.514000000000003</v>
      </c>
      <c r="H122" s="244">
        <f>'Agg crdcrv'!H90*K5</f>
        <v>50.187500000000007</v>
      </c>
      <c r="I122" s="244">
        <f>'Agg crdcrv'!H95*K5</f>
        <v>34.551000000000002</v>
      </c>
      <c r="J122" s="244">
        <f>'Agg crdcrv'!H100*K5</f>
        <v>36.410000000000004</v>
      </c>
      <c r="K122" s="245">
        <f>G122*Conv!$J$20/10^6/Conv!$C$47/Conv!$I$5</f>
        <v>9.9866522249875622</v>
      </c>
      <c r="L122" s="245">
        <f>H122*Conv!$J$20/10^6/Conv!$C$47/Conv!$I$5</f>
        <v>12.073158658321612</v>
      </c>
      <c r="M122" s="245">
        <f>L122*'Imported Price Trends'!$K$10</f>
        <v>13.639254369379731</v>
      </c>
      <c r="N122" s="245">
        <f>M122*'Imported Price Trends'!$L$10</f>
        <v>13.507908269789667</v>
      </c>
      <c r="O122" s="245">
        <f>N122*'Imported Price Trends'!$M$10</f>
        <v>15.339691966629976</v>
      </c>
      <c r="P122" s="245">
        <f>O122*'Imported Price Trends'!$N$10</f>
        <v>16.751333885539939</v>
      </c>
      <c r="Q122" s="245">
        <f>P122*'Imported Price Trends'!$O$10</f>
        <v>18.374724116881993</v>
      </c>
      <c r="R122" s="245">
        <f>Q122*'Imported Price Trends'!$O$10</f>
        <v>20.15543888495791</v>
      </c>
      <c r="S122" s="245">
        <f>R122*'Imported Price Trends'!$O$10</f>
        <v>22.108724684036698</v>
      </c>
      <c r="T122" s="245">
        <f>S122*'Imported Price Trends'!$O$10</f>
        <v>24.251305562952734</v>
      </c>
      <c r="U122" s="245">
        <f>T122*'Imported Price Trends'!$O$10</f>
        <v>26.60152631654735</v>
      </c>
      <c r="V122" s="227"/>
      <c r="W122" s="201">
        <f>'Agg crdcrv'!F85</f>
        <v>119.21</v>
      </c>
      <c r="X122" s="201">
        <f>'Agg crdcrv'!F90</f>
        <v>204.66</v>
      </c>
      <c r="Y122" s="201">
        <f>'Agg crdcrv'!F95</f>
        <v>24.55</v>
      </c>
      <c r="Z122" s="201">
        <f>'Agg crdcrv'!F100</f>
        <v>27.11</v>
      </c>
      <c r="AA122" s="260">
        <f>W122*Conv!$C$47*Conv!$I$5*1000*365</f>
        <v>277.55151611117299</v>
      </c>
      <c r="AB122" s="260">
        <f>X122*Conv!$C$47*Conv!$I$5*1000*365</f>
        <v>476.50107614556384</v>
      </c>
      <c r="AC122" s="260">
        <f>Y122*Conv!$C$47*Conv!$I$5*1000*365</f>
        <v>57.15870917313395</v>
      </c>
      <c r="AD122" s="260">
        <f>Z122*Conv!$C$47*Conv!$I$5*1000*365</f>
        <v>63.119047074690876</v>
      </c>
      <c r="AE122" s="260">
        <f>AA122-AA124</f>
        <v>222.04121288893839</v>
      </c>
      <c r="AF122" s="260">
        <f t="shared" ref="AF122" si="631">AB122-AB124</f>
        <v>381.20086091645106</v>
      </c>
      <c r="AG122" s="260">
        <f t="shared" ref="AG122" si="632">AC122-AC124</f>
        <v>45.726967338507166</v>
      </c>
      <c r="AH122" s="260">
        <f t="shared" ref="AH122" si="633">AD122-AD124</f>
        <v>50.495237659752696</v>
      </c>
    </row>
    <row r="123" spans="1:37" ht="14.25" customHeight="1">
      <c r="A123" s="201" t="str">
        <f>A122</f>
        <v>FHL</v>
      </c>
      <c r="B123" s="201" t="str">
        <f t="shared" si="420"/>
        <v>IMPOILHL51</v>
      </c>
      <c r="C123" s="201" t="str">
        <f>CONCATENATE("Imported ",VLOOKUP($A123,Types!$A$13:$C$18,3,FALSE),", PADD ",RIGHT(F123,1),", Step ",RIGHT(E123,1))</f>
        <v>Imported Imported Oil-High Sulfur, Low G, PADD 5, Step 1</v>
      </c>
      <c r="D123" s="201" t="str">
        <f>D122</f>
        <v>OILHL5</v>
      </c>
      <c r="E123" s="201">
        <v>1</v>
      </c>
      <c r="F123" s="201" t="str">
        <f>F122</f>
        <v>P5</v>
      </c>
      <c r="G123" s="244">
        <f>G122*$C$5</f>
        <v>37.3626</v>
      </c>
      <c r="H123" s="244">
        <f t="shared" ref="H123" si="634">H122*$C$5</f>
        <v>45.16875000000001</v>
      </c>
      <c r="I123" s="244">
        <f t="shared" ref="I123" si="635">I122*$C$5</f>
        <v>31.095900000000004</v>
      </c>
      <c r="J123" s="244">
        <f t="shared" ref="J123" si="636">J122*$C$5</f>
        <v>32.769000000000005</v>
      </c>
      <c r="K123" s="245">
        <f>G123*Conv!$J$20/10^6/Conv!$C$47/Conv!$I$5</f>
        <v>8.987987002488806</v>
      </c>
      <c r="L123" s="245">
        <f>H123*Conv!$J$20/10^6/Conv!$C$47/Conv!$I$5</f>
        <v>10.865842792489451</v>
      </c>
      <c r="M123" s="245">
        <f>L123*'Imported Price Trends'!$K$10</f>
        <v>12.275328932441758</v>
      </c>
      <c r="N123" s="245">
        <f>M123*'Imported Price Trends'!$L$10</f>
        <v>12.1571174428107</v>
      </c>
      <c r="O123" s="245">
        <f>N123*'Imported Price Trends'!$M$10</f>
        <v>13.805722769966978</v>
      </c>
      <c r="P123" s="245">
        <f>O123*'Imported Price Trends'!$N$10</f>
        <v>15.076200496985946</v>
      </c>
      <c r="Q123" s="245">
        <f>P123*'Imported Price Trends'!$O$10</f>
        <v>16.537251705193796</v>
      </c>
      <c r="R123" s="245">
        <f>Q123*'Imported Price Trends'!$O$10</f>
        <v>18.139894996462122</v>
      </c>
      <c r="S123" s="245">
        <f>R123*'Imported Price Trends'!$O$10</f>
        <v>19.89785221563303</v>
      </c>
      <c r="T123" s="245">
        <f>S123*'Imported Price Trends'!$O$10</f>
        <v>21.826175006657461</v>
      </c>
      <c r="U123" s="245">
        <f>T123*'Imported Price Trends'!$O$10</f>
        <v>23.941373684892614</v>
      </c>
      <c r="V123" s="227"/>
      <c r="W123" s="261">
        <f>W122*$E$5</f>
        <v>11.920999999999999</v>
      </c>
      <c r="X123" s="261">
        <f t="shared" ref="X123" si="637">X122*$E$5</f>
        <v>20.466000000000001</v>
      </c>
      <c r="Y123" s="261">
        <f t="shared" ref="Y123" si="638">Y122*$E$5</f>
        <v>2.4550000000000001</v>
      </c>
      <c r="Z123" s="261">
        <f t="shared" ref="Z123" si="639">Z122*$E$5</f>
        <v>2.7110000000000003</v>
      </c>
      <c r="AA123" s="260">
        <f>W123*Conv!$C$47*Conv!$I$5*1000*365</f>
        <v>27.755151611117295</v>
      </c>
      <c r="AB123" s="260">
        <f>X123*Conv!$C$47*Conv!$I$5*1000*365</f>
        <v>47.65010761455639</v>
      </c>
      <c r="AC123" s="260">
        <f>Y123*Conv!$C$47*Conv!$I$5*1000*365</f>
        <v>5.7158709173133939</v>
      </c>
      <c r="AD123" s="260">
        <f>Z123*Conv!$C$47*Conv!$I$5*1000*365</f>
        <v>6.3119047074690897</v>
      </c>
      <c r="AE123" s="260">
        <f>AA123</f>
        <v>27.755151611117295</v>
      </c>
      <c r="AF123" s="260">
        <f t="shared" ref="AF123" si="640">AB123</f>
        <v>47.65010761455639</v>
      </c>
      <c r="AG123" s="260">
        <f t="shared" ref="AG123" si="641">AC123</f>
        <v>5.7158709173133939</v>
      </c>
      <c r="AH123" s="260">
        <f t="shared" ref="AH123" si="642">AD123</f>
        <v>6.3119047074690897</v>
      </c>
      <c r="AI123" s="236"/>
    </row>
    <row r="124" spans="1:37" ht="14.25" customHeight="1">
      <c r="A124" s="201" t="str">
        <f t="shared" ref="A124:A126" si="643">A123</f>
        <v>FHL</v>
      </c>
      <c r="B124" s="201" t="str">
        <f t="shared" si="420"/>
        <v>IMPOILHL52</v>
      </c>
      <c r="C124" s="201" t="str">
        <f>CONCATENATE("Imported ",VLOOKUP($A124,Types!$A$13:$C$18,3,FALSE),", PADD ",RIGHT(F124,1),", Step ",RIGHT(E124,1))</f>
        <v>Imported Imported Oil-High Sulfur, Low G, PADD 5, Step 2</v>
      </c>
      <c r="D124" s="201" t="str">
        <f t="shared" ref="D124:D126" si="644">D123</f>
        <v>OILHL5</v>
      </c>
      <c r="E124" s="201">
        <v>2</v>
      </c>
      <c r="F124" s="201" t="str">
        <f t="shared" ref="F124:F126" si="645">F123</f>
        <v>P5</v>
      </c>
      <c r="G124" s="244">
        <f>G122*$C$6</f>
        <v>39.438299999999998</v>
      </c>
      <c r="H124" s="244">
        <f t="shared" ref="H124:J124" si="646">H122*$C$6</f>
        <v>47.678125000000001</v>
      </c>
      <c r="I124" s="244">
        <f t="shared" si="646"/>
        <v>32.823450000000001</v>
      </c>
      <c r="J124" s="244">
        <f t="shared" si="646"/>
        <v>34.589500000000001</v>
      </c>
      <c r="K124" s="245">
        <f>G124*Conv!$J$20/10^6/Conv!$C$47/Conv!$I$5</f>
        <v>9.487319613738185</v>
      </c>
      <c r="L124" s="245">
        <f>H124*Conv!$J$20/10^6/Conv!$C$47/Conv!$I$5</f>
        <v>11.469500725405531</v>
      </c>
      <c r="M124" s="245">
        <f>L124*'Imported Price Trends'!$K$10</f>
        <v>12.957291650910745</v>
      </c>
      <c r="N124" s="245">
        <f>M124*'Imported Price Trends'!$L$10</f>
        <v>12.832512856300184</v>
      </c>
      <c r="O124" s="245">
        <f>N124*'Imported Price Trends'!$M$10</f>
        <v>14.572707368298477</v>
      </c>
      <c r="P124" s="245">
        <f>O124*'Imported Price Trends'!$N$10</f>
        <v>15.913767191262943</v>
      </c>
      <c r="Q124" s="245">
        <f>P124*'Imported Price Trends'!$O$10</f>
        <v>17.455987911037894</v>
      </c>
      <c r="R124" s="245">
        <f>Q124*'Imported Price Trends'!$O$10</f>
        <v>19.147666940710014</v>
      </c>
      <c r="S124" s="245">
        <f>R124*'Imported Price Trends'!$O$10</f>
        <v>21.003288449834862</v>
      </c>
      <c r="T124" s="245">
        <f>S124*'Imported Price Trends'!$O$10</f>
        <v>23.038740284805094</v>
      </c>
      <c r="U124" s="245">
        <f>T124*'Imported Price Trends'!$O$10</f>
        <v>25.271450000719977</v>
      </c>
      <c r="V124" s="227"/>
      <c r="W124" s="261">
        <f>W122*$E$6</f>
        <v>23.841999999999999</v>
      </c>
      <c r="X124" s="261">
        <f t="shared" ref="X124:Z124" si="647">X122*$E$6</f>
        <v>40.932000000000002</v>
      </c>
      <c r="Y124" s="261">
        <f t="shared" si="647"/>
        <v>4.91</v>
      </c>
      <c r="Z124" s="261">
        <f t="shared" si="647"/>
        <v>5.4220000000000006</v>
      </c>
      <c r="AA124" s="260">
        <f>W124*Conv!$C$47*Conv!$I$5*1000*365</f>
        <v>55.51030322223459</v>
      </c>
      <c r="AB124" s="260">
        <f>X124*Conv!$C$47*Conv!$I$5*1000*365</f>
        <v>95.30021522911278</v>
      </c>
      <c r="AC124" s="260">
        <f>Y124*Conv!$C$47*Conv!$I$5*1000*365</f>
        <v>11.431741834626788</v>
      </c>
      <c r="AD124" s="260">
        <f>Z124*Conv!$C$47*Conv!$I$5*1000*365</f>
        <v>12.623809414938179</v>
      </c>
      <c r="AE124" s="260">
        <f>AA124-AE123</f>
        <v>27.755151611117295</v>
      </c>
      <c r="AF124" s="260">
        <f t="shared" ref="AF124" si="648">AB124-AF123</f>
        <v>47.65010761455639</v>
      </c>
      <c r="AG124" s="260">
        <f t="shared" ref="AG124" si="649">AC124-AG123</f>
        <v>5.7158709173133939</v>
      </c>
      <c r="AH124" s="260">
        <f t="shared" ref="AH124" si="650">AD124-AH123</f>
        <v>6.3119047074690897</v>
      </c>
      <c r="AI124" s="236"/>
    </row>
    <row r="125" spans="1:37" ht="14.25" customHeight="1">
      <c r="A125" s="201" t="str">
        <f t="shared" si="643"/>
        <v>FHL</v>
      </c>
      <c r="B125" s="201" t="str">
        <f t="shared" si="420"/>
        <v>IMPOILHL54</v>
      </c>
      <c r="C125" s="201" t="str">
        <f>CONCATENATE("Imported ",VLOOKUP($A125,Types!$A$13:$C$18,3,FALSE),", PADD ",RIGHT(F125,1),", Step ",RIGHT(E125,1))</f>
        <v>Imported Imported Oil-High Sulfur, Low G, PADD 5, Step 4</v>
      </c>
      <c r="D125" s="201" t="str">
        <f t="shared" si="644"/>
        <v>OILHL5</v>
      </c>
      <c r="E125" s="201">
        <v>4</v>
      </c>
      <c r="F125" s="201" t="str">
        <f t="shared" si="645"/>
        <v>P5</v>
      </c>
      <c r="G125" s="244">
        <f>G122*$C$8</f>
        <v>43.589700000000008</v>
      </c>
      <c r="H125" s="244">
        <f t="shared" ref="H125:J125" si="651">H122*$C$8</f>
        <v>52.696875000000013</v>
      </c>
      <c r="I125" s="244">
        <f t="shared" si="651"/>
        <v>36.278550000000003</v>
      </c>
      <c r="J125" s="244">
        <f t="shared" si="651"/>
        <v>38.230500000000006</v>
      </c>
      <c r="K125" s="245">
        <f>G125*Conv!$J$20/10^6/Conv!$C$47/Conv!$I$5</f>
        <v>10.485984836236943</v>
      </c>
      <c r="L125" s="245">
        <f>H125*Conv!$J$20/10^6/Conv!$C$47/Conv!$I$5</f>
        <v>12.676816591237694</v>
      </c>
      <c r="M125" s="245">
        <f>L125*'Imported Price Trends'!$K$10</f>
        <v>14.321217087848719</v>
      </c>
      <c r="N125" s="245">
        <f>M125*'Imported Price Trends'!$L$10</f>
        <v>14.183303683279151</v>
      </c>
      <c r="O125" s="245">
        <f>N125*'Imported Price Trends'!$M$10</f>
        <v>16.106676564961475</v>
      </c>
      <c r="P125" s="245">
        <f>O125*'Imported Price Trends'!$N$10</f>
        <v>17.588900579816936</v>
      </c>
      <c r="Q125" s="245">
        <f>P125*'Imported Price Trends'!$O$10</f>
        <v>19.293460322726094</v>
      </c>
      <c r="R125" s="245">
        <f>Q125*'Imported Price Trends'!$O$10</f>
        <v>21.163210829205806</v>
      </c>
      <c r="S125" s="245">
        <f>R125*'Imported Price Trends'!$O$10</f>
        <v>23.214160918238534</v>
      </c>
      <c r="T125" s="245">
        <f>S125*'Imported Price Trends'!$O$10</f>
        <v>25.46387084110037</v>
      </c>
      <c r="U125" s="245">
        <f>T125*'Imported Price Trends'!$O$10</f>
        <v>27.931602632374716</v>
      </c>
      <c r="V125" s="227"/>
      <c r="W125" s="261">
        <f>W122*$E$8</f>
        <v>143.05199999999999</v>
      </c>
      <c r="X125" s="261">
        <f t="shared" ref="X125:Z125" si="652">X122*$E$8</f>
        <v>245.59199999999998</v>
      </c>
      <c r="Y125" s="261">
        <f t="shared" si="652"/>
        <v>29.46</v>
      </c>
      <c r="Z125" s="261">
        <f t="shared" si="652"/>
        <v>32.531999999999996</v>
      </c>
      <c r="AA125" s="260">
        <f>W125*Conv!$C$47*Conv!$I$5*1000*365</f>
        <v>333.06181933340758</v>
      </c>
      <c r="AB125" s="260">
        <f>X125*Conv!$C$47*Conv!$I$5*1000*365</f>
        <v>571.80129137467657</v>
      </c>
      <c r="AC125" s="260">
        <f>Y125*Conv!$C$47*Conv!$I$5*1000*365</f>
        <v>68.590451007760734</v>
      </c>
      <c r="AD125" s="260">
        <f>Z125*Conv!$C$47*Conv!$I$5*1000*365</f>
        <v>75.742856489629048</v>
      </c>
      <c r="AE125" s="260">
        <f>AA125-AA122</f>
        <v>55.510303222234597</v>
      </c>
      <c r="AF125" s="260">
        <f t="shared" ref="AF125" si="653">AB125-AB122</f>
        <v>95.300215229112723</v>
      </c>
      <c r="AG125" s="260">
        <f t="shared" ref="AG125" si="654">AC125-AC122</f>
        <v>11.431741834626784</v>
      </c>
      <c r="AH125" s="260">
        <f t="shared" ref="AH125" si="655">AD125-AD122</f>
        <v>12.623809414938172</v>
      </c>
      <c r="AI125" s="236"/>
    </row>
    <row r="126" spans="1:37" ht="14.25" customHeight="1">
      <c r="A126" s="201" t="str">
        <f t="shared" si="643"/>
        <v>FHL</v>
      </c>
      <c r="B126" s="201" t="str">
        <f t="shared" si="420"/>
        <v>IMPOILHL55</v>
      </c>
      <c r="C126" s="201" t="str">
        <f>CONCATENATE("Imported ",VLOOKUP($A126,Types!$A$13:$C$18,3,FALSE),", PADD ",RIGHT(F126,1),", Step ",RIGHT(E126,1))</f>
        <v>Imported Imported Oil-High Sulfur, Low G, PADD 5, Step 5</v>
      </c>
      <c r="D126" s="201" t="str">
        <f t="shared" si="644"/>
        <v>OILHL5</v>
      </c>
      <c r="E126" s="201">
        <v>5</v>
      </c>
      <c r="F126" s="201" t="str">
        <f t="shared" si="645"/>
        <v>P5</v>
      </c>
      <c r="G126" s="244">
        <f>G122*$C$9</f>
        <v>53.968200000000003</v>
      </c>
      <c r="H126" s="244">
        <f t="shared" ref="H126:J126" si="656">H122*$C$9</f>
        <v>65.243750000000006</v>
      </c>
      <c r="I126" s="244">
        <f t="shared" si="656"/>
        <v>44.916300000000007</v>
      </c>
      <c r="J126" s="244">
        <f t="shared" si="656"/>
        <v>47.333000000000006</v>
      </c>
      <c r="K126" s="245">
        <f>G126*Conv!$J$20/10^6/Conv!$C$47/Conv!$I$5</f>
        <v>12.982647892483834</v>
      </c>
      <c r="L126" s="245">
        <f>H126*Conv!$J$20/10^6/Conv!$C$47/Conv!$I$5</f>
        <v>15.695106255818095</v>
      </c>
      <c r="M126" s="245">
        <f>L126*'Imported Price Trends'!$K$10</f>
        <v>17.731030680193651</v>
      </c>
      <c r="N126" s="245">
        <f>M126*'Imported Price Trends'!$L$10</f>
        <v>17.560280750726566</v>
      </c>
      <c r="O126" s="245">
        <f>N126*'Imported Price Trends'!$M$10</f>
        <v>19.941599556618968</v>
      </c>
      <c r="P126" s="245">
        <f>O126*'Imported Price Trends'!$N$10</f>
        <v>21.77673405120192</v>
      </c>
      <c r="Q126" s="245">
        <f>P126*'Imported Price Trends'!$O$10</f>
        <v>23.887141351946592</v>
      </c>
      <c r="R126" s="245">
        <f>Q126*'Imported Price Trends'!$O$10</f>
        <v>26.202070550445285</v>
      </c>
      <c r="S126" s="245">
        <f>R126*'Imported Price Trends'!$O$10</f>
        <v>28.741342089247709</v>
      </c>
      <c r="T126" s="245">
        <f>S126*'Imported Price Trends'!$O$10</f>
        <v>31.526697231838554</v>
      </c>
      <c r="U126" s="245">
        <f>T126*'Imported Price Trends'!$O$10</f>
        <v>34.581984211511553</v>
      </c>
      <c r="V126" s="227"/>
      <c r="W126" s="261">
        <f>W122*$E$9</f>
        <v>154.97299999999998</v>
      </c>
      <c r="X126" s="261">
        <f t="shared" ref="X126:Z126" si="657">X122*$E$9</f>
        <v>266.05799999999999</v>
      </c>
      <c r="Y126" s="261">
        <f t="shared" si="657"/>
        <v>31.915000000000003</v>
      </c>
      <c r="Z126" s="261">
        <f t="shared" si="657"/>
        <v>35.243000000000002</v>
      </c>
      <c r="AA126" s="260">
        <f>W126*Conv!$C$47*Conv!$I$5*1000*365</f>
        <v>360.81697094452483</v>
      </c>
      <c r="AB126" s="260">
        <f>X126*Conv!$C$47*Conv!$I$5*1000*365</f>
        <v>619.45139898923298</v>
      </c>
      <c r="AC126" s="260">
        <f>Y126*Conv!$C$47*Conv!$I$5*1000*365</f>
        <v>74.30632192507413</v>
      </c>
      <c r="AD126" s="260">
        <f>Z126*Conv!$C$47*Conv!$I$5*1000*365</f>
        <v>82.054761197098145</v>
      </c>
      <c r="AE126" s="260">
        <f>AA126-AA125</f>
        <v>27.755151611117242</v>
      </c>
      <c r="AF126" s="260">
        <f t="shared" ref="AF126" si="658">AB126-AB125</f>
        <v>47.650107614556418</v>
      </c>
      <c r="AG126" s="260">
        <f t="shared" ref="AG126" si="659">AC126-AC125</f>
        <v>5.7158709173133957</v>
      </c>
      <c r="AH126" s="260">
        <f t="shared" ref="AH126" si="660">AD126-AD125</f>
        <v>6.3119047074690968</v>
      </c>
      <c r="AI126" s="236"/>
    </row>
    <row r="127" spans="1:37" ht="14.25" customHeight="1">
      <c r="A127" s="201" t="str">
        <f>'Agg crdcrv'!C86</f>
        <v>FHV</v>
      </c>
      <c r="B127" s="201" t="str">
        <f t="shared" si="420"/>
        <v>IMPOILHV53</v>
      </c>
      <c r="C127" s="201" t="str">
        <f>CONCATENATE("Imported ",VLOOKUP($A127,Types!$A$13:$C$18,3,FALSE),", PADD ",RIGHT(F127,1),", Step ",RIGHT(E127,1))</f>
        <v>Imported Imported Oil-High Sulfur, Very HG, PADD 5, Step 3</v>
      </c>
      <c r="D127" s="201" t="str">
        <f>CONCATENATE(VLOOKUP($A127,Types!$A$14:$C$18,2,FALSE),RIGHT(F127,1))</f>
        <v>OILHV5</v>
      </c>
      <c r="E127" s="201">
        <v>3</v>
      </c>
      <c r="F127" s="201" t="str">
        <f>'Agg crdcrv'!D86</f>
        <v>P5</v>
      </c>
      <c r="G127" s="244">
        <f>'Agg crdcrv'!H86*K5</f>
        <v>28.6</v>
      </c>
      <c r="H127" s="244">
        <f>'Agg crdcrv'!H91*K5</f>
        <v>45.993750000000006</v>
      </c>
      <c r="I127" s="244">
        <f>'Agg crdcrv'!H96*K5</f>
        <v>31.251000000000001</v>
      </c>
      <c r="J127" s="244">
        <f>'Agg crdcrv'!H101*K5</f>
        <v>33.088000000000001</v>
      </c>
      <c r="K127" s="245">
        <f>G127*Conv!$J$20/10^6/Conv!$C$47/Conv!$I$5</f>
        <v>6.8800465778928626</v>
      </c>
      <c r="L127" s="245">
        <f>H127*Conv!$J$20/10^6/Conv!$C$47/Conv!$I$5</f>
        <v>11.064305674544054</v>
      </c>
      <c r="M127" s="245">
        <f>L127*'Imported Price Trends'!$K$10</f>
        <v>12.499535853582248</v>
      </c>
      <c r="N127" s="245">
        <f>M127*'Imported Price Trends'!$L$10</f>
        <v>12.379165249985325</v>
      </c>
      <c r="O127" s="245">
        <f>N127*'Imported Price Trends'!$M$10</f>
        <v>14.057882089966375</v>
      </c>
      <c r="P127" s="245">
        <f>O127*'Imported Price Trends'!$N$10</f>
        <v>15.351564889624958</v>
      </c>
      <c r="Q127" s="245">
        <f>P127*'Imported Price Trends'!$O$10</f>
        <v>16.83930196464939</v>
      </c>
      <c r="R127" s="245">
        <f>Q127*'Imported Price Trends'!$O$10</f>
        <v>18.471217279502525</v>
      </c>
      <c r="S127" s="245">
        <f>R127*'Imported Price Trends'!$O$10</f>
        <v>20.261283306329524</v>
      </c>
      <c r="T127" s="245">
        <f>S127*'Imported Price Trends'!$O$10</f>
        <v>22.224826604952575</v>
      </c>
      <c r="U127" s="245">
        <f>T127*'Imported Price Trends'!$O$10</f>
        <v>24.378659049000245</v>
      </c>
      <c r="V127" s="227"/>
      <c r="W127" s="201">
        <f>'Agg crdcrv'!F86</f>
        <v>179.98</v>
      </c>
      <c r="X127" s="201">
        <f>'Agg crdcrv'!F91</f>
        <v>185.27</v>
      </c>
      <c r="Y127" s="201">
        <f>'Agg crdcrv'!F96</f>
        <v>20.32</v>
      </c>
      <c r="Z127" s="201">
        <f>'Agg crdcrv'!F101</f>
        <v>22.43</v>
      </c>
      <c r="AA127" s="260">
        <f>W127*Conv!$C$47*Conv!$I$5*1000*365</f>
        <v>419.03969356336643</v>
      </c>
      <c r="AB127" s="260">
        <f>X127*Conv!$C$47*Conv!$I$5*1000*365</f>
        <v>431.35617305525562</v>
      </c>
      <c r="AC127" s="260">
        <f>Y127*Conv!$C$47*Conv!$I$5*1000*365</f>
        <v>47.310182093608205</v>
      </c>
      <c r="AD127" s="260">
        <f>Z127*Conv!$C$47*Conv!$I$5*1000*365</f>
        <v>52.222804348407088</v>
      </c>
      <c r="AE127" s="260">
        <f>AA127-AA129</f>
        <v>335.23175485069311</v>
      </c>
      <c r="AF127" s="260">
        <f t="shared" ref="AF127" si="661">AB127-AB129</f>
        <v>345.08493844420451</v>
      </c>
      <c r="AG127" s="260">
        <f t="shared" ref="AG127" si="662">AC127-AC129</f>
        <v>37.848145674886567</v>
      </c>
      <c r="AH127" s="260">
        <f t="shared" ref="AH127" si="663">AD127-AD129</f>
        <v>41.77824347872567</v>
      </c>
    </row>
    <row r="128" spans="1:37" ht="14.25" customHeight="1">
      <c r="A128" s="201" t="str">
        <f>A127</f>
        <v>FHV</v>
      </c>
      <c r="B128" s="201" t="str">
        <f t="shared" si="420"/>
        <v>IMPOILHV51</v>
      </c>
      <c r="C128" s="201" t="str">
        <f>CONCATENATE("Imported ",VLOOKUP($A128,Types!$A$13:$C$18,3,FALSE),", PADD ",RIGHT(F128,1),", Step ",RIGHT(E128,1))</f>
        <v>Imported Imported Oil-High Sulfur, Very HG, PADD 5, Step 1</v>
      </c>
      <c r="D128" s="201" t="str">
        <f>D127</f>
        <v>OILHV5</v>
      </c>
      <c r="E128" s="201">
        <v>1</v>
      </c>
      <c r="F128" s="201" t="str">
        <f>F127</f>
        <v>P5</v>
      </c>
      <c r="G128" s="244">
        <f>G127*$C$5</f>
        <v>25.740000000000002</v>
      </c>
      <c r="H128" s="244">
        <f t="shared" ref="H128" si="664">H127*$C$5</f>
        <v>41.394375000000004</v>
      </c>
      <c r="I128" s="244">
        <f t="shared" ref="I128" si="665">I127*$C$5</f>
        <v>28.125900000000001</v>
      </c>
      <c r="J128" s="244">
        <f t="shared" ref="J128" si="666">J127*$C$5</f>
        <v>29.779200000000003</v>
      </c>
      <c r="K128" s="245">
        <f>G128*Conv!$J$20/10^6/Conv!$C$47/Conv!$I$5</f>
        <v>6.192041920103577</v>
      </c>
      <c r="L128" s="245">
        <f>H128*Conv!$J$20/10^6/Conv!$C$47/Conv!$I$5</f>
        <v>9.9578751070896452</v>
      </c>
      <c r="M128" s="245">
        <f>L128*'Imported Price Trends'!$K$10</f>
        <v>11.249582268224019</v>
      </c>
      <c r="N128" s="245">
        <f>M128*'Imported Price Trends'!$L$10</f>
        <v>11.14124872498679</v>
      </c>
      <c r="O128" s="245">
        <f>N128*'Imported Price Trends'!$M$10</f>
        <v>12.652093880969735</v>
      </c>
      <c r="P128" s="245">
        <f>O128*'Imported Price Trends'!$N$10</f>
        <v>13.816408400662461</v>
      </c>
      <c r="Q128" s="245">
        <f>P128*'Imported Price Trends'!$O$10</f>
        <v>15.155371768184448</v>
      </c>
      <c r="R128" s="245">
        <f>Q128*'Imported Price Trends'!$O$10</f>
        <v>16.624095551552269</v>
      </c>
      <c r="S128" s="245">
        <f>R128*'Imported Price Trends'!$O$10</f>
        <v>18.235154975696567</v>
      </c>
      <c r="T128" s="245">
        <f>S128*'Imported Price Trends'!$O$10</f>
        <v>20.002343944457312</v>
      </c>
      <c r="U128" s="245">
        <f>T128*'Imported Price Trends'!$O$10</f>
        <v>21.940793144100212</v>
      </c>
      <c r="V128" s="227"/>
      <c r="W128" s="261">
        <f>W127*$E$5</f>
        <v>17.998000000000001</v>
      </c>
      <c r="X128" s="261">
        <f t="shared" ref="X128" si="667">X127*$E$5</f>
        <v>18.527000000000001</v>
      </c>
      <c r="Y128" s="261">
        <f t="shared" ref="Y128" si="668">Y127*$E$5</f>
        <v>2.032</v>
      </c>
      <c r="Z128" s="261">
        <f t="shared" ref="Z128" si="669">Z127*$E$5</f>
        <v>2.2429999999999999</v>
      </c>
      <c r="AA128" s="260">
        <f>W128*Conv!$C$47*Conv!$I$5*1000*365</f>
        <v>41.903969356336653</v>
      </c>
      <c r="AB128" s="260">
        <f>X128*Conv!$C$47*Conv!$I$5*1000*365</f>
        <v>43.135617305525564</v>
      </c>
      <c r="AC128" s="260">
        <f>Y128*Conv!$C$47*Conv!$I$5*1000*365</f>
        <v>4.7310182093608208</v>
      </c>
      <c r="AD128" s="260">
        <f>Z128*Conv!$C$47*Conv!$I$5*1000*365</f>
        <v>5.2222804348407097</v>
      </c>
      <c r="AE128" s="260">
        <f>AA128</f>
        <v>41.903969356336653</v>
      </c>
      <c r="AF128" s="260">
        <f t="shared" ref="AF128" si="670">AB128</f>
        <v>43.135617305525564</v>
      </c>
      <c r="AG128" s="260">
        <f t="shared" ref="AG128" si="671">AC128</f>
        <v>4.7310182093608208</v>
      </c>
      <c r="AH128" s="260">
        <f t="shared" ref="AH128" si="672">AD128</f>
        <v>5.2222804348407097</v>
      </c>
      <c r="AI128" s="236"/>
    </row>
    <row r="129" spans="1:35" ht="14.25" customHeight="1">
      <c r="A129" s="201" t="str">
        <f t="shared" ref="A129:A131" si="673">A128</f>
        <v>FHV</v>
      </c>
      <c r="B129" s="201" t="str">
        <f t="shared" si="420"/>
        <v>IMPOILHV52</v>
      </c>
      <c r="C129" s="201" t="str">
        <f>CONCATENATE("Imported ",VLOOKUP($A129,Types!$A$13:$C$18,3,FALSE),", PADD ",RIGHT(F129,1),", Step ",RIGHT(E129,1))</f>
        <v>Imported Imported Oil-High Sulfur, Very HG, PADD 5, Step 2</v>
      </c>
      <c r="D129" s="201" t="str">
        <f t="shared" ref="D129:D131" si="674">D128</f>
        <v>OILHV5</v>
      </c>
      <c r="E129" s="201">
        <v>2</v>
      </c>
      <c r="F129" s="201" t="str">
        <f t="shared" ref="F129:F131" si="675">F128</f>
        <v>P5</v>
      </c>
      <c r="G129" s="244">
        <f>G127*$C$6</f>
        <v>27.17</v>
      </c>
      <c r="H129" s="244">
        <f t="shared" ref="H129:J129" si="676">H127*$C$6</f>
        <v>43.694062500000001</v>
      </c>
      <c r="I129" s="244">
        <f t="shared" si="676"/>
        <v>29.68845</v>
      </c>
      <c r="J129" s="244">
        <f t="shared" si="676"/>
        <v>31.433599999999998</v>
      </c>
      <c r="K129" s="245">
        <f>G129*Conv!$J$20/10^6/Conv!$C$47/Conv!$I$5</f>
        <v>6.5360442489982198</v>
      </c>
      <c r="L129" s="245">
        <f>H129*Conv!$J$20/10^6/Conv!$C$47/Conv!$I$5</f>
        <v>10.511090390816848</v>
      </c>
      <c r="M129" s="245">
        <f>L129*'Imported Price Trends'!$K$10</f>
        <v>11.874559060903133</v>
      </c>
      <c r="N129" s="245">
        <f>M129*'Imported Price Trends'!$L$10</f>
        <v>11.760206987486056</v>
      </c>
      <c r="O129" s="245">
        <f>N129*'Imported Price Trends'!$M$10</f>
        <v>13.354987985468053</v>
      </c>
      <c r="P129" s="245">
        <f>O129*'Imported Price Trends'!$N$10</f>
        <v>14.583986645143707</v>
      </c>
      <c r="Q129" s="245">
        <f>P129*'Imported Price Trends'!$O$10</f>
        <v>15.997336866416916</v>
      </c>
      <c r="R129" s="245">
        <f>Q129*'Imported Price Trends'!$O$10</f>
        <v>17.547656415527392</v>
      </c>
      <c r="S129" s="245">
        <f>R129*'Imported Price Trends'!$O$10</f>
        <v>19.248219141013042</v>
      </c>
      <c r="T129" s="245">
        <f>S129*'Imported Price Trends'!$O$10</f>
        <v>21.113585274704942</v>
      </c>
      <c r="U129" s="245">
        <f>T129*'Imported Price Trends'!$O$10</f>
        <v>23.159726096550227</v>
      </c>
      <c r="V129" s="227"/>
      <c r="W129" s="261">
        <f>W127*$E$6</f>
        <v>35.996000000000002</v>
      </c>
      <c r="X129" s="261">
        <f t="shared" ref="X129:Z129" si="677">X127*$E$6</f>
        <v>37.054000000000002</v>
      </c>
      <c r="Y129" s="261">
        <f t="shared" si="677"/>
        <v>4.0640000000000001</v>
      </c>
      <c r="Z129" s="261">
        <f t="shared" si="677"/>
        <v>4.4859999999999998</v>
      </c>
      <c r="AA129" s="260">
        <f>W129*Conv!$C$47*Conv!$I$5*1000*365</f>
        <v>83.807938712673305</v>
      </c>
      <c r="AB129" s="260">
        <f>X129*Conv!$C$47*Conv!$I$5*1000*365</f>
        <v>86.271234611051128</v>
      </c>
      <c r="AC129" s="260">
        <f>Y129*Conv!$C$47*Conv!$I$5*1000*365</f>
        <v>9.4620364187216417</v>
      </c>
      <c r="AD129" s="260">
        <f>Z129*Conv!$C$47*Conv!$I$5*1000*365</f>
        <v>10.444560869681419</v>
      </c>
      <c r="AE129" s="260">
        <f>AA129-AE128</f>
        <v>41.903969356336653</v>
      </c>
      <c r="AF129" s="260">
        <f t="shared" ref="AF129" si="678">AB129-AF128</f>
        <v>43.135617305525564</v>
      </c>
      <c r="AG129" s="260">
        <f t="shared" ref="AG129" si="679">AC129-AG128</f>
        <v>4.7310182093608208</v>
      </c>
      <c r="AH129" s="260">
        <f t="shared" ref="AH129" si="680">AD129-AH128</f>
        <v>5.2222804348407097</v>
      </c>
      <c r="AI129" s="236"/>
    </row>
    <row r="130" spans="1:35" ht="14.25" customHeight="1">
      <c r="A130" s="201" t="str">
        <f t="shared" si="673"/>
        <v>FHV</v>
      </c>
      <c r="B130" s="201" t="str">
        <f t="shared" si="420"/>
        <v>IMPOILHV54</v>
      </c>
      <c r="C130" s="201" t="str">
        <f>CONCATENATE("Imported ",VLOOKUP($A130,Types!$A$13:$C$18,3,FALSE),", PADD ",RIGHT(F130,1),", Step ",RIGHT(E130,1))</f>
        <v>Imported Imported Oil-High Sulfur, Very HG, PADD 5, Step 4</v>
      </c>
      <c r="D130" s="201" t="str">
        <f t="shared" si="674"/>
        <v>OILHV5</v>
      </c>
      <c r="E130" s="201">
        <v>4</v>
      </c>
      <c r="F130" s="201" t="str">
        <f t="shared" si="675"/>
        <v>P5</v>
      </c>
      <c r="G130" s="244">
        <f>G127*$C$8</f>
        <v>30.03</v>
      </c>
      <c r="H130" s="244">
        <f t="shared" ref="H130:J130" si="681">H127*$C$8</f>
        <v>48.29343750000001</v>
      </c>
      <c r="I130" s="244">
        <f t="shared" si="681"/>
        <v>32.813549999999999</v>
      </c>
      <c r="J130" s="244">
        <f t="shared" si="681"/>
        <v>34.742400000000004</v>
      </c>
      <c r="K130" s="245">
        <f>G130*Conv!$J$20/10^6/Conv!$C$47/Conv!$I$5</f>
        <v>7.2240489067875053</v>
      </c>
      <c r="L130" s="245">
        <f>H130*Conv!$J$20/10^6/Conv!$C$47/Conv!$I$5</f>
        <v>11.617520958271253</v>
      </c>
      <c r="M130" s="245">
        <f>L130*'Imported Price Trends'!$K$10</f>
        <v>13.124512646261357</v>
      </c>
      <c r="N130" s="245">
        <f>M130*'Imported Price Trends'!$L$10</f>
        <v>12.998123512484588</v>
      </c>
      <c r="O130" s="245">
        <f>N130*'Imported Price Trends'!$M$10</f>
        <v>14.76077619446469</v>
      </c>
      <c r="P130" s="245">
        <f>O130*'Imported Price Trends'!$N$10</f>
        <v>16.119143134106203</v>
      </c>
      <c r="Q130" s="245">
        <f>P130*'Imported Price Trends'!$O$10</f>
        <v>17.681267062881854</v>
      </c>
      <c r="R130" s="245">
        <f>Q130*'Imported Price Trends'!$O$10</f>
        <v>19.394778143477645</v>
      </c>
      <c r="S130" s="245">
        <f>R130*'Imported Price Trends'!$O$10</f>
        <v>21.274347471645992</v>
      </c>
      <c r="T130" s="245">
        <f>S130*'Imported Price Trends'!$O$10</f>
        <v>23.336067935200195</v>
      </c>
      <c r="U130" s="245">
        <f>T130*'Imported Price Trends'!$O$10</f>
        <v>25.597592001450245</v>
      </c>
      <c r="V130" s="227"/>
      <c r="W130" s="261">
        <f>W127*$E$8</f>
        <v>215.97599999999997</v>
      </c>
      <c r="X130" s="261">
        <f t="shared" ref="X130:Z130" si="682">X127*$E$8</f>
        <v>222.32400000000001</v>
      </c>
      <c r="Y130" s="261">
        <f t="shared" si="682"/>
        <v>24.384</v>
      </c>
      <c r="Z130" s="261">
        <f t="shared" si="682"/>
        <v>26.916</v>
      </c>
      <c r="AA130" s="260">
        <f>W130*Conv!$C$47*Conv!$I$5*1000*365</f>
        <v>502.84763227603963</v>
      </c>
      <c r="AB130" s="260">
        <f>X130*Conv!$C$47*Conv!$I$5*1000*365</f>
        <v>517.62740766630668</v>
      </c>
      <c r="AC130" s="260">
        <f>Y130*Conv!$C$47*Conv!$I$5*1000*365</f>
        <v>56.772218512329857</v>
      </c>
      <c r="AD130" s="260">
        <f>Z130*Conv!$C$47*Conv!$I$5*1000*365</f>
        <v>62.66736521808852</v>
      </c>
      <c r="AE130" s="260">
        <f>AA130-AA127</f>
        <v>83.807938712673206</v>
      </c>
      <c r="AF130" s="260">
        <f t="shared" ref="AF130" si="683">AB130-AB127</f>
        <v>86.271234611051057</v>
      </c>
      <c r="AG130" s="260">
        <f t="shared" ref="AG130" si="684">AC130-AC127</f>
        <v>9.4620364187216524</v>
      </c>
      <c r="AH130" s="260">
        <f t="shared" ref="AH130" si="685">AD130-AD127</f>
        <v>10.444560869681432</v>
      </c>
      <c r="AI130" s="236"/>
    </row>
    <row r="131" spans="1:35" ht="14.25" customHeight="1">
      <c r="A131" s="201" t="str">
        <f t="shared" si="673"/>
        <v>FHV</v>
      </c>
      <c r="B131" s="201" t="str">
        <f t="shared" si="420"/>
        <v>IMPOILHV55</v>
      </c>
      <c r="C131" s="201" t="str">
        <f>CONCATENATE("Imported ",VLOOKUP($A131,Types!$A$13:$C$18,3,FALSE),", PADD ",RIGHT(F131,1),", Step ",RIGHT(E131,1))</f>
        <v>Imported Imported Oil-High Sulfur, Very HG, PADD 5, Step 5</v>
      </c>
      <c r="D131" s="201" t="str">
        <f t="shared" si="674"/>
        <v>OILHV5</v>
      </c>
      <c r="E131" s="201">
        <v>5</v>
      </c>
      <c r="F131" s="201" t="str">
        <f t="shared" si="675"/>
        <v>P5</v>
      </c>
      <c r="G131" s="244">
        <f>G127*$C$9</f>
        <v>37.18</v>
      </c>
      <c r="H131" s="244">
        <f t="shared" ref="H131:J131" si="686">H127*$C$9</f>
        <v>59.791875000000012</v>
      </c>
      <c r="I131" s="244">
        <f t="shared" si="686"/>
        <v>40.626300000000001</v>
      </c>
      <c r="J131" s="244">
        <f t="shared" si="686"/>
        <v>43.014400000000002</v>
      </c>
      <c r="K131" s="245">
        <f>G131*Conv!$J$20/10^6/Conv!$C$47/Conv!$I$5</f>
        <v>8.944060551260721</v>
      </c>
      <c r="L131" s="245">
        <f>H131*Conv!$J$20/10^6/Conv!$C$47/Conv!$I$5</f>
        <v>14.383597376907268</v>
      </c>
      <c r="M131" s="245">
        <f>L131*'Imported Price Trends'!$K$10</f>
        <v>16.24939660965692</v>
      </c>
      <c r="N131" s="245">
        <f>M131*'Imported Price Trends'!$L$10</f>
        <v>16.09291482498092</v>
      </c>
      <c r="O131" s="245">
        <f>N131*'Imported Price Trends'!$M$10</f>
        <v>18.275246716956286</v>
      </c>
      <c r="P131" s="245">
        <f>O131*'Imported Price Trends'!$N$10</f>
        <v>19.957034356512445</v>
      </c>
      <c r="Q131" s="245">
        <f>P131*'Imported Price Trends'!$O$10</f>
        <v>21.891092554044203</v>
      </c>
      <c r="R131" s="245">
        <f>Q131*'Imported Price Trends'!$O$10</f>
        <v>24.012582463353276</v>
      </c>
      <c r="S131" s="245">
        <f>R131*'Imported Price Trends'!$O$10</f>
        <v>26.339668298228375</v>
      </c>
      <c r="T131" s="245">
        <f>S131*'Imported Price Trends'!$O$10</f>
        <v>28.89227458643834</v>
      </c>
      <c r="U131" s="245">
        <f>T131*'Imported Price Trends'!$O$10</f>
        <v>31.692256763700307</v>
      </c>
      <c r="V131" s="227"/>
      <c r="W131" s="261">
        <f>W127*$E$9</f>
        <v>233.97399999999999</v>
      </c>
      <c r="X131" s="261">
        <f t="shared" ref="X131:Z131" si="687">X127*$E$9</f>
        <v>240.85100000000003</v>
      </c>
      <c r="Y131" s="261">
        <f t="shared" si="687"/>
        <v>26.416</v>
      </c>
      <c r="Z131" s="261">
        <f t="shared" si="687"/>
        <v>29.158999999999999</v>
      </c>
      <c r="AA131" s="260">
        <f>W131*Conv!$C$47*Conv!$I$5*1000*365</f>
        <v>544.75160163237638</v>
      </c>
      <c r="AB131" s="260">
        <f>X131*Conv!$C$47*Conv!$I$5*1000*365</f>
        <v>560.76302497183224</v>
      </c>
      <c r="AC131" s="260">
        <f>Y131*Conv!$C$47*Conv!$I$5*1000*365</f>
        <v>61.503236721690676</v>
      </c>
      <c r="AD131" s="260">
        <f>Z131*Conv!$C$47*Conv!$I$5*1000*365</f>
        <v>67.889645652929232</v>
      </c>
      <c r="AE131" s="260">
        <f>AA131-AA130</f>
        <v>41.903969356336745</v>
      </c>
      <c r="AF131" s="260">
        <f t="shared" ref="AF131" si="688">AB131-AB130</f>
        <v>43.135617305525557</v>
      </c>
      <c r="AG131" s="260">
        <f t="shared" ref="AG131" si="689">AC131-AC130</f>
        <v>4.7310182093608191</v>
      </c>
      <c r="AH131" s="260">
        <f t="shared" ref="AH131" si="690">AD131-AD130</f>
        <v>5.2222804348407124</v>
      </c>
      <c r="AI131" s="236"/>
    </row>
    <row r="132" spans="1:35" ht="14.25" customHeight="1">
      <c r="A132" s="201" t="str">
        <f>'Agg crdcrv'!C87</f>
        <v>FLL</v>
      </c>
      <c r="B132" s="201" t="str">
        <f t="shared" si="420"/>
        <v>IMPOILLL53</v>
      </c>
      <c r="C132" s="201" t="str">
        <f>CONCATENATE("Imported ",VLOOKUP($A132,Types!$A$13:$C$18,3,FALSE),", PADD ",RIGHT(F132,1),", Step ",RIGHT(E132,1))</f>
        <v>Imported Imported Oil-Low Sulfur, Low G, PADD 5, Step 3</v>
      </c>
      <c r="D132" s="201" t="str">
        <f>CONCATENATE(VLOOKUP($A132,Types!$A$14:$C$18,2,FALSE),RIGHT(F132,1))</f>
        <v>OILLL5</v>
      </c>
      <c r="E132" s="201">
        <v>3</v>
      </c>
      <c r="F132" s="201" t="str">
        <f>'Agg crdcrv'!D87</f>
        <v>P5</v>
      </c>
      <c r="G132" s="244">
        <f>'Agg crdcrv'!H87*K5</f>
        <v>40.260000000000005</v>
      </c>
      <c r="H132" s="244">
        <f>'Agg crdcrv'!H92*K5</f>
        <v>60.981250000000003</v>
      </c>
      <c r="I132" s="244">
        <f>'Agg crdcrv'!H97*K5</f>
        <v>42.283999999999999</v>
      </c>
      <c r="J132" s="244">
        <f>'Agg crdcrv'!H102*K5</f>
        <v>44.440000000000005</v>
      </c>
      <c r="K132" s="245">
        <f>G132*Conv!$J$20/10^6/Conv!$C$47/Conv!$I$5</f>
        <v>9.6849886442645694</v>
      </c>
      <c r="L132" s="245">
        <f>H132*Conv!$J$20/10^6/Conv!$C$47/Conv!$I$5</f>
        <v>14.669714698535982</v>
      </c>
      <c r="M132" s="245">
        <f>L132*'Imported Price Trends'!$K$10</f>
        <v>16.572628254301122</v>
      </c>
      <c r="N132" s="245">
        <f>M132*'Imported Price Trends'!$L$10</f>
        <v>16.413033746991001</v>
      </c>
      <c r="O132" s="245">
        <f>N132*'Imported Price Trends'!$M$10</f>
        <v>18.638776403288745</v>
      </c>
      <c r="P132" s="245">
        <f>O132*'Imported Price Trends'!$N$10</f>
        <v>20.354018022567015</v>
      </c>
      <c r="Q132" s="245">
        <f>P132*'Imported Price Trends'!$O$10</f>
        <v>22.326548344759345</v>
      </c>
      <c r="R132" s="245">
        <f>Q132*'Imported Price Trends'!$O$10</f>
        <v>24.49023875473652</v>
      </c>
      <c r="S132" s="245">
        <f>R132*'Imported Price Trends'!$O$10</f>
        <v>26.863614787315814</v>
      </c>
      <c r="T132" s="245">
        <f>S132*'Imported Price Trends'!$O$10</f>
        <v>29.46699730731379</v>
      </c>
      <c r="U132" s="245">
        <f>T132*'Imported Price Trends'!$O$10</f>
        <v>32.322676496955467</v>
      </c>
      <c r="V132" s="227"/>
      <c r="W132" s="201">
        <f>'Agg crdcrv'!F87</f>
        <v>154.94999999999999</v>
      </c>
      <c r="X132" s="201">
        <f>'Agg crdcrv'!F92</f>
        <v>263.88</v>
      </c>
      <c r="Y132" s="201">
        <f>'Agg crdcrv'!F97</f>
        <v>2.4900000000000002</v>
      </c>
      <c r="Z132" s="201">
        <f>'Agg crdcrv'!F102</f>
        <v>2.75</v>
      </c>
      <c r="AA132" s="260">
        <f>W132*Conv!$C$47*Conv!$I$5*1000*365</f>
        <v>360.76342103369052</v>
      </c>
      <c r="AB132" s="260">
        <f>X132*Conv!$C$47*Conv!$I$5*1000*365</f>
        <v>614.38045525892392</v>
      </c>
      <c r="AC132" s="260">
        <f>Y132*Conv!$C$47*Conv!$I$5*1000*365</f>
        <v>5.7973599120612436</v>
      </c>
      <c r="AD132" s="260">
        <f>Z132*Conv!$C$47*Conv!$I$5*1000*365</f>
        <v>6.4027067301881209</v>
      </c>
      <c r="AE132" s="260">
        <f>AA132-AA134</f>
        <v>288.6107368269524</v>
      </c>
      <c r="AF132" s="260">
        <f t="shared" ref="AF132" si="691">AB132-AB134</f>
        <v>491.50436420713913</v>
      </c>
      <c r="AG132" s="260">
        <f t="shared" ref="AG132" si="692">AC132-AC134</f>
        <v>4.6378879296489952</v>
      </c>
      <c r="AH132" s="260">
        <f t="shared" ref="AH132" si="693">AD132-AD134</f>
        <v>5.122165384150497</v>
      </c>
    </row>
    <row r="133" spans="1:35" ht="14.25" customHeight="1">
      <c r="A133" s="201" t="str">
        <f>A132</f>
        <v>FLL</v>
      </c>
      <c r="B133" s="201" t="str">
        <f t="shared" si="420"/>
        <v>IMPOILLL51</v>
      </c>
      <c r="C133" s="201" t="str">
        <f>CONCATENATE("Imported ",VLOOKUP($A133,Types!$A$13:$C$18,3,FALSE),", PADD ",RIGHT(F133,1),", Step ",RIGHT(E133,1))</f>
        <v>Imported Imported Oil-Low Sulfur, Low G, PADD 5, Step 1</v>
      </c>
      <c r="D133" s="201" t="str">
        <f>D132</f>
        <v>OILLL5</v>
      </c>
      <c r="E133" s="201">
        <v>1</v>
      </c>
      <c r="F133" s="201" t="str">
        <f>F132</f>
        <v>P5</v>
      </c>
      <c r="G133" s="244">
        <f>G132*$C$5</f>
        <v>36.234000000000009</v>
      </c>
      <c r="H133" s="244">
        <f t="shared" ref="H133" si="694">H132*$C$5</f>
        <v>54.883125000000007</v>
      </c>
      <c r="I133" s="244">
        <f t="shared" ref="I133" si="695">I132*$C$5</f>
        <v>38.055599999999998</v>
      </c>
      <c r="J133" s="244">
        <f t="shared" ref="J133" si="696">J132*$C$5</f>
        <v>39.996000000000002</v>
      </c>
      <c r="K133" s="245">
        <f>G133*Conv!$J$20/10^6/Conv!$C$47/Conv!$I$5</f>
        <v>8.7164897798381133</v>
      </c>
      <c r="L133" s="245">
        <f>H133*Conv!$J$20/10^6/Conv!$C$47/Conv!$I$5</f>
        <v>13.202743228682387</v>
      </c>
      <c r="M133" s="245">
        <f>L133*'Imported Price Trends'!$K$10</f>
        <v>14.915365428871013</v>
      </c>
      <c r="N133" s="245">
        <f>M133*'Imported Price Trends'!$L$10</f>
        <v>14.771730372291906</v>
      </c>
      <c r="O133" s="245">
        <f>N133*'Imported Price Trends'!$M$10</f>
        <v>16.774898762959875</v>
      </c>
      <c r="P133" s="245">
        <f>O133*'Imported Price Trends'!$N$10</f>
        <v>18.318616220310318</v>
      </c>
      <c r="Q133" s="245">
        <f>P133*'Imported Price Trends'!$O$10</f>
        <v>20.093893510283415</v>
      </c>
      <c r="R133" s="245">
        <f>Q133*'Imported Price Trends'!$O$10</f>
        <v>22.041214879262871</v>
      </c>
      <c r="S133" s="245">
        <f>R133*'Imported Price Trends'!$O$10</f>
        <v>24.177253308584234</v>
      </c>
      <c r="T133" s="245">
        <f>S133*'Imported Price Trends'!$O$10</f>
        <v>26.520297576582411</v>
      </c>
      <c r="U133" s="245">
        <f>T133*'Imported Price Trends'!$O$10</f>
        <v>29.090408847259919</v>
      </c>
      <c r="V133" s="227"/>
      <c r="W133" s="261">
        <f>W132*$E$5</f>
        <v>15.494999999999999</v>
      </c>
      <c r="X133" s="261">
        <f t="shared" ref="X133" si="697">X132*$E$5</f>
        <v>26.388000000000002</v>
      </c>
      <c r="Y133" s="261">
        <f t="shared" ref="Y133" si="698">Y132*$E$5</f>
        <v>0.24900000000000003</v>
      </c>
      <c r="Z133" s="261">
        <f t="shared" ref="Z133" si="699">Z132*$E$5</f>
        <v>0.27500000000000002</v>
      </c>
      <c r="AA133" s="260">
        <f>W133*Conv!$C$47*Conv!$I$5*1000*365</f>
        <v>36.076342103369058</v>
      </c>
      <c r="AB133" s="260">
        <f>X133*Conv!$C$47*Conv!$I$5*1000*365</f>
        <v>61.438045525892406</v>
      </c>
      <c r="AC133" s="260">
        <f>Y133*Conv!$C$47*Conv!$I$5*1000*365</f>
        <v>0.5797359912061244</v>
      </c>
      <c r="AD133" s="260">
        <f>Z133*Conv!$C$47*Conv!$I$5*1000*365</f>
        <v>0.64027067301881202</v>
      </c>
      <c r="AE133" s="260">
        <f>AA133</f>
        <v>36.076342103369058</v>
      </c>
      <c r="AF133" s="260">
        <f t="shared" ref="AF133" si="700">AB133</f>
        <v>61.438045525892406</v>
      </c>
      <c r="AG133" s="260">
        <f t="shared" ref="AG133" si="701">AC133</f>
        <v>0.5797359912061244</v>
      </c>
      <c r="AH133" s="260">
        <f t="shared" ref="AH133" si="702">AD133</f>
        <v>0.64027067301881202</v>
      </c>
      <c r="AI133" s="236"/>
    </row>
    <row r="134" spans="1:35" ht="14.25" customHeight="1">
      <c r="A134" s="201" t="str">
        <f t="shared" ref="A134:A136" si="703">A133</f>
        <v>FLL</v>
      </c>
      <c r="B134" s="201" t="str">
        <f t="shared" si="420"/>
        <v>IMPOILLL52</v>
      </c>
      <c r="C134" s="201" t="str">
        <f>CONCATENATE("Imported ",VLOOKUP($A134,Types!$A$13:$C$18,3,FALSE),", PADD ",RIGHT(F134,1),", Step ",RIGHT(E134,1))</f>
        <v>Imported Imported Oil-Low Sulfur, Low G, PADD 5, Step 2</v>
      </c>
      <c r="D134" s="201" t="str">
        <f t="shared" ref="D134:D136" si="704">D133</f>
        <v>OILLL5</v>
      </c>
      <c r="E134" s="201">
        <v>2</v>
      </c>
      <c r="F134" s="201" t="str">
        <f t="shared" ref="F134:F136" si="705">F133</f>
        <v>P5</v>
      </c>
      <c r="G134" s="244">
        <f>G132*$C$6</f>
        <v>38.247</v>
      </c>
      <c r="H134" s="244">
        <f t="shared" ref="H134:J134" si="706">H132*$C$6</f>
        <v>57.932187499999998</v>
      </c>
      <c r="I134" s="244">
        <f t="shared" si="706"/>
        <v>40.169799999999995</v>
      </c>
      <c r="J134" s="244">
        <f t="shared" si="706"/>
        <v>42.218000000000004</v>
      </c>
      <c r="K134" s="245">
        <f>G134*Conv!$J$20/10^6/Conv!$C$47/Conv!$I$5</f>
        <v>9.2007392120513387</v>
      </c>
      <c r="L134" s="245">
        <f>H134*Conv!$J$20/10^6/Conv!$C$47/Conv!$I$5</f>
        <v>13.936228963609183</v>
      </c>
      <c r="M134" s="245">
        <f>L134*'Imported Price Trends'!$K$10</f>
        <v>15.743996841586066</v>
      </c>
      <c r="N134" s="245">
        <f>M134*'Imported Price Trends'!$L$10</f>
        <v>15.592382059641452</v>
      </c>
      <c r="O134" s="245">
        <f>N134*'Imported Price Trends'!$M$10</f>
        <v>17.706837583124308</v>
      </c>
      <c r="P134" s="245">
        <f>O134*'Imported Price Trends'!$N$10</f>
        <v>19.336317121438665</v>
      </c>
      <c r="Q134" s="245">
        <f>P134*'Imported Price Trends'!$O$10</f>
        <v>21.21022092752138</v>
      </c>
      <c r="R134" s="245">
        <f>Q134*'Imported Price Trends'!$O$10</f>
        <v>23.265726816999695</v>
      </c>
      <c r="S134" s="245">
        <f>R134*'Imported Price Trends'!$O$10</f>
        <v>25.520434047950026</v>
      </c>
      <c r="T134" s="245">
        <f>S134*'Imported Price Trends'!$O$10</f>
        <v>27.993647441948102</v>
      </c>
      <c r="U134" s="245">
        <f>T134*'Imported Price Trends'!$O$10</f>
        <v>30.706542672107695</v>
      </c>
      <c r="V134" s="227"/>
      <c r="W134" s="261">
        <f>W132*$E$6</f>
        <v>30.99</v>
      </c>
      <c r="X134" s="261">
        <f t="shared" ref="X134:Z134" si="707">X132*$E$6</f>
        <v>52.776000000000003</v>
      </c>
      <c r="Y134" s="261">
        <f t="shared" si="707"/>
        <v>0.49800000000000005</v>
      </c>
      <c r="Z134" s="261">
        <f t="shared" si="707"/>
        <v>0.55000000000000004</v>
      </c>
      <c r="AA134" s="260">
        <f>W134*Conv!$C$47*Conv!$I$5*1000*365</f>
        <v>72.152684206738115</v>
      </c>
      <c r="AB134" s="260">
        <f>X134*Conv!$C$47*Conv!$I$5*1000*365</f>
        <v>122.87609105178481</v>
      </c>
      <c r="AC134" s="260">
        <f>Y134*Conv!$C$47*Conv!$I$5*1000*365</f>
        <v>1.1594719824122488</v>
      </c>
      <c r="AD134" s="260">
        <f>Z134*Conv!$C$47*Conv!$I$5*1000*365</f>
        <v>1.280541346037624</v>
      </c>
      <c r="AE134" s="260">
        <f>AA134-AE133</f>
        <v>36.076342103369058</v>
      </c>
      <c r="AF134" s="260">
        <f t="shared" ref="AF134" si="708">AB134-AF133</f>
        <v>61.438045525892406</v>
      </c>
      <c r="AG134" s="260">
        <f t="shared" ref="AG134" si="709">AC134-AG133</f>
        <v>0.5797359912061244</v>
      </c>
      <c r="AH134" s="260">
        <f t="shared" ref="AH134" si="710">AD134-AH133</f>
        <v>0.64027067301881202</v>
      </c>
      <c r="AI134" s="236"/>
    </row>
    <row r="135" spans="1:35" ht="14.25" customHeight="1">
      <c r="A135" s="201" t="str">
        <f t="shared" si="703"/>
        <v>FLL</v>
      </c>
      <c r="B135" s="201" t="str">
        <f t="shared" si="420"/>
        <v>IMPOILLL54</v>
      </c>
      <c r="C135" s="201" t="str">
        <f>CONCATENATE("Imported ",VLOOKUP($A135,Types!$A$13:$C$18,3,FALSE),", PADD ",RIGHT(F135,1),", Step ",RIGHT(E135,1))</f>
        <v>Imported Imported Oil-Low Sulfur, Low G, PADD 5, Step 4</v>
      </c>
      <c r="D135" s="201" t="str">
        <f t="shared" si="704"/>
        <v>OILLL5</v>
      </c>
      <c r="E135" s="201">
        <v>4</v>
      </c>
      <c r="F135" s="201" t="str">
        <f t="shared" si="705"/>
        <v>P5</v>
      </c>
      <c r="G135" s="244">
        <f>G132*$C$8</f>
        <v>42.27300000000001</v>
      </c>
      <c r="H135" s="244">
        <f t="shared" ref="H135:J135" si="711">H132*$C$8</f>
        <v>64.030312500000008</v>
      </c>
      <c r="I135" s="244">
        <f t="shared" si="711"/>
        <v>44.398200000000003</v>
      </c>
      <c r="J135" s="244">
        <f t="shared" si="711"/>
        <v>46.662000000000006</v>
      </c>
      <c r="K135" s="245">
        <f>G135*Conv!$J$20/10^6/Conv!$C$47/Conv!$I$5</f>
        <v>10.169238076477798</v>
      </c>
      <c r="L135" s="245">
        <f>H135*Conv!$J$20/10^6/Conv!$C$47/Conv!$I$5</f>
        <v>15.403200433462786</v>
      </c>
      <c r="M135" s="245">
        <f>L135*'Imported Price Trends'!$K$10</f>
        <v>17.401259667016181</v>
      </c>
      <c r="N135" s="245">
        <f>M135*'Imported Price Trends'!$L$10</f>
        <v>17.233685434340554</v>
      </c>
      <c r="O135" s="245">
        <f>N135*'Imported Price Trends'!$M$10</f>
        <v>19.570715223453185</v>
      </c>
      <c r="P135" s="245">
        <f>O135*'Imported Price Trends'!$N$10</f>
        <v>21.371718923695369</v>
      </c>
      <c r="Q135" s="245">
        <f>P135*'Imported Price Trends'!$O$10</f>
        <v>23.442875761997318</v>
      </c>
      <c r="R135" s="245">
        <f>Q135*'Imported Price Trends'!$O$10</f>
        <v>25.714750692473352</v>
      </c>
      <c r="S135" s="245">
        <f>R135*'Imported Price Trends'!$O$10</f>
        <v>28.20679552668161</v>
      </c>
      <c r="T135" s="245">
        <f>S135*'Imported Price Trends'!$O$10</f>
        <v>30.940347172679484</v>
      </c>
      <c r="U135" s="245">
        <f>T135*'Imported Price Trends'!$O$10</f>
        <v>33.938810321803246</v>
      </c>
      <c r="V135" s="227"/>
      <c r="W135" s="261">
        <f>W132*$E$8</f>
        <v>185.93999999999997</v>
      </c>
      <c r="X135" s="261">
        <f t="shared" ref="X135:Z135" si="712">X132*$E$8</f>
        <v>316.65600000000001</v>
      </c>
      <c r="Y135" s="261">
        <f t="shared" si="712"/>
        <v>2.988</v>
      </c>
      <c r="Z135" s="261">
        <f t="shared" si="712"/>
        <v>3.3</v>
      </c>
      <c r="AA135" s="260">
        <f>W135*Conv!$C$47*Conv!$I$5*1000*365</f>
        <v>432.91610524042869</v>
      </c>
      <c r="AB135" s="260">
        <f>X135*Conv!$C$47*Conv!$I$5*1000*365</f>
        <v>737.25654631070881</v>
      </c>
      <c r="AC135" s="260">
        <f>Y135*Conv!$C$47*Conv!$I$5*1000*365</f>
        <v>6.9568318944734902</v>
      </c>
      <c r="AD135" s="260">
        <f>Z135*Conv!$C$47*Conv!$I$5*1000*365</f>
        <v>7.6832480762257429</v>
      </c>
      <c r="AE135" s="260">
        <f>AA135-AA132</f>
        <v>72.152684206738172</v>
      </c>
      <c r="AF135" s="260">
        <f t="shared" ref="AF135" si="713">AB135-AB132</f>
        <v>122.8760910517849</v>
      </c>
      <c r="AG135" s="260">
        <f t="shared" ref="AG135" si="714">AC135-AC132</f>
        <v>1.1594719824122466</v>
      </c>
      <c r="AH135" s="260">
        <f t="shared" ref="AH135" si="715">AD135-AD132</f>
        <v>1.280541346037622</v>
      </c>
      <c r="AI135" s="236"/>
    </row>
    <row r="136" spans="1:35" ht="14.25" customHeight="1">
      <c r="A136" s="201" t="str">
        <f t="shared" si="703"/>
        <v>FLL</v>
      </c>
      <c r="B136" s="201" t="str">
        <f t="shared" si="420"/>
        <v>IMPOILLL55</v>
      </c>
      <c r="C136" s="201" t="str">
        <f>CONCATENATE("Imported ",VLOOKUP($A136,Types!$A$13:$C$18,3,FALSE),", PADD ",RIGHT(F136,1),", Step ",RIGHT(E136,1))</f>
        <v>Imported Imported Oil-Low Sulfur, Low G, PADD 5, Step 5</v>
      </c>
      <c r="D136" s="201" t="str">
        <f t="shared" si="704"/>
        <v>OILLL5</v>
      </c>
      <c r="E136" s="201">
        <v>5</v>
      </c>
      <c r="F136" s="201" t="str">
        <f t="shared" si="705"/>
        <v>P5</v>
      </c>
      <c r="G136" s="244">
        <f>G132*$C$9</f>
        <v>52.338000000000008</v>
      </c>
      <c r="H136" s="244">
        <f t="shared" ref="H136:J136" si="716">H132*$C$9</f>
        <v>79.275625000000005</v>
      </c>
      <c r="I136" s="244">
        <f t="shared" si="716"/>
        <v>54.969200000000001</v>
      </c>
      <c r="J136" s="244">
        <f t="shared" si="716"/>
        <v>57.772000000000006</v>
      </c>
      <c r="K136" s="245">
        <f>G136*Conv!$J$20/10^6/Conv!$C$47/Conv!$I$5</f>
        <v>12.590485237543941</v>
      </c>
      <c r="L136" s="245">
        <f>H136*Conv!$J$20/10^6/Conv!$C$47/Conv!$I$5</f>
        <v>19.070629108096782</v>
      </c>
      <c r="M136" s="245">
        <f>L136*'Imported Price Trends'!$K$10</f>
        <v>21.544416730591465</v>
      </c>
      <c r="N136" s="245">
        <f>M136*'Imported Price Trends'!$L$10</f>
        <v>21.336943871088309</v>
      </c>
      <c r="O136" s="245">
        <f>N136*'Imported Price Trends'!$M$10</f>
        <v>24.230409324275378</v>
      </c>
      <c r="P136" s="245">
        <f>O136*'Imported Price Trends'!$N$10</f>
        <v>26.46022342933713</v>
      </c>
      <c r="Q136" s="245">
        <f>P136*'Imported Price Trends'!$O$10</f>
        <v>29.024512848187161</v>
      </c>
      <c r="R136" s="245">
        <f>Q136*'Imported Price Trends'!$O$10</f>
        <v>31.83731038115749</v>
      </c>
      <c r="S136" s="245">
        <f>R136*'Imported Price Trends'!$O$10</f>
        <v>34.922699223510577</v>
      </c>
      <c r="T136" s="245">
        <f>S136*'Imported Price Trends'!$O$10</f>
        <v>38.307096499507949</v>
      </c>
      <c r="U136" s="245">
        <f>T136*'Imported Price Trends'!$O$10</f>
        <v>42.019479446042126</v>
      </c>
      <c r="V136" s="227"/>
      <c r="W136" s="261">
        <f>W132*$E$9</f>
        <v>201.435</v>
      </c>
      <c r="X136" s="261">
        <f t="shared" ref="X136:Z136" si="717">X132*$E$9</f>
        <v>343.04399999999998</v>
      </c>
      <c r="Y136" s="261">
        <f t="shared" si="717"/>
        <v>3.2370000000000005</v>
      </c>
      <c r="Z136" s="261">
        <f t="shared" si="717"/>
        <v>3.5750000000000002</v>
      </c>
      <c r="AA136" s="260">
        <f>W136*Conv!$C$47*Conv!$I$5*1000*365</f>
        <v>468.99244734379778</v>
      </c>
      <c r="AB136" s="260">
        <f>X136*Conv!$C$47*Conv!$I$5*1000*365</f>
        <v>798.69459183660092</v>
      </c>
      <c r="AC136" s="260">
        <f>Y136*Conv!$C$47*Conv!$I$5*1000*365</f>
        <v>7.5365678856796166</v>
      </c>
      <c r="AD136" s="260">
        <f>Z136*Conv!$C$47*Conv!$I$5*1000*365</f>
        <v>8.3235187492445561</v>
      </c>
      <c r="AE136" s="260">
        <f>AA136-AA135</f>
        <v>36.076342103369086</v>
      </c>
      <c r="AF136" s="260">
        <f t="shared" ref="AF136" si="718">AB136-AB135</f>
        <v>61.438045525892107</v>
      </c>
      <c r="AG136" s="260">
        <f t="shared" ref="AG136" si="719">AC136-AC135</f>
        <v>0.5797359912061264</v>
      </c>
      <c r="AH136" s="260">
        <f t="shared" ref="AH136" si="720">AD136-AD135</f>
        <v>0.64027067301881324</v>
      </c>
      <c r="AI136" s="236"/>
    </row>
    <row r="137" spans="1:35" ht="14.25" customHeight="1">
      <c r="A137" s="201" t="str">
        <f>'Agg crdcrv'!C88</f>
        <v>FMH</v>
      </c>
      <c r="B137" s="201" t="str">
        <f t="shared" si="420"/>
        <v>IMPOILMH53</v>
      </c>
      <c r="C137" s="201" t="str">
        <f>CONCATENATE("Imported ",VLOOKUP($A137,Types!$A$13:$C$18,3,FALSE),", PADD ",RIGHT(F137,1),", Step ",RIGHT(E137,1))</f>
        <v>Imported Imported Oil-Medium Sulfur, HG, PADD 5, Step 3</v>
      </c>
      <c r="D137" s="201" t="str">
        <f>CONCATENATE(VLOOKUP($A137,Types!$A$14:$C$18,2,FALSE),RIGHT(F137,1))</f>
        <v>OILMH5</v>
      </c>
      <c r="E137" s="201">
        <v>3</v>
      </c>
      <c r="F137" s="201" t="str">
        <f>'Agg crdcrv'!D88</f>
        <v>P5</v>
      </c>
      <c r="G137" s="244">
        <f>'Agg crdcrv'!H88*K5</f>
        <v>36.201000000000001</v>
      </c>
      <c r="H137" s="244">
        <f>'Agg crdcrv'!H93*K5</f>
        <v>50.105000000000004</v>
      </c>
      <c r="I137" s="244">
        <f>'Agg crdcrv'!H98*K5</f>
        <v>34.441000000000003</v>
      </c>
      <c r="J137" s="244">
        <f>'Agg crdcrv'!H103*K5</f>
        <v>36.32200000000001</v>
      </c>
      <c r="K137" s="245">
        <f>G137*Conv!$J$20/10^6/Conv!$C$47/Conv!$I$5</f>
        <v>8.7085512645559255</v>
      </c>
      <c r="L137" s="245">
        <f>H137*Conv!$J$20/10^6/Conv!$C$47/Conv!$I$5</f>
        <v>12.053312370116149</v>
      </c>
      <c r="M137" s="245">
        <f>L137*'Imported Price Trends'!$K$10</f>
        <v>13.61683367726568</v>
      </c>
      <c r="N137" s="245">
        <f>M137*'Imported Price Trends'!$L$10</f>
        <v>13.485703489072201</v>
      </c>
      <c r="O137" s="245">
        <f>N137*'Imported Price Trends'!$M$10</f>
        <v>15.314476034630031</v>
      </c>
      <c r="P137" s="245">
        <f>O137*'Imported Price Trends'!$N$10</f>
        <v>16.723797446276034</v>
      </c>
      <c r="Q137" s="245">
        <f>P137*'Imported Price Trends'!$O$10</f>
        <v>18.34451909093643</v>
      </c>
      <c r="R137" s="245">
        <f>Q137*'Imported Price Trends'!$O$10</f>
        <v>20.122306656653866</v>
      </c>
      <c r="S137" s="245">
        <f>R137*'Imported Price Trends'!$O$10</f>
        <v>22.072381574967043</v>
      </c>
      <c r="T137" s="245">
        <f>S137*'Imported Price Trends'!$O$10</f>
        <v>24.211440403123216</v>
      </c>
      <c r="U137" s="245">
        <f>T137*'Imported Price Trends'!$O$10</f>
        <v>26.557797780136578</v>
      </c>
      <c r="V137" s="227"/>
      <c r="W137" s="201">
        <f>'Agg crdcrv'!F88</f>
        <v>170.3</v>
      </c>
      <c r="X137" s="201">
        <f>'Agg crdcrv'!F93</f>
        <v>122.95</v>
      </c>
      <c r="Y137" s="201">
        <f>'Agg crdcrv'!F98</f>
        <v>30.36</v>
      </c>
      <c r="Z137" s="201">
        <f>'Agg crdcrv'!F103</f>
        <v>33.520000000000003</v>
      </c>
      <c r="AA137" s="260">
        <f>W137*Conv!$C$47*Conv!$I$5*1000*365</f>
        <v>396.50216587310427</v>
      </c>
      <c r="AB137" s="260">
        <f>X137*Conv!$C$47*Conv!$I$5*1000*365</f>
        <v>286.25919726422882</v>
      </c>
      <c r="AC137" s="260">
        <f>Y137*Conv!$C$47*Conv!$I$5*1000*365</f>
        <v>70.685882301276848</v>
      </c>
      <c r="AD137" s="260">
        <f>Z137*Conv!$C$47*Conv!$I$5*1000*365</f>
        <v>78.043174398511198</v>
      </c>
      <c r="AE137" s="260">
        <f>AA137-AA139</f>
        <v>317.2017326984834</v>
      </c>
      <c r="AF137" s="260">
        <f t="shared" ref="AF137" si="721">AB137-AB139</f>
        <v>229.00735781138303</v>
      </c>
      <c r="AG137" s="260">
        <f t="shared" ref="AG137" si="722">AC137-AC139</f>
        <v>56.54870584102148</v>
      </c>
      <c r="AH137" s="260">
        <f t="shared" ref="AH137" si="723">AD137-AD139</f>
        <v>62.434539518808961</v>
      </c>
    </row>
    <row r="138" spans="1:35" ht="14.25" customHeight="1">
      <c r="A138" s="201" t="str">
        <f>A137</f>
        <v>FMH</v>
      </c>
      <c r="B138" s="201" t="str">
        <f t="shared" si="420"/>
        <v>IMPOILMH51</v>
      </c>
      <c r="C138" s="201" t="str">
        <f>CONCATENATE("Imported ",VLOOKUP($A138,Types!$A$13:$C$18,3,FALSE),", PADD ",RIGHT(F138,1),", Step ",RIGHT(E138,1))</f>
        <v>Imported Imported Oil-Medium Sulfur, HG, PADD 5, Step 1</v>
      </c>
      <c r="D138" s="201" t="str">
        <f>D137</f>
        <v>OILMH5</v>
      </c>
      <c r="E138" s="201">
        <v>1</v>
      </c>
      <c r="F138" s="201" t="str">
        <f>F137</f>
        <v>P5</v>
      </c>
      <c r="G138" s="244">
        <f>G137*$C$5</f>
        <v>32.5809</v>
      </c>
      <c r="H138" s="244">
        <f t="shared" ref="H138" si="724">H137*$C$5</f>
        <v>45.094500000000004</v>
      </c>
      <c r="I138" s="244">
        <f t="shared" ref="I138" si="725">I137*$C$5</f>
        <v>30.996900000000004</v>
      </c>
      <c r="J138" s="244">
        <f t="shared" ref="J138" si="726">J137*$C$5</f>
        <v>32.689800000000012</v>
      </c>
      <c r="K138" s="245">
        <f>G138*Conv!$J$20/10^6/Conv!$C$47/Conv!$I$5</f>
        <v>7.8376961381003349</v>
      </c>
      <c r="L138" s="245">
        <f>H138*Conv!$J$20/10^6/Conv!$C$47/Conv!$I$5</f>
        <v>10.847981133104536</v>
      </c>
      <c r="M138" s="245">
        <f>L138*'Imported Price Trends'!$K$10</f>
        <v>12.255150309539113</v>
      </c>
      <c r="N138" s="245">
        <f>M138*'Imported Price Trends'!$L$10</f>
        <v>12.137133140164982</v>
      </c>
      <c r="O138" s="245">
        <f>N138*'Imported Price Trends'!$M$10</f>
        <v>13.783028431167031</v>
      </c>
      <c r="P138" s="245">
        <f>O138*'Imported Price Trends'!$N$10</f>
        <v>15.051417701648433</v>
      </c>
      <c r="Q138" s="245">
        <f>P138*'Imported Price Trends'!$O$10</f>
        <v>16.510067181842789</v>
      </c>
      <c r="R138" s="245">
        <f>Q138*'Imported Price Trends'!$O$10</f>
        <v>18.110075990988481</v>
      </c>
      <c r="S138" s="245">
        <f>R138*'Imported Price Trends'!$O$10</f>
        <v>19.865143417470343</v>
      </c>
      <c r="T138" s="245">
        <f>S138*'Imported Price Trends'!$O$10</f>
        <v>21.790296362810899</v>
      </c>
      <c r="U138" s="245">
        <f>T138*'Imported Price Trends'!$O$10</f>
        <v>23.902018002122926</v>
      </c>
      <c r="V138" s="227"/>
      <c r="W138" s="261">
        <f>W137*$E$5</f>
        <v>17.03</v>
      </c>
      <c r="X138" s="261">
        <f t="shared" ref="X138" si="727">X137*$E$5</f>
        <v>12.295000000000002</v>
      </c>
      <c r="Y138" s="261">
        <f t="shared" ref="Y138" si="728">Y137*$E$5</f>
        <v>3.036</v>
      </c>
      <c r="Z138" s="261">
        <f t="shared" ref="Z138" si="729">Z137*$E$5</f>
        <v>3.3520000000000003</v>
      </c>
      <c r="AA138" s="260">
        <f>W138*Conv!$C$47*Conv!$I$5*1000*365</f>
        <v>39.650216587310425</v>
      </c>
      <c r="AB138" s="260">
        <f>X138*Conv!$C$47*Conv!$I$5*1000*365</f>
        <v>28.62591972642289</v>
      </c>
      <c r="AC138" s="260">
        <f>Y138*Conv!$C$47*Conv!$I$5*1000*365</f>
        <v>7.0685882301276841</v>
      </c>
      <c r="AD138" s="260">
        <f>Z138*Conv!$C$47*Conv!$I$5*1000*365</f>
        <v>7.8043174398511193</v>
      </c>
      <c r="AE138" s="260">
        <f>AA138</f>
        <v>39.650216587310425</v>
      </c>
      <c r="AF138" s="260">
        <f t="shared" ref="AF138" si="730">AB138</f>
        <v>28.62591972642289</v>
      </c>
      <c r="AG138" s="260">
        <f t="shared" ref="AG138" si="731">AC138</f>
        <v>7.0685882301276841</v>
      </c>
      <c r="AH138" s="260">
        <f t="shared" ref="AH138" si="732">AD138</f>
        <v>7.8043174398511193</v>
      </c>
      <c r="AI138" s="236"/>
    </row>
    <row r="139" spans="1:35" ht="14.25" customHeight="1">
      <c r="A139" s="201" t="str">
        <f t="shared" ref="A139:A141" si="733">A138</f>
        <v>FMH</v>
      </c>
      <c r="B139" s="201" t="str">
        <f t="shared" si="420"/>
        <v>IMPOILMH52</v>
      </c>
      <c r="C139" s="201" t="str">
        <f>CONCATENATE("Imported ",VLOOKUP($A139,Types!$A$13:$C$18,3,FALSE),", PADD ",RIGHT(F139,1),", Step ",RIGHT(E139,1))</f>
        <v>Imported Imported Oil-Medium Sulfur, HG, PADD 5, Step 2</v>
      </c>
      <c r="D139" s="201" t="str">
        <f t="shared" ref="D139:D141" si="734">D138</f>
        <v>OILMH5</v>
      </c>
      <c r="E139" s="201">
        <v>2</v>
      </c>
      <c r="F139" s="201" t="str">
        <f t="shared" ref="F139:F141" si="735">F138</f>
        <v>P5</v>
      </c>
      <c r="G139" s="244">
        <f>G137*$C$6</f>
        <v>34.390949999999997</v>
      </c>
      <c r="H139" s="244">
        <f t="shared" ref="H139:J139" si="736">H137*$C$6</f>
        <v>47.59975</v>
      </c>
      <c r="I139" s="244">
        <f t="shared" si="736"/>
        <v>32.71895</v>
      </c>
      <c r="J139" s="244">
        <f t="shared" si="736"/>
        <v>34.505900000000011</v>
      </c>
      <c r="K139" s="245">
        <f>G139*Conv!$J$20/10^6/Conv!$C$47/Conv!$I$5</f>
        <v>8.2731237013281316</v>
      </c>
      <c r="L139" s="245">
        <f>H139*Conv!$J$20/10^6/Conv!$C$47/Conv!$I$5</f>
        <v>11.450646751610343</v>
      </c>
      <c r="M139" s="245">
        <f>L139*'Imported Price Trends'!$K$10</f>
        <v>12.935991993402396</v>
      </c>
      <c r="N139" s="245">
        <f>M139*'Imported Price Trends'!$L$10</f>
        <v>12.811418314618592</v>
      </c>
      <c r="O139" s="245">
        <f>N139*'Imported Price Trends'!$M$10</f>
        <v>14.548752232898533</v>
      </c>
      <c r="P139" s="245">
        <f>O139*'Imported Price Trends'!$N$10</f>
        <v>15.887607573962235</v>
      </c>
      <c r="Q139" s="245">
        <f>P139*'Imported Price Trends'!$O$10</f>
        <v>17.427293136389611</v>
      </c>
      <c r="R139" s="245">
        <f>Q139*'Imported Price Trends'!$O$10</f>
        <v>19.116191323821173</v>
      </c>
      <c r="S139" s="245">
        <f>R139*'Imported Price Trends'!$O$10</f>
        <v>20.968762496218694</v>
      </c>
      <c r="T139" s="245">
        <f>S139*'Imported Price Trends'!$O$10</f>
        <v>23.000868382967059</v>
      </c>
      <c r="U139" s="245">
        <f>T139*'Imported Price Trends'!$O$10</f>
        <v>25.229907891129756</v>
      </c>
      <c r="V139" s="227"/>
      <c r="W139" s="261">
        <f>W137*$E$6</f>
        <v>34.06</v>
      </c>
      <c r="X139" s="261">
        <f t="shared" ref="X139:Z139" si="737">X137*$E$6</f>
        <v>24.590000000000003</v>
      </c>
      <c r="Y139" s="261">
        <f t="shared" si="737"/>
        <v>6.0720000000000001</v>
      </c>
      <c r="Z139" s="261">
        <f t="shared" si="737"/>
        <v>6.7040000000000006</v>
      </c>
      <c r="AA139" s="260">
        <f>W139*Conv!$C$47*Conv!$I$5*1000*365</f>
        <v>79.300433174620849</v>
      </c>
      <c r="AB139" s="260">
        <f>X139*Conv!$C$47*Conv!$I$5*1000*365</f>
        <v>57.251839452845779</v>
      </c>
      <c r="AC139" s="260">
        <f>Y139*Conv!$C$47*Conv!$I$5*1000*365</f>
        <v>14.137176460255368</v>
      </c>
      <c r="AD139" s="260">
        <f>Z139*Conv!$C$47*Conv!$I$5*1000*365</f>
        <v>15.608634879702239</v>
      </c>
      <c r="AE139" s="260">
        <f>AA139-AE138</f>
        <v>39.650216587310425</v>
      </c>
      <c r="AF139" s="260">
        <f t="shared" ref="AF139" si="738">AB139-AF138</f>
        <v>28.62591972642289</v>
      </c>
      <c r="AG139" s="260">
        <f t="shared" ref="AG139" si="739">AC139-AG138</f>
        <v>7.0685882301276841</v>
      </c>
      <c r="AH139" s="260">
        <f t="shared" ref="AH139" si="740">AD139-AH138</f>
        <v>7.8043174398511193</v>
      </c>
      <c r="AI139" s="236"/>
    </row>
    <row r="140" spans="1:35" ht="14.25" customHeight="1">
      <c r="A140" s="201" t="str">
        <f t="shared" si="733"/>
        <v>FMH</v>
      </c>
      <c r="B140" s="201" t="str">
        <f t="shared" si="420"/>
        <v>IMPOILMH54</v>
      </c>
      <c r="C140" s="201" t="str">
        <f>CONCATENATE("Imported ",VLOOKUP($A140,Types!$A$13:$C$18,3,FALSE),", PADD ",RIGHT(F140,1),", Step ",RIGHT(E140,1))</f>
        <v>Imported Imported Oil-Medium Sulfur, HG, PADD 5, Step 4</v>
      </c>
      <c r="D140" s="201" t="str">
        <f t="shared" si="734"/>
        <v>OILMH5</v>
      </c>
      <c r="E140" s="201">
        <v>4</v>
      </c>
      <c r="F140" s="201" t="str">
        <f t="shared" si="735"/>
        <v>P5</v>
      </c>
      <c r="G140" s="244">
        <f>G137*$C$8</f>
        <v>38.011050000000004</v>
      </c>
      <c r="H140" s="244">
        <f t="shared" ref="H140:J140" si="741">H137*$C$8</f>
        <v>52.610250000000008</v>
      </c>
      <c r="I140" s="244">
        <f t="shared" si="741"/>
        <v>36.163050000000005</v>
      </c>
      <c r="J140" s="244">
        <f t="shared" si="741"/>
        <v>38.138100000000009</v>
      </c>
      <c r="K140" s="245">
        <f>G140*Conv!$J$20/10^6/Conv!$C$47/Conv!$I$5</f>
        <v>9.1439788277837248</v>
      </c>
      <c r="L140" s="245">
        <f>H140*Conv!$J$20/10^6/Conv!$C$47/Conv!$I$5</f>
        <v>12.655977988621959</v>
      </c>
      <c r="M140" s="245">
        <f>L140*'Imported Price Trends'!$K$10</f>
        <v>14.297675361128967</v>
      </c>
      <c r="N140" s="245">
        <f>M140*'Imported Price Trends'!$L$10</f>
        <v>14.159988663525814</v>
      </c>
      <c r="O140" s="245">
        <f>N140*'Imported Price Trends'!$M$10</f>
        <v>16.080199836361537</v>
      </c>
      <c r="P140" s="245">
        <f>O140*'Imported Price Trends'!$N$10</f>
        <v>17.55998731858984</v>
      </c>
      <c r="Q140" s="245">
        <f>P140*'Imported Price Trends'!$O$10</f>
        <v>19.261745045483256</v>
      </c>
      <c r="R140" s="245">
        <f>Q140*'Imported Price Trends'!$O$10</f>
        <v>21.128421989486561</v>
      </c>
      <c r="S140" s="245">
        <f>R140*'Imported Price Trends'!$O$10</f>
        <v>23.176000653715398</v>
      </c>
      <c r="T140" s="245">
        <f>S140*'Imported Price Trends'!$O$10</f>
        <v>25.42201242327938</v>
      </c>
      <c r="U140" s="245">
        <f>T140*'Imported Price Trends'!$O$10</f>
        <v>27.885687669143412</v>
      </c>
      <c r="V140" s="227"/>
      <c r="W140" s="261">
        <f>W137*$E$8</f>
        <v>204.36</v>
      </c>
      <c r="X140" s="261">
        <f t="shared" ref="X140:Z140" si="742">X137*$E$8</f>
        <v>147.54</v>
      </c>
      <c r="Y140" s="261">
        <f t="shared" si="742"/>
        <v>36.431999999999995</v>
      </c>
      <c r="Z140" s="261">
        <f t="shared" si="742"/>
        <v>40.224000000000004</v>
      </c>
      <c r="AA140" s="260">
        <f>W140*Conv!$C$47*Conv!$I$5*1000*365</f>
        <v>475.80259904772515</v>
      </c>
      <c r="AB140" s="260">
        <f>X140*Conv!$C$47*Conv!$I$5*1000*365</f>
        <v>343.5110367170746</v>
      </c>
      <c r="AC140" s="260">
        <f>Y140*Conv!$C$47*Conv!$I$5*1000*365</f>
        <v>84.823058761532195</v>
      </c>
      <c r="AD140" s="260">
        <f>Z140*Conv!$C$47*Conv!$I$5*1000*365</f>
        <v>93.65180927821342</v>
      </c>
      <c r="AE140" s="260">
        <f>AA140-AA137</f>
        <v>79.300433174620878</v>
      </c>
      <c r="AF140" s="260">
        <f t="shared" ref="AF140" si="743">AB140-AB137</f>
        <v>57.251839452845786</v>
      </c>
      <c r="AG140" s="260">
        <f t="shared" ref="AG140" si="744">AC140-AC137</f>
        <v>14.137176460255347</v>
      </c>
      <c r="AH140" s="260">
        <f t="shared" ref="AH140" si="745">AD140-AD137</f>
        <v>15.608634879702223</v>
      </c>
      <c r="AI140" s="236"/>
    </row>
    <row r="141" spans="1:35" ht="14.25" customHeight="1">
      <c r="A141" s="201" t="str">
        <f t="shared" si="733"/>
        <v>FMH</v>
      </c>
      <c r="B141" s="201" t="str">
        <f t="shared" si="420"/>
        <v>IMPOILMH55</v>
      </c>
      <c r="C141" s="201" t="str">
        <f>CONCATENATE("Imported ",VLOOKUP($A141,Types!$A$13:$C$18,3,FALSE),", PADD ",RIGHT(F141,1),", Step ",RIGHT(E141,1))</f>
        <v>Imported Imported Oil-Medium Sulfur, HG, PADD 5, Step 5</v>
      </c>
      <c r="D141" s="201" t="str">
        <f t="shared" si="734"/>
        <v>OILMH5</v>
      </c>
      <c r="E141" s="201">
        <v>5</v>
      </c>
      <c r="F141" s="201" t="str">
        <f t="shared" si="735"/>
        <v>P5</v>
      </c>
      <c r="G141" s="244">
        <f>G137*$C$9</f>
        <v>47.061300000000003</v>
      </c>
      <c r="H141" s="244">
        <f t="shared" ref="H141:J141" si="746">H137*$C$9</f>
        <v>65.136500000000012</v>
      </c>
      <c r="I141" s="244">
        <f t="shared" si="746"/>
        <v>44.773300000000006</v>
      </c>
      <c r="J141" s="244">
        <f t="shared" si="746"/>
        <v>47.218600000000016</v>
      </c>
      <c r="K141" s="245">
        <f>G141*Conv!$J$20/10^6/Conv!$C$47/Conv!$I$5</f>
        <v>11.321116643922707</v>
      </c>
      <c r="L141" s="245">
        <f>H141*Conv!$J$20/10^6/Conv!$C$47/Conv!$I$5</f>
        <v>15.669306081150996</v>
      </c>
      <c r="M141" s="245">
        <f>L141*'Imported Price Trends'!$K$10</f>
        <v>17.701883780445385</v>
      </c>
      <c r="N141" s="245">
        <f>M141*'Imported Price Trends'!$L$10</f>
        <v>17.531414535793864</v>
      </c>
      <c r="O141" s="245">
        <f>N141*'Imported Price Trends'!$M$10</f>
        <v>19.908818845019045</v>
      </c>
      <c r="P141" s="245">
        <f>O141*'Imported Price Trends'!$N$10</f>
        <v>21.740936680158846</v>
      </c>
      <c r="Q141" s="245">
        <f>P141*'Imported Price Trends'!$O$10</f>
        <v>23.84787481821736</v>
      </c>
      <c r="R141" s="245">
        <f>Q141*'Imported Price Trends'!$O$10</f>
        <v>26.158998653650023</v>
      </c>
      <c r="S141" s="245">
        <f>R141*'Imported Price Trends'!$O$10</f>
        <v>28.694096047457155</v>
      </c>
      <c r="T141" s="245">
        <f>S141*'Imported Price Trends'!$O$10</f>
        <v>31.474872524060178</v>
      </c>
      <c r="U141" s="245">
        <f>T141*'Imported Price Trends'!$O$10</f>
        <v>34.525137114177546</v>
      </c>
      <c r="V141" s="227"/>
      <c r="W141" s="261">
        <f>W137*$E$9</f>
        <v>221.39000000000001</v>
      </c>
      <c r="X141" s="261">
        <f t="shared" ref="X141:Z141" si="747">X137*$E$9</f>
        <v>159.83500000000001</v>
      </c>
      <c r="Y141" s="261">
        <f t="shared" si="747"/>
        <v>39.468000000000004</v>
      </c>
      <c r="Z141" s="261">
        <f t="shared" si="747"/>
        <v>43.576000000000008</v>
      </c>
      <c r="AA141" s="260">
        <f>W141*Conv!$C$47*Conv!$I$5*1000*365</f>
        <v>515.45281563503556</v>
      </c>
      <c r="AB141" s="260">
        <f>X141*Conv!$C$47*Conv!$I$5*1000*365</f>
        <v>372.13695644349747</v>
      </c>
      <c r="AC141" s="260">
        <f>Y141*Conv!$C$47*Conv!$I$5*1000*365</f>
        <v>91.891646991659897</v>
      </c>
      <c r="AD141" s="260">
        <f>Z141*Conv!$C$47*Conv!$I$5*1000*365</f>
        <v>101.45612671806457</v>
      </c>
      <c r="AE141" s="260">
        <f>AA141-AA140</f>
        <v>39.65021658731041</v>
      </c>
      <c r="AF141" s="260">
        <f t="shared" ref="AF141" si="748">AB141-AB140</f>
        <v>28.625919726422865</v>
      </c>
      <c r="AG141" s="260">
        <f t="shared" ref="AG141" si="749">AC141-AC140</f>
        <v>7.0685882301277019</v>
      </c>
      <c r="AH141" s="260">
        <f t="shared" ref="AH141" si="750">AD141-AD140</f>
        <v>7.8043174398511468</v>
      </c>
      <c r="AI141" s="236"/>
    </row>
  </sheetData>
  <mergeCells count="4">
    <mergeCell ref="G10:J10"/>
    <mergeCell ref="K10:U10"/>
    <mergeCell ref="W10:Z10"/>
    <mergeCell ref="AA10:AK10"/>
  </mergeCells>
  <phoneticPr fontId="0" type="noConversion"/>
  <pageMargins left="0.75" right="0.75" top="1" bottom="1" header="0.5" footer="0.5"/>
  <pageSetup orientation="portrait" r:id="rId1"/>
  <headerFooter alignWithMargins="0"/>
  <legacy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23"/>
  <dimension ref="A3:L121"/>
  <sheetViews>
    <sheetView zoomScale="90" zoomScaleNormal="90" workbookViewId="0">
      <selection activeCell="A8" sqref="A8:XFD8"/>
    </sheetView>
  </sheetViews>
  <sheetFormatPr defaultColWidth="9.140625" defaultRowHeight="12.75"/>
  <cols>
    <col min="1" max="4" width="9.140625" style="205"/>
    <col min="5" max="5" width="12.42578125" style="205" customWidth="1"/>
    <col min="6" max="6" width="13.42578125" style="205" customWidth="1"/>
    <col min="7" max="8" width="12.42578125" style="205" customWidth="1"/>
    <col min="9" max="11" width="12.42578125" style="195" customWidth="1"/>
    <col min="12" max="12" width="10.7109375" style="195" bestFit="1" customWidth="1"/>
    <col min="13" max="14" width="12.42578125" style="195" customWidth="1"/>
    <col min="15" max="15" width="11.28515625" style="195" bestFit="1" customWidth="1"/>
    <col min="16" max="17" width="11.28515625" style="195" customWidth="1"/>
    <col min="18" max="18" width="12.42578125" style="195" customWidth="1"/>
    <col min="19" max="19" width="12.42578125" style="195" bestFit="1" customWidth="1"/>
    <col min="20" max="20" width="10.7109375" style="195" bestFit="1" customWidth="1"/>
    <col min="21" max="21" width="12.42578125" style="195" customWidth="1"/>
    <col min="22" max="22" width="12.42578125" style="195" bestFit="1" customWidth="1"/>
    <col min="23" max="23" width="10.7109375" style="195" bestFit="1" customWidth="1"/>
    <col min="24" max="24" width="12.42578125" style="195" customWidth="1"/>
    <col min="25" max="25" width="12.42578125" style="195" bestFit="1" customWidth="1"/>
    <col min="26" max="26" width="10.7109375" style="195" bestFit="1" customWidth="1"/>
    <col min="27" max="28" width="9.140625" style="195"/>
    <col min="29" max="29" width="5" style="195" bestFit="1" customWidth="1"/>
    <col min="30" max="30" width="4.5703125" style="195" bestFit="1" customWidth="1"/>
    <col min="31" max="31" width="7.140625" style="195" bestFit="1" customWidth="1"/>
    <col min="32" max="16384" width="9.140625" style="195"/>
  </cols>
  <sheetData>
    <row r="3" spans="1:12">
      <c r="A3" s="206" t="s">
        <v>186</v>
      </c>
      <c r="B3" s="206" t="s">
        <v>187</v>
      </c>
      <c r="C3" s="206" t="s">
        <v>382</v>
      </c>
      <c r="D3" s="206" t="s">
        <v>56</v>
      </c>
      <c r="E3" s="206" t="s">
        <v>143</v>
      </c>
      <c r="F3" s="206" t="s">
        <v>142</v>
      </c>
      <c r="H3" s="206" t="s">
        <v>774</v>
      </c>
      <c r="I3" s="205"/>
      <c r="J3" s="205"/>
      <c r="K3" s="205"/>
      <c r="L3" s="205"/>
    </row>
    <row r="4" spans="1:12">
      <c r="A4" s="205">
        <v>2005</v>
      </c>
      <c r="B4" s="205">
        <v>1</v>
      </c>
      <c r="C4" s="205" t="s">
        <v>47</v>
      </c>
      <c r="D4" s="205" t="s">
        <v>103</v>
      </c>
      <c r="E4" s="205">
        <f t="array" ref="E4">SUM(IF('AEO 2012 crdcrv'!$A$7:$A$2000=C4,IF('AEO 2012 crdcrv'!$I$7:$I$2000="2005",IF('AEO 2012 crdcrv'!$J$7:J$2000="Prices",'AEO 2012 crdcrv'!C$7:C$2000,0))))</f>
        <v>29</v>
      </c>
      <c r="F4" s="205">
        <f t="array" ref="F4">SUM(IF('AEO 2012 crdcrv'!$A$7:$A$2000=C4,IF('AEO 2012 crdcrv'!$I$7:$I$2000="2005",IF('AEO 2012 crdcrv'!$J$7:J$2000="Quantities",'AEO 2012 crdcrv'!C$7:C$2000,0))))</f>
        <v>256.31</v>
      </c>
      <c r="H4" s="205">
        <f>E4</f>
        <v>29</v>
      </c>
    </row>
    <row r="5" spans="1:12">
      <c r="A5" s="205">
        <v>2005</v>
      </c>
      <c r="B5" s="205">
        <v>1</v>
      </c>
      <c r="C5" s="205" t="s">
        <v>44</v>
      </c>
      <c r="D5" s="205" t="s">
        <v>103</v>
      </c>
      <c r="E5" s="205">
        <f t="array" ref="E5">SUM(IF('AEO 2012 crdcrv'!$A$7:$A$2000=C5,IF('AEO 2012 crdcrv'!$I$7:$I$2000="2005",IF('AEO 2012 crdcrv'!$J$7:J$2000="Prices",'AEO 2012 crdcrv'!C$7:C$2000,0))))</f>
        <v>37.74</v>
      </c>
      <c r="F5" s="205">
        <f t="array" ref="F5">SUM(IF('AEO 2012 crdcrv'!$A$7:$A$2000=C5,IF('AEO 2012 crdcrv'!$I$7:$I$2000="2005",IF('AEO 2012 crdcrv'!$J$7:J$2000="Quantities",'AEO 2012 crdcrv'!C$7:C$2000,0))))</f>
        <v>93.86</v>
      </c>
      <c r="H5" s="205">
        <f t="shared" ref="H5:H68" si="0">E5</f>
        <v>37.74</v>
      </c>
    </row>
    <row r="6" spans="1:12">
      <c r="A6" s="205">
        <v>2005</v>
      </c>
      <c r="B6" s="205">
        <v>1</v>
      </c>
      <c r="C6" s="205" t="s">
        <v>50</v>
      </c>
      <c r="D6" s="205" t="s">
        <v>103</v>
      </c>
      <c r="E6" s="205">
        <f t="array" ref="E6">SUM(IF('AEO 2012 crdcrv'!$A$7:$A$2000=C6,IF('AEO 2012 crdcrv'!$I$7:$I$2000="2005",IF('AEO 2012 crdcrv'!$J$7:J$2000="Prices",'AEO 2012 crdcrv'!C$7:C$2000,0))))</f>
        <v>26</v>
      </c>
      <c r="F6" s="205">
        <f t="array" ref="F6">SUM(IF('AEO 2012 crdcrv'!$A$7:$A$2000=C6,IF('AEO 2012 crdcrv'!$I$7:$I$2000="2005",IF('AEO 2012 crdcrv'!$J$7:J$2000="Quantities",'AEO 2012 crdcrv'!C$7:C$2000,0))))</f>
        <v>123.31</v>
      </c>
      <c r="H6" s="205">
        <f t="shared" si="0"/>
        <v>26</v>
      </c>
    </row>
    <row r="7" spans="1:12">
      <c r="A7" s="205">
        <v>2005</v>
      </c>
      <c r="B7" s="205">
        <v>1</v>
      </c>
      <c r="C7" s="205" t="s">
        <v>38</v>
      </c>
      <c r="D7" s="205" t="s">
        <v>103</v>
      </c>
      <c r="E7" s="205">
        <f t="array" ref="E7">SUM(IF('AEO 2012 crdcrv'!$A$7:$A$2000=C7,IF('AEO 2012 crdcrv'!$I$7:$I$2000="2005",IF('AEO 2012 crdcrv'!$J$7:J$2000="Prices",'AEO 2012 crdcrv'!C$7:C$2000,0))))</f>
        <v>36.6</v>
      </c>
      <c r="F7" s="205">
        <f t="array" ref="F7">SUM(IF('AEO 2012 crdcrv'!$A$7:$A$2000=C7,IF('AEO 2012 crdcrv'!$I$7:$I$2000="2005",IF('AEO 2012 crdcrv'!$J$7:J$2000="Quantities",'AEO 2012 crdcrv'!C$7:C$2000,0))))</f>
        <v>1062.18</v>
      </c>
      <c r="H7" s="205">
        <f t="shared" si="0"/>
        <v>36.6</v>
      </c>
    </row>
    <row r="8" spans="1:12">
      <c r="A8" s="205">
        <v>2005</v>
      </c>
      <c r="B8" s="205">
        <v>1</v>
      </c>
      <c r="C8" s="205" t="s">
        <v>41</v>
      </c>
      <c r="D8" s="205" t="s">
        <v>103</v>
      </c>
      <c r="E8" s="205">
        <f t="array" ref="E8">SUM(IF('AEO 2012 crdcrv'!$A$7:$A$2000=C8,IF('AEO 2012 crdcrv'!$I$7:$I$2000="2005",IF('AEO 2012 crdcrv'!$J$7:J$2000="Prices",'AEO 2012 crdcrv'!C$7:C$2000,0))))</f>
        <v>32.909999999999997</v>
      </c>
      <c r="F8" s="205">
        <f t="array" ref="F8">SUM(IF('AEO 2012 crdcrv'!$A$7:$A$2000=C8,IF('AEO 2012 crdcrv'!$I$7:$I$2000="2005",IF('AEO 2012 crdcrv'!$J$7:J$2000="Quantities",'AEO 2012 crdcrv'!C$7:C$2000,0))))</f>
        <v>52.75</v>
      </c>
      <c r="H8" s="205">
        <f t="shared" si="0"/>
        <v>32.909999999999997</v>
      </c>
    </row>
    <row r="9" spans="1:12">
      <c r="A9" s="205">
        <v>2010</v>
      </c>
      <c r="B9" s="205">
        <v>1</v>
      </c>
      <c r="C9" s="205" t="s">
        <v>47</v>
      </c>
      <c r="D9" s="205" t="s">
        <v>103</v>
      </c>
      <c r="E9" s="205">
        <f t="array" ref="E9">SUM(IF('AEO 2012 crdcrv'!$A$7:$A$2000=C9,IF('AEO 2012 crdcrv'!$I$7:$I$2000="2010",IF('AEO 2012 crdcrv'!$J$7:J$2000="Prices",'AEO 2012 crdcrv'!C$7:C$2000,0))))</f>
        <v>33.75</v>
      </c>
      <c r="F9" s="205">
        <f t="array" ref="F9">SUM(IF('AEO 2012 crdcrv'!$A$7:$A$2000=C9,IF('AEO 2012 crdcrv'!$I$7:$I$2000="2010",IF('AEO 2012 crdcrv'!$J$7:J$2000="Quantities",'AEO 2012 crdcrv'!C$7:C$2000,0))))</f>
        <v>128.74</v>
      </c>
      <c r="H9" s="205">
        <f>E9*1.25</f>
        <v>42.1875</v>
      </c>
    </row>
    <row r="10" spans="1:12">
      <c r="A10" s="205">
        <v>2010</v>
      </c>
      <c r="B10" s="205">
        <v>1</v>
      </c>
      <c r="C10" s="205" t="s">
        <v>44</v>
      </c>
      <c r="D10" s="205" t="s">
        <v>103</v>
      </c>
      <c r="E10" s="205">
        <f t="array" ref="E10">SUM(IF('AEO 2012 crdcrv'!$A$7:$A$2000=C10,IF('AEO 2012 crdcrv'!$I$7:$I$2000="2010",IF('AEO 2012 crdcrv'!$J$7:J$2000="Prices",'AEO 2012 crdcrv'!C$7:C$2000,0))))</f>
        <v>36.5</v>
      </c>
      <c r="F10" s="205">
        <f t="array" ref="F10">SUM(IF('AEO 2012 crdcrv'!$A$7:$A$2000=C10,IF('AEO 2012 crdcrv'!$I$7:$I$2000="2010",IF('AEO 2012 crdcrv'!$J$7:J$2000="Quantities",'AEO 2012 crdcrv'!C$7:C$2000,0))))</f>
        <v>79.84</v>
      </c>
      <c r="H10" s="205">
        <f t="shared" ref="H10:H13" si="1">E10*1.25</f>
        <v>45.625</v>
      </c>
    </row>
    <row r="11" spans="1:12">
      <c r="A11" s="205">
        <v>2010</v>
      </c>
      <c r="B11" s="205">
        <v>1</v>
      </c>
      <c r="C11" s="205" t="s">
        <v>50</v>
      </c>
      <c r="D11" s="205" t="s">
        <v>103</v>
      </c>
      <c r="E11" s="205">
        <f t="array" ref="E11">SUM(IF('AEO 2012 crdcrv'!$A$7:$A$2000=C11,IF('AEO 2012 crdcrv'!$I$7:$I$2000="2010",IF('AEO 2012 crdcrv'!$J$7:J$2000="Prices",'AEO 2012 crdcrv'!C$7:C$2000,0))))</f>
        <v>33.450000000000003</v>
      </c>
      <c r="F11" s="205">
        <f t="array" ref="F11">SUM(IF('AEO 2012 crdcrv'!$A$7:$A$2000=C11,IF('AEO 2012 crdcrv'!$I$7:$I$2000="2010",IF('AEO 2012 crdcrv'!$J$7:J$2000="Quantities",'AEO 2012 crdcrv'!C$7:C$2000,0))))</f>
        <v>63.32</v>
      </c>
      <c r="H11" s="205">
        <f t="shared" si="1"/>
        <v>41.8125</v>
      </c>
    </row>
    <row r="12" spans="1:12">
      <c r="A12" s="205">
        <v>2010</v>
      </c>
      <c r="B12" s="205">
        <v>1</v>
      </c>
      <c r="C12" s="205" t="s">
        <v>38</v>
      </c>
      <c r="D12" s="205" t="s">
        <v>103</v>
      </c>
      <c r="E12" s="205">
        <f t="array" ref="E12">SUM(IF('AEO 2012 crdcrv'!$A$7:$A$2000=C12,IF('AEO 2012 crdcrv'!$I$7:$I$2000="2010",IF('AEO 2012 crdcrv'!$J$7:J$2000="Prices",'AEO 2012 crdcrv'!C$7:C$2000,0))))</f>
        <v>44.35</v>
      </c>
      <c r="F12" s="205">
        <f t="array" ref="F12">SUM(IF('AEO 2012 crdcrv'!$A$7:$A$2000=C12,IF('AEO 2012 crdcrv'!$I$7:$I$2000="2010",IF('AEO 2012 crdcrv'!$J$7:J$2000="Quantities",'AEO 2012 crdcrv'!C$7:C$2000,0))))</f>
        <v>891.61</v>
      </c>
      <c r="H12" s="205">
        <f t="shared" si="1"/>
        <v>55.4375</v>
      </c>
    </row>
    <row r="13" spans="1:12">
      <c r="A13" s="205">
        <v>2010</v>
      </c>
      <c r="B13" s="205">
        <v>1</v>
      </c>
      <c r="C13" s="205" t="s">
        <v>41</v>
      </c>
      <c r="D13" s="205" t="s">
        <v>103</v>
      </c>
      <c r="E13" s="205">
        <f t="array" ref="E13">SUM(IF('AEO 2012 crdcrv'!$A$7:$A$2000=C13,IF('AEO 2012 crdcrv'!$I$7:$I$2000="2010",IF('AEO 2012 crdcrv'!$J$7:J$2000="Prices",'AEO 2012 crdcrv'!C$7:C$2000,0))))</f>
        <v>36.44</v>
      </c>
      <c r="F13" s="205">
        <f t="array" ref="F13">SUM(IF('AEO 2012 crdcrv'!$A$7:$A$2000=C13,IF('AEO 2012 crdcrv'!$I$7:$I$2000="2010",IF('AEO 2012 crdcrv'!$J$7:J$2000="Quantities",'AEO 2012 crdcrv'!C$7:C$2000,0))))</f>
        <v>50.87</v>
      </c>
      <c r="H13" s="205">
        <f t="shared" si="1"/>
        <v>45.55</v>
      </c>
    </row>
    <row r="14" spans="1:12">
      <c r="A14" s="205">
        <v>2015</v>
      </c>
      <c r="B14" s="205">
        <v>1</v>
      </c>
      <c r="C14" s="205" t="s">
        <v>47</v>
      </c>
      <c r="D14" s="205" t="s">
        <v>103</v>
      </c>
      <c r="E14" s="205">
        <f t="array" ref="E14">SUM(IF('AEO 2012 crdcrv'!$A$7:$A$2000=C14,IF('AEO 2012 crdcrv'!$I$7:$I$2000="2015",IF('AEO 2012 crdcrv'!$J$7:J$2000="Prices",'AEO 2012 crdcrv'!C$7:C$2000,0))))</f>
        <v>28.7</v>
      </c>
      <c r="F14" s="205">
        <f t="array" ref="F14">SUM(IF('AEO 2012 crdcrv'!$A$7:$A$2000=C14,IF('AEO 2012 crdcrv'!$I$7:$I$2000="2015",IF('AEO 2012 crdcrv'!$J$7:J$2000="Quantities",'AEO 2012 crdcrv'!C$7:C$2000,0))))</f>
        <v>45.75</v>
      </c>
      <c r="H14" s="205">
        <f t="shared" si="0"/>
        <v>28.7</v>
      </c>
    </row>
    <row r="15" spans="1:12">
      <c r="A15" s="205">
        <v>2015</v>
      </c>
      <c r="B15" s="205">
        <v>1</v>
      </c>
      <c r="C15" s="205" t="s">
        <v>44</v>
      </c>
      <c r="D15" s="205" t="s">
        <v>103</v>
      </c>
      <c r="E15" s="205">
        <f t="array" ref="E15">SUM(IF('AEO 2012 crdcrv'!$A$7:$A$2000=C15,IF('AEO 2012 crdcrv'!$I$7:$I$2000="2015",IF('AEO 2012 crdcrv'!$J$7:J$2000="Prices",'AEO 2012 crdcrv'!C$7:C$2000,0))))</f>
        <v>31.41</v>
      </c>
      <c r="F15" s="205">
        <f t="array" ref="F15">SUM(IF('AEO 2012 crdcrv'!$A$7:$A$2000=C15,IF('AEO 2012 crdcrv'!$I$7:$I$2000="2015",IF('AEO 2012 crdcrv'!$J$7:J$2000="Quantities",'AEO 2012 crdcrv'!C$7:C$2000,0))))</f>
        <v>8.02</v>
      </c>
      <c r="H15" s="205">
        <f t="shared" si="0"/>
        <v>31.41</v>
      </c>
    </row>
    <row r="16" spans="1:12">
      <c r="A16" s="205">
        <v>2015</v>
      </c>
      <c r="B16" s="205">
        <v>1</v>
      </c>
      <c r="C16" s="205" t="s">
        <v>50</v>
      </c>
      <c r="D16" s="205" t="s">
        <v>103</v>
      </c>
      <c r="E16" s="205">
        <f t="array" ref="E16">SUM(IF('AEO 2012 crdcrv'!$A$7:$A$2000=C16,IF('AEO 2012 crdcrv'!$I$7:$I$2000="2015",IF('AEO 2012 crdcrv'!$J$7:J$2000="Prices",'AEO 2012 crdcrv'!C$7:C$2000,0))))</f>
        <v>28.41</v>
      </c>
      <c r="F16" s="205">
        <f t="array" ref="F16">SUM(IF('AEO 2012 crdcrv'!$A$7:$A$2000=C16,IF('AEO 2012 crdcrv'!$I$7:$I$2000="2015",IF('AEO 2012 crdcrv'!$J$7:J$2000="Quantities",'AEO 2012 crdcrv'!C$7:C$2000,0))))</f>
        <v>21.34</v>
      </c>
      <c r="H16" s="205">
        <f t="shared" si="0"/>
        <v>28.41</v>
      </c>
    </row>
    <row r="17" spans="1:8">
      <c r="A17" s="205">
        <v>2015</v>
      </c>
      <c r="B17" s="205">
        <v>1</v>
      </c>
      <c r="C17" s="205" t="s">
        <v>38</v>
      </c>
      <c r="D17" s="205" t="s">
        <v>103</v>
      </c>
      <c r="E17" s="205">
        <f t="array" ref="E17">SUM(IF('AEO 2012 crdcrv'!$A$7:$A$2000=C17,IF('AEO 2012 crdcrv'!$I$7:$I$2000="2015",IF('AEO 2012 crdcrv'!$J$7:J$2000="Prices",'AEO 2012 crdcrv'!C$7:C$2000,0))))</f>
        <v>38.44</v>
      </c>
      <c r="F17" s="205">
        <f t="array" ref="F17">SUM(IF('AEO 2012 crdcrv'!$A$7:$A$2000=C17,IF('AEO 2012 crdcrv'!$I$7:$I$2000="2015",IF('AEO 2012 crdcrv'!$J$7:J$2000="Quantities",'AEO 2012 crdcrv'!C$7:C$2000,0))))</f>
        <v>13.24</v>
      </c>
      <c r="H17" s="205">
        <f t="shared" si="0"/>
        <v>38.44</v>
      </c>
    </row>
    <row r="18" spans="1:8">
      <c r="A18" s="205">
        <v>2015</v>
      </c>
      <c r="B18" s="205">
        <v>1</v>
      </c>
      <c r="C18" s="205" t="s">
        <v>41</v>
      </c>
      <c r="D18" s="205" t="s">
        <v>103</v>
      </c>
      <c r="E18" s="205">
        <f t="array" ref="E18">SUM(IF('AEO 2012 crdcrv'!$A$7:$A$2000=C18,IF('AEO 2012 crdcrv'!$I$7:$I$2000="2015",IF('AEO 2012 crdcrv'!$J$7:J$2000="Prices",'AEO 2012 crdcrv'!C$7:C$2000,0))))</f>
        <v>31.31</v>
      </c>
      <c r="F18" s="205">
        <f t="array" ref="F18">SUM(IF('AEO 2012 crdcrv'!$A$7:$A$2000=C18,IF('AEO 2012 crdcrv'!$I$7:$I$2000="2015",IF('AEO 2012 crdcrv'!$J$7:J$2000="Quantities",'AEO 2012 crdcrv'!C$7:C$2000,0))))</f>
        <v>15.65</v>
      </c>
      <c r="H18" s="205">
        <f t="shared" si="0"/>
        <v>31.31</v>
      </c>
    </row>
    <row r="19" spans="1:8">
      <c r="A19" s="205">
        <v>2020</v>
      </c>
      <c r="B19" s="205">
        <v>1</v>
      </c>
      <c r="C19" s="205" t="s">
        <v>47</v>
      </c>
      <c r="D19" s="205" t="s">
        <v>103</v>
      </c>
      <c r="E19" s="205">
        <f t="array" ref="E19">SUM(IF('AEO 2012 crdcrv'!$A$7:$A$2000=C19,IF('AEO 2012 crdcrv'!$I$7:$I$2000="2020",IF('AEO 2012 crdcrv'!$J$7:J$2000="Prices",'AEO 2012 crdcrv'!C$7:C$2000,0))))</f>
        <v>30.37</v>
      </c>
      <c r="F19" s="205">
        <f t="array" ref="F19">SUM(IF('AEO 2012 crdcrv'!$A$7:$A$2000=C19,IF('AEO 2012 crdcrv'!$I$7:$I$2000="2020",IF('AEO 2012 crdcrv'!$J$7:J$2000="Quantities",'AEO 2012 crdcrv'!C$7:C$2000,0))))</f>
        <v>50.51</v>
      </c>
      <c r="H19" s="205">
        <f t="shared" si="0"/>
        <v>30.37</v>
      </c>
    </row>
    <row r="20" spans="1:8">
      <c r="A20" s="205">
        <v>2020</v>
      </c>
      <c r="B20" s="205">
        <v>1</v>
      </c>
      <c r="C20" s="205" t="s">
        <v>44</v>
      </c>
      <c r="D20" s="205" t="s">
        <v>103</v>
      </c>
      <c r="E20" s="205">
        <f t="array" ref="E20">SUM(IF('AEO 2012 crdcrv'!$A$7:$A$2000=C20,IF('AEO 2012 crdcrv'!$I$7:$I$2000="2020",IF('AEO 2012 crdcrv'!$J$7:J$2000="Prices",'AEO 2012 crdcrv'!C$7:C$2000,0))))</f>
        <v>33.1</v>
      </c>
      <c r="F20" s="205">
        <f t="array" ref="F20">SUM(IF('AEO 2012 crdcrv'!$A$7:$A$2000=C20,IF('AEO 2012 crdcrv'!$I$7:$I$2000="2020",IF('AEO 2012 crdcrv'!$J$7:J$2000="Quantities",'AEO 2012 crdcrv'!C$7:C$2000,0))))</f>
        <v>8.85</v>
      </c>
      <c r="H20" s="205">
        <f t="shared" si="0"/>
        <v>33.1</v>
      </c>
    </row>
    <row r="21" spans="1:8">
      <c r="A21" s="205">
        <v>2020</v>
      </c>
      <c r="B21" s="205">
        <v>1</v>
      </c>
      <c r="C21" s="205" t="s">
        <v>50</v>
      </c>
      <c r="D21" s="205" t="s">
        <v>103</v>
      </c>
      <c r="E21" s="205">
        <f t="array" ref="E21">SUM(IF('AEO 2012 crdcrv'!$A$7:$A$2000=C21,IF('AEO 2012 crdcrv'!$I$7:$I$2000="2020",IF('AEO 2012 crdcrv'!$J$7:J$2000="Prices",'AEO 2012 crdcrv'!C$7:C$2000,0))))</f>
        <v>30.08</v>
      </c>
      <c r="F21" s="205">
        <f t="array" ref="F21">SUM(IF('AEO 2012 crdcrv'!$A$7:$A$2000=C21,IF('AEO 2012 crdcrv'!$I$7:$I$2000="2020",IF('AEO 2012 crdcrv'!$J$7:J$2000="Quantities",'AEO 2012 crdcrv'!C$7:C$2000,0))))</f>
        <v>23.56</v>
      </c>
      <c r="H21" s="205">
        <f t="shared" si="0"/>
        <v>30.08</v>
      </c>
    </row>
    <row r="22" spans="1:8">
      <c r="A22" s="205">
        <v>2020</v>
      </c>
      <c r="B22" s="205">
        <v>1</v>
      </c>
      <c r="C22" s="205" t="s">
        <v>38</v>
      </c>
      <c r="D22" s="205" t="s">
        <v>103</v>
      </c>
      <c r="E22" s="205">
        <f t="array" ref="E22">SUM(IF('AEO 2012 crdcrv'!$A$7:$A$2000=C22,IF('AEO 2012 crdcrv'!$I$7:$I$2000="2020",IF('AEO 2012 crdcrv'!$J$7:J$2000="Prices",'AEO 2012 crdcrv'!C$7:C$2000,0))))</f>
        <v>40.4</v>
      </c>
      <c r="F22" s="205">
        <f t="array" ref="F22">SUM(IF('AEO 2012 crdcrv'!$A$7:$A$2000=C22,IF('AEO 2012 crdcrv'!$I$7:$I$2000="2020",IF('AEO 2012 crdcrv'!$J$7:J$2000="Quantities",'AEO 2012 crdcrv'!C$7:C$2000,0))))</f>
        <v>14.61</v>
      </c>
      <c r="H22" s="205">
        <f t="shared" si="0"/>
        <v>40.4</v>
      </c>
    </row>
    <row r="23" spans="1:8">
      <c r="A23" s="205">
        <v>2020</v>
      </c>
      <c r="B23" s="205">
        <v>1</v>
      </c>
      <c r="C23" s="205" t="s">
        <v>41</v>
      </c>
      <c r="D23" s="205" t="s">
        <v>103</v>
      </c>
      <c r="E23" s="205">
        <f t="array" ref="E23">SUM(IF('AEO 2012 crdcrv'!$A$7:$A$2000=C23,IF('AEO 2012 crdcrv'!$I$7:$I$2000="2020",IF('AEO 2012 crdcrv'!$J$7:J$2000="Prices",'AEO 2012 crdcrv'!C$7:C$2000,0))))</f>
        <v>33.020000000000003</v>
      </c>
      <c r="F23" s="205">
        <f t="array" ref="F23">SUM(IF('AEO 2012 crdcrv'!$A$7:$A$2000=C23,IF('AEO 2012 crdcrv'!$I$7:$I$2000="2020",IF('AEO 2012 crdcrv'!$J$7:J$2000="Quantities",'AEO 2012 crdcrv'!C$7:C$2000,0))))</f>
        <v>17.28</v>
      </c>
      <c r="H23" s="205">
        <f t="shared" si="0"/>
        <v>33.020000000000003</v>
      </c>
    </row>
    <row r="24" spans="1:8">
      <c r="A24" s="205">
        <v>2005</v>
      </c>
      <c r="B24" s="205">
        <v>1</v>
      </c>
      <c r="C24" s="205" t="s">
        <v>47</v>
      </c>
      <c r="D24" s="205" t="s">
        <v>107</v>
      </c>
      <c r="E24" s="205">
        <f t="array" ref="E24">SUM(IF('AEO 2012 crdcrv'!$A$7:$A$2000=C24,IF('AEO 2012 crdcrv'!$I$7:$I$2000="2005",IF('AEO 2012 crdcrv'!$J$7:J$2000="Prices",'AEO 2012 crdcrv'!D$7:D$2000,0))))</f>
        <v>29</v>
      </c>
      <c r="F24" s="205">
        <f t="array" ref="F24">SUM(IF('AEO 2012 crdcrv'!$A$7:$A$2000=C24,IF('AEO 2012 crdcrv'!$I$7:$I$2000="2005",IF('AEO 2012 crdcrv'!$J$7:J$2000="Quantities",'AEO 2012 crdcrv'!D$7:D$2000,0))))</f>
        <v>227.78</v>
      </c>
      <c r="H24" s="205">
        <f t="shared" si="0"/>
        <v>29</v>
      </c>
    </row>
    <row r="25" spans="1:8">
      <c r="A25" s="205">
        <v>2005</v>
      </c>
      <c r="B25" s="205">
        <v>1</v>
      </c>
      <c r="C25" s="205" t="s">
        <v>44</v>
      </c>
      <c r="D25" s="205" t="s">
        <v>107</v>
      </c>
      <c r="E25" s="205">
        <f t="array" ref="E25">SUM(IF('AEO 2012 crdcrv'!$A$7:$A$2000=C25,IF('AEO 2012 crdcrv'!$I$7:$I$2000="2005",IF('AEO 2012 crdcrv'!$J$7:J$2000="Prices",'AEO 2012 crdcrv'!D$7:D$2000,0))))</f>
        <v>37.74</v>
      </c>
      <c r="F25" s="205">
        <f t="array" ref="F25">SUM(IF('AEO 2012 crdcrv'!$A$7:$A$2000=C25,IF('AEO 2012 crdcrv'!$I$7:$I$2000="2005",IF('AEO 2012 crdcrv'!$J$7:J$2000="Quantities",'AEO 2012 crdcrv'!D$7:D$2000,0))))</f>
        <v>148.24</v>
      </c>
      <c r="H25" s="205">
        <f t="shared" si="0"/>
        <v>37.74</v>
      </c>
    </row>
    <row r="26" spans="1:8">
      <c r="A26" s="205">
        <v>2005</v>
      </c>
      <c r="B26" s="205">
        <v>1</v>
      </c>
      <c r="C26" s="205" t="s">
        <v>50</v>
      </c>
      <c r="D26" s="205" t="s">
        <v>107</v>
      </c>
      <c r="E26" s="205">
        <f t="array" ref="E26">SUM(IF('AEO 2012 crdcrv'!$A$7:$A$2000=C26,IF('AEO 2012 crdcrv'!$I$7:$I$2000="2005",IF('AEO 2012 crdcrv'!$J$7:J$2000="Prices",'AEO 2012 crdcrv'!D$7:D$2000,0))))</f>
        <v>26</v>
      </c>
      <c r="F26" s="205">
        <f t="array" ref="F26">SUM(IF('AEO 2012 crdcrv'!$A$7:$A$2000=C26,IF('AEO 2012 crdcrv'!$I$7:$I$2000="2005",IF('AEO 2012 crdcrv'!$J$7:J$2000="Quantities",'AEO 2012 crdcrv'!D$7:D$2000,0))))</f>
        <v>583.42999999999995</v>
      </c>
      <c r="H26" s="205">
        <f t="shared" si="0"/>
        <v>26</v>
      </c>
    </row>
    <row r="27" spans="1:8">
      <c r="A27" s="205">
        <v>2005</v>
      </c>
      <c r="B27" s="205">
        <v>1</v>
      </c>
      <c r="C27" s="205" t="s">
        <v>38</v>
      </c>
      <c r="D27" s="205" t="s">
        <v>107</v>
      </c>
      <c r="E27" s="205">
        <f t="array" ref="E27">SUM(IF('AEO 2012 crdcrv'!$A$7:$A$2000=C27,IF('AEO 2012 crdcrv'!$I$7:$I$2000="2005",IF('AEO 2012 crdcrv'!$J$7:J$2000="Prices",'AEO 2012 crdcrv'!D$7:D$2000,0))))</f>
        <v>36.6</v>
      </c>
      <c r="F27" s="205">
        <f t="array" ref="F27">SUM(IF('AEO 2012 crdcrv'!$A$7:$A$2000=C27,IF('AEO 2012 crdcrv'!$I$7:$I$2000="2005",IF('AEO 2012 crdcrv'!$J$7:J$2000="Quantities",'AEO 2012 crdcrv'!D$7:D$2000,0))))</f>
        <v>374.87</v>
      </c>
      <c r="H27" s="205">
        <f t="shared" si="0"/>
        <v>36.6</v>
      </c>
    </row>
    <row r="28" spans="1:8">
      <c r="A28" s="205">
        <v>2005</v>
      </c>
      <c r="B28" s="205">
        <v>1</v>
      </c>
      <c r="C28" s="205" t="s">
        <v>41</v>
      </c>
      <c r="D28" s="205" t="s">
        <v>107</v>
      </c>
      <c r="E28" s="205">
        <f t="array" ref="E28">SUM(IF('AEO 2012 crdcrv'!$A$7:$A$2000=C28,IF('AEO 2012 crdcrv'!$I$7:$I$2000="2005",IF('AEO 2012 crdcrv'!$J$7:J$2000="Prices",'AEO 2012 crdcrv'!D$7:D$2000,0))))</f>
        <v>32.909999999999997</v>
      </c>
      <c r="F28" s="205">
        <f t="array" ref="F28">SUM(IF('AEO 2012 crdcrv'!$A$7:$A$2000=C28,IF('AEO 2012 crdcrv'!$I$7:$I$2000="2005",IF('AEO 2012 crdcrv'!$J$7:J$2000="Quantities",'AEO 2012 crdcrv'!D$7:D$2000,0))))</f>
        <v>227.53</v>
      </c>
      <c r="H28" s="205">
        <f t="shared" si="0"/>
        <v>32.909999999999997</v>
      </c>
    </row>
    <row r="29" spans="1:8">
      <c r="A29" s="205">
        <v>2010</v>
      </c>
      <c r="B29" s="205">
        <v>1</v>
      </c>
      <c r="C29" s="205" t="s">
        <v>47</v>
      </c>
      <c r="D29" s="205" t="s">
        <v>107</v>
      </c>
      <c r="E29" s="205">
        <f t="array" ref="E29">SUM(IF('AEO 2012 crdcrv'!$A$7:$A$2000=C29,IF('AEO 2012 crdcrv'!$I$7:$I$2000="2010",IF('AEO 2012 crdcrv'!$J$7:J$2000="Prices",'AEO 2012 crdcrv'!D$7:D$2000,0))))</f>
        <v>33.75</v>
      </c>
      <c r="F29" s="205">
        <f t="array" ref="F29">SUM(IF('AEO 2012 crdcrv'!$A$7:$A$2000=C29,IF('AEO 2012 crdcrv'!$I$7:$I$2000="2010",IF('AEO 2012 crdcrv'!$J$7:J$2000="Quantities",'AEO 2012 crdcrv'!D$7:D$2000,0))))</f>
        <v>243.83</v>
      </c>
      <c r="H29" s="205">
        <f>E29*1.25</f>
        <v>42.1875</v>
      </c>
    </row>
    <row r="30" spans="1:8">
      <c r="A30" s="205">
        <v>2010</v>
      </c>
      <c r="B30" s="205">
        <v>1</v>
      </c>
      <c r="C30" s="205" t="s">
        <v>44</v>
      </c>
      <c r="D30" s="205" t="s">
        <v>107</v>
      </c>
      <c r="E30" s="205">
        <f t="array" ref="E30">SUM(IF('AEO 2012 crdcrv'!$A$7:$A$2000=C30,IF('AEO 2012 crdcrv'!$I$7:$I$2000="2010",IF('AEO 2012 crdcrv'!$J$7:J$2000="Prices",'AEO 2012 crdcrv'!D$7:D$2000,0))))</f>
        <v>36.5</v>
      </c>
      <c r="F30" s="205">
        <f t="array" ref="F30">SUM(IF('AEO 2012 crdcrv'!$A$7:$A$2000=C30,IF('AEO 2012 crdcrv'!$I$7:$I$2000="2010",IF('AEO 2012 crdcrv'!$J$7:J$2000="Quantities",'AEO 2012 crdcrv'!D$7:D$2000,0))))</f>
        <v>118.79</v>
      </c>
      <c r="H30" s="205">
        <f t="shared" ref="H30:H33" si="2">E30*1.25</f>
        <v>45.625</v>
      </c>
    </row>
    <row r="31" spans="1:8">
      <c r="A31" s="205">
        <v>2010</v>
      </c>
      <c r="B31" s="205">
        <v>1</v>
      </c>
      <c r="C31" s="205" t="s">
        <v>50</v>
      </c>
      <c r="D31" s="205" t="s">
        <v>107</v>
      </c>
      <c r="E31" s="205">
        <f t="array" ref="E31">SUM(IF('AEO 2012 crdcrv'!$A$7:$A$2000=C31,IF('AEO 2012 crdcrv'!$I$7:$I$2000="2010",IF('AEO 2012 crdcrv'!$J$7:J$2000="Prices",'AEO 2012 crdcrv'!D$7:D$2000,0))))</f>
        <v>33.450000000000003</v>
      </c>
      <c r="F31" s="205">
        <f t="array" ref="F31">SUM(IF('AEO 2012 crdcrv'!$A$7:$A$2000=C31,IF('AEO 2012 crdcrv'!$I$7:$I$2000="2010",IF('AEO 2012 crdcrv'!$J$7:J$2000="Quantities",'AEO 2012 crdcrv'!D$7:D$2000,0))))</f>
        <v>699.11</v>
      </c>
      <c r="H31" s="205">
        <f t="shared" si="2"/>
        <v>41.8125</v>
      </c>
    </row>
    <row r="32" spans="1:8">
      <c r="A32" s="205">
        <v>2010</v>
      </c>
      <c r="B32" s="205">
        <v>1</v>
      </c>
      <c r="C32" s="205" t="s">
        <v>38</v>
      </c>
      <c r="D32" s="205" t="s">
        <v>107</v>
      </c>
      <c r="E32" s="205">
        <f t="array" ref="E32">SUM(IF('AEO 2012 crdcrv'!$A$7:$A$2000=C32,IF('AEO 2012 crdcrv'!$I$7:$I$2000="2010",IF('AEO 2012 crdcrv'!$J$7:J$2000="Prices",'AEO 2012 crdcrv'!D$7:D$2000,0))))</f>
        <v>44.35</v>
      </c>
      <c r="F32" s="205">
        <f t="array" ref="F32">SUM(IF('AEO 2012 crdcrv'!$A$7:$A$2000=C32,IF('AEO 2012 crdcrv'!$I$7:$I$2000="2010",IF('AEO 2012 crdcrv'!$J$7:J$2000="Quantities",'AEO 2012 crdcrv'!D$7:D$2000,0))))</f>
        <v>369.94</v>
      </c>
      <c r="H32" s="205">
        <f t="shared" si="2"/>
        <v>55.4375</v>
      </c>
    </row>
    <row r="33" spans="1:11">
      <c r="A33" s="205">
        <v>2010</v>
      </c>
      <c r="B33" s="205">
        <v>1</v>
      </c>
      <c r="C33" s="205" t="s">
        <v>41</v>
      </c>
      <c r="D33" s="205" t="s">
        <v>107</v>
      </c>
      <c r="E33" s="205">
        <f t="array" ref="E33">SUM(IF('AEO 2012 crdcrv'!$A$7:$A$2000=C33,IF('AEO 2012 crdcrv'!$I$7:$I$2000="2010",IF('AEO 2012 crdcrv'!$J$7:J$2000="Prices",'AEO 2012 crdcrv'!D$7:D$2000,0))))</f>
        <v>36.44</v>
      </c>
      <c r="F33" s="205">
        <f t="array" ref="F33">SUM(IF('AEO 2012 crdcrv'!$A$7:$A$2000=C33,IF('AEO 2012 crdcrv'!$I$7:$I$2000="2010",IF('AEO 2012 crdcrv'!$J$7:J$2000="Quantities",'AEO 2012 crdcrv'!D$7:D$2000,0))))</f>
        <v>34.909999999999997</v>
      </c>
      <c r="H33" s="205">
        <f t="shared" si="2"/>
        <v>45.55</v>
      </c>
    </row>
    <row r="34" spans="1:11">
      <c r="A34" s="205">
        <v>2015</v>
      </c>
      <c r="B34" s="205">
        <v>1</v>
      </c>
      <c r="C34" s="205" t="s">
        <v>47</v>
      </c>
      <c r="D34" s="205" t="s">
        <v>107</v>
      </c>
      <c r="E34" s="205">
        <f t="array" ref="E34">SUM(IF('AEO 2012 crdcrv'!$A$7:$A$2000=C34,IF('AEO 2012 crdcrv'!$I$7:$I$2000="2015",IF('AEO 2012 crdcrv'!$J$7:J$2000="Prices",'AEO 2012 crdcrv'!D$7:D$2000,0))))</f>
        <v>28.7</v>
      </c>
      <c r="F34" s="205">
        <f t="array" ref="F34">SUM(IF('AEO 2012 crdcrv'!$A$7:$A$2000=C34,IF('AEO 2012 crdcrv'!$I$7:$I$2000="2015",IF('AEO 2012 crdcrv'!$J$7:J$2000="Quantities",'AEO 2012 crdcrv'!D$7:D$2000,0))))</f>
        <v>44.46</v>
      </c>
      <c r="H34" s="205">
        <f t="shared" si="0"/>
        <v>28.7</v>
      </c>
    </row>
    <row r="35" spans="1:11">
      <c r="A35" s="205">
        <v>2015</v>
      </c>
      <c r="B35" s="205">
        <v>1</v>
      </c>
      <c r="C35" s="205" t="s">
        <v>44</v>
      </c>
      <c r="D35" s="205" t="s">
        <v>107</v>
      </c>
      <c r="E35" s="205">
        <f t="array" ref="E35">SUM(IF('AEO 2012 crdcrv'!$A$7:$A$2000=C35,IF('AEO 2012 crdcrv'!$I$7:$I$2000="2015",IF('AEO 2012 crdcrv'!$J$7:J$2000="Prices",'AEO 2012 crdcrv'!D$7:D$2000,0))))</f>
        <v>31.41</v>
      </c>
      <c r="F35" s="205">
        <f t="array" ref="F35">SUM(IF('AEO 2012 crdcrv'!$A$7:$A$2000=C35,IF('AEO 2012 crdcrv'!$I$7:$I$2000="2015",IF('AEO 2012 crdcrv'!$J$7:J$2000="Quantities",'AEO 2012 crdcrv'!D$7:D$2000,0))))</f>
        <v>30.27</v>
      </c>
      <c r="H35" s="205">
        <f t="shared" si="0"/>
        <v>31.41</v>
      </c>
    </row>
    <row r="36" spans="1:11">
      <c r="A36" s="205">
        <v>2015</v>
      </c>
      <c r="B36" s="205">
        <v>1</v>
      </c>
      <c r="C36" s="205" t="s">
        <v>50</v>
      </c>
      <c r="D36" s="205" t="s">
        <v>107</v>
      </c>
      <c r="E36" s="205">
        <f t="array" ref="E36">SUM(IF('AEO 2012 crdcrv'!$A$7:$A$2000=C36,IF('AEO 2012 crdcrv'!$I$7:$I$2000="2015",IF('AEO 2012 crdcrv'!$J$7:J$2000="Prices",'AEO 2012 crdcrv'!D$7:D$2000,0))))</f>
        <v>28.41</v>
      </c>
      <c r="F36" s="205">
        <f t="array" ref="F36">SUM(IF('AEO 2012 crdcrv'!$A$7:$A$2000=C36,IF('AEO 2012 crdcrv'!$I$7:$I$2000="2015",IF('AEO 2012 crdcrv'!$J$7:J$2000="Quantities",'AEO 2012 crdcrv'!D$7:D$2000,0))))</f>
        <v>43.85</v>
      </c>
      <c r="H36" s="205">
        <f t="shared" si="0"/>
        <v>28.41</v>
      </c>
    </row>
    <row r="37" spans="1:11">
      <c r="A37" s="205">
        <v>2015</v>
      </c>
      <c r="B37" s="205">
        <v>1</v>
      </c>
      <c r="C37" s="205" t="s">
        <v>38</v>
      </c>
      <c r="D37" s="205" t="s">
        <v>107</v>
      </c>
      <c r="E37" s="205">
        <f t="array" ref="E37">SUM(IF('AEO 2012 crdcrv'!$A$7:$A$2000=C37,IF('AEO 2012 crdcrv'!$I$7:$I$2000="2015",IF('AEO 2012 crdcrv'!$J$7:J$2000="Prices",'AEO 2012 crdcrv'!D$7:D$2000,0))))</f>
        <v>38.44</v>
      </c>
      <c r="F37" s="205">
        <f t="array" ref="F37">SUM(IF('AEO 2012 crdcrv'!$A$7:$A$2000=C37,IF('AEO 2012 crdcrv'!$I$7:$I$2000="2015",IF('AEO 2012 crdcrv'!$J$7:J$2000="Quantities",'AEO 2012 crdcrv'!D$7:D$2000,0))))</f>
        <v>1.85</v>
      </c>
      <c r="H37" s="205">
        <f t="shared" si="0"/>
        <v>38.44</v>
      </c>
    </row>
    <row r="38" spans="1:11">
      <c r="A38" s="205">
        <v>2015</v>
      </c>
      <c r="B38" s="205">
        <v>1</v>
      </c>
      <c r="C38" s="205" t="s">
        <v>41</v>
      </c>
      <c r="D38" s="205" t="s">
        <v>107</v>
      </c>
      <c r="E38" s="205">
        <f t="array" ref="E38">SUM(IF('AEO 2012 crdcrv'!$A$7:$A$2000=C38,IF('AEO 2012 crdcrv'!$I$7:$I$2000="2015",IF('AEO 2012 crdcrv'!$J$7:J$2000="Prices",'AEO 2012 crdcrv'!D$7:D$2000,0))))</f>
        <v>31.31</v>
      </c>
      <c r="F38" s="205">
        <f t="array" ref="F38">SUM(IF('AEO 2012 crdcrv'!$A$7:$A$2000=C38,IF('AEO 2012 crdcrv'!$I$7:$I$2000="2015",IF('AEO 2012 crdcrv'!$J$7:J$2000="Quantities",'AEO 2012 crdcrv'!D$7:D$2000,0))))</f>
        <v>3.86</v>
      </c>
      <c r="H38" s="205">
        <f t="shared" si="0"/>
        <v>31.31</v>
      </c>
    </row>
    <row r="39" spans="1:11">
      <c r="A39" s="205">
        <v>2020</v>
      </c>
      <c r="B39" s="205">
        <v>1</v>
      </c>
      <c r="C39" s="205" t="s">
        <v>47</v>
      </c>
      <c r="D39" s="205" t="s">
        <v>107</v>
      </c>
      <c r="E39" s="205">
        <f t="array" ref="E39">SUM(IF('AEO 2012 crdcrv'!$A$7:$A$2000=C39,IF('AEO 2012 crdcrv'!$I$7:$I$2000="2020",IF('AEO 2012 crdcrv'!$J$7:J$2000="Prices",'AEO 2012 crdcrv'!D$7:D$2000,0))))</f>
        <v>30.37</v>
      </c>
      <c r="F39" s="205">
        <f t="array" ref="F39">SUM(IF('AEO 2012 crdcrv'!$A$7:$A$2000=C39,IF('AEO 2012 crdcrv'!$I$7:$I$2000="2020",IF('AEO 2012 crdcrv'!$J$7:J$2000="Quantities",'AEO 2012 crdcrv'!D$7:D$2000,0))))</f>
        <v>49.09</v>
      </c>
      <c r="H39" s="205">
        <f t="shared" si="0"/>
        <v>30.37</v>
      </c>
    </row>
    <row r="40" spans="1:11">
      <c r="A40" s="205">
        <v>2020</v>
      </c>
      <c r="B40" s="205">
        <v>1</v>
      </c>
      <c r="C40" s="205" t="s">
        <v>44</v>
      </c>
      <c r="D40" s="205" t="s">
        <v>107</v>
      </c>
      <c r="E40" s="205">
        <f t="array" ref="E40">SUM(IF('AEO 2012 crdcrv'!$A$7:$A$2000=C40,IF('AEO 2012 crdcrv'!$I$7:$I$2000="2020",IF('AEO 2012 crdcrv'!$J$7:J$2000="Prices",'AEO 2012 crdcrv'!D$7:D$2000,0))))</f>
        <v>33.1</v>
      </c>
      <c r="F40" s="205">
        <f t="array" ref="F40">SUM(IF('AEO 2012 crdcrv'!$A$7:$A$2000=C40,IF('AEO 2012 crdcrv'!$I$7:$I$2000="2020",IF('AEO 2012 crdcrv'!$J$7:J$2000="Quantities",'AEO 2012 crdcrv'!D$7:D$2000,0))))</f>
        <v>33.42</v>
      </c>
      <c r="H40" s="205">
        <f t="shared" si="0"/>
        <v>33.1</v>
      </c>
    </row>
    <row r="41" spans="1:11">
      <c r="A41" s="205">
        <v>2020</v>
      </c>
      <c r="B41" s="205">
        <v>1</v>
      </c>
      <c r="C41" s="205" t="s">
        <v>50</v>
      </c>
      <c r="D41" s="205" t="s">
        <v>107</v>
      </c>
      <c r="E41" s="205">
        <f t="array" ref="E41">SUM(IF('AEO 2012 crdcrv'!$A$7:$A$2000=C41,IF('AEO 2012 crdcrv'!$I$7:$I$2000="2020",IF('AEO 2012 crdcrv'!$J$7:J$2000="Prices",'AEO 2012 crdcrv'!D$7:D$2000,0))))</f>
        <v>30.08</v>
      </c>
      <c r="F41" s="205">
        <f t="array" ref="F41">SUM(IF('AEO 2012 crdcrv'!$A$7:$A$2000=C41,IF('AEO 2012 crdcrv'!$I$7:$I$2000="2020",IF('AEO 2012 crdcrv'!$J$7:J$2000="Quantities",'AEO 2012 crdcrv'!D$7:D$2000,0))))</f>
        <v>48.42</v>
      </c>
      <c r="H41" s="205">
        <f t="shared" si="0"/>
        <v>30.08</v>
      </c>
    </row>
    <row r="42" spans="1:11">
      <c r="A42" s="205">
        <v>2020</v>
      </c>
      <c r="B42" s="205">
        <v>1</v>
      </c>
      <c r="C42" s="205" t="s">
        <v>38</v>
      </c>
      <c r="D42" s="205" t="s">
        <v>107</v>
      </c>
      <c r="E42" s="205">
        <f t="array" ref="E42">SUM(IF('AEO 2012 crdcrv'!$A$7:$A$2000=C42,IF('AEO 2012 crdcrv'!$I$7:$I$2000="2020",IF('AEO 2012 crdcrv'!$J$7:J$2000="Prices",'AEO 2012 crdcrv'!D$7:D$2000,0))))</f>
        <v>40.4</v>
      </c>
      <c r="F42" s="205">
        <f t="array" ref="F42">SUM(IF('AEO 2012 crdcrv'!$A$7:$A$2000=C42,IF('AEO 2012 crdcrv'!$I$7:$I$2000="2020",IF('AEO 2012 crdcrv'!$J$7:J$2000="Quantities",'AEO 2012 crdcrv'!D$7:D$2000,0))))</f>
        <v>2.0499999999999998</v>
      </c>
      <c r="H42" s="205">
        <f t="shared" si="0"/>
        <v>40.4</v>
      </c>
    </row>
    <row r="43" spans="1:11">
      <c r="A43" s="205">
        <v>2020</v>
      </c>
      <c r="B43" s="205">
        <v>1</v>
      </c>
      <c r="C43" s="205" t="s">
        <v>41</v>
      </c>
      <c r="D43" s="205" t="s">
        <v>107</v>
      </c>
      <c r="E43" s="205">
        <f t="array" ref="E43">SUM(IF('AEO 2012 crdcrv'!$A$7:$A$2000=C43,IF('AEO 2012 crdcrv'!$I$7:$I$2000="2020",IF('AEO 2012 crdcrv'!$J$7:J$2000="Prices",'AEO 2012 crdcrv'!D$7:D$2000,0))))</f>
        <v>33.020000000000003</v>
      </c>
      <c r="F43" s="205">
        <f t="array" ref="F43">SUM(IF('AEO 2012 crdcrv'!$A$7:$A$2000=C43,IF('AEO 2012 crdcrv'!$I$7:$I$2000="2020",IF('AEO 2012 crdcrv'!$J$7:J$2000="Quantities",'AEO 2012 crdcrv'!D$7:D$2000,0))))</f>
        <v>4.26</v>
      </c>
      <c r="H43" s="205">
        <f t="shared" si="0"/>
        <v>33.020000000000003</v>
      </c>
    </row>
    <row r="44" spans="1:11">
      <c r="A44" s="205">
        <v>2005</v>
      </c>
      <c r="B44" s="205">
        <v>1</v>
      </c>
      <c r="C44" s="205" t="s">
        <v>47</v>
      </c>
      <c r="D44" s="205" t="s">
        <v>111</v>
      </c>
      <c r="E44" s="205">
        <f t="array" ref="E44">SUM(IF('AEO 2012 crdcrv'!$A$7:$A$2000=C44,IF('AEO 2012 crdcrv'!$I$7:$I$2000="2005",IF('AEO 2012 crdcrv'!$J$7:J$2000="Prices",'AEO 2012 crdcrv'!E$7:E$2000,0))))</f>
        <v>29</v>
      </c>
      <c r="F44" s="205">
        <f t="array" ref="F44">SUM(IF('AEO 2012 crdcrv'!$A$7:$A$2000=C44,IF('AEO 2012 crdcrv'!$I$7:$I$2000="2005",IF('AEO 2012 crdcrv'!$J$7:J$2000="Quantities",'AEO 2012 crdcrv'!E$7:E$2000,0))))</f>
        <v>1525.41</v>
      </c>
      <c r="H44" s="205">
        <f t="shared" si="0"/>
        <v>29</v>
      </c>
      <c r="I44" s="205"/>
      <c r="J44" s="205"/>
      <c r="K44" s="205"/>
    </row>
    <row r="45" spans="1:11">
      <c r="A45" s="205">
        <v>2005</v>
      </c>
      <c r="B45" s="205">
        <v>1</v>
      </c>
      <c r="C45" s="205" t="s">
        <v>44</v>
      </c>
      <c r="D45" s="205" t="s">
        <v>111</v>
      </c>
      <c r="E45" s="205">
        <f t="array" ref="E45">SUM(IF('AEO 2012 crdcrv'!$A$7:$A$2000=C45,IF('AEO 2012 crdcrv'!$I$7:$I$2000="2005",IF('AEO 2012 crdcrv'!$J$7:J$2000="Prices",'AEO 2012 crdcrv'!E$7:E$2000,0))))</f>
        <v>37.74</v>
      </c>
      <c r="F45" s="205">
        <f t="array" ref="F45">SUM(IF('AEO 2012 crdcrv'!$A$7:$A$2000=C45,IF('AEO 2012 crdcrv'!$I$7:$I$2000="2005",IF('AEO 2012 crdcrv'!$J$7:J$2000="Quantities",'AEO 2012 crdcrv'!E$7:E$2000,0))))</f>
        <v>270.20999999999998</v>
      </c>
      <c r="H45" s="205">
        <f t="shared" si="0"/>
        <v>37.74</v>
      </c>
    </row>
    <row r="46" spans="1:11">
      <c r="A46" s="205">
        <v>2005</v>
      </c>
      <c r="B46" s="205">
        <v>1</v>
      </c>
      <c r="C46" s="205" t="s">
        <v>50</v>
      </c>
      <c r="D46" s="205" t="s">
        <v>111</v>
      </c>
      <c r="E46" s="205">
        <f t="array" ref="E46">SUM(IF('AEO 2012 crdcrv'!$A$7:$A$2000=C46,IF('AEO 2012 crdcrv'!$I$7:$I$2000="2005",IF('AEO 2012 crdcrv'!$J$7:J$2000="Prices",'AEO 2012 crdcrv'!E$7:E$2000,0))))</f>
        <v>26</v>
      </c>
      <c r="F46" s="205">
        <f t="array" ref="F46">SUM(IF('AEO 2012 crdcrv'!$A$7:$A$2000=C46,IF('AEO 2012 crdcrv'!$I$7:$I$2000="2005",IF('AEO 2012 crdcrv'!$J$7:J$2000="Quantities",'AEO 2012 crdcrv'!E$7:E$2000,0))))</f>
        <v>2051.17</v>
      </c>
      <c r="H46" s="205">
        <f t="shared" si="0"/>
        <v>26</v>
      </c>
    </row>
    <row r="47" spans="1:11">
      <c r="A47" s="205">
        <v>2005</v>
      </c>
      <c r="B47" s="205">
        <v>1</v>
      </c>
      <c r="C47" s="205" t="s">
        <v>38</v>
      </c>
      <c r="D47" s="205" t="s">
        <v>111</v>
      </c>
      <c r="E47" s="205">
        <f t="array" ref="E47">SUM(IF('AEO 2012 crdcrv'!$A$7:$A$2000=C47,IF('AEO 2012 crdcrv'!$I$7:$I$2000="2005",IF('AEO 2012 crdcrv'!$J$7:J$2000="Prices",'AEO 2012 crdcrv'!E$7:E$2000,0))))</f>
        <v>36.6</v>
      </c>
      <c r="F47" s="205">
        <f t="array" ref="F47">SUM(IF('AEO 2012 crdcrv'!$A$7:$A$2000=C47,IF('AEO 2012 crdcrv'!$I$7:$I$2000="2005",IF('AEO 2012 crdcrv'!$J$7:J$2000="Quantities",'AEO 2012 crdcrv'!E$7:E$2000,0))))</f>
        <v>1327.66</v>
      </c>
      <c r="H47" s="205">
        <f t="shared" si="0"/>
        <v>36.6</v>
      </c>
      <c r="I47" s="205"/>
      <c r="J47" s="205"/>
      <c r="K47" s="205"/>
    </row>
    <row r="48" spans="1:11">
      <c r="A48" s="205">
        <v>2005</v>
      </c>
      <c r="B48" s="205">
        <v>1</v>
      </c>
      <c r="C48" s="205" t="s">
        <v>41</v>
      </c>
      <c r="D48" s="205" t="s">
        <v>111</v>
      </c>
      <c r="E48" s="205">
        <f t="array" ref="E48">SUM(IF('AEO 2012 crdcrv'!$A$7:$A$2000=C48,IF('AEO 2012 crdcrv'!$I$7:$I$2000="2005",IF('AEO 2012 crdcrv'!$J$7:J$2000="Prices",'AEO 2012 crdcrv'!E$7:E$2000,0))))</f>
        <v>32.909999999999997</v>
      </c>
      <c r="F48" s="205">
        <f t="array" ref="F48">SUM(IF('AEO 2012 crdcrv'!$A$7:$A$2000=C48,IF('AEO 2012 crdcrv'!$I$7:$I$2000="2005",IF('AEO 2012 crdcrv'!$J$7:J$2000="Quantities",'AEO 2012 crdcrv'!E$7:E$2000,0))))</f>
        <v>545.74</v>
      </c>
      <c r="H48" s="205">
        <f t="shared" si="0"/>
        <v>32.909999999999997</v>
      </c>
      <c r="I48" s="205"/>
      <c r="J48" s="205"/>
      <c r="K48" s="205"/>
    </row>
    <row r="49" spans="1:8">
      <c r="A49" s="205">
        <v>2010</v>
      </c>
      <c r="B49" s="205">
        <v>1</v>
      </c>
      <c r="C49" s="205" t="s">
        <v>47</v>
      </c>
      <c r="D49" s="205" t="s">
        <v>111</v>
      </c>
      <c r="E49" s="205">
        <f t="array" ref="E49">SUM(IF('AEO 2012 crdcrv'!$A$7:$A$2000=C49,IF('AEO 2012 crdcrv'!$I$7:$I$2000="2010",IF('AEO 2012 crdcrv'!$J$7:J$2000="Prices",'AEO 2012 crdcrv'!E$7:E$2000,0))))</f>
        <v>33.75</v>
      </c>
      <c r="F49" s="205">
        <f t="array" ref="F49">SUM(IF('AEO 2012 crdcrv'!$A$7:$A$2000=C49,IF('AEO 2012 crdcrv'!$I$7:$I$2000="2010",IF('AEO 2012 crdcrv'!$J$7:J$2000="Quantities",'AEO 2012 crdcrv'!E$7:E$2000,0))))</f>
        <v>1078.94</v>
      </c>
      <c r="H49" s="205">
        <f>E49*1.25</f>
        <v>42.1875</v>
      </c>
    </row>
    <row r="50" spans="1:8">
      <c r="A50" s="205">
        <v>2010</v>
      </c>
      <c r="B50" s="205">
        <v>1</v>
      </c>
      <c r="C50" s="205" t="s">
        <v>44</v>
      </c>
      <c r="D50" s="205" t="s">
        <v>111</v>
      </c>
      <c r="E50" s="205">
        <f t="array" ref="E50">SUM(IF('AEO 2012 crdcrv'!$A$7:$A$2000=C50,IF('AEO 2012 crdcrv'!$I$7:$I$2000="2010",IF('AEO 2012 crdcrv'!$J$7:J$2000="Prices",'AEO 2012 crdcrv'!E$7:E$2000,0))))</f>
        <v>36.5</v>
      </c>
      <c r="F50" s="205">
        <f t="array" ref="F50">SUM(IF('AEO 2012 crdcrv'!$A$7:$A$2000=C50,IF('AEO 2012 crdcrv'!$I$7:$I$2000="2010",IF('AEO 2012 crdcrv'!$J$7:J$2000="Quantities",'AEO 2012 crdcrv'!E$7:E$2000,0))))</f>
        <v>328.69</v>
      </c>
      <c r="H50" s="205">
        <f t="shared" ref="H50:H53" si="3">E50*1.25</f>
        <v>45.625</v>
      </c>
    </row>
    <row r="51" spans="1:8">
      <c r="A51" s="205">
        <v>2010</v>
      </c>
      <c r="B51" s="205">
        <v>1</v>
      </c>
      <c r="C51" s="205" t="s">
        <v>50</v>
      </c>
      <c r="D51" s="205" t="s">
        <v>111</v>
      </c>
      <c r="E51" s="205">
        <f t="array" ref="E51">SUM(IF('AEO 2012 crdcrv'!$A$7:$A$2000=C51,IF('AEO 2012 crdcrv'!$I$7:$I$2000="2010",IF('AEO 2012 crdcrv'!$J$7:J$2000="Prices",'AEO 2012 crdcrv'!E$7:E$2000,0))))</f>
        <v>33.450000000000003</v>
      </c>
      <c r="F51" s="205">
        <f t="array" ref="F51">SUM(IF('AEO 2012 crdcrv'!$A$7:$A$2000=C51,IF('AEO 2012 crdcrv'!$I$7:$I$2000="2010",IF('AEO 2012 crdcrv'!$J$7:J$2000="Quantities",'AEO 2012 crdcrv'!E$7:E$2000,0))))</f>
        <v>2083.44</v>
      </c>
      <c r="H51" s="205">
        <f t="shared" si="3"/>
        <v>41.8125</v>
      </c>
    </row>
    <row r="52" spans="1:8">
      <c r="A52" s="205">
        <v>2010</v>
      </c>
      <c r="B52" s="205">
        <v>1</v>
      </c>
      <c r="C52" s="205" t="s">
        <v>38</v>
      </c>
      <c r="D52" s="205" t="s">
        <v>111</v>
      </c>
      <c r="E52" s="205">
        <f t="array" ref="E52">SUM(IF('AEO 2012 crdcrv'!$A$7:$A$2000=C52,IF('AEO 2012 crdcrv'!$I$7:$I$2000="2010",IF('AEO 2012 crdcrv'!$J$7:J$2000="Prices",'AEO 2012 crdcrv'!E$7:E$2000,0))))</f>
        <v>44.35</v>
      </c>
      <c r="F52" s="205">
        <f t="array" ref="F52">SUM(IF('AEO 2012 crdcrv'!$A$7:$A$2000=C52,IF('AEO 2012 crdcrv'!$I$7:$I$2000="2010",IF('AEO 2012 crdcrv'!$J$7:J$2000="Quantities",'AEO 2012 crdcrv'!E$7:E$2000,0))))</f>
        <v>1310.29</v>
      </c>
      <c r="H52" s="205">
        <f t="shared" si="3"/>
        <v>55.4375</v>
      </c>
    </row>
    <row r="53" spans="1:8">
      <c r="A53" s="205">
        <v>2010</v>
      </c>
      <c r="B53" s="205">
        <v>1</v>
      </c>
      <c r="C53" s="205" t="s">
        <v>41</v>
      </c>
      <c r="D53" s="205" t="s">
        <v>111</v>
      </c>
      <c r="E53" s="205">
        <f t="array" ref="E53">SUM(IF('AEO 2012 crdcrv'!$A$7:$A$2000=C53,IF('AEO 2012 crdcrv'!$I$7:$I$2000="2010",IF('AEO 2012 crdcrv'!$J$7:J$2000="Prices",'AEO 2012 crdcrv'!E$7:E$2000,0))))</f>
        <v>36.44</v>
      </c>
      <c r="F53" s="205">
        <f t="array" ref="F53">SUM(IF('AEO 2012 crdcrv'!$A$7:$A$2000=C53,IF('AEO 2012 crdcrv'!$I$7:$I$2000="2010",IF('AEO 2012 crdcrv'!$J$7:J$2000="Quantities",'AEO 2012 crdcrv'!E$7:E$2000,0))))</f>
        <v>425.12</v>
      </c>
      <c r="H53" s="205">
        <f t="shared" si="3"/>
        <v>45.55</v>
      </c>
    </row>
    <row r="54" spans="1:8">
      <c r="A54" s="205">
        <v>2015</v>
      </c>
      <c r="B54" s="205">
        <v>1</v>
      </c>
      <c r="C54" s="205" t="s">
        <v>47</v>
      </c>
      <c r="D54" s="205" t="s">
        <v>111</v>
      </c>
      <c r="E54" s="205">
        <f t="array" ref="E54">SUM(IF('AEO 2012 crdcrv'!$A$7:$A$2000=C54,IF('AEO 2012 crdcrv'!$I$7:$I$2000="2015",IF('AEO 2012 crdcrv'!$J$7:J$2000="Prices",'AEO 2012 crdcrv'!E$7:E$2000,0))))</f>
        <v>28.7</v>
      </c>
      <c r="F54" s="205">
        <f t="array" ref="F54">SUM(IF('AEO 2012 crdcrv'!$A$7:$A$2000=C54,IF('AEO 2012 crdcrv'!$I$7:$I$2000="2015",IF('AEO 2012 crdcrv'!$J$7:J$2000="Quantities",'AEO 2012 crdcrv'!E$7:E$2000,0))))</f>
        <v>432.71</v>
      </c>
      <c r="H54" s="205">
        <f t="shared" si="0"/>
        <v>28.7</v>
      </c>
    </row>
    <row r="55" spans="1:8">
      <c r="A55" s="205">
        <v>2015</v>
      </c>
      <c r="B55" s="205">
        <v>1</v>
      </c>
      <c r="C55" s="205" t="s">
        <v>44</v>
      </c>
      <c r="D55" s="205" t="s">
        <v>111</v>
      </c>
      <c r="E55" s="205">
        <f t="array" ref="E55">SUM(IF('AEO 2012 crdcrv'!$A$7:$A$2000=C55,IF('AEO 2012 crdcrv'!$I$7:$I$2000="2015",IF('AEO 2012 crdcrv'!$J$7:J$2000="Prices",'AEO 2012 crdcrv'!E$7:E$2000,0))))</f>
        <v>31.41</v>
      </c>
      <c r="F55" s="205">
        <f t="array" ref="F55">SUM(IF('AEO 2012 crdcrv'!$A$7:$A$2000=C55,IF('AEO 2012 crdcrv'!$I$7:$I$2000="2015",IF('AEO 2012 crdcrv'!$J$7:J$2000="Quantities",'AEO 2012 crdcrv'!E$7:E$2000,0))))</f>
        <v>63.98</v>
      </c>
      <c r="H55" s="205">
        <f t="shared" si="0"/>
        <v>31.41</v>
      </c>
    </row>
    <row r="56" spans="1:8">
      <c r="A56" s="205">
        <v>2015</v>
      </c>
      <c r="B56" s="205">
        <v>1</v>
      </c>
      <c r="C56" s="205" t="s">
        <v>50</v>
      </c>
      <c r="D56" s="205" t="s">
        <v>111</v>
      </c>
      <c r="E56" s="205">
        <f t="array" ref="E56">SUM(IF('AEO 2012 crdcrv'!$A$7:$A$2000=C56,IF('AEO 2012 crdcrv'!$I$7:$I$2000="2015",IF('AEO 2012 crdcrv'!$J$7:J$2000="Prices",'AEO 2012 crdcrv'!E$7:E$2000,0))))</f>
        <v>28.41</v>
      </c>
      <c r="F56" s="205">
        <f t="array" ref="F56">SUM(IF('AEO 2012 crdcrv'!$A$7:$A$2000=C56,IF('AEO 2012 crdcrv'!$I$7:$I$2000="2015",IF('AEO 2012 crdcrv'!$J$7:J$2000="Quantities",'AEO 2012 crdcrv'!E$7:E$2000,0))))</f>
        <v>99.62</v>
      </c>
      <c r="H56" s="205">
        <f t="shared" si="0"/>
        <v>28.41</v>
      </c>
    </row>
    <row r="57" spans="1:8">
      <c r="A57" s="205">
        <v>2015</v>
      </c>
      <c r="B57" s="205">
        <v>1</v>
      </c>
      <c r="C57" s="205" t="s">
        <v>38</v>
      </c>
      <c r="D57" s="205" t="s">
        <v>111</v>
      </c>
      <c r="E57" s="205">
        <f t="array" ref="E57">SUM(IF('AEO 2012 crdcrv'!$A$7:$A$2000=C57,IF('AEO 2012 crdcrv'!$I$7:$I$2000="2015",IF('AEO 2012 crdcrv'!$J$7:J$2000="Prices",'AEO 2012 crdcrv'!E$7:E$2000,0))))</f>
        <v>38.44</v>
      </c>
      <c r="F57" s="205">
        <f t="array" ref="F57">SUM(IF('AEO 2012 crdcrv'!$A$7:$A$2000=C57,IF('AEO 2012 crdcrv'!$I$7:$I$2000="2015",IF('AEO 2012 crdcrv'!$J$7:J$2000="Quantities",'AEO 2012 crdcrv'!E$7:E$2000,0))))</f>
        <v>16.72</v>
      </c>
      <c r="H57" s="205">
        <f t="shared" si="0"/>
        <v>38.44</v>
      </c>
    </row>
    <row r="58" spans="1:8">
      <c r="A58" s="205">
        <v>2015</v>
      </c>
      <c r="B58" s="205">
        <v>1</v>
      </c>
      <c r="C58" s="205" t="s">
        <v>41</v>
      </c>
      <c r="D58" s="205" t="s">
        <v>111</v>
      </c>
      <c r="E58" s="205">
        <f t="array" ref="E58">SUM(IF('AEO 2012 crdcrv'!$A$7:$A$2000=C58,IF('AEO 2012 crdcrv'!$I$7:$I$2000="2015",IF('AEO 2012 crdcrv'!$J$7:J$2000="Prices",'AEO 2012 crdcrv'!E$7:E$2000,0))))</f>
        <v>31.31</v>
      </c>
      <c r="F58" s="205">
        <f t="array" ref="F58">SUM(IF('AEO 2012 crdcrv'!$A$7:$A$2000=C58,IF('AEO 2012 crdcrv'!$I$7:$I$2000="2015",IF('AEO 2012 crdcrv'!$J$7:J$2000="Quantities",'AEO 2012 crdcrv'!E$7:E$2000,0))))</f>
        <v>80.13</v>
      </c>
      <c r="H58" s="205">
        <f t="shared" si="0"/>
        <v>31.31</v>
      </c>
    </row>
    <row r="59" spans="1:8">
      <c r="A59" s="205">
        <v>2020</v>
      </c>
      <c r="B59" s="205">
        <v>1</v>
      </c>
      <c r="C59" s="205" t="s">
        <v>47</v>
      </c>
      <c r="D59" s="205" t="s">
        <v>111</v>
      </c>
      <c r="E59" s="205">
        <f t="array" ref="E59">SUM(IF('AEO 2012 crdcrv'!$A$7:$A$2000=C59,IF('AEO 2012 crdcrv'!$I$7:$I$2000="2020",IF('AEO 2012 crdcrv'!$J$7:J$2000="Prices",'AEO 2012 crdcrv'!E$7:E$2000,0))))</f>
        <v>30.37</v>
      </c>
      <c r="F59" s="205">
        <f t="array" ref="F59">SUM(IF('AEO 2012 crdcrv'!$A$7:$A$2000=C59,IF('AEO 2012 crdcrv'!$I$7:$I$2000="2020",IF('AEO 2012 crdcrv'!$J$7:J$2000="Quantities",'AEO 2012 crdcrv'!E$7:E$2000,0))))</f>
        <v>477.74</v>
      </c>
      <c r="H59" s="205">
        <f t="shared" si="0"/>
        <v>30.37</v>
      </c>
    </row>
    <row r="60" spans="1:8">
      <c r="A60" s="205">
        <v>2020</v>
      </c>
      <c r="B60" s="205">
        <v>1</v>
      </c>
      <c r="C60" s="205" t="s">
        <v>44</v>
      </c>
      <c r="D60" s="205" t="s">
        <v>111</v>
      </c>
      <c r="E60" s="205">
        <f t="array" ref="E60">SUM(IF('AEO 2012 crdcrv'!$A$7:$A$2000=C60,IF('AEO 2012 crdcrv'!$I$7:$I$2000="2020",IF('AEO 2012 crdcrv'!$J$7:J$2000="Prices",'AEO 2012 crdcrv'!E$7:E$2000,0))))</f>
        <v>33.1</v>
      </c>
      <c r="F60" s="205">
        <f t="array" ref="F60">SUM(IF('AEO 2012 crdcrv'!$A$7:$A$2000=C60,IF('AEO 2012 crdcrv'!$I$7:$I$2000="2020",IF('AEO 2012 crdcrv'!$J$7:J$2000="Quantities",'AEO 2012 crdcrv'!E$7:E$2000,0))))</f>
        <v>70.64</v>
      </c>
      <c r="H60" s="205">
        <f t="shared" si="0"/>
        <v>33.1</v>
      </c>
    </row>
    <row r="61" spans="1:8">
      <c r="A61" s="205">
        <v>2020</v>
      </c>
      <c r="B61" s="205">
        <v>1</v>
      </c>
      <c r="C61" s="205" t="s">
        <v>50</v>
      </c>
      <c r="D61" s="205" t="s">
        <v>111</v>
      </c>
      <c r="E61" s="205">
        <f t="array" ref="E61">SUM(IF('AEO 2012 crdcrv'!$A$7:$A$2000=C61,IF('AEO 2012 crdcrv'!$I$7:$I$2000="2020",IF('AEO 2012 crdcrv'!$J$7:J$2000="Prices",'AEO 2012 crdcrv'!E$7:E$2000,0))))</f>
        <v>30.08</v>
      </c>
      <c r="F61" s="205">
        <f t="array" ref="F61">SUM(IF('AEO 2012 crdcrv'!$A$7:$A$2000=C61,IF('AEO 2012 crdcrv'!$I$7:$I$2000="2020",IF('AEO 2012 crdcrv'!$J$7:J$2000="Quantities",'AEO 2012 crdcrv'!E$7:E$2000,0))))</f>
        <v>109.98</v>
      </c>
      <c r="H61" s="205">
        <f t="shared" si="0"/>
        <v>30.08</v>
      </c>
    </row>
    <row r="62" spans="1:8">
      <c r="A62" s="205">
        <v>2020</v>
      </c>
      <c r="B62" s="205">
        <v>1</v>
      </c>
      <c r="C62" s="205" t="s">
        <v>38</v>
      </c>
      <c r="D62" s="205" t="s">
        <v>111</v>
      </c>
      <c r="E62" s="205">
        <f t="array" ref="E62">SUM(IF('AEO 2012 crdcrv'!$A$7:$A$2000=C62,IF('AEO 2012 crdcrv'!$I$7:$I$2000="2020",IF('AEO 2012 crdcrv'!$J$7:J$2000="Prices",'AEO 2012 crdcrv'!E$7:E$2000,0))))</f>
        <v>40.4</v>
      </c>
      <c r="F62" s="205">
        <f t="array" ref="F62">SUM(IF('AEO 2012 crdcrv'!$A$7:$A$2000=C62,IF('AEO 2012 crdcrv'!$I$7:$I$2000="2020",IF('AEO 2012 crdcrv'!$J$7:J$2000="Quantities",'AEO 2012 crdcrv'!E$7:E$2000,0))))</f>
        <v>18.46</v>
      </c>
      <c r="H62" s="205">
        <f t="shared" si="0"/>
        <v>40.4</v>
      </c>
    </row>
    <row r="63" spans="1:8">
      <c r="A63" s="205">
        <v>2020</v>
      </c>
      <c r="B63" s="205">
        <v>1</v>
      </c>
      <c r="C63" s="205" t="s">
        <v>41</v>
      </c>
      <c r="D63" s="205" t="s">
        <v>111</v>
      </c>
      <c r="E63" s="205">
        <f t="array" ref="E63">SUM(IF('AEO 2012 crdcrv'!$A$7:$A$2000=C63,IF('AEO 2012 crdcrv'!$I$7:$I$2000="2020",IF('AEO 2012 crdcrv'!$J$7:J$2000="Prices",'AEO 2012 crdcrv'!E$7:E$2000,0))))</f>
        <v>33.020000000000003</v>
      </c>
      <c r="F63" s="205">
        <f t="array" ref="F63">SUM(IF('AEO 2012 crdcrv'!$A$7:$A$2000=C63,IF('AEO 2012 crdcrv'!$I$7:$I$2000="2020",IF('AEO 2012 crdcrv'!$J$7:J$2000="Quantities",'AEO 2012 crdcrv'!E$7:E$2000,0))))</f>
        <v>88.47</v>
      </c>
      <c r="H63" s="205">
        <f t="shared" si="0"/>
        <v>33.020000000000003</v>
      </c>
    </row>
    <row r="64" spans="1:8">
      <c r="A64" s="205">
        <v>2005</v>
      </c>
      <c r="B64" s="205">
        <v>1</v>
      </c>
      <c r="C64" s="205" t="s">
        <v>47</v>
      </c>
      <c r="D64" s="205" t="s">
        <v>115</v>
      </c>
      <c r="E64" s="205">
        <f t="array" ref="E64">SUM(IF('AEO 2012 crdcrv'!$A$7:$A$2000=C64,IF('AEO 2012 crdcrv'!$I$7:$I$2000="2005",IF('AEO 2012 crdcrv'!$J$7:J$2000="Prices",'AEO 2012 crdcrv'!F$7:F$2000,0))))</f>
        <v>29</v>
      </c>
      <c r="F64" s="205">
        <f t="array" ref="F64">SUM(IF('AEO 2012 crdcrv'!$A$7:$A$2000=C64,IF('AEO 2012 crdcrv'!$I$7:$I$2000="2005",IF('AEO 2012 crdcrv'!$J$7:J$2000="Quantities",'AEO 2012 crdcrv'!F$7:F$2000,0))))</f>
        <v>19.690000000000001</v>
      </c>
      <c r="H64" s="205">
        <f t="shared" si="0"/>
        <v>29</v>
      </c>
    </row>
    <row r="65" spans="1:8">
      <c r="A65" s="205">
        <v>2005</v>
      </c>
      <c r="B65" s="205">
        <v>1</v>
      </c>
      <c r="C65" s="205" t="s">
        <v>44</v>
      </c>
      <c r="D65" s="205" t="s">
        <v>115</v>
      </c>
      <c r="E65" s="205">
        <f t="array" ref="E65">SUM(IF('AEO 2012 crdcrv'!$A$7:$A$2000=C65,IF('AEO 2012 crdcrv'!$I$7:$I$2000="2005",IF('AEO 2012 crdcrv'!$J$7:J$2000="Prices",'AEO 2012 crdcrv'!F$7:F$2000,0))))</f>
        <v>37.74</v>
      </c>
      <c r="F65" s="205">
        <f t="array" ref="F65">SUM(IF('AEO 2012 crdcrv'!$A$7:$A$2000=C65,IF('AEO 2012 crdcrv'!$I$7:$I$2000="2005",IF('AEO 2012 crdcrv'!$J$7:J$2000="Quantities",'AEO 2012 crdcrv'!F$7:F$2000,0))))</f>
        <v>2.4500000000000002</v>
      </c>
      <c r="H65" s="205">
        <f t="shared" si="0"/>
        <v>37.74</v>
      </c>
    </row>
    <row r="66" spans="1:8">
      <c r="A66" s="205">
        <v>2005</v>
      </c>
      <c r="B66" s="205">
        <v>1</v>
      </c>
      <c r="C66" s="205" t="s">
        <v>50</v>
      </c>
      <c r="D66" s="205" t="s">
        <v>115</v>
      </c>
      <c r="E66" s="205">
        <f t="array" ref="E66">SUM(IF('AEO 2012 crdcrv'!$A$7:$A$2000=C66,IF('AEO 2012 crdcrv'!$I$7:$I$2000="2005",IF('AEO 2012 crdcrv'!$J$7:J$2000="Prices",'AEO 2012 crdcrv'!F$7:F$2000,0))))</f>
        <v>26</v>
      </c>
      <c r="F66" s="205">
        <f t="array" ref="F66">SUM(IF('AEO 2012 crdcrv'!$A$7:$A$2000=C66,IF('AEO 2012 crdcrv'!$I$7:$I$2000="2005",IF('AEO 2012 crdcrv'!$J$7:J$2000="Quantities",'AEO 2012 crdcrv'!F$7:F$2000,0))))</f>
        <v>135.31</v>
      </c>
      <c r="H66" s="205">
        <f t="shared" si="0"/>
        <v>26</v>
      </c>
    </row>
    <row r="67" spans="1:8">
      <c r="A67" s="205">
        <v>2005</v>
      </c>
      <c r="B67" s="205">
        <v>1</v>
      </c>
      <c r="C67" s="205" t="s">
        <v>38</v>
      </c>
      <c r="D67" s="205" t="s">
        <v>115</v>
      </c>
      <c r="E67" s="205">
        <f t="array" ref="E67">SUM(IF('AEO 2012 crdcrv'!$A$7:$A$2000=C67,IF('AEO 2012 crdcrv'!$I$7:$I$2000="2005",IF('AEO 2012 crdcrv'!$J$7:J$2000="Prices",'AEO 2012 crdcrv'!F$7:F$2000,0))))</f>
        <v>36.6</v>
      </c>
      <c r="F67" s="205">
        <f t="array" ref="F67">SUM(IF('AEO 2012 crdcrv'!$A$7:$A$2000=C67,IF('AEO 2012 crdcrv'!$I$7:$I$2000="2005",IF('AEO 2012 crdcrv'!$J$7:J$2000="Quantities",'AEO 2012 crdcrv'!F$7:F$2000,0))))</f>
        <v>85.87</v>
      </c>
      <c r="H67" s="205">
        <f t="shared" si="0"/>
        <v>36.6</v>
      </c>
    </row>
    <row r="68" spans="1:8">
      <c r="A68" s="205">
        <v>2005</v>
      </c>
      <c r="B68" s="205">
        <v>1</v>
      </c>
      <c r="C68" s="205" t="s">
        <v>41</v>
      </c>
      <c r="D68" s="205" t="s">
        <v>115</v>
      </c>
      <c r="E68" s="205">
        <f t="array" ref="E68">SUM(IF('AEO 2012 crdcrv'!$A$7:$A$2000=C68,IF('AEO 2012 crdcrv'!$I$7:$I$2000="2005",IF('AEO 2012 crdcrv'!$J$7:J$2000="Prices",'AEO 2012 crdcrv'!F$7:F$2000,0))))</f>
        <v>32.909999999999997</v>
      </c>
      <c r="F68" s="205">
        <f t="array" ref="F68">SUM(IF('AEO 2012 crdcrv'!$A$7:$A$2000=C68,IF('AEO 2012 crdcrv'!$I$7:$I$2000="2005",IF('AEO 2012 crdcrv'!$J$7:J$2000="Quantities",'AEO 2012 crdcrv'!F$7:F$2000,0))))</f>
        <v>50.96</v>
      </c>
      <c r="H68" s="205">
        <f t="shared" si="0"/>
        <v>32.909999999999997</v>
      </c>
    </row>
    <row r="69" spans="1:8">
      <c r="A69" s="205">
        <v>2010</v>
      </c>
      <c r="B69" s="205">
        <v>1</v>
      </c>
      <c r="C69" s="205" t="s">
        <v>47</v>
      </c>
      <c r="D69" s="205" t="s">
        <v>115</v>
      </c>
      <c r="E69" s="205">
        <f t="array" ref="E69">SUM(IF('AEO 2012 crdcrv'!$A$7:$A$2000=C69,IF('AEO 2012 crdcrv'!$I$7:$I$2000="2010",IF('AEO 2012 crdcrv'!$J$7:J$2000="Prices",'AEO 2012 crdcrv'!F$7:F$2000,0))))</f>
        <v>33.75</v>
      </c>
      <c r="F69" s="205">
        <f t="array" ref="F69">SUM(IF('AEO 2012 crdcrv'!$A$7:$A$2000=C69,IF('AEO 2012 crdcrv'!$I$7:$I$2000="2010",IF('AEO 2012 crdcrv'!$J$7:J$2000="Quantities",'AEO 2012 crdcrv'!F$7:F$2000,0))))</f>
        <v>43.33</v>
      </c>
      <c r="H69" s="205">
        <f>E69*1.25</f>
        <v>42.1875</v>
      </c>
    </row>
    <row r="70" spans="1:8">
      <c r="A70" s="205">
        <v>2010</v>
      </c>
      <c r="B70" s="205">
        <v>1</v>
      </c>
      <c r="C70" s="205" t="s">
        <v>44</v>
      </c>
      <c r="D70" s="205" t="s">
        <v>115</v>
      </c>
      <c r="E70" s="205">
        <f t="array" ref="E70">SUM(IF('AEO 2012 crdcrv'!$A$7:$A$2000=C70,IF('AEO 2012 crdcrv'!$I$7:$I$2000="2010",IF('AEO 2012 crdcrv'!$J$7:J$2000="Prices",'AEO 2012 crdcrv'!F$7:F$2000,0))))</f>
        <v>36.5</v>
      </c>
      <c r="F70" s="205">
        <f t="array" ref="F70">SUM(IF('AEO 2012 crdcrv'!$A$7:$A$2000=C70,IF('AEO 2012 crdcrv'!$I$7:$I$2000="2010",IF('AEO 2012 crdcrv'!$J$7:J$2000="Quantities",'AEO 2012 crdcrv'!F$7:F$2000,0))))</f>
        <v>1.29</v>
      </c>
      <c r="H70" s="205">
        <f t="shared" ref="H70:H73" si="4">E70*1.25</f>
        <v>45.625</v>
      </c>
    </row>
    <row r="71" spans="1:8">
      <c r="A71" s="205">
        <v>2010</v>
      </c>
      <c r="B71" s="205">
        <v>1</v>
      </c>
      <c r="C71" s="205" t="s">
        <v>50</v>
      </c>
      <c r="D71" s="205" t="s">
        <v>115</v>
      </c>
      <c r="E71" s="205">
        <f t="array" ref="E71">SUM(IF('AEO 2012 crdcrv'!$A$7:$A$2000=C71,IF('AEO 2012 crdcrv'!$I$7:$I$2000="2010",IF('AEO 2012 crdcrv'!$J$7:J$2000="Prices",'AEO 2012 crdcrv'!F$7:F$2000,0))))</f>
        <v>33.450000000000003</v>
      </c>
      <c r="F71" s="205">
        <f t="array" ref="F71">SUM(IF('AEO 2012 crdcrv'!$A$7:$A$2000=C71,IF('AEO 2012 crdcrv'!$I$7:$I$2000="2010",IF('AEO 2012 crdcrv'!$J$7:J$2000="Quantities",'AEO 2012 crdcrv'!F$7:F$2000,0))))</f>
        <v>115.78</v>
      </c>
      <c r="H71" s="205">
        <f t="shared" si="4"/>
        <v>41.8125</v>
      </c>
    </row>
    <row r="72" spans="1:8">
      <c r="A72" s="205">
        <v>2010</v>
      </c>
      <c r="B72" s="205">
        <v>1</v>
      </c>
      <c r="C72" s="205" t="s">
        <v>38</v>
      </c>
      <c r="D72" s="205" t="s">
        <v>115</v>
      </c>
      <c r="E72" s="205">
        <f t="array" ref="E72">SUM(IF('AEO 2012 crdcrv'!$A$7:$A$2000=C72,IF('AEO 2012 crdcrv'!$I$7:$I$2000="2010",IF('AEO 2012 crdcrv'!$J$7:J$2000="Prices",'AEO 2012 crdcrv'!F$7:F$2000,0))))</f>
        <v>44.35</v>
      </c>
      <c r="F72" s="205">
        <f t="array" ref="F72">SUM(IF('AEO 2012 crdcrv'!$A$7:$A$2000=C72,IF('AEO 2012 crdcrv'!$I$7:$I$2000="2010",IF('AEO 2012 crdcrv'!$J$7:J$2000="Quantities",'AEO 2012 crdcrv'!F$7:F$2000,0))))</f>
        <v>38.9</v>
      </c>
      <c r="H72" s="205">
        <f t="shared" si="4"/>
        <v>55.4375</v>
      </c>
    </row>
    <row r="73" spans="1:8">
      <c r="A73" s="205">
        <v>2010</v>
      </c>
      <c r="B73" s="205">
        <v>1</v>
      </c>
      <c r="C73" s="205" t="s">
        <v>41</v>
      </c>
      <c r="D73" s="205" t="s">
        <v>115</v>
      </c>
      <c r="E73" s="205">
        <f t="array" ref="E73">SUM(IF('AEO 2012 crdcrv'!$A$7:$A$2000=C73,IF('AEO 2012 crdcrv'!$I$7:$I$2000="2010",IF('AEO 2012 crdcrv'!$J$7:J$2000="Prices",'AEO 2012 crdcrv'!F$7:F$2000,0))))</f>
        <v>36.44</v>
      </c>
      <c r="F73" s="205">
        <f t="array" ref="F73">SUM(IF('AEO 2012 crdcrv'!$A$7:$A$2000=C73,IF('AEO 2012 crdcrv'!$I$7:$I$2000="2010",IF('AEO 2012 crdcrv'!$J$7:J$2000="Quantities",'AEO 2012 crdcrv'!F$7:F$2000,0))))</f>
        <v>25.12</v>
      </c>
      <c r="H73" s="205">
        <f t="shared" si="4"/>
        <v>45.55</v>
      </c>
    </row>
    <row r="74" spans="1:8">
      <c r="A74" s="205">
        <v>2015</v>
      </c>
      <c r="B74" s="205">
        <v>1</v>
      </c>
      <c r="C74" s="205" t="s">
        <v>47</v>
      </c>
      <c r="D74" s="205" t="s">
        <v>115</v>
      </c>
      <c r="E74" s="205">
        <f t="array" ref="E74">SUM(IF('AEO 2012 crdcrv'!$A$7:$A$2000=C74,IF('AEO 2012 crdcrv'!$I$7:$I$2000="2015",IF('AEO 2012 crdcrv'!$J$7:J$2000="Prices",'AEO 2012 crdcrv'!F$7:F$2000,0))))</f>
        <v>28.7</v>
      </c>
      <c r="F74" s="205">
        <f t="array" ref="F74">SUM(IF('AEO 2012 crdcrv'!$A$7:$A$2000=C74,IF('AEO 2012 crdcrv'!$I$7:$I$2000="2015",IF('AEO 2012 crdcrv'!$J$7:J$2000="Quantities",'AEO 2012 crdcrv'!F$7:F$2000,0))))</f>
        <v>22.09</v>
      </c>
      <c r="H74" s="205">
        <f t="shared" ref="H74:H103" si="5">E74</f>
        <v>28.7</v>
      </c>
    </row>
    <row r="75" spans="1:8">
      <c r="A75" s="205">
        <v>2015</v>
      </c>
      <c r="B75" s="205">
        <v>1</v>
      </c>
      <c r="C75" s="205" t="s">
        <v>44</v>
      </c>
      <c r="D75" s="205" t="s">
        <v>115</v>
      </c>
      <c r="E75" s="205">
        <f t="array" ref="E75">SUM(IF('AEO 2012 crdcrv'!$A$7:$A$2000=C75,IF('AEO 2012 crdcrv'!$I$7:$I$2000="2015",IF('AEO 2012 crdcrv'!$J$7:J$2000="Prices",'AEO 2012 crdcrv'!F$7:F$2000,0))))</f>
        <v>31.41</v>
      </c>
      <c r="F75" s="205">
        <f t="array" ref="F75">SUM(IF('AEO 2012 crdcrv'!$A$7:$A$2000=C75,IF('AEO 2012 crdcrv'!$I$7:$I$2000="2015",IF('AEO 2012 crdcrv'!$J$7:J$2000="Quantities",'AEO 2012 crdcrv'!F$7:F$2000,0))))</f>
        <v>10.25</v>
      </c>
      <c r="H75" s="205">
        <f t="shared" si="5"/>
        <v>31.41</v>
      </c>
    </row>
    <row r="76" spans="1:8">
      <c r="A76" s="205">
        <v>2015</v>
      </c>
      <c r="B76" s="205">
        <v>1</v>
      </c>
      <c r="C76" s="205" t="s">
        <v>50</v>
      </c>
      <c r="D76" s="205" t="s">
        <v>115</v>
      </c>
      <c r="E76" s="205">
        <f t="array" ref="E76">SUM(IF('AEO 2012 crdcrv'!$A$7:$A$2000=C76,IF('AEO 2012 crdcrv'!$I$7:$I$2000="2015",IF('AEO 2012 crdcrv'!$J$7:J$2000="Prices",'AEO 2012 crdcrv'!F$7:F$2000,0))))</f>
        <v>28.41</v>
      </c>
      <c r="F76" s="205">
        <f t="array" ref="F76">SUM(IF('AEO 2012 crdcrv'!$A$7:$A$2000=C76,IF('AEO 2012 crdcrv'!$I$7:$I$2000="2015",IF('AEO 2012 crdcrv'!$J$7:J$2000="Quantities",'AEO 2012 crdcrv'!F$7:F$2000,0))))</f>
        <v>5.3</v>
      </c>
      <c r="H76" s="205">
        <f t="shared" si="5"/>
        <v>28.41</v>
      </c>
    </row>
    <row r="77" spans="1:8">
      <c r="A77" s="205">
        <v>2015</v>
      </c>
      <c r="B77" s="205">
        <v>1</v>
      </c>
      <c r="C77" s="205" t="s">
        <v>38</v>
      </c>
      <c r="D77" s="205" t="s">
        <v>115</v>
      </c>
      <c r="E77" s="205">
        <f t="array" ref="E77">SUM(IF('AEO 2012 crdcrv'!$A$7:$A$2000=C77,IF('AEO 2012 crdcrv'!$I$7:$I$2000="2015",IF('AEO 2012 crdcrv'!$J$7:J$2000="Prices",'AEO 2012 crdcrv'!F$7:F$2000,0))))</f>
        <v>38.44</v>
      </c>
      <c r="F77" s="205">
        <f t="array" ref="F77">SUM(IF('AEO 2012 crdcrv'!$A$7:$A$2000=C77,IF('AEO 2012 crdcrv'!$I$7:$I$2000="2015",IF('AEO 2012 crdcrv'!$J$7:J$2000="Quantities",'AEO 2012 crdcrv'!F$7:F$2000,0))))</f>
        <v>1.1100000000000001</v>
      </c>
      <c r="H77" s="205">
        <f t="shared" si="5"/>
        <v>38.44</v>
      </c>
    </row>
    <row r="78" spans="1:8">
      <c r="A78" s="205">
        <v>2015</v>
      </c>
      <c r="B78" s="205">
        <v>1</v>
      </c>
      <c r="C78" s="205" t="s">
        <v>41</v>
      </c>
      <c r="D78" s="205" t="s">
        <v>115</v>
      </c>
      <c r="E78" s="205">
        <f t="array" ref="E78">SUM(IF('AEO 2012 crdcrv'!$A$7:$A$2000=C78,IF('AEO 2012 crdcrv'!$I$7:$I$2000="2015",IF('AEO 2012 crdcrv'!$J$7:J$2000="Prices",'AEO 2012 crdcrv'!F$7:F$2000,0))))</f>
        <v>31.31</v>
      </c>
      <c r="F78" s="205">
        <f t="array" ref="F78">SUM(IF('AEO 2012 crdcrv'!$A$7:$A$2000=C78,IF('AEO 2012 crdcrv'!$I$7:$I$2000="2015",IF('AEO 2012 crdcrv'!$J$7:J$2000="Quantities",'AEO 2012 crdcrv'!F$7:F$2000,0))))</f>
        <v>2.2999999999999998</v>
      </c>
      <c r="H78" s="205">
        <f t="shared" si="5"/>
        <v>31.31</v>
      </c>
    </row>
    <row r="79" spans="1:8">
      <c r="A79" s="205">
        <v>2020</v>
      </c>
      <c r="B79" s="205">
        <v>1</v>
      </c>
      <c r="C79" s="205" t="s">
        <v>47</v>
      </c>
      <c r="D79" s="205" t="s">
        <v>115</v>
      </c>
      <c r="E79" s="205">
        <f t="array" ref="E79">SUM(IF('AEO 2012 crdcrv'!$A$7:$A$2000=C79,IF('AEO 2012 crdcrv'!$I$7:$I$2000="2020",IF('AEO 2012 crdcrv'!$J$7:J$2000="Prices",'AEO 2012 crdcrv'!F$7:F$2000,0))))</f>
        <v>30.37</v>
      </c>
      <c r="F79" s="205">
        <f t="array" ref="F79">SUM(IF('AEO 2012 crdcrv'!$A$7:$A$2000=C79,IF('AEO 2012 crdcrv'!$I$7:$I$2000="2020",IF('AEO 2012 crdcrv'!$J$7:J$2000="Quantities",'AEO 2012 crdcrv'!F$7:F$2000,0))))</f>
        <v>24.39</v>
      </c>
      <c r="H79" s="205">
        <f t="shared" si="5"/>
        <v>30.37</v>
      </c>
    </row>
    <row r="80" spans="1:8">
      <c r="A80" s="205">
        <v>2020</v>
      </c>
      <c r="B80" s="205">
        <v>1</v>
      </c>
      <c r="C80" s="205" t="s">
        <v>44</v>
      </c>
      <c r="D80" s="205" t="s">
        <v>115</v>
      </c>
      <c r="E80" s="205">
        <f t="array" ref="E80">SUM(IF('AEO 2012 crdcrv'!$A$7:$A$2000=C80,IF('AEO 2012 crdcrv'!$I$7:$I$2000="2020",IF('AEO 2012 crdcrv'!$J$7:J$2000="Prices",'AEO 2012 crdcrv'!F$7:F$2000,0))))</f>
        <v>33.1</v>
      </c>
      <c r="F80" s="205">
        <f t="array" ref="F80">SUM(IF('AEO 2012 crdcrv'!$A$7:$A$2000=C80,IF('AEO 2012 crdcrv'!$I$7:$I$2000="2020",IF('AEO 2012 crdcrv'!$J$7:J$2000="Quantities",'AEO 2012 crdcrv'!F$7:F$2000,0))))</f>
        <v>11.32</v>
      </c>
      <c r="H80" s="205">
        <f t="shared" si="5"/>
        <v>33.1</v>
      </c>
    </row>
    <row r="81" spans="1:8">
      <c r="A81" s="205">
        <v>2020</v>
      </c>
      <c r="B81" s="205">
        <v>1</v>
      </c>
      <c r="C81" s="205" t="s">
        <v>50</v>
      </c>
      <c r="D81" s="205" t="s">
        <v>115</v>
      </c>
      <c r="E81" s="205">
        <f t="array" ref="E81">SUM(IF('AEO 2012 crdcrv'!$A$7:$A$2000=C81,IF('AEO 2012 crdcrv'!$I$7:$I$2000="2020",IF('AEO 2012 crdcrv'!$J$7:J$2000="Prices",'AEO 2012 crdcrv'!F$7:F$2000,0))))</f>
        <v>30.08</v>
      </c>
      <c r="F81" s="205">
        <f t="array" ref="F81">SUM(IF('AEO 2012 crdcrv'!$A$7:$A$2000=C81,IF('AEO 2012 crdcrv'!$I$7:$I$2000="2020",IF('AEO 2012 crdcrv'!$J$7:J$2000="Quantities",'AEO 2012 crdcrv'!F$7:F$2000,0))))</f>
        <v>5.85</v>
      </c>
      <c r="H81" s="205">
        <f t="shared" si="5"/>
        <v>30.08</v>
      </c>
    </row>
    <row r="82" spans="1:8">
      <c r="A82" s="205">
        <v>2020</v>
      </c>
      <c r="B82" s="205">
        <v>1</v>
      </c>
      <c r="C82" s="205" t="s">
        <v>38</v>
      </c>
      <c r="D82" s="205" t="s">
        <v>115</v>
      </c>
      <c r="E82" s="205">
        <f t="array" ref="E82">SUM(IF('AEO 2012 crdcrv'!$A$7:$A$2000=C82,IF('AEO 2012 crdcrv'!$I$7:$I$2000="2020",IF('AEO 2012 crdcrv'!$J$7:J$2000="Prices",'AEO 2012 crdcrv'!F$7:F$2000,0))))</f>
        <v>40.4</v>
      </c>
      <c r="F82" s="205">
        <f t="array" ref="F82">SUM(IF('AEO 2012 crdcrv'!$A$7:$A$2000=C82,IF('AEO 2012 crdcrv'!$I$7:$I$2000="2020",IF('AEO 2012 crdcrv'!$J$7:J$2000="Quantities",'AEO 2012 crdcrv'!F$7:F$2000,0))))</f>
        <v>1.22</v>
      </c>
      <c r="H82" s="205">
        <f t="shared" si="5"/>
        <v>40.4</v>
      </c>
    </row>
    <row r="83" spans="1:8">
      <c r="A83" s="205">
        <v>2020</v>
      </c>
      <c r="B83" s="205">
        <v>1</v>
      </c>
      <c r="C83" s="205" t="s">
        <v>41</v>
      </c>
      <c r="D83" s="205" t="s">
        <v>115</v>
      </c>
      <c r="E83" s="205">
        <f t="array" ref="E83">SUM(IF('AEO 2012 crdcrv'!$A$7:$A$2000=C83,IF('AEO 2012 crdcrv'!$I$7:$I$2000="2020",IF('AEO 2012 crdcrv'!$J$7:J$2000="Prices",'AEO 2012 crdcrv'!F$7:F$2000,0))))</f>
        <v>33.020000000000003</v>
      </c>
      <c r="F83" s="205">
        <f t="array" ref="F83">SUM(IF('AEO 2012 crdcrv'!$A$7:$A$2000=C83,IF('AEO 2012 crdcrv'!$I$7:$I$2000="2020",IF('AEO 2012 crdcrv'!$J$7:J$2000="Quantities",'AEO 2012 crdcrv'!F$7:F$2000,0))))</f>
        <v>2.54</v>
      </c>
      <c r="H83" s="205">
        <f t="shared" si="5"/>
        <v>33.020000000000003</v>
      </c>
    </row>
    <row r="84" spans="1:8">
      <c r="A84" s="205">
        <v>2005</v>
      </c>
      <c r="B84" s="205">
        <v>1</v>
      </c>
      <c r="C84" s="205" t="s">
        <v>47</v>
      </c>
      <c r="D84" s="205" t="s">
        <v>119</v>
      </c>
      <c r="E84" s="205">
        <f t="array" ref="E84">SUM(IF('AEO 2012 crdcrv'!$A$7:$A$2000=C84,IF('AEO 2012 crdcrv'!$I$7:$I$2000="2005",IF('AEO 2012 crdcrv'!$J$7:J$2000="Prices",'AEO 2012 crdcrv'!G$7:G$2000,0))))</f>
        <v>29</v>
      </c>
      <c r="F84" s="205">
        <f t="array" ref="F84">SUM(IF('AEO 2012 crdcrv'!$A$7:$A$2000=C84,IF('AEO 2012 crdcrv'!$I$7:$I$2000="2005",IF('AEO 2012 crdcrv'!$J$7:J$2000="Quantities",'AEO 2012 crdcrv'!G$7:G$2000,0))))</f>
        <v>336.83</v>
      </c>
      <c r="H84" s="205">
        <f t="shared" si="5"/>
        <v>29</v>
      </c>
    </row>
    <row r="85" spans="1:8">
      <c r="A85" s="205">
        <v>2005</v>
      </c>
      <c r="B85" s="205">
        <v>1</v>
      </c>
      <c r="C85" s="205" t="s">
        <v>44</v>
      </c>
      <c r="D85" s="205" t="s">
        <v>119</v>
      </c>
      <c r="E85" s="205">
        <f t="array" ref="E85">SUM(IF('AEO 2012 crdcrv'!$A$7:$A$2000=C85,IF('AEO 2012 crdcrv'!$I$7:$I$2000="2005",IF('AEO 2012 crdcrv'!$J$7:J$2000="Prices",'AEO 2012 crdcrv'!G$7:G$2000,0))))</f>
        <v>37.74</v>
      </c>
      <c r="F85" s="205">
        <f t="array" ref="F85">SUM(IF('AEO 2012 crdcrv'!$A$7:$A$2000=C85,IF('AEO 2012 crdcrv'!$I$7:$I$2000="2005",IF('AEO 2012 crdcrv'!$J$7:J$2000="Quantities",'AEO 2012 crdcrv'!G$7:G$2000,0))))</f>
        <v>119.21</v>
      </c>
      <c r="H85" s="205">
        <f t="shared" si="5"/>
        <v>37.74</v>
      </c>
    </row>
    <row r="86" spans="1:8">
      <c r="A86" s="205">
        <v>2005</v>
      </c>
      <c r="B86" s="205">
        <v>1</v>
      </c>
      <c r="C86" s="205" t="s">
        <v>50</v>
      </c>
      <c r="D86" s="205" t="s">
        <v>119</v>
      </c>
      <c r="E86" s="205">
        <f t="array" ref="E86">SUM(IF('AEO 2012 crdcrv'!$A$7:$A$2000=C86,IF('AEO 2012 crdcrv'!$I$7:$I$2000="2005",IF('AEO 2012 crdcrv'!$J$7:J$2000="Prices",'AEO 2012 crdcrv'!G$7:G$2000,0))))</f>
        <v>26</v>
      </c>
      <c r="F86" s="205">
        <f t="array" ref="F86">SUM(IF('AEO 2012 crdcrv'!$A$7:$A$2000=C86,IF('AEO 2012 crdcrv'!$I$7:$I$2000="2005",IF('AEO 2012 crdcrv'!$J$7:J$2000="Quantities",'AEO 2012 crdcrv'!G$7:G$2000,0))))</f>
        <v>179.98</v>
      </c>
      <c r="H86" s="205">
        <f t="shared" si="5"/>
        <v>26</v>
      </c>
    </row>
    <row r="87" spans="1:8">
      <c r="A87" s="205">
        <v>2005</v>
      </c>
      <c r="B87" s="205">
        <v>1</v>
      </c>
      <c r="C87" s="205" t="s">
        <v>38</v>
      </c>
      <c r="D87" s="205" t="s">
        <v>119</v>
      </c>
      <c r="E87" s="205">
        <f t="array" ref="E87">SUM(IF('AEO 2012 crdcrv'!$A$7:$A$2000=C87,IF('AEO 2012 crdcrv'!$I$7:$I$2000="2005",IF('AEO 2012 crdcrv'!$J$7:J$2000="Prices",'AEO 2012 crdcrv'!G$7:G$2000,0))))</f>
        <v>36.6</v>
      </c>
      <c r="F87" s="205">
        <f t="array" ref="F87">SUM(IF('AEO 2012 crdcrv'!$A$7:$A$2000=C87,IF('AEO 2012 crdcrv'!$I$7:$I$2000="2005",IF('AEO 2012 crdcrv'!$J$7:J$2000="Quantities",'AEO 2012 crdcrv'!G$7:G$2000,0))))</f>
        <v>154.94999999999999</v>
      </c>
      <c r="H87" s="205">
        <f t="shared" si="5"/>
        <v>36.6</v>
      </c>
    </row>
    <row r="88" spans="1:8">
      <c r="A88" s="205">
        <v>2005</v>
      </c>
      <c r="B88" s="205">
        <v>1</v>
      </c>
      <c r="C88" s="205" t="s">
        <v>41</v>
      </c>
      <c r="D88" s="205" t="s">
        <v>119</v>
      </c>
      <c r="E88" s="205">
        <f t="array" ref="E88">SUM(IF('AEO 2012 crdcrv'!$A$7:$A$2000=C88,IF('AEO 2012 crdcrv'!$I$7:$I$2000="2005",IF('AEO 2012 crdcrv'!$J$7:J$2000="Prices",'AEO 2012 crdcrv'!G$7:G$2000,0))))</f>
        <v>32.909999999999997</v>
      </c>
      <c r="F88" s="205">
        <f t="array" ref="F88">SUM(IF('AEO 2012 crdcrv'!$A$7:$A$2000=C88,IF('AEO 2012 crdcrv'!$I$7:$I$2000="2005",IF('AEO 2012 crdcrv'!$J$7:J$2000="Quantities",'AEO 2012 crdcrv'!G$7:G$2000,0))))</f>
        <v>170.3</v>
      </c>
      <c r="H88" s="205">
        <f t="shared" si="5"/>
        <v>32.909999999999997</v>
      </c>
    </row>
    <row r="89" spans="1:8">
      <c r="A89" s="205">
        <v>2010</v>
      </c>
      <c r="B89" s="205">
        <v>1</v>
      </c>
      <c r="C89" s="205" t="s">
        <v>47</v>
      </c>
      <c r="D89" s="205" t="s">
        <v>119</v>
      </c>
      <c r="E89" s="205">
        <f t="array" ref="E89">SUM(IF('AEO 2012 crdcrv'!$A$7:$A$2000=C89,IF('AEO 2012 crdcrv'!$I$7:$I$2000="2010",IF('AEO 2012 crdcrv'!$J$7:J$2000="Prices",'AEO 2012 crdcrv'!G$7:G$2000,0))))</f>
        <v>33.75</v>
      </c>
      <c r="F89" s="205">
        <f t="array" ref="F89">SUM(IF('AEO 2012 crdcrv'!$A$7:$A$2000=C89,IF('AEO 2012 crdcrv'!$I$7:$I$2000="2010",IF('AEO 2012 crdcrv'!$J$7:J$2000="Quantities",'AEO 2012 crdcrv'!G$7:G$2000,0))))</f>
        <v>245.37</v>
      </c>
      <c r="H89" s="205">
        <f>E89*1.25</f>
        <v>42.1875</v>
      </c>
    </row>
    <row r="90" spans="1:8">
      <c r="A90" s="205">
        <v>2010</v>
      </c>
      <c r="B90" s="205">
        <v>1</v>
      </c>
      <c r="C90" s="205" t="s">
        <v>44</v>
      </c>
      <c r="D90" s="205" t="s">
        <v>119</v>
      </c>
      <c r="E90" s="205">
        <f t="array" ref="E90">SUM(IF('AEO 2012 crdcrv'!$A$7:$A$2000=C90,IF('AEO 2012 crdcrv'!$I$7:$I$2000="2010",IF('AEO 2012 crdcrv'!$J$7:J$2000="Prices",'AEO 2012 crdcrv'!G$7:G$2000,0))))</f>
        <v>36.5</v>
      </c>
      <c r="F90" s="205">
        <f t="array" ref="F90">SUM(IF('AEO 2012 crdcrv'!$A$7:$A$2000=C90,IF('AEO 2012 crdcrv'!$I$7:$I$2000="2010",IF('AEO 2012 crdcrv'!$J$7:J$2000="Quantities",'AEO 2012 crdcrv'!G$7:G$2000,0))))</f>
        <v>204.66</v>
      </c>
      <c r="H90" s="205">
        <f t="shared" ref="H90:H93" si="6">E90*1.25</f>
        <v>45.625</v>
      </c>
    </row>
    <row r="91" spans="1:8">
      <c r="A91" s="205">
        <v>2010</v>
      </c>
      <c r="B91" s="205">
        <v>1</v>
      </c>
      <c r="C91" s="205" t="s">
        <v>50</v>
      </c>
      <c r="D91" s="205" t="s">
        <v>119</v>
      </c>
      <c r="E91" s="205">
        <f t="array" ref="E91">SUM(IF('AEO 2012 crdcrv'!$A$7:$A$2000=C91,IF('AEO 2012 crdcrv'!$I$7:$I$2000="2010",IF('AEO 2012 crdcrv'!$J$7:J$2000="Prices",'AEO 2012 crdcrv'!G$7:G$2000,0))))</f>
        <v>33.450000000000003</v>
      </c>
      <c r="F91" s="205">
        <f t="array" ref="F91">SUM(IF('AEO 2012 crdcrv'!$A$7:$A$2000=C91,IF('AEO 2012 crdcrv'!$I$7:$I$2000="2010",IF('AEO 2012 crdcrv'!$J$7:J$2000="Quantities",'AEO 2012 crdcrv'!G$7:G$2000,0))))</f>
        <v>185.27</v>
      </c>
      <c r="H91" s="205">
        <f t="shared" si="6"/>
        <v>41.8125</v>
      </c>
    </row>
    <row r="92" spans="1:8">
      <c r="A92" s="205">
        <v>2010</v>
      </c>
      <c r="B92" s="205">
        <v>1</v>
      </c>
      <c r="C92" s="205" t="s">
        <v>38</v>
      </c>
      <c r="D92" s="205" t="s">
        <v>119</v>
      </c>
      <c r="E92" s="205">
        <f t="array" ref="E92">SUM(IF('AEO 2012 crdcrv'!$A$7:$A$2000=C92,IF('AEO 2012 crdcrv'!$I$7:$I$2000="2010",IF('AEO 2012 crdcrv'!$J$7:J$2000="Prices",'AEO 2012 crdcrv'!G$7:G$2000,0))))</f>
        <v>44.35</v>
      </c>
      <c r="F92" s="205">
        <f t="array" ref="F92">SUM(IF('AEO 2012 crdcrv'!$A$7:$A$2000=C92,IF('AEO 2012 crdcrv'!$I$7:$I$2000="2010",IF('AEO 2012 crdcrv'!$J$7:J$2000="Quantities",'AEO 2012 crdcrv'!G$7:G$2000,0))))</f>
        <v>263.88</v>
      </c>
      <c r="H92" s="205">
        <f t="shared" si="6"/>
        <v>55.4375</v>
      </c>
    </row>
    <row r="93" spans="1:8">
      <c r="A93" s="205">
        <v>2010</v>
      </c>
      <c r="B93" s="205">
        <v>1</v>
      </c>
      <c r="C93" s="205" t="s">
        <v>41</v>
      </c>
      <c r="D93" s="205" t="s">
        <v>119</v>
      </c>
      <c r="E93" s="205">
        <f t="array" ref="E93">SUM(IF('AEO 2012 crdcrv'!$A$7:$A$2000=C93,IF('AEO 2012 crdcrv'!$I$7:$I$2000="2010",IF('AEO 2012 crdcrv'!$J$7:J$2000="Prices",'AEO 2012 crdcrv'!G$7:G$2000,0))))</f>
        <v>36.44</v>
      </c>
      <c r="F93" s="205">
        <f t="array" ref="F93">SUM(IF('AEO 2012 crdcrv'!$A$7:$A$2000=C93,IF('AEO 2012 crdcrv'!$I$7:$I$2000="2010",IF('AEO 2012 crdcrv'!$J$7:J$2000="Quantities",'AEO 2012 crdcrv'!G$7:G$2000,0))))</f>
        <v>122.95</v>
      </c>
      <c r="H93" s="205">
        <f t="shared" si="6"/>
        <v>45.55</v>
      </c>
    </row>
    <row r="94" spans="1:8">
      <c r="A94" s="205">
        <v>2015</v>
      </c>
      <c r="B94" s="205">
        <v>1</v>
      </c>
      <c r="C94" s="205" t="s">
        <v>47</v>
      </c>
      <c r="D94" s="205" t="s">
        <v>119</v>
      </c>
      <c r="E94" s="205">
        <f t="array" ref="E94">SUM(IF('AEO 2012 crdcrv'!$A$7:$A$2000=C94,IF('AEO 2012 crdcrv'!$I$7:$I$2000="2015",IF('AEO 2012 crdcrv'!$J$7:J$2000="Prices",'AEO 2012 crdcrv'!G$7:G$2000,0))))</f>
        <v>28.7</v>
      </c>
      <c r="F94" s="205">
        <f t="array" ref="F94">SUM(IF('AEO 2012 crdcrv'!$A$7:$A$2000=C94,IF('AEO 2012 crdcrv'!$I$7:$I$2000="2015",IF('AEO 2012 crdcrv'!$J$7:J$2000="Quantities",'AEO 2012 crdcrv'!G$7:G$2000,0))))</f>
        <v>56.99</v>
      </c>
      <c r="H94" s="205">
        <f t="shared" si="5"/>
        <v>28.7</v>
      </c>
    </row>
    <row r="95" spans="1:8">
      <c r="A95" s="205">
        <v>2015</v>
      </c>
      <c r="B95" s="205">
        <v>1</v>
      </c>
      <c r="C95" s="205" t="s">
        <v>44</v>
      </c>
      <c r="D95" s="205" t="s">
        <v>119</v>
      </c>
      <c r="E95" s="205">
        <f t="array" ref="E95">SUM(IF('AEO 2012 crdcrv'!$A$7:$A$2000=C95,IF('AEO 2012 crdcrv'!$I$7:$I$2000="2015",IF('AEO 2012 crdcrv'!$J$7:J$2000="Prices",'AEO 2012 crdcrv'!G$7:G$2000,0))))</f>
        <v>31.41</v>
      </c>
      <c r="F95" s="205">
        <f t="array" ref="F95">SUM(IF('AEO 2012 crdcrv'!$A$7:$A$2000=C95,IF('AEO 2012 crdcrv'!$I$7:$I$2000="2015",IF('AEO 2012 crdcrv'!$J$7:J$2000="Quantities",'AEO 2012 crdcrv'!G$7:G$2000,0))))</f>
        <v>24.55</v>
      </c>
      <c r="H95" s="205">
        <f t="shared" si="5"/>
        <v>31.41</v>
      </c>
    </row>
    <row r="96" spans="1:8">
      <c r="A96" s="205">
        <v>2015</v>
      </c>
      <c r="B96" s="205">
        <v>1</v>
      </c>
      <c r="C96" s="205" t="s">
        <v>50</v>
      </c>
      <c r="D96" s="205" t="s">
        <v>119</v>
      </c>
      <c r="E96" s="205">
        <f t="array" ref="E96">SUM(IF('AEO 2012 crdcrv'!$A$7:$A$2000=C96,IF('AEO 2012 crdcrv'!$I$7:$I$2000="2015",IF('AEO 2012 crdcrv'!$J$7:J$2000="Prices",'AEO 2012 crdcrv'!G$7:G$2000,0))))</f>
        <v>28.41</v>
      </c>
      <c r="F96" s="205">
        <f t="array" ref="F96">SUM(IF('AEO 2012 crdcrv'!$A$7:$A$2000=C96,IF('AEO 2012 crdcrv'!$I$7:$I$2000="2015",IF('AEO 2012 crdcrv'!$J$7:J$2000="Quantities",'AEO 2012 crdcrv'!G$7:G$2000,0))))</f>
        <v>20.32</v>
      </c>
      <c r="H96" s="205">
        <f t="shared" si="5"/>
        <v>28.41</v>
      </c>
    </row>
    <row r="97" spans="1:11">
      <c r="A97" s="205">
        <v>2015</v>
      </c>
      <c r="B97" s="205">
        <v>1</v>
      </c>
      <c r="C97" s="205" t="s">
        <v>38</v>
      </c>
      <c r="D97" s="205" t="s">
        <v>119</v>
      </c>
      <c r="E97" s="205">
        <f t="array" ref="E97">SUM(IF('AEO 2012 crdcrv'!$A$7:$A$2000=C97,IF('AEO 2012 crdcrv'!$I$7:$I$2000="2015",IF('AEO 2012 crdcrv'!$J$7:J$2000="Prices",'AEO 2012 crdcrv'!G$7:G$2000,0))))</f>
        <v>38.44</v>
      </c>
      <c r="F97" s="205">
        <f t="array" ref="F97">SUM(IF('AEO 2012 crdcrv'!$A$7:$A$2000=C97,IF('AEO 2012 crdcrv'!$I$7:$I$2000="2015",IF('AEO 2012 crdcrv'!$J$7:J$2000="Quantities",'AEO 2012 crdcrv'!G$7:G$2000,0))))</f>
        <v>2.4900000000000002</v>
      </c>
      <c r="H97" s="205">
        <f t="shared" si="5"/>
        <v>38.44</v>
      </c>
    </row>
    <row r="98" spans="1:11">
      <c r="A98" s="205">
        <v>2015</v>
      </c>
      <c r="B98" s="205">
        <v>1</v>
      </c>
      <c r="C98" s="205" t="s">
        <v>41</v>
      </c>
      <c r="D98" s="205" t="s">
        <v>119</v>
      </c>
      <c r="E98" s="205">
        <f t="array" ref="E98">SUM(IF('AEO 2012 crdcrv'!$A$7:$A$2000=C98,IF('AEO 2012 crdcrv'!$I$7:$I$2000="2015",IF('AEO 2012 crdcrv'!$J$7:J$2000="Prices",'AEO 2012 crdcrv'!G$7:G$2000,0))))</f>
        <v>31.31</v>
      </c>
      <c r="F98" s="205">
        <f t="array" ref="F98">SUM(IF('AEO 2012 crdcrv'!$A$7:$A$2000=C98,IF('AEO 2012 crdcrv'!$I$7:$I$2000="2015",IF('AEO 2012 crdcrv'!$J$7:J$2000="Quantities",'AEO 2012 crdcrv'!G$7:G$2000,0))))</f>
        <v>30.36</v>
      </c>
      <c r="H98" s="205">
        <f t="shared" si="5"/>
        <v>31.31</v>
      </c>
    </row>
    <row r="99" spans="1:11">
      <c r="A99" s="205">
        <v>2020</v>
      </c>
      <c r="B99" s="205">
        <v>1</v>
      </c>
      <c r="C99" s="205" t="s">
        <v>47</v>
      </c>
      <c r="D99" s="205" t="s">
        <v>119</v>
      </c>
      <c r="E99" s="205">
        <f t="array" ref="E99">SUM(IF('AEO 2012 crdcrv'!$A$7:$A$2000=C99,IF('AEO 2012 crdcrv'!$I$7:$I$2000="2020",IF('AEO 2012 crdcrv'!$J$7:J$2000="Prices",'AEO 2012 crdcrv'!G$7:G$2000,0))))</f>
        <v>30.37</v>
      </c>
      <c r="F99" s="205">
        <f t="array" ref="F99">SUM(IF('AEO 2012 crdcrv'!$A$7:$A$2000=C99,IF('AEO 2012 crdcrv'!$I$7:$I$2000="2020",IF('AEO 2012 crdcrv'!$J$7:J$2000="Quantities",'AEO 2012 crdcrv'!G$7:G$2000,0))))</f>
        <v>62.92</v>
      </c>
      <c r="H99" s="205">
        <f t="shared" si="5"/>
        <v>30.37</v>
      </c>
    </row>
    <row r="100" spans="1:11">
      <c r="A100" s="205">
        <v>2020</v>
      </c>
      <c r="B100" s="205">
        <v>1</v>
      </c>
      <c r="C100" s="205" t="s">
        <v>44</v>
      </c>
      <c r="D100" s="205" t="s">
        <v>119</v>
      </c>
      <c r="E100" s="205">
        <f t="array" ref="E100">SUM(IF('AEO 2012 crdcrv'!$A$7:$A$2000=C100,IF('AEO 2012 crdcrv'!$I$7:$I$2000="2020",IF('AEO 2012 crdcrv'!$J$7:J$2000="Prices",'AEO 2012 crdcrv'!G$7:G$2000,0))))</f>
        <v>33.1</v>
      </c>
      <c r="F100" s="205">
        <f t="array" ref="F100">SUM(IF('AEO 2012 crdcrv'!$A$7:$A$2000=C100,IF('AEO 2012 crdcrv'!$I$7:$I$2000="2020",IF('AEO 2012 crdcrv'!$J$7:J$2000="Quantities",'AEO 2012 crdcrv'!G$7:G$2000,0))))</f>
        <v>27.11</v>
      </c>
      <c r="H100" s="205">
        <f t="shared" si="5"/>
        <v>33.1</v>
      </c>
    </row>
    <row r="101" spans="1:11">
      <c r="A101" s="205">
        <v>2020</v>
      </c>
      <c r="B101" s="205">
        <v>1</v>
      </c>
      <c r="C101" s="205" t="s">
        <v>50</v>
      </c>
      <c r="D101" s="205" t="s">
        <v>119</v>
      </c>
      <c r="E101" s="205">
        <f t="array" ref="E101">SUM(IF('AEO 2012 crdcrv'!$A$7:$A$2000=C101,IF('AEO 2012 crdcrv'!$I$7:$I$2000="2020",IF('AEO 2012 crdcrv'!$J$7:J$2000="Prices",'AEO 2012 crdcrv'!G$7:G$2000,0))))</f>
        <v>30.08</v>
      </c>
      <c r="F101" s="205">
        <f t="array" ref="F101">SUM(IF('AEO 2012 crdcrv'!$A$7:$A$2000=C101,IF('AEO 2012 crdcrv'!$I$7:$I$2000="2020",IF('AEO 2012 crdcrv'!$J$7:J$2000="Quantities",'AEO 2012 crdcrv'!G$7:G$2000,0))))</f>
        <v>22.43</v>
      </c>
      <c r="H101" s="205">
        <f t="shared" si="5"/>
        <v>30.08</v>
      </c>
    </row>
    <row r="102" spans="1:11">
      <c r="A102" s="205">
        <v>2020</v>
      </c>
      <c r="B102" s="205">
        <v>1</v>
      </c>
      <c r="C102" s="205" t="s">
        <v>38</v>
      </c>
      <c r="D102" s="205" t="s">
        <v>119</v>
      </c>
      <c r="E102" s="205">
        <f t="array" ref="E102">SUM(IF('AEO 2012 crdcrv'!$A$7:$A$2000=C102,IF('AEO 2012 crdcrv'!$I$7:$I$2000="2020",IF('AEO 2012 crdcrv'!$J$7:J$2000="Prices",'AEO 2012 crdcrv'!G$7:G$2000,0))))</f>
        <v>40.4</v>
      </c>
      <c r="F102" s="205">
        <f t="array" ref="F102">SUM(IF('AEO 2012 crdcrv'!$A$7:$A$2000=C102,IF('AEO 2012 crdcrv'!$I$7:$I$2000="2020",IF('AEO 2012 crdcrv'!$J$7:J$2000="Quantities",'AEO 2012 crdcrv'!G$7:G$2000,0))))</f>
        <v>2.75</v>
      </c>
      <c r="H102" s="205">
        <f t="shared" si="5"/>
        <v>40.4</v>
      </c>
    </row>
    <row r="103" spans="1:11">
      <c r="A103" s="205">
        <v>2020</v>
      </c>
      <c r="B103" s="205">
        <v>1</v>
      </c>
      <c r="C103" s="205" t="s">
        <v>41</v>
      </c>
      <c r="D103" s="205" t="s">
        <v>119</v>
      </c>
      <c r="E103" s="205">
        <f t="array" ref="E103">SUM(IF('AEO 2012 crdcrv'!$A$7:$A$2000=C103,IF('AEO 2012 crdcrv'!$I$7:$I$2000="2020",IF('AEO 2012 crdcrv'!$J$7:J$2000="Prices",'AEO 2012 crdcrv'!G$7:G$2000,0))))</f>
        <v>33.020000000000003</v>
      </c>
      <c r="F103" s="205">
        <f t="array" ref="F103">SUM(IF('AEO 2012 crdcrv'!$A$7:$A$2000=C103,IF('AEO 2012 crdcrv'!$I$7:$I$2000="2020",IF('AEO 2012 crdcrv'!$J$7:J$2000="Quantities",'AEO 2012 crdcrv'!G$7:G$2000,0))))</f>
        <v>33.520000000000003</v>
      </c>
      <c r="H103" s="205">
        <f t="shared" si="5"/>
        <v>33.020000000000003</v>
      </c>
    </row>
    <row r="111" spans="1:11">
      <c r="I111" s="205"/>
      <c r="J111" s="205"/>
      <c r="K111" s="205"/>
    </row>
    <row r="121" spans="9:11">
      <c r="I121" s="205"/>
      <c r="J121" s="205"/>
      <c r="K121" s="205"/>
    </row>
  </sheetData>
  <sortState xmlns:xlrd2="http://schemas.microsoft.com/office/spreadsheetml/2017/richdata2" ref="A2:M231">
    <sortCondition ref="D2:D231"/>
  </sortState>
  <phoneticPr fontId="17" type="noConversion"/>
  <pageMargins left="0.75" right="0.75" top="1" bottom="1" header="0.5" footer="0.5"/>
  <pageSetup orientation="portrait" r:id="rId1"/>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Sheet24"/>
  <dimension ref="A1:K407"/>
  <sheetViews>
    <sheetView topLeftCell="A385" workbookViewId="0">
      <selection activeCell="M18" sqref="M18"/>
    </sheetView>
  </sheetViews>
  <sheetFormatPr defaultColWidth="9.140625" defaultRowHeight="12.75"/>
  <cols>
    <col min="1" max="16384" width="9.140625" style="195"/>
  </cols>
  <sheetData>
    <row r="1" spans="1:11">
      <c r="A1" s="195" t="s">
        <v>588</v>
      </c>
      <c r="C1" s="195" t="s">
        <v>128</v>
      </c>
      <c r="D1" s="195" t="s">
        <v>129</v>
      </c>
      <c r="E1" s="195" t="s">
        <v>130</v>
      </c>
      <c r="F1" s="195" t="s">
        <v>131</v>
      </c>
      <c r="G1" s="195" t="s">
        <v>132</v>
      </c>
      <c r="J1" s="195" t="s">
        <v>704</v>
      </c>
      <c r="K1" s="195" t="s">
        <v>705</v>
      </c>
    </row>
    <row r="2" spans="1:11">
      <c r="A2" s="195" t="s">
        <v>588</v>
      </c>
      <c r="C2" s="195" t="s">
        <v>144</v>
      </c>
      <c r="D2" s="195" t="s">
        <v>145</v>
      </c>
      <c r="E2" s="195" t="s">
        <v>146</v>
      </c>
      <c r="F2" s="195" t="s">
        <v>145</v>
      </c>
      <c r="G2" s="195" t="s">
        <v>144</v>
      </c>
      <c r="J2" s="195" t="s">
        <v>706</v>
      </c>
      <c r="K2" s="195" t="s">
        <v>707</v>
      </c>
    </row>
    <row r="3" spans="1:11">
      <c r="A3" s="195" t="s">
        <v>588</v>
      </c>
    </row>
    <row r="4" spans="1:11">
      <c r="A4" s="195" t="s">
        <v>588</v>
      </c>
    </row>
    <row r="5" spans="1:11">
      <c r="A5" s="195" t="s">
        <v>188</v>
      </c>
      <c r="B5" s="195">
        <v>1990</v>
      </c>
    </row>
    <row r="6" spans="1:11">
      <c r="A6" s="195" t="s">
        <v>736</v>
      </c>
    </row>
    <row r="7" spans="1:11">
      <c r="A7" s="195" t="s">
        <v>38</v>
      </c>
      <c r="C7" s="195">
        <v>663.52</v>
      </c>
      <c r="D7" s="195">
        <v>367.58</v>
      </c>
      <c r="E7" s="195">
        <v>874.35</v>
      </c>
      <c r="F7" s="195">
        <v>41.13</v>
      </c>
      <c r="G7" s="195">
        <v>178.95</v>
      </c>
      <c r="I7" s="195" t="str">
        <f>RIGHT(B5,4)</f>
        <v>1990</v>
      </c>
      <c r="J7" s="201" t="s">
        <v>710</v>
      </c>
    </row>
    <row r="8" spans="1:11">
      <c r="A8" s="195" t="s">
        <v>41</v>
      </c>
      <c r="C8" s="195">
        <v>62.56</v>
      </c>
      <c r="D8" s="195">
        <v>71.209999999999994</v>
      </c>
      <c r="E8" s="195">
        <v>215.78</v>
      </c>
      <c r="F8" s="195">
        <v>7.64</v>
      </c>
      <c r="G8" s="195">
        <v>9.7799999999999994</v>
      </c>
      <c r="I8" s="195" t="str">
        <f>I7</f>
        <v>1990</v>
      </c>
      <c r="J8" s="204" t="s">
        <v>710</v>
      </c>
    </row>
    <row r="9" spans="1:11">
      <c r="A9" s="195" t="s">
        <v>44</v>
      </c>
      <c r="C9" s="195">
        <v>158.37</v>
      </c>
      <c r="D9" s="195">
        <v>225.52</v>
      </c>
      <c r="E9" s="195">
        <v>598.24</v>
      </c>
      <c r="F9" s="195">
        <v>0</v>
      </c>
      <c r="G9" s="195">
        <v>18.510000000000002</v>
      </c>
      <c r="I9" s="195" t="str">
        <f t="shared" ref="I9:I11" si="0">I8</f>
        <v>1990</v>
      </c>
      <c r="J9" s="204" t="s">
        <v>710</v>
      </c>
    </row>
    <row r="10" spans="1:11">
      <c r="A10" s="195" t="s">
        <v>47</v>
      </c>
      <c r="C10" s="195">
        <v>196.75</v>
      </c>
      <c r="D10" s="195">
        <v>201.73</v>
      </c>
      <c r="E10" s="195">
        <v>986.39</v>
      </c>
      <c r="F10" s="195">
        <v>19.89</v>
      </c>
      <c r="G10" s="195">
        <v>5.67</v>
      </c>
      <c r="I10" s="195" t="str">
        <f t="shared" si="0"/>
        <v>1990</v>
      </c>
      <c r="J10" s="204" t="s">
        <v>710</v>
      </c>
    </row>
    <row r="11" spans="1:11">
      <c r="A11" s="195" t="s">
        <v>50</v>
      </c>
      <c r="C11" s="195">
        <v>169.47</v>
      </c>
      <c r="D11" s="195">
        <v>276.73</v>
      </c>
      <c r="E11" s="195">
        <v>530.85</v>
      </c>
      <c r="F11" s="195">
        <v>5.83</v>
      </c>
      <c r="G11" s="195">
        <v>7.57</v>
      </c>
      <c r="I11" s="195" t="str">
        <f t="shared" si="0"/>
        <v>1990</v>
      </c>
      <c r="J11" s="204" t="s">
        <v>710</v>
      </c>
    </row>
    <row r="12" spans="1:11">
      <c r="A12" s="195" t="s">
        <v>737</v>
      </c>
    </row>
    <row r="13" spans="1:11">
      <c r="A13" s="195" t="s">
        <v>38</v>
      </c>
      <c r="C13" s="195">
        <v>26.56</v>
      </c>
      <c r="D13" s="195">
        <v>26.56</v>
      </c>
      <c r="E13" s="195">
        <v>26.56</v>
      </c>
      <c r="F13" s="195">
        <v>26.56</v>
      </c>
      <c r="G13" s="195">
        <v>26.56</v>
      </c>
      <c r="I13" s="195" t="str">
        <f>I7</f>
        <v>1990</v>
      </c>
      <c r="J13" s="204" t="s">
        <v>153</v>
      </c>
    </row>
    <row r="14" spans="1:11">
      <c r="A14" s="195" t="s">
        <v>41</v>
      </c>
      <c r="C14" s="195">
        <v>23.42</v>
      </c>
      <c r="D14" s="195">
        <v>23.42</v>
      </c>
      <c r="E14" s="195">
        <v>23.42</v>
      </c>
      <c r="F14" s="195">
        <v>23.42</v>
      </c>
      <c r="G14" s="195">
        <v>23.42</v>
      </c>
      <c r="I14" s="195" t="str">
        <f>I8</f>
        <v>1990</v>
      </c>
      <c r="J14" s="204" t="s">
        <v>153</v>
      </c>
    </row>
    <row r="15" spans="1:11">
      <c r="A15" s="195" t="s">
        <v>44</v>
      </c>
      <c r="C15" s="195">
        <v>24.36</v>
      </c>
      <c r="D15" s="195">
        <v>24.36</v>
      </c>
      <c r="E15" s="195">
        <v>24.36</v>
      </c>
      <c r="F15" s="195">
        <v>24.36</v>
      </c>
      <c r="G15" s="195">
        <v>24.36</v>
      </c>
      <c r="I15" s="195" t="str">
        <f>I9</f>
        <v>1990</v>
      </c>
      <c r="J15" s="204" t="s">
        <v>153</v>
      </c>
    </row>
    <row r="16" spans="1:11">
      <c r="A16" s="195" t="s">
        <v>47</v>
      </c>
      <c r="C16" s="195">
        <v>19.22</v>
      </c>
      <c r="D16" s="195">
        <v>19.22</v>
      </c>
      <c r="E16" s="195">
        <v>19.22</v>
      </c>
      <c r="F16" s="195">
        <v>19.22</v>
      </c>
      <c r="G16" s="195">
        <v>19.22</v>
      </c>
      <c r="I16" s="195" t="str">
        <f>I10</f>
        <v>1990</v>
      </c>
      <c r="J16" s="204" t="s">
        <v>153</v>
      </c>
    </row>
    <row r="17" spans="1:10">
      <c r="A17" s="195" t="s">
        <v>50</v>
      </c>
      <c r="C17" s="195">
        <v>21.17</v>
      </c>
      <c r="D17" s="195">
        <v>21.17</v>
      </c>
      <c r="E17" s="195">
        <v>21.17</v>
      </c>
      <c r="F17" s="195">
        <v>21.17</v>
      </c>
      <c r="G17" s="195">
        <v>21.17</v>
      </c>
      <c r="I17" s="195" t="str">
        <f>I11</f>
        <v>1990</v>
      </c>
      <c r="J17" s="204" t="s">
        <v>153</v>
      </c>
    </row>
    <row r="18" spans="1:10">
      <c r="A18" s="195" t="s">
        <v>188</v>
      </c>
      <c r="B18" s="195">
        <v>1991</v>
      </c>
      <c r="J18" s="204"/>
    </row>
    <row r="19" spans="1:10">
      <c r="A19" s="195" t="s">
        <v>736</v>
      </c>
      <c r="J19" s="204"/>
    </row>
    <row r="20" spans="1:10">
      <c r="A20" s="195" t="s">
        <v>38</v>
      </c>
      <c r="C20" s="195">
        <v>603.29</v>
      </c>
      <c r="D20" s="195">
        <v>335.96</v>
      </c>
      <c r="E20" s="195">
        <v>802.67</v>
      </c>
      <c r="F20" s="195">
        <v>42.33</v>
      </c>
      <c r="G20" s="195">
        <v>100.68</v>
      </c>
      <c r="I20" s="195" t="str">
        <f>RIGHT(B18,4)</f>
        <v>1991</v>
      </c>
      <c r="J20" s="201" t="s">
        <v>710</v>
      </c>
    </row>
    <row r="21" spans="1:10">
      <c r="A21" s="195" t="s">
        <v>41</v>
      </c>
      <c r="C21" s="195">
        <v>46.4</v>
      </c>
      <c r="D21" s="195">
        <v>81.37</v>
      </c>
      <c r="E21" s="195">
        <v>195.88</v>
      </c>
      <c r="F21" s="195">
        <v>11.73</v>
      </c>
      <c r="G21" s="195">
        <v>20.69</v>
      </c>
      <c r="I21" s="195" t="str">
        <f>I20</f>
        <v>1991</v>
      </c>
      <c r="J21" s="204" t="s">
        <v>710</v>
      </c>
    </row>
    <row r="22" spans="1:10">
      <c r="A22" s="195" t="s">
        <v>44</v>
      </c>
      <c r="C22" s="195">
        <v>160.47999999999999</v>
      </c>
      <c r="D22" s="195">
        <v>171.35</v>
      </c>
      <c r="E22" s="195">
        <v>375.44</v>
      </c>
      <c r="F22" s="195">
        <v>0</v>
      </c>
      <c r="G22" s="195">
        <v>2.92</v>
      </c>
      <c r="I22" s="195" t="str">
        <f t="shared" ref="I22:I24" si="1">I21</f>
        <v>1991</v>
      </c>
      <c r="J22" s="204" t="s">
        <v>710</v>
      </c>
    </row>
    <row r="23" spans="1:10">
      <c r="A23" s="195" t="s">
        <v>47</v>
      </c>
      <c r="C23" s="195">
        <v>262.61</v>
      </c>
      <c r="D23" s="195">
        <v>254.3</v>
      </c>
      <c r="E23" s="195">
        <v>1257.92</v>
      </c>
      <c r="F23" s="195">
        <v>25.45</v>
      </c>
      <c r="G23" s="195">
        <v>14.42</v>
      </c>
      <c r="I23" s="195" t="str">
        <f t="shared" si="1"/>
        <v>1991</v>
      </c>
      <c r="J23" s="204" t="s">
        <v>710</v>
      </c>
    </row>
    <row r="24" spans="1:10">
      <c r="A24" s="195" t="s">
        <v>50</v>
      </c>
      <c r="C24" s="195">
        <v>153.47</v>
      </c>
      <c r="D24" s="195">
        <v>294.66000000000003</v>
      </c>
      <c r="E24" s="195">
        <v>552.37</v>
      </c>
      <c r="F24" s="195">
        <v>5.61</v>
      </c>
      <c r="G24" s="195">
        <v>10.01</v>
      </c>
      <c r="I24" s="195" t="str">
        <f t="shared" si="1"/>
        <v>1991</v>
      </c>
      <c r="J24" s="204" t="s">
        <v>710</v>
      </c>
    </row>
    <row r="25" spans="1:10">
      <c r="A25" s="195" t="s">
        <v>737</v>
      </c>
    </row>
    <row r="26" spans="1:10">
      <c r="A26" s="195" t="s">
        <v>38</v>
      </c>
      <c r="C26" s="195">
        <v>22.54</v>
      </c>
      <c r="D26" s="195">
        <v>22.54</v>
      </c>
      <c r="E26" s="195">
        <v>22.54</v>
      </c>
      <c r="F26" s="195">
        <v>22.54</v>
      </c>
      <c r="G26" s="195">
        <v>22.54</v>
      </c>
      <c r="I26" s="195" t="str">
        <f>I20</f>
        <v>1991</v>
      </c>
      <c r="J26" s="204" t="s">
        <v>153</v>
      </c>
    </row>
    <row r="27" spans="1:10">
      <c r="A27" s="195" t="s">
        <v>41</v>
      </c>
      <c r="C27" s="195">
        <v>18.329999999999998</v>
      </c>
      <c r="D27" s="195">
        <v>18.329999999999998</v>
      </c>
      <c r="E27" s="195">
        <v>18.329999999999998</v>
      </c>
      <c r="F27" s="195">
        <v>18.329999999999998</v>
      </c>
      <c r="G27" s="195">
        <v>18.329999999999998</v>
      </c>
      <c r="I27" s="195" t="str">
        <f>I21</f>
        <v>1991</v>
      </c>
      <c r="J27" s="204" t="s">
        <v>153</v>
      </c>
    </row>
    <row r="28" spans="1:10">
      <c r="A28" s="195" t="s">
        <v>44</v>
      </c>
      <c r="C28" s="195">
        <v>19.350000000000001</v>
      </c>
      <c r="D28" s="195">
        <v>19.350000000000001</v>
      </c>
      <c r="E28" s="195">
        <v>19.350000000000001</v>
      </c>
      <c r="F28" s="195">
        <v>19.350000000000001</v>
      </c>
      <c r="G28" s="195">
        <v>19.350000000000001</v>
      </c>
      <c r="I28" s="195" t="str">
        <f>I22</f>
        <v>1991</v>
      </c>
      <c r="J28" s="204" t="s">
        <v>153</v>
      </c>
    </row>
    <row r="29" spans="1:10">
      <c r="A29" s="195" t="s">
        <v>47</v>
      </c>
      <c r="C29" s="195">
        <v>14.25</v>
      </c>
      <c r="D29" s="195">
        <v>14.25</v>
      </c>
      <c r="E29" s="195">
        <v>14.25</v>
      </c>
      <c r="F29" s="195">
        <v>14.25</v>
      </c>
      <c r="G29" s="195">
        <v>14.25</v>
      </c>
      <c r="I29" s="195" t="str">
        <f>I23</f>
        <v>1991</v>
      </c>
      <c r="J29" s="204" t="s">
        <v>153</v>
      </c>
    </row>
    <row r="30" spans="1:10">
      <c r="A30" s="195" t="s">
        <v>50</v>
      </c>
      <c r="C30" s="195">
        <v>15.31</v>
      </c>
      <c r="D30" s="195">
        <v>15.31</v>
      </c>
      <c r="E30" s="195">
        <v>15.31</v>
      </c>
      <c r="F30" s="195">
        <v>15.31</v>
      </c>
      <c r="G30" s="195">
        <v>15.31</v>
      </c>
      <c r="I30" s="195" t="str">
        <f>I24</f>
        <v>1991</v>
      </c>
      <c r="J30" s="204" t="s">
        <v>153</v>
      </c>
    </row>
    <row r="31" spans="1:10">
      <c r="A31" s="195" t="s">
        <v>188</v>
      </c>
      <c r="B31" s="195">
        <v>1992</v>
      </c>
    </row>
    <row r="32" spans="1:10">
      <c r="A32" s="195" t="s">
        <v>736</v>
      </c>
    </row>
    <row r="33" spans="1:10">
      <c r="A33" s="195" t="s">
        <v>38</v>
      </c>
      <c r="C33" s="195">
        <v>614.84</v>
      </c>
      <c r="D33" s="195">
        <v>413.27</v>
      </c>
      <c r="E33" s="195">
        <v>822.7</v>
      </c>
      <c r="F33" s="195">
        <v>18.149999999999999</v>
      </c>
      <c r="G33" s="195">
        <v>95.62</v>
      </c>
      <c r="I33" s="195" t="str">
        <f>RIGHT(B31,4)</f>
        <v>1992</v>
      </c>
      <c r="J33" s="201" t="s">
        <v>710</v>
      </c>
    </row>
    <row r="34" spans="1:10">
      <c r="A34" s="195" t="s">
        <v>41</v>
      </c>
      <c r="C34" s="195">
        <v>59.7</v>
      </c>
      <c r="D34" s="195">
        <v>37.36</v>
      </c>
      <c r="E34" s="195">
        <v>150.97</v>
      </c>
      <c r="F34" s="195">
        <v>16.09</v>
      </c>
      <c r="G34" s="195">
        <v>44.36</v>
      </c>
      <c r="I34" s="195" t="str">
        <f>I33</f>
        <v>1992</v>
      </c>
      <c r="J34" s="204" t="s">
        <v>710</v>
      </c>
    </row>
    <row r="35" spans="1:10">
      <c r="A35" s="195" t="s">
        <v>44</v>
      </c>
      <c r="C35" s="195">
        <v>172.2</v>
      </c>
      <c r="D35" s="195">
        <v>228.65</v>
      </c>
      <c r="E35" s="195">
        <v>396.73</v>
      </c>
      <c r="F35" s="195">
        <v>3.23</v>
      </c>
      <c r="G35" s="195">
        <v>1.78</v>
      </c>
      <c r="I35" s="195" t="str">
        <f t="shared" ref="I35:I37" si="2">I34</f>
        <v>1992</v>
      </c>
      <c r="J35" s="204" t="s">
        <v>710</v>
      </c>
    </row>
    <row r="36" spans="1:10">
      <c r="A36" s="195" t="s">
        <v>47</v>
      </c>
      <c r="C36" s="195">
        <v>204.56</v>
      </c>
      <c r="D36" s="195">
        <v>329.49</v>
      </c>
      <c r="E36" s="195">
        <v>1318.01</v>
      </c>
      <c r="F36" s="195">
        <v>31.2</v>
      </c>
      <c r="G36" s="195">
        <v>12.87</v>
      </c>
      <c r="I36" s="195" t="str">
        <f t="shared" si="2"/>
        <v>1992</v>
      </c>
      <c r="J36" s="204" t="s">
        <v>710</v>
      </c>
    </row>
    <row r="37" spans="1:10">
      <c r="A37" s="195" t="s">
        <v>50</v>
      </c>
      <c r="C37" s="195">
        <v>169.92</v>
      </c>
      <c r="D37" s="195">
        <v>309.06</v>
      </c>
      <c r="E37" s="195">
        <v>609.71</v>
      </c>
      <c r="F37" s="195">
        <v>5.04</v>
      </c>
      <c r="G37" s="195">
        <v>17.489999999999998</v>
      </c>
      <c r="I37" s="195" t="str">
        <f t="shared" si="2"/>
        <v>1992</v>
      </c>
      <c r="J37" s="204" t="s">
        <v>710</v>
      </c>
    </row>
    <row r="38" spans="1:10">
      <c r="A38" s="195" t="s">
        <v>737</v>
      </c>
    </row>
    <row r="39" spans="1:10">
      <c r="A39" s="195" t="s">
        <v>38</v>
      </c>
      <c r="C39" s="195">
        <v>21.04</v>
      </c>
      <c r="D39" s="195">
        <v>21.04</v>
      </c>
      <c r="E39" s="195">
        <v>21.04</v>
      </c>
      <c r="F39" s="195">
        <v>21.04</v>
      </c>
      <c r="G39" s="195">
        <v>21.04</v>
      </c>
      <c r="I39" s="195" t="str">
        <f>I33</f>
        <v>1992</v>
      </c>
      <c r="J39" s="204" t="s">
        <v>153</v>
      </c>
    </row>
    <row r="40" spans="1:10">
      <c r="A40" s="195" t="s">
        <v>41</v>
      </c>
      <c r="C40" s="195">
        <v>18.940000000000001</v>
      </c>
      <c r="D40" s="195">
        <v>18.940000000000001</v>
      </c>
      <c r="E40" s="195">
        <v>18.940000000000001</v>
      </c>
      <c r="F40" s="195">
        <v>18.940000000000001</v>
      </c>
      <c r="G40" s="195">
        <v>18.940000000000001</v>
      </c>
      <c r="I40" s="195" t="str">
        <f>I34</f>
        <v>1992</v>
      </c>
      <c r="J40" s="204" t="s">
        <v>153</v>
      </c>
    </row>
    <row r="41" spans="1:10">
      <c r="A41" s="195" t="s">
        <v>44</v>
      </c>
      <c r="C41" s="195">
        <v>18.96</v>
      </c>
      <c r="D41" s="195">
        <v>18.96</v>
      </c>
      <c r="E41" s="195">
        <v>18.96</v>
      </c>
      <c r="F41" s="195">
        <v>18.96</v>
      </c>
      <c r="G41" s="195">
        <v>18.96</v>
      </c>
      <c r="I41" s="195" t="str">
        <f>I35</f>
        <v>1992</v>
      </c>
      <c r="J41" s="204" t="s">
        <v>153</v>
      </c>
    </row>
    <row r="42" spans="1:10">
      <c r="A42" s="195" t="s">
        <v>47</v>
      </c>
      <c r="C42" s="195">
        <v>14.11</v>
      </c>
      <c r="D42" s="195">
        <v>14.11</v>
      </c>
      <c r="E42" s="195">
        <v>14.11</v>
      </c>
      <c r="F42" s="195">
        <v>14.11</v>
      </c>
      <c r="G42" s="195">
        <v>14.11</v>
      </c>
      <c r="I42" s="195" t="str">
        <f>I36</f>
        <v>1992</v>
      </c>
      <c r="J42" s="204" t="s">
        <v>153</v>
      </c>
    </row>
    <row r="43" spans="1:10">
      <c r="A43" s="195" t="s">
        <v>50</v>
      </c>
      <c r="C43" s="195">
        <v>15.16</v>
      </c>
      <c r="D43" s="195">
        <v>15.16</v>
      </c>
      <c r="E43" s="195">
        <v>15.16</v>
      </c>
      <c r="F43" s="195">
        <v>15.16</v>
      </c>
      <c r="G43" s="195">
        <v>15.16</v>
      </c>
      <c r="I43" s="195" t="str">
        <f>I37</f>
        <v>1992</v>
      </c>
      <c r="J43" s="204" t="s">
        <v>153</v>
      </c>
    </row>
    <row r="44" spans="1:10">
      <c r="A44" s="195" t="s">
        <v>188</v>
      </c>
      <c r="B44" s="195">
        <v>1993</v>
      </c>
    </row>
    <row r="45" spans="1:10">
      <c r="A45" s="195" t="s">
        <v>736</v>
      </c>
    </row>
    <row r="46" spans="1:10">
      <c r="A46" s="195" t="s">
        <v>38</v>
      </c>
      <c r="C46" s="195">
        <v>731.61</v>
      </c>
      <c r="D46" s="195">
        <v>515.72</v>
      </c>
      <c r="E46" s="195">
        <v>913.78</v>
      </c>
      <c r="F46" s="195">
        <v>9</v>
      </c>
      <c r="G46" s="195">
        <v>124.17</v>
      </c>
      <c r="I46" s="195" t="str">
        <f>RIGHT(B44,4)</f>
        <v>1993</v>
      </c>
      <c r="J46" s="201" t="s">
        <v>710</v>
      </c>
    </row>
    <row r="47" spans="1:10">
      <c r="A47" s="195" t="s">
        <v>41</v>
      </c>
      <c r="C47" s="195">
        <v>63.48</v>
      </c>
      <c r="D47" s="195">
        <v>52.28</v>
      </c>
      <c r="E47" s="195">
        <v>178.18</v>
      </c>
      <c r="F47" s="195">
        <v>15.74</v>
      </c>
      <c r="G47" s="195">
        <v>67.22</v>
      </c>
      <c r="I47" s="195" t="str">
        <f>I46</f>
        <v>1993</v>
      </c>
      <c r="J47" s="204" t="s">
        <v>710</v>
      </c>
    </row>
    <row r="48" spans="1:10">
      <c r="A48" s="195" t="s">
        <v>44</v>
      </c>
      <c r="C48" s="195">
        <v>186.92</v>
      </c>
      <c r="D48" s="195">
        <v>203.01</v>
      </c>
      <c r="E48" s="195">
        <v>373.2</v>
      </c>
      <c r="F48" s="195">
        <v>13.27</v>
      </c>
      <c r="G48" s="195">
        <v>5.84</v>
      </c>
      <c r="I48" s="195" t="str">
        <f t="shared" ref="I48:I50" si="3">I47</f>
        <v>1993</v>
      </c>
      <c r="J48" s="204" t="s">
        <v>710</v>
      </c>
    </row>
    <row r="49" spans="1:10">
      <c r="A49" s="195" t="s">
        <v>47</v>
      </c>
      <c r="C49" s="195">
        <v>209.33</v>
      </c>
      <c r="D49" s="195">
        <v>348.5</v>
      </c>
      <c r="E49" s="195">
        <v>1467.43</v>
      </c>
      <c r="F49" s="195">
        <v>48.37</v>
      </c>
      <c r="G49" s="195">
        <v>29.27</v>
      </c>
      <c r="I49" s="195" t="str">
        <f t="shared" si="3"/>
        <v>1993</v>
      </c>
      <c r="J49" s="204" t="s">
        <v>710</v>
      </c>
    </row>
    <row r="50" spans="1:10">
      <c r="A50" s="195" t="s">
        <v>50</v>
      </c>
      <c r="C50" s="195">
        <v>187.09</v>
      </c>
      <c r="D50" s="195">
        <v>339.97</v>
      </c>
      <c r="E50" s="195">
        <v>688.12</v>
      </c>
      <c r="F50" s="195">
        <v>1.08</v>
      </c>
      <c r="G50" s="195">
        <v>14.41</v>
      </c>
      <c r="I50" s="195" t="str">
        <f t="shared" si="3"/>
        <v>1993</v>
      </c>
      <c r="J50" s="204" t="s">
        <v>710</v>
      </c>
    </row>
    <row r="51" spans="1:10">
      <c r="A51" s="195" t="s">
        <v>737</v>
      </c>
    </row>
    <row r="52" spans="1:10">
      <c r="A52" s="195" t="s">
        <v>38</v>
      </c>
      <c r="C52" s="195">
        <v>18.420000000000002</v>
      </c>
      <c r="D52" s="195">
        <v>18.420000000000002</v>
      </c>
      <c r="E52" s="195">
        <v>18.420000000000002</v>
      </c>
      <c r="F52" s="195">
        <v>18.420000000000002</v>
      </c>
      <c r="G52" s="195">
        <v>18.420000000000002</v>
      </c>
      <c r="I52" s="195" t="str">
        <f>I46</f>
        <v>1993</v>
      </c>
      <c r="J52" s="204" t="s">
        <v>153</v>
      </c>
    </row>
    <row r="53" spans="1:10">
      <c r="A53" s="195" t="s">
        <v>41</v>
      </c>
      <c r="C53" s="195">
        <v>15.79</v>
      </c>
      <c r="D53" s="195">
        <v>15.79</v>
      </c>
      <c r="E53" s="195">
        <v>15.79</v>
      </c>
      <c r="F53" s="195">
        <v>15.79</v>
      </c>
      <c r="G53" s="195">
        <v>15.79</v>
      </c>
      <c r="I53" s="195" t="str">
        <f>I47</f>
        <v>1993</v>
      </c>
      <c r="J53" s="204" t="s">
        <v>153</v>
      </c>
    </row>
    <row r="54" spans="1:10">
      <c r="A54" s="195" t="s">
        <v>44</v>
      </c>
      <c r="C54" s="195">
        <v>16.62</v>
      </c>
      <c r="D54" s="195">
        <v>16.62</v>
      </c>
      <c r="E54" s="195">
        <v>16.62</v>
      </c>
      <c r="F54" s="195">
        <v>16.62</v>
      </c>
      <c r="G54" s="195">
        <v>16.62</v>
      </c>
      <c r="I54" s="195" t="str">
        <f>I48</f>
        <v>1993</v>
      </c>
      <c r="J54" s="204" t="s">
        <v>153</v>
      </c>
    </row>
    <row r="55" spans="1:10">
      <c r="A55" s="195" t="s">
        <v>47</v>
      </c>
      <c r="C55" s="195">
        <v>12.45</v>
      </c>
      <c r="D55" s="195">
        <v>12.45</v>
      </c>
      <c r="E55" s="195">
        <v>12.45</v>
      </c>
      <c r="F55" s="195">
        <v>12.45</v>
      </c>
      <c r="G55" s="195">
        <v>12.45</v>
      </c>
      <c r="I55" s="195" t="str">
        <f>I49</f>
        <v>1993</v>
      </c>
      <c r="J55" s="204" t="s">
        <v>153</v>
      </c>
    </row>
    <row r="56" spans="1:10">
      <c r="A56" s="195" t="s">
        <v>50</v>
      </c>
      <c r="C56" s="195">
        <v>13.65</v>
      </c>
      <c r="D56" s="195">
        <v>13.65</v>
      </c>
      <c r="E56" s="195">
        <v>13.65</v>
      </c>
      <c r="F56" s="195">
        <v>13.65</v>
      </c>
      <c r="G56" s="195">
        <v>13.65</v>
      </c>
      <c r="I56" s="195" t="str">
        <f>I50</f>
        <v>1993</v>
      </c>
      <c r="J56" s="204" t="s">
        <v>153</v>
      </c>
    </row>
    <row r="57" spans="1:10">
      <c r="A57" s="195" t="s">
        <v>188</v>
      </c>
      <c r="B57" s="195">
        <v>1994</v>
      </c>
    </row>
    <row r="58" spans="1:10">
      <c r="A58" s="195" t="s">
        <v>736</v>
      </c>
    </row>
    <row r="59" spans="1:10">
      <c r="A59" s="195" t="s">
        <v>38</v>
      </c>
      <c r="C59" s="195">
        <v>728.58</v>
      </c>
      <c r="D59" s="195">
        <v>345.86</v>
      </c>
      <c r="E59" s="195">
        <v>1128.19</v>
      </c>
      <c r="F59" s="195">
        <v>14.54</v>
      </c>
      <c r="G59" s="195">
        <v>146.55000000000001</v>
      </c>
      <c r="I59" s="195" t="str">
        <f>RIGHT(B57,4)</f>
        <v>1994</v>
      </c>
      <c r="J59" s="201" t="s">
        <v>710</v>
      </c>
    </row>
    <row r="60" spans="1:10">
      <c r="A60" s="195" t="s">
        <v>41</v>
      </c>
      <c r="C60" s="195">
        <v>68.930000000000007</v>
      </c>
      <c r="D60" s="195">
        <v>97.63</v>
      </c>
      <c r="E60" s="195">
        <v>310.41000000000003</v>
      </c>
      <c r="F60" s="195">
        <v>20.54</v>
      </c>
      <c r="G60" s="195">
        <v>47.37</v>
      </c>
      <c r="I60" s="195" t="str">
        <f>I59</f>
        <v>1994</v>
      </c>
      <c r="J60" s="204" t="s">
        <v>710</v>
      </c>
    </row>
    <row r="61" spans="1:10">
      <c r="A61" s="195" t="s">
        <v>44</v>
      </c>
      <c r="C61" s="195">
        <v>175.02</v>
      </c>
      <c r="D61" s="195">
        <v>262.07</v>
      </c>
      <c r="E61" s="195">
        <v>309.97000000000003</v>
      </c>
      <c r="F61" s="195">
        <v>18.63</v>
      </c>
      <c r="G61" s="195">
        <v>16.29</v>
      </c>
      <c r="I61" s="195" t="str">
        <f t="shared" ref="I61:I63" si="4">I60</f>
        <v>1994</v>
      </c>
      <c r="J61" s="204" t="s">
        <v>710</v>
      </c>
    </row>
    <row r="62" spans="1:10">
      <c r="A62" s="195" t="s">
        <v>47</v>
      </c>
      <c r="C62" s="195">
        <v>302.44</v>
      </c>
      <c r="D62" s="195">
        <v>465.06</v>
      </c>
      <c r="E62" s="195">
        <v>1356.86</v>
      </c>
      <c r="F62" s="195">
        <v>56.63</v>
      </c>
      <c r="G62" s="195">
        <v>42.28</v>
      </c>
      <c r="I62" s="195" t="str">
        <f t="shared" si="4"/>
        <v>1994</v>
      </c>
      <c r="J62" s="204" t="s">
        <v>710</v>
      </c>
    </row>
    <row r="63" spans="1:10">
      <c r="A63" s="195" t="s">
        <v>50</v>
      </c>
      <c r="C63" s="195">
        <v>137.76</v>
      </c>
      <c r="D63" s="195">
        <v>248.7</v>
      </c>
      <c r="E63" s="195">
        <v>740.49</v>
      </c>
      <c r="F63" s="195">
        <v>1.96</v>
      </c>
      <c r="G63" s="195">
        <v>20.25</v>
      </c>
      <c r="I63" s="195" t="str">
        <f t="shared" si="4"/>
        <v>1994</v>
      </c>
      <c r="J63" s="204" t="s">
        <v>710</v>
      </c>
    </row>
    <row r="64" spans="1:10">
      <c r="A64" s="195" t="s">
        <v>737</v>
      </c>
    </row>
    <row r="65" spans="1:10">
      <c r="A65" s="195" t="s">
        <v>38</v>
      </c>
      <c r="C65" s="195">
        <v>16.84</v>
      </c>
      <c r="D65" s="195">
        <v>16.84</v>
      </c>
      <c r="E65" s="195">
        <v>16.84</v>
      </c>
      <c r="F65" s="195">
        <v>16.84</v>
      </c>
      <c r="G65" s="195">
        <v>16.84</v>
      </c>
      <c r="I65" s="195" t="str">
        <f>I59</f>
        <v>1994</v>
      </c>
      <c r="J65" s="204" t="s">
        <v>153</v>
      </c>
    </row>
    <row r="66" spans="1:10">
      <c r="A66" s="195" t="s">
        <v>41</v>
      </c>
      <c r="C66" s="195">
        <v>14.92</v>
      </c>
      <c r="D66" s="195">
        <v>14.92</v>
      </c>
      <c r="E66" s="195">
        <v>14.92</v>
      </c>
      <c r="F66" s="195">
        <v>14.92</v>
      </c>
      <c r="G66" s="195">
        <v>14.92</v>
      </c>
      <c r="I66" s="195" t="str">
        <f>I60</f>
        <v>1994</v>
      </c>
      <c r="J66" s="204" t="s">
        <v>153</v>
      </c>
    </row>
    <row r="67" spans="1:10">
      <c r="A67" s="195" t="s">
        <v>44</v>
      </c>
      <c r="C67" s="195">
        <v>15.5</v>
      </c>
      <c r="D67" s="195">
        <v>15.5</v>
      </c>
      <c r="E67" s="195">
        <v>15.5</v>
      </c>
      <c r="F67" s="195">
        <v>15.5</v>
      </c>
      <c r="G67" s="195">
        <v>15.5</v>
      </c>
      <c r="I67" s="195" t="str">
        <f>I61</f>
        <v>1994</v>
      </c>
      <c r="J67" s="204" t="s">
        <v>153</v>
      </c>
    </row>
    <row r="68" spans="1:10">
      <c r="A68" s="195" t="s">
        <v>47</v>
      </c>
      <c r="C68" s="195">
        <v>12.52</v>
      </c>
      <c r="D68" s="195">
        <v>12.52</v>
      </c>
      <c r="E68" s="195">
        <v>12.52</v>
      </c>
      <c r="F68" s="195">
        <v>12.52</v>
      </c>
      <c r="G68" s="195">
        <v>12.52</v>
      </c>
      <c r="I68" s="195" t="str">
        <f>I62</f>
        <v>1994</v>
      </c>
      <c r="J68" s="204" t="s">
        <v>153</v>
      </c>
    </row>
    <row r="69" spans="1:10">
      <c r="A69" s="195" t="s">
        <v>50</v>
      </c>
      <c r="C69" s="195">
        <v>13.29</v>
      </c>
      <c r="D69" s="195">
        <v>13.29</v>
      </c>
      <c r="E69" s="195">
        <v>13.29</v>
      </c>
      <c r="F69" s="195">
        <v>13.29</v>
      </c>
      <c r="G69" s="195">
        <v>13.29</v>
      </c>
      <c r="I69" s="195" t="str">
        <f>I63</f>
        <v>1994</v>
      </c>
      <c r="J69" s="204" t="s">
        <v>153</v>
      </c>
    </row>
    <row r="70" spans="1:10">
      <c r="A70" s="195" t="s">
        <v>188</v>
      </c>
      <c r="B70" s="195">
        <v>1995</v>
      </c>
    </row>
    <row r="71" spans="1:10">
      <c r="A71" s="195" t="s">
        <v>736</v>
      </c>
    </row>
    <row r="72" spans="1:10">
      <c r="A72" s="195" t="s">
        <v>38</v>
      </c>
      <c r="C72" s="195">
        <v>791.75</v>
      </c>
      <c r="D72" s="195">
        <v>347.6</v>
      </c>
      <c r="E72" s="195">
        <v>1104.55</v>
      </c>
      <c r="F72" s="195">
        <v>14.34</v>
      </c>
      <c r="G72" s="195">
        <v>163.68</v>
      </c>
      <c r="I72" s="195" t="str">
        <f>RIGHT(B70,4)</f>
        <v>1995</v>
      </c>
      <c r="J72" s="201" t="s">
        <v>710</v>
      </c>
    </row>
    <row r="73" spans="1:10">
      <c r="A73" s="195" t="s">
        <v>41</v>
      </c>
      <c r="C73" s="195">
        <v>65.84</v>
      </c>
      <c r="D73" s="195">
        <v>178.36</v>
      </c>
      <c r="E73" s="195">
        <v>329.39</v>
      </c>
      <c r="F73" s="195">
        <v>14.72</v>
      </c>
      <c r="G73" s="195">
        <v>23.53</v>
      </c>
      <c r="I73" s="195" t="str">
        <f>I72</f>
        <v>1995</v>
      </c>
      <c r="J73" s="204" t="s">
        <v>710</v>
      </c>
    </row>
    <row r="74" spans="1:10">
      <c r="A74" s="195" t="s">
        <v>44</v>
      </c>
      <c r="C74" s="195">
        <v>176.93</v>
      </c>
      <c r="D74" s="195">
        <v>211.55</v>
      </c>
      <c r="E74" s="195">
        <v>452.92</v>
      </c>
      <c r="F74" s="195">
        <v>14.43</v>
      </c>
      <c r="G74" s="195">
        <v>13.89</v>
      </c>
      <c r="I74" s="195" t="str">
        <f t="shared" ref="I74:I76" si="5">I73</f>
        <v>1995</v>
      </c>
      <c r="J74" s="204" t="s">
        <v>710</v>
      </c>
    </row>
    <row r="75" spans="1:10">
      <c r="A75" s="195" t="s">
        <v>47</v>
      </c>
      <c r="C75" s="195">
        <v>281.8</v>
      </c>
      <c r="D75" s="195">
        <v>452.3</v>
      </c>
      <c r="E75" s="195">
        <v>1230.0899999999999</v>
      </c>
      <c r="F75" s="195">
        <v>73.36</v>
      </c>
      <c r="G75" s="195">
        <v>60.86</v>
      </c>
      <c r="I75" s="195" t="str">
        <f t="shared" si="5"/>
        <v>1995</v>
      </c>
      <c r="J75" s="204" t="s">
        <v>710</v>
      </c>
    </row>
    <row r="76" spans="1:10">
      <c r="A76" s="195" t="s">
        <v>50</v>
      </c>
      <c r="C76" s="195">
        <v>152.72999999999999</v>
      </c>
      <c r="D76" s="195">
        <v>264.27999999999997</v>
      </c>
      <c r="E76" s="195">
        <v>789.07</v>
      </c>
      <c r="F76" s="195">
        <v>1.65</v>
      </c>
      <c r="G76" s="195">
        <v>20.38</v>
      </c>
      <c r="I76" s="195" t="str">
        <f t="shared" si="5"/>
        <v>1995</v>
      </c>
      <c r="J76" s="204" t="s">
        <v>710</v>
      </c>
    </row>
    <row r="77" spans="1:10">
      <c r="A77" s="195" t="s">
        <v>737</v>
      </c>
    </row>
    <row r="78" spans="1:10">
      <c r="A78" s="195" t="s">
        <v>38</v>
      </c>
      <c r="C78" s="195">
        <v>17.68</v>
      </c>
      <c r="D78" s="195">
        <v>17.68</v>
      </c>
      <c r="E78" s="195">
        <v>17.68</v>
      </c>
      <c r="F78" s="195">
        <v>17.68</v>
      </c>
      <c r="G78" s="195">
        <v>17.68</v>
      </c>
      <c r="I78" s="195" t="str">
        <f>I72</f>
        <v>1995</v>
      </c>
      <c r="J78" s="204" t="s">
        <v>153</v>
      </c>
    </row>
    <row r="79" spans="1:10">
      <c r="A79" s="195" t="s">
        <v>41</v>
      </c>
      <c r="C79" s="195">
        <v>16.149999999999999</v>
      </c>
      <c r="D79" s="195">
        <v>16.149999999999999</v>
      </c>
      <c r="E79" s="195">
        <v>16.149999999999999</v>
      </c>
      <c r="F79" s="195">
        <v>16.149999999999999</v>
      </c>
      <c r="G79" s="195">
        <v>16.149999999999999</v>
      </c>
      <c r="I79" s="195" t="str">
        <f>I73</f>
        <v>1995</v>
      </c>
      <c r="J79" s="204" t="s">
        <v>153</v>
      </c>
    </row>
    <row r="80" spans="1:10">
      <c r="A80" s="195" t="s">
        <v>44</v>
      </c>
      <c r="C80" s="195">
        <v>16.47</v>
      </c>
      <c r="D80" s="195">
        <v>16.47</v>
      </c>
      <c r="E80" s="195">
        <v>16.47</v>
      </c>
      <c r="F80" s="195">
        <v>16.47</v>
      </c>
      <c r="G80" s="195">
        <v>16.47</v>
      </c>
      <c r="I80" s="195" t="str">
        <f>I74</f>
        <v>1995</v>
      </c>
      <c r="J80" s="204" t="s">
        <v>153</v>
      </c>
    </row>
    <row r="81" spans="1:10">
      <c r="A81" s="195" t="s">
        <v>47</v>
      </c>
      <c r="C81" s="195">
        <v>14.27</v>
      </c>
      <c r="D81" s="195">
        <v>14.27</v>
      </c>
      <c r="E81" s="195">
        <v>14.27</v>
      </c>
      <c r="F81" s="195">
        <v>14.27</v>
      </c>
      <c r="G81" s="195">
        <v>14.27</v>
      </c>
      <c r="I81" s="195" t="str">
        <f>I75</f>
        <v>1995</v>
      </c>
      <c r="J81" s="204" t="s">
        <v>153</v>
      </c>
    </row>
    <row r="82" spans="1:10">
      <c r="A82" s="195" t="s">
        <v>50</v>
      </c>
      <c r="C82" s="195">
        <v>14.93</v>
      </c>
      <c r="D82" s="195">
        <v>14.93</v>
      </c>
      <c r="E82" s="195">
        <v>14.93</v>
      </c>
      <c r="F82" s="195">
        <v>14.93</v>
      </c>
      <c r="G82" s="195">
        <v>14.93</v>
      </c>
      <c r="I82" s="195" t="str">
        <f>I76</f>
        <v>1995</v>
      </c>
      <c r="J82" s="204" t="s">
        <v>153</v>
      </c>
    </row>
    <row r="83" spans="1:10">
      <c r="A83" s="195" t="s">
        <v>188</v>
      </c>
      <c r="B83" s="195">
        <v>1996</v>
      </c>
      <c r="J83" s="204"/>
    </row>
    <row r="84" spans="1:10">
      <c r="A84" s="195" t="s">
        <v>736</v>
      </c>
      <c r="J84" s="204"/>
    </row>
    <row r="85" spans="1:10">
      <c r="A85" s="195" t="s">
        <v>38</v>
      </c>
      <c r="C85" s="195">
        <v>684.74</v>
      </c>
      <c r="D85" s="195">
        <v>318.74</v>
      </c>
      <c r="E85" s="195">
        <v>949.96</v>
      </c>
      <c r="F85" s="195">
        <v>11.53</v>
      </c>
      <c r="G85" s="195">
        <v>185.32</v>
      </c>
      <c r="I85" s="195" t="str">
        <f>RIGHT(B83,4)</f>
        <v>1996</v>
      </c>
      <c r="J85" s="201" t="s">
        <v>710</v>
      </c>
    </row>
    <row r="86" spans="1:10">
      <c r="A86" s="195" t="s">
        <v>41</v>
      </c>
      <c r="C86" s="195">
        <v>48.19</v>
      </c>
      <c r="D86" s="195">
        <v>219.95</v>
      </c>
      <c r="E86" s="195">
        <v>467.16</v>
      </c>
      <c r="F86" s="195">
        <v>17.91</v>
      </c>
      <c r="G86" s="195">
        <v>68.36</v>
      </c>
      <c r="I86" s="195" t="str">
        <f>I85</f>
        <v>1996</v>
      </c>
      <c r="J86" s="204" t="s">
        <v>710</v>
      </c>
    </row>
    <row r="87" spans="1:10">
      <c r="A87" s="195" t="s">
        <v>44</v>
      </c>
      <c r="C87" s="195">
        <v>156.13</v>
      </c>
      <c r="D87" s="195">
        <v>230.02</v>
      </c>
      <c r="E87" s="195">
        <v>546.32000000000005</v>
      </c>
      <c r="F87" s="195">
        <v>15.33</v>
      </c>
      <c r="G87" s="195">
        <v>6.67</v>
      </c>
      <c r="I87" s="195" t="str">
        <f t="shared" ref="I87:I89" si="6">I86</f>
        <v>1996</v>
      </c>
      <c r="J87" s="204" t="s">
        <v>710</v>
      </c>
    </row>
    <row r="88" spans="1:10">
      <c r="A88" s="195" t="s">
        <v>47</v>
      </c>
      <c r="C88" s="195">
        <v>230.36</v>
      </c>
      <c r="D88" s="195">
        <v>440.78</v>
      </c>
      <c r="E88" s="195">
        <v>1263.8900000000001</v>
      </c>
      <c r="F88" s="195">
        <v>72.91</v>
      </c>
      <c r="G88" s="195">
        <v>54.89</v>
      </c>
      <c r="I88" s="195" t="str">
        <f t="shared" si="6"/>
        <v>1996</v>
      </c>
      <c r="J88" s="204" t="s">
        <v>710</v>
      </c>
    </row>
    <row r="89" spans="1:10">
      <c r="A89" s="195" t="s">
        <v>50</v>
      </c>
      <c r="C89" s="195">
        <v>186.92</v>
      </c>
      <c r="D89" s="195">
        <v>289.64</v>
      </c>
      <c r="E89" s="195">
        <v>1014.33</v>
      </c>
      <c r="F89" s="195">
        <v>0.04</v>
      </c>
      <c r="G89" s="195">
        <v>27.91</v>
      </c>
      <c r="I89" s="195" t="str">
        <f t="shared" si="6"/>
        <v>1996</v>
      </c>
      <c r="J89" s="204" t="s">
        <v>710</v>
      </c>
    </row>
    <row r="90" spans="1:10">
      <c r="A90" s="195" t="s">
        <v>737</v>
      </c>
    </row>
    <row r="91" spans="1:10">
      <c r="A91" s="195" t="s">
        <v>38</v>
      </c>
      <c r="C91" s="195">
        <v>20.82</v>
      </c>
      <c r="D91" s="195">
        <v>20.82</v>
      </c>
      <c r="E91" s="195">
        <v>20.82</v>
      </c>
      <c r="F91" s="195">
        <v>20.82</v>
      </c>
      <c r="G91" s="195">
        <v>20.82</v>
      </c>
      <c r="I91" s="195" t="str">
        <f>I85</f>
        <v>1996</v>
      </c>
      <c r="J91" s="204" t="s">
        <v>153</v>
      </c>
    </row>
    <row r="92" spans="1:10">
      <c r="A92" s="195" t="s">
        <v>41</v>
      </c>
      <c r="C92" s="195">
        <v>18.739999999999998</v>
      </c>
      <c r="D92" s="195">
        <v>18.739999999999998</v>
      </c>
      <c r="E92" s="195">
        <v>18.739999999999998</v>
      </c>
      <c r="F92" s="195">
        <v>18.739999999999998</v>
      </c>
      <c r="G92" s="195">
        <v>18.739999999999998</v>
      </c>
      <c r="I92" s="195" t="str">
        <f>I86</f>
        <v>1996</v>
      </c>
      <c r="J92" s="204" t="s">
        <v>153</v>
      </c>
    </row>
    <row r="93" spans="1:10">
      <c r="A93" s="195" t="s">
        <v>44</v>
      </c>
      <c r="C93" s="195">
        <v>19.64</v>
      </c>
      <c r="D93" s="195">
        <v>19.64</v>
      </c>
      <c r="E93" s="195">
        <v>19.64</v>
      </c>
      <c r="F93" s="195">
        <v>19.64</v>
      </c>
      <c r="G93" s="195">
        <v>19.64</v>
      </c>
      <c r="I93" s="195" t="str">
        <f>I87</f>
        <v>1996</v>
      </c>
      <c r="J93" s="204" t="s">
        <v>153</v>
      </c>
    </row>
    <row r="94" spans="1:10">
      <c r="A94" s="195" t="s">
        <v>47</v>
      </c>
      <c r="C94" s="195">
        <v>16.899999999999999</v>
      </c>
      <c r="D94" s="195">
        <v>16.899999999999999</v>
      </c>
      <c r="E94" s="195">
        <v>16.899999999999999</v>
      </c>
      <c r="F94" s="195">
        <v>16.899999999999999</v>
      </c>
      <c r="G94" s="195">
        <v>16.899999999999999</v>
      </c>
      <c r="I94" s="195" t="str">
        <f>I88</f>
        <v>1996</v>
      </c>
      <c r="J94" s="204" t="s">
        <v>153</v>
      </c>
    </row>
    <row r="95" spans="1:10">
      <c r="A95" s="195" t="s">
        <v>50</v>
      </c>
      <c r="C95" s="195">
        <v>17.420000000000002</v>
      </c>
      <c r="D95" s="195">
        <v>17.420000000000002</v>
      </c>
      <c r="E95" s="195">
        <v>17.420000000000002</v>
      </c>
      <c r="F95" s="195">
        <v>17.420000000000002</v>
      </c>
      <c r="G95" s="195">
        <v>17.420000000000002</v>
      </c>
      <c r="I95" s="195" t="str">
        <f>I89</f>
        <v>1996</v>
      </c>
      <c r="J95" s="204" t="s">
        <v>153</v>
      </c>
    </row>
    <row r="96" spans="1:10">
      <c r="A96" s="195" t="s">
        <v>188</v>
      </c>
      <c r="B96" s="195">
        <v>1997</v>
      </c>
    </row>
    <row r="97" spans="1:10">
      <c r="A97" s="195" t="s">
        <v>736</v>
      </c>
    </row>
    <row r="98" spans="1:10">
      <c r="A98" s="195" t="s">
        <v>38</v>
      </c>
      <c r="C98" s="195">
        <v>891.41</v>
      </c>
      <c r="D98" s="195">
        <v>413.33</v>
      </c>
      <c r="E98" s="195">
        <v>876.09</v>
      </c>
      <c r="F98" s="195">
        <v>13.45</v>
      </c>
      <c r="G98" s="195">
        <v>195.33</v>
      </c>
      <c r="I98" s="195" t="str">
        <f>RIGHT(B96,4)</f>
        <v>1997</v>
      </c>
      <c r="J98" s="201" t="s">
        <v>710</v>
      </c>
    </row>
    <row r="99" spans="1:10">
      <c r="A99" s="195" t="s">
        <v>41</v>
      </c>
      <c r="C99" s="195">
        <v>20.29</v>
      </c>
      <c r="D99" s="195">
        <v>128.65</v>
      </c>
      <c r="E99" s="195">
        <v>528.86</v>
      </c>
      <c r="F99" s="195">
        <v>12.93</v>
      </c>
      <c r="G99" s="195">
        <v>36.700000000000003</v>
      </c>
      <c r="I99" s="195" t="str">
        <f>I98</f>
        <v>1997</v>
      </c>
      <c r="J99" s="204" t="s">
        <v>710</v>
      </c>
    </row>
    <row r="100" spans="1:10">
      <c r="A100" s="195" t="s">
        <v>44</v>
      </c>
      <c r="C100" s="195">
        <v>100.01</v>
      </c>
      <c r="D100" s="195">
        <v>319.75</v>
      </c>
      <c r="E100" s="195">
        <v>518.71</v>
      </c>
      <c r="F100" s="195">
        <v>8.9499999999999993</v>
      </c>
      <c r="G100" s="195">
        <v>47.03</v>
      </c>
      <c r="I100" s="195" t="str">
        <f t="shared" ref="I100:I102" si="7">I99</f>
        <v>1997</v>
      </c>
      <c r="J100" s="204" t="s">
        <v>710</v>
      </c>
    </row>
    <row r="101" spans="1:10">
      <c r="A101" s="195" t="s">
        <v>47</v>
      </c>
      <c r="C101" s="195">
        <v>239.92</v>
      </c>
      <c r="D101" s="195">
        <v>510.19</v>
      </c>
      <c r="E101" s="195">
        <v>1405.83</v>
      </c>
      <c r="F101" s="195">
        <v>51.03</v>
      </c>
      <c r="G101" s="195">
        <v>48.79</v>
      </c>
      <c r="I101" s="195" t="str">
        <f t="shared" si="7"/>
        <v>1997</v>
      </c>
      <c r="J101" s="204" t="s">
        <v>710</v>
      </c>
    </row>
    <row r="102" spans="1:10">
      <c r="A102" s="195" t="s">
        <v>50</v>
      </c>
      <c r="C102" s="195">
        <v>182.14</v>
      </c>
      <c r="D102" s="195">
        <v>423.76</v>
      </c>
      <c r="E102" s="195">
        <v>1180.9100000000001</v>
      </c>
      <c r="F102" s="195">
        <v>32.5</v>
      </c>
      <c r="G102" s="195">
        <v>38.46</v>
      </c>
      <c r="I102" s="195" t="str">
        <f t="shared" si="7"/>
        <v>1997</v>
      </c>
      <c r="J102" s="204" t="s">
        <v>710</v>
      </c>
    </row>
    <row r="103" spans="1:10">
      <c r="A103" s="195" t="s">
        <v>737</v>
      </c>
    </row>
    <row r="104" spans="1:10">
      <c r="A104" s="195" t="s">
        <v>38</v>
      </c>
      <c r="C104" s="195">
        <v>19.09</v>
      </c>
      <c r="D104" s="195">
        <v>19.09</v>
      </c>
      <c r="E104" s="195">
        <v>19.09</v>
      </c>
      <c r="F104" s="195">
        <v>19.09</v>
      </c>
      <c r="G104" s="195">
        <v>19.09</v>
      </c>
      <c r="I104" s="195" t="str">
        <f>I98</f>
        <v>1997</v>
      </c>
      <c r="J104" s="204" t="s">
        <v>153</v>
      </c>
    </row>
    <row r="105" spans="1:10">
      <c r="A105" s="195" t="s">
        <v>41</v>
      </c>
      <c r="C105" s="195">
        <v>16.72</v>
      </c>
      <c r="D105" s="195">
        <v>16.72</v>
      </c>
      <c r="E105" s="195">
        <v>16.72</v>
      </c>
      <c r="F105" s="195">
        <v>16.72</v>
      </c>
      <c r="G105" s="195">
        <v>16.72</v>
      </c>
      <c r="I105" s="195" t="str">
        <f>I99</f>
        <v>1997</v>
      </c>
      <c r="J105" s="204" t="s">
        <v>153</v>
      </c>
    </row>
    <row r="106" spans="1:10">
      <c r="A106" s="195" t="s">
        <v>44</v>
      </c>
      <c r="C106" s="195">
        <v>16.77</v>
      </c>
      <c r="D106" s="195">
        <v>16.77</v>
      </c>
      <c r="E106" s="195">
        <v>16.77</v>
      </c>
      <c r="F106" s="195">
        <v>16.77</v>
      </c>
      <c r="G106" s="195">
        <v>16.77</v>
      </c>
      <c r="I106" s="195" t="str">
        <f>I100</f>
        <v>1997</v>
      </c>
      <c r="J106" s="204" t="s">
        <v>153</v>
      </c>
    </row>
    <row r="107" spans="1:10">
      <c r="A107" s="195" t="s">
        <v>47</v>
      </c>
      <c r="C107" s="195">
        <v>14.42</v>
      </c>
      <c r="D107" s="195">
        <v>14.42</v>
      </c>
      <c r="E107" s="195">
        <v>14.42</v>
      </c>
      <c r="F107" s="195">
        <v>14.42</v>
      </c>
      <c r="G107" s="195">
        <v>14.42</v>
      </c>
      <c r="I107" s="195" t="str">
        <f>I101</f>
        <v>1997</v>
      </c>
      <c r="J107" s="204" t="s">
        <v>153</v>
      </c>
    </row>
    <row r="108" spans="1:10">
      <c r="A108" s="195" t="s">
        <v>50</v>
      </c>
      <c r="C108" s="195">
        <v>14.56</v>
      </c>
      <c r="D108" s="195">
        <v>14.56</v>
      </c>
      <c r="E108" s="195">
        <v>14.56</v>
      </c>
      <c r="F108" s="195">
        <v>14.56</v>
      </c>
      <c r="G108" s="195">
        <v>14.56</v>
      </c>
      <c r="I108" s="195" t="str">
        <f>I102</f>
        <v>1997</v>
      </c>
      <c r="J108" s="204" t="s">
        <v>153</v>
      </c>
    </row>
    <row r="109" spans="1:10">
      <c r="A109" s="195" t="s">
        <v>188</v>
      </c>
      <c r="B109" s="195">
        <v>1998</v>
      </c>
    </row>
    <row r="110" spans="1:10">
      <c r="A110" s="195" t="s">
        <v>736</v>
      </c>
    </row>
    <row r="111" spans="1:10">
      <c r="A111" s="195" t="s">
        <v>38</v>
      </c>
      <c r="C111" s="195">
        <v>932.76</v>
      </c>
      <c r="D111" s="195">
        <v>404.55</v>
      </c>
      <c r="E111" s="195">
        <v>982.08</v>
      </c>
      <c r="F111" s="195">
        <v>15.09</v>
      </c>
      <c r="G111" s="195">
        <v>192.96</v>
      </c>
      <c r="I111" s="195" t="str">
        <f>RIGHT(B109,4)</f>
        <v>1998</v>
      </c>
      <c r="J111" s="201" t="s">
        <v>710</v>
      </c>
    </row>
    <row r="112" spans="1:10">
      <c r="A112" s="195" t="s">
        <v>41</v>
      </c>
      <c r="C112" s="195">
        <v>33.96</v>
      </c>
      <c r="D112" s="195">
        <v>120.89</v>
      </c>
      <c r="E112" s="195">
        <v>582.65</v>
      </c>
      <c r="F112" s="195">
        <v>16.07</v>
      </c>
      <c r="G112" s="195">
        <v>38.61</v>
      </c>
      <c r="I112" s="195" t="str">
        <f>I111</f>
        <v>1998</v>
      </c>
      <c r="J112" s="204" t="s">
        <v>710</v>
      </c>
    </row>
    <row r="113" spans="1:10">
      <c r="A113" s="195" t="s">
        <v>44</v>
      </c>
      <c r="C113" s="195">
        <v>121.89</v>
      </c>
      <c r="D113" s="195">
        <v>371.34</v>
      </c>
      <c r="E113" s="195">
        <v>647.64</v>
      </c>
      <c r="F113" s="195">
        <v>8.48</v>
      </c>
      <c r="G113" s="195">
        <v>60.26</v>
      </c>
      <c r="I113" s="195" t="str">
        <f t="shared" ref="I113:I115" si="8">I112</f>
        <v>1998</v>
      </c>
      <c r="J113" s="204" t="s">
        <v>710</v>
      </c>
    </row>
    <row r="114" spans="1:10">
      <c r="A114" s="195" t="s">
        <v>47</v>
      </c>
      <c r="C114" s="195">
        <v>260</v>
      </c>
      <c r="D114" s="195">
        <v>494.94</v>
      </c>
      <c r="E114" s="195">
        <v>1363.03</v>
      </c>
      <c r="F114" s="195">
        <v>41.96</v>
      </c>
      <c r="G114" s="195">
        <v>100.09</v>
      </c>
      <c r="I114" s="195" t="str">
        <f t="shared" si="8"/>
        <v>1998</v>
      </c>
      <c r="J114" s="204" t="s">
        <v>710</v>
      </c>
    </row>
    <row r="115" spans="1:10">
      <c r="A115" s="195" t="s">
        <v>50</v>
      </c>
      <c r="C115" s="195">
        <v>179.54</v>
      </c>
      <c r="D115" s="195">
        <v>420.86</v>
      </c>
      <c r="E115" s="195">
        <v>1210.79</v>
      </c>
      <c r="F115" s="195">
        <v>44.84</v>
      </c>
      <c r="G115" s="195">
        <v>60.71</v>
      </c>
      <c r="I115" s="195" t="str">
        <f t="shared" si="8"/>
        <v>1998</v>
      </c>
      <c r="J115" s="204" t="s">
        <v>710</v>
      </c>
    </row>
    <row r="116" spans="1:10">
      <c r="A116" s="195" t="s">
        <v>737</v>
      </c>
    </row>
    <row r="117" spans="1:10">
      <c r="A117" s="195" t="s">
        <v>38</v>
      </c>
      <c r="C117" s="195">
        <v>13.21</v>
      </c>
      <c r="D117" s="195">
        <v>13.21</v>
      </c>
      <c r="E117" s="195">
        <v>13.21</v>
      </c>
      <c r="F117" s="195">
        <v>13.21</v>
      </c>
      <c r="G117" s="195">
        <v>13.21</v>
      </c>
      <c r="I117" s="195" t="str">
        <f>I111</f>
        <v>1998</v>
      </c>
      <c r="J117" s="204" t="s">
        <v>153</v>
      </c>
    </row>
    <row r="118" spans="1:10">
      <c r="A118" s="195" t="s">
        <v>41</v>
      </c>
      <c r="C118" s="195">
        <v>10.58</v>
      </c>
      <c r="D118" s="195">
        <v>10.58</v>
      </c>
      <c r="E118" s="195">
        <v>10.58</v>
      </c>
      <c r="F118" s="195">
        <v>10.58</v>
      </c>
      <c r="G118" s="195">
        <v>10.58</v>
      </c>
      <c r="I118" s="195" t="str">
        <f>I112</f>
        <v>1998</v>
      </c>
      <c r="J118" s="204" t="s">
        <v>153</v>
      </c>
    </row>
    <row r="119" spans="1:10">
      <c r="A119" s="195" t="s">
        <v>44</v>
      </c>
      <c r="C119" s="195">
        <v>11.32</v>
      </c>
      <c r="D119" s="195">
        <v>11.32</v>
      </c>
      <c r="E119" s="195">
        <v>11.32</v>
      </c>
      <c r="F119" s="195">
        <v>11.32</v>
      </c>
      <c r="G119" s="195">
        <v>11.32</v>
      </c>
      <c r="I119" s="195" t="str">
        <f>I113</f>
        <v>1998</v>
      </c>
      <c r="J119" s="204" t="s">
        <v>153</v>
      </c>
    </row>
    <row r="120" spans="1:10">
      <c r="A120" s="195" t="s">
        <v>47</v>
      </c>
      <c r="C120" s="195">
        <v>8.44</v>
      </c>
      <c r="D120" s="195">
        <v>8.44</v>
      </c>
      <c r="E120" s="195">
        <v>8.44</v>
      </c>
      <c r="F120" s="195">
        <v>8.44</v>
      </c>
      <c r="G120" s="195">
        <v>8.44</v>
      </c>
      <c r="I120" s="195" t="str">
        <f>I114</f>
        <v>1998</v>
      </c>
      <c r="J120" s="204" t="s">
        <v>153</v>
      </c>
    </row>
    <row r="121" spans="1:10">
      <c r="A121" s="195" t="s">
        <v>50</v>
      </c>
      <c r="C121" s="195">
        <v>9.3000000000000007</v>
      </c>
      <c r="D121" s="195">
        <v>9.3000000000000007</v>
      </c>
      <c r="E121" s="195">
        <v>9.3000000000000007</v>
      </c>
      <c r="F121" s="195">
        <v>9.3000000000000007</v>
      </c>
      <c r="G121" s="195">
        <v>9.3000000000000007</v>
      </c>
      <c r="I121" s="195" t="str">
        <f>I115</f>
        <v>1998</v>
      </c>
      <c r="J121" s="204" t="s">
        <v>153</v>
      </c>
    </row>
    <row r="122" spans="1:10">
      <c r="A122" s="195" t="s">
        <v>188</v>
      </c>
      <c r="B122" s="195">
        <v>1999</v>
      </c>
    </row>
    <row r="123" spans="1:10">
      <c r="A123" s="195" t="s">
        <v>736</v>
      </c>
    </row>
    <row r="124" spans="1:10">
      <c r="A124" s="195" t="s">
        <v>38</v>
      </c>
      <c r="C124" s="195">
        <v>949.54</v>
      </c>
      <c r="D124" s="195">
        <v>370.75</v>
      </c>
      <c r="E124" s="195">
        <v>1016.17</v>
      </c>
      <c r="F124" s="195">
        <v>24.59</v>
      </c>
      <c r="G124" s="195">
        <v>218.24</v>
      </c>
      <c r="I124" s="195" t="str">
        <f>RIGHT(B122,4)</f>
        <v>1999</v>
      </c>
      <c r="J124" s="201" t="s">
        <v>710</v>
      </c>
    </row>
    <row r="125" spans="1:10">
      <c r="A125" s="195" t="s">
        <v>41</v>
      </c>
      <c r="C125" s="195">
        <v>58.06</v>
      </c>
      <c r="D125" s="195">
        <v>114.03</v>
      </c>
      <c r="E125" s="195">
        <v>592.15</v>
      </c>
      <c r="F125" s="195">
        <v>15.24</v>
      </c>
      <c r="G125" s="195">
        <v>23.85</v>
      </c>
      <c r="I125" s="195" t="str">
        <f>I124</f>
        <v>1999</v>
      </c>
      <c r="J125" s="204" t="s">
        <v>710</v>
      </c>
    </row>
    <row r="126" spans="1:10">
      <c r="A126" s="195" t="s">
        <v>44</v>
      </c>
      <c r="C126" s="195">
        <v>116.01</v>
      </c>
      <c r="D126" s="195">
        <v>390.47</v>
      </c>
      <c r="E126" s="195">
        <v>721.8</v>
      </c>
      <c r="F126" s="195">
        <v>13.27</v>
      </c>
      <c r="G126" s="195">
        <v>114.23</v>
      </c>
      <c r="I126" s="195" t="str">
        <f t="shared" ref="I126:I128" si="9">I125</f>
        <v>1999</v>
      </c>
      <c r="J126" s="204" t="s">
        <v>710</v>
      </c>
    </row>
    <row r="127" spans="1:10">
      <c r="A127" s="195" t="s">
        <v>47</v>
      </c>
      <c r="C127" s="195">
        <v>202.33</v>
      </c>
      <c r="D127" s="195">
        <v>566.89</v>
      </c>
      <c r="E127" s="195">
        <v>1467.14</v>
      </c>
      <c r="F127" s="195">
        <v>82.6</v>
      </c>
      <c r="G127" s="195">
        <v>162.4</v>
      </c>
      <c r="I127" s="195" t="str">
        <f t="shared" si="9"/>
        <v>1999</v>
      </c>
      <c r="J127" s="204" t="s">
        <v>710</v>
      </c>
    </row>
    <row r="128" spans="1:10">
      <c r="A128" s="195" t="s">
        <v>50</v>
      </c>
      <c r="C128" s="195">
        <v>139.07</v>
      </c>
      <c r="D128" s="195">
        <v>248.75</v>
      </c>
      <c r="E128" s="195">
        <v>1056.1199999999999</v>
      </c>
      <c r="F128" s="195">
        <v>8.1999999999999993</v>
      </c>
      <c r="G128" s="195">
        <v>59.09</v>
      </c>
      <c r="I128" s="195" t="str">
        <f t="shared" si="9"/>
        <v>1999</v>
      </c>
      <c r="J128" s="204" t="s">
        <v>710</v>
      </c>
    </row>
    <row r="129" spans="1:10">
      <c r="A129" s="195" t="s">
        <v>737</v>
      </c>
    </row>
    <row r="130" spans="1:10">
      <c r="A130" s="195" t="s">
        <v>38</v>
      </c>
      <c r="C130" s="195">
        <v>17.46</v>
      </c>
      <c r="D130" s="195">
        <v>17.46</v>
      </c>
      <c r="E130" s="195">
        <v>17.46</v>
      </c>
      <c r="F130" s="195">
        <v>17.46</v>
      </c>
      <c r="G130" s="195">
        <v>17.46</v>
      </c>
      <c r="I130" s="195" t="str">
        <f>I124</f>
        <v>1999</v>
      </c>
      <c r="J130" s="204" t="s">
        <v>153</v>
      </c>
    </row>
    <row r="131" spans="1:10">
      <c r="A131" s="195" t="s">
        <v>41</v>
      </c>
      <c r="C131" s="195">
        <v>15.96</v>
      </c>
      <c r="D131" s="195">
        <v>15.96</v>
      </c>
      <c r="E131" s="195">
        <v>15.96</v>
      </c>
      <c r="F131" s="195">
        <v>15.96</v>
      </c>
      <c r="G131" s="195">
        <v>15.96</v>
      </c>
      <c r="I131" s="195" t="str">
        <f>I125</f>
        <v>1999</v>
      </c>
      <c r="J131" s="204" t="s">
        <v>153</v>
      </c>
    </row>
    <row r="132" spans="1:10">
      <c r="A132" s="195" t="s">
        <v>44</v>
      </c>
      <c r="C132" s="195">
        <v>16.28</v>
      </c>
      <c r="D132" s="195">
        <v>16.28</v>
      </c>
      <c r="E132" s="195">
        <v>16.28</v>
      </c>
      <c r="F132" s="195">
        <v>16.28</v>
      </c>
      <c r="G132" s="195">
        <v>16.28</v>
      </c>
      <c r="I132" s="195" t="str">
        <f>I126</f>
        <v>1999</v>
      </c>
      <c r="J132" s="204" t="s">
        <v>153</v>
      </c>
    </row>
    <row r="133" spans="1:10">
      <c r="A133" s="195" t="s">
        <v>47</v>
      </c>
      <c r="C133" s="195">
        <v>13.03</v>
      </c>
      <c r="D133" s="195">
        <v>13.03</v>
      </c>
      <c r="E133" s="195">
        <v>13.03</v>
      </c>
      <c r="F133" s="195">
        <v>13.03</v>
      </c>
      <c r="G133" s="195">
        <v>13.03</v>
      </c>
      <c r="I133" s="195" t="str">
        <f>I127</f>
        <v>1999</v>
      </c>
      <c r="J133" s="204" t="s">
        <v>153</v>
      </c>
    </row>
    <row r="134" spans="1:10">
      <c r="A134" s="195" t="s">
        <v>50</v>
      </c>
      <c r="C134" s="195">
        <v>14.59</v>
      </c>
      <c r="D134" s="195">
        <v>14.59</v>
      </c>
      <c r="E134" s="195">
        <v>14.59</v>
      </c>
      <c r="F134" s="195">
        <v>14.59</v>
      </c>
      <c r="G134" s="195">
        <v>14.59</v>
      </c>
      <c r="I134" s="195" t="str">
        <f>I128</f>
        <v>1999</v>
      </c>
      <c r="J134" s="204" t="s">
        <v>153</v>
      </c>
    </row>
    <row r="135" spans="1:10">
      <c r="A135" s="195" t="s">
        <v>188</v>
      </c>
      <c r="B135" s="195">
        <v>2000</v>
      </c>
    </row>
    <row r="136" spans="1:10">
      <c r="A136" s="195" t="s">
        <v>736</v>
      </c>
    </row>
    <row r="137" spans="1:10">
      <c r="A137" s="195" t="s">
        <v>38</v>
      </c>
      <c r="C137" s="195">
        <v>1025.3399999999999</v>
      </c>
      <c r="D137" s="195">
        <v>364.95</v>
      </c>
      <c r="E137" s="195">
        <v>1144.81</v>
      </c>
      <c r="F137" s="195">
        <v>30.6</v>
      </c>
      <c r="G137" s="195">
        <v>199.4</v>
      </c>
      <c r="I137" s="195" t="str">
        <f>RIGHT(B135,4)</f>
        <v>2000</v>
      </c>
      <c r="J137" s="201" t="s">
        <v>710</v>
      </c>
    </row>
    <row r="138" spans="1:10">
      <c r="A138" s="195" t="s">
        <v>41</v>
      </c>
      <c r="C138" s="195">
        <v>44.42</v>
      </c>
      <c r="D138" s="195">
        <v>66.94</v>
      </c>
      <c r="E138" s="195">
        <v>500.93</v>
      </c>
      <c r="F138" s="195">
        <v>10.19</v>
      </c>
      <c r="G138" s="195">
        <v>50.88</v>
      </c>
      <c r="I138" s="195" t="str">
        <f>I137</f>
        <v>2000</v>
      </c>
      <c r="J138" s="204" t="s">
        <v>710</v>
      </c>
    </row>
    <row r="139" spans="1:10">
      <c r="A139" s="195" t="s">
        <v>44</v>
      </c>
      <c r="C139" s="195">
        <v>113.33</v>
      </c>
      <c r="D139" s="195">
        <v>372.93</v>
      </c>
      <c r="E139" s="195">
        <v>697.42</v>
      </c>
      <c r="F139" s="195">
        <v>5.13</v>
      </c>
      <c r="G139" s="195">
        <v>79.33</v>
      </c>
      <c r="I139" s="195" t="str">
        <f t="shared" ref="I139:I141" si="10">I138</f>
        <v>2000</v>
      </c>
      <c r="J139" s="204" t="s">
        <v>710</v>
      </c>
    </row>
    <row r="140" spans="1:10">
      <c r="A140" s="195" t="s">
        <v>47</v>
      </c>
      <c r="C140" s="195">
        <v>155.99</v>
      </c>
      <c r="D140" s="195">
        <v>531.5</v>
      </c>
      <c r="E140" s="195">
        <v>1320.51</v>
      </c>
      <c r="F140" s="195">
        <v>81.8</v>
      </c>
      <c r="G140" s="195">
        <v>219.53</v>
      </c>
      <c r="I140" s="195" t="str">
        <f t="shared" si="10"/>
        <v>2000</v>
      </c>
      <c r="J140" s="204" t="s">
        <v>710</v>
      </c>
    </row>
    <row r="141" spans="1:10">
      <c r="A141" s="195" t="s">
        <v>50</v>
      </c>
      <c r="C141" s="195">
        <v>164.09</v>
      </c>
      <c r="D141" s="195">
        <v>400.83</v>
      </c>
      <c r="E141" s="195">
        <v>1367.03</v>
      </c>
      <c r="F141" s="195">
        <v>31.15</v>
      </c>
      <c r="G141" s="195">
        <v>91.95</v>
      </c>
      <c r="I141" s="195" t="str">
        <f t="shared" si="10"/>
        <v>2000</v>
      </c>
      <c r="J141" s="204" t="s">
        <v>710</v>
      </c>
    </row>
    <row r="142" spans="1:10">
      <c r="A142" s="195" t="s">
        <v>737</v>
      </c>
    </row>
    <row r="143" spans="1:10">
      <c r="A143" s="195" t="s">
        <v>38</v>
      </c>
      <c r="C143" s="195">
        <v>26.84</v>
      </c>
      <c r="D143" s="195">
        <v>26.84</v>
      </c>
      <c r="E143" s="195">
        <v>26.84</v>
      </c>
      <c r="F143" s="195">
        <v>26.84</v>
      </c>
      <c r="G143" s="195">
        <v>26.84</v>
      </c>
      <c r="I143" s="195" t="str">
        <f>I137</f>
        <v>2000</v>
      </c>
      <c r="J143" s="204" t="s">
        <v>153</v>
      </c>
    </row>
    <row r="144" spans="1:10">
      <c r="A144" s="195" t="s">
        <v>41</v>
      </c>
      <c r="C144" s="195">
        <v>24.47</v>
      </c>
      <c r="D144" s="195">
        <v>24.47</v>
      </c>
      <c r="E144" s="195">
        <v>24.47</v>
      </c>
      <c r="F144" s="195">
        <v>24.47</v>
      </c>
      <c r="G144" s="195">
        <v>24.47</v>
      </c>
      <c r="I144" s="195" t="str">
        <f>I138</f>
        <v>2000</v>
      </c>
      <c r="J144" s="204" t="s">
        <v>153</v>
      </c>
    </row>
    <row r="145" spans="1:10">
      <c r="A145" s="195" t="s">
        <v>44</v>
      </c>
      <c r="C145" s="195">
        <v>24.33</v>
      </c>
      <c r="D145" s="195">
        <v>24.33</v>
      </c>
      <c r="E145" s="195">
        <v>24.33</v>
      </c>
      <c r="F145" s="195">
        <v>24.33</v>
      </c>
      <c r="G145" s="195">
        <v>24.33</v>
      </c>
      <c r="I145" s="195" t="str">
        <f>I139</f>
        <v>2000</v>
      </c>
      <c r="J145" s="204" t="s">
        <v>153</v>
      </c>
    </row>
    <row r="146" spans="1:10">
      <c r="A146" s="195" t="s">
        <v>47</v>
      </c>
      <c r="C146" s="195">
        <v>21.15</v>
      </c>
      <c r="D146" s="195">
        <v>21.15</v>
      </c>
      <c r="E146" s="195">
        <v>21.15</v>
      </c>
      <c r="F146" s="195">
        <v>21.15</v>
      </c>
      <c r="G146" s="195">
        <v>21.15</v>
      </c>
      <c r="I146" s="195" t="str">
        <f>I140</f>
        <v>2000</v>
      </c>
      <c r="J146" s="204" t="s">
        <v>153</v>
      </c>
    </row>
    <row r="147" spans="1:10">
      <c r="A147" s="195" t="s">
        <v>50</v>
      </c>
      <c r="C147" s="195">
        <v>20.98</v>
      </c>
      <c r="D147" s="195">
        <v>20.98</v>
      </c>
      <c r="E147" s="195">
        <v>20.98</v>
      </c>
      <c r="F147" s="195">
        <v>20.98</v>
      </c>
      <c r="G147" s="195">
        <v>20.98</v>
      </c>
      <c r="I147" s="195" t="str">
        <f>I141</f>
        <v>2000</v>
      </c>
      <c r="J147" s="204" t="s">
        <v>153</v>
      </c>
    </row>
    <row r="148" spans="1:10">
      <c r="A148" s="195" t="s">
        <v>188</v>
      </c>
      <c r="B148" s="195">
        <v>2001</v>
      </c>
      <c r="J148" s="204"/>
    </row>
    <row r="149" spans="1:10">
      <c r="A149" s="195" t="s">
        <v>736</v>
      </c>
      <c r="J149" s="204"/>
    </row>
    <row r="150" spans="1:10">
      <c r="A150" s="195" t="s">
        <v>38</v>
      </c>
      <c r="C150" s="195">
        <v>972.52</v>
      </c>
      <c r="D150" s="195">
        <v>385.84</v>
      </c>
      <c r="E150" s="195">
        <v>1033.76</v>
      </c>
      <c r="F150" s="195">
        <v>43.67</v>
      </c>
      <c r="G150" s="195">
        <v>179.19</v>
      </c>
      <c r="I150" s="195" t="str">
        <f>RIGHT(B148,4)</f>
        <v>2001</v>
      </c>
      <c r="J150" s="201" t="s">
        <v>710</v>
      </c>
    </row>
    <row r="151" spans="1:10">
      <c r="A151" s="195" t="s">
        <v>41</v>
      </c>
      <c r="C151" s="195">
        <v>50.6</v>
      </c>
      <c r="D151" s="195">
        <v>150.46</v>
      </c>
      <c r="E151" s="195">
        <v>501.24</v>
      </c>
      <c r="F151" s="195">
        <v>9.74</v>
      </c>
      <c r="G151" s="195">
        <v>90.87</v>
      </c>
      <c r="I151" s="195" t="str">
        <f>I150</f>
        <v>2001</v>
      </c>
      <c r="J151" s="204" t="s">
        <v>710</v>
      </c>
    </row>
    <row r="152" spans="1:10">
      <c r="A152" s="195" t="s">
        <v>44</v>
      </c>
      <c r="C152" s="195">
        <v>153.29</v>
      </c>
      <c r="D152" s="195">
        <v>339.24</v>
      </c>
      <c r="E152" s="195">
        <v>663.08</v>
      </c>
      <c r="F152" s="195">
        <v>12.89</v>
      </c>
      <c r="G152" s="195">
        <v>122.84</v>
      </c>
      <c r="I152" s="195" t="str">
        <f t="shared" ref="I152:I154" si="11">I151</f>
        <v>2001</v>
      </c>
      <c r="J152" s="204" t="s">
        <v>710</v>
      </c>
    </row>
    <row r="153" spans="1:10">
      <c r="A153" s="195" t="s">
        <v>47</v>
      </c>
      <c r="C153" s="195">
        <v>171.09</v>
      </c>
      <c r="D153" s="195">
        <v>523.42999999999995</v>
      </c>
      <c r="E153" s="195">
        <v>1201.45</v>
      </c>
      <c r="F153" s="195">
        <v>50.02</v>
      </c>
      <c r="G153" s="195">
        <v>196.97</v>
      </c>
      <c r="I153" s="195" t="str">
        <f t="shared" si="11"/>
        <v>2001</v>
      </c>
      <c r="J153" s="204" t="s">
        <v>710</v>
      </c>
    </row>
    <row r="154" spans="1:10">
      <c r="A154" s="195" t="s">
        <v>50</v>
      </c>
      <c r="C154" s="195">
        <v>148.51</v>
      </c>
      <c r="D154" s="195">
        <v>314.17</v>
      </c>
      <c r="E154" s="195">
        <v>1848.27</v>
      </c>
      <c r="F154" s="195">
        <v>76.12</v>
      </c>
      <c r="G154" s="195">
        <v>88.74</v>
      </c>
      <c r="I154" s="195" t="str">
        <f t="shared" si="11"/>
        <v>2001</v>
      </c>
      <c r="J154" s="204" t="s">
        <v>710</v>
      </c>
    </row>
    <row r="155" spans="1:10">
      <c r="A155" s="195" t="s">
        <v>737</v>
      </c>
    </row>
    <row r="156" spans="1:10">
      <c r="A156" s="195" t="s">
        <v>38</v>
      </c>
      <c r="C156" s="195">
        <v>22.42</v>
      </c>
      <c r="D156" s="195">
        <v>22.42</v>
      </c>
      <c r="E156" s="195">
        <v>22.42</v>
      </c>
      <c r="F156" s="195">
        <v>22.42</v>
      </c>
      <c r="G156" s="195">
        <v>22.42</v>
      </c>
      <c r="I156" s="195" t="str">
        <f>I150</f>
        <v>2001</v>
      </c>
      <c r="J156" s="204" t="s">
        <v>153</v>
      </c>
    </row>
    <row r="157" spans="1:10">
      <c r="A157" s="195" t="s">
        <v>41</v>
      </c>
      <c r="C157" s="195">
        <v>18.29</v>
      </c>
      <c r="D157" s="195">
        <v>18.29</v>
      </c>
      <c r="E157" s="195">
        <v>18.29</v>
      </c>
      <c r="F157" s="195">
        <v>18.29</v>
      </c>
      <c r="G157" s="195">
        <v>18.29</v>
      </c>
      <c r="I157" s="195" t="str">
        <f>I151</f>
        <v>2001</v>
      </c>
      <c r="J157" s="204" t="s">
        <v>153</v>
      </c>
    </row>
    <row r="158" spans="1:10">
      <c r="A158" s="195" t="s">
        <v>44</v>
      </c>
      <c r="C158" s="195">
        <v>18.670000000000002</v>
      </c>
      <c r="D158" s="195">
        <v>18.670000000000002</v>
      </c>
      <c r="E158" s="195">
        <v>18.670000000000002</v>
      </c>
      <c r="F158" s="195">
        <v>18.670000000000002</v>
      </c>
      <c r="G158" s="195">
        <v>18.670000000000002</v>
      </c>
      <c r="I158" s="195" t="str">
        <f>I152</f>
        <v>2001</v>
      </c>
      <c r="J158" s="204" t="s">
        <v>153</v>
      </c>
    </row>
    <row r="159" spans="1:10">
      <c r="A159" s="195" t="s">
        <v>47</v>
      </c>
      <c r="C159" s="195">
        <v>15.13</v>
      </c>
      <c r="D159" s="195">
        <v>15.13</v>
      </c>
      <c r="E159" s="195">
        <v>15.13</v>
      </c>
      <c r="F159" s="195">
        <v>15.13</v>
      </c>
      <c r="G159" s="195">
        <v>15.13</v>
      </c>
      <c r="I159" s="195" t="str">
        <f>I153</f>
        <v>2001</v>
      </c>
      <c r="J159" s="204" t="s">
        <v>153</v>
      </c>
    </row>
    <row r="160" spans="1:10">
      <c r="A160" s="195" t="s">
        <v>50</v>
      </c>
      <c r="C160" s="195">
        <v>14.89</v>
      </c>
      <c r="D160" s="195">
        <v>14.89</v>
      </c>
      <c r="E160" s="195">
        <v>14.89</v>
      </c>
      <c r="F160" s="195">
        <v>14.89</v>
      </c>
      <c r="G160" s="195">
        <v>14.89</v>
      </c>
      <c r="I160" s="195" t="str">
        <f>I154</f>
        <v>2001</v>
      </c>
      <c r="J160" s="204" t="s">
        <v>153</v>
      </c>
    </row>
    <row r="161" spans="1:10">
      <c r="A161" s="195" t="s">
        <v>188</v>
      </c>
      <c r="B161" s="195">
        <v>2002</v>
      </c>
    </row>
    <row r="162" spans="1:10">
      <c r="A162" s="195" t="s">
        <v>736</v>
      </c>
    </row>
    <row r="163" spans="1:10">
      <c r="A163" s="195" t="s">
        <v>38</v>
      </c>
      <c r="C163" s="195">
        <v>966.6</v>
      </c>
      <c r="D163" s="195">
        <v>370.43</v>
      </c>
      <c r="E163" s="195">
        <v>1117.44</v>
      </c>
      <c r="F163" s="195">
        <v>40.96</v>
      </c>
      <c r="G163" s="195">
        <v>242.66</v>
      </c>
      <c r="I163" s="195" t="str">
        <f>RIGHT(B161,4)</f>
        <v>2002</v>
      </c>
      <c r="J163" s="201" t="s">
        <v>710</v>
      </c>
    </row>
    <row r="164" spans="1:10">
      <c r="A164" s="195" t="s">
        <v>41</v>
      </c>
      <c r="C164" s="195">
        <v>93.25</v>
      </c>
      <c r="D164" s="195">
        <v>267.04000000000002</v>
      </c>
      <c r="E164" s="195">
        <v>451.45</v>
      </c>
      <c r="F164" s="195">
        <v>21.32</v>
      </c>
      <c r="G164" s="195">
        <v>93.1</v>
      </c>
      <c r="I164" s="195" t="str">
        <f>I163</f>
        <v>2002</v>
      </c>
      <c r="J164" s="204" t="s">
        <v>710</v>
      </c>
    </row>
    <row r="165" spans="1:10">
      <c r="A165" s="195" t="s">
        <v>44</v>
      </c>
      <c r="C165" s="195">
        <v>152.35</v>
      </c>
      <c r="D165" s="195">
        <v>200.08</v>
      </c>
      <c r="E165" s="195">
        <v>536.89</v>
      </c>
      <c r="F165" s="195">
        <v>20.67</v>
      </c>
      <c r="G165" s="195">
        <v>165.51</v>
      </c>
      <c r="I165" s="195" t="str">
        <f t="shared" ref="I165:I167" si="12">I164</f>
        <v>2002</v>
      </c>
      <c r="J165" s="204" t="s">
        <v>710</v>
      </c>
    </row>
    <row r="166" spans="1:10">
      <c r="A166" s="195" t="s">
        <v>47</v>
      </c>
      <c r="C166" s="195">
        <v>188.86</v>
      </c>
      <c r="D166" s="195">
        <v>345.42</v>
      </c>
      <c r="E166" s="195">
        <v>1083.26</v>
      </c>
      <c r="F166" s="195">
        <v>79.06</v>
      </c>
      <c r="G166" s="195">
        <v>95.22</v>
      </c>
      <c r="I166" s="195" t="str">
        <f t="shared" si="12"/>
        <v>2002</v>
      </c>
      <c r="J166" s="204" t="s">
        <v>710</v>
      </c>
    </row>
    <row r="167" spans="1:10">
      <c r="A167" s="195" t="s">
        <v>50</v>
      </c>
      <c r="C167" s="195">
        <v>129.75</v>
      </c>
      <c r="D167" s="195">
        <v>316.94</v>
      </c>
      <c r="E167" s="195">
        <v>2003.41</v>
      </c>
      <c r="F167" s="195">
        <v>73.260000000000005</v>
      </c>
      <c r="G167" s="195">
        <v>85.08</v>
      </c>
      <c r="I167" s="195" t="str">
        <f t="shared" si="12"/>
        <v>2002</v>
      </c>
      <c r="J167" s="204" t="s">
        <v>710</v>
      </c>
    </row>
    <row r="168" spans="1:10">
      <c r="A168" s="195" t="s">
        <v>737</v>
      </c>
    </row>
    <row r="169" spans="1:10">
      <c r="A169" s="195" t="s">
        <v>38</v>
      </c>
      <c r="C169" s="195">
        <v>22.2</v>
      </c>
      <c r="D169" s="195">
        <v>22.2</v>
      </c>
      <c r="E169" s="195">
        <v>22.2</v>
      </c>
      <c r="F169" s="195">
        <v>22.2</v>
      </c>
      <c r="G169" s="195">
        <v>22.2</v>
      </c>
      <c r="I169" s="195" t="str">
        <f>I163</f>
        <v>2002</v>
      </c>
      <c r="J169" s="204" t="s">
        <v>153</v>
      </c>
    </row>
    <row r="170" spans="1:10">
      <c r="A170" s="195" t="s">
        <v>41</v>
      </c>
      <c r="C170" s="195">
        <v>20.45</v>
      </c>
      <c r="D170" s="195">
        <v>20.45</v>
      </c>
      <c r="E170" s="195">
        <v>20.45</v>
      </c>
      <c r="F170" s="195">
        <v>20.45</v>
      </c>
      <c r="G170" s="195">
        <v>20.45</v>
      </c>
      <c r="I170" s="195" t="str">
        <f>I164</f>
        <v>2002</v>
      </c>
      <c r="J170" s="204" t="s">
        <v>153</v>
      </c>
    </row>
    <row r="171" spans="1:10">
      <c r="A171" s="195" t="s">
        <v>44</v>
      </c>
      <c r="C171" s="195">
        <v>21.21</v>
      </c>
      <c r="D171" s="195">
        <v>21.21</v>
      </c>
      <c r="E171" s="195">
        <v>21.21</v>
      </c>
      <c r="F171" s="195">
        <v>21.21</v>
      </c>
      <c r="G171" s="195">
        <v>21.21</v>
      </c>
      <c r="I171" s="195" t="str">
        <f>I165</f>
        <v>2002</v>
      </c>
      <c r="J171" s="204" t="s">
        <v>153</v>
      </c>
    </row>
    <row r="172" spans="1:10">
      <c r="A172" s="195" t="s">
        <v>47</v>
      </c>
      <c r="C172" s="195">
        <v>18.07</v>
      </c>
      <c r="D172" s="195">
        <v>18.07</v>
      </c>
      <c r="E172" s="195">
        <v>18.07</v>
      </c>
      <c r="F172" s="195">
        <v>18.07</v>
      </c>
      <c r="G172" s="195">
        <v>18.07</v>
      </c>
      <c r="I172" s="195" t="str">
        <f>I166</f>
        <v>2002</v>
      </c>
      <c r="J172" s="204" t="s">
        <v>153</v>
      </c>
    </row>
    <row r="173" spans="1:10">
      <c r="A173" s="195" t="s">
        <v>50</v>
      </c>
      <c r="C173" s="195">
        <v>17.559999999999999</v>
      </c>
      <c r="D173" s="195">
        <v>17.559999999999999</v>
      </c>
      <c r="E173" s="195">
        <v>17.559999999999999</v>
      </c>
      <c r="F173" s="195">
        <v>17.559999999999999</v>
      </c>
      <c r="G173" s="195">
        <v>17.559999999999999</v>
      </c>
      <c r="I173" s="195" t="str">
        <f>I167</f>
        <v>2002</v>
      </c>
      <c r="J173" s="204" t="s">
        <v>153</v>
      </c>
    </row>
    <row r="174" spans="1:10">
      <c r="A174" s="195" t="s">
        <v>188</v>
      </c>
      <c r="B174" s="195">
        <v>2003</v>
      </c>
    </row>
    <row r="175" spans="1:10">
      <c r="A175" s="195" t="s">
        <v>736</v>
      </c>
    </row>
    <row r="176" spans="1:10">
      <c r="A176" s="195" t="s">
        <v>38</v>
      </c>
      <c r="C176" s="195">
        <v>1083.3900000000001</v>
      </c>
      <c r="D176" s="195">
        <v>361.64</v>
      </c>
      <c r="E176" s="195">
        <v>1258.0999999999999</v>
      </c>
      <c r="F176" s="195">
        <v>48.47</v>
      </c>
      <c r="G176" s="195">
        <v>246.02</v>
      </c>
      <c r="I176" s="195" t="str">
        <f>RIGHT(B174,4)</f>
        <v>2003</v>
      </c>
      <c r="J176" s="201" t="s">
        <v>710</v>
      </c>
    </row>
    <row r="177" spans="1:10">
      <c r="A177" s="195" t="s">
        <v>41</v>
      </c>
      <c r="C177" s="195">
        <v>76.2</v>
      </c>
      <c r="D177" s="195">
        <v>229.83</v>
      </c>
      <c r="E177" s="195">
        <v>466.43</v>
      </c>
      <c r="F177" s="195">
        <v>29.6</v>
      </c>
      <c r="G177" s="195">
        <v>123.83</v>
      </c>
      <c r="I177" s="195" t="str">
        <f>I176</f>
        <v>2003</v>
      </c>
      <c r="J177" s="204" t="s">
        <v>710</v>
      </c>
    </row>
    <row r="178" spans="1:10">
      <c r="A178" s="195" t="s">
        <v>44</v>
      </c>
      <c r="C178" s="195">
        <v>179.49</v>
      </c>
      <c r="D178" s="195">
        <v>174.13</v>
      </c>
      <c r="E178" s="195">
        <v>448.43</v>
      </c>
      <c r="F178" s="195">
        <v>12.92</v>
      </c>
      <c r="G178" s="195">
        <v>121.7</v>
      </c>
      <c r="I178" s="195" t="str">
        <f t="shared" ref="I178:I180" si="13">I177</f>
        <v>2003</v>
      </c>
      <c r="J178" s="204" t="s">
        <v>710</v>
      </c>
    </row>
    <row r="179" spans="1:10">
      <c r="A179" s="195" t="s">
        <v>47</v>
      </c>
      <c r="C179" s="195">
        <v>193.2</v>
      </c>
      <c r="D179" s="195">
        <v>308.3</v>
      </c>
      <c r="E179" s="195">
        <v>1378.09</v>
      </c>
      <c r="F179" s="195">
        <v>55.3</v>
      </c>
      <c r="G179" s="195">
        <v>272.47000000000003</v>
      </c>
      <c r="I179" s="195" t="str">
        <f t="shared" si="13"/>
        <v>2003</v>
      </c>
      <c r="J179" s="204" t="s">
        <v>710</v>
      </c>
    </row>
    <row r="180" spans="1:10">
      <c r="A180" s="195" t="s">
        <v>50</v>
      </c>
      <c r="C180" s="195">
        <v>125.2</v>
      </c>
      <c r="D180" s="195">
        <v>339.19</v>
      </c>
      <c r="E180" s="195">
        <v>1940.86</v>
      </c>
      <c r="F180" s="195">
        <v>117.23</v>
      </c>
      <c r="G180" s="195">
        <v>74.989999999999995</v>
      </c>
      <c r="I180" s="195" t="str">
        <f t="shared" si="13"/>
        <v>2003</v>
      </c>
      <c r="J180" s="204" t="s">
        <v>710</v>
      </c>
    </row>
    <row r="181" spans="1:10">
      <c r="A181" s="195" t="s">
        <v>737</v>
      </c>
    </row>
    <row r="182" spans="1:10">
      <c r="A182" s="195" t="s">
        <v>38</v>
      </c>
      <c r="C182" s="195">
        <v>25.82</v>
      </c>
      <c r="D182" s="195">
        <v>25.82</v>
      </c>
      <c r="E182" s="195">
        <v>25.82</v>
      </c>
      <c r="F182" s="195">
        <v>25.82</v>
      </c>
      <c r="G182" s="195">
        <v>25.82</v>
      </c>
      <c r="I182" s="195" t="str">
        <f>I176</f>
        <v>2003</v>
      </c>
      <c r="J182" s="204" t="s">
        <v>153</v>
      </c>
    </row>
    <row r="183" spans="1:10">
      <c r="A183" s="195" t="s">
        <v>41</v>
      </c>
      <c r="C183" s="195">
        <v>23.46</v>
      </c>
      <c r="D183" s="195">
        <v>23.46</v>
      </c>
      <c r="E183" s="195">
        <v>23.46</v>
      </c>
      <c r="F183" s="195">
        <v>23.46</v>
      </c>
      <c r="G183" s="195">
        <v>23.46</v>
      </c>
      <c r="I183" s="195" t="str">
        <f>I177</f>
        <v>2003</v>
      </c>
      <c r="J183" s="204" t="s">
        <v>153</v>
      </c>
    </row>
    <row r="184" spans="1:10">
      <c r="A184" s="195" t="s">
        <v>44</v>
      </c>
      <c r="C184" s="195">
        <v>23.48</v>
      </c>
      <c r="D184" s="195">
        <v>23.48</v>
      </c>
      <c r="E184" s="195">
        <v>23.48</v>
      </c>
      <c r="F184" s="195">
        <v>23.48</v>
      </c>
      <c r="G184" s="195">
        <v>23.48</v>
      </c>
      <c r="I184" s="195" t="str">
        <f>I178</f>
        <v>2003</v>
      </c>
      <c r="J184" s="204" t="s">
        <v>153</v>
      </c>
    </row>
    <row r="185" spans="1:10">
      <c r="A185" s="195" t="s">
        <v>47</v>
      </c>
      <c r="C185" s="195">
        <v>20.65</v>
      </c>
      <c r="D185" s="195">
        <v>20.65</v>
      </c>
      <c r="E185" s="195">
        <v>20.65</v>
      </c>
      <c r="F185" s="195">
        <v>20.65</v>
      </c>
      <c r="G185" s="195">
        <v>20.65</v>
      </c>
      <c r="I185" s="195" t="str">
        <f>I179</f>
        <v>2003</v>
      </c>
      <c r="J185" s="204" t="s">
        <v>153</v>
      </c>
    </row>
    <row r="186" spans="1:10">
      <c r="A186" s="195" t="s">
        <v>50</v>
      </c>
      <c r="C186" s="195">
        <v>20.100000000000001</v>
      </c>
      <c r="D186" s="195">
        <v>20.100000000000001</v>
      </c>
      <c r="E186" s="195">
        <v>20.100000000000001</v>
      </c>
      <c r="F186" s="195">
        <v>20.100000000000001</v>
      </c>
      <c r="G186" s="195">
        <v>20.100000000000001</v>
      </c>
      <c r="I186" s="195" t="str">
        <f>I180</f>
        <v>2003</v>
      </c>
      <c r="J186" s="204" t="s">
        <v>153</v>
      </c>
    </row>
    <row r="187" spans="1:10">
      <c r="A187" s="195" t="s">
        <v>188</v>
      </c>
      <c r="B187" s="195">
        <v>2004</v>
      </c>
    </row>
    <row r="188" spans="1:10">
      <c r="A188" s="195" t="s">
        <v>736</v>
      </c>
    </row>
    <row r="189" spans="1:10">
      <c r="A189" s="195" t="s">
        <v>38</v>
      </c>
      <c r="C189" s="195">
        <v>1018.14</v>
      </c>
      <c r="D189" s="195">
        <v>395.76</v>
      </c>
      <c r="E189" s="195">
        <v>1338.65</v>
      </c>
      <c r="F189" s="195">
        <v>83.85</v>
      </c>
      <c r="G189" s="195">
        <v>207.89</v>
      </c>
      <c r="I189" s="195" t="str">
        <f>RIGHT(B187,4)</f>
        <v>2004</v>
      </c>
      <c r="J189" s="201" t="s">
        <v>710</v>
      </c>
    </row>
    <row r="190" spans="1:10">
      <c r="A190" s="195" t="s">
        <v>41</v>
      </c>
      <c r="C190" s="195">
        <v>57.26</v>
      </c>
      <c r="D190" s="195">
        <v>244.33</v>
      </c>
      <c r="E190" s="195">
        <v>519.85</v>
      </c>
      <c r="F190" s="195">
        <v>33.200000000000003</v>
      </c>
      <c r="G190" s="195">
        <v>101.23</v>
      </c>
      <c r="I190" s="195" t="str">
        <f>I189</f>
        <v>2004</v>
      </c>
      <c r="J190" s="204" t="s">
        <v>710</v>
      </c>
    </row>
    <row r="191" spans="1:10">
      <c r="A191" s="195" t="s">
        <v>44</v>
      </c>
      <c r="C191" s="195">
        <v>108.12</v>
      </c>
      <c r="D191" s="195">
        <v>178.65</v>
      </c>
      <c r="E191" s="195">
        <v>392.67</v>
      </c>
      <c r="F191" s="195">
        <v>3.71</v>
      </c>
      <c r="G191" s="195">
        <v>86.85</v>
      </c>
      <c r="I191" s="195" t="str">
        <f t="shared" ref="I191:I193" si="14">I190</f>
        <v>2004</v>
      </c>
      <c r="J191" s="204" t="s">
        <v>710</v>
      </c>
    </row>
    <row r="192" spans="1:10">
      <c r="A192" s="195" t="s">
        <v>47</v>
      </c>
      <c r="C192" s="195">
        <v>234.16</v>
      </c>
      <c r="D192" s="195">
        <v>381.1</v>
      </c>
      <c r="E192" s="195">
        <v>1318.02</v>
      </c>
      <c r="F192" s="195">
        <v>33.869999999999997</v>
      </c>
      <c r="G192" s="195">
        <v>346.94</v>
      </c>
      <c r="I192" s="195" t="str">
        <f t="shared" si="14"/>
        <v>2004</v>
      </c>
      <c r="J192" s="204" t="s">
        <v>710</v>
      </c>
    </row>
    <row r="193" spans="1:10">
      <c r="A193" s="195" t="s">
        <v>50</v>
      </c>
      <c r="C193" s="195">
        <v>153.79</v>
      </c>
      <c r="D193" s="195">
        <v>456.33</v>
      </c>
      <c r="E193" s="195">
        <v>2204.31</v>
      </c>
      <c r="F193" s="195">
        <v>116.47</v>
      </c>
      <c r="G193" s="195">
        <v>72.86</v>
      </c>
      <c r="I193" s="195" t="str">
        <f t="shared" si="14"/>
        <v>2004</v>
      </c>
      <c r="J193" s="204" t="s">
        <v>710</v>
      </c>
    </row>
    <row r="194" spans="1:10">
      <c r="A194" s="195" t="s">
        <v>737</v>
      </c>
    </row>
    <row r="195" spans="1:10">
      <c r="A195" s="195" t="s">
        <v>38</v>
      </c>
      <c r="C195" s="195">
        <v>33.47</v>
      </c>
      <c r="D195" s="195">
        <v>33.47</v>
      </c>
      <c r="E195" s="195">
        <v>33.47</v>
      </c>
      <c r="F195" s="195">
        <v>33.47</v>
      </c>
      <c r="G195" s="195">
        <v>33.47</v>
      </c>
      <c r="I195" s="195" t="str">
        <f>I189</f>
        <v>2004</v>
      </c>
      <c r="J195" s="204" t="s">
        <v>153</v>
      </c>
    </row>
    <row r="196" spans="1:10">
      <c r="A196" s="195" t="s">
        <v>41</v>
      </c>
      <c r="C196" s="195">
        <v>29.43</v>
      </c>
      <c r="D196" s="195">
        <v>29.43</v>
      </c>
      <c r="E196" s="195">
        <v>29.43</v>
      </c>
      <c r="F196" s="195">
        <v>29.43</v>
      </c>
      <c r="G196" s="195">
        <v>29.43</v>
      </c>
      <c r="I196" s="195" t="str">
        <f>I190</f>
        <v>2004</v>
      </c>
      <c r="J196" s="204" t="s">
        <v>153</v>
      </c>
    </row>
    <row r="197" spans="1:10">
      <c r="A197" s="195" t="s">
        <v>44</v>
      </c>
      <c r="C197" s="195">
        <v>30.78</v>
      </c>
      <c r="D197" s="195">
        <v>30.78</v>
      </c>
      <c r="E197" s="195">
        <v>30.78</v>
      </c>
      <c r="F197" s="195">
        <v>30.78</v>
      </c>
      <c r="G197" s="195">
        <v>30.78</v>
      </c>
      <c r="I197" s="195" t="str">
        <f>I191</f>
        <v>2004</v>
      </c>
      <c r="J197" s="204" t="s">
        <v>153</v>
      </c>
    </row>
    <row r="198" spans="1:10">
      <c r="A198" s="195" t="s">
        <v>47</v>
      </c>
      <c r="C198" s="195">
        <v>25.11</v>
      </c>
      <c r="D198" s="195">
        <v>25.11</v>
      </c>
      <c r="E198" s="195">
        <v>25.11</v>
      </c>
      <c r="F198" s="195">
        <v>25.11</v>
      </c>
      <c r="G198" s="195">
        <v>25.11</v>
      </c>
      <c r="I198" s="195" t="str">
        <f>I192</f>
        <v>2004</v>
      </c>
      <c r="J198" s="204" t="s">
        <v>153</v>
      </c>
    </row>
    <row r="199" spans="1:10">
      <c r="A199" s="195" t="s">
        <v>50</v>
      </c>
      <c r="C199" s="195">
        <v>24.73</v>
      </c>
      <c r="D199" s="195">
        <v>24.73</v>
      </c>
      <c r="E199" s="195">
        <v>24.73</v>
      </c>
      <c r="F199" s="195">
        <v>24.73</v>
      </c>
      <c r="G199" s="195">
        <v>24.73</v>
      </c>
      <c r="I199" s="195" t="str">
        <f>I193</f>
        <v>2004</v>
      </c>
      <c r="J199" s="204" t="s">
        <v>153</v>
      </c>
    </row>
    <row r="200" spans="1:10">
      <c r="A200" s="195" t="s">
        <v>188</v>
      </c>
      <c r="B200" s="195">
        <v>2005</v>
      </c>
    </row>
    <row r="201" spans="1:10">
      <c r="A201" s="195" t="s">
        <v>736</v>
      </c>
    </row>
    <row r="202" spans="1:10">
      <c r="A202" s="195" t="s">
        <v>38</v>
      </c>
      <c r="C202" s="195">
        <v>1062.18</v>
      </c>
      <c r="D202" s="195">
        <v>374.87</v>
      </c>
      <c r="E202" s="195">
        <v>1327.66</v>
      </c>
      <c r="F202" s="195">
        <v>85.87</v>
      </c>
      <c r="G202" s="195">
        <v>154.94999999999999</v>
      </c>
      <c r="I202" s="195" t="str">
        <f>RIGHT(B200,4)</f>
        <v>2005</v>
      </c>
      <c r="J202" s="201" t="s">
        <v>710</v>
      </c>
    </row>
    <row r="203" spans="1:10">
      <c r="A203" s="195" t="s">
        <v>41</v>
      </c>
      <c r="C203" s="195">
        <v>52.75</v>
      </c>
      <c r="D203" s="195">
        <v>227.53</v>
      </c>
      <c r="E203" s="195">
        <v>545.74</v>
      </c>
      <c r="F203" s="195">
        <v>50.96</v>
      </c>
      <c r="G203" s="195">
        <v>170.3</v>
      </c>
      <c r="I203" s="195" t="str">
        <f>I202</f>
        <v>2005</v>
      </c>
      <c r="J203" s="204" t="s">
        <v>710</v>
      </c>
    </row>
    <row r="204" spans="1:10">
      <c r="A204" s="195" t="s">
        <v>44</v>
      </c>
      <c r="C204" s="195">
        <v>93.86</v>
      </c>
      <c r="D204" s="195">
        <v>148.24</v>
      </c>
      <c r="E204" s="195">
        <v>270.20999999999998</v>
      </c>
      <c r="F204" s="195">
        <v>2.4500000000000002</v>
      </c>
      <c r="G204" s="195">
        <v>119.21</v>
      </c>
      <c r="I204" s="195" t="str">
        <f t="shared" ref="I204:I206" si="15">I203</f>
        <v>2005</v>
      </c>
      <c r="J204" s="204" t="s">
        <v>710</v>
      </c>
    </row>
    <row r="205" spans="1:10">
      <c r="A205" s="195" t="s">
        <v>47</v>
      </c>
      <c r="C205" s="195">
        <v>256.31</v>
      </c>
      <c r="D205" s="195">
        <v>227.78</v>
      </c>
      <c r="E205" s="195">
        <v>1525.41</v>
      </c>
      <c r="F205" s="195">
        <v>19.690000000000001</v>
      </c>
      <c r="G205" s="195">
        <v>336.83</v>
      </c>
      <c r="I205" s="195" t="str">
        <f t="shared" si="15"/>
        <v>2005</v>
      </c>
      <c r="J205" s="204" t="s">
        <v>710</v>
      </c>
    </row>
    <row r="206" spans="1:10">
      <c r="A206" s="195" t="s">
        <v>50</v>
      </c>
      <c r="C206" s="195">
        <v>123.31</v>
      </c>
      <c r="D206" s="195">
        <v>583.42999999999995</v>
      </c>
      <c r="E206" s="195">
        <v>2051.17</v>
      </c>
      <c r="F206" s="195">
        <v>135.31</v>
      </c>
      <c r="G206" s="195">
        <v>179.98</v>
      </c>
      <c r="I206" s="195" t="str">
        <f t="shared" si="15"/>
        <v>2005</v>
      </c>
      <c r="J206" s="204" t="s">
        <v>710</v>
      </c>
    </row>
    <row r="207" spans="1:10">
      <c r="A207" s="195" t="s">
        <v>737</v>
      </c>
    </row>
    <row r="208" spans="1:10">
      <c r="A208" s="195" t="s">
        <v>38</v>
      </c>
      <c r="C208" s="195">
        <v>36.6</v>
      </c>
      <c r="D208" s="195">
        <v>36.6</v>
      </c>
      <c r="E208" s="195">
        <v>36.6</v>
      </c>
      <c r="F208" s="195">
        <v>36.6</v>
      </c>
      <c r="G208" s="195">
        <v>36.6</v>
      </c>
      <c r="I208" s="195" t="str">
        <f>I202</f>
        <v>2005</v>
      </c>
      <c r="J208" s="204" t="s">
        <v>153</v>
      </c>
    </row>
    <row r="209" spans="1:10">
      <c r="A209" s="195" t="s">
        <v>41</v>
      </c>
      <c r="C209" s="195">
        <v>32.909999999999997</v>
      </c>
      <c r="D209" s="195">
        <v>32.909999999999997</v>
      </c>
      <c r="E209" s="195">
        <v>32.909999999999997</v>
      </c>
      <c r="F209" s="195">
        <v>32.909999999999997</v>
      </c>
      <c r="G209" s="195">
        <v>32.909999999999997</v>
      </c>
      <c r="I209" s="195" t="str">
        <f>I203</f>
        <v>2005</v>
      </c>
      <c r="J209" s="204" t="s">
        <v>153</v>
      </c>
    </row>
    <row r="210" spans="1:10">
      <c r="A210" s="195" t="s">
        <v>44</v>
      </c>
      <c r="C210" s="195">
        <v>37.74</v>
      </c>
      <c r="D210" s="195">
        <v>37.74</v>
      </c>
      <c r="E210" s="195">
        <v>37.74</v>
      </c>
      <c r="F210" s="195">
        <v>37.74</v>
      </c>
      <c r="G210" s="195">
        <v>37.74</v>
      </c>
      <c r="I210" s="195" t="str">
        <f>I204</f>
        <v>2005</v>
      </c>
      <c r="J210" s="204" t="s">
        <v>153</v>
      </c>
    </row>
    <row r="211" spans="1:10">
      <c r="A211" s="195" t="s">
        <v>47</v>
      </c>
      <c r="C211" s="195">
        <v>29</v>
      </c>
      <c r="D211" s="195">
        <v>29</v>
      </c>
      <c r="E211" s="195">
        <v>29</v>
      </c>
      <c r="F211" s="195">
        <v>29</v>
      </c>
      <c r="G211" s="195">
        <v>29</v>
      </c>
      <c r="I211" s="195" t="str">
        <f>I205</f>
        <v>2005</v>
      </c>
      <c r="J211" s="204" t="s">
        <v>153</v>
      </c>
    </row>
    <row r="212" spans="1:10">
      <c r="A212" s="195" t="s">
        <v>50</v>
      </c>
      <c r="C212" s="195">
        <v>26</v>
      </c>
      <c r="D212" s="195">
        <v>26</v>
      </c>
      <c r="E212" s="195">
        <v>26</v>
      </c>
      <c r="F212" s="195">
        <v>26</v>
      </c>
      <c r="G212" s="195">
        <v>26</v>
      </c>
      <c r="I212" s="195" t="str">
        <f>I206</f>
        <v>2005</v>
      </c>
      <c r="J212" s="204" t="s">
        <v>153</v>
      </c>
    </row>
    <row r="213" spans="1:10">
      <c r="A213" s="195" t="s">
        <v>188</v>
      </c>
      <c r="B213" s="195">
        <v>2006</v>
      </c>
      <c r="J213" s="204"/>
    </row>
    <row r="214" spans="1:10">
      <c r="A214" s="195" t="s">
        <v>736</v>
      </c>
      <c r="J214" s="204"/>
    </row>
    <row r="215" spans="1:10">
      <c r="A215" s="195" t="s">
        <v>38</v>
      </c>
      <c r="C215" s="195">
        <v>966.56</v>
      </c>
      <c r="D215" s="195">
        <v>343.56</v>
      </c>
      <c r="E215" s="195">
        <v>1443.92</v>
      </c>
      <c r="F215" s="195">
        <v>64.040000000000006</v>
      </c>
      <c r="G215" s="195">
        <v>220.14</v>
      </c>
      <c r="I215" s="195" t="str">
        <f>RIGHT(B213,4)</f>
        <v>2006</v>
      </c>
      <c r="J215" s="201" t="s">
        <v>710</v>
      </c>
    </row>
    <row r="216" spans="1:10">
      <c r="A216" s="195" t="s">
        <v>41</v>
      </c>
      <c r="C216" s="195">
        <v>17.18</v>
      </c>
      <c r="D216" s="195">
        <v>220.73</v>
      </c>
      <c r="E216" s="195">
        <v>444.48</v>
      </c>
      <c r="F216" s="195">
        <v>40.56</v>
      </c>
      <c r="G216" s="195">
        <v>197.16</v>
      </c>
      <c r="I216" s="195" t="str">
        <f>I215</f>
        <v>2006</v>
      </c>
      <c r="J216" s="204" t="s">
        <v>710</v>
      </c>
    </row>
    <row r="217" spans="1:10">
      <c r="A217" s="195" t="s">
        <v>44</v>
      </c>
      <c r="C217" s="195">
        <v>84.66</v>
      </c>
      <c r="D217" s="195">
        <v>128.76</v>
      </c>
      <c r="E217" s="195">
        <v>239.42</v>
      </c>
      <c r="F217" s="195">
        <v>0.35</v>
      </c>
      <c r="G217" s="195">
        <v>181.11</v>
      </c>
      <c r="I217" s="195" t="str">
        <f t="shared" ref="I217:I219" si="16">I216</f>
        <v>2006</v>
      </c>
      <c r="J217" s="204" t="s">
        <v>710</v>
      </c>
    </row>
    <row r="218" spans="1:10">
      <c r="A218" s="195" t="s">
        <v>47</v>
      </c>
      <c r="C218" s="195">
        <v>225.54</v>
      </c>
      <c r="D218" s="195">
        <v>316.95999999999998</v>
      </c>
      <c r="E218" s="195">
        <v>1537.95</v>
      </c>
      <c r="F218" s="195">
        <v>50.01</v>
      </c>
      <c r="G218" s="195">
        <v>339.42</v>
      </c>
      <c r="I218" s="195" t="str">
        <f t="shared" si="16"/>
        <v>2006</v>
      </c>
      <c r="J218" s="204" t="s">
        <v>710</v>
      </c>
    </row>
    <row r="219" spans="1:10">
      <c r="A219" s="195" t="s">
        <v>50</v>
      </c>
      <c r="C219" s="195">
        <v>125.72</v>
      </c>
      <c r="D219" s="195">
        <v>545.96</v>
      </c>
      <c r="E219" s="195">
        <v>2064.9699999999998</v>
      </c>
      <c r="F219" s="195">
        <v>117.46</v>
      </c>
      <c r="G219" s="195">
        <v>201.35</v>
      </c>
      <c r="I219" s="195" t="str">
        <f t="shared" si="16"/>
        <v>2006</v>
      </c>
      <c r="J219" s="204" t="s">
        <v>710</v>
      </c>
    </row>
    <row r="220" spans="1:10">
      <c r="A220" s="195" t="s">
        <v>737</v>
      </c>
    </row>
    <row r="221" spans="1:10">
      <c r="A221" s="195" t="s">
        <v>38</v>
      </c>
      <c r="C221" s="195">
        <v>41.46</v>
      </c>
      <c r="D221" s="195">
        <v>41.46</v>
      </c>
      <c r="E221" s="195">
        <v>41.46</v>
      </c>
      <c r="F221" s="195">
        <v>41.46</v>
      </c>
      <c r="G221" s="195">
        <v>41.46</v>
      </c>
      <c r="I221" s="195" t="str">
        <f>I215</f>
        <v>2006</v>
      </c>
      <c r="J221" s="204" t="s">
        <v>153</v>
      </c>
    </row>
    <row r="222" spans="1:10">
      <c r="A222" s="195" t="s">
        <v>41</v>
      </c>
      <c r="C222" s="195">
        <v>37.65</v>
      </c>
      <c r="D222" s="195">
        <v>37.65</v>
      </c>
      <c r="E222" s="195">
        <v>37.65</v>
      </c>
      <c r="F222" s="195">
        <v>37.65</v>
      </c>
      <c r="G222" s="195">
        <v>37.65</v>
      </c>
      <c r="I222" s="195" t="str">
        <f>I216</f>
        <v>2006</v>
      </c>
      <c r="J222" s="204" t="s">
        <v>153</v>
      </c>
    </row>
    <row r="223" spans="1:10">
      <c r="A223" s="195" t="s">
        <v>44</v>
      </c>
      <c r="C223" s="195">
        <v>36.450000000000003</v>
      </c>
      <c r="D223" s="195">
        <v>36.450000000000003</v>
      </c>
      <c r="E223" s="195">
        <v>36.450000000000003</v>
      </c>
      <c r="F223" s="195">
        <v>36.450000000000003</v>
      </c>
      <c r="G223" s="195">
        <v>36.450000000000003</v>
      </c>
      <c r="I223" s="195" t="str">
        <f>I217</f>
        <v>2006</v>
      </c>
      <c r="J223" s="204" t="s">
        <v>153</v>
      </c>
    </row>
    <row r="224" spans="1:10">
      <c r="A224" s="195" t="s">
        <v>47</v>
      </c>
      <c r="C224" s="195">
        <v>35.19</v>
      </c>
      <c r="D224" s="195">
        <v>35.19</v>
      </c>
      <c r="E224" s="195">
        <v>35.19</v>
      </c>
      <c r="F224" s="195">
        <v>35.19</v>
      </c>
      <c r="G224" s="195">
        <v>35.19</v>
      </c>
      <c r="I224" s="195" t="str">
        <f>I218</f>
        <v>2006</v>
      </c>
      <c r="J224" s="204" t="s">
        <v>153</v>
      </c>
    </row>
    <row r="225" spans="1:10">
      <c r="A225" s="195" t="s">
        <v>50</v>
      </c>
      <c r="C225" s="195">
        <v>34.97</v>
      </c>
      <c r="D225" s="195">
        <v>34.97</v>
      </c>
      <c r="E225" s="195">
        <v>34.97</v>
      </c>
      <c r="F225" s="195">
        <v>34.97</v>
      </c>
      <c r="G225" s="195">
        <v>34.97</v>
      </c>
      <c r="I225" s="195" t="str">
        <f>I219</f>
        <v>2006</v>
      </c>
      <c r="J225" s="204" t="s">
        <v>153</v>
      </c>
    </row>
    <row r="226" spans="1:10">
      <c r="A226" s="195" t="s">
        <v>188</v>
      </c>
      <c r="B226" s="195">
        <v>2007</v>
      </c>
    </row>
    <row r="227" spans="1:10">
      <c r="A227" s="195" t="s">
        <v>736</v>
      </c>
    </row>
    <row r="228" spans="1:10">
      <c r="A228" s="195" t="s">
        <v>38</v>
      </c>
      <c r="C228" s="195">
        <v>963.78</v>
      </c>
      <c r="D228" s="195">
        <v>395.18</v>
      </c>
      <c r="E228" s="195">
        <v>1484.46</v>
      </c>
      <c r="F228" s="195">
        <v>54.29</v>
      </c>
      <c r="G228" s="195">
        <v>261.77</v>
      </c>
      <c r="I228" s="195" t="str">
        <f>RIGHT(B226,4)</f>
        <v>2007</v>
      </c>
      <c r="J228" s="201" t="s">
        <v>710</v>
      </c>
    </row>
    <row r="229" spans="1:10">
      <c r="A229" s="195" t="s">
        <v>41</v>
      </c>
      <c r="C229" s="195">
        <v>28.26</v>
      </c>
      <c r="D229" s="195">
        <v>22.65</v>
      </c>
      <c r="E229" s="195">
        <v>344.01</v>
      </c>
      <c r="F229" s="195">
        <v>13.28</v>
      </c>
      <c r="G229" s="195">
        <v>139.21</v>
      </c>
      <c r="I229" s="195" t="str">
        <f>I228</f>
        <v>2007</v>
      </c>
      <c r="J229" s="204" t="s">
        <v>710</v>
      </c>
    </row>
    <row r="230" spans="1:10">
      <c r="A230" s="195" t="s">
        <v>44</v>
      </c>
      <c r="C230" s="195">
        <v>34.950000000000003</v>
      </c>
      <c r="D230" s="195">
        <v>124.12</v>
      </c>
      <c r="E230" s="195">
        <v>313.02</v>
      </c>
      <c r="F230" s="195">
        <v>16.78</v>
      </c>
      <c r="G230" s="195">
        <v>235.83</v>
      </c>
      <c r="I230" s="195" t="str">
        <f t="shared" ref="I230:I232" si="17">I229</f>
        <v>2007</v>
      </c>
      <c r="J230" s="204" t="s">
        <v>710</v>
      </c>
    </row>
    <row r="231" spans="1:10">
      <c r="A231" s="195" t="s">
        <v>47</v>
      </c>
      <c r="C231" s="195">
        <v>236.68</v>
      </c>
      <c r="D231" s="195">
        <v>375.79</v>
      </c>
      <c r="E231" s="195">
        <v>1511.35</v>
      </c>
      <c r="F231" s="195">
        <v>49.48</v>
      </c>
      <c r="G231" s="195">
        <v>291.20999999999998</v>
      </c>
      <c r="I231" s="195" t="str">
        <f t="shared" si="17"/>
        <v>2007</v>
      </c>
      <c r="J231" s="204" t="s">
        <v>710</v>
      </c>
    </row>
    <row r="232" spans="1:10">
      <c r="A232" s="195" t="s">
        <v>50</v>
      </c>
      <c r="C232" s="195">
        <v>165.35</v>
      </c>
      <c r="D232" s="195">
        <v>648.20000000000005</v>
      </c>
      <c r="E232" s="195">
        <v>1995.94</v>
      </c>
      <c r="F232" s="195">
        <v>123.56</v>
      </c>
      <c r="G232" s="195">
        <v>201.85</v>
      </c>
      <c r="I232" s="195" t="str">
        <f t="shared" si="17"/>
        <v>2007</v>
      </c>
      <c r="J232" s="204" t="s">
        <v>710</v>
      </c>
    </row>
    <row r="233" spans="1:10">
      <c r="A233" s="195" t="s">
        <v>737</v>
      </c>
    </row>
    <row r="234" spans="1:10">
      <c r="A234" s="195" t="s">
        <v>38</v>
      </c>
      <c r="C234" s="195">
        <v>42.11</v>
      </c>
      <c r="D234" s="195">
        <v>42.11</v>
      </c>
      <c r="E234" s="195">
        <v>42.11</v>
      </c>
      <c r="F234" s="195">
        <v>42.11</v>
      </c>
      <c r="G234" s="195">
        <v>42.11</v>
      </c>
      <c r="I234" s="195" t="str">
        <f>I228</f>
        <v>2007</v>
      </c>
      <c r="J234" s="204" t="s">
        <v>153</v>
      </c>
    </row>
    <row r="235" spans="1:10">
      <c r="A235" s="195" t="s">
        <v>41</v>
      </c>
      <c r="C235" s="195">
        <v>40.119999999999997</v>
      </c>
      <c r="D235" s="195">
        <v>40.119999999999997</v>
      </c>
      <c r="E235" s="195">
        <v>40.119999999999997</v>
      </c>
      <c r="F235" s="195">
        <v>40.119999999999997</v>
      </c>
      <c r="G235" s="195">
        <v>40.119999999999997</v>
      </c>
      <c r="I235" s="195" t="str">
        <f>I229</f>
        <v>2007</v>
      </c>
      <c r="J235" s="204" t="s">
        <v>153</v>
      </c>
    </row>
    <row r="236" spans="1:10">
      <c r="A236" s="195" t="s">
        <v>44</v>
      </c>
      <c r="C236" s="195">
        <v>38.85</v>
      </c>
      <c r="D236" s="195">
        <v>38.85</v>
      </c>
      <c r="E236" s="195">
        <v>38.85</v>
      </c>
      <c r="F236" s="195">
        <v>38.85</v>
      </c>
      <c r="G236" s="195">
        <v>38.85</v>
      </c>
      <c r="I236" s="195" t="str">
        <f>I230</f>
        <v>2007</v>
      </c>
      <c r="J236" s="204" t="s">
        <v>153</v>
      </c>
    </row>
    <row r="237" spans="1:10">
      <c r="A237" s="195" t="s">
        <v>47</v>
      </c>
      <c r="C237" s="195">
        <v>37.5</v>
      </c>
      <c r="D237" s="195">
        <v>37.5</v>
      </c>
      <c r="E237" s="195">
        <v>37.5</v>
      </c>
      <c r="F237" s="195">
        <v>37.5</v>
      </c>
      <c r="G237" s="195">
        <v>37.5</v>
      </c>
      <c r="I237" s="195" t="str">
        <f>I231</f>
        <v>2007</v>
      </c>
      <c r="J237" s="204" t="s">
        <v>153</v>
      </c>
    </row>
    <row r="238" spans="1:10">
      <c r="A238" s="195" t="s">
        <v>50</v>
      </c>
      <c r="C238" s="195">
        <v>37.270000000000003</v>
      </c>
      <c r="D238" s="195">
        <v>37.270000000000003</v>
      </c>
      <c r="E238" s="195">
        <v>37.270000000000003</v>
      </c>
      <c r="F238" s="195">
        <v>37.270000000000003</v>
      </c>
      <c r="G238" s="195">
        <v>37.270000000000003</v>
      </c>
      <c r="I238" s="195" t="str">
        <f>I232</f>
        <v>2007</v>
      </c>
      <c r="J238" s="204" t="s">
        <v>153</v>
      </c>
    </row>
    <row r="239" spans="1:10">
      <c r="A239" s="195" t="s">
        <v>188</v>
      </c>
      <c r="B239" s="195">
        <v>2008</v>
      </c>
    </row>
    <row r="240" spans="1:10">
      <c r="A240" s="195" t="s">
        <v>736</v>
      </c>
    </row>
    <row r="241" spans="1:10">
      <c r="A241" s="195" t="s">
        <v>38</v>
      </c>
      <c r="C241" s="195">
        <v>860.91</v>
      </c>
      <c r="D241" s="195">
        <v>341.51</v>
      </c>
      <c r="E241" s="195">
        <v>1292.69</v>
      </c>
      <c r="F241" s="195">
        <v>29.67</v>
      </c>
      <c r="G241" s="195">
        <v>203.91</v>
      </c>
      <c r="I241" s="195" t="str">
        <f>RIGHT(B239,4)</f>
        <v>2008</v>
      </c>
      <c r="J241" s="201" t="s">
        <v>710</v>
      </c>
    </row>
    <row r="242" spans="1:10">
      <c r="A242" s="195" t="s">
        <v>41</v>
      </c>
      <c r="C242" s="195">
        <v>44.02</v>
      </c>
      <c r="D242" s="195">
        <v>36.4</v>
      </c>
      <c r="E242" s="195">
        <v>266.58</v>
      </c>
      <c r="F242" s="195">
        <v>13.81</v>
      </c>
      <c r="G242" s="195">
        <v>79.52</v>
      </c>
      <c r="I242" s="195" t="str">
        <f>I241</f>
        <v>2008</v>
      </c>
      <c r="J242" s="204" t="s">
        <v>710</v>
      </c>
    </row>
    <row r="243" spans="1:10">
      <c r="A243" s="195" t="s">
        <v>44</v>
      </c>
      <c r="C243" s="195">
        <v>87.52</v>
      </c>
      <c r="D243" s="195">
        <v>180.21</v>
      </c>
      <c r="E243" s="195">
        <v>353.42</v>
      </c>
      <c r="F243" s="195">
        <v>9.32</v>
      </c>
      <c r="G243" s="195">
        <v>227.49</v>
      </c>
      <c r="I243" s="195" t="str">
        <f t="shared" ref="I243:I245" si="18">I242</f>
        <v>2008</v>
      </c>
      <c r="J243" s="204" t="s">
        <v>710</v>
      </c>
    </row>
    <row r="244" spans="1:10">
      <c r="A244" s="195" t="s">
        <v>47</v>
      </c>
      <c r="C244" s="195">
        <v>207.7</v>
      </c>
      <c r="D244" s="195">
        <v>337.97</v>
      </c>
      <c r="E244" s="195">
        <v>1640.73</v>
      </c>
      <c r="F244" s="195">
        <v>18.149999999999999</v>
      </c>
      <c r="G244" s="195">
        <v>412.5</v>
      </c>
      <c r="I244" s="195" t="str">
        <f t="shared" si="18"/>
        <v>2008</v>
      </c>
      <c r="J244" s="204" t="s">
        <v>710</v>
      </c>
    </row>
    <row r="245" spans="1:10">
      <c r="A245" s="195" t="s">
        <v>50</v>
      </c>
      <c r="C245" s="195">
        <v>134.02000000000001</v>
      </c>
      <c r="D245" s="195">
        <v>734.96</v>
      </c>
      <c r="E245" s="195">
        <v>1814.45</v>
      </c>
      <c r="F245" s="195">
        <v>176.21</v>
      </c>
      <c r="G245" s="195">
        <v>279.33999999999997</v>
      </c>
      <c r="I245" s="195" t="str">
        <f t="shared" si="18"/>
        <v>2008</v>
      </c>
      <c r="J245" s="204" t="s">
        <v>710</v>
      </c>
    </row>
    <row r="246" spans="1:10">
      <c r="A246" s="195" t="s">
        <v>737</v>
      </c>
    </row>
    <row r="247" spans="1:10">
      <c r="A247" s="195" t="s">
        <v>38</v>
      </c>
      <c r="C247" s="195">
        <v>49.76</v>
      </c>
      <c r="D247" s="195">
        <v>49.76</v>
      </c>
      <c r="E247" s="195">
        <v>49.76</v>
      </c>
      <c r="F247" s="195">
        <v>49.76</v>
      </c>
      <c r="G247" s="195">
        <v>49.76</v>
      </c>
      <c r="I247" s="195" t="str">
        <f>I241</f>
        <v>2008</v>
      </c>
      <c r="J247" s="204" t="s">
        <v>153</v>
      </c>
    </row>
    <row r="248" spans="1:10">
      <c r="A248" s="195" t="s">
        <v>41</v>
      </c>
      <c r="C248" s="195">
        <v>41.12</v>
      </c>
      <c r="D248" s="195">
        <v>41.12</v>
      </c>
      <c r="E248" s="195">
        <v>41.12</v>
      </c>
      <c r="F248" s="195">
        <v>41.12</v>
      </c>
      <c r="G248" s="195">
        <v>41.12</v>
      </c>
      <c r="I248" s="195" t="str">
        <f>I242</f>
        <v>2008</v>
      </c>
      <c r="J248" s="204" t="s">
        <v>153</v>
      </c>
    </row>
    <row r="249" spans="1:10">
      <c r="A249" s="195" t="s">
        <v>44</v>
      </c>
      <c r="C249" s="195">
        <v>41.16</v>
      </c>
      <c r="D249" s="195">
        <v>41.16</v>
      </c>
      <c r="E249" s="195">
        <v>41.16</v>
      </c>
      <c r="F249" s="195">
        <v>41.16</v>
      </c>
      <c r="G249" s="195">
        <v>41.16</v>
      </c>
      <c r="I249" s="195" t="str">
        <f>I243</f>
        <v>2008</v>
      </c>
      <c r="J249" s="204" t="s">
        <v>153</v>
      </c>
    </row>
    <row r="250" spans="1:10">
      <c r="A250" s="195" t="s">
        <v>47</v>
      </c>
      <c r="C250" s="195">
        <v>38.369999999999997</v>
      </c>
      <c r="D250" s="195">
        <v>38.369999999999997</v>
      </c>
      <c r="E250" s="195">
        <v>38.369999999999997</v>
      </c>
      <c r="F250" s="195">
        <v>38.369999999999997</v>
      </c>
      <c r="G250" s="195">
        <v>38.369999999999997</v>
      </c>
      <c r="I250" s="195" t="str">
        <f>I244</f>
        <v>2008</v>
      </c>
      <c r="J250" s="204" t="s">
        <v>153</v>
      </c>
    </row>
    <row r="251" spans="1:10">
      <c r="A251" s="195" t="s">
        <v>50</v>
      </c>
      <c r="C251" s="195">
        <v>38.07</v>
      </c>
      <c r="D251" s="195">
        <v>38.07</v>
      </c>
      <c r="E251" s="195">
        <v>38.07</v>
      </c>
      <c r="F251" s="195">
        <v>38.07</v>
      </c>
      <c r="G251" s="195">
        <v>38.07</v>
      </c>
      <c r="I251" s="195" t="str">
        <f>I245</f>
        <v>2008</v>
      </c>
      <c r="J251" s="204" t="s">
        <v>153</v>
      </c>
    </row>
    <row r="252" spans="1:10">
      <c r="A252" s="195" t="s">
        <v>188</v>
      </c>
      <c r="B252" s="195">
        <v>2009</v>
      </c>
    </row>
    <row r="253" spans="1:10">
      <c r="A253" s="195" t="s">
        <v>736</v>
      </c>
    </row>
    <row r="254" spans="1:10">
      <c r="A254" s="195" t="s">
        <v>38</v>
      </c>
      <c r="C254" s="195">
        <v>839.54</v>
      </c>
      <c r="D254" s="195">
        <v>370.61</v>
      </c>
      <c r="E254" s="195">
        <v>1338.88</v>
      </c>
      <c r="F254" s="195">
        <v>34.909999999999997</v>
      </c>
      <c r="G254" s="195">
        <v>268.45</v>
      </c>
      <c r="I254" s="195" t="str">
        <f>RIGHT(B252,4)</f>
        <v>2009</v>
      </c>
      <c r="J254" s="201" t="s">
        <v>710</v>
      </c>
    </row>
    <row r="255" spans="1:10">
      <c r="A255" s="195" t="s">
        <v>41</v>
      </c>
      <c r="C255" s="195">
        <v>60.89</v>
      </c>
      <c r="D255" s="195">
        <v>34.33</v>
      </c>
      <c r="E255" s="195">
        <v>383.18</v>
      </c>
      <c r="F255" s="195">
        <v>21.58</v>
      </c>
      <c r="G255" s="195">
        <v>84.57</v>
      </c>
      <c r="I255" s="195" t="str">
        <f>I254</f>
        <v>2009</v>
      </c>
      <c r="J255" s="204" t="s">
        <v>710</v>
      </c>
    </row>
    <row r="256" spans="1:10">
      <c r="A256" s="195" t="s">
        <v>44</v>
      </c>
      <c r="C256" s="195">
        <v>79.23</v>
      </c>
      <c r="D256" s="195">
        <v>133.55000000000001</v>
      </c>
      <c r="E256" s="195">
        <v>282.39999999999998</v>
      </c>
      <c r="F256" s="195">
        <v>2.09</v>
      </c>
      <c r="G256" s="195">
        <v>191.63</v>
      </c>
      <c r="I256" s="195" t="str">
        <f t="shared" ref="I256:I258" si="19">I255</f>
        <v>2009</v>
      </c>
      <c r="J256" s="204" t="s">
        <v>710</v>
      </c>
    </row>
    <row r="257" spans="1:10">
      <c r="A257" s="195" t="s">
        <v>47</v>
      </c>
      <c r="C257" s="195">
        <v>123.8</v>
      </c>
      <c r="D257" s="195">
        <v>269.3</v>
      </c>
      <c r="E257" s="195">
        <v>1092.6500000000001</v>
      </c>
      <c r="F257" s="195">
        <v>52.49</v>
      </c>
      <c r="G257" s="195">
        <v>271.38</v>
      </c>
      <c r="I257" s="195" t="str">
        <f t="shared" si="19"/>
        <v>2009</v>
      </c>
      <c r="J257" s="204" t="s">
        <v>710</v>
      </c>
    </row>
    <row r="258" spans="1:10">
      <c r="A258" s="195" t="s">
        <v>50</v>
      </c>
      <c r="C258" s="195">
        <v>84.21</v>
      </c>
      <c r="D258" s="195">
        <v>667.51</v>
      </c>
      <c r="E258" s="195">
        <v>2041.72</v>
      </c>
      <c r="F258" s="195">
        <v>105.07</v>
      </c>
      <c r="G258" s="195">
        <v>179.02</v>
      </c>
      <c r="I258" s="195" t="str">
        <f t="shared" si="19"/>
        <v>2009</v>
      </c>
      <c r="J258" s="204" t="s">
        <v>710</v>
      </c>
    </row>
    <row r="259" spans="1:10">
      <c r="A259" s="195" t="s">
        <v>737</v>
      </c>
    </row>
    <row r="260" spans="1:10">
      <c r="A260" s="195" t="s">
        <v>38</v>
      </c>
      <c r="C260" s="195">
        <v>47.06</v>
      </c>
      <c r="D260" s="195">
        <v>47.06</v>
      </c>
      <c r="E260" s="195">
        <v>47.06</v>
      </c>
      <c r="F260" s="195">
        <v>47.06</v>
      </c>
      <c r="G260" s="195">
        <v>47.06</v>
      </c>
      <c r="I260" s="195" t="str">
        <f>I254</f>
        <v>2009</v>
      </c>
      <c r="J260" s="204" t="s">
        <v>153</v>
      </c>
    </row>
    <row r="261" spans="1:10">
      <c r="A261" s="195" t="s">
        <v>41</v>
      </c>
      <c r="C261" s="195">
        <v>38.78</v>
      </c>
      <c r="D261" s="195">
        <v>38.78</v>
      </c>
      <c r="E261" s="195">
        <v>38.78</v>
      </c>
      <c r="F261" s="195">
        <v>38.78</v>
      </c>
      <c r="G261" s="195">
        <v>38.78</v>
      </c>
      <c r="I261" s="195" t="str">
        <f>I255</f>
        <v>2009</v>
      </c>
      <c r="J261" s="204" t="s">
        <v>153</v>
      </c>
    </row>
    <row r="262" spans="1:10">
      <c r="A262" s="195" t="s">
        <v>44</v>
      </c>
      <c r="C262" s="195">
        <v>38.83</v>
      </c>
      <c r="D262" s="195">
        <v>38.83</v>
      </c>
      <c r="E262" s="195">
        <v>38.83</v>
      </c>
      <c r="F262" s="195">
        <v>38.83</v>
      </c>
      <c r="G262" s="195">
        <v>38.83</v>
      </c>
      <c r="I262" s="195" t="str">
        <f>I256</f>
        <v>2009</v>
      </c>
      <c r="J262" s="204" t="s">
        <v>153</v>
      </c>
    </row>
    <row r="263" spans="1:10">
      <c r="A263" s="195" t="s">
        <v>47</v>
      </c>
      <c r="C263" s="195">
        <v>36.06</v>
      </c>
      <c r="D263" s="195">
        <v>36.06</v>
      </c>
      <c r="E263" s="195">
        <v>36.06</v>
      </c>
      <c r="F263" s="195">
        <v>36.06</v>
      </c>
      <c r="G263" s="195">
        <v>36.06</v>
      </c>
      <c r="I263" s="195" t="str">
        <f>I257</f>
        <v>2009</v>
      </c>
      <c r="J263" s="204" t="s">
        <v>153</v>
      </c>
    </row>
    <row r="264" spans="1:10">
      <c r="A264" s="195" t="s">
        <v>50</v>
      </c>
      <c r="C264" s="195">
        <v>35.76</v>
      </c>
      <c r="D264" s="195">
        <v>35.76</v>
      </c>
      <c r="E264" s="195">
        <v>35.76</v>
      </c>
      <c r="F264" s="195">
        <v>35.76</v>
      </c>
      <c r="G264" s="195">
        <v>35.76</v>
      </c>
      <c r="I264" s="195" t="str">
        <f>I258</f>
        <v>2009</v>
      </c>
      <c r="J264" s="204" t="s">
        <v>153</v>
      </c>
    </row>
    <row r="265" spans="1:10">
      <c r="A265" s="195" t="s">
        <v>188</v>
      </c>
      <c r="B265" s="195">
        <v>2010</v>
      </c>
    </row>
    <row r="266" spans="1:10">
      <c r="A266" s="195" t="s">
        <v>736</v>
      </c>
    </row>
    <row r="267" spans="1:10">
      <c r="A267" s="195" t="s">
        <v>38</v>
      </c>
      <c r="C267" s="195">
        <v>891.61</v>
      </c>
      <c r="D267" s="195">
        <v>369.94</v>
      </c>
      <c r="E267" s="195">
        <v>1310.29</v>
      </c>
      <c r="F267" s="195">
        <v>38.9</v>
      </c>
      <c r="G267" s="195">
        <v>263.88</v>
      </c>
      <c r="I267" s="195" t="str">
        <f>RIGHT(B265,4)</f>
        <v>2010</v>
      </c>
      <c r="J267" s="201" t="s">
        <v>710</v>
      </c>
    </row>
    <row r="268" spans="1:10">
      <c r="A268" s="195" t="s">
        <v>41</v>
      </c>
      <c r="C268" s="195">
        <v>50.87</v>
      </c>
      <c r="D268" s="195">
        <v>34.909999999999997</v>
      </c>
      <c r="E268" s="195">
        <v>425.12</v>
      </c>
      <c r="F268" s="195">
        <v>25.12</v>
      </c>
      <c r="G268" s="195">
        <v>122.95</v>
      </c>
      <c r="I268" s="195" t="str">
        <f>I267</f>
        <v>2010</v>
      </c>
      <c r="J268" s="204" t="s">
        <v>710</v>
      </c>
    </row>
    <row r="269" spans="1:10">
      <c r="A269" s="195" t="s">
        <v>44</v>
      </c>
      <c r="C269" s="195">
        <v>79.84</v>
      </c>
      <c r="D269" s="195">
        <v>118.79</v>
      </c>
      <c r="E269" s="195">
        <v>328.69</v>
      </c>
      <c r="F269" s="195">
        <v>1.29</v>
      </c>
      <c r="G269" s="195">
        <v>204.66</v>
      </c>
      <c r="I269" s="195" t="str">
        <f t="shared" ref="I269:I271" si="20">I268</f>
        <v>2010</v>
      </c>
      <c r="J269" s="204" t="s">
        <v>710</v>
      </c>
    </row>
    <row r="270" spans="1:10">
      <c r="A270" s="195" t="s">
        <v>47</v>
      </c>
      <c r="C270" s="195">
        <v>128.74</v>
      </c>
      <c r="D270" s="195">
        <v>243.83</v>
      </c>
      <c r="E270" s="195">
        <v>1078.94</v>
      </c>
      <c r="F270" s="195">
        <v>43.33</v>
      </c>
      <c r="G270" s="195">
        <v>245.37</v>
      </c>
      <c r="I270" s="195" t="str">
        <f t="shared" si="20"/>
        <v>2010</v>
      </c>
      <c r="J270" s="204" t="s">
        <v>710</v>
      </c>
    </row>
    <row r="271" spans="1:10">
      <c r="A271" s="195" t="s">
        <v>50</v>
      </c>
      <c r="C271" s="195">
        <v>63.32</v>
      </c>
      <c r="D271" s="195">
        <v>699.11</v>
      </c>
      <c r="E271" s="195">
        <v>2083.44</v>
      </c>
      <c r="F271" s="195">
        <v>115.78</v>
      </c>
      <c r="G271" s="195">
        <v>185.27</v>
      </c>
      <c r="I271" s="195" t="str">
        <f t="shared" si="20"/>
        <v>2010</v>
      </c>
      <c r="J271" s="204" t="s">
        <v>710</v>
      </c>
    </row>
    <row r="272" spans="1:10">
      <c r="A272" s="195" t="s">
        <v>737</v>
      </c>
    </row>
    <row r="273" spans="1:10">
      <c r="A273" s="195" t="s">
        <v>38</v>
      </c>
      <c r="C273" s="195">
        <v>44.35</v>
      </c>
      <c r="D273" s="195">
        <v>44.35</v>
      </c>
      <c r="E273" s="195">
        <v>44.35</v>
      </c>
      <c r="F273" s="195">
        <v>44.35</v>
      </c>
      <c r="G273" s="195">
        <v>44.35</v>
      </c>
      <c r="I273" s="195" t="str">
        <f>I267</f>
        <v>2010</v>
      </c>
      <c r="J273" s="204" t="s">
        <v>153</v>
      </c>
    </row>
    <row r="274" spans="1:10">
      <c r="A274" s="195" t="s">
        <v>41</v>
      </c>
      <c r="C274" s="195">
        <v>36.44</v>
      </c>
      <c r="D274" s="195">
        <v>36.44</v>
      </c>
      <c r="E274" s="195">
        <v>36.44</v>
      </c>
      <c r="F274" s="195">
        <v>36.44</v>
      </c>
      <c r="G274" s="195">
        <v>36.44</v>
      </c>
      <c r="I274" s="195" t="str">
        <f>I268</f>
        <v>2010</v>
      </c>
      <c r="J274" s="204" t="s">
        <v>153</v>
      </c>
    </row>
    <row r="275" spans="1:10">
      <c r="A275" s="195" t="s">
        <v>44</v>
      </c>
      <c r="C275" s="195">
        <v>36.5</v>
      </c>
      <c r="D275" s="195">
        <v>36.5</v>
      </c>
      <c r="E275" s="195">
        <v>36.5</v>
      </c>
      <c r="F275" s="195">
        <v>36.5</v>
      </c>
      <c r="G275" s="195">
        <v>36.5</v>
      </c>
      <c r="I275" s="195" t="str">
        <f>I269</f>
        <v>2010</v>
      </c>
      <c r="J275" s="204" t="s">
        <v>153</v>
      </c>
    </row>
    <row r="276" spans="1:10">
      <c r="A276" s="195" t="s">
        <v>47</v>
      </c>
      <c r="C276" s="195">
        <v>33.75</v>
      </c>
      <c r="D276" s="195">
        <v>33.75</v>
      </c>
      <c r="E276" s="195">
        <v>33.75</v>
      </c>
      <c r="F276" s="195">
        <v>33.75</v>
      </c>
      <c r="G276" s="195">
        <v>33.75</v>
      </c>
      <c r="I276" s="195" t="str">
        <f>I270</f>
        <v>2010</v>
      </c>
      <c r="J276" s="204" t="s">
        <v>153</v>
      </c>
    </row>
    <row r="277" spans="1:10">
      <c r="A277" s="195" t="s">
        <v>50</v>
      </c>
      <c r="C277" s="195">
        <v>33.450000000000003</v>
      </c>
      <c r="D277" s="195">
        <v>33.450000000000003</v>
      </c>
      <c r="E277" s="195">
        <v>33.450000000000003</v>
      </c>
      <c r="F277" s="195">
        <v>33.450000000000003</v>
      </c>
      <c r="G277" s="195">
        <v>33.450000000000003</v>
      </c>
      <c r="I277" s="195" t="str">
        <f>I271</f>
        <v>2010</v>
      </c>
      <c r="J277" s="204" t="s">
        <v>153</v>
      </c>
    </row>
    <row r="278" spans="1:10">
      <c r="A278" s="195" t="s">
        <v>188</v>
      </c>
      <c r="B278" s="195">
        <v>2011</v>
      </c>
      <c r="J278" s="204"/>
    </row>
    <row r="279" spans="1:10">
      <c r="A279" s="195" t="s">
        <v>736</v>
      </c>
      <c r="J279" s="204"/>
    </row>
    <row r="280" spans="1:10">
      <c r="A280" s="195" t="s">
        <v>38</v>
      </c>
      <c r="C280" s="195">
        <v>12.23</v>
      </c>
      <c r="D280" s="195">
        <v>1.71</v>
      </c>
      <c r="E280" s="195">
        <v>15.44</v>
      </c>
      <c r="F280" s="195">
        <v>1.02</v>
      </c>
      <c r="G280" s="195">
        <v>2.2999999999999998</v>
      </c>
      <c r="I280" s="195" t="str">
        <f>RIGHT(B278,4)</f>
        <v>2011</v>
      </c>
      <c r="J280" s="201" t="s">
        <v>710</v>
      </c>
    </row>
    <row r="281" spans="1:10">
      <c r="A281" s="195" t="s">
        <v>41</v>
      </c>
      <c r="C281" s="195">
        <v>14.46</v>
      </c>
      <c r="D281" s="195">
        <v>3.57</v>
      </c>
      <c r="E281" s="195">
        <v>121.35</v>
      </c>
      <c r="F281" s="195">
        <v>2.13</v>
      </c>
      <c r="G281" s="195">
        <v>28.05</v>
      </c>
      <c r="I281" s="195" t="str">
        <f>I280</f>
        <v>2011</v>
      </c>
      <c r="J281" s="204" t="s">
        <v>710</v>
      </c>
    </row>
    <row r="282" spans="1:10">
      <c r="A282" s="195" t="s">
        <v>44</v>
      </c>
      <c r="C282" s="195">
        <v>10.29</v>
      </c>
      <c r="D282" s="195">
        <v>48.21</v>
      </c>
      <c r="E282" s="195">
        <v>101.91</v>
      </c>
      <c r="F282" s="195">
        <v>9.4700000000000006</v>
      </c>
      <c r="G282" s="195">
        <v>22.68</v>
      </c>
      <c r="I282" s="195" t="str">
        <f t="shared" ref="I282:I284" si="21">I281</f>
        <v>2011</v>
      </c>
      <c r="J282" s="204" t="s">
        <v>710</v>
      </c>
    </row>
    <row r="283" spans="1:10">
      <c r="A283" s="195" t="s">
        <v>47</v>
      </c>
      <c r="C283" s="195">
        <v>42.27</v>
      </c>
      <c r="D283" s="195">
        <v>41.07</v>
      </c>
      <c r="E283" s="195">
        <v>399.75</v>
      </c>
      <c r="F283" s="195">
        <v>20.41</v>
      </c>
      <c r="G283" s="195">
        <v>52.65</v>
      </c>
      <c r="I283" s="195" t="str">
        <f t="shared" si="21"/>
        <v>2011</v>
      </c>
      <c r="J283" s="204" t="s">
        <v>710</v>
      </c>
    </row>
    <row r="284" spans="1:10">
      <c r="A284" s="195" t="s">
        <v>50</v>
      </c>
      <c r="C284" s="195">
        <v>19.71</v>
      </c>
      <c r="D284" s="195">
        <v>40.51</v>
      </c>
      <c r="E284" s="195">
        <v>92.03</v>
      </c>
      <c r="F284" s="195">
        <v>4.9000000000000004</v>
      </c>
      <c r="G284" s="195">
        <v>18.77</v>
      </c>
      <c r="I284" s="195" t="str">
        <f t="shared" si="21"/>
        <v>2011</v>
      </c>
      <c r="J284" s="204" t="s">
        <v>710</v>
      </c>
    </row>
    <row r="285" spans="1:10">
      <c r="A285" s="195" t="s">
        <v>737</v>
      </c>
    </row>
    <row r="286" spans="1:10">
      <c r="A286" s="195" t="s">
        <v>38</v>
      </c>
      <c r="C286" s="195">
        <v>41.92</v>
      </c>
      <c r="D286" s="195">
        <v>41.92</v>
      </c>
      <c r="E286" s="195">
        <v>41.92</v>
      </c>
      <c r="F286" s="195">
        <v>41.92</v>
      </c>
      <c r="G286" s="195">
        <v>41.92</v>
      </c>
      <c r="I286" s="195" t="str">
        <f>I280</f>
        <v>2011</v>
      </c>
      <c r="J286" s="204" t="s">
        <v>153</v>
      </c>
    </row>
    <row r="287" spans="1:10">
      <c r="A287" s="195" t="s">
        <v>41</v>
      </c>
      <c r="C287" s="195">
        <v>34.33</v>
      </c>
      <c r="D287" s="195">
        <v>34.33</v>
      </c>
      <c r="E287" s="195">
        <v>34.33</v>
      </c>
      <c r="F287" s="195">
        <v>34.33</v>
      </c>
      <c r="G287" s="195">
        <v>34.33</v>
      </c>
      <c r="I287" s="195" t="str">
        <f>I281</f>
        <v>2011</v>
      </c>
      <c r="J287" s="204" t="s">
        <v>153</v>
      </c>
    </row>
    <row r="288" spans="1:10">
      <c r="A288" s="195" t="s">
        <v>44</v>
      </c>
      <c r="C288" s="195">
        <v>34.409999999999997</v>
      </c>
      <c r="D288" s="195">
        <v>34.409999999999997</v>
      </c>
      <c r="E288" s="195">
        <v>34.409999999999997</v>
      </c>
      <c r="F288" s="195">
        <v>34.409999999999997</v>
      </c>
      <c r="G288" s="195">
        <v>34.409999999999997</v>
      </c>
      <c r="I288" s="195" t="str">
        <f>I282</f>
        <v>2011</v>
      </c>
      <c r="J288" s="204" t="s">
        <v>153</v>
      </c>
    </row>
    <row r="289" spans="1:10">
      <c r="A289" s="195" t="s">
        <v>47</v>
      </c>
      <c r="C289" s="195">
        <v>31.67</v>
      </c>
      <c r="D289" s="195">
        <v>31.67</v>
      </c>
      <c r="E289" s="195">
        <v>31.67</v>
      </c>
      <c r="F289" s="195">
        <v>31.67</v>
      </c>
      <c r="G289" s="195">
        <v>31.67</v>
      </c>
      <c r="I289" s="195" t="str">
        <f>I283</f>
        <v>2011</v>
      </c>
      <c r="J289" s="204" t="s">
        <v>153</v>
      </c>
    </row>
    <row r="290" spans="1:10">
      <c r="A290" s="195" t="s">
        <v>50</v>
      </c>
      <c r="C290" s="195">
        <v>31.37</v>
      </c>
      <c r="D290" s="195">
        <v>31.37</v>
      </c>
      <c r="E290" s="195">
        <v>31.37</v>
      </c>
      <c r="F290" s="195">
        <v>31.37</v>
      </c>
      <c r="G290" s="195">
        <v>31.37</v>
      </c>
      <c r="I290" s="195" t="str">
        <f>I284</f>
        <v>2011</v>
      </c>
      <c r="J290" s="204" t="s">
        <v>153</v>
      </c>
    </row>
    <row r="291" spans="1:10">
      <c r="A291" s="195" t="s">
        <v>188</v>
      </c>
      <c r="B291" s="195">
        <v>2012</v>
      </c>
    </row>
    <row r="292" spans="1:10">
      <c r="A292" s="195" t="s">
        <v>736</v>
      </c>
    </row>
    <row r="293" spans="1:10">
      <c r="A293" s="195" t="s">
        <v>38</v>
      </c>
      <c r="C293" s="195">
        <v>12.47</v>
      </c>
      <c r="D293" s="195">
        <v>1.75</v>
      </c>
      <c r="E293" s="195">
        <v>15.75</v>
      </c>
      <c r="F293" s="195">
        <v>1.04</v>
      </c>
      <c r="G293" s="195">
        <v>2.35</v>
      </c>
      <c r="I293" s="195" t="str">
        <f>RIGHT(B291,4)</f>
        <v>2012</v>
      </c>
      <c r="J293" s="201" t="s">
        <v>710</v>
      </c>
    </row>
    <row r="294" spans="1:10">
      <c r="A294" s="195" t="s">
        <v>41</v>
      </c>
      <c r="C294" s="195">
        <v>14.75</v>
      </c>
      <c r="D294" s="195">
        <v>3.64</v>
      </c>
      <c r="E294" s="195">
        <v>123.78</v>
      </c>
      <c r="F294" s="195">
        <v>2.17</v>
      </c>
      <c r="G294" s="195">
        <v>28.61</v>
      </c>
      <c r="I294" s="195" t="str">
        <f>I293</f>
        <v>2012</v>
      </c>
      <c r="J294" s="204" t="s">
        <v>710</v>
      </c>
    </row>
    <row r="295" spans="1:10">
      <c r="A295" s="195" t="s">
        <v>44</v>
      </c>
      <c r="C295" s="195">
        <v>10.5</v>
      </c>
      <c r="D295" s="195">
        <v>49.18</v>
      </c>
      <c r="E295" s="195">
        <v>60.29</v>
      </c>
      <c r="F295" s="195">
        <v>9.66</v>
      </c>
      <c r="G295" s="195">
        <v>23.14</v>
      </c>
      <c r="I295" s="195" t="str">
        <f t="shared" ref="I295:I297" si="22">I294</f>
        <v>2012</v>
      </c>
      <c r="J295" s="204" t="s">
        <v>710</v>
      </c>
    </row>
    <row r="296" spans="1:10">
      <c r="A296" s="195" t="s">
        <v>47</v>
      </c>
      <c r="C296" s="195">
        <v>43.11</v>
      </c>
      <c r="D296" s="195">
        <v>41.89</v>
      </c>
      <c r="E296" s="195">
        <v>407.75</v>
      </c>
      <c r="F296" s="195">
        <v>20.82</v>
      </c>
      <c r="G296" s="195">
        <v>53.7</v>
      </c>
      <c r="I296" s="195" t="str">
        <f t="shared" si="22"/>
        <v>2012</v>
      </c>
      <c r="J296" s="204" t="s">
        <v>710</v>
      </c>
    </row>
    <row r="297" spans="1:10">
      <c r="A297" s="195" t="s">
        <v>50</v>
      </c>
      <c r="C297" s="195">
        <v>20.11</v>
      </c>
      <c r="D297" s="195">
        <v>41.32</v>
      </c>
      <c r="E297" s="195">
        <v>93.87</v>
      </c>
      <c r="F297" s="195">
        <v>5</v>
      </c>
      <c r="G297" s="195">
        <v>19.14</v>
      </c>
      <c r="I297" s="195" t="str">
        <f t="shared" si="22"/>
        <v>2012</v>
      </c>
      <c r="J297" s="204" t="s">
        <v>710</v>
      </c>
    </row>
    <row r="298" spans="1:10">
      <c r="A298" s="195" t="s">
        <v>737</v>
      </c>
    </row>
    <row r="299" spans="1:10">
      <c r="A299" s="195" t="s">
        <v>38</v>
      </c>
      <c r="C299" s="195">
        <v>39.89</v>
      </c>
      <c r="D299" s="195">
        <v>39.89</v>
      </c>
      <c r="E299" s="195">
        <v>39.89</v>
      </c>
      <c r="F299" s="195">
        <v>39.89</v>
      </c>
      <c r="G299" s="195">
        <v>39.89</v>
      </c>
      <c r="I299" s="195" t="str">
        <f>I293</f>
        <v>2012</v>
      </c>
      <c r="J299" s="204" t="s">
        <v>153</v>
      </c>
    </row>
    <row r="300" spans="1:10">
      <c r="A300" s="195" t="s">
        <v>41</v>
      </c>
      <c r="C300" s="195">
        <v>32.57</v>
      </c>
      <c r="D300" s="195">
        <v>32.57</v>
      </c>
      <c r="E300" s="195">
        <v>32.57</v>
      </c>
      <c r="F300" s="195">
        <v>32.57</v>
      </c>
      <c r="G300" s="195">
        <v>32.57</v>
      </c>
      <c r="I300" s="195" t="str">
        <f>I294</f>
        <v>2012</v>
      </c>
      <c r="J300" s="204" t="s">
        <v>153</v>
      </c>
    </row>
    <row r="301" spans="1:10">
      <c r="A301" s="195" t="s">
        <v>44</v>
      </c>
      <c r="C301" s="195">
        <v>32.659999999999997</v>
      </c>
      <c r="D301" s="195">
        <v>32.659999999999997</v>
      </c>
      <c r="E301" s="195">
        <v>32.659999999999997</v>
      </c>
      <c r="F301" s="195">
        <v>32.659999999999997</v>
      </c>
      <c r="G301" s="195">
        <v>32.659999999999997</v>
      </c>
      <c r="I301" s="195" t="str">
        <f>I295</f>
        <v>2012</v>
      </c>
      <c r="J301" s="204" t="s">
        <v>153</v>
      </c>
    </row>
    <row r="302" spans="1:10">
      <c r="A302" s="195" t="s">
        <v>47</v>
      </c>
      <c r="C302" s="195">
        <v>29.93</v>
      </c>
      <c r="D302" s="195">
        <v>29.93</v>
      </c>
      <c r="E302" s="195">
        <v>29.93</v>
      </c>
      <c r="F302" s="195">
        <v>29.93</v>
      </c>
      <c r="G302" s="195">
        <v>29.93</v>
      </c>
      <c r="I302" s="195" t="str">
        <f>I296</f>
        <v>2012</v>
      </c>
      <c r="J302" s="204" t="s">
        <v>153</v>
      </c>
    </row>
    <row r="303" spans="1:10">
      <c r="A303" s="195" t="s">
        <v>50</v>
      </c>
      <c r="C303" s="195">
        <v>29.64</v>
      </c>
      <c r="D303" s="195">
        <v>29.64</v>
      </c>
      <c r="E303" s="195">
        <v>29.64</v>
      </c>
      <c r="F303" s="195">
        <v>29.64</v>
      </c>
      <c r="G303" s="195">
        <v>29.64</v>
      </c>
      <c r="I303" s="195" t="str">
        <f>I297</f>
        <v>2012</v>
      </c>
      <c r="J303" s="204" t="s">
        <v>153</v>
      </c>
    </row>
    <row r="304" spans="1:10">
      <c r="A304" s="195" t="s">
        <v>188</v>
      </c>
      <c r="B304" s="195">
        <v>2013</v>
      </c>
    </row>
    <row r="305" spans="1:10">
      <c r="A305" s="195" t="s">
        <v>736</v>
      </c>
    </row>
    <row r="306" spans="1:10">
      <c r="A306" s="195" t="s">
        <v>38</v>
      </c>
      <c r="C306" s="195">
        <v>12.72</v>
      </c>
      <c r="D306" s="195">
        <v>1.78</v>
      </c>
      <c r="E306" s="195">
        <v>16.07</v>
      </c>
      <c r="F306" s="195">
        <v>1.06</v>
      </c>
      <c r="G306" s="195">
        <v>2.39</v>
      </c>
      <c r="I306" s="195" t="str">
        <f>RIGHT(B304,4)</f>
        <v>2013</v>
      </c>
      <c r="J306" s="201" t="s">
        <v>710</v>
      </c>
    </row>
    <row r="307" spans="1:10">
      <c r="A307" s="195" t="s">
        <v>41</v>
      </c>
      <c r="C307" s="195">
        <v>15.05</v>
      </c>
      <c r="D307" s="195">
        <v>3.71</v>
      </c>
      <c r="E307" s="195">
        <v>126.26</v>
      </c>
      <c r="F307" s="195">
        <v>2.21</v>
      </c>
      <c r="G307" s="195">
        <v>29.18</v>
      </c>
      <c r="I307" s="195" t="str">
        <f>I306</f>
        <v>2013</v>
      </c>
      <c r="J307" s="204" t="s">
        <v>710</v>
      </c>
    </row>
    <row r="308" spans="1:10">
      <c r="A308" s="195" t="s">
        <v>44</v>
      </c>
      <c r="C308" s="195">
        <v>7.71</v>
      </c>
      <c r="D308" s="195">
        <v>29.09</v>
      </c>
      <c r="E308" s="195">
        <v>61.49</v>
      </c>
      <c r="F308" s="195">
        <v>9.85</v>
      </c>
      <c r="G308" s="195">
        <v>23.6</v>
      </c>
      <c r="I308" s="195" t="str">
        <f t="shared" ref="I308:I310" si="23">I307</f>
        <v>2013</v>
      </c>
      <c r="J308" s="204" t="s">
        <v>710</v>
      </c>
    </row>
    <row r="309" spans="1:10">
      <c r="A309" s="195" t="s">
        <v>47</v>
      </c>
      <c r="C309" s="195">
        <v>43.97</v>
      </c>
      <c r="D309" s="195">
        <v>42.73</v>
      </c>
      <c r="E309" s="195">
        <v>415.91</v>
      </c>
      <c r="F309" s="195">
        <v>21.23</v>
      </c>
      <c r="G309" s="195">
        <v>54.77</v>
      </c>
      <c r="I309" s="195" t="str">
        <f t="shared" si="23"/>
        <v>2013</v>
      </c>
      <c r="J309" s="204" t="s">
        <v>710</v>
      </c>
    </row>
    <row r="310" spans="1:10">
      <c r="A310" s="195" t="s">
        <v>50</v>
      </c>
      <c r="C310" s="195">
        <v>20.51</v>
      </c>
      <c r="D310" s="195">
        <v>42.15</v>
      </c>
      <c r="E310" s="195">
        <v>95.75</v>
      </c>
      <c r="F310" s="195">
        <v>5.0999999999999996</v>
      </c>
      <c r="G310" s="195">
        <v>19.53</v>
      </c>
      <c r="I310" s="195" t="str">
        <f t="shared" si="23"/>
        <v>2013</v>
      </c>
      <c r="J310" s="204" t="s">
        <v>710</v>
      </c>
    </row>
    <row r="311" spans="1:10">
      <c r="A311" s="195" t="s">
        <v>737</v>
      </c>
    </row>
    <row r="312" spans="1:10">
      <c r="A312" s="195" t="s">
        <v>38</v>
      </c>
      <c r="C312" s="195">
        <v>38.81</v>
      </c>
      <c r="D312" s="195">
        <v>38.81</v>
      </c>
      <c r="E312" s="195">
        <v>38.81</v>
      </c>
      <c r="F312" s="195">
        <v>38.81</v>
      </c>
      <c r="G312" s="195">
        <v>38.81</v>
      </c>
      <c r="I312" s="195" t="str">
        <f>I306</f>
        <v>2013</v>
      </c>
      <c r="J312" s="204" t="s">
        <v>153</v>
      </c>
    </row>
    <row r="313" spans="1:10">
      <c r="A313" s="195" t="s">
        <v>41</v>
      </c>
      <c r="C313" s="195">
        <v>31.63</v>
      </c>
      <c r="D313" s="195">
        <v>31.63</v>
      </c>
      <c r="E313" s="195">
        <v>31.63</v>
      </c>
      <c r="F313" s="195">
        <v>31.63</v>
      </c>
      <c r="G313" s="195">
        <v>31.63</v>
      </c>
      <c r="I313" s="195" t="str">
        <f>I307</f>
        <v>2013</v>
      </c>
      <c r="J313" s="204" t="s">
        <v>153</v>
      </c>
    </row>
    <row r="314" spans="1:10">
      <c r="A314" s="195" t="s">
        <v>44</v>
      </c>
      <c r="C314" s="195">
        <v>31.73</v>
      </c>
      <c r="D314" s="195">
        <v>31.73</v>
      </c>
      <c r="E314" s="195">
        <v>31.73</v>
      </c>
      <c r="F314" s="195">
        <v>31.73</v>
      </c>
      <c r="G314" s="195">
        <v>31.73</v>
      </c>
      <c r="I314" s="195" t="str">
        <f>I308</f>
        <v>2013</v>
      </c>
      <c r="J314" s="204" t="s">
        <v>153</v>
      </c>
    </row>
    <row r="315" spans="1:10">
      <c r="A315" s="195" t="s">
        <v>47</v>
      </c>
      <c r="C315" s="195">
        <v>29.01</v>
      </c>
      <c r="D315" s="195">
        <v>29.01</v>
      </c>
      <c r="E315" s="195">
        <v>29.01</v>
      </c>
      <c r="F315" s="195">
        <v>29.01</v>
      </c>
      <c r="G315" s="195">
        <v>29.01</v>
      </c>
      <c r="I315" s="195" t="str">
        <f>I309</f>
        <v>2013</v>
      </c>
      <c r="J315" s="204" t="s">
        <v>153</v>
      </c>
    </row>
    <row r="316" spans="1:10">
      <c r="A316" s="195" t="s">
        <v>50</v>
      </c>
      <c r="C316" s="195">
        <v>28.72</v>
      </c>
      <c r="D316" s="195">
        <v>28.72</v>
      </c>
      <c r="E316" s="195">
        <v>28.72</v>
      </c>
      <c r="F316" s="195">
        <v>28.72</v>
      </c>
      <c r="G316" s="195">
        <v>28.72</v>
      </c>
      <c r="I316" s="195" t="str">
        <f>I310</f>
        <v>2013</v>
      </c>
      <c r="J316" s="204" t="s">
        <v>153</v>
      </c>
    </row>
    <row r="317" spans="1:10">
      <c r="A317" s="195" t="s">
        <v>188</v>
      </c>
      <c r="B317" s="195">
        <v>2014</v>
      </c>
    </row>
    <row r="318" spans="1:10">
      <c r="A318" s="195" t="s">
        <v>736</v>
      </c>
    </row>
    <row r="319" spans="1:10">
      <c r="A319" s="195" t="s">
        <v>38</v>
      </c>
      <c r="C319" s="195">
        <v>12.98</v>
      </c>
      <c r="D319" s="195">
        <v>1.82</v>
      </c>
      <c r="E319" s="195">
        <v>16.39</v>
      </c>
      <c r="F319" s="195">
        <v>1.08</v>
      </c>
      <c r="G319" s="195">
        <v>2.44</v>
      </c>
      <c r="I319" s="195" t="str">
        <f>RIGHT(B317,4)</f>
        <v>2014</v>
      </c>
      <c r="J319" s="201" t="s">
        <v>710</v>
      </c>
    </row>
    <row r="320" spans="1:10">
      <c r="A320" s="195" t="s">
        <v>41</v>
      </c>
      <c r="C320" s="195">
        <v>15.35</v>
      </c>
      <c r="D320" s="195">
        <v>3.78</v>
      </c>
      <c r="E320" s="195">
        <v>78.56</v>
      </c>
      <c r="F320" s="195">
        <v>2.2599999999999998</v>
      </c>
      <c r="G320" s="195">
        <v>29.77</v>
      </c>
      <c r="I320" s="195" t="str">
        <f>I319</f>
        <v>2014</v>
      </c>
      <c r="J320" s="204" t="s">
        <v>710</v>
      </c>
    </row>
    <row r="321" spans="1:10">
      <c r="A321" s="195" t="s">
        <v>44</v>
      </c>
      <c r="C321" s="195">
        <v>7.86</v>
      </c>
      <c r="D321" s="195">
        <v>29.68</v>
      </c>
      <c r="E321" s="195">
        <v>62.72</v>
      </c>
      <c r="F321" s="195">
        <v>10.050000000000001</v>
      </c>
      <c r="G321" s="195">
        <v>24.07</v>
      </c>
      <c r="I321" s="195" t="str">
        <f t="shared" ref="I321:I323" si="24">I320</f>
        <v>2014</v>
      </c>
      <c r="J321" s="204" t="s">
        <v>710</v>
      </c>
    </row>
    <row r="322" spans="1:10">
      <c r="A322" s="195" t="s">
        <v>47</v>
      </c>
      <c r="C322" s="195">
        <v>44.85</v>
      </c>
      <c r="D322" s="195">
        <v>43.59</v>
      </c>
      <c r="E322" s="195">
        <v>424.22</v>
      </c>
      <c r="F322" s="195">
        <v>21.66</v>
      </c>
      <c r="G322" s="195">
        <v>55.87</v>
      </c>
      <c r="I322" s="195" t="str">
        <f t="shared" si="24"/>
        <v>2014</v>
      </c>
      <c r="J322" s="204" t="s">
        <v>710</v>
      </c>
    </row>
    <row r="323" spans="1:10">
      <c r="A323" s="195" t="s">
        <v>50</v>
      </c>
      <c r="C323" s="195">
        <v>20.92</v>
      </c>
      <c r="D323" s="195">
        <v>42.99</v>
      </c>
      <c r="E323" s="195">
        <v>97.66</v>
      </c>
      <c r="F323" s="195">
        <v>5.2</v>
      </c>
      <c r="G323" s="195">
        <v>19.920000000000002</v>
      </c>
      <c r="I323" s="195" t="str">
        <f t="shared" si="24"/>
        <v>2014</v>
      </c>
      <c r="J323" s="204" t="s">
        <v>710</v>
      </c>
    </row>
    <row r="324" spans="1:10">
      <c r="A324" s="195" t="s">
        <v>737</v>
      </c>
    </row>
    <row r="325" spans="1:10">
      <c r="A325" s="195" t="s">
        <v>38</v>
      </c>
      <c r="C325" s="195">
        <v>38.270000000000003</v>
      </c>
      <c r="D325" s="195">
        <v>38.270000000000003</v>
      </c>
      <c r="E325" s="195">
        <v>38.270000000000003</v>
      </c>
      <c r="F325" s="195">
        <v>38.270000000000003</v>
      </c>
      <c r="G325" s="195">
        <v>38.270000000000003</v>
      </c>
      <c r="I325" s="195" t="str">
        <f>I319</f>
        <v>2014</v>
      </c>
      <c r="J325" s="204" t="s">
        <v>153</v>
      </c>
    </row>
    <row r="326" spans="1:10">
      <c r="A326" s="195" t="s">
        <v>41</v>
      </c>
      <c r="C326" s="195">
        <v>31.16</v>
      </c>
      <c r="D326" s="195">
        <v>31.16</v>
      </c>
      <c r="E326" s="195">
        <v>31.16</v>
      </c>
      <c r="F326" s="195">
        <v>31.16</v>
      </c>
      <c r="G326" s="195">
        <v>31.16</v>
      </c>
      <c r="I326" s="195" t="str">
        <f>I320</f>
        <v>2014</v>
      </c>
      <c r="J326" s="204" t="s">
        <v>153</v>
      </c>
    </row>
    <row r="327" spans="1:10">
      <c r="A327" s="195" t="s">
        <v>44</v>
      </c>
      <c r="C327" s="195">
        <v>31.26</v>
      </c>
      <c r="D327" s="195">
        <v>31.26</v>
      </c>
      <c r="E327" s="195">
        <v>31.26</v>
      </c>
      <c r="F327" s="195">
        <v>31.26</v>
      </c>
      <c r="G327" s="195">
        <v>31.26</v>
      </c>
      <c r="I327" s="195" t="str">
        <f>I321</f>
        <v>2014</v>
      </c>
      <c r="J327" s="204" t="s">
        <v>153</v>
      </c>
    </row>
    <row r="328" spans="1:10">
      <c r="A328" s="195" t="s">
        <v>47</v>
      </c>
      <c r="C328" s="195">
        <v>28.55</v>
      </c>
      <c r="D328" s="195">
        <v>28.55</v>
      </c>
      <c r="E328" s="195">
        <v>28.55</v>
      </c>
      <c r="F328" s="195">
        <v>28.55</v>
      </c>
      <c r="G328" s="195">
        <v>28.55</v>
      </c>
      <c r="I328" s="195" t="str">
        <f>I322</f>
        <v>2014</v>
      </c>
      <c r="J328" s="204" t="s">
        <v>153</v>
      </c>
    </row>
    <row r="329" spans="1:10">
      <c r="A329" s="195" t="s">
        <v>50</v>
      </c>
      <c r="C329" s="195">
        <v>28.26</v>
      </c>
      <c r="D329" s="195">
        <v>28.26</v>
      </c>
      <c r="E329" s="195">
        <v>28.26</v>
      </c>
      <c r="F329" s="195">
        <v>28.26</v>
      </c>
      <c r="G329" s="195">
        <v>28.26</v>
      </c>
      <c r="I329" s="195" t="str">
        <f>I323</f>
        <v>2014</v>
      </c>
      <c r="J329" s="204" t="s">
        <v>153</v>
      </c>
    </row>
    <row r="330" spans="1:10">
      <c r="A330" s="195" t="s">
        <v>188</v>
      </c>
      <c r="B330" s="195">
        <v>2015</v>
      </c>
    </row>
    <row r="331" spans="1:10">
      <c r="A331" s="195" t="s">
        <v>736</v>
      </c>
    </row>
    <row r="332" spans="1:10">
      <c r="A332" s="195" t="s">
        <v>38</v>
      </c>
      <c r="C332" s="195">
        <v>13.24</v>
      </c>
      <c r="D332" s="195">
        <v>1.85</v>
      </c>
      <c r="E332" s="195">
        <v>16.72</v>
      </c>
      <c r="F332" s="195">
        <v>1.1100000000000001</v>
      </c>
      <c r="G332" s="195">
        <v>2.4900000000000002</v>
      </c>
      <c r="I332" s="195" t="str">
        <f>RIGHT(B330,4)</f>
        <v>2015</v>
      </c>
      <c r="J332" s="201" t="s">
        <v>710</v>
      </c>
    </row>
    <row r="333" spans="1:10">
      <c r="A333" s="195" t="s">
        <v>41</v>
      </c>
      <c r="C333" s="195">
        <v>15.65</v>
      </c>
      <c r="D333" s="195">
        <v>3.86</v>
      </c>
      <c r="E333" s="195">
        <v>80.13</v>
      </c>
      <c r="F333" s="195">
        <v>2.2999999999999998</v>
      </c>
      <c r="G333" s="195">
        <v>30.36</v>
      </c>
      <c r="I333" s="195" t="str">
        <f>I332</f>
        <v>2015</v>
      </c>
      <c r="J333" s="204" t="s">
        <v>710</v>
      </c>
    </row>
    <row r="334" spans="1:10">
      <c r="A334" s="195" t="s">
        <v>44</v>
      </c>
      <c r="C334" s="195">
        <v>8.02</v>
      </c>
      <c r="D334" s="195">
        <v>30.27</v>
      </c>
      <c r="E334" s="195">
        <v>63.98</v>
      </c>
      <c r="F334" s="195">
        <v>10.25</v>
      </c>
      <c r="G334" s="195">
        <v>24.55</v>
      </c>
      <c r="I334" s="195" t="str">
        <f t="shared" ref="I334:I336" si="25">I333</f>
        <v>2015</v>
      </c>
      <c r="J334" s="204" t="s">
        <v>710</v>
      </c>
    </row>
    <row r="335" spans="1:10">
      <c r="A335" s="195" t="s">
        <v>47</v>
      </c>
      <c r="C335" s="195">
        <v>45.75</v>
      </c>
      <c r="D335" s="195">
        <v>44.46</v>
      </c>
      <c r="E335" s="195">
        <v>432.71</v>
      </c>
      <c r="F335" s="195">
        <v>22.09</v>
      </c>
      <c r="G335" s="195">
        <v>56.99</v>
      </c>
      <c r="I335" s="195" t="str">
        <f t="shared" si="25"/>
        <v>2015</v>
      </c>
      <c r="J335" s="204" t="s">
        <v>710</v>
      </c>
    </row>
    <row r="336" spans="1:10">
      <c r="A336" s="195" t="s">
        <v>50</v>
      </c>
      <c r="C336" s="195">
        <v>21.34</v>
      </c>
      <c r="D336" s="195">
        <v>43.85</v>
      </c>
      <c r="E336" s="195">
        <v>99.62</v>
      </c>
      <c r="F336" s="195">
        <v>5.3</v>
      </c>
      <c r="G336" s="195">
        <v>20.32</v>
      </c>
      <c r="I336" s="195" t="str">
        <f t="shared" si="25"/>
        <v>2015</v>
      </c>
      <c r="J336" s="204" t="s">
        <v>710</v>
      </c>
    </row>
    <row r="337" spans="1:10">
      <c r="A337" s="195" t="s">
        <v>737</v>
      </c>
    </row>
    <row r="338" spans="1:10">
      <c r="A338" s="195" t="s">
        <v>38</v>
      </c>
      <c r="C338" s="195">
        <v>38.44</v>
      </c>
      <c r="D338" s="195">
        <v>38.44</v>
      </c>
      <c r="E338" s="195">
        <v>38.44</v>
      </c>
      <c r="F338" s="195">
        <v>38.44</v>
      </c>
      <c r="G338" s="195">
        <v>38.44</v>
      </c>
      <c r="I338" s="195" t="str">
        <f>I332</f>
        <v>2015</v>
      </c>
      <c r="J338" s="204" t="s">
        <v>153</v>
      </c>
    </row>
    <row r="339" spans="1:10">
      <c r="A339" s="195" t="s">
        <v>41</v>
      </c>
      <c r="C339" s="195">
        <v>31.31</v>
      </c>
      <c r="D339" s="195">
        <v>31.31</v>
      </c>
      <c r="E339" s="195">
        <v>31.31</v>
      </c>
      <c r="F339" s="195">
        <v>31.31</v>
      </c>
      <c r="G339" s="195">
        <v>31.31</v>
      </c>
      <c r="I339" s="195" t="str">
        <f>I333</f>
        <v>2015</v>
      </c>
      <c r="J339" s="204" t="s">
        <v>153</v>
      </c>
    </row>
    <row r="340" spans="1:10">
      <c r="A340" s="195" t="s">
        <v>44</v>
      </c>
      <c r="C340" s="195">
        <v>31.41</v>
      </c>
      <c r="D340" s="195">
        <v>31.41</v>
      </c>
      <c r="E340" s="195">
        <v>31.41</v>
      </c>
      <c r="F340" s="195">
        <v>31.41</v>
      </c>
      <c r="G340" s="195">
        <v>31.41</v>
      </c>
      <c r="I340" s="195" t="str">
        <f>I334</f>
        <v>2015</v>
      </c>
      <c r="J340" s="204" t="s">
        <v>153</v>
      </c>
    </row>
    <row r="341" spans="1:10">
      <c r="A341" s="195" t="s">
        <v>47</v>
      </c>
      <c r="C341" s="195">
        <v>28.7</v>
      </c>
      <c r="D341" s="195">
        <v>28.7</v>
      </c>
      <c r="E341" s="195">
        <v>28.7</v>
      </c>
      <c r="F341" s="195">
        <v>28.7</v>
      </c>
      <c r="G341" s="195">
        <v>28.7</v>
      </c>
      <c r="I341" s="195" t="str">
        <f>I335</f>
        <v>2015</v>
      </c>
      <c r="J341" s="204" t="s">
        <v>153</v>
      </c>
    </row>
    <row r="342" spans="1:10">
      <c r="A342" s="195" t="s">
        <v>50</v>
      </c>
      <c r="C342" s="195">
        <v>28.41</v>
      </c>
      <c r="D342" s="195">
        <v>28.41</v>
      </c>
      <c r="E342" s="195">
        <v>28.41</v>
      </c>
      <c r="F342" s="195">
        <v>28.41</v>
      </c>
      <c r="G342" s="195">
        <v>28.41</v>
      </c>
      <c r="I342" s="195" t="str">
        <f>I336</f>
        <v>2015</v>
      </c>
      <c r="J342" s="204" t="s">
        <v>153</v>
      </c>
    </row>
    <row r="343" spans="1:10">
      <c r="A343" s="195" t="s">
        <v>188</v>
      </c>
      <c r="B343" s="195">
        <v>2016</v>
      </c>
      <c r="J343" s="204"/>
    </row>
    <row r="344" spans="1:10">
      <c r="A344" s="195" t="s">
        <v>736</v>
      </c>
      <c r="J344" s="204"/>
    </row>
    <row r="345" spans="1:10">
      <c r="A345" s="195" t="s">
        <v>38</v>
      </c>
      <c r="C345" s="195">
        <v>13.5</v>
      </c>
      <c r="D345" s="195">
        <v>1.89</v>
      </c>
      <c r="E345" s="195">
        <v>17.05</v>
      </c>
      <c r="F345" s="195">
        <v>1.1299999999999999</v>
      </c>
      <c r="G345" s="195">
        <v>2.54</v>
      </c>
      <c r="I345" s="195" t="str">
        <f>RIGHT(B343,4)</f>
        <v>2016</v>
      </c>
      <c r="J345" s="201" t="s">
        <v>710</v>
      </c>
    </row>
    <row r="346" spans="1:10">
      <c r="A346" s="195" t="s">
        <v>41</v>
      </c>
      <c r="C346" s="195">
        <v>15.97</v>
      </c>
      <c r="D346" s="195">
        <v>3.94</v>
      </c>
      <c r="E346" s="195">
        <v>81.73</v>
      </c>
      <c r="F346" s="195">
        <v>2.35</v>
      </c>
      <c r="G346" s="195">
        <v>30.97</v>
      </c>
      <c r="I346" s="195" t="str">
        <f>I345</f>
        <v>2016</v>
      </c>
      <c r="J346" s="204" t="s">
        <v>710</v>
      </c>
    </row>
    <row r="347" spans="1:10">
      <c r="A347" s="195" t="s">
        <v>44</v>
      </c>
      <c r="C347" s="195">
        <v>8.18</v>
      </c>
      <c r="D347" s="195">
        <v>30.87</v>
      </c>
      <c r="E347" s="195">
        <v>65.260000000000005</v>
      </c>
      <c r="F347" s="195">
        <v>10.46</v>
      </c>
      <c r="G347" s="195">
        <v>25.05</v>
      </c>
      <c r="I347" s="195" t="str">
        <f t="shared" ref="I347:I349" si="26">I346</f>
        <v>2016</v>
      </c>
      <c r="J347" s="204" t="s">
        <v>710</v>
      </c>
    </row>
    <row r="348" spans="1:10">
      <c r="A348" s="195" t="s">
        <v>47</v>
      </c>
      <c r="C348" s="195">
        <v>46.66</v>
      </c>
      <c r="D348" s="195">
        <v>45.35</v>
      </c>
      <c r="E348" s="195">
        <v>441.36</v>
      </c>
      <c r="F348" s="195">
        <v>22.53</v>
      </c>
      <c r="G348" s="195">
        <v>58.13</v>
      </c>
      <c r="I348" s="195" t="str">
        <f t="shared" si="26"/>
        <v>2016</v>
      </c>
      <c r="J348" s="204" t="s">
        <v>710</v>
      </c>
    </row>
    <row r="349" spans="1:10">
      <c r="A349" s="195" t="s">
        <v>50</v>
      </c>
      <c r="C349" s="195">
        <v>21.76</v>
      </c>
      <c r="D349" s="195">
        <v>44.73</v>
      </c>
      <c r="E349" s="195">
        <v>101.61</v>
      </c>
      <c r="F349" s="195">
        <v>5.41</v>
      </c>
      <c r="G349" s="195">
        <v>20.72</v>
      </c>
      <c r="I349" s="195" t="str">
        <f t="shared" si="26"/>
        <v>2016</v>
      </c>
      <c r="J349" s="204" t="s">
        <v>710</v>
      </c>
    </row>
    <row r="350" spans="1:10">
      <c r="A350" s="195" t="s">
        <v>737</v>
      </c>
    </row>
    <row r="351" spans="1:10">
      <c r="A351" s="195" t="s">
        <v>38</v>
      </c>
      <c r="C351" s="195">
        <v>38.619999999999997</v>
      </c>
      <c r="D351" s="195">
        <v>38.619999999999997</v>
      </c>
      <c r="E351" s="195">
        <v>38.619999999999997</v>
      </c>
      <c r="F351" s="195">
        <v>38.619999999999997</v>
      </c>
      <c r="G351" s="195">
        <v>38.619999999999997</v>
      </c>
      <c r="I351" s="195" t="str">
        <f>I345</f>
        <v>2016</v>
      </c>
      <c r="J351" s="204" t="s">
        <v>153</v>
      </c>
    </row>
    <row r="352" spans="1:10">
      <c r="A352" s="195" t="s">
        <v>41</v>
      </c>
      <c r="C352" s="195">
        <v>31.47</v>
      </c>
      <c r="D352" s="195">
        <v>31.47</v>
      </c>
      <c r="E352" s="195">
        <v>31.47</v>
      </c>
      <c r="F352" s="195">
        <v>31.47</v>
      </c>
      <c r="G352" s="195">
        <v>31.47</v>
      </c>
      <c r="I352" s="195" t="str">
        <f>I346</f>
        <v>2016</v>
      </c>
      <c r="J352" s="204" t="s">
        <v>153</v>
      </c>
    </row>
    <row r="353" spans="1:10">
      <c r="A353" s="195" t="s">
        <v>44</v>
      </c>
      <c r="C353" s="195">
        <v>31.56</v>
      </c>
      <c r="D353" s="195">
        <v>31.56</v>
      </c>
      <c r="E353" s="195">
        <v>31.56</v>
      </c>
      <c r="F353" s="195">
        <v>31.56</v>
      </c>
      <c r="G353" s="195">
        <v>31.56</v>
      </c>
      <c r="I353" s="195" t="str">
        <f>I347</f>
        <v>2016</v>
      </c>
      <c r="J353" s="204" t="s">
        <v>153</v>
      </c>
    </row>
    <row r="354" spans="1:10">
      <c r="A354" s="195" t="s">
        <v>47</v>
      </c>
      <c r="C354" s="195">
        <v>28.85</v>
      </c>
      <c r="D354" s="195">
        <v>28.85</v>
      </c>
      <c r="E354" s="195">
        <v>28.85</v>
      </c>
      <c r="F354" s="195">
        <v>28.85</v>
      </c>
      <c r="G354" s="195">
        <v>28.85</v>
      </c>
      <c r="I354" s="195" t="str">
        <f>I348</f>
        <v>2016</v>
      </c>
      <c r="J354" s="204" t="s">
        <v>153</v>
      </c>
    </row>
    <row r="355" spans="1:10">
      <c r="A355" s="195" t="s">
        <v>50</v>
      </c>
      <c r="C355" s="195">
        <v>28.55</v>
      </c>
      <c r="D355" s="195">
        <v>28.55</v>
      </c>
      <c r="E355" s="195">
        <v>28.55</v>
      </c>
      <c r="F355" s="195">
        <v>28.55</v>
      </c>
      <c r="G355" s="195">
        <v>28.55</v>
      </c>
      <c r="I355" s="195" t="str">
        <f>I349</f>
        <v>2016</v>
      </c>
      <c r="J355" s="204" t="s">
        <v>153</v>
      </c>
    </row>
    <row r="356" spans="1:10">
      <c r="A356" s="195" t="s">
        <v>188</v>
      </c>
      <c r="B356" s="195">
        <v>2017</v>
      </c>
    </row>
    <row r="357" spans="1:10">
      <c r="A357" s="195" t="s">
        <v>736</v>
      </c>
    </row>
    <row r="358" spans="1:10">
      <c r="A358" s="195" t="s">
        <v>38</v>
      </c>
      <c r="C358" s="195">
        <v>13.77</v>
      </c>
      <c r="D358" s="195">
        <v>1.93</v>
      </c>
      <c r="E358" s="195">
        <v>17.39</v>
      </c>
      <c r="F358" s="195">
        <v>1.1499999999999999</v>
      </c>
      <c r="G358" s="195">
        <v>2.59</v>
      </c>
      <c r="I358" s="195" t="str">
        <f>RIGHT(B356,4)</f>
        <v>2017</v>
      </c>
      <c r="J358" s="201" t="s">
        <v>710</v>
      </c>
    </row>
    <row r="359" spans="1:10">
      <c r="A359" s="195" t="s">
        <v>41</v>
      </c>
      <c r="C359" s="195">
        <v>16.29</v>
      </c>
      <c r="D359" s="195">
        <v>4.0199999999999996</v>
      </c>
      <c r="E359" s="195">
        <v>83.37</v>
      </c>
      <c r="F359" s="195">
        <v>2.4</v>
      </c>
      <c r="G359" s="195">
        <v>31.59</v>
      </c>
      <c r="I359" s="195" t="str">
        <f>I358</f>
        <v>2017</v>
      </c>
      <c r="J359" s="204" t="s">
        <v>710</v>
      </c>
    </row>
    <row r="360" spans="1:10">
      <c r="A360" s="195" t="s">
        <v>44</v>
      </c>
      <c r="C360" s="195">
        <v>8.34</v>
      </c>
      <c r="D360" s="195">
        <v>31.49</v>
      </c>
      <c r="E360" s="195">
        <v>66.56</v>
      </c>
      <c r="F360" s="195">
        <v>10.66</v>
      </c>
      <c r="G360" s="195">
        <v>25.55</v>
      </c>
      <c r="I360" s="195" t="str">
        <f t="shared" ref="I360:I362" si="27">I359</f>
        <v>2017</v>
      </c>
      <c r="J360" s="204" t="s">
        <v>710</v>
      </c>
    </row>
    <row r="361" spans="1:10">
      <c r="A361" s="195" t="s">
        <v>47</v>
      </c>
      <c r="C361" s="195">
        <v>47.6</v>
      </c>
      <c r="D361" s="195">
        <v>46.26</v>
      </c>
      <c r="E361" s="195">
        <v>450.19</v>
      </c>
      <c r="F361" s="195">
        <v>22.98</v>
      </c>
      <c r="G361" s="195">
        <v>59.29</v>
      </c>
      <c r="I361" s="195" t="str">
        <f t="shared" si="27"/>
        <v>2017</v>
      </c>
      <c r="J361" s="204" t="s">
        <v>710</v>
      </c>
    </row>
    <row r="362" spans="1:10">
      <c r="A362" s="195" t="s">
        <v>50</v>
      </c>
      <c r="C362" s="195">
        <v>22.2</v>
      </c>
      <c r="D362" s="195">
        <v>45.62</v>
      </c>
      <c r="E362" s="195">
        <v>103.64</v>
      </c>
      <c r="F362" s="195">
        <v>5.52</v>
      </c>
      <c r="G362" s="195">
        <v>21.14</v>
      </c>
      <c r="I362" s="195" t="str">
        <f t="shared" si="27"/>
        <v>2017</v>
      </c>
      <c r="J362" s="204" t="s">
        <v>710</v>
      </c>
    </row>
    <row r="363" spans="1:10">
      <c r="A363" s="195" t="s">
        <v>737</v>
      </c>
    </row>
    <row r="364" spans="1:10">
      <c r="A364" s="195" t="s">
        <v>38</v>
      </c>
      <c r="C364" s="195">
        <v>39.14</v>
      </c>
      <c r="D364" s="195">
        <v>39.14</v>
      </c>
      <c r="E364" s="195">
        <v>39.14</v>
      </c>
      <c r="F364" s="195">
        <v>39.14</v>
      </c>
      <c r="G364" s="195">
        <v>39.14</v>
      </c>
      <c r="I364" s="195" t="str">
        <f>I358</f>
        <v>2017</v>
      </c>
      <c r="J364" s="204" t="s">
        <v>153</v>
      </c>
    </row>
    <row r="365" spans="1:10">
      <c r="A365" s="195" t="s">
        <v>41</v>
      </c>
      <c r="C365" s="195">
        <v>31.92</v>
      </c>
      <c r="D365" s="195">
        <v>31.92</v>
      </c>
      <c r="E365" s="195">
        <v>31.92</v>
      </c>
      <c r="F365" s="195">
        <v>31.92</v>
      </c>
      <c r="G365" s="195">
        <v>31.92</v>
      </c>
      <c r="I365" s="195" t="str">
        <f>I359</f>
        <v>2017</v>
      </c>
      <c r="J365" s="204" t="s">
        <v>153</v>
      </c>
    </row>
    <row r="366" spans="1:10">
      <c r="A366" s="195" t="s">
        <v>44</v>
      </c>
      <c r="C366" s="195">
        <v>32.020000000000003</v>
      </c>
      <c r="D366" s="195">
        <v>32.020000000000003</v>
      </c>
      <c r="E366" s="195">
        <v>32.020000000000003</v>
      </c>
      <c r="F366" s="195">
        <v>32.020000000000003</v>
      </c>
      <c r="G366" s="195">
        <v>32.020000000000003</v>
      </c>
      <c r="I366" s="195" t="str">
        <f>I360</f>
        <v>2017</v>
      </c>
      <c r="J366" s="204" t="s">
        <v>153</v>
      </c>
    </row>
    <row r="367" spans="1:10">
      <c r="A367" s="195" t="s">
        <v>47</v>
      </c>
      <c r="C367" s="195">
        <v>29.3</v>
      </c>
      <c r="D367" s="195">
        <v>29.3</v>
      </c>
      <c r="E367" s="195">
        <v>29.3</v>
      </c>
      <c r="F367" s="195">
        <v>29.3</v>
      </c>
      <c r="G367" s="195">
        <v>29.3</v>
      </c>
      <c r="I367" s="195" t="str">
        <f>I361</f>
        <v>2017</v>
      </c>
      <c r="J367" s="204" t="s">
        <v>153</v>
      </c>
    </row>
    <row r="368" spans="1:10">
      <c r="A368" s="195" t="s">
        <v>50</v>
      </c>
      <c r="C368" s="195">
        <v>29</v>
      </c>
      <c r="D368" s="195">
        <v>29</v>
      </c>
      <c r="E368" s="195">
        <v>29</v>
      </c>
      <c r="F368" s="195">
        <v>29</v>
      </c>
      <c r="G368" s="195">
        <v>29</v>
      </c>
      <c r="I368" s="195" t="str">
        <f>I362</f>
        <v>2017</v>
      </c>
      <c r="J368" s="204" t="s">
        <v>153</v>
      </c>
    </row>
    <row r="369" spans="1:10">
      <c r="A369" s="195" t="s">
        <v>188</v>
      </c>
      <c r="B369" s="195">
        <v>2018</v>
      </c>
    </row>
    <row r="370" spans="1:10">
      <c r="A370" s="195" t="s">
        <v>736</v>
      </c>
    </row>
    <row r="371" spans="1:10">
      <c r="A371" s="195" t="s">
        <v>38</v>
      </c>
      <c r="C371" s="195">
        <v>14.05</v>
      </c>
      <c r="D371" s="195">
        <v>1.97</v>
      </c>
      <c r="E371" s="195">
        <v>17.739999999999998</v>
      </c>
      <c r="F371" s="195">
        <v>1.17</v>
      </c>
      <c r="G371" s="195">
        <v>2.64</v>
      </c>
      <c r="I371" s="195" t="str">
        <f>RIGHT(B369,4)</f>
        <v>2018</v>
      </c>
      <c r="J371" s="201" t="s">
        <v>710</v>
      </c>
    </row>
    <row r="372" spans="1:10">
      <c r="A372" s="195" t="s">
        <v>41</v>
      </c>
      <c r="C372" s="195">
        <v>16.61</v>
      </c>
      <c r="D372" s="195">
        <v>4.0999999999999996</v>
      </c>
      <c r="E372" s="195">
        <v>85.03</v>
      </c>
      <c r="F372" s="195">
        <v>2.44</v>
      </c>
      <c r="G372" s="195">
        <v>32.22</v>
      </c>
      <c r="I372" s="195" t="str">
        <f>I371</f>
        <v>2018</v>
      </c>
      <c r="J372" s="204" t="s">
        <v>710</v>
      </c>
    </row>
    <row r="373" spans="1:10">
      <c r="A373" s="195" t="s">
        <v>44</v>
      </c>
      <c r="C373" s="195">
        <v>8.51</v>
      </c>
      <c r="D373" s="195">
        <v>32.119999999999997</v>
      </c>
      <c r="E373" s="195">
        <v>67.89</v>
      </c>
      <c r="F373" s="195">
        <v>10.88</v>
      </c>
      <c r="G373" s="195">
        <v>26.06</v>
      </c>
      <c r="I373" s="195" t="str">
        <f t="shared" ref="I373:I375" si="28">I372</f>
        <v>2018</v>
      </c>
      <c r="J373" s="204" t="s">
        <v>710</v>
      </c>
    </row>
    <row r="374" spans="1:10">
      <c r="A374" s="195" t="s">
        <v>47</v>
      </c>
      <c r="C374" s="195">
        <v>48.55</v>
      </c>
      <c r="D374" s="195">
        <v>47.18</v>
      </c>
      <c r="E374" s="195">
        <v>459.19</v>
      </c>
      <c r="F374" s="195">
        <v>23.44</v>
      </c>
      <c r="G374" s="195">
        <v>60.47</v>
      </c>
      <c r="I374" s="195" t="str">
        <f t="shared" si="28"/>
        <v>2018</v>
      </c>
      <c r="J374" s="204" t="s">
        <v>710</v>
      </c>
    </row>
    <row r="375" spans="1:10">
      <c r="A375" s="195" t="s">
        <v>50</v>
      </c>
      <c r="C375" s="195">
        <v>22.64</v>
      </c>
      <c r="D375" s="195">
        <v>46.54</v>
      </c>
      <c r="E375" s="195">
        <v>105.71</v>
      </c>
      <c r="F375" s="195">
        <v>5.63</v>
      </c>
      <c r="G375" s="195">
        <v>21.56</v>
      </c>
      <c r="I375" s="195" t="str">
        <f t="shared" si="28"/>
        <v>2018</v>
      </c>
      <c r="J375" s="204" t="s">
        <v>710</v>
      </c>
    </row>
    <row r="376" spans="1:10">
      <c r="A376" s="195" t="s">
        <v>737</v>
      </c>
    </row>
    <row r="377" spans="1:10">
      <c r="A377" s="195" t="s">
        <v>38</v>
      </c>
      <c r="C377" s="195">
        <v>39.51</v>
      </c>
      <c r="D377" s="195">
        <v>39.51</v>
      </c>
      <c r="E377" s="195">
        <v>39.51</v>
      </c>
      <c r="F377" s="195">
        <v>39.51</v>
      </c>
      <c r="G377" s="195">
        <v>39.51</v>
      </c>
      <c r="I377" s="195" t="str">
        <f>I371</f>
        <v>2018</v>
      </c>
      <c r="J377" s="204" t="s">
        <v>153</v>
      </c>
    </row>
    <row r="378" spans="1:10">
      <c r="A378" s="195" t="s">
        <v>41</v>
      </c>
      <c r="C378" s="195">
        <v>32.24</v>
      </c>
      <c r="D378" s="195">
        <v>32.24</v>
      </c>
      <c r="E378" s="195">
        <v>32.24</v>
      </c>
      <c r="F378" s="195">
        <v>32.24</v>
      </c>
      <c r="G378" s="195">
        <v>32.24</v>
      </c>
      <c r="I378" s="195" t="str">
        <f>I372</f>
        <v>2018</v>
      </c>
      <c r="J378" s="204" t="s">
        <v>153</v>
      </c>
    </row>
    <row r="379" spans="1:10">
      <c r="A379" s="195" t="s">
        <v>44</v>
      </c>
      <c r="C379" s="195">
        <v>32.33</v>
      </c>
      <c r="D379" s="195">
        <v>32.33</v>
      </c>
      <c r="E379" s="195">
        <v>32.33</v>
      </c>
      <c r="F379" s="195">
        <v>32.33</v>
      </c>
      <c r="G379" s="195">
        <v>32.33</v>
      </c>
      <c r="I379" s="195" t="str">
        <f>I373</f>
        <v>2018</v>
      </c>
      <c r="J379" s="204" t="s">
        <v>153</v>
      </c>
    </row>
    <row r="380" spans="1:10">
      <c r="A380" s="195" t="s">
        <v>47</v>
      </c>
      <c r="C380" s="195">
        <v>29.61</v>
      </c>
      <c r="D380" s="195">
        <v>29.61</v>
      </c>
      <c r="E380" s="195">
        <v>29.61</v>
      </c>
      <c r="F380" s="195">
        <v>29.61</v>
      </c>
      <c r="G380" s="195">
        <v>29.61</v>
      </c>
      <c r="I380" s="195" t="str">
        <f>I374</f>
        <v>2018</v>
      </c>
      <c r="J380" s="204" t="s">
        <v>153</v>
      </c>
    </row>
    <row r="381" spans="1:10">
      <c r="A381" s="195" t="s">
        <v>50</v>
      </c>
      <c r="C381" s="195">
        <v>29.32</v>
      </c>
      <c r="D381" s="195">
        <v>29.32</v>
      </c>
      <c r="E381" s="195">
        <v>29.32</v>
      </c>
      <c r="F381" s="195">
        <v>29.32</v>
      </c>
      <c r="G381" s="195">
        <v>29.32</v>
      </c>
      <c r="I381" s="195" t="str">
        <f>I375</f>
        <v>2018</v>
      </c>
      <c r="J381" s="204" t="s">
        <v>153</v>
      </c>
    </row>
    <row r="382" spans="1:10">
      <c r="A382" s="195" t="s">
        <v>188</v>
      </c>
      <c r="B382" s="195">
        <v>2019</v>
      </c>
    </row>
    <row r="383" spans="1:10">
      <c r="A383" s="195" t="s">
        <v>736</v>
      </c>
    </row>
    <row r="384" spans="1:10">
      <c r="A384" s="195" t="s">
        <v>38</v>
      </c>
      <c r="C384" s="195">
        <v>14.33</v>
      </c>
      <c r="D384" s="195">
        <v>2.0099999999999998</v>
      </c>
      <c r="E384" s="195">
        <v>18.100000000000001</v>
      </c>
      <c r="F384" s="195">
        <v>1.2</v>
      </c>
      <c r="G384" s="195">
        <v>2.7</v>
      </c>
      <c r="I384" s="195" t="str">
        <f>RIGHT(B382,4)</f>
        <v>2019</v>
      </c>
      <c r="J384" s="201" t="s">
        <v>710</v>
      </c>
    </row>
    <row r="385" spans="1:10">
      <c r="A385" s="195" t="s">
        <v>41</v>
      </c>
      <c r="C385" s="195">
        <v>16.940000000000001</v>
      </c>
      <c r="D385" s="195">
        <v>4.18</v>
      </c>
      <c r="E385" s="195">
        <v>86.73</v>
      </c>
      <c r="F385" s="195">
        <v>2.4900000000000002</v>
      </c>
      <c r="G385" s="195">
        <v>32.86</v>
      </c>
      <c r="I385" s="195" t="str">
        <f>I384</f>
        <v>2019</v>
      </c>
      <c r="J385" s="204" t="s">
        <v>710</v>
      </c>
    </row>
    <row r="386" spans="1:10">
      <c r="A386" s="195" t="s">
        <v>44</v>
      </c>
      <c r="C386" s="195">
        <v>8.68</v>
      </c>
      <c r="D386" s="195">
        <v>32.76</v>
      </c>
      <c r="E386" s="195">
        <v>69.25</v>
      </c>
      <c r="F386" s="195">
        <v>11.1</v>
      </c>
      <c r="G386" s="195">
        <v>26.58</v>
      </c>
      <c r="I386" s="195" t="str">
        <f t="shared" ref="I386:I388" si="29">I385</f>
        <v>2019</v>
      </c>
      <c r="J386" s="204" t="s">
        <v>710</v>
      </c>
    </row>
    <row r="387" spans="1:10">
      <c r="A387" s="195" t="s">
        <v>47</v>
      </c>
      <c r="C387" s="195">
        <v>49.52</v>
      </c>
      <c r="D387" s="195">
        <v>48.12</v>
      </c>
      <c r="E387" s="195">
        <v>468.38</v>
      </c>
      <c r="F387" s="195">
        <v>23.91</v>
      </c>
      <c r="G387" s="195">
        <v>61.68</v>
      </c>
      <c r="I387" s="195" t="str">
        <f t="shared" si="29"/>
        <v>2019</v>
      </c>
      <c r="J387" s="204" t="s">
        <v>710</v>
      </c>
    </row>
    <row r="388" spans="1:10">
      <c r="A388" s="195" t="s">
        <v>50</v>
      </c>
      <c r="C388" s="195">
        <v>23.09</v>
      </c>
      <c r="D388" s="195">
        <v>47.47</v>
      </c>
      <c r="E388" s="195">
        <v>107.83</v>
      </c>
      <c r="F388" s="195">
        <v>5.74</v>
      </c>
      <c r="G388" s="195">
        <v>21.99</v>
      </c>
      <c r="I388" s="195" t="str">
        <f t="shared" si="29"/>
        <v>2019</v>
      </c>
      <c r="J388" s="204" t="s">
        <v>710</v>
      </c>
    </row>
    <row r="389" spans="1:10">
      <c r="A389" s="195" t="s">
        <v>737</v>
      </c>
    </row>
    <row r="390" spans="1:10">
      <c r="A390" s="195" t="s">
        <v>38</v>
      </c>
      <c r="C390" s="195">
        <v>40.04</v>
      </c>
      <c r="D390" s="195">
        <v>40.04</v>
      </c>
      <c r="E390" s="195">
        <v>40.04</v>
      </c>
      <c r="F390" s="195">
        <v>40.04</v>
      </c>
      <c r="G390" s="195">
        <v>40.04</v>
      </c>
      <c r="I390" s="195" t="str">
        <f>I384</f>
        <v>2019</v>
      </c>
      <c r="J390" s="204" t="s">
        <v>153</v>
      </c>
    </row>
    <row r="391" spans="1:10">
      <c r="A391" s="195" t="s">
        <v>41</v>
      </c>
      <c r="C391" s="195">
        <v>32.700000000000003</v>
      </c>
      <c r="D391" s="195">
        <v>32.700000000000003</v>
      </c>
      <c r="E391" s="195">
        <v>32.700000000000003</v>
      </c>
      <c r="F391" s="195">
        <v>32.700000000000003</v>
      </c>
      <c r="G391" s="195">
        <v>32.700000000000003</v>
      </c>
      <c r="I391" s="195" t="str">
        <f>I385</f>
        <v>2019</v>
      </c>
      <c r="J391" s="204" t="s">
        <v>153</v>
      </c>
    </row>
    <row r="392" spans="1:10">
      <c r="A392" s="195" t="s">
        <v>44</v>
      </c>
      <c r="C392" s="195">
        <v>32.79</v>
      </c>
      <c r="D392" s="195">
        <v>32.79</v>
      </c>
      <c r="E392" s="195">
        <v>32.79</v>
      </c>
      <c r="F392" s="195">
        <v>32.79</v>
      </c>
      <c r="G392" s="195">
        <v>32.79</v>
      </c>
      <c r="I392" s="195" t="str">
        <f>I386</f>
        <v>2019</v>
      </c>
      <c r="J392" s="204" t="s">
        <v>153</v>
      </c>
    </row>
    <row r="393" spans="1:10">
      <c r="A393" s="195" t="s">
        <v>47</v>
      </c>
      <c r="C393" s="195">
        <v>30.06</v>
      </c>
      <c r="D393" s="195">
        <v>30.06</v>
      </c>
      <c r="E393" s="195">
        <v>30.06</v>
      </c>
      <c r="F393" s="195">
        <v>30.06</v>
      </c>
      <c r="G393" s="195">
        <v>30.06</v>
      </c>
      <c r="I393" s="195" t="str">
        <f>I387</f>
        <v>2019</v>
      </c>
      <c r="J393" s="204" t="s">
        <v>153</v>
      </c>
    </row>
    <row r="394" spans="1:10">
      <c r="A394" s="195" t="s">
        <v>50</v>
      </c>
      <c r="C394" s="195">
        <v>29.77</v>
      </c>
      <c r="D394" s="195">
        <v>29.77</v>
      </c>
      <c r="E394" s="195">
        <v>29.77</v>
      </c>
      <c r="F394" s="195">
        <v>29.77</v>
      </c>
      <c r="G394" s="195">
        <v>29.77</v>
      </c>
      <c r="I394" s="195" t="str">
        <f>I388</f>
        <v>2019</v>
      </c>
      <c r="J394" s="204" t="s">
        <v>153</v>
      </c>
    </row>
    <row r="395" spans="1:10">
      <c r="A395" s="195" t="s">
        <v>188</v>
      </c>
      <c r="B395" s="195">
        <v>2020</v>
      </c>
    </row>
    <row r="396" spans="1:10">
      <c r="A396" s="195" t="s">
        <v>736</v>
      </c>
    </row>
    <row r="397" spans="1:10">
      <c r="A397" s="195" t="s">
        <v>38</v>
      </c>
      <c r="C397" s="195">
        <v>14.61</v>
      </c>
      <c r="D397" s="195">
        <v>2.0499999999999998</v>
      </c>
      <c r="E397" s="195">
        <v>18.46</v>
      </c>
      <c r="F397" s="195">
        <v>1.22</v>
      </c>
      <c r="G397" s="195">
        <v>2.75</v>
      </c>
      <c r="I397" s="195" t="str">
        <f>RIGHT(B395,4)</f>
        <v>2020</v>
      </c>
      <c r="J397" s="201" t="s">
        <v>710</v>
      </c>
    </row>
    <row r="398" spans="1:10">
      <c r="A398" s="195" t="s">
        <v>41</v>
      </c>
      <c r="C398" s="195">
        <v>17.28</v>
      </c>
      <c r="D398" s="195">
        <v>4.26</v>
      </c>
      <c r="E398" s="195">
        <v>88.47</v>
      </c>
      <c r="F398" s="195">
        <v>2.54</v>
      </c>
      <c r="G398" s="195">
        <v>33.520000000000003</v>
      </c>
      <c r="I398" s="195" t="str">
        <f>I397</f>
        <v>2020</v>
      </c>
      <c r="J398" s="204" t="s">
        <v>710</v>
      </c>
    </row>
    <row r="399" spans="1:10">
      <c r="A399" s="195" t="s">
        <v>44</v>
      </c>
      <c r="C399" s="195">
        <v>8.85</v>
      </c>
      <c r="D399" s="195">
        <v>33.42</v>
      </c>
      <c r="E399" s="195">
        <v>70.64</v>
      </c>
      <c r="F399" s="195">
        <v>11.32</v>
      </c>
      <c r="G399" s="195">
        <v>27.11</v>
      </c>
      <c r="I399" s="195" t="str">
        <f t="shared" ref="I399:I401" si="30">I398</f>
        <v>2020</v>
      </c>
      <c r="J399" s="204" t="s">
        <v>710</v>
      </c>
    </row>
    <row r="400" spans="1:10">
      <c r="A400" s="195" t="s">
        <v>47</v>
      </c>
      <c r="C400" s="195">
        <v>50.51</v>
      </c>
      <c r="D400" s="195">
        <v>49.09</v>
      </c>
      <c r="E400" s="195">
        <v>477.74</v>
      </c>
      <c r="F400" s="195">
        <v>24.39</v>
      </c>
      <c r="G400" s="195">
        <v>62.92</v>
      </c>
      <c r="I400" s="195" t="str">
        <f t="shared" si="30"/>
        <v>2020</v>
      </c>
      <c r="J400" s="204" t="s">
        <v>710</v>
      </c>
    </row>
    <row r="401" spans="1:10">
      <c r="A401" s="195" t="s">
        <v>50</v>
      </c>
      <c r="C401" s="195">
        <v>23.56</v>
      </c>
      <c r="D401" s="195">
        <v>48.42</v>
      </c>
      <c r="E401" s="195">
        <v>109.98</v>
      </c>
      <c r="F401" s="195">
        <v>5.85</v>
      </c>
      <c r="G401" s="195">
        <v>22.43</v>
      </c>
      <c r="I401" s="195" t="str">
        <f t="shared" si="30"/>
        <v>2020</v>
      </c>
      <c r="J401" s="204" t="s">
        <v>710</v>
      </c>
    </row>
    <row r="402" spans="1:10">
      <c r="A402" s="195" t="s">
        <v>737</v>
      </c>
    </row>
    <row r="403" spans="1:10">
      <c r="A403" s="195" t="s">
        <v>38</v>
      </c>
      <c r="C403" s="195">
        <v>40.4</v>
      </c>
      <c r="D403" s="195">
        <v>40.4</v>
      </c>
      <c r="E403" s="195">
        <v>40.4</v>
      </c>
      <c r="F403" s="195">
        <v>40.4</v>
      </c>
      <c r="G403" s="195">
        <v>40.4</v>
      </c>
      <c r="I403" s="195" t="str">
        <f>I397</f>
        <v>2020</v>
      </c>
      <c r="J403" s="204" t="s">
        <v>153</v>
      </c>
    </row>
    <row r="404" spans="1:10">
      <c r="A404" s="195" t="s">
        <v>41</v>
      </c>
      <c r="C404" s="195">
        <v>33.020000000000003</v>
      </c>
      <c r="D404" s="195">
        <v>33.020000000000003</v>
      </c>
      <c r="E404" s="195">
        <v>33.020000000000003</v>
      </c>
      <c r="F404" s="195">
        <v>33.020000000000003</v>
      </c>
      <c r="G404" s="195">
        <v>33.020000000000003</v>
      </c>
      <c r="I404" s="195" t="str">
        <f>I398</f>
        <v>2020</v>
      </c>
      <c r="J404" s="204" t="s">
        <v>153</v>
      </c>
    </row>
    <row r="405" spans="1:10">
      <c r="A405" s="195" t="s">
        <v>44</v>
      </c>
      <c r="C405" s="195">
        <v>33.1</v>
      </c>
      <c r="D405" s="195">
        <v>33.1</v>
      </c>
      <c r="E405" s="195">
        <v>33.1</v>
      </c>
      <c r="F405" s="195">
        <v>33.1</v>
      </c>
      <c r="G405" s="195">
        <v>33.1</v>
      </c>
      <c r="I405" s="195" t="str">
        <f>I399</f>
        <v>2020</v>
      </c>
      <c r="J405" s="204" t="s">
        <v>153</v>
      </c>
    </row>
    <row r="406" spans="1:10">
      <c r="A406" s="195" t="s">
        <v>47</v>
      </c>
      <c r="C406" s="195">
        <v>30.37</v>
      </c>
      <c r="D406" s="195">
        <v>30.37</v>
      </c>
      <c r="E406" s="195">
        <v>30.37</v>
      </c>
      <c r="F406" s="195">
        <v>30.37</v>
      </c>
      <c r="G406" s="195">
        <v>30.37</v>
      </c>
      <c r="I406" s="195" t="str">
        <f>I400</f>
        <v>2020</v>
      </c>
      <c r="J406" s="204" t="s">
        <v>153</v>
      </c>
    </row>
    <row r="407" spans="1:10">
      <c r="A407" s="195" t="s">
        <v>50</v>
      </c>
      <c r="C407" s="195">
        <v>30.08</v>
      </c>
      <c r="D407" s="195">
        <v>30.08</v>
      </c>
      <c r="E407" s="195">
        <v>30.08</v>
      </c>
      <c r="F407" s="195">
        <v>30.08</v>
      </c>
      <c r="G407" s="195">
        <v>30.08</v>
      </c>
      <c r="I407" s="195" t="str">
        <f>I401</f>
        <v>2020</v>
      </c>
      <c r="J407" s="204" t="s">
        <v>153</v>
      </c>
    </row>
  </sheetData>
  <phoneticPr fontId="17" type="noConversion"/>
  <pageMargins left="0.75" right="0.75" top="1" bottom="1" header="0.5" footer="0.5"/>
  <headerFooter alignWithMargins="0"/>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Sheet25"/>
  <dimension ref="A1:P33"/>
  <sheetViews>
    <sheetView workbookViewId="0">
      <selection activeCell="E1" sqref="A1:XFD1048576"/>
    </sheetView>
  </sheetViews>
  <sheetFormatPr defaultColWidth="9.140625" defaultRowHeight="12.75"/>
  <cols>
    <col min="1" max="1" width="37.7109375" style="201" customWidth="1"/>
    <col min="2" max="2" width="9.140625" style="201"/>
    <col min="3" max="3" width="9.5703125" style="201" customWidth="1"/>
    <col min="4" max="10" width="9.140625" style="201"/>
    <col min="11" max="11" width="9" style="201" customWidth="1"/>
    <col min="12" max="16384" width="9.140625" style="201"/>
  </cols>
  <sheetData>
    <row r="1" spans="1:16" ht="18" customHeight="1">
      <c r="A1" s="438" t="s">
        <v>717</v>
      </c>
      <c r="B1" s="438"/>
      <c r="C1" s="438"/>
      <c r="D1" s="438"/>
      <c r="E1" s="438"/>
      <c r="F1" s="438"/>
      <c r="G1" s="438"/>
      <c r="H1" s="438"/>
    </row>
    <row r="2" spans="1:16" ht="18" customHeight="1">
      <c r="A2" s="438" t="s">
        <v>991</v>
      </c>
      <c r="B2" s="438"/>
      <c r="C2" s="438"/>
      <c r="D2" s="438"/>
      <c r="E2" s="438"/>
      <c r="F2" s="438"/>
      <c r="G2" s="438"/>
      <c r="H2" s="438"/>
    </row>
    <row r="3" spans="1:16">
      <c r="A3" s="443"/>
      <c r="B3" s="443"/>
      <c r="C3" s="443"/>
      <c r="D3" s="443"/>
      <c r="E3" s="443"/>
      <c r="F3" s="443"/>
      <c r="G3" s="443"/>
      <c r="H3" s="443"/>
    </row>
    <row r="4" spans="1:16" ht="25.5">
      <c r="A4" s="230" t="s">
        <v>718</v>
      </c>
      <c r="B4" s="231">
        <v>2010</v>
      </c>
      <c r="C4" s="231" t="s">
        <v>992</v>
      </c>
      <c r="D4" s="231">
        <v>2015</v>
      </c>
      <c r="E4" s="231">
        <v>2020</v>
      </c>
      <c r="F4" s="231">
        <v>2025</v>
      </c>
      <c r="G4" s="231">
        <v>2030</v>
      </c>
      <c r="H4" s="231">
        <v>2035</v>
      </c>
      <c r="I4" s="231">
        <v>2040</v>
      </c>
      <c r="K4" s="231">
        <v>2015</v>
      </c>
      <c r="L4" s="231">
        <v>2020</v>
      </c>
      <c r="M4" s="231">
        <v>2025</v>
      </c>
      <c r="N4" s="231">
        <v>2030</v>
      </c>
      <c r="O4" s="231">
        <v>2035</v>
      </c>
      <c r="P4" s="231">
        <v>2040</v>
      </c>
    </row>
    <row r="5" spans="1:16">
      <c r="A5" s="223"/>
    </row>
    <row r="6" spans="1:16" ht="25.5">
      <c r="A6" s="230" t="s">
        <v>985</v>
      </c>
    </row>
    <row r="7" spans="1:16">
      <c r="A7" s="223" t="s">
        <v>986</v>
      </c>
      <c r="B7" s="223"/>
      <c r="C7" s="223"/>
      <c r="D7" s="226">
        <v>97.145538000000002</v>
      </c>
      <c r="E7" s="226">
        <v>96.566772</v>
      </c>
      <c r="F7" s="226">
        <v>108.988052</v>
      </c>
      <c r="G7" s="226">
        <v>118.99376700000001</v>
      </c>
      <c r="H7" s="226">
        <v>129.76585399999999</v>
      </c>
      <c r="I7" s="226">
        <v>141.45616100000001</v>
      </c>
    </row>
    <row r="8" spans="1:16">
      <c r="A8" s="223" t="s">
        <v>987</v>
      </c>
      <c r="B8" s="223"/>
      <c r="C8" s="223"/>
      <c r="D8" s="226">
        <v>89.445541000000006</v>
      </c>
      <c r="E8" s="226">
        <v>94.566772</v>
      </c>
      <c r="F8" s="226">
        <v>106.988045</v>
      </c>
      <c r="G8" s="226">
        <v>116.99376700000001</v>
      </c>
      <c r="H8" s="226">
        <v>127.765854</v>
      </c>
      <c r="I8" s="226">
        <v>139.456177</v>
      </c>
    </row>
    <row r="9" spans="1:16">
      <c r="A9" s="223" t="s">
        <v>988</v>
      </c>
      <c r="B9" s="226">
        <v>75.872901999999996</v>
      </c>
      <c r="C9" s="226">
        <f>B9*Conv!$I$45/Conv!$I$43</f>
        <v>78.714827991068162</v>
      </c>
      <c r="D9" s="226">
        <v>88.925490999999994</v>
      </c>
      <c r="E9" s="226">
        <v>88.069137999999995</v>
      </c>
      <c r="F9" s="226">
        <v>100.012039</v>
      </c>
      <c r="G9" s="226">
        <v>109.21569100000001</v>
      </c>
      <c r="H9" s="226">
        <v>119.799904</v>
      </c>
      <c r="I9" s="226">
        <v>130.800613</v>
      </c>
      <c r="J9" s="263"/>
      <c r="K9" s="263">
        <f>(D9-C9)/C9</f>
        <v>0.12971714821114066</v>
      </c>
      <c r="L9" s="263">
        <f t="shared" ref="L9" si="0">(E9-D9)/D9</f>
        <v>-9.6300058663718671E-3</v>
      </c>
      <c r="M9" s="263">
        <f t="shared" ref="M9" si="1">(F9-E9)/E9</f>
        <v>0.13560824224258908</v>
      </c>
      <c r="N9" s="263">
        <f t="shared" ref="N9" si="2">(G9-F9)/F9</f>
        <v>9.2025441057151186E-2</v>
      </c>
      <c r="O9" s="263">
        <f t="shared" ref="O9:P9" si="3">(H9-G9)/G9</f>
        <v>9.6911102270094057E-2</v>
      </c>
      <c r="P9" s="263">
        <f t="shared" si="3"/>
        <v>9.1825691279351945E-2</v>
      </c>
    </row>
    <row r="10" spans="1:16">
      <c r="A10" s="223"/>
      <c r="K10" s="227">
        <f>D9/C9</f>
        <v>1.1297171482111406</v>
      </c>
      <c r="L10" s="227">
        <f t="shared" ref="L10:P10" si="4">E9/D9</f>
        <v>0.99036999413362814</v>
      </c>
      <c r="M10" s="227">
        <f t="shared" si="4"/>
        <v>1.135608242242589</v>
      </c>
      <c r="N10" s="227">
        <f t="shared" si="4"/>
        <v>1.0920254410571513</v>
      </c>
      <c r="O10" s="227">
        <f t="shared" si="4"/>
        <v>1.0969111022700941</v>
      </c>
      <c r="P10" s="227">
        <f t="shared" si="4"/>
        <v>1.091825691279352</v>
      </c>
    </row>
    <row r="11" spans="1:16">
      <c r="A11" s="230" t="s">
        <v>719</v>
      </c>
    </row>
    <row r="12" spans="1:16">
      <c r="A12" s="223" t="s">
        <v>983</v>
      </c>
      <c r="B12" s="226">
        <v>1.463695</v>
      </c>
      <c r="C12" s="226">
        <f>B12*Conv!$I$45/Conv!$I$43</f>
        <v>1.5185197497307603</v>
      </c>
      <c r="D12" s="265">
        <v>1.93251</v>
      </c>
      <c r="E12" s="265">
        <v>2.0590540000000002</v>
      </c>
      <c r="F12" s="265">
        <v>2.1631149999999999</v>
      </c>
      <c r="G12" s="265">
        <v>2.2524950000000001</v>
      </c>
      <c r="H12" s="265">
        <v>2.3642370000000001</v>
      </c>
      <c r="I12" s="265">
        <v>2.447114</v>
      </c>
      <c r="J12" s="265"/>
      <c r="K12" s="266">
        <f t="shared" ref="K12:P18" si="5">(D12-C12)/C12</f>
        <v>0.27262750474114134</v>
      </c>
      <c r="L12" s="266">
        <f t="shared" si="5"/>
        <v>6.5481679266860313E-2</v>
      </c>
      <c r="M12" s="266">
        <f t="shared" si="5"/>
        <v>5.0538256888842996E-2</v>
      </c>
      <c r="N12" s="266">
        <f t="shared" si="5"/>
        <v>4.1320040774531289E-2</v>
      </c>
      <c r="O12" s="266">
        <f t="shared" si="5"/>
        <v>4.9608101238848477E-2</v>
      </c>
      <c r="P12" s="266">
        <f t="shared" si="5"/>
        <v>3.5054438281779642E-2</v>
      </c>
    </row>
    <row r="13" spans="1:16">
      <c r="A13" s="223" t="s">
        <v>720</v>
      </c>
      <c r="B13" s="226">
        <v>2.7432089999999998</v>
      </c>
      <c r="C13" s="226">
        <f>B13*Conv!$I$45/Conv!$I$43</f>
        <v>2.845959741707917</v>
      </c>
      <c r="D13" s="265">
        <v>3.1772480000000001</v>
      </c>
      <c r="E13" s="265">
        <v>3.077051</v>
      </c>
      <c r="F13" s="265">
        <v>3.2906219999999999</v>
      </c>
      <c r="G13" s="265">
        <v>3.4279510000000002</v>
      </c>
      <c r="H13" s="265">
        <v>3.6456810000000002</v>
      </c>
      <c r="I13" s="265">
        <v>3.9022679999999998</v>
      </c>
      <c r="J13" s="265"/>
      <c r="K13" s="266">
        <f t="shared" si="5"/>
        <v>0.11640651602937659</v>
      </c>
      <c r="L13" s="266">
        <f t="shared" si="5"/>
        <v>-3.1535781909375692E-2</v>
      </c>
      <c r="M13" s="266">
        <f t="shared" si="5"/>
        <v>6.9407689375314205E-2</v>
      </c>
      <c r="N13" s="266">
        <f t="shared" si="5"/>
        <v>4.1733447354330051E-2</v>
      </c>
      <c r="O13" s="266">
        <f t="shared" si="5"/>
        <v>6.3516077096784626E-2</v>
      </c>
      <c r="P13" s="266">
        <f t="shared" si="5"/>
        <v>7.0381089294428031E-2</v>
      </c>
    </row>
    <row r="14" spans="1:16">
      <c r="A14" s="223" t="s">
        <v>721</v>
      </c>
      <c r="B14" s="226">
        <v>2.1897199999999999</v>
      </c>
      <c r="C14" s="226">
        <f>B14*Conv!$I$45/Conv!$I$43</f>
        <v>2.2717390346899053</v>
      </c>
      <c r="D14" s="265">
        <v>2.5727730000000002</v>
      </c>
      <c r="E14" s="265">
        <v>2.6290439999999999</v>
      </c>
      <c r="F14" s="265">
        <v>2.9649700000000001</v>
      </c>
      <c r="G14" s="265">
        <v>3.2005089999999998</v>
      </c>
      <c r="H14" s="265">
        <v>3.486694</v>
      </c>
      <c r="I14" s="265">
        <v>3.78898</v>
      </c>
      <c r="J14" s="265"/>
      <c r="K14" s="266">
        <f t="shared" si="5"/>
        <v>0.13251256447736581</v>
      </c>
      <c r="L14" s="266">
        <f t="shared" si="5"/>
        <v>2.1871731396434793E-2</v>
      </c>
      <c r="M14" s="266">
        <f t="shared" si="5"/>
        <v>0.12777496306642269</v>
      </c>
      <c r="N14" s="266">
        <f t="shared" si="5"/>
        <v>7.9440601422611265E-2</v>
      </c>
      <c r="O14" s="266">
        <f t="shared" si="5"/>
        <v>8.941858935563067E-2</v>
      </c>
      <c r="P14" s="266">
        <f t="shared" si="5"/>
        <v>8.6697025893296073E-2</v>
      </c>
    </row>
    <row r="15" spans="1:16">
      <c r="A15" s="223" t="s">
        <v>722</v>
      </c>
      <c r="B15" s="226">
        <v>2.9746190000000001</v>
      </c>
      <c r="C15" s="226">
        <f>B15*Conv!$I$45/Conv!$I$43</f>
        <v>3.0860375279169263</v>
      </c>
      <c r="D15" s="265">
        <v>3.4059539999999999</v>
      </c>
      <c r="E15" s="265">
        <v>3.526424</v>
      </c>
      <c r="F15" s="265">
        <v>3.8380190000000001</v>
      </c>
      <c r="G15" s="265">
        <v>4.0693799999999998</v>
      </c>
      <c r="H15" s="265">
        <v>4.3320270000000001</v>
      </c>
      <c r="I15" s="265">
        <v>4.6004139999999998</v>
      </c>
      <c r="J15" s="265"/>
      <c r="K15" s="266">
        <f t="shared" si="5"/>
        <v>0.10366577502348685</v>
      </c>
      <c r="L15" s="266">
        <f t="shared" si="5"/>
        <v>3.5370413105990296E-2</v>
      </c>
      <c r="M15" s="266">
        <f t="shared" si="5"/>
        <v>8.836004972742928E-2</v>
      </c>
      <c r="N15" s="266">
        <f t="shared" si="5"/>
        <v>6.0281358690511877E-2</v>
      </c>
      <c r="O15" s="266">
        <f t="shared" si="5"/>
        <v>6.4542264423573206E-2</v>
      </c>
      <c r="P15" s="266">
        <f t="shared" si="5"/>
        <v>6.1954138328315984E-2</v>
      </c>
    </row>
    <row r="16" spans="1:16">
      <c r="A16" s="223" t="s">
        <v>723</v>
      </c>
      <c r="B16" s="226">
        <v>1.619048</v>
      </c>
      <c r="C16" s="226">
        <f>B16*Conv!$I$45/Conv!$I$43</f>
        <v>1.6796917142998291</v>
      </c>
      <c r="D16" s="265">
        <v>1.9226570000000001</v>
      </c>
      <c r="E16" s="265">
        <v>1.968766</v>
      </c>
      <c r="F16" s="265">
        <v>2.226823</v>
      </c>
      <c r="G16" s="265">
        <v>2.4429020000000001</v>
      </c>
      <c r="H16" s="265">
        <v>2.662566</v>
      </c>
      <c r="I16" s="265">
        <v>2.9075760000000002</v>
      </c>
      <c r="J16" s="265"/>
      <c r="K16" s="266">
        <f t="shared" si="5"/>
        <v>0.1446487374032501</v>
      </c>
      <c r="L16" s="266">
        <f t="shared" si="5"/>
        <v>2.3981916691328695E-2</v>
      </c>
      <c r="M16" s="266">
        <f t="shared" si="5"/>
        <v>0.13107550618001326</v>
      </c>
      <c r="N16" s="266">
        <f t="shared" si="5"/>
        <v>9.7034654303462892E-2</v>
      </c>
      <c r="O16" s="266">
        <f t="shared" si="5"/>
        <v>8.9919284523079457E-2</v>
      </c>
      <c r="P16" s="266">
        <f t="shared" si="5"/>
        <v>9.2020254145812788E-2</v>
      </c>
    </row>
    <row r="17" spans="1:16">
      <c r="A17" s="223" t="s">
        <v>984</v>
      </c>
      <c r="B17" s="226">
        <v>68.000007999999994</v>
      </c>
      <c r="C17" s="226">
        <f>B17*Conv!$I$45/Conv!$I$43</f>
        <v>70.547043700941586</v>
      </c>
      <c r="D17" s="265">
        <v>80.751602000000005</v>
      </c>
      <c r="E17" s="265">
        <v>82.688179000000005</v>
      </c>
      <c r="F17" s="265">
        <v>93.526566000000003</v>
      </c>
      <c r="G17" s="265">
        <v>102.601883</v>
      </c>
      <c r="H17" s="265">
        <v>111.827789</v>
      </c>
      <c r="I17" s="265">
        <v>122.118172</v>
      </c>
      <c r="J17" s="265"/>
      <c r="K17" s="266">
        <f t="shared" si="5"/>
        <v>0.14464898546729918</v>
      </c>
      <c r="L17" s="266">
        <f t="shared" si="5"/>
        <v>2.3981901931803155E-2</v>
      </c>
      <c r="M17" s="266">
        <f t="shared" si="5"/>
        <v>0.1310754104283757</v>
      </c>
      <c r="N17" s="266">
        <f t="shared" si="5"/>
        <v>9.7034643611313587E-2</v>
      </c>
      <c r="O17" s="266">
        <f t="shared" si="5"/>
        <v>8.9919460834846421E-2</v>
      </c>
      <c r="P17" s="266">
        <f t="shared" si="5"/>
        <v>9.2019909291061866E-2</v>
      </c>
    </row>
    <row r="18" spans="1:16">
      <c r="A18" s="230" t="s">
        <v>724</v>
      </c>
      <c r="B18" s="232">
        <v>2.5276670000000001</v>
      </c>
      <c r="C18" s="264">
        <f>B18*Conv!$I$45/Conv!$I$43</f>
        <v>2.6223443137010802</v>
      </c>
      <c r="D18" s="267">
        <v>2.823601</v>
      </c>
      <c r="E18" s="267">
        <v>2.796754</v>
      </c>
      <c r="F18" s="267">
        <v>3.0178940000000001</v>
      </c>
      <c r="G18" s="267">
        <v>3.191249</v>
      </c>
      <c r="H18" s="267">
        <v>3.4286270000000001</v>
      </c>
      <c r="I18" s="267">
        <v>3.6855289999999998</v>
      </c>
      <c r="J18" s="267"/>
      <c r="K18" s="263">
        <f t="shared" si="5"/>
        <v>7.6746857858216763E-2</v>
      </c>
      <c r="L18" s="263">
        <f t="shared" si="5"/>
        <v>-9.5080714307722893E-3</v>
      </c>
      <c r="M18" s="263">
        <f t="shared" si="5"/>
        <v>7.9070236424083104E-2</v>
      </c>
      <c r="N18" s="263">
        <f t="shared" si="5"/>
        <v>5.7442375378326714E-2</v>
      </c>
      <c r="O18" s="263">
        <f t="shared" si="5"/>
        <v>7.4384042110158144E-2</v>
      </c>
      <c r="P18" s="263">
        <f t="shared" si="5"/>
        <v>7.4928535533319823E-2</v>
      </c>
    </row>
    <row r="19" spans="1:16">
      <c r="K19" s="227">
        <f>D18/C18</f>
        <v>1.0767468578582167</v>
      </c>
      <c r="L19" s="227">
        <f t="shared" ref="L19:P19" si="6">E18/D18</f>
        <v>0.99049192856922774</v>
      </c>
      <c r="M19" s="227">
        <f t="shared" si="6"/>
        <v>1.0790702364240832</v>
      </c>
      <c r="N19" s="227">
        <f t="shared" si="6"/>
        <v>1.0574423753783266</v>
      </c>
      <c r="O19" s="227">
        <f t="shared" si="6"/>
        <v>1.0743840421101583</v>
      </c>
      <c r="P19" s="227">
        <f t="shared" si="6"/>
        <v>1.0749285355333198</v>
      </c>
    </row>
    <row r="26" spans="1:16">
      <c r="A26" s="230"/>
    </row>
    <row r="27" spans="1:16">
      <c r="A27" s="223"/>
      <c r="B27" s="226"/>
      <c r="C27" s="226"/>
      <c r="D27" s="226"/>
      <c r="E27" s="226"/>
      <c r="F27" s="226"/>
      <c r="G27" s="226"/>
    </row>
    <row r="28" spans="1:16">
      <c r="A28" s="223"/>
      <c r="B28" s="226"/>
      <c r="C28" s="226"/>
      <c r="D28" s="226"/>
      <c r="E28" s="226"/>
      <c r="F28" s="226"/>
      <c r="G28" s="226"/>
    </row>
    <row r="29" spans="1:16">
      <c r="A29" s="223"/>
      <c r="B29" s="226"/>
      <c r="C29" s="226"/>
      <c r="D29" s="226"/>
      <c r="E29" s="226"/>
      <c r="F29" s="226"/>
      <c r="G29" s="226"/>
    </row>
    <row r="30" spans="1:16">
      <c r="A30" s="223"/>
      <c r="B30" s="265"/>
      <c r="C30" s="265"/>
      <c r="D30" s="265"/>
      <c r="E30" s="265"/>
      <c r="F30" s="265"/>
      <c r="G30" s="265"/>
    </row>
    <row r="31" spans="1:16">
      <c r="A31" s="223"/>
      <c r="B31" s="265"/>
      <c r="C31" s="265"/>
      <c r="D31" s="265"/>
      <c r="E31" s="265"/>
      <c r="F31" s="265"/>
      <c r="G31" s="265"/>
    </row>
    <row r="32" spans="1:16">
      <c r="A32" s="223"/>
      <c r="B32" s="265"/>
      <c r="C32" s="265"/>
      <c r="D32" s="265"/>
      <c r="E32" s="265"/>
      <c r="F32" s="265"/>
      <c r="G32" s="265"/>
    </row>
    <row r="33" spans="1:7">
      <c r="A33" s="230"/>
      <c r="B33" s="267"/>
      <c r="C33" s="267"/>
      <c r="D33" s="267"/>
      <c r="E33" s="267"/>
      <c r="F33" s="267"/>
      <c r="G33" s="267"/>
    </row>
  </sheetData>
  <mergeCells count="3">
    <mergeCell ref="A1:H1"/>
    <mergeCell ref="A2:H2"/>
    <mergeCell ref="A3:H3"/>
  </mergeCells>
  <pageMargins left="0.7" right="0.7" top="0.75" bottom="0.75" header="0.3" footer="0.3"/>
  <pageSetup orientation="portrait" r:id="rId1"/>
  <legacy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Sheet26"/>
  <dimension ref="A1:Z764"/>
  <sheetViews>
    <sheetView topLeftCell="A110" zoomScale="75" workbookViewId="0">
      <selection activeCell="B40" sqref="B40"/>
    </sheetView>
  </sheetViews>
  <sheetFormatPr defaultColWidth="9.140625" defaultRowHeight="12.75"/>
  <cols>
    <col min="1" max="1" width="22.85546875" style="195" customWidth="1"/>
    <col min="2" max="2" width="9.7109375" style="195" customWidth="1"/>
    <col min="3" max="3" width="10.42578125" style="195" bestFit="1" customWidth="1"/>
    <col min="4" max="7" width="9.140625" style="195"/>
    <col min="8" max="8" width="10.7109375" style="195" customWidth="1"/>
    <col min="9" max="11" width="9.140625" style="195"/>
    <col min="12" max="12" width="19.5703125" style="195" customWidth="1"/>
    <col min="13" max="16384" width="9.140625" style="195"/>
  </cols>
  <sheetData>
    <row r="1" spans="1:18" ht="15.75">
      <c r="A1" s="237" t="s">
        <v>189</v>
      </c>
    </row>
    <row r="3" spans="1:18" ht="15.75">
      <c r="A3" s="444" t="s">
        <v>190</v>
      </c>
      <c r="B3" s="444"/>
      <c r="C3" s="444"/>
      <c r="D3" s="444"/>
      <c r="E3" s="444"/>
      <c r="F3" s="444"/>
      <c r="H3" s="444" t="s">
        <v>191</v>
      </c>
      <c r="I3" s="444"/>
      <c r="J3" s="444"/>
      <c r="K3" s="444"/>
      <c r="L3" s="444"/>
      <c r="M3" s="444"/>
      <c r="N3" s="444"/>
      <c r="O3" s="444"/>
      <c r="P3" s="444"/>
      <c r="Q3" s="444"/>
      <c r="R3" s="444"/>
    </row>
    <row r="4" spans="1:18">
      <c r="B4" s="205" t="s">
        <v>138</v>
      </c>
      <c r="C4" s="205" t="s">
        <v>192</v>
      </c>
      <c r="D4" s="205" t="s">
        <v>193</v>
      </c>
      <c r="E4" s="205" t="s">
        <v>194</v>
      </c>
      <c r="F4" s="205" t="s">
        <v>195</v>
      </c>
      <c r="H4" s="205">
        <v>2000</v>
      </c>
      <c r="I4" s="205">
        <v>2005</v>
      </c>
      <c r="J4" s="205">
        <v>2010</v>
      </c>
      <c r="K4" s="205">
        <v>2015</v>
      </c>
      <c r="L4" s="205">
        <v>2020</v>
      </c>
      <c r="M4" s="205">
        <v>2025</v>
      </c>
      <c r="N4" s="205">
        <v>2030</v>
      </c>
      <c r="O4" s="205">
        <v>2035</v>
      </c>
      <c r="P4" s="205">
        <v>2040</v>
      </c>
      <c r="Q4" s="205">
        <v>2045</v>
      </c>
      <c r="R4" s="205">
        <v>2050</v>
      </c>
    </row>
    <row r="5" spans="1:18">
      <c r="A5" s="195" t="s">
        <v>438</v>
      </c>
    </row>
    <row r="6" spans="1:18">
      <c r="A6" s="195" t="s">
        <v>440</v>
      </c>
      <c r="B6" s="217">
        <f>C114*Conv!$J$37</f>
        <v>0.24124226877931862</v>
      </c>
      <c r="H6" s="217">
        <v>1</v>
      </c>
      <c r="I6" s="217">
        <v>1</v>
      </c>
      <c r="J6" s="217">
        <f>(F114/C114)^0.2</f>
        <v>0.99894088069057307</v>
      </c>
      <c r="K6" s="217">
        <f>(K114/F114)^0.2</f>
        <v>1.0091219866990524</v>
      </c>
      <c r="L6" s="270">
        <f>(P114/K114)^0.2</f>
        <v>1.0474027122826346</v>
      </c>
      <c r="M6" s="217">
        <f>(U114/M114)^0.2</f>
        <v>1.0294247264650762</v>
      </c>
      <c r="N6" s="217">
        <f>(Z114/U114)^0.2</f>
        <v>1.0048485324802101</v>
      </c>
      <c r="O6" s="217">
        <f t="shared" ref="O6:R7" si="0">N6</f>
        <v>1.0048485324802101</v>
      </c>
      <c r="P6" s="217">
        <f t="shared" si="0"/>
        <v>1.0048485324802101</v>
      </c>
      <c r="Q6" s="217">
        <f t="shared" si="0"/>
        <v>1.0048485324802101</v>
      </c>
      <c r="R6" s="217">
        <f t="shared" si="0"/>
        <v>1.0048485324802101</v>
      </c>
    </row>
    <row r="7" spans="1:18">
      <c r="A7" s="195" t="s">
        <v>439</v>
      </c>
      <c r="C7" s="217">
        <f>C115*Conv!$J$37</f>
        <v>0.43527256093028566</v>
      </c>
      <c r="H7" s="217">
        <v>1</v>
      </c>
      <c r="I7" s="217">
        <v>1</v>
      </c>
      <c r="J7" s="217">
        <f>(F115/C115)^0.2</f>
        <v>0.97808286362230512</v>
      </c>
      <c r="K7" s="217">
        <f>(K115/F115)^0.2</f>
        <v>1.0030540522067106</v>
      </c>
      <c r="L7" s="270">
        <f>(P115/K115)^0.2</f>
        <v>1.0306245973949955</v>
      </c>
      <c r="M7" s="217">
        <f>(U115/M115)^0.2</f>
        <v>1.0124452923985474</v>
      </c>
      <c r="N7" s="217">
        <f>(Z115/U115)^0.2</f>
        <v>1.0029571562298618</v>
      </c>
      <c r="O7" s="217">
        <f t="shared" si="0"/>
        <v>1.0029571562298618</v>
      </c>
      <c r="P7" s="217">
        <f t="shared" si="0"/>
        <v>1.0029571562298618</v>
      </c>
      <c r="Q7" s="217">
        <f t="shared" si="0"/>
        <v>1.0029571562298618</v>
      </c>
      <c r="R7" s="217">
        <f t="shared" si="0"/>
        <v>1.0029571562298618</v>
      </c>
    </row>
    <row r="8" spans="1:18">
      <c r="A8" s="195" t="s">
        <v>518</v>
      </c>
      <c r="C8" s="217">
        <f>C115*Conv!$J$37</f>
        <v>0.43527256093028566</v>
      </c>
      <c r="H8" s="217">
        <f t="shared" ref="H8:R8" si="1">H7</f>
        <v>1</v>
      </c>
      <c r="I8" s="217">
        <f t="shared" si="1"/>
        <v>1</v>
      </c>
      <c r="J8" s="217">
        <f t="shared" si="1"/>
        <v>0.97808286362230512</v>
      </c>
      <c r="K8" s="217">
        <f t="shared" si="1"/>
        <v>1.0030540522067106</v>
      </c>
      <c r="L8" s="270">
        <f t="shared" si="1"/>
        <v>1.0306245973949955</v>
      </c>
      <c r="M8" s="217">
        <f t="shared" si="1"/>
        <v>1.0124452923985474</v>
      </c>
      <c r="N8" s="217">
        <f t="shared" si="1"/>
        <v>1.0029571562298618</v>
      </c>
      <c r="O8" s="217">
        <f t="shared" si="1"/>
        <v>1.0029571562298618</v>
      </c>
      <c r="P8" s="217">
        <f t="shared" si="1"/>
        <v>1.0029571562298618</v>
      </c>
      <c r="Q8" s="217">
        <f t="shared" si="1"/>
        <v>1.0029571562298618</v>
      </c>
      <c r="R8" s="217">
        <f t="shared" si="1"/>
        <v>1.0029571562298618</v>
      </c>
    </row>
    <row r="9" spans="1:18">
      <c r="A9" s="195" t="s">
        <v>517</v>
      </c>
      <c r="B9" s="217">
        <f>C114*Conv!$J$37</f>
        <v>0.24124226877931862</v>
      </c>
      <c r="H9" s="217">
        <f t="shared" ref="H9:R9" si="2">H6</f>
        <v>1</v>
      </c>
      <c r="I9" s="217">
        <f t="shared" si="2"/>
        <v>1</v>
      </c>
      <c r="J9" s="217">
        <f t="shared" si="2"/>
        <v>0.99894088069057307</v>
      </c>
      <c r="K9" s="217">
        <f t="shared" si="2"/>
        <v>1.0091219866990524</v>
      </c>
      <c r="L9" s="270">
        <f t="shared" si="2"/>
        <v>1.0474027122826346</v>
      </c>
      <c r="M9" s="217">
        <f t="shared" si="2"/>
        <v>1.0294247264650762</v>
      </c>
      <c r="N9" s="217">
        <f t="shared" si="2"/>
        <v>1.0048485324802101</v>
      </c>
      <c r="O9" s="217">
        <f t="shared" si="2"/>
        <v>1.0048485324802101</v>
      </c>
      <c r="P9" s="217">
        <f t="shared" si="2"/>
        <v>1.0048485324802101</v>
      </c>
      <c r="Q9" s="217">
        <f t="shared" si="2"/>
        <v>1.0048485324802101</v>
      </c>
      <c r="R9" s="217">
        <f t="shared" si="2"/>
        <v>1.0048485324802101</v>
      </c>
    </row>
    <row r="10" spans="1:18">
      <c r="A10" s="195" t="s">
        <v>519</v>
      </c>
      <c r="D10" s="217">
        <f>C116*Conv!$J$37</f>
        <v>0.32380835054568741</v>
      </c>
      <c r="H10" s="217">
        <f t="shared" ref="H10:R10" si="3">H7</f>
        <v>1</v>
      </c>
      <c r="I10" s="217">
        <f t="shared" si="3"/>
        <v>1</v>
      </c>
      <c r="J10" s="217">
        <f t="shared" si="3"/>
        <v>0.97808286362230512</v>
      </c>
      <c r="K10" s="217">
        <f t="shared" si="3"/>
        <v>1.0030540522067106</v>
      </c>
      <c r="L10" s="270">
        <f t="shared" si="3"/>
        <v>1.0306245973949955</v>
      </c>
      <c r="M10" s="217">
        <f t="shared" si="3"/>
        <v>1.0124452923985474</v>
      </c>
      <c r="N10" s="217">
        <f t="shared" si="3"/>
        <v>1.0029571562298618</v>
      </c>
      <c r="O10" s="217">
        <f t="shared" si="3"/>
        <v>1.0029571562298618</v>
      </c>
      <c r="P10" s="217">
        <f t="shared" si="3"/>
        <v>1.0029571562298618</v>
      </c>
      <c r="Q10" s="217">
        <f t="shared" si="3"/>
        <v>1.0029571562298618</v>
      </c>
      <c r="R10" s="217">
        <f t="shared" si="3"/>
        <v>1.0029571562298618</v>
      </c>
    </row>
    <row r="11" spans="1:18">
      <c r="A11" s="195" t="s">
        <v>520</v>
      </c>
      <c r="D11" s="217">
        <f>C116*Conv!$J$37</f>
        <v>0.32380835054568741</v>
      </c>
      <c r="H11" s="217">
        <v>1</v>
      </c>
      <c r="I11" s="217">
        <v>1</v>
      </c>
      <c r="J11" s="217">
        <f>(F116/C116)^0.2</f>
        <v>0.97855069794122851</v>
      </c>
      <c r="K11" s="217">
        <f>(K116/F116)^0.2</f>
        <v>1.0061752605892629</v>
      </c>
      <c r="L11" s="270">
        <f>(P116/K116)^0.2</f>
        <v>1.0343466495554283</v>
      </c>
      <c r="M11" s="217">
        <f>(U116/M116)^0.2</f>
        <v>1.0204801989003049</v>
      </c>
      <c r="N11" s="217">
        <f>(Z116/U116)^0.2</f>
        <v>1.0094577988052018</v>
      </c>
      <c r="O11" s="217">
        <f t="shared" ref="O11:R13" si="4">N11</f>
        <v>1.0094577988052018</v>
      </c>
      <c r="P11" s="217">
        <f t="shared" si="4"/>
        <v>1.0094577988052018</v>
      </c>
      <c r="Q11" s="217">
        <f t="shared" si="4"/>
        <v>1.0094577988052018</v>
      </c>
      <c r="R11" s="217">
        <f t="shared" si="4"/>
        <v>1.0094577988052018</v>
      </c>
    </row>
    <row r="12" spans="1:18">
      <c r="A12" s="195" t="s">
        <v>521</v>
      </c>
      <c r="E12" s="217">
        <f>C117*Conv!$J$37</f>
        <v>0.59214811628638664</v>
      </c>
      <c r="H12" s="217">
        <v>1</v>
      </c>
      <c r="I12" s="217">
        <v>1</v>
      </c>
      <c r="J12" s="217">
        <f>(F117/C117)^0.2</f>
        <v>0.9818410280065758</v>
      </c>
      <c r="K12" s="217">
        <f>(K117/F117)^0.2</f>
        <v>1.0236140951217125</v>
      </c>
      <c r="L12" s="270">
        <f>(P117/K117)^0.2</f>
        <v>0.99774621723105594</v>
      </c>
      <c r="M12" s="217">
        <f>(U117/M117)^0.2</f>
        <v>0.98780614662011257</v>
      </c>
      <c r="N12" s="217">
        <f>(Z117/U117)^0.2</f>
        <v>0.993959644470926</v>
      </c>
      <c r="O12" s="217">
        <f t="shared" si="4"/>
        <v>0.993959644470926</v>
      </c>
      <c r="P12" s="217">
        <f t="shared" si="4"/>
        <v>0.993959644470926</v>
      </c>
      <c r="Q12" s="217">
        <f t="shared" si="4"/>
        <v>0.993959644470926</v>
      </c>
      <c r="R12" s="217">
        <f t="shared" si="4"/>
        <v>0.993959644470926</v>
      </c>
    </row>
    <row r="13" spans="1:18">
      <c r="A13" s="195" t="s">
        <v>522</v>
      </c>
      <c r="F13" s="217">
        <f>C118*Conv!$J$37</f>
        <v>0.56634621573439636</v>
      </c>
      <c r="H13" s="217">
        <v>1</v>
      </c>
      <c r="I13" s="217">
        <v>1</v>
      </c>
      <c r="J13" s="217">
        <f>(F118/C118)^0.2</f>
        <v>1.0099205895969323</v>
      </c>
      <c r="K13" s="217">
        <f>(K118/F118)^0.2</f>
        <v>1.0114600426251472</v>
      </c>
      <c r="L13" s="270">
        <f>(P118/K118)^0.2</f>
        <v>0.99450003739669668</v>
      </c>
      <c r="M13" s="217">
        <f>(U118/M118)^0.2</f>
        <v>1.0005985318882773</v>
      </c>
      <c r="N13" s="217">
        <f>(Z118/U118)^0.2</f>
        <v>0.999138098407652</v>
      </c>
      <c r="O13" s="217">
        <f t="shared" si="4"/>
        <v>0.999138098407652</v>
      </c>
      <c r="P13" s="217">
        <f t="shared" si="4"/>
        <v>0.999138098407652</v>
      </c>
      <c r="Q13" s="217">
        <f t="shared" si="4"/>
        <v>0.999138098407652</v>
      </c>
      <c r="R13" s="217">
        <f t="shared" si="4"/>
        <v>0.999138098407652</v>
      </c>
    </row>
    <row r="14" spans="1:18">
      <c r="H14" s="217"/>
      <c r="I14" s="217"/>
      <c r="J14" s="217"/>
      <c r="K14" s="217"/>
      <c r="L14" s="217"/>
      <c r="M14" s="217"/>
      <c r="N14" s="217"/>
      <c r="O14" s="217"/>
      <c r="P14" s="217"/>
      <c r="Q14" s="217"/>
      <c r="R14" s="217"/>
    </row>
    <row r="17" spans="1:6" ht="15.75">
      <c r="A17" s="444" t="s">
        <v>196</v>
      </c>
      <c r="B17" s="444"/>
      <c r="C17" s="444"/>
      <c r="D17" s="444"/>
      <c r="E17" s="444"/>
      <c r="F17" s="444"/>
    </row>
    <row r="18" spans="1:6">
      <c r="B18" s="205" t="s">
        <v>138</v>
      </c>
      <c r="C18" s="205" t="s">
        <v>192</v>
      </c>
      <c r="D18" s="205" t="s">
        <v>193</v>
      </c>
      <c r="E18" s="205" t="s">
        <v>194</v>
      </c>
      <c r="F18" s="205" t="s">
        <v>195</v>
      </c>
    </row>
    <row r="19" spans="1:6">
      <c r="A19" s="195" t="s">
        <v>197</v>
      </c>
      <c r="B19" s="205">
        <f t="shared" ref="B19:B34" si="5">C246</f>
        <v>1.0169999999999999</v>
      </c>
      <c r="C19" s="205">
        <f t="shared" ref="C19:C34" si="6">C270</f>
        <v>1.008</v>
      </c>
      <c r="D19" s="205">
        <f t="shared" ref="D19:D34" si="7">C294</f>
        <v>0.97099999999999997</v>
      </c>
      <c r="E19" s="205">
        <f t="shared" ref="E19:E34" si="8">C318</f>
        <v>1.127</v>
      </c>
      <c r="F19" s="205">
        <f t="shared" ref="F19:F34" si="9">C342</f>
        <v>1.165</v>
      </c>
    </row>
    <row r="20" spans="1:6">
      <c r="A20" s="195" t="s">
        <v>198</v>
      </c>
      <c r="B20" s="205">
        <f t="shared" si="5"/>
        <v>0.97899999999999998</v>
      </c>
      <c r="C20" s="205">
        <f t="shared" si="6"/>
        <v>0.99</v>
      </c>
      <c r="D20" s="205">
        <f t="shared" si="7"/>
        <v>0.95699999999999996</v>
      </c>
      <c r="E20" s="205">
        <f t="shared" si="8"/>
        <v>1.1140000000000001</v>
      </c>
      <c r="F20" s="205">
        <f t="shared" si="9"/>
        <v>1.1240000000000001</v>
      </c>
    </row>
    <row r="21" spans="1:6">
      <c r="A21" s="195" t="s">
        <v>199</v>
      </c>
      <c r="B21" s="205">
        <f t="shared" si="5"/>
        <v>1.077</v>
      </c>
      <c r="C21" s="205">
        <f t="shared" si="6"/>
        <v>1.105</v>
      </c>
      <c r="D21" s="205">
        <f t="shared" si="7"/>
        <v>1.032</v>
      </c>
      <c r="E21" s="205">
        <f t="shared" si="8"/>
        <v>1.2070000000000001</v>
      </c>
      <c r="F21" s="205">
        <f t="shared" si="9"/>
        <v>1.19</v>
      </c>
    </row>
    <row r="22" spans="1:6">
      <c r="A22" s="195" t="s">
        <v>200</v>
      </c>
      <c r="B22" s="205">
        <f t="shared" si="5"/>
        <v>0</v>
      </c>
      <c r="C22" s="205">
        <f t="shared" si="6"/>
        <v>0.98299999999999998</v>
      </c>
      <c r="D22" s="205">
        <f t="shared" si="7"/>
        <v>0.94299999999999995</v>
      </c>
      <c r="E22" s="205">
        <f t="shared" si="8"/>
        <v>1.1140000000000001</v>
      </c>
      <c r="F22" s="205">
        <f t="shared" si="9"/>
        <v>0.77700000000000002</v>
      </c>
    </row>
    <row r="23" spans="1:6">
      <c r="A23" s="195" t="s">
        <v>461</v>
      </c>
      <c r="B23" s="205">
        <f t="shared" si="5"/>
        <v>0</v>
      </c>
      <c r="C23" s="205">
        <f t="shared" si="6"/>
        <v>0</v>
      </c>
      <c r="D23" s="205">
        <f t="shared" si="7"/>
        <v>0</v>
      </c>
      <c r="E23" s="205">
        <f t="shared" si="8"/>
        <v>0</v>
      </c>
      <c r="F23" s="205">
        <f t="shared" si="9"/>
        <v>1.19</v>
      </c>
    </row>
    <row r="24" spans="1:6">
      <c r="A24" s="195" t="s">
        <v>201</v>
      </c>
      <c r="B24" s="205">
        <f t="shared" si="5"/>
        <v>0.84399999999999997</v>
      </c>
      <c r="C24" s="205">
        <f t="shared" si="6"/>
        <v>0.85899999999999999</v>
      </c>
      <c r="D24" s="205">
        <f t="shared" si="7"/>
        <v>0.84599999999999997</v>
      </c>
      <c r="E24" s="205">
        <f t="shared" si="8"/>
        <v>0.88100000000000001</v>
      </c>
      <c r="F24" s="205">
        <f t="shared" si="9"/>
        <v>0.83099999999999996</v>
      </c>
    </row>
    <row r="25" spans="1:6">
      <c r="A25" s="195" t="s">
        <v>202</v>
      </c>
      <c r="B25" s="205">
        <f t="shared" si="5"/>
        <v>0.86799999999999999</v>
      </c>
      <c r="C25" s="205">
        <f t="shared" si="6"/>
        <v>0.86</v>
      </c>
      <c r="D25" s="205">
        <f t="shared" si="7"/>
        <v>0.85299999999999998</v>
      </c>
      <c r="E25" s="205">
        <f t="shared" si="8"/>
        <v>0.93600000000000005</v>
      </c>
      <c r="F25" s="205">
        <f t="shared" si="9"/>
        <v>0.86599999999999999</v>
      </c>
    </row>
    <row r="26" spans="1:6">
      <c r="A26" s="195" t="s">
        <v>203</v>
      </c>
      <c r="B26" s="205">
        <f t="shared" si="5"/>
        <v>0.96199999999999997</v>
      </c>
      <c r="C26" s="205">
        <f t="shared" si="6"/>
        <v>0.96699999999999997</v>
      </c>
      <c r="D26" s="205">
        <f t="shared" si="7"/>
        <v>0.94699999999999995</v>
      </c>
      <c r="E26" s="205">
        <f t="shared" si="8"/>
        <v>1.03</v>
      </c>
      <c r="F26" s="205">
        <f t="shared" si="9"/>
        <v>0.88500000000000001</v>
      </c>
    </row>
    <row r="27" spans="1:6">
      <c r="A27" s="195" t="s">
        <v>204</v>
      </c>
      <c r="B27" s="205">
        <f t="shared" si="5"/>
        <v>0.86</v>
      </c>
      <c r="C27" s="205">
        <f t="shared" si="6"/>
        <v>0.84899999999999998</v>
      </c>
      <c r="D27" s="205">
        <f t="shared" si="7"/>
        <v>0.84499999999999997</v>
      </c>
      <c r="E27" s="205">
        <f t="shared" si="8"/>
        <v>0.91500000000000004</v>
      </c>
      <c r="F27" s="205">
        <f t="shared" si="9"/>
        <v>0.83599999999999997</v>
      </c>
    </row>
    <row r="28" spans="1:6">
      <c r="A28" s="195" t="s">
        <v>205</v>
      </c>
      <c r="B28" s="205">
        <f t="shared" si="5"/>
        <v>0.84399999999999997</v>
      </c>
      <c r="C28" s="205">
        <f t="shared" si="6"/>
        <v>0.85899999999999999</v>
      </c>
      <c r="D28" s="205">
        <f t="shared" si="7"/>
        <v>0.84599999999999997</v>
      </c>
      <c r="E28" s="205">
        <f t="shared" si="8"/>
        <v>0.88100000000000001</v>
      </c>
      <c r="F28" s="205">
        <f t="shared" si="9"/>
        <v>0.83099999999999996</v>
      </c>
    </row>
    <row r="29" spans="1:6">
      <c r="A29" s="195" t="s">
        <v>206</v>
      </c>
      <c r="B29" s="205">
        <f t="shared" si="5"/>
        <v>0.57199999999999995</v>
      </c>
      <c r="C29" s="205">
        <f t="shared" si="6"/>
        <v>0.56899999999999995</v>
      </c>
      <c r="D29" s="205">
        <f t="shared" si="7"/>
        <v>0.56899999999999995</v>
      </c>
      <c r="E29" s="205">
        <f t="shared" si="8"/>
        <v>0.55000000000000004</v>
      </c>
      <c r="F29" s="205">
        <f t="shared" si="9"/>
        <v>0.224</v>
      </c>
    </row>
    <row r="30" spans="1:6">
      <c r="A30" s="195" t="s">
        <v>207</v>
      </c>
      <c r="B30" s="205">
        <f t="shared" si="5"/>
        <v>0.57199999999999995</v>
      </c>
      <c r="C30" s="205">
        <f t="shared" si="6"/>
        <v>0.44800000000000001</v>
      </c>
      <c r="D30" s="205">
        <f t="shared" si="7"/>
        <v>0.43</v>
      </c>
      <c r="E30" s="205">
        <f t="shared" si="8"/>
        <v>0.41099999999999998</v>
      </c>
      <c r="F30" s="205">
        <f t="shared" si="9"/>
        <v>8.1000000000000003E-2</v>
      </c>
    </row>
    <row r="31" spans="1:6">
      <c r="A31" s="195" t="s">
        <v>208</v>
      </c>
      <c r="B31" s="205">
        <f t="shared" si="5"/>
        <v>0.61399999999999999</v>
      </c>
      <c r="C31" s="205">
        <f t="shared" si="6"/>
        <v>0.72599999999999998</v>
      </c>
      <c r="D31" s="205">
        <f t="shared" si="7"/>
        <v>0.73599999999999999</v>
      </c>
      <c r="E31" s="205">
        <f t="shared" si="8"/>
        <v>0.72099999999999997</v>
      </c>
      <c r="F31" s="205">
        <f t="shared" si="9"/>
        <v>0.70599999999999996</v>
      </c>
    </row>
    <row r="32" spans="1:6">
      <c r="A32" s="195" t="s">
        <v>209</v>
      </c>
      <c r="B32" s="205">
        <f t="shared" si="5"/>
        <v>0</v>
      </c>
      <c r="C32" s="205">
        <f t="shared" si="6"/>
        <v>0.69299999999999995</v>
      </c>
      <c r="D32" s="205">
        <f t="shared" si="7"/>
        <v>0.72299999999999998</v>
      </c>
      <c r="E32" s="205">
        <f t="shared" si="8"/>
        <v>0.70499999999999996</v>
      </c>
      <c r="F32" s="205">
        <f t="shared" si="9"/>
        <v>0.66500000000000004</v>
      </c>
    </row>
    <row r="33" spans="1:10">
      <c r="A33" s="195" t="s">
        <v>210</v>
      </c>
      <c r="B33" s="205">
        <f t="shared" si="5"/>
        <v>0.61299999999999999</v>
      </c>
      <c r="C33" s="205">
        <f t="shared" si="6"/>
        <v>0.68700000000000006</v>
      </c>
      <c r="D33" s="205">
        <f t="shared" si="7"/>
        <v>0.72299999999999998</v>
      </c>
      <c r="E33" s="205">
        <f t="shared" si="8"/>
        <v>0.70899999999999996</v>
      </c>
      <c r="F33" s="205">
        <f t="shared" si="9"/>
        <v>0.64400000000000002</v>
      </c>
    </row>
    <row r="34" spans="1:10">
      <c r="A34" s="195" t="s">
        <v>211</v>
      </c>
      <c r="B34" s="205">
        <f t="shared" si="5"/>
        <v>1.008</v>
      </c>
      <c r="C34" s="205">
        <f t="shared" si="6"/>
        <v>0.41299999999999998</v>
      </c>
      <c r="D34" s="205">
        <f t="shared" si="7"/>
        <v>0.42599999999999999</v>
      </c>
      <c r="E34" s="205">
        <f t="shared" si="8"/>
        <v>0.41599999999999998</v>
      </c>
      <c r="F34" s="205">
        <f t="shared" si="9"/>
        <v>0.41599999999999998</v>
      </c>
    </row>
    <row r="36" spans="1:10" ht="15.75">
      <c r="A36" s="444" t="s">
        <v>212</v>
      </c>
      <c r="B36" s="444"/>
      <c r="C36" s="444"/>
      <c r="D36" s="444"/>
      <c r="E36" s="444"/>
      <c r="F36" s="444"/>
    </row>
    <row r="37" spans="1:10">
      <c r="A37" s="202" t="s">
        <v>739</v>
      </c>
      <c r="B37" s="206" t="s">
        <v>438</v>
      </c>
      <c r="C37" s="206" t="s">
        <v>440</v>
      </c>
      <c r="D37" s="206" t="s">
        <v>439</v>
      </c>
      <c r="E37" s="206" t="s">
        <v>518</v>
      </c>
      <c r="F37" s="206" t="s">
        <v>517</v>
      </c>
      <c r="G37" s="206" t="s">
        <v>519</v>
      </c>
      <c r="H37" s="206" t="s">
        <v>520</v>
      </c>
      <c r="I37" s="206" t="s">
        <v>521</v>
      </c>
      <c r="J37" s="206" t="s">
        <v>522</v>
      </c>
    </row>
    <row r="38" spans="1:10">
      <c r="A38" s="195" t="s">
        <v>197</v>
      </c>
      <c r="B38" s="268">
        <f t="array" ref="B38:J38">TRANSPOSE(C367:C375)</f>
        <v>1.5569999999999999</v>
      </c>
      <c r="C38" s="268">
        <v>1.5369999999999999</v>
      </c>
      <c r="D38" s="268">
        <v>1.482</v>
      </c>
      <c r="E38" s="268">
        <v>1.448</v>
      </c>
      <c r="F38" s="268">
        <v>1.417</v>
      </c>
      <c r="G38" s="268">
        <v>1.4410000000000001</v>
      </c>
      <c r="H38" s="268">
        <v>1.4590000000000001</v>
      </c>
      <c r="I38" s="268">
        <v>1.6459999999999999</v>
      </c>
      <c r="J38" s="268">
        <v>1.6379999999999999</v>
      </c>
    </row>
    <row r="39" spans="1:10">
      <c r="A39" s="195" t="s">
        <v>198</v>
      </c>
      <c r="B39" s="268">
        <f t="array" ref="B39:J39">TRANSPOSE(C378:C386)</f>
        <v>1.5009999999999999</v>
      </c>
      <c r="C39" s="268">
        <v>1.4730000000000001</v>
      </c>
      <c r="D39" s="268">
        <v>1.4650000000000001</v>
      </c>
      <c r="E39" s="268">
        <v>1.4430000000000001</v>
      </c>
      <c r="F39" s="268">
        <v>1.405</v>
      </c>
      <c r="G39" s="268">
        <v>1.446</v>
      </c>
      <c r="H39" s="268">
        <v>1.44</v>
      </c>
      <c r="I39" s="268">
        <v>1.6359999999999999</v>
      </c>
      <c r="J39" s="268">
        <v>1.581</v>
      </c>
    </row>
    <row r="40" spans="1:10">
      <c r="A40" s="195" t="s">
        <v>199</v>
      </c>
      <c r="B40" s="268">
        <f t="array" ref="B40:J40">TRANSPOSE(C389:C397)</f>
        <v>1.554</v>
      </c>
      <c r="C40" s="268">
        <v>1.5720000000000001</v>
      </c>
      <c r="D40" s="268">
        <v>1.571</v>
      </c>
      <c r="E40" s="268">
        <v>1.538</v>
      </c>
      <c r="F40" s="268">
        <v>1.496</v>
      </c>
      <c r="G40" s="268">
        <v>1.5189999999999999</v>
      </c>
      <c r="H40" s="268">
        <v>1.518</v>
      </c>
      <c r="I40" s="268">
        <v>1.72</v>
      </c>
      <c r="J40" s="268">
        <v>1.639</v>
      </c>
    </row>
    <row r="41" spans="1:10">
      <c r="A41" s="195" t="s">
        <v>200</v>
      </c>
      <c r="B41" s="268">
        <f t="array" ref="B41:J41">TRANSPOSE(C400:C408)</f>
        <v>1.492</v>
      </c>
      <c r="C41" s="268">
        <v>1.464</v>
      </c>
      <c r="D41" s="268">
        <v>1.456</v>
      </c>
      <c r="E41" s="268">
        <v>1.4350000000000001</v>
      </c>
      <c r="F41" s="268">
        <v>1.397</v>
      </c>
      <c r="G41" s="268">
        <v>1.4370000000000001</v>
      </c>
      <c r="H41" s="268">
        <v>1.431</v>
      </c>
      <c r="I41" s="268">
        <v>1.627</v>
      </c>
      <c r="J41" s="268">
        <v>1.573</v>
      </c>
    </row>
    <row r="42" spans="1:10">
      <c r="A42" s="195" t="s">
        <v>461</v>
      </c>
      <c r="B42" s="268">
        <f t="array" ref="B42:J42">TRANSPOSE(C411:C419)</f>
        <v>0.496</v>
      </c>
      <c r="C42" s="268">
        <v>0.48199999999999998</v>
      </c>
      <c r="D42" s="268">
        <v>0.46300000000000002</v>
      </c>
      <c r="E42" s="268">
        <v>0.45200000000000001</v>
      </c>
      <c r="F42" s="268">
        <v>0.42</v>
      </c>
      <c r="G42" s="268">
        <v>0.46100000000000002</v>
      </c>
      <c r="H42" s="268">
        <v>0.48799999999999999</v>
      </c>
      <c r="I42" s="268">
        <v>0.51300000000000001</v>
      </c>
      <c r="J42" s="268">
        <v>1.639</v>
      </c>
    </row>
    <row r="43" spans="1:10">
      <c r="A43" s="195" t="s">
        <v>213</v>
      </c>
      <c r="B43" s="268">
        <f t="array" ref="B43:J43">TRANSPOSE(C422:C430)</f>
        <v>1.546</v>
      </c>
      <c r="C43" s="268">
        <v>1.516</v>
      </c>
      <c r="D43" s="268">
        <v>1.087</v>
      </c>
      <c r="E43" s="268">
        <v>1.0429999999999999</v>
      </c>
      <c r="F43" s="268">
        <v>1.506</v>
      </c>
      <c r="G43" s="268">
        <v>1.4770000000000001</v>
      </c>
      <c r="H43" s="268">
        <v>1.506</v>
      </c>
      <c r="I43" s="268">
        <v>1.5229999999999999</v>
      </c>
      <c r="J43" s="268">
        <v>1.417</v>
      </c>
    </row>
    <row r="44" spans="1:10">
      <c r="A44" s="195" t="s">
        <v>214</v>
      </c>
      <c r="B44" s="268">
        <f t="array" ref="B44:J44">TRANSPOSE(C451:C459)</f>
        <v>1.2949999999999999</v>
      </c>
      <c r="C44" s="268">
        <v>1.3480000000000001</v>
      </c>
      <c r="D44" s="268">
        <v>1.264</v>
      </c>
      <c r="E44" s="268">
        <v>1.19</v>
      </c>
      <c r="F44" s="268">
        <v>1.333</v>
      </c>
      <c r="G44" s="268">
        <v>1.216</v>
      </c>
      <c r="H44" s="268">
        <v>1.107</v>
      </c>
      <c r="I44" s="268">
        <v>1.2929999999999999</v>
      </c>
      <c r="J44" s="268">
        <v>1.3620000000000001</v>
      </c>
    </row>
    <row r="45" spans="1:10">
      <c r="A45" s="195" t="s">
        <v>215</v>
      </c>
      <c r="B45" s="268">
        <f t="array" ref="B45:J45">TRANSPOSE(C462:C470)</f>
        <v>1.0880000000000001</v>
      </c>
      <c r="C45" s="268">
        <v>1.0489999999999999</v>
      </c>
      <c r="D45" s="268">
        <v>1.002</v>
      </c>
      <c r="E45" s="268">
        <v>0.98099999999999998</v>
      </c>
      <c r="F45" s="268">
        <v>0.99299999999999999</v>
      </c>
      <c r="G45" s="268">
        <v>0.97399999999999998</v>
      </c>
      <c r="H45" s="268">
        <v>0.96</v>
      </c>
      <c r="I45" s="268">
        <v>1.089</v>
      </c>
      <c r="J45" s="268">
        <v>1.0549999999999999</v>
      </c>
    </row>
    <row r="46" spans="1:10">
      <c r="A46" s="195" t="s">
        <v>216</v>
      </c>
      <c r="B46" s="268">
        <f t="array" ref="B46:J46">TRANSPOSE(C473:C481)</f>
        <v>1.093</v>
      </c>
      <c r="C46" s="268">
        <v>1.0640000000000001</v>
      </c>
      <c r="D46" s="268">
        <v>1.075</v>
      </c>
      <c r="E46" s="268">
        <v>1.0509999999999999</v>
      </c>
      <c r="F46" s="268">
        <v>1.024</v>
      </c>
      <c r="G46" s="268">
        <v>1.018</v>
      </c>
      <c r="H46" s="268">
        <v>1.0149999999999999</v>
      </c>
      <c r="I46" s="268">
        <v>1.127</v>
      </c>
      <c r="J46" s="268">
        <v>1.115</v>
      </c>
    </row>
    <row r="47" spans="1:10">
      <c r="A47" s="195" t="s">
        <v>217</v>
      </c>
      <c r="B47" s="268">
        <f t="array" ref="B47:J47">TRANSPOSE(C485:C493)</f>
        <v>1.5109999999999999</v>
      </c>
      <c r="C47" s="268">
        <v>1.4870000000000001</v>
      </c>
      <c r="D47" s="268">
        <v>1.403</v>
      </c>
      <c r="E47" s="268">
        <v>1.38</v>
      </c>
      <c r="F47" s="268">
        <v>1.3660000000000001</v>
      </c>
      <c r="G47" s="268">
        <v>1.3759999999999999</v>
      </c>
      <c r="H47" s="268">
        <v>1.345</v>
      </c>
      <c r="I47" s="268">
        <v>1.544</v>
      </c>
      <c r="J47" s="268">
        <v>1.466</v>
      </c>
    </row>
    <row r="48" spans="1:10">
      <c r="A48" s="195" t="s">
        <v>218</v>
      </c>
      <c r="B48" s="268">
        <f t="array" ref="B48:J48">TRANSPOSE(C496:C504)</f>
        <v>0.92400000000000004</v>
      </c>
      <c r="C48" s="268">
        <v>0.92</v>
      </c>
      <c r="D48" s="268">
        <v>0.94199999999999995</v>
      </c>
      <c r="E48" s="268">
        <v>0.92700000000000005</v>
      </c>
      <c r="F48" s="268">
        <v>0.90700000000000003</v>
      </c>
      <c r="G48" s="268">
        <v>0.96699999999999997</v>
      </c>
      <c r="H48" s="268">
        <v>0.91800000000000004</v>
      </c>
      <c r="I48" s="268">
        <v>1.0680000000000001</v>
      </c>
      <c r="J48" s="268">
        <v>0.97499999999999998</v>
      </c>
    </row>
    <row r="49" spans="1:10">
      <c r="A49" s="195" t="s">
        <v>202</v>
      </c>
      <c r="B49" s="268">
        <f t="shared" ref="B49:J49" si="10">B47</f>
        <v>1.5109999999999999</v>
      </c>
      <c r="C49" s="268">
        <f t="shared" si="10"/>
        <v>1.4870000000000001</v>
      </c>
      <c r="D49" s="268">
        <f t="shared" si="10"/>
        <v>1.403</v>
      </c>
      <c r="E49" s="268">
        <f t="shared" si="10"/>
        <v>1.38</v>
      </c>
      <c r="F49" s="268">
        <f t="shared" si="10"/>
        <v>1.3660000000000001</v>
      </c>
      <c r="G49" s="268">
        <f t="shared" si="10"/>
        <v>1.3759999999999999</v>
      </c>
      <c r="H49" s="268">
        <f t="shared" si="10"/>
        <v>1.345</v>
      </c>
      <c r="I49" s="268">
        <f t="shared" si="10"/>
        <v>1.544</v>
      </c>
      <c r="J49" s="268">
        <f t="shared" si="10"/>
        <v>1.466</v>
      </c>
    </row>
    <row r="50" spans="1:10">
      <c r="A50" s="195" t="s">
        <v>203</v>
      </c>
      <c r="B50" s="268">
        <f t="shared" ref="B50:J50" si="11">B47</f>
        <v>1.5109999999999999</v>
      </c>
      <c r="C50" s="268">
        <f t="shared" si="11"/>
        <v>1.4870000000000001</v>
      </c>
      <c r="D50" s="268">
        <f t="shared" si="11"/>
        <v>1.403</v>
      </c>
      <c r="E50" s="268">
        <f t="shared" si="11"/>
        <v>1.38</v>
      </c>
      <c r="F50" s="268">
        <f t="shared" si="11"/>
        <v>1.3660000000000001</v>
      </c>
      <c r="G50" s="268">
        <f t="shared" si="11"/>
        <v>1.3759999999999999</v>
      </c>
      <c r="H50" s="268">
        <f t="shared" si="11"/>
        <v>1.345</v>
      </c>
      <c r="I50" s="268">
        <f t="shared" si="11"/>
        <v>1.544</v>
      </c>
      <c r="J50" s="268">
        <f t="shared" si="11"/>
        <v>1.466</v>
      </c>
    </row>
    <row r="51" spans="1:10">
      <c r="A51" s="195" t="s">
        <v>204</v>
      </c>
      <c r="B51" s="268">
        <f t="array" ref="B51:J51">TRANSPOSE(C514:C522)</f>
        <v>0.999</v>
      </c>
      <c r="C51" s="268">
        <v>0.96099999999999997</v>
      </c>
      <c r="D51" s="268">
        <v>0.92700000000000005</v>
      </c>
      <c r="E51" s="268">
        <v>0.95599999999999996</v>
      </c>
      <c r="F51" s="268">
        <v>0.94899999999999995</v>
      </c>
      <c r="G51" s="268">
        <v>0.94899999999999995</v>
      </c>
      <c r="H51" s="268">
        <v>0.92</v>
      </c>
      <c r="I51" s="268">
        <v>1.079</v>
      </c>
      <c r="J51" s="268">
        <v>0.96599999999999997</v>
      </c>
    </row>
    <row r="52" spans="1:10">
      <c r="A52" s="195" t="s">
        <v>219</v>
      </c>
      <c r="B52" s="268">
        <f t="array" ref="B52:J52">TRANSPOSE(C543:C551)</f>
        <v>1.07</v>
      </c>
      <c r="C52" s="268">
        <v>1.1539999999999999</v>
      </c>
      <c r="D52" s="268">
        <v>1.252</v>
      </c>
      <c r="E52" s="268">
        <v>1.1299999999999999</v>
      </c>
      <c r="F52" s="268">
        <v>1.1719999999999999</v>
      </c>
      <c r="G52" s="268">
        <v>1.2430000000000001</v>
      </c>
      <c r="H52" s="268">
        <v>1.095</v>
      </c>
      <c r="I52" s="268">
        <v>1.1140000000000001</v>
      </c>
      <c r="J52" s="268">
        <v>0.97899999999999998</v>
      </c>
    </row>
    <row r="53" spans="1:10">
      <c r="A53" s="195" t="s">
        <v>220</v>
      </c>
      <c r="B53" s="268">
        <f t="array" ref="B53:J53">TRANSPOSE(C554:C562)</f>
        <v>1.0660000000000001</v>
      </c>
      <c r="C53" s="268">
        <v>1.1180000000000001</v>
      </c>
      <c r="D53" s="268">
        <v>1.27</v>
      </c>
      <c r="E53" s="268">
        <v>1.1339999999999999</v>
      </c>
      <c r="F53" s="268">
        <v>1.157</v>
      </c>
      <c r="G53" s="268">
        <v>1.2529999999999999</v>
      </c>
      <c r="H53" s="268">
        <v>1.071</v>
      </c>
      <c r="I53" s="268">
        <v>1.125</v>
      </c>
      <c r="J53" s="268">
        <v>0.99</v>
      </c>
    </row>
    <row r="54" spans="1:10">
      <c r="A54" s="195" t="s">
        <v>221</v>
      </c>
      <c r="B54" s="268">
        <f t="array" ref="B54:J54">TRANSPOSE(C565:C573)</f>
        <v>1.0229999999999999</v>
      </c>
      <c r="C54" s="268">
        <v>1.014</v>
      </c>
      <c r="D54" s="268">
        <v>1.056</v>
      </c>
      <c r="E54" s="268">
        <v>1.075</v>
      </c>
      <c r="F54" s="268">
        <v>1.0549999999999999</v>
      </c>
      <c r="G54" s="268">
        <v>1.0820000000000001</v>
      </c>
      <c r="H54" s="268">
        <v>0.99199999999999999</v>
      </c>
      <c r="I54" s="268">
        <v>1.071</v>
      </c>
      <c r="J54" s="268">
        <v>1</v>
      </c>
    </row>
    <row r="55" spans="1:10">
      <c r="A55" s="195" t="s">
        <v>222</v>
      </c>
      <c r="B55" s="268">
        <f t="array" ref="B55:J55">TRANSPOSE(C594:C602)</f>
        <v>1.444</v>
      </c>
      <c r="C55" s="268">
        <v>1.524</v>
      </c>
      <c r="D55" s="268">
        <v>1.0740000000000001</v>
      </c>
      <c r="E55" s="268">
        <v>0.92700000000000005</v>
      </c>
      <c r="F55" s="268">
        <v>1.3720000000000001</v>
      </c>
      <c r="G55" s="268">
        <v>1.2569999999999999</v>
      </c>
      <c r="H55" s="268">
        <v>1.1639999999999999</v>
      </c>
      <c r="I55" s="268">
        <v>1.085</v>
      </c>
      <c r="J55" s="268">
        <v>0.52700000000000002</v>
      </c>
    </row>
    <row r="56" spans="1:10">
      <c r="A56" s="195" t="s">
        <v>223</v>
      </c>
      <c r="B56" s="268">
        <f t="array" ref="B56:J56">TRANSPOSE(C605:C613)</f>
        <v>0.97799999999999998</v>
      </c>
      <c r="C56" s="268">
        <v>0.95199999999999996</v>
      </c>
      <c r="D56" s="268">
        <v>1.0369999999999999</v>
      </c>
      <c r="E56" s="268">
        <v>0.94499999999999995</v>
      </c>
      <c r="F56" s="268">
        <v>1.024</v>
      </c>
      <c r="G56" s="268">
        <v>0.94199999999999995</v>
      </c>
      <c r="H56" s="268">
        <v>0.86299999999999999</v>
      </c>
      <c r="I56" s="268">
        <v>1.0089999999999999</v>
      </c>
      <c r="J56" s="268">
        <v>0.41299999999999998</v>
      </c>
    </row>
    <row r="57" spans="1:10">
      <c r="A57" s="195" t="s">
        <v>224</v>
      </c>
      <c r="B57" s="268">
        <f t="array" ref="B57:J57">TRANSPOSE(C616:C624)</f>
        <v>0.89100000000000001</v>
      </c>
      <c r="C57" s="268">
        <v>0.90200000000000002</v>
      </c>
      <c r="D57" s="268">
        <v>0.96599999999999997</v>
      </c>
      <c r="E57" s="268">
        <v>0.79200000000000004</v>
      </c>
      <c r="F57" s="268">
        <v>0.94699999999999995</v>
      </c>
      <c r="G57" s="268">
        <v>0.89500000000000002</v>
      </c>
      <c r="H57" s="268">
        <v>0.75</v>
      </c>
      <c r="I57" s="268">
        <v>0.77200000000000002</v>
      </c>
      <c r="J57" s="268">
        <v>0.38400000000000001</v>
      </c>
    </row>
    <row r="58" spans="1:10">
      <c r="A58" s="195" t="s">
        <v>225</v>
      </c>
      <c r="B58" s="268">
        <f t="array" ref="B58:J58">TRANSPOSE(C627:C635)</f>
        <v>1.1639999999999999</v>
      </c>
      <c r="C58" s="268">
        <v>1.1339999999999999</v>
      </c>
      <c r="D58" s="268">
        <v>1.169</v>
      </c>
      <c r="E58" s="268">
        <v>0.99099999999999999</v>
      </c>
      <c r="F58" s="268">
        <v>1.206</v>
      </c>
      <c r="G58" s="268">
        <v>1.0720000000000001</v>
      </c>
      <c r="H58" s="268">
        <v>0.96</v>
      </c>
      <c r="I58" s="268">
        <v>1.0189999999999999</v>
      </c>
      <c r="J58" s="268">
        <v>0.51500000000000001</v>
      </c>
    </row>
    <row r="59" spans="1:10">
      <c r="A59" s="195" t="s">
        <v>207</v>
      </c>
      <c r="B59" s="268">
        <f t="array" ref="B59:J59">TRANSPOSE(C645:C653)</f>
        <v>0.749</v>
      </c>
      <c r="C59" s="268">
        <v>0.61299999999999999</v>
      </c>
      <c r="D59" s="268">
        <v>0.60899999999999999</v>
      </c>
      <c r="E59" s="268">
        <v>0.58799999999999997</v>
      </c>
      <c r="F59" s="268">
        <v>0.60899999999999999</v>
      </c>
      <c r="G59" s="268">
        <v>0.60699999999999998</v>
      </c>
      <c r="H59" s="268">
        <v>0.59099999999999997</v>
      </c>
      <c r="I59" s="268">
        <v>0.57199999999999995</v>
      </c>
      <c r="J59" s="268">
        <v>0.26200000000000001</v>
      </c>
    </row>
    <row r="60" spans="1:10">
      <c r="A60" s="195" t="s">
        <v>226</v>
      </c>
      <c r="B60" s="268">
        <f t="array" ref="B60:J60">TRANSPOSE(C674:C682)</f>
        <v>0.64600000000000002</v>
      </c>
      <c r="C60" s="268">
        <v>0.71</v>
      </c>
      <c r="D60" s="268">
        <v>0.747</v>
      </c>
      <c r="E60" s="268">
        <v>0.746</v>
      </c>
      <c r="F60" s="268">
        <v>0.79500000000000004</v>
      </c>
      <c r="G60" s="268">
        <v>0.77300000000000002</v>
      </c>
      <c r="H60" s="268">
        <v>0.72099999999999997</v>
      </c>
      <c r="I60" s="268">
        <v>0.72599999999999998</v>
      </c>
      <c r="J60" s="268">
        <v>0.753</v>
      </c>
    </row>
    <row r="61" spans="1:10">
      <c r="A61" s="195" t="s">
        <v>227</v>
      </c>
      <c r="B61" s="268">
        <f t="array" ref="B61:J61">TRANSPOSE(C685:C693)</f>
        <v>0.64500000000000002</v>
      </c>
      <c r="C61" s="268">
        <v>0.68899999999999995</v>
      </c>
      <c r="D61" s="268">
        <v>0.75800000000000001</v>
      </c>
      <c r="E61" s="268">
        <v>0.749</v>
      </c>
      <c r="F61" s="268">
        <v>0.80400000000000005</v>
      </c>
      <c r="G61" s="268">
        <v>0.745</v>
      </c>
      <c r="H61" s="268">
        <v>0.73599999999999999</v>
      </c>
      <c r="I61" s="268">
        <v>0.76600000000000001</v>
      </c>
      <c r="J61" s="268">
        <v>0.753</v>
      </c>
    </row>
    <row r="62" spans="1:10">
      <c r="A62" s="195" t="s">
        <v>228</v>
      </c>
      <c r="B62" s="268">
        <f t="array" ref="B62:J62">TRANSPOSE(C696:C704)</f>
        <v>0.56299999999999994</v>
      </c>
      <c r="C62" s="268">
        <v>0.60899999999999999</v>
      </c>
      <c r="D62" s="268">
        <v>0.79800000000000004</v>
      </c>
      <c r="E62" s="268">
        <v>0.69299999999999995</v>
      </c>
      <c r="F62" s="268">
        <v>0.79200000000000004</v>
      </c>
      <c r="G62" s="268">
        <v>0.68799999999999994</v>
      </c>
      <c r="H62" s="268">
        <v>0.82399999999999995</v>
      </c>
      <c r="I62" s="268">
        <v>0.84399999999999997</v>
      </c>
      <c r="J62" s="268">
        <v>0.86699999999999999</v>
      </c>
    </row>
    <row r="63" spans="1:10">
      <c r="A63" s="195" t="s">
        <v>229</v>
      </c>
      <c r="B63" s="268">
        <f t="array" ref="B63:J63">TRANSPOSE(C725:C733)</f>
        <v>0.48699999999999999</v>
      </c>
      <c r="C63" s="268">
        <v>0.57199999999999995</v>
      </c>
      <c r="D63" s="268">
        <v>0.81</v>
      </c>
      <c r="E63" s="268">
        <v>0.69399999999999995</v>
      </c>
      <c r="F63" s="268">
        <v>0.77300000000000002</v>
      </c>
      <c r="G63" s="268">
        <v>0.68799999999999994</v>
      </c>
      <c r="H63" s="268">
        <v>0.78600000000000003</v>
      </c>
      <c r="I63" s="268">
        <v>0.873</v>
      </c>
      <c r="J63" s="268">
        <v>0.749</v>
      </c>
    </row>
    <row r="64" spans="1:10">
      <c r="A64" s="195" t="s">
        <v>230</v>
      </c>
      <c r="B64" s="268">
        <f t="array" ref="B64:J64">TRANSPOSE(C736:C744)</f>
        <v>4.1000000000000002E-2</v>
      </c>
      <c r="C64" s="268">
        <v>0.17</v>
      </c>
      <c r="D64" s="268">
        <v>0.154</v>
      </c>
      <c r="E64" s="268">
        <v>7.0000000000000001E-3</v>
      </c>
      <c r="F64" s="268">
        <v>0.08</v>
      </c>
      <c r="G64" s="268">
        <v>0</v>
      </c>
      <c r="H64" s="268">
        <v>0.12</v>
      </c>
      <c r="I64" s="268">
        <v>6.7000000000000004E-2</v>
      </c>
      <c r="J64" s="268">
        <v>0.11899999999999999</v>
      </c>
    </row>
    <row r="65" spans="1:25">
      <c r="A65" s="195" t="s">
        <v>210</v>
      </c>
      <c r="B65" s="268">
        <f t="array" ref="B65:J65">TRANSPOSE(C754:C762)</f>
        <v>0.73899999999999999</v>
      </c>
      <c r="C65" s="268">
        <v>0.72699999999999998</v>
      </c>
      <c r="D65" s="268">
        <v>0.80100000000000005</v>
      </c>
      <c r="E65" s="268">
        <v>0.81299999999999994</v>
      </c>
      <c r="F65" s="268">
        <v>0.81599999999999995</v>
      </c>
      <c r="G65" s="268">
        <v>0.81299999999999994</v>
      </c>
      <c r="H65" s="268">
        <v>0.83699999999999997</v>
      </c>
      <c r="I65" s="268">
        <v>0.82299999999999995</v>
      </c>
      <c r="J65" s="268">
        <v>0.75800000000000001</v>
      </c>
    </row>
    <row r="66" spans="1:25">
      <c r="A66" s="195" t="s">
        <v>211</v>
      </c>
      <c r="B66" s="268"/>
      <c r="C66" s="271"/>
      <c r="D66" s="271"/>
      <c r="E66" s="271"/>
      <c r="F66" s="271"/>
      <c r="G66" s="271"/>
      <c r="H66" s="271"/>
      <c r="I66" s="271"/>
      <c r="J66" s="271"/>
    </row>
    <row r="67" spans="1:25">
      <c r="B67" s="205"/>
    </row>
    <row r="68" spans="1:25" ht="15.75">
      <c r="A68" s="444" t="s">
        <v>231</v>
      </c>
      <c r="B68" s="444"/>
      <c r="C68" s="444"/>
      <c r="D68" s="444"/>
      <c r="E68" s="444"/>
      <c r="F68" s="444"/>
    </row>
    <row r="69" spans="1:25">
      <c r="A69" s="195" t="str">
        <f>A60</f>
        <v>LOW SULF  RESID-COM</v>
      </c>
      <c r="B69" s="205">
        <f>$B60-$B$31</f>
        <v>3.2000000000000028E-2</v>
      </c>
      <c r="C69" s="205">
        <f>C60-$B$31</f>
        <v>9.5999999999999974E-2</v>
      </c>
      <c r="D69" s="205">
        <f>D60-$C$31</f>
        <v>2.1000000000000019E-2</v>
      </c>
      <c r="E69" s="205">
        <f>E60-$C$31</f>
        <v>2.0000000000000018E-2</v>
      </c>
      <c r="F69" s="205">
        <f>F60-$B$31</f>
        <v>0.18100000000000005</v>
      </c>
      <c r="G69" s="205">
        <f>G60-$D$31</f>
        <v>3.7000000000000033E-2</v>
      </c>
      <c r="H69" s="205">
        <f>H60-$D$31</f>
        <v>-1.5000000000000013E-2</v>
      </c>
      <c r="I69" s="205">
        <f>I60-$E$31</f>
        <v>5.0000000000000044E-3</v>
      </c>
      <c r="J69" s="205">
        <f>J60-$F$31</f>
        <v>4.7000000000000042E-2</v>
      </c>
    </row>
    <row r="70" spans="1:25">
      <c r="A70" s="195" t="str">
        <f>A62</f>
        <v>LOW SULF  RESID-ELC</v>
      </c>
      <c r="B70" s="205">
        <f>$B62-$B$31</f>
        <v>-5.1000000000000045E-2</v>
      </c>
      <c r="C70" s="205">
        <f>C62-$B$31</f>
        <v>-5.0000000000000044E-3</v>
      </c>
      <c r="D70" s="205">
        <f>D62-$C$31</f>
        <v>7.2000000000000064E-2</v>
      </c>
      <c r="E70" s="205">
        <f>E62-$C$31</f>
        <v>-3.3000000000000029E-2</v>
      </c>
      <c r="F70" s="205">
        <f>F62-$B$31</f>
        <v>0.17800000000000005</v>
      </c>
      <c r="G70" s="205">
        <f>G62-$D$31</f>
        <v>-4.8000000000000043E-2</v>
      </c>
      <c r="H70" s="205">
        <f>H62-$D$31</f>
        <v>8.7999999999999967E-2</v>
      </c>
      <c r="I70" s="205">
        <f>I62-$E$31</f>
        <v>0.123</v>
      </c>
      <c r="J70" s="205">
        <f>J62-$F$31</f>
        <v>0.16100000000000003</v>
      </c>
    </row>
    <row r="71" spans="1:25">
      <c r="A71" s="195" t="str">
        <f>A63</f>
        <v>HIGH SULF RESID-TRN</v>
      </c>
      <c r="B71" s="205">
        <f>$B63-$B$32</f>
        <v>0.48699999999999999</v>
      </c>
      <c r="C71" s="205">
        <f>C63-$B$32</f>
        <v>0.57199999999999995</v>
      </c>
      <c r="D71" s="205">
        <f>D63-$C$32</f>
        <v>0.1170000000000001</v>
      </c>
      <c r="E71" s="205">
        <f>E63-$C$32</f>
        <v>1.0000000000000009E-3</v>
      </c>
      <c r="F71" s="205">
        <f>F63-$B$32</f>
        <v>0.77300000000000002</v>
      </c>
      <c r="G71" s="205">
        <f>G63-$D$32</f>
        <v>-3.5000000000000031E-2</v>
      </c>
      <c r="H71" s="205">
        <f>H63-$D$32</f>
        <v>6.3000000000000056E-2</v>
      </c>
      <c r="I71" s="205">
        <f>I63-$E$32</f>
        <v>0.16800000000000004</v>
      </c>
      <c r="J71" s="205">
        <f>J63-$F$32</f>
        <v>8.3999999999999964E-2</v>
      </c>
    </row>
    <row r="72" spans="1:25">
      <c r="A72" s="195" t="str">
        <f>A64</f>
        <v>HIGH SULF RESID-ELC</v>
      </c>
      <c r="B72" s="205">
        <f>$B64-$B$32</f>
        <v>4.1000000000000002E-2</v>
      </c>
      <c r="C72" s="205">
        <f>C64-$B$32</f>
        <v>0.17</v>
      </c>
      <c r="D72" s="205">
        <f>D64-$C$32</f>
        <v>-0.53899999999999992</v>
      </c>
      <c r="E72" s="205">
        <f>E64-$C$32</f>
        <v>-0.68599999999999994</v>
      </c>
      <c r="F72" s="205">
        <f>F64-$B$32</f>
        <v>0.08</v>
      </c>
      <c r="G72" s="205">
        <f>G64-$D$32</f>
        <v>-0.72299999999999998</v>
      </c>
      <c r="H72" s="205">
        <f>H64-$D$32</f>
        <v>-0.60299999999999998</v>
      </c>
      <c r="I72" s="205">
        <f>I64-$E$32</f>
        <v>-0.6379999999999999</v>
      </c>
      <c r="J72" s="205">
        <f>J64-$F$32</f>
        <v>-0.54600000000000004</v>
      </c>
    </row>
    <row r="73" spans="1:25">
      <c r="A73" s="195" t="str">
        <f>A65</f>
        <v>ASPH. &amp; ROAD OIL</v>
      </c>
      <c r="B73" s="205">
        <f>$B65-$B$33</f>
        <v>0.126</v>
      </c>
      <c r="C73" s="205">
        <f>C65-$B$33</f>
        <v>0.11399999999999999</v>
      </c>
      <c r="D73" s="205">
        <f>D65-$C$33</f>
        <v>0.11399999999999999</v>
      </c>
      <c r="E73" s="205">
        <f>E65-$C$33</f>
        <v>0.12599999999999989</v>
      </c>
      <c r="F73" s="205">
        <f>F65-$B$33</f>
        <v>0.20299999999999996</v>
      </c>
      <c r="G73" s="205">
        <f>G65-$D$33</f>
        <v>8.9999999999999969E-2</v>
      </c>
      <c r="H73" s="205">
        <f>H65-$D$33</f>
        <v>0.11399999999999999</v>
      </c>
      <c r="I73" s="205">
        <f>I65-$E$33</f>
        <v>0.11399999999999999</v>
      </c>
      <c r="J73" s="205">
        <f>J65-$F$33</f>
        <v>0.11399999999999999</v>
      </c>
    </row>
    <row r="74" spans="1:25">
      <c r="A74" s="195" t="s">
        <v>232</v>
      </c>
      <c r="B74" s="195">
        <v>0</v>
      </c>
      <c r="C74" s="195">
        <v>0</v>
      </c>
      <c r="D74" s="195">
        <v>0</v>
      </c>
      <c r="E74" s="195">
        <v>0</v>
      </c>
      <c r="F74" s="195">
        <v>0</v>
      </c>
      <c r="G74" s="195">
        <v>0</v>
      </c>
      <c r="H74" s="195">
        <v>0</v>
      </c>
      <c r="I74" s="195">
        <v>0</v>
      </c>
      <c r="J74" s="195">
        <v>0</v>
      </c>
    </row>
    <row r="75" spans="1:25">
      <c r="A75" s="439" t="s">
        <v>231</v>
      </c>
      <c r="B75" s="439"/>
      <c r="C75" s="439"/>
      <c r="D75" s="439"/>
      <c r="E75" s="439"/>
      <c r="F75" s="439"/>
      <c r="O75" s="439" t="s">
        <v>191</v>
      </c>
      <c r="P75" s="439"/>
      <c r="Q75" s="439"/>
      <c r="R75" s="439"/>
      <c r="S75" s="439"/>
      <c r="T75" s="439"/>
      <c r="U75" s="439"/>
      <c r="V75" s="439"/>
      <c r="W75" s="439"/>
      <c r="X75" s="439"/>
      <c r="Y75" s="439"/>
    </row>
    <row r="76" spans="1:25">
      <c r="B76" s="205" t="s">
        <v>438</v>
      </c>
      <c r="C76" s="205" t="s">
        <v>440</v>
      </c>
      <c r="D76" s="205" t="s">
        <v>439</v>
      </c>
      <c r="E76" s="205" t="s">
        <v>518</v>
      </c>
      <c r="F76" s="205" t="s">
        <v>517</v>
      </c>
      <c r="G76" s="205" t="s">
        <v>519</v>
      </c>
      <c r="H76" s="205" t="s">
        <v>520</v>
      </c>
      <c r="I76" s="205" t="s">
        <v>521</v>
      </c>
      <c r="J76" s="205" t="s">
        <v>522</v>
      </c>
      <c r="L76" s="206" t="s">
        <v>233</v>
      </c>
      <c r="O76" s="205">
        <v>2000</v>
      </c>
      <c r="P76" s="205">
        <v>2005</v>
      </c>
      <c r="Q76" s="205">
        <v>2010</v>
      </c>
      <c r="R76" s="205">
        <v>2015</v>
      </c>
      <c r="S76" s="205">
        <v>2020</v>
      </c>
      <c r="T76" s="205">
        <v>2025</v>
      </c>
      <c r="U76" s="205">
        <v>2030</v>
      </c>
      <c r="V76" s="205">
        <v>2035</v>
      </c>
      <c r="W76" s="205">
        <v>2040</v>
      </c>
      <c r="X76" s="205">
        <v>2045</v>
      </c>
      <c r="Y76" s="205">
        <v>2050</v>
      </c>
    </row>
    <row r="77" spans="1:25">
      <c r="A77" s="195" t="str">
        <f>A39</f>
        <v>TRG</v>
      </c>
      <c r="B77" s="205">
        <f>B39-B20</f>
        <v>0.52199999999999991</v>
      </c>
      <c r="C77" s="205">
        <f>C39-B20</f>
        <v>0.49400000000000011</v>
      </c>
      <c r="D77" s="205">
        <f>D39-C20</f>
        <v>0.47500000000000009</v>
      </c>
      <c r="E77" s="205">
        <f>E39-C20</f>
        <v>0.45300000000000007</v>
      </c>
      <c r="F77" s="205">
        <f>F39-B20</f>
        <v>0.42600000000000005</v>
      </c>
      <c r="G77" s="205">
        <f>G39-D20</f>
        <v>0.48899999999999999</v>
      </c>
      <c r="H77" s="205">
        <f t="shared" ref="H77:J78" si="12">H39-D20</f>
        <v>0.48299999999999998</v>
      </c>
      <c r="I77" s="205">
        <f t="shared" si="12"/>
        <v>0.5219999999999998</v>
      </c>
      <c r="J77" s="205">
        <f t="shared" si="12"/>
        <v>0.45699999999999985</v>
      </c>
      <c r="L77" s="205" t="s">
        <v>234</v>
      </c>
      <c r="N77" s="195" t="s">
        <v>438</v>
      </c>
      <c r="O77" s="217">
        <f t="shared" ref="O77:Y77" si="13">H6</f>
        <v>1</v>
      </c>
      <c r="P77" s="217">
        <f t="shared" si="13"/>
        <v>1</v>
      </c>
      <c r="Q77" s="217">
        <f t="shared" si="13"/>
        <v>0.99894088069057307</v>
      </c>
      <c r="R77" s="217">
        <f t="shared" si="13"/>
        <v>1.0091219866990524</v>
      </c>
      <c r="S77" s="217">
        <f t="shared" si="13"/>
        <v>1.0474027122826346</v>
      </c>
      <c r="T77" s="217">
        <f t="shared" si="13"/>
        <v>1.0294247264650762</v>
      </c>
      <c r="U77" s="217">
        <f t="shared" si="13"/>
        <v>1.0048485324802101</v>
      </c>
      <c r="V77" s="217">
        <f t="shared" si="13"/>
        <v>1.0048485324802101</v>
      </c>
      <c r="W77" s="217">
        <f t="shared" si="13"/>
        <v>1.0048485324802101</v>
      </c>
      <c r="X77" s="217">
        <f t="shared" si="13"/>
        <v>1.0048485324802101</v>
      </c>
      <c r="Y77" s="217">
        <f t="shared" si="13"/>
        <v>1.0048485324802101</v>
      </c>
    </row>
    <row r="78" spans="1:25">
      <c r="A78" s="195" t="str">
        <f>A40</f>
        <v>RFG</v>
      </c>
      <c r="B78" s="205">
        <f>B40-B21</f>
        <v>0.47700000000000009</v>
      </c>
      <c r="C78" s="205">
        <f>C40-B21</f>
        <v>0.49500000000000011</v>
      </c>
      <c r="D78" s="205">
        <f>D40-C21</f>
        <v>0.46599999999999997</v>
      </c>
      <c r="E78" s="205">
        <f>E40-C21</f>
        <v>0.43300000000000005</v>
      </c>
      <c r="F78" s="205">
        <f>F40-B21</f>
        <v>0.41900000000000004</v>
      </c>
      <c r="G78" s="205">
        <f>G40-D21</f>
        <v>0.48699999999999988</v>
      </c>
      <c r="H78" s="205">
        <f t="shared" si="12"/>
        <v>0.48599999999999999</v>
      </c>
      <c r="I78" s="205">
        <f t="shared" si="12"/>
        <v>0.5129999999999999</v>
      </c>
      <c r="J78" s="205">
        <f t="shared" si="12"/>
        <v>0.44900000000000007</v>
      </c>
      <c r="L78" s="205" t="s">
        <v>235</v>
      </c>
      <c r="N78" s="195" t="s">
        <v>440</v>
      </c>
      <c r="O78" s="217">
        <f t="shared" ref="O78:Y85" si="14">H6</f>
        <v>1</v>
      </c>
      <c r="P78" s="217">
        <f t="shared" si="14"/>
        <v>1</v>
      </c>
      <c r="Q78" s="217">
        <f t="shared" si="14"/>
        <v>0.99894088069057307</v>
      </c>
      <c r="R78" s="217">
        <f t="shared" si="14"/>
        <v>1.0091219866990524</v>
      </c>
      <c r="S78" s="217">
        <f t="shared" si="14"/>
        <v>1.0474027122826346</v>
      </c>
      <c r="T78" s="217">
        <f t="shared" si="14"/>
        <v>1.0294247264650762</v>
      </c>
      <c r="U78" s="217">
        <f t="shared" si="14"/>
        <v>1.0048485324802101</v>
      </c>
      <c r="V78" s="217">
        <f t="shared" si="14"/>
        <v>1.0048485324802101</v>
      </c>
      <c r="W78" s="217">
        <f t="shared" si="14"/>
        <v>1.0048485324802101</v>
      </c>
      <c r="X78" s="217">
        <f t="shared" si="14"/>
        <v>1.0048485324802101</v>
      </c>
      <c r="Y78" s="217">
        <f t="shared" si="14"/>
        <v>1.0048485324802101</v>
      </c>
    </row>
    <row r="79" spans="1:25">
      <c r="A79" s="195" t="str">
        <f>A43</f>
        <v>E85</v>
      </c>
      <c r="B79" s="205">
        <f>B43-B20</f>
        <v>0.56700000000000006</v>
      </c>
      <c r="C79" s="205">
        <f>C43-B20</f>
        <v>0.53700000000000003</v>
      </c>
      <c r="D79" s="205">
        <f>D43-C20</f>
        <v>9.6999999999999975E-2</v>
      </c>
      <c r="E79" s="205">
        <f>E43-C20</f>
        <v>5.2999999999999936E-2</v>
      </c>
      <c r="F79" s="205">
        <f>F43-B20</f>
        <v>0.52700000000000002</v>
      </c>
      <c r="G79" s="205">
        <f>G43-D20</f>
        <v>0.52000000000000013</v>
      </c>
      <c r="H79" s="205">
        <f>H43-D20</f>
        <v>0.54900000000000004</v>
      </c>
      <c r="I79" s="205">
        <f>I43-E20</f>
        <v>0.40899999999999981</v>
      </c>
      <c r="J79" s="205">
        <f>J43-F20</f>
        <v>0.29299999999999993</v>
      </c>
      <c r="L79" s="205" t="s">
        <v>236</v>
      </c>
      <c r="N79" s="195" t="s">
        <v>439</v>
      </c>
      <c r="O79" s="217">
        <f t="shared" si="14"/>
        <v>1</v>
      </c>
      <c r="P79" s="217">
        <f t="shared" si="14"/>
        <v>1</v>
      </c>
      <c r="Q79" s="217">
        <f t="shared" si="14"/>
        <v>0.97808286362230512</v>
      </c>
      <c r="R79" s="217">
        <f t="shared" si="14"/>
        <v>1.0030540522067106</v>
      </c>
      <c r="S79" s="217">
        <f t="shared" si="14"/>
        <v>1.0306245973949955</v>
      </c>
      <c r="T79" s="217">
        <f t="shared" si="14"/>
        <v>1.0124452923985474</v>
      </c>
      <c r="U79" s="217">
        <f t="shared" si="14"/>
        <v>1.0029571562298618</v>
      </c>
      <c r="V79" s="217">
        <f t="shared" si="14"/>
        <v>1.0029571562298618</v>
      </c>
      <c r="W79" s="217">
        <f t="shared" si="14"/>
        <v>1.0029571562298618</v>
      </c>
      <c r="X79" s="217">
        <f t="shared" si="14"/>
        <v>1.0029571562298618</v>
      </c>
      <c r="Y79" s="217">
        <f t="shared" si="14"/>
        <v>1.0029571562298618</v>
      </c>
    </row>
    <row r="80" spans="1:25">
      <c r="A80" s="195" t="str">
        <f>A44</f>
        <v>DISTILLATE-RES</v>
      </c>
      <c r="B80" s="205">
        <f>B44-B24</f>
        <v>0.45099999999999996</v>
      </c>
      <c r="C80" s="205">
        <f>C44-B24</f>
        <v>0.50400000000000011</v>
      </c>
      <c r="D80" s="205">
        <f>D44-C24</f>
        <v>0.40500000000000003</v>
      </c>
      <c r="E80" s="205">
        <f>E44-C24</f>
        <v>0.33099999999999996</v>
      </c>
      <c r="F80" s="205">
        <f>F44-B24</f>
        <v>0.48899999999999999</v>
      </c>
      <c r="G80" s="205">
        <f>G44-D24</f>
        <v>0.37</v>
      </c>
      <c r="H80" s="205">
        <f>H44-D24</f>
        <v>0.26100000000000001</v>
      </c>
      <c r="I80" s="205">
        <f>I44-E24</f>
        <v>0.41199999999999992</v>
      </c>
      <c r="J80" s="205">
        <f>J44-F24</f>
        <v>0.53100000000000014</v>
      </c>
      <c r="L80" s="205" t="s">
        <v>237</v>
      </c>
      <c r="N80" s="195" t="s">
        <v>518</v>
      </c>
      <c r="O80" s="217">
        <f t="shared" si="14"/>
        <v>1</v>
      </c>
      <c r="P80" s="217">
        <f t="shared" si="14"/>
        <v>1</v>
      </c>
      <c r="Q80" s="217">
        <f t="shared" si="14"/>
        <v>0.97808286362230512</v>
      </c>
      <c r="R80" s="217">
        <f t="shared" si="14"/>
        <v>1.0030540522067106</v>
      </c>
      <c r="S80" s="217">
        <f t="shared" si="14"/>
        <v>1.0306245973949955</v>
      </c>
      <c r="T80" s="217">
        <f t="shared" si="14"/>
        <v>1.0124452923985474</v>
      </c>
      <c r="U80" s="217">
        <f t="shared" si="14"/>
        <v>1.0029571562298618</v>
      </c>
      <c r="V80" s="217">
        <f t="shared" si="14"/>
        <v>1.0029571562298618</v>
      </c>
      <c r="W80" s="217">
        <f t="shared" si="14"/>
        <v>1.0029571562298618</v>
      </c>
      <c r="X80" s="217">
        <f t="shared" si="14"/>
        <v>1.0029571562298618</v>
      </c>
      <c r="Y80" s="217">
        <f t="shared" si="14"/>
        <v>1.0029571562298618</v>
      </c>
    </row>
    <row r="81" spans="1:25">
      <c r="A81" s="195" t="str">
        <f>A45</f>
        <v>DISTILLATE-COM</v>
      </c>
      <c r="B81" s="205">
        <f>B45-B24</f>
        <v>0.24400000000000011</v>
      </c>
      <c r="C81" s="205">
        <f>C45-B24</f>
        <v>0.20499999999999996</v>
      </c>
      <c r="D81" s="205">
        <f>D45-C24</f>
        <v>0.14300000000000002</v>
      </c>
      <c r="E81" s="205">
        <f>E45-C24</f>
        <v>0.122</v>
      </c>
      <c r="F81" s="205">
        <f>F45-B24</f>
        <v>0.14900000000000002</v>
      </c>
      <c r="G81" s="205">
        <f>G45-D24</f>
        <v>0.128</v>
      </c>
      <c r="H81" s="205">
        <f>H45-D24</f>
        <v>0.11399999999999999</v>
      </c>
      <c r="I81" s="205">
        <f>I45-E24</f>
        <v>0.20799999999999996</v>
      </c>
      <c r="J81" s="205">
        <f>J45-F24</f>
        <v>0.22399999999999998</v>
      </c>
      <c r="L81" s="205" t="s">
        <v>238</v>
      </c>
      <c r="N81" s="195" t="s">
        <v>517</v>
      </c>
      <c r="O81" s="217">
        <f t="shared" si="14"/>
        <v>1</v>
      </c>
      <c r="P81" s="217">
        <f t="shared" si="14"/>
        <v>1</v>
      </c>
      <c r="Q81" s="217">
        <f t="shared" si="14"/>
        <v>0.99894088069057307</v>
      </c>
      <c r="R81" s="217">
        <f t="shared" si="14"/>
        <v>1.0091219866990524</v>
      </c>
      <c r="S81" s="217">
        <f t="shared" si="14"/>
        <v>1.0474027122826346</v>
      </c>
      <c r="T81" s="217">
        <f t="shared" si="14"/>
        <v>1.0294247264650762</v>
      </c>
      <c r="U81" s="217">
        <f t="shared" si="14"/>
        <v>1.0048485324802101</v>
      </c>
      <c r="V81" s="217">
        <f t="shared" si="14"/>
        <v>1.0048485324802101</v>
      </c>
      <c r="W81" s="217">
        <f t="shared" si="14"/>
        <v>1.0048485324802101</v>
      </c>
      <c r="X81" s="217">
        <f t="shared" si="14"/>
        <v>1.0048485324802101</v>
      </c>
      <c r="Y81" s="217">
        <f t="shared" si="14"/>
        <v>1.0048485324802101</v>
      </c>
    </row>
    <row r="82" spans="1:25">
      <c r="A82" s="195" t="str">
        <f>A46</f>
        <v>DISTILLATE-IND</v>
      </c>
      <c r="B82" s="205">
        <f>B46-B24</f>
        <v>0.249</v>
      </c>
      <c r="C82" s="205">
        <f>C46-B24</f>
        <v>0.22000000000000008</v>
      </c>
      <c r="D82" s="205">
        <f>D46-C24</f>
        <v>0.21599999999999997</v>
      </c>
      <c r="E82" s="205">
        <f>E46-C24</f>
        <v>0.19199999999999995</v>
      </c>
      <c r="F82" s="205">
        <f>F46-B24</f>
        <v>0.18000000000000005</v>
      </c>
      <c r="G82" s="205">
        <f>G46-D24</f>
        <v>0.17200000000000004</v>
      </c>
      <c r="H82" s="205">
        <f>H46-D24</f>
        <v>0.16899999999999993</v>
      </c>
      <c r="I82" s="205">
        <f>I46-E24</f>
        <v>0.246</v>
      </c>
      <c r="J82" s="205">
        <f>J46-F24</f>
        <v>0.28400000000000003</v>
      </c>
      <c r="L82" s="205" t="s">
        <v>239</v>
      </c>
      <c r="N82" s="195" t="s">
        <v>519</v>
      </c>
      <c r="O82" s="217">
        <f t="shared" si="14"/>
        <v>1</v>
      </c>
      <c r="P82" s="217">
        <f t="shared" si="14"/>
        <v>1</v>
      </c>
      <c r="Q82" s="217">
        <f t="shared" si="14"/>
        <v>0.97808286362230512</v>
      </c>
      <c r="R82" s="217">
        <f t="shared" si="14"/>
        <v>1.0030540522067106</v>
      </c>
      <c r="S82" s="217">
        <f t="shared" si="14"/>
        <v>1.0306245973949955</v>
      </c>
      <c r="T82" s="217">
        <f t="shared" si="14"/>
        <v>1.0124452923985474</v>
      </c>
      <c r="U82" s="217">
        <f t="shared" si="14"/>
        <v>1.0029571562298618</v>
      </c>
      <c r="V82" s="217">
        <f t="shared" si="14"/>
        <v>1.0029571562298618</v>
      </c>
      <c r="W82" s="217">
        <f t="shared" si="14"/>
        <v>1.0029571562298618</v>
      </c>
      <c r="X82" s="217">
        <f t="shared" si="14"/>
        <v>1.0029571562298618</v>
      </c>
      <c r="Y82" s="217">
        <f t="shared" si="14"/>
        <v>1.0029571562298618</v>
      </c>
    </row>
    <row r="83" spans="1:25">
      <c r="A83" s="195" t="str">
        <f t="shared" ref="A83:A93" si="15">A48</f>
        <v>DISTILLATE-ELC</v>
      </c>
      <c r="B83" s="205">
        <f>B48-B24</f>
        <v>8.0000000000000071E-2</v>
      </c>
      <c r="C83" s="205">
        <f t="shared" ref="C83:D87" si="16">C48-B24</f>
        <v>7.6000000000000068E-2</v>
      </c>
      <c r="D83" s="205">
        <f t="shared" si="16"/>
        <v>8.2999999999999963E-2</v>
      </c>
      <c r="E83" s="205">
        <f>E48-C24</f>
        <v>6.800000000000006E-2</v>
      </c>
      <c r="F83" s="205">
        <f>F48-B24</f>
        <v>6.3000000000000056E-2</v>
      </c>
      <c r="G83" s="205">
        <f>G48-D24</f>
        <v>0.121</v>
      </c>
      <c r="H83" s="205">
        <f t="shared" ref="H83:J87" si="17">H48-D24</f>
        <v>7.2000000000000064E-2</v>
      </c>
      <c r="I83" s="205">
        <f t="shared" si="17"/>
        <v>0.18700000000000006</v>
      </c>
      <c r="J83" s="205">
        <f t="shared" si="17"/>
        <v>0.14400000000000002</v>
      </c>
      <c r="L83" s="205" t="s">
        <v>240</v>
      </c>
      <c r="N83" s="195" t="s">
        <v>520</v>
      </c>
      <c r="O83" s="217">
        <f t="shared" si="14"/>
        <v>1</v>
      </c>
      <c r="P83" s="217">
        <f t="shared" si="14"/>
        <v>1</v>
      </c>
      <c r="Q83" s="217">
        <f t="shared" si="14"/>
        <v>0.97855069794122851</v>
      </c>
      <c r="R83" s="217">
        <f t="shared" si="14"/>
        <v>1.0061752605892629</v>
      </c>
      <c r="S83" s="217">
        <f t="shared" si="14"/>
        <v>1.0343466495554283</v>
      </c>
      <c r="T83" s="217">
        <f t="shared" si="14"/>
        <v>1.0204801989003049</v>
      </c>
      <c r="U83" s="217">
        <f t="shared" si="14"/>
        <v>1.0094577988052018</v>
      </c>
      <c r="V83" s="217">
        <f t="shared" si="14"/>
        <v>1.0094577988052018</v>
      </c>
      <c r="W83" s="217">
        <f t="shared" si="14"/>
        <v>1.0094577988052018</v>
      </c>
      <c r="X83" s="217">
        <f t="shared" si="14"/>
        <v>1.0094577988052018</v>
      </c>
      <c r="Y83" s="217">
        <f t="shared" si="14"/>
        <v>1.0094577988052018</v>
      </c>
    </row>
    <row r="84" spans="1:25">
      <c r="A84" s="195" t="str">
        <f t="shared" si="15"/>
        <v>LOW SUL DIESEL</v>
      </c>
      <c r="B84" s="205">
        <f>B49-B25</f>
        <v>0.6429999999999999</v>
      </c>
      <c r="C84" s="205">
        <f t="shared" si="16"/>
        <v>0.61900000000000011</v>
      </c>
      <c r="D84" s="205">
        <f t="shared" si="16"/>
        <v>0.54300000000000004</v>
      </c>
      <c r="E84" s="205">
        <f>E49-C25</f>
        <v>0.51999999999999991</v>
      </c>
      <c r="F84" s="205">
        <f>F49-B25</f>
        <v>0.49800000000000011</v>
      </c>
      <c r="G84" s="205">
        <f>G49-D25</f>
        <v>0.52299999999999991</v>
      </c>
      <c r="H84" s="205">
        <f t="shared" si="17"/>
        <v>0.49199999999999999</v>
      </c>
      <c r="I84" s="205">
        <f t="shared" si="17"/>
        <v>0.60799999999999998</v>
      </c>
      <c r="J84" s="205">
        <f t="shared" si="17"/>
        <v>0.6</v>
      </c>
      <c r="L84" s="205" t="s">
        <v>241</v>
      </c>
      <c r="N84" s="195" t="s">
        <v>521</v>
      </c>
      <c r="O84" s="217">
        <f t="shared" si="14"/>
        <v>1</v>
      </c>
      <c r="P84" s="217">
        <f t="shared" si="14"/>
        <v>1</v>
      </c>
      <c r="Q84" s="217">
        <f t="shared" si="14"/>
        <v>0.9818410280065758</v>
      </c>
      <c r="R84" s="217">
        <f t="shared" si="14"/>
        <v>1.0236140951217125</v>
      </c>
      <c r="S84" s="217">
        <f t="shared" si="14"/>
        <v>0.99774621723105594</v>
      </c>
      <c r="T84" s="217">
        <f t="shared" si="14"/>
        <v>0.98780614662011257</v>
      </c>
      <c r="U84" s="217">
        <f t="shared" si="14"/>
        <v>0.993959644470926</v>
      </c>
      <c r="V84" s="217">
        <f t="shared" si="14"/>
        <v>0.993959644470926</v>
      </c>
      <c r="W84" s="217">
        <f t="shared" si="14"/>
        <v>0.993959644470926</v>
      </c>
      <c r="X84" s="217">
        <f t="shared" si="14"/>
        <v>0.993959644470926</v>
      </c>
      <c r="Y84" s="217">
        <f t="shared" si="14"/>
        <v>0.993959644470926</v>
      </c>
    </row>
    <row r="85" spans="1:25">
      <c r="A85" s="195" t="str">
        <f t="shared" si="15"/>
        <v>U-LOW SUL DIESEL</v>
      </c>
      <c r="B85" s="205">
        <f>B50-B26</f>
        <v>0.54899999999999993</v>
      </c>
      <c r="C85" s="205">
        <f t="shared" si="16"/>
        <v>0.52500000000000013</v>
      </c>
      <c r="D85" s="205">
        <f t="shared" si="16"/>
        <v>0.43600000000000005</v>
      </c>
      <c r="E85" s="205">
        <f>E50-C26</f>
        <v>0.41299999999999992</v>
      </c>
      <c r="F85" s="205">
        <f>F50-B26</f>
        <v>0.40400000000000014</v>
      </c>
      <c r="G85" s="205">
        <f>G50-D26</f>
        <v>0.42899999999999994</v>
      </c>
      <c r="H85" s="205">
        <f t="shared" si="17"/>
        <v>0.39800000000000002</v>
      </c>
      <c r="I85" s="205">
        <f t="shared" si="17"/>
        <v>0.51400000000000001</v>
      </c>
      <c r="J85" s="205">
        <f t="shared" si="17"/>
        <v>0.58099999999999996</v>
      </c>
      <c r="L85" s="205" t="s">
        <v>242</v>
      </c>
      <c r="N85" s="195" t="s">
        <v>522</v>
      </c>
      <c r="O85" s="217">
        <f t="shared" si="14"/>
        <v>1</v>
      </c>
      <c r="P85" s="217">
        <f t="shared" si="14"/>
        <v>1</v>
      </c>
      <c r="Q85" s="217">
        <f t="shared" si="14"/>
        <v>1.0099205895969323</v>
      </c>
      <c r="R85" s="217">
        <f t="shared" si="14"/>
        <v>1.0114600426251472</v>
      </c>
      <c r="S85" s="217">
        <f t="shared" si="14"/>
        <v>0.99450003739669668</v>
      </c>
      <c r="T85" s="217">
        <f t="shared" si="14"/>
        <v>1.0005985318882773</v>
      </c>
      <c r="U85" s="217">
        <f t="shared" si="14"/>
        <v>0.999138098407652</v>
      </c>
      <c r="V85" s="217">
        <f t="shared" si="14"/>
        <v>0.999138098407652</v>
      </c>
      <c r="W85" s="217">
        <f t="shared" si="14"/>
        <v>0.999138098407652</v>
      </c>
      <c r="X85" s="217">
        <f t="shared" si="14"/>
        <v>0.999138098407652</v>
      </c>
      <c r="Y85" s="217">
        <f t="shared" si="14"/>
        <v>0.999138098407652</v>
      </c>
    </row>
    <row r="86" spans="1:25">
      <c r="A86" s="195" t="str">
        <f t="shared" si="15"/>
        <v>JET FUEL</v>
      </c>
      <c r="B86" s="205">
        <f>B51-B27</f>
        <v>0.13900000000000001</v>
      </c>
      <c r="C86" s="205">
        <f t="shared" si="16"/>
        <v>0.10099999999999998</v>
      </c>
      <c r="D86" s="205">
        <f t="shared" si="16"/>
        <v>7.8000000000000069E-2</v>
      </c>
      <c r="E86" s="205">
        <f>E51-C27</f>
        <v>0.10699999999999998</v>
      </c>
      <c r="F86" s="205">
        <f>F51-B27</f>
        <v>8.8999999999999968E-2</v>
      </c>
      <c r="G86" s="205">
        <f>G51-D27</f>
        <v>0.10399999999999998</v>
      </c>
      <c r="H86" s="205">
        <f t="shared" si="17"/>
        <v>7.5000000000000067E-2</v>
      </c>
      <c r="I86" s="205">
        <f t="shared" si="17"/>
        <v>0.16399999999999992</v>
      </c>
      <c r="J86" s="205">
        <f t="shared" si="17"/>
        <v>0.13</v>
      </c>
      <c r="L86" s="205" t="s">
        <v>243</v>
      </c>
    </row>
    <row r="87" spans="1:25">
      <c r="A87" s="195" t="str">
        <f t="shared" si="15"/>
        <v>KEROSENE-RES</v>
      </c>
      <c r="B87" s="205">
        <f>B52-B28</f>
        <v>0.22600000000000009</v>
      </c>
      <c r="C87" s="205">
        <f t="shared" si="16"/>
        <v>0.30999999999999994</v>
      </c>
      <c r="D87" s="205">
        <f t="shared" si="16"/>
        <v>0.39300000000000002</v>
      </c>
      <c r="E87" s="205">
        <f>E52-C28</f>
        <v>0.27099999999999991</v>
      </c>
      <c r="F87" s="205">
        <f>F52-B28</f>
        <v>0.32799999999999996</v>
      </c>
      <c r="G87" s="205">
        <f>G52-D28</f>
        <v>0.39700000000000013</v>
      </c>
      <c r="H87" s="205">
        <f t="shared" si="17"/>
        <v>0.249</v>
      </c>
      <c r="I87" s="205">
        <f t="shared" si="17"/>
        <v>0.2330000000000001</v>
      </c>
      <c r="J87" s="205">
        <f t="shared" si="17"/>
        <v>0.14800000000000002</v>
      </c>
      <c r="L87" s="205" t="s">
        <v>244</v>
      </c>
    </row>
    <row r="88" spans="1:25">
      <c r="A88" s="195" t="str">
        <f t="shared" si="15"/>
        <v>KEROSENE-COM</v>
      </c>
      <c r="B88" s="205">
        <f>B53-B28</f>
        <v>0.22200000000000009</v>
      </c>
      <c r="C88" s="205">
        <f>C53-B28</f>
        <v>0.27400000000000013</v>
      </c>
      <c r="D88" s="205">
        <f>D53-C28</f>
        <v>0.41100000000000003</v>
      </c>
      <c r="E88" s="205">
        <f>E53-C28</f>
        <v>0.27499999999999991</v>
      </c>
      <c r="F88" s="205">
        <f>F53-B28</f>
        <v>0.31300000000000006</v>
      </c>
      <c r="G88" s="205">
        <f>G53-D28</f>
        <v>0.40699999999999992</v>
      </c>
      <c r="H88" s="205">
        <f>H53-D28</f>
        <v>0.22499999999999998</v>
      </c>
      <c r="I88" s="205">
        <f>I53-E28</f>
        <v>0.24399999999999999</v>
      </c>
      <c r="J88" s="205">
        <f>J53-F28</f>
        <v>0.15900000000000003</v>
      </c>
      <c r="L88" s="205" t="s">
        <v>245</v>
      </c>
    </row>
    <row r="89" spans="1:25">
      <c r="A89" s="195" t="str">
        <f t="shared" si="15"/>
        <v>KEROSENE-IND</v>
      </c>
      <c r="B89" s="205">
        <f>B54-B28</f>
        <v>0.17899999999999994</v>
      </c>
      <c r="C89" s="205">
        <f>C54-B28</f>
        <v>0.17000000000000004</v>
      </c>
      <c r="D89" s="205">
        <f>D54-C28</f>
        <v>0.19700000000000006</v>
      </c>
      <c r="E89" s="205">
        <f>E54-C28</f>
        <v>0.21599999999999997</v>
      </c>
      <c r="F89" s="205">
        <f>F54-B28</f>
        <v>0.21099999999999997</v>
      </c>
      <c r="G89" s="205">
        <f>G54-D28</f>
        <v>0.2360000000000001</v>
      </c>
      <c r="H89" s="205">
        <f t="shared" ref="H89:J90" si="18">H54-D28</f>
        <v>0.14600000000000002</v>
      </c>
      <c r="I89" s="205">
        <f t="shared" si="18"/>
        <v>0.18999999999999995</v>
      </c>
      <c r="J89" s="205">
        <f t="shared" si="18"/>
        <v>0.16900000000000004</v>
      </c>
      <c r="L89" s="205" t="s">
        <v>246</v>
      </c>
    </row>
    <row r="90" spans="1:25">
      <c r="A90" s="195" t="str">
        <f t="shared" si="15"/>
        <v>L.P.G - RES</v>
      </c>
      <c r="B90" s="205">
        <f>B55-B29</f>
        <v>0.872</v>
      </c>
      <c r="C90" s="205">
        <f>C55-B29</f>
        <v>0.95200000000000007</v>
      </c>
      <c r="D90" s="205">
        <f>D55-C29</f>
        <v>0.50500000000000012</v>
      </c>
      <c r="E90" s="205">
        <f>E55-C29</f>
        <v>0.3580000000000001</v>
      </c>
      <c r="F90" s="205">
        <f>F55-B29</f>
        <v>0.80000000000000016</v>
      </c>
      <c r="G90" s="205">
        <f>G55-D29</f>
        <v>0.68799999999999994</v>
      </c>
      <c r="H90" s="205">
        <f t="shared" si="18"/>
        <v>0.59499999999999997</v>
      </c>
      <c r="I90" s="205">
        <f t="shared" si="18"/>
        <v>0.53499999999999992</v>
      </c>
      <c r="J90" s="205">
        <f t="shared" si="18"/>
        <v>0.30300000000000005</v>
      </c>
      <c r="L90" s="205" t="s">
        <v>247</v>
      </c>
    </row>
    <row r="91" spans="1:25">
      <c r="A91" s="195" t="str">
        <f t="shared" si="15"/>
        <v>L.P.G - COM</v>
      </c>
      <c r="B91" s="205">
        <f>B56-B29</f>
        <v>0.40600000000000003</v>
      </c>
      <c r="C91" s="205">
        <f>C56-B29</f>
        <v>0.38</v>
      </c>
      <c r="D91" s="205">
        <f>D56-C29</f>
        <v>0.46799999999999997</v>
      </c>
      <c r="E91" s="205">
        <f>E56-C29</f>
        <v>0.376</v>
      </c>
      <c r="F91" s="205">
        <f>F56-B29</f>
        <v>0.45200000000000007</v>
      </c>
      <c r="G91" s="205">
        <f>G56-D29</f>
        <v>0.373</v>
      </c>
      <c r="H91" s="205">
        <f>H56-D29</f>
        <v>0.29400000000000004</v>
      </c>
      <c r="I91" s="205">
        <f>I56-E29</f>
        <v>0.45899999999999985</v>
      </c>
      <c r="J91" s="205">
        <f>J56-F29</f>
        <v>0.18899999999999997</v>
      </c>
      <c r="L91" s="205" t="s">
        <v>248</v>
      </c>
    </row>
    <row r="92" spans="1:25">
      <c r="A92" s="195" t="str">
        <f t="shared" si="15"/>
        <v>L.P.G - IND</v>
      </c>
      <c r="B92" s="205">
        <f>B57-B29</f>
        <v>0.31900000000000006</v>
      </c>
      <c r="C92" s="205">
        <f>C57-B29</f>
        <v>0.33000000000000007</v>
      </c>
      <c r="D92" s="205">
        <f>D57-C29</f>
        <v>0.39700000000000002</v>
      </c>
      <c r="E92" s="205">
        <f>E57-C29</f>
        <v>0.22300000000000009</v>
      </c>
      <c r="F92" s="205">
        <f>F57-B29</f>
        <v>0.375</v>
      </c>
      <c r="G92" s="205">
        <f>G57-D29</f>
        <v>0.32600000000000007</v>
      </c>
      <c r="H92" s="205">
        <f>H57-D29</f>
        <v>0.18100000000000005</v>
      </c>
      <c r="I92" s="205">
        <f>I57-E29</f>
        <v>0.22199999999999998</v>
      </c>
      <c r="J92" s="205">
        <f>J57-F29</f>
        <v>0.16</v>
      </c>
      <c r="L92" s="205" t="s">
        <v>249</v>
      </c>
    </row>
    <row r="93" spans="1:25">
      <c r="A93" s="195" t="str">
        <f t="shared" si="15"/>
        <v>L.P.G - TRN</v>
      </c>
      <c r="B93" s="205">
        <f>B58-B29</f>
        <v>0.59199999999999997</v>
      </c>
      <c r="C93" s="205">
        <f>C58-B29</f>
        <v>0.56199999999999994</v>
      </c>
      <c r="D93" s="205">
        <f>D58-C29</f>
        <v>0.60000000000000009</v>
      </c>
      <c r="E93" s="205">
        <f>E58-C29</f>
        <v>0.42200000000000004</v>
      </c>
      <c r="F93" s="205">
        <f>F58-B29</f>
        <v>0.63400000000000001</v>
      </c>
      <c r="G93" s="205">
        <f>G58-D29</f>
        <v>0.50300000000000011</v>
      </c>
      <c r="H93" s="205">
        <f>H58-D29</f>
        <v>0.39100000000000001</v>
      </c>
      <c r="I93" s="205">
        <f>I58-E29</f>
        <v>0.46899999999999986</v>
      </c>
      <c r="J93" s="205">
        <f>J58-F29</f>
        <v>0.29100000000000004</v>
      </c>
      <c r="L93" s="205" t="s">
        <v>250</v>
      </c>
    </row>
    <row r="94" spans="1:25">
      <c r="A94" s="195" t="s">
        <v>251</v>
      </c>
      <c r="B94" s="205">
        <f t="shared" ref="B94:J94" si="19">B79</f>
        <v>0.56700000000000006</v>
      </c>
      <c r="C94" s="205">
        <f t="shared" si="19"/>
        <v>0.53700000000000003</v>
      </c>
      <c r="D94" s="205">
        <f t="shared" si="19"/>
        <v>9.6999999999999975E-2</v>
      </c>
      <c r="E94" s="205">
        <f t="shared" si="19"/>
        <v>5.2999999999999936E-2</v>
      </c>
      <c r="F94" s="205">
        <f t="shared" si="19"/>
        <v>0.52700000000000002</v>
      </c>
      <c r="G94" s="205">
        <f t="shared" si="19"/>
        <v>0.52000000000000013</v>
      </c>
      <c r="H94" s="205">
        <f t="shared" si="19"/>
        <v>0.54900000000000004</v>
      </c>
      <c r="I94" s="205">
        <f t="shared" si="19"/>
        <v>0.40899999999999981</v>
      </c>
      <c r="J94" s="205">
        <f t="shared" si="19"/>
        <v>0.29299999999999993</v>
      </c>
      <c r="L94" s="205" t="s">
        <v>252</v>
      </c>
    </row>
    <row r="95" spans="1:25">
      <c r="A95" s="195" t="str">
        <f t="shared" ref="A95:A101" si="20">A59</f>
        <v>PETCHEM FEED</v>
      </c>
      <c r="B95" s="205">
        <f>B59-B30</f>
        <v>0.17700000000000005</v>
      </c>
      <c r="C95" s="205">
        <f>C59-B30</f>
        <v>4.1000000000000036E-2</v>
      </c>
      <c r="D95" s="205">
        <f>D59-C30</f>
        <v>0.16099999999999998</v>
      </c>
      <c r="E95" s="205">
        <f>E59-C30</f>
        <v>0.13999999999999996</v>
      </c>
      <c r="F95" s="205">
        <f>F59-B30</f>
        <v>3.7000000000000033E-2</v>
      </c>
      <c r="G95" s="205">
        <f>G59-D30</f>
        <v>0.17699999999999999</v>
      </c>
      <c r="H95" s="205">
        <f>H59-D30</f>
        <v>0.16099999999999998</v>
      </c>
      <c r="I95" s="205">
        <f>I59-E30</f>
        <v>0.16099999999999998</v>
      </c>
      <c r="J95" s="205">
        <f>J59-F30</f>
        <v>0.18099999999999999</v>
      </c>
      <c r="L95" s="269" t="s">
        <v>253</v>
      </c>
    </row>
    <row r="96" spans="1:25">
      <c r="A96" s="195" t="str">
        <f t="shared" si="20"/>
        <v>LOW SULF  RESID-COM</v>
      </c>
      <c r="B96" s="205">
        <f>B60-B31</f>
        <v>3.2000000000000028E-2</v>
      </c>
      <c r="C96" s="205">
        <f>C60-B31</f>
        <v>9.5999999999999974E-2</v>
      </c>
      <c r="D96" s="205">
        <f>D60-C31</f>
        <v>2.1000000000000019E-2</v>
      </c>
      <c r="E96" s="205">
        <f>E60-C31</f>
        <v>2.0000000000000018E-2</v>
      </c>
      <c r="F96" s="205">
        <f>F60-B31</f>
        <v>0.18100000000000005</v>
      </c>
      <c r="G96" s="205">
        <f>G60-D31</f>
        <v>3.7000000000000033E-2</v>
      </c>
      <c r="H96" s="205">
        <f>H74</f>
        <v>0</v>
      </c>
      <c r="I96" s="205">
        <f>I60-E31</f>
        <v>5.0000000000000044E-3</v>
      </c>
      <c r="J96" s="205">
        <f>J60-F31</f>
        <v>4.7000000000000042E-2</v>
      </c>
      <c r="L96" s="205" t="s">
        <v>254</v>
      </c>
    </row>
    <row r="97" spans="1:26">
      <c r="A97" s="195" t="str">
        <f t="shared" si="20"/>
        <v>LOW SULF  RESID-IND</v>
      </c>
      <c r="B97" s="205">
        <f>B61-B31</f>
        <v>3.1000000000000028E-2</v>
      </c>
      <c r="C97" s="205">
        <f>C61-B31</f>
        <v>7.4999999999999956E-2</v>
      </c>
      <c r="D97" s="205">
        <f>D61-C31</f>
        <v>3.2000000000000028E-2</v>
      </c>
      <c r="E97" s="205">
        <f>E61-C31</f>
        <v>2.300000000000002E-2</v>
      </c>
      <c r="F97" s="205">
        <f>F61-B31</f>
        <v>0.19000000000000006</v>
      </c>
      <c r="G97" s="205">
        <f>G61-D31</f>
        <v>9.000000000000008E-3</v>
      </c>
      <c r="H97" s="205">
        <f>H61-D31</f>
        <v>0</v>
      </c>
      <c r="I97" s="205">
        <f>I61-E31</f>
        <v>4.500000000000004E-2</v>
      </c>
      <c r="J97" s="205">
        <f>J61-F31</f>
        <v>4.7000000000000042E-2</v>
      </c>
      <c r="L97" s="205" t="s">
        <v>255</v>
      </c>
    </row>
    <row r="98" spans="1:26">
      <c r="A98" s="195" t="str">
        <f t="shared" si="20"/>
        <v>LOW SULF  RESID-ELC</v>
      </c>
      <c r="B98" s="205">
        <f>B74</f>
        <v>0</v>
      </c>
      <c r="C98" s="205">
        <f>C74</f>
        <v>0</v>
      </c>
      <c r="D98" s="205">
        <f>D62-C31</f>
        <v>7.2000000000000064E-2</v>
      </c>
      <c r="E98" s="205">
        <f>E74</f>
        <v>0</v>
      </c>
      <c r="F98" s="205">
        <f>F62-B31</f>
        <v>0.17800000000000005</v>
      </c>
      <c r="G98" s="205">
        <f>G74</f>
        <v>0</v>
      </c>
      <c r="H98" s="205">
        <f t="shared" ref="H98:J99" si="21">H62-D31</f>
        <v>8.7999999999999967E-2</v>
      </c>
      <c r="I98" s="205">
        <f t="shared" si="21"/>
        <v>0.123</v>
      </c>
      <c r="J98" s="205">
        <f t="shared" si="21"/>
        <v>0.16100000000000003</v>
      </c>
      <c r="L98" s="205" t="s">
        <v>256</v>
      </c>
    </row>
    <row r="99" spans="1:26">
      <c r="A99" s="195" t="str">
        <f t="shared" si="20"/>
        <v>HIGH SULF RESID-TRN</v>
      </c>
      <c r="B99" s="205">
        <f>B63-B32</f>
        <v>0.48699999999999999</v>
      </c>
      <c r="C99" s="205">
        <f>C63-B32</f>
        <v>0.57199999999999995</v>
      </c>
      <c r="D99" s="205">
        <f>D63-C32</f>
        <v>0.1170000000000001</v>
      </c>
      <c r="E99" s="205">
        <f>E63-C32</f>
        <v>1.0000000000000009E-3</v>
      </c>
      <c r="F99" s="205">
        <f>F63-B32</f>
        <v>0.77300000000000002</v>
      </c>
      <c r="G99" s="205">
        <f>G74</f>
        <v>0</v>
      </c>
      <c r="H99" s="205">
        <f t="shared" si="21"/>
        <v>6.3000000000000056E-2</v>
      </c>
      <c r="I99" s="205">
        <f t="shared" si="21"/>
        <v>0.16800000000000004</v>
      </c>
      <c r="J99" s="205">
        <f t="shared" si="21"/>
        <v>8.3999999999999964E-2</v>
      </c>
      <c r="L99" s="205" t="s">
        <v>257</v>
      </c>
    </row>
    <row r="100" spans="1:26">
      <c r="A100" s="195" t="str">
        <f t="shared" si="20"/>
        <v>HIGH SULF RESID-ELC</v>
      </c>
      <c r="B100" s="205">
        <f>B64-B32</f>
        <v>4.1000000000000002E-2</v>
      </c>
      <c r="C100" s="205">
        <f>C64-B32</f>
        <v>0.17</v>
      </c>
      <c r="D100" s="205">
        <f>D74</f>
        <v>0</v>
      </c>
      <c r="E100" s="205">
        <f>E74</f>
        <v>0</v>
      </c>
      <c r="F100" s="205">
        <f>F64-B32</f>
        <v>0.08</v>
      </c>
      <c r="G100" s="205">
        <f>G74</f>
        <v>0</v>
      </c>
      <c r="H100" s="205">
        <f>H74</f>
        <v>0</v>
      </c>
      <c r="I100" s="205">
        <f>I74</f>
        <v>0</v>
      </c>
      <c r="J100" s="205">
        <f>J74</f>
        <v>0</v>
      </c>
      <c r="L100" s="205" t="s">
        <v>258</v>
      </c>
    </row>
    <row r="101" spans="1:26">
      <c r="A101" s="195" t="str">
        <f t="shared" si="20"/>
        <v>ASPH. &amp; ROAD OIL</v>
      </c>
      <c r="B101" s="205">
        <f>B65-B33</f>
        <v>0.126</v>
      </c>
      <c r="C101" s="205">
        <f>C65-B33</f>
        <v>0.11399999999999999</v>
      </c>
      <c r="D101" s="205">
        <f>D65-C33</f>
        <v>0.11399999999999999</v>
      </c>
      <c r="E101" s="205">
        <f>E65-C33</f>
        <v>0.12599999999999989</v>
      </c>
      <c r="F101" s="205">
        <f>F65-B33</f>
        <v>0.20299999999999996</v>
      </c>
      <c r="G101" s="205">
        <f>G65-D33</f>
        <v>8.9999999999999969E-2</v>
      </c>
      <c r="H101" s="205">
        <f>H65-D33</f>
        <v>0.11399999999999999</v>
      </c>
      <c r="I101" s="205">
        <f>I65-E33</f>
        <v>0.11399999999999999</v>
      </c>
      <c r="J101" s="205">
        <f>J65-F33</f>
        <v>0.11399999999999999</v>
      </c>
      <c r="L101" s="205" t="s">
        <v>598</v>
      </c>
    </row>
    <row r="104" spans="1:26" ht="15.75">
      <c r="A104" s="272" t="s">
        <v>259</v>
      </c>
      <c r="B104" s="202"/>
      <c r="C104" s="202"/>
      <c r="D104" s="202" t="s">
        <v>260</v>
      </c>
      <c r="E104" s="202"/>
      <c r="F104" s="202"/>
      <c r="G104" s="202"/>
      <c r="H104" s="202"/>
      <c r="I104" s="202"/>
    </row>
    <row r="106" spans="1:26">
      <c r="A106" s="235" t="s">
        <v>261</v>
      </c>
    </row>
    <row r="107" spans="1:26">
      <c r="A107" s="273" t="s">
        <v>262</v>
      </c>
      <c r="B107" s="274"/>
      <c r="C107" s="274">
        <v>51.460723876953125</v>
      </c>
      <c r="D107" s="274">
        <v>48.980239868164063</v>
      </c>
      <c r="E107" s="274">
        <v>46.487419128417969</v>
      </c>
      <c r="F107" s="274">
        <v>43.994602203369141</v>
      </c>
      <c r="G107" s="274">
        <v>43.784809112548828</v>
      </c>
      <c r="H107" s="274">
        <v>43.587356567382813</v>
      </c>
      <c r="I107" s="274">
        <v>43.389904022216797</v>
      </c>
      <c r="J107" s="274">
        <v>43.192455291748047</v>
      </c>
      <c r="K107" s="274">
        <v>42.995002746582031</v>
      </c>
      <c r="L107" s="274">
        <v>43.389904022216797</v>
      </c>
      <c r="M107" s="274">
        <v>43.784809112548828</v>
      </c>
      <c r="N107" s="274">
        <v>44.192050933837891</v>
      </c>
      <c r="O107" s="274">
        <v>44.586956024169922</v>
      </c>
      <c r="P107" s="274">
        <v>44.994194030761719</v>
      </c>
      <c r="Q107" s="274">
        <v>45.5865478515625</v>
      </c>
      <c r="R107" s="274">
        <v>46.191246032714844</v>
      </c>
      <c r="S107" s="274">
        <v>46.795936584472656</v>
      </c>
      <c r="T107" s="274">
        <v>47.388294219970703</v>
      </c>
      <c r="U107" s="274">
        <v>47.992988586425781</v>
      </c>
      <c r="V107" s="274">
        <v>48.387886047363281</v>
      </c>
      <c r="W107" s="274">
        <v>48.795131683349609</v>
      </c>
      <c r="X107" s="274">
        <v>49.190036773681641</v>
      </c>
      <c r="Y107" s="274">
        <v>49.584938049316406</v>
      </c>
      <c r="Z107" s="274">
        <v>49.992179870605469</v>
      </c>
    </row>
    <row r="108" spans="1:26">
      <c r="A108" s="273" t="s">
        <v>263</v>
      </c>
      <c r="B108" s="274"/>
      <c r="C108" s="274">
        <v>55.629825592041016</v>
      </c>
      <c r="D108" s="274">
        <v>52.301586151123047</v>
      </c>
      <c r="E108" s="274">
        <v>50.141792297363281</v>
      </c>
      <c r="F108" s="274">
        <v>47.630142211914063</v>
      </c>
      <c r="G108" s="274">
        <v>47.343231201171875</v>
      </c>
      <c r="H108" s="274">
        <v>47.64556884765625</v>
      </c>
      <c r="I108" s="274">
        <v>47.374820709228516</v>
      </c>
      <c r="J108" s="274">
        <v>46.902111053466797</v>
      </c>
      <c r="K108" s="274">
        <v>47.78997802734375</v>
      </c>
      <c r="L108" s="274">
        <v>48.206428527832031</v>
      </c>
      <c r="M108" s="274">
        <v>48.239032745361328</v>
      </c>
      <c r="N108" s="274">
        <v>49.252956390380859</v>
      </c>
      <c r="O108" s="274">
        <v>48.371257781982422</v>
      </c>
      <c r="P108" s="274">
        <v>50.699810028076172</v>
      </c>
      <c r="Q108" s="274">
        <v>50.496315002441406</v>
      </c>
      <c r="R108" s="274">
        <v>52.503368377685547</v>
      </c>
      <c r="S108" s="274">
        <v>53.135856628417969</v>
      </c>
      <c r="T108" s="274">
        <v>52.062065124511719</v>
      </c>
      <c r="U108" s="274">
        <v>54.261863708496094</v>
      </c>
      <c r="V108" s="274">
        <v>54.805816650390625</v>
      </c>
      <c r="W108" s="274">
        <v>55.885974884033203</v>
      </c>
      <c r="X108" s="274">
        <v>56.275291442871094</v>
      </c>
      <c r="Y108" s="274">
        <v>56.734840393066406</v>
      </c>
      <c r="Z108" s="274">
        <v>56.965137481689453</v>
      </c>
    </row>
    <row r="110" spans="1:26">
      <c r="A110" s="235" t="s">
        <v>264</v>
      </c>
    </row>
    <row r="111" spans="1:26">
      <c r="C111" s="275">
        <f t="shared" ref="C111:Z111" si="22">C107/42</f>
        <v>1.2252553304036458</v>
      </c>
      <c r="D111" s="275">
        <f t="shared" si="22"/>
        <v>1.1661961873372395</v>
      </c>
      <c r="E111" s="275">
        <f t="shared" si="22"/>
        <v>1.1068433125813801</v>
      </c>
      <c r="F111" s="275">
        <f t="shared" si="22"/>
        <v>1.0474905286516463</v>
      </c>
      <c r="G111" s="275">
        <f t="shared" si="22"/>
        <v>1.0424954550606864</v>
      </c>
      <c r="H111" s="275">
        <f t="shared" si="22"/>
        <v>1.037794203985305</v>
      </c>
      <c r="I111" s="275">
        <f t="shared" si="22"/>
        <v>1.0330929529099238</v>
      </c>
      <c r="J111" s="275">
        <f t="shared" si="22"/>
        <v>1.0283917926606678</v>
      </c>
      <c r="K111" s="275">
        <f t="shared" si="22"/>
        <v>1.0236905415852864</v>
      </c>
      <c r="L111" s="275">
        <f t="shared" si="22"/>
        <v>1.0330929529099238</v>
      </c>
      <c r="M111" s="275">
        <f t="shared" si="22"/>
        <v>1.0424954550606864</v>
      </c>
      <c r="N111" s="275">
        <f t="shared" si="22"/>
        <v>1.0521916889009022</v>
      </c>
      <c r="O111" s="275">
        <f t="shared" si="22"/>
        <v>1.0615941910516649</v>
      </c>
      <c r="P111" s="275">
        <f t="shared" si="22"/>
        <v>1.0712903340657551</v>
      </c>
      <c r="Q111" s="275">
        <f t="shared" si="22"/>
        <v>1.0853939964657737</v>
      </c>
      <c r="R111" s="275">
        <f t="shared" si="22"/>
        <v>1.0997915722074962</v>
      </c>
      <c r="S111" s="275">
        <f t="shared" si="22"/>
        <v>1.114188966296968</v>
      </c>
      <c r="T111" s="275">
        <f t="shared" si="22"/>
        <v>1.1282927195231121</v>
      </c>
      <c r="U111" s="275">
        <f t="shared" si="22"/>
        <v>1.1426902044387091</v>
      </c>
      <c r="V111" s="275">
        <f t="shared" si="22"/>
        <v>1.1520925249372209</v>
      </c>
      <c r="W111" s="275">
        <f t="shared" si="22"/>
        <v>1.1617888496035622</v>
      </c>
      <c r="X111" s="275">
        <f t="shared" si="22"/>
        <v>1.1711913517543249</v>
      </c>
      <c r="Y111" s="275">
        <f t="shared" si="22"/>
        <v>1.180593763078962</v>
      </c>
      <c r="Z111" s="275">
        <f t="shared" si="22"/>
        <v>1.1902899969191778</v>
      </c>
    </row>
    <row r="112" spans="1:26">
      <c r="C112" s="275"/>
      <c r="D112" s="275"/>
      <c r="E112" s="275"/>
      <c r="F112" s="275"/>
      <c r="G112" s="275"/>
      <c r="H112" s="275"/>
      <c r="I112" s="275"/>
      <c r="J112" s="275"/>
      <c r="K112" s="275"/>
      <c r="L112" s="275"/>
      <c r="M112" s="275"/>
      <c r="N112" s="275"/>
      <c r="O112" s="275"/>
      <c r="P112" s="275"/>
      <c r="Q112" s="275"/>
      <c r="R112" s="275"/>
      <c r="S112" s="275"/>
      <c r="T112" s="275"/>
      <c r="U112" s="275"/>
      <c r="V112" s="275"/>
      <c r="W112" s="275"/>
      <c r="X112" s="275"/>
      <c r="Y112" s="275"/>
      <c r="Z112" s="275"/>
    </row>
    <row r="113" spans="1:26">
      <c r="A113" s="202" t="s">
        <v>265</v>
      </c>
      <c r="B113" s="202"/>
    </row>
    <row r="114" spans="1:26">
      <c r="A114" s="195" t="s">
        <v>138</v>
      </c>
      <c r="C114" s="219">
        <f t="shared" ref="C114:Z114" si="23">C127-C$111</f>
        <v>0.23374466959635432</v>
      </c>
      <c r="D114" s="219">
        <f t="shared" si="23"/>
        <v>0.23680381266276052</v>
      </c>
      <c r="E114" s="219">
        <f t="shared" si="23"/>
        <v>0.23415668741861984</v>
      </c>
      <c r="F114" s="219">
        <f t="shared" si="23"/>
        <v>0.23250947134835376</v>
      </c>
      <c r="G114" s="219">
        <f t="shared" si="23"/>
        <v>0.2365045449393135</v>
      </c>
      <c r="H114" s="219">
        <f t="shared" si="23"/>
        <v>0.23720579601469494</v>
      </c>
      <c r="I114" s="219">
        <f t="shared" si="23"/>
        <v>0.23690704709007626</v>
      </c>
      <c r="J114" s="219">
        <f t="shared" si="23"/>
        <v>0.24260820733933208</v>
      </c>
      <c r="K114" s="219">
        <f t="shared" si="23"/>
        <v>0.24330945841471352</v>
      </c>
      <c r="L114" s="219">
        <f t="shared" si="23"/>
        <v>0.26190704709007617</v>
      </c>
      <c r="M114" s="219">
        <f t="shared" si="23"/>
        <v>0.26150454493931363</v>
      </c>
      <c r="N114" s="219">
        <f t="shared" si="23"/>
        <v>0.27080831109909775</v>
      </c>
      <c r="O114" s="219">
        <f t="shared" si="23"/>
        <v>0.28940580894833512</v>
      </c>
      <c r="P114" s="219">
        <f>P127-P$111</f>
        <v>0.30670966593424476</v>
      </c>
      <c r="Q114" s="219">
        <f t="shared" si="23"/>
        <v>0.30360600353422629</v>
      </c>
      <c r="R114" s="219">
        <f t="shared" si="23"/>
        <v>0.30720842779250379</v>
      </c>
      <c r="S114" s="219">
        <f t="shared" si="23"/>
        <v>0.30281103370303208</v>
      </c>
      <c r="T114" s="219">
        <f t="shared" si="23"/>
        <v>0.302707280476888</v>
      </c>
      <c r="U114" s="219">
        <f t="shared" si="23"/>
        <v>0.30230979556129101</v>
      </c>
      <c r="V114" s="219">
        <f t="shared" si="23"/>
        <v>0.30190747506277904</v>
      </c>
      <c r="W114" s="219">
        <f t="shared" si="23"/>
        <v>0.30521115039643787</v>
      </c>
      <c r="X114" s="219">
        <f t="shared" si="23"/>
        <v>0.30680864824567511</v>
      </c>
      <c r="Y114" s="219">
        <f t="shared" si="23"/>
        <v>0.30640623692103808</v>
      </c>
      <c r="Z114" s="219">
        <f t="shared" si="23"/>
        <v>0.30971000308082219</v>
      </c>
    </row>
    <row r="115" spans="1:26">
      <c r="A115" s="195" t="s">
        <v>192</v>
      </c>
      <c r="C115" s="219">
        <f t="shared" ref="C115:Z115" si="24">C152-C$111</f>
        <v>0.42174466959635426</v>
      </c>
      <c r="D115" s="219">
        <f t="shared" si="24"/>
        <v>0.40480381266276044</v>
      </c>
      <c r="E115" s="219">
        <f t="shared" si="24"/>
        <v>0.38915668741861986</v>
      </c>
      <c r="F115" s="219">
        <f t="shared" si="24"/>
        <v>0.37750947134835378</v>
      </c>
      <c r="G115" s="219">
        <f t="shared" si="24"/>
        <v>0.37850454493931363</v>
      </c>
      <c r="H115" s="219">
        <f t="shared" si="24"/>
        <v>0.37620579601469495</v>
      </c>
      <c r="I115" s="219">
        <f t="shared" si="24"/>
        <v>0.37790704709007628</v>
      </c>
      <c r="J115" s="219">
        <f t="shared" si="24"/>
        <v>0.3836082073393321</v>
      </c>
      <c r="K115" s="219">
        <f t="shared" si="24"/>
        <v>0.38330945841471364</v>
      </c>
      <c r="L115" s="219">
        <f t="shared" si="24"/>
        <v>0.4059070470900763</v>
      </c>
      <c r="M115" s="219">
        <f t="shared" si="24"/>
        <v>0.40450454493931365</v>
      </c>
      <c r="N115" s="219">
        <f t="shared" si="24"/>
        <v>0.41380831109909777</v>
      </c>
      <c r="O115" s="219">
        <f t="shared" si="24"/>
        <v>0.42840580894833513</v>
      </c>
      <c r="P115" s="219">
        <f t="shared" si="24"/>
        <v>0.44570966593424477</v>
      </c>
      <c r="Q115" s="219">
        <f t="shared" si="24"/>
        <v>0.4406060035342263</v>
      </c>
      <c r="R115" s="219">
        <f t="shared" si="24"/>
        <v>0.4402084277925038</v>
      </c>
      <c r="S115" s="219">
        <f t="shared" si="24"/>
        <v>0.43181103370303209</v>
      </c>
      <c r="T115" s="219">
        <f t="shared" si="24"/>
        <v>0.431707280476888</v>
      </c>
      <c r="U115" s="219">
        <f t="shared" si="24"/>
        <v>0.4303097955612909</v>
      </c>
      <c r="V115" s="219">
        <f t="shared" si="24"/>
        <v>0.43290747506277905</v>
      </c>
      <c r="W115" s="219">
        <f t="shared" si="24"/>
        <v>0.43321115039643776</v>
      </c>
      <c r="X115" s="219">
        <f t="shared" si="24"/>
        <v>0.44180864824567512</v>
      </c>
      <c r="Y115" s="219">
        <f t="shared" si="24"/>
        <v>0.43740623692103808</v>
      </c>
      <c r="Z115" s="219">
        <f t="shared" si="24"/>
        <v>0.4367100030808222</v>
      </c>
    </row>
    <row r="116" spans="1:26">
      <c r="A116" s="195" t="s">
        <v>193</v>
      </c>
      <c r="C116" s="219">
        <f t="shared" ref="C116:Z116" si="25">C176-C$111</f>
        <v>0.31374466959635416</v>
      </c>
      <c r="D116" s="219">
        <f t="shared" si="25"/>
        <v>0.29680381266276057</v>
      </c>
      <c r="E116" s="219">
        <f t="shared" si="25"/>
        <v>0.28915668741861977</v>
      </c>
      <c r="F116" s="219">
        <f t="shared" si="25"/>
        <v>0.28150947134835369</v>
      </c>
      <c r="G116" s="219">
        <f t="shared" si="25"/>
        <v>0.28250454493931354</v>
      </c>
      <c r="H116" s="219">
        <f t="shared" si="25"/>
        <v>0.28120579601469498</v>
      </c>
      <c r="I116" s="219">
        <f t="shared" si="25"/>
        <v>0.28390704709007619</v>
      </c>
      <c r="J116" s="219">
        <f t="shared" si="25"/>
        <v>0.28960820733933224</v>
      </c>
      <c r="K116" s="219">
        <f t="shared" si="25"/>
        <v>0.29030945841471367</v>
      </c>
      <c r="L116" s="219">
        <f t="shared" si="25"/>
        <v>0.30690704709007632</v>
      </c>
      <c r="M116" s="219">
        <f t="shared" si="25"/>
        <v>0.30750454493931367</v>
      </c>
      <c r="N116" s="219">
        <f t="shared" si="25"/>
        <v>0.31280831109909779</v>
      </c>
      <c r="O116" s="219">
        <f t="shared" si="25"/>
        <v>0.33040580894833504</v>
      </c>
      <c r="P116" s="219">
        <f t="shared" si="25"/>
        <v>0.3437096659342449</v>
      </c>
      <c r="Q116" s="219">
        <f t="shared" si="25"/>
        <v>0.34060600353422621</v>
      </c>
      <c r="R116" s="219">
        <f t="shared" si="25"/>
        <v>0.34320842779250382</v>
      </c>
      <c r="S116" s="219">
        <f t="shared" si="25"/>
        <v>0.33981103370303201</v>
      </c>
      <c r="T116" s="219">
        <f t="shared" si="25"/>
        <v>0.33970728047688792</v>
      </c>
      <c r="U116" s="219">
        <f t="shared" si="25"/>
        <v>0.34030979556129104</v>
      </c>
      <c r="V116" s="219">
        <f t="shared" si="25"/>
        <v>0.34190747506277908</v>
      </c>
      <c r="W116" s="219">
        <f t="shared" si="25"/>
        <v>0.34221115039643779</v>
      </c>
      <c r="X116" s="219">
        <f t="shared" si="25"/>
        <v>0.34780864824567503</v>
      </c>
      <c r="Y116" s="219">
        <f t="shared" si="25"/>
        <v>0.3544062369210379</v>
      </c>
      <c r="Z116" s="219">
        <f t="shared" si="25"/>
        <v>0.35671000308082212</v>
      </c>
    </row>
    <row r="117" spans="1:26">
      <c r="A117" s="195" t="s">
        <v>194</v>
      </c>
      <c r="C117" s="219">
        <f t="shared" ref="C117:Z117" si="26">C200-C$111</f>
        <v>0.57374466959635417</v>
      </c>
      <c r="D117" s="219">
        <f t="shared" si="26"/>
        <v>0.64080381266276043</v>
      </c>
      <c r="E117" s="219">
        <f t="shared" si="26"/>
        <v>0.63115668741861986</v>
      </c>
      <c r="F117" s="219">
        <f t="shared" si="26"/>
        <v>0.52350947134835368</v>
      </c>
      <c r="G117" s="219">
        <f t="shared" si="26"/>
        <v>0.55750454493931367</v>
      </c>
      <c r="H117" s="219">
        <f t="shared" si="26"/>
        <v>0.51720579601469496</v>
      </c>
      <c r="I117" s="219">
        <f t="shared" si="26"/>
        <v>0.52290704709007629</v>
      </c>
      <c r="J117" s="219">
        <f t="shared" si="26"/>
        <v>0.53160820733933223</v>
      </c>
      <c r="K117" s="219">
        <f t="shared" si="26"/>
        <v>0.58830945841471372</v>
      </c>
      <c r="L117" s="219">
        <f t="shared" si="26"/>
        <v>0.55390704709007621</v>
      </c>
      <c r="M117" s="219">
        <f t="shared" si="26"/>
        <v>0.59150454493931348</v>
      </c>
      <c r="N117" s="219">
        <f t="shared" si="26"/>
        <v>0.5748083110990978</v>
      </c>
      <c r="O117" s="219">
        <f t="shared" si="26"/>
        <v>0.57940580894833515</v>
      </c>
      <c r="P117" s="219">
        <f t="shared" si="26"/>
        <v>0.58170966593424489</v>
      </c>
      <c r="Q117" s="219">
        <f t="shared" si="26"/>
        <v>0.59360600353422632</v>
      </c>
      <c r="R117" s="219">
        <f t="shared" si="26"/>
        <v>0.58520842779250382</v>
      </c>
      <c r="S117" s="219">
        <f t="shared" si="26"/>
        <v>0.57681103370303211</v>
      </c>
      <c r="T117" s="219">
        <f t="shared" si="26"/>
        <v>0.57270728047688801</v>
      </c>
      <c r="U117" s="219">
        <f t="shared" si="26"/>
        <v>0.55630979556129101</v>
      </c>
      <c r="V117" s="219">
        <f t="shared" si="26"/>
        <v>0.55990747506277905</v>
      </c>
      <c r="W117" s="219">
        <f t="shared" si="26"/>
        <v>0.55121115039643787</v>
      </c>
      <c r="X117" s="219">
        <f t="shared" si="26"/>
        <v>0.5508086482456751</v>
      </c>
      <c r="Y117" s="219">
        <f t="shared" si="26"/>
        <v>0.54240623692103807</v>
      </c>
      <c r="Z117" s="219">
        <f t="shared" si="26"/>
        <v>0.53971000308082218</v>
      </c>
    </row>
    <row r="118" spans="1:26">
      <c r="A118" s="195" t="s">
        <v>195</v>
      </c>
      <c r="C118" s="219">
        <f t="shared" ref="C118:Z118" si="27">C224-C$111</f>
        <v>0.54874466959635426</v>
      </c>
      <c r="D118" s="219">
        <f t="shared" si="27"/>
        <v>0.68280381266276047</v>
      </c>
      <c r="E118" s="219">
        <f t="shared" si="27"/>
        <v>0.64715668741861987</v>
      </c>
      <c r="F118" s="219">
        <f t="shared" si="27"/>
        <v>0.57650947134835384</v>
      </c>
      <c r="G118" s="219">
        <f t="shared" si="27"/>
        <v>0.6155045449393135</v>
      </c>
      <c r="H118" s="219">
        <f t="shared" si="27"/>
        <v>0.61220579601469494</v>
      </c>
      <c r="I118" s="219">
        <f t="shared" si="27"/>
        <v>0.60190704709007625</v>
      </c>
      <c r="J118" s="219">
        <f t="shared" si="27"/>
        <v>0.55860820733933214</v>
      </c>
      <c r="K118" s="219">
        <f t="shared" si="27"/>
        <v>0.61030945841471351</v>
      </c>
      <c r="L118" s="219">
        <f t="shared" si="27"/>
        <v>0.56890704709007633</v>
      </c>
      <c r="M118" s="219">
        <f t="shared" si="27"/>
        <v>0.6025045449393136</v>
      </c>
      <c r="N118" s="219">
        <f t="shared" si="27"/>
        <v>0.58080831109909781</v>
      </c>
      <c r="O118" s="219">
        <f t="shared" si="27"/>
        <v>0.58340580894833516</v>
      </c>
      <c r="P118" s="219">
        <f t="shared" si="27"/>
        <v>0.5937096659342449</v>
      </c>
      <c r="Q118" s="219">
        <f t="shared" si="27"/>
        <v>0.59660600353422621</v>
      </c>
      <c r="R118" s="219">
        <f t="shared" si="27"/>
        <v>0.60920842779250384</v>
      </c>
      <c r="S118" s="219">
        <f t="shared" si="27"/>
        <v>0.60781103370303202</v>
      </c>
      <c r="T118" s="219">
        <f t="shared" si="27"/>
        <v>0.60570728047688793</v>
      </c>
      <c r="U118" s="219">
        <f t="shared" si="27"/>
        <v>0.60430979556129105</v>
      </c>
      <c r="V118" s="219">
        <f t="shared" si="27"/>
        <v>0.60490747506277898</v>
      </c>
      <c r="W118" s="219">
        <f t="shared" si="27"/>
        <v>0.6022111503964378</v>
      </c>
      <c r="X118" s="219">
        <f t="shared" si="27"/>
        <v>0.60380864824567504</v>
      </c>
      <c r="Y118" s="219">
        <f t="shared" si="27"/>
        <v>0.6024062369210379</v>
      </c>
      <c r="Z118" s="219">
        <f t="shared" si="27"/>
        <v>0.60171000308082223</v>
      </c>
    </row>
    <row r="120" spans="1:26">
      <c r="C120" s="202" t="str">
        <f>CONCATENATE(L120,M120,N120,O120,P120,Q120,R120,S120,T120,R121,S121)</f>
        <v>Table 1D US Refinery GatePrices, $/Gal:2004PADD , 1</v>
      </c>
      <c r="L120" s="195" t="s">
        <v>266</v>
      </c>
      <c r="M120" s="195" t="s">
        <v>267</v>
      </c>
      <c r="N120" s="195" t="s">
        <v>268</v>
      </c>
      <c r="O120" s="195" t="s">
        <v>269</v>
      </c>
      <c r="P120" s="195" t="s">
        <v>270</v>
      </c>
      <c r="Q120" s="195" t="s">
        <v>271</v>
      </c>
      <c r="R120" s="195" t="s">
        <v>272</v>
      </c>
      <c r="S120" s="195" t="s">
        <v>273</v>
      </c>
      <c r="T120" s="195">
        <v>4</v>
      </c>
    </row>
    <row r="121" spans="1:26">
      <c r="R121" s="195" t="s">
        <v>274</v>
      </c>
      <c r="S121" s="195" t="s">
        <v>275</v>
      </c>
    </row>
    <row r="122" spans="1:26">
      <c r="A122" s="195" t="s">
        <v>276</v>
      </c>
      <c r="B122" s="195" t="s">
        <v>277</v>
      </c>
      <c r="C122" s="195">
        <v>11006</v>
      </c>
      <c r="D122" s="195" t="s">
        <v>278</v>
      </c>
      <c r="E122" s="195" t="s">
        <v>279</v>
      </c>
      <c r="F122" s="195" t="s">
        <v>280</v>
      </c>
    </row>
    <row r="123" spans="1:26">
      <c r="A123" s="195" t="s">
        <v>281</v>
      </c>
      <c r="B123" s="195" t="s">
        <v>282</v>
      </c>
      <c r="C123" s="195" t="s">
        <v>283</v>
      </c>
      <c r="D123" s="195" t="s">
        <v>283</v>
      </c>
      <c r="E123" s="195" t="s">
        <v>283</v>
      </c>
      <c r="F123" s="195" t="s">
        <v>283</v>
      </c>
      <c r="G123" s="195" t="s">
        <v>283</v>
      </c>
      <c r="H123" s="195" t="s">
        <v>283</v>
      </c>
      <c r="I123" s="195" t="s">
        <v>283</v>
      </c>
      <c r="J123" s="195" t="s">
        <v>283</v>
      </c>
      <c r="K123" s="195" t="s">
        <v>283</v>
      </c>
      <c r="L123" s="195" t="s">
        <v>283</v>
      </c>
      <c r="M123" s="195" t="s">
        <v>283</v>
      </c>
      <c r="N123" s="195" t="s">
        <v>283</v>
      </c>
      <c r="O123" s="195" t="s">
        <v>283</v>
      </c>
      <c r="P123" s="195" t="s">
        <v>283</v>
      </c>
      <c r="Q123" s="195" t="s">
        <v>283</v>
      </c>
      <c r="R123" s="195" t="s">
        <v>283</v>
      </c>
      <c r="S123" s="195" t="s">
        <v>283</v>
      </c>
      <c r="T123" s="195" t="s">
        <v>283</v>
      </c>
      <c r="U123" s="195" t="s">
        <v>283</v>
      </c>
      <c r="V123" s="195" t="s">
        <v>283</v>
      </c>
      <c r="W123" s="195" t="s">
        <v>283</v>
      </c>
      <c r="X123" s="195" t="s">
        <v>283</v>
      </c>
      <c r="Y123" s="195" t="s">
        <v>283</v>
      </c>
      <c r="Z123" s="195" t="s">
        <v>284</v>
      </c>
    </row>
    <row r="124" spans="1:26">
      <c r="C124" s="195">
        <v>2007</v>
      </c>
      <c r="D124" s="195">
        <v>2008</v>
      </c>
      <c r="E124" s="195">
        <v>2009</v>
      </c>
      <c r="F124" s="195">
        <v>2010</v>
      </c>
      <c r="G124" s="195">
        <v>2011</v>
      </c>
      <c r="H124" s="195">
        <v>2012</v>
      </c>
      <c r="I124" s="195">
        <v>2013</v>
      </c>
      <c r="J124" s="195">
        <v>2014</v>
      </c>
      <c r="K124" s="195">
        <v>2015</v>
      </c>
      <c r="L124" s="195">
        <v>2016</v>
      </c>
      <c r="M124" s="195">
        <v>2017</v>
      </c>
      <c r="N124" s="195">
        <v>2018</v>
      </c>
      <c r="O124" s="195">
        <v>2019</v>
      </c>
      <c r="P124" s="195">
        <v>2020</v>
      </c>
      <c r="Q124" s="195">
        <v>2021</v>
      </c>
      <c r="R124" s="195">
        <v>2022</v>
      </c>
      <c r="S124" s="195">
        <v>2023</v>
      </c>
      <c r="T124" s="195">
        <v>2024</v>
      </c>
      <c r="U124" s="195">
        <v>2025</v>
      </c>
      <c r="V124" s="195">
        <v>2026</v>
      </c>
      <c r="W124" s="195">
        <v>2027</v>
      </c>
      <c r="X124" s="195">
        <v>2028</v>
      </c>
      <c r="Y124" s="195">
        <v>2029</v>
      </c>
      <c r="Z124" s="195">
        <v>2030</v>
      </c>
    </row>
    <row r="125" spans="1:26">
      <c r="A125" s="195" t="s">
        <v>281</v>
      </c>
      <c r="B125" s="195" t="s">
        <v>282</v>
      </c>
      <c r="C125" s="195" t="s">
        <v>283</v>
      </c>
      <c r="D125" s="195" t="s">
        <v>283</v>
      </c>
      <c r="E125" s="195" t="s">
        <v>283</v>
      </c>
      <c r="F125" s="195" t="s">
        <v>283</v>
      </c>
      <c r="G125" s="195" t="s">
        <v>283</v>
      </c>
      <c r="H125" s="195" t="s">
        <v>283</v>
      </c>
      <c r="I125" s="195" t="s">
        <v>283</v>
      </c>
      <c r="J125" s="195" t="s">
        <v>283</v>
      </c>
      <c r="K125" s="195" t="s">
        <v>283</v>
      </c>
      <c r="L125" s="195" t="s">
        <v>283</v>
      </c>
      <c r="M125" s="195" t="s">
        <v>283</v>
      </c>
      <c r="N125" s="195" t="s">
        <v>283</v>
      </c>
      <c r="O125" s="195" t="s">
        <v>283</v>
      </c>
      <c r="P125" s="195" t="s">
        <v>283</v>
      </c>
      <c r="Q125" s="195" t="s">
        <v>283</v>
      </c>
      <c r="R125" s="195" t="s">
        <v>283</v>
      </c>
      <c r="S125" s="195" t="s">
        <v>283</v>
      </c>
      <c r="T125" s="195" t="s">
        <v>283</v>
      </c>
      <c r="U125" s="195" t="s">
        <v>283</v>
      </c>
      <c r="V125" s="195" t="s">
        <v>283</v>
      </c>
      <c r="W125" s="195" t="s">
        <v>283</v>
      </c>
      <c r="X125" s="195" t="s">
        <v>283</v>
      </c>
      <c r="Y125" s="195" t="s">
        <v>283</v>
      </c>
      <c r="Z125" s="195" t="s">
        <v>284</v>
      </c>
    </row>
    <row r="126" spans="1:26">
      <c r="A126" s="195" t="s">
        <v>197</v>
      </c>
      <c r="B126" s="195" t="s">
        <v>285</v>
      </c>
      <c r="C126" s="195">
        <v>1.516</v>
      </c>
      <c r="D126" s="195">
        <v>1.4550000000000001</v>
      </c>
      <c r="E126" s="195">
        <v>1.39</v>
      </c>
      <c r="F126" s="195">
        <v>1.327</v>
      </c>
      <c r="G126" s="195">
        <v>1.325</v>
      </c>
      <c r="H126" s="195">
        <v>1.319</v>
      </c>
      <c r="I126" s="195">
        <v>1.3149999999999999</v>
      </c>
      <c r="J126" s="195">
        <v>1.3160000000000001</v>
      </c>
      <c r="K126" s="195">
        <v>1.3109999999999999</v>
      </c>
      <c r="L126" s="195">
        <v>1.339</v>
      </c>
      <c r="M126" s="195">
        <v>1.3480000000000001</v>
      </c>
      <c r="N126" s="195">
        <v>1.365</v>
      </c>
      <c r="O126" s="195">
        <v>1.393</v>
      </c>
      <c r="P126" s="195">
        <v>1.4179999999999999</v>
      </c>
      <c r="Q126" s="195">
        <v>1.429</v>
      </c>
      <c r="R126" s="195">
        <v>1.446</v>
      </c>
      <c r="S126" s="195">
        <v>1.4570000000000001</v>
      </c>
      <c r="T126" s="195">
        <v>1.4710000000000001</v>
      </c>
      <c r="U126" s="195">
        <v>1.4850000000000001</v>
      </c>
      <c r="V126" s="195">
        <v>1.4950000000000001</v>
      </c>
      <c r="W126" s="195">
        <v>1.506</v>
      </c>
      <c r="X126" s="195">
        <v>1.5189999999999999</v>
      </c>
      <c r="Y126" s="195">
        <v>1.5289999999999999</v>
      </c>
      <c r="Z126" s="195">
        <v>1.5409999999999999</v>
      </c>
    </row>
    <row r="127" spans="1:26">
      <c r="A127" s="195" t="s">
        <v>198</v>
      </c>
      <c r="B127" s="195" t="s">
        <v>285</v>
      </c>
      <c r="C127" s="195">
        <v>1.4590000000000001</v>
      </c>
      <c r="D127" s="195">
        <v>1.403</v>
      </c>
      <c r="E127" s="195">
        <v>1.341</v>
      </c>
      <c r="F127" s="195">
        <v>1.28</v>
      </c>
      <c r="G127" s="195">
        <v>1.2789999999999999</v>
      </c>
      <c r="H127" s="195">
        <v>1.2749999999999999</v>
      </c>
      <c r="I127" s="195">
        <v>1.27</v>
      </c>
      <c r="J127" s="195">
        <v>1.2709999999999999</v>
      </c>
      <c r="K127" s="195">
        <v>1.2669999999999999</v>
      </c>
      <c r="L127" s="195">
        <v>1.2949999999999999</v>
      </c>
      <c r="M127" s="195">
        <v>1.304</v>
      </c>
      <c r="N127" s="195">
        <v>1.323</v>
      </c>
      <c r="O127" s="195">
        <v>1.351</v>
      </c>
      <c r="P127" s="195">
        <v>1.3779999999999999</v>
      </c>
      <c r="Q127" s="195">
        <v>1.389</v>
      </c>
      <c r="R127" s="195">
        <v>1.407</v>
      </c>
      <c r="S127" s="195">
        <v>1.417</v>
      </c>
      <c r="T127" s="195">
        <v>1.431</v>
      </c>
      <c r="U127" s="195">
        <v>1.4450000000000001</v>
      </c>
      <c r="V127" s="195">
        <v>1.454</v>
      </c>
      <c r="W127" s="195">
        <v>1.4670000000000001</v>
      </c>
      <c r="X127" s="195">
        <v>1.478</v>
      </c>
      <c r="Y127" s="195">
        <v>1.4870000000000001</v>
      </c>
      <c r="Z127" s="195">
        <v>1.5</v>
      </c>
    </row>
    <row r="128" spans="1:26">
      <c r="A128" s="195" t="s">
        <v>199</v>
      </c>
      <c r="B128" s="195" t="s">
        <v>285</v>
      </c>
      <c r="C128" s="195">
        <v>1.605</v>
      </c>
      <c r="D128" s="195">
        <v>1.538</v>
      </c>
      <c r="E128" s="195">
        <v>1.4710000000000001</v>
      </c>
      <c r="F128" s="195">
        <v>1.403</v>
      </c>
      <c r="G128" s="195">
        <v>1.399</v>
      </c>
      <c r="H128" s="195">
        <v>1.391</v>
      </c>
      <c r="I128" s="195">
        <v>1.389</v>
      </c>
      <c r="J128" s="195">
        <v>1.39</v>
      </c>
      <c r="K128" s="195">
        <v>1.3859999999999999</v>
      </c>
      <c r="L128" s="195">
        <v>1.4119999999999999</v>
      </c>
      <c r="M128" s="195">
        <v>1.4219999999999999</v>
      </c>
      <c r="N128" s="195">
        <v>1.4370000000000001</v>
      </c>
      <c r="O128" s="195">
        <v>1.464</v>
      </c>
      <c r="P128" s="195">
        <v>1.486</v>
      </c>
      <c r="Q128" s="195">
        <v>1.4970000000000001</v>
      </c>
      <c r="R128" s="195">
        <v>1.5129999999999999</v>
      </c>
      <c r="S128" s="195">
        <v>1.526</v>
      </c>
      <c r="T128" s="195">
        <v>1.54</v>
      </c>
      <c r="U128" s="195">
        <v>1.5549999999999999</v>
      </c>
      <c r="V128" s="195">
        <v>1.5660000000000001</v>
      </c>
      <c r="W128" s="195">
        <v>1.5760000000000001</v>
      </c>
      <c r="X128" s="195">
        <v>1.591</v>
      </c>
      <c r="Y128" s="195">
        <v>1.605</v>
      </c>
      <c r="Z128" s="195">
        <v>1.6160000000000001</v>
      </c>
    </row>
    <row r="129" spans="1:26">
      <c r="A129" s="195" t="s">
        <v>200</v>
      </c>
      <c r="B129" s="195" t="s">
        <v>285</v>
      </c>
      <c r="C129" s="195">
        <v>0</v>
      </c>
      <c r="D129" s="195">
        <v>0</v>
      </c>
      <c r="E129" s="195">
        <v>0</v>
      </c>
      <c r="F129" s="195">
        <v>0</v>
      </c>
      <c r="G129" s="195">
        <v>0</v>
      </c>
      <c r="H129" s="195">
        <v>0</v>
      </c>
      <c r="I129" s="195">
        <v>0</v>
      </c>
      <c r="J129" s="195">
        <v>0</v>
      </c>
      <c r="K129" s="195">
        <v>0</v>
      </c>
      <c r="L129" s="195">
        <v>0</v>
      </c>
      <c r="M129" s="195">
        <v>0</v>
      </c>
      <c r="N129" s="195">
        <v>0</v>
      </c>
      <c r="O129" s="195">
        <v>0</v>
      </c>
      <c r="P129" s="195">
        <v>0</v>
      </c>
      <c r="Q129" s="195">
        <v>0</v>
      </c>
      <c r="R129" s="195">
        <v>0</v>
      </c>
      <c r="S129" s="195">
        <v>0</v>
      </c>
      <c r="T129" s="195">
        <v>0</v>
      </c>
      <c r="U129" s="195">
        <v>0</v>
      </c>
      <c r="V129" s="195">
        <v>0</v>
      </c>
      <c r="W129" s="195">
        <v>0</v>
      </c>
      <c r="X129" s="195">
        <v>0</v>
      </c>
      <c r="Y129" s="195">
        <v>0</v>
      </c>
      <c r="Z129" s="195">
        <v>0</v>
      </c>
    </row>
    <row r="130" spans="1:26">
      <c r="A130" s="195" t="s">
        <v>461</v>
      </c>
      <c r="B130" s="195" t="s">
        <v>285</v>
      </c>
      <c r="C130" s="195">
        <v>0</v>
      </c>
      <c r="D130" s="195">
        <v>0</v>
      </c>
      <c r="E130" s="195">
        <v>0</v>
      </c>
      <c r="F130" s="195">
        <v>0</v>
      </c>
      <c r="G130" s="195">
        <v>0</v>
      </c>
      <c r="H130" s="195">
        <v>0</v>
      </c>
      <c r="I130" s="195">
        <v>0</v>
      </c>
      <c r="J130" s="195">
        <v>0</v>
      </c>
      <c r="K130" s="195">
        <v>0</v>
      </c>
      <c r="L130" s="195">
        <v>0</v>
      </c>
      <c r="M130" s="195">
        <v>0</v>
      </c>
      <c r="N130" s="195">
        <v>0</v>
      </c>
      <c r="O130" s="195">
        <v>0</v>
      </c>
      <c r="P130" s="195">
        <v>0</v>
      </c>
      <c r="Q130" s="195">
        <v>0</v>
      </c>
      <c r="R130" s="195">
        <v>0</v>
      </c>
      <c r="S130" s="195">
        <v>0</v>
      </c>
      <c r="T130" s="195">
        <v>0</v>
      </c>
      <c r="U130" s="195">
        <v>0</v>
      </c>
      <c r="V130" s="195">
        <v>0</v>
      </c>
      <c r="W130" s="195">
        <v>0</v>
      </c>
      <c r="X130" s="195">
        <v>0</v>
      </c>
      <c r="Y130" s="195">
        <v>0</v>
      </c>
      <c r="Z130" s="195">
        <v>0</v>
      </c>
    </row>
    <row r="131" spans="1:26">
      <c r="A131" s="195" t="s">
        <v>201</v>
      </c>
      <c r="B131" s="195" t="s">
        <v>285</v>
      </c>
      <c r="C131" s="195">
        <v>1.258</v>
      </c>
      <c r="D131" s="195">
        <v>1.2270000000000001</v>
      </c>
      <c r="E131" s="195">
        <v>1.179</v>
      </c>
      <c r="F131" s="195">
        <v>1.1299999999999999</v>
      </c>
      <c r="G131" s="195">
        <v>1.125</v>
      </c>
      <c r="H131" s="195">
        <v>1.1399999999999999</v>
      </c>
      <c r="I131" s="195">
        <v>1.117</v>
      </c>
      <c r="J131" s="195">
        <v>1.119</v>
      </c>
      <c r="K131" s="195">
        <v>1.117</v>
      </c>
      <c r="L131" s="195">
        <v>1.1519999999999999</v>
      </c>
      <c r="M131" s="195">
        <v>1.1399999999999999</v>
      </c>
      <c r="N131" s="195">
        <v>1.1719999999999999</v>
      </c>
      <c r="O131" s="195">
        <v>1.18</v>
      </c>
      <c r="P131" s="195">
        <v>1.1910000000000001</v>
      </c>
      <c r="Q131" s="195">
        <v>1.2</v>
      </c>
      <c r="R131" s="195">
        <v>1.2230000000000001</v>
      </c>
      <c r="S131" s="195">
        <v>1.2350000000000001</v>
      </c>
      <c r="T131" s="195">
        <v>1.2470000000000001</v>
      </c>
      <c r="U131" s="195">
        <v>1.2589999999999999</v>
      </c>
      <c r="V131" s="195">
        <v>1.2649999999999999</v>
      </c>
      <c r="W131" s="195">
        <v>1.268</v>
      </c>
      <c r="X131" s="195">
        <v>1.272</v>
      </c>
      <c r="Y131" s="195">
        <v>1.28</v>
      </c>
      <c r="Z131" s="195">
        <v>1.288</v>
      </c>
    </row>
    <row r="132" spans="1:26">
      <c r="A132" s="195" t="s">
        <v>202</v>
      </c>
      <c r="B132" s="195" t="s">
        <v>285</v>
      </c>
      <c r="C132" s="195">
        <v>1.294</v>
      </c>
      <c r="D132" s="195">
        <v>1.276</v>
      </c>
      <c r="E132" s="195">
        <v>1.214</v>
      </c>
      <c r="F132" s="195">
        <v>1.1579999999999999</v>
      </c>
      <c r="G132" s="195">
        <v>1.141</v>
      </c>
      <c r="H132" s="195">
        <v>1.1539999999999999</v>
      </c>
      <c r="I132" s="195">
        <v>0</v>
      </c>
      <c r="J132" s="195">
        <v>0</v>
      </c>
      <c r="K132" s="195">
        <v>0</v>
      </c>
      <c r="L132" s="195">
        <v>0</v>
      </c>
      <c r="M132" s="195">
        <v>0</v>
      </c>
      <c r="N132" s="195">
        <v>0</v>
      </c>
      <c r="O132" s="195">
        <v>0</v>
      </c>
      <c r="P132" s="195">
        <v>0</v>
      </c>
      <c r="Q132" s="195">
        <v>0</v>
      </c>
      <c r="R132" s="195">
        <v>0</v>
      </c>
      <c r="S132" s="195">
        <v>0</v>
      </c>
      <c r="T132" s="195">
        <v>0</v>
      </c>
      <c r="U132" s="195">
        <v>0</v>
      </c>
      <c r="V132" s="195">
        <v>0</v>
      </c>
      <c r="W132" s="195">
        <v>0</v>
      </c>
      <c r="X132" s="195">
        <v>0</v>
      </c>
      <c r="Y132" s="195">
        <v>0</v>
      </c>
      <c r="Z132" s="195">
        <v>0</v>
      </c>
    </row>
    <row r="133" spans="1:26">
      <c r="A133" s="195" t="s">
        <v>203</v>
      </c>
      <c r="B133" s="195" t="s">
        <v>285</v>
      </c>
      <c r="C133" s="195">
        <v>1.4339999999999999</v>
      </c>
      <c r="D133" s="195">
        <v>1.3740000000000001</v>
      </c>
      <c r="E133" s="195">
        <v>1.3240000000000001</v>
      </c>
      <c r="F133" s="195">
        <v>1.2769999999999999</v>
      </c>
      <c r="G133" s="195">
        <v>1.296</v>
      </c>
      <c r="H133" s="195">
        <v>1.2889999999999999</v>
      </c>
      <c r="I133" s="195">
        <v>1.3029999999999999</v>
      </c>
      <c r="J133" s="195">
        <v>1.286</v>
      </c>
      <c r="K133" s="195">
        <v>1.3109999999999999</v>
      </c>
      <c r="L133" s="195">
        <v>1.32</v>
      </c>
      <c r="M133" s="195">
        <v>1.32</v>
      </c>
      <c r="N133" s="195">
        <v>1.3360000000000001</v>
      </c>
      <c r="O133" s="195">
        <v>1.3540000000000001</v>
      </c>
      <c r="P133" s="195">
        <v>1.367</v>
      </c>
      <c r="Q133" s="195">
        <v>1.351</v>
      </c>
      <c r="R133" s="195">
        <v>1.3540000000000001</v>
      </c>
      <c r="S133" s="195">
        <v>1.417</v>
      </c>
      <c r="T133" s="195">
        <v>1.4259999999999999</v>
      </c>
      <c r="U133" s="195">
        <v>1.41</v>
      </c>
      <c r="V133" s="195">
        <v>1.458</v>
      </c>
      <c r="W133" s="195">
        <v>1.4810000000000001</v>
      </c>
      <c r="X133" s="195">
        <v>1.5089999999999999</v>
      </c>
      <c r="Y133" s="195">
        <v>1.486</v>
      </c>
      <c r="Z133" s="195">
        <v>1.5089999999999999</v>
      </c>
    </row>
    <row r="134" spans="1:26">
      <c r="A134" s="195" t="s">
        <v>204</v>
      </c>
      <c r="B134" s="195" t="s">
        <v>285</v>
      </c>
      <c r="C134" s="195">
        <v>1.282</v>
      </c>
      <c r="D134" s="195">
        <v>1.254</v>
      </c>
      <c r="E134" s="195">
        <v>1.1970000000000001</v>
      </c>
      <c r="F134" s="195">
        <v>1.1639999999999999</v>
      </c>
      <c r="G134" s="195">
        <v>1.1879999999999999</v>
      </c>
      <c r="H134" s="195">
        <v>1.2050000000000001</v>
      </c>
      <c r="I134" s="195">
        <v>1.1850000000000001</v>
      </c>
      <c r="J134" s="195">
        <v>1.204</v>
      </c>
      <c r="K134" s="195">
        <v>1.21</v>
      </c>
      <c r="L134" s="195">
        <v>1.2390000000000001</v>
      </c>
      <c r="M134" s="195">
        <v>1.23</v>
      </c>
      <c r="N134" s="195">
        <v>1.2689999999999999</v>
      </c>
      <c r="O134" s="195">
        <v>1.2889999999999999</v>
      </c>
      <c r="P134" s="195">
        <v>1.3129999999999999</v>
      </c>
      <c r="Q134" s="195">
        <v>1.33</v>
      </c>
      <c r="R134" s="195">
        <v>1.347</v>
      </c>
      <c r="S134" s="195">
        <v>1.353</v>
      </c>
      <c r="T134" s="195">
        <v>1.369</v>
      </c>
      <c r="U134" s="195">
        <v>1.3759999999999999</v>
      </c>
      <c r="V134" s="195">
        <v>1.393</v>
      </c>
      <c r="W134" s="195">
        <v>1.415</v>
      </c>
      <c r="X134" s="195">
        <v>1.4410000000000001</v>
      </c>
      <c r="Y134" s="195">
        <v>1.4530000000000001</v>
      </c>
      <c r="Z134" s="195">
        <v>1.4650000000000001</v>
      </c>
    </row>
    <row r="135" spans="1:26">
      <c r="A135" s="195" t="s">
        <v>205</v>
      </c>
      <c r="B135" s="195" t="s">
        <v>285</v>
      </c>
      <c r="C135" s="195">
        <v>1.258</v>
      </c>
      <c r="D135" s="195">
        <v>1.2270000000000001</v>
      </c>
      <c r="E135" s="195">
        <v>1.179</v>
      </c>
      <c r="F135" s="195">
        <v>1.1299999999999999</v>
      </c>
      <c r="G135" s="195">
        <v>1.125</v>
      </c>
      <c r="H135" s="195">
        <v>1.1399999999999999</v>
      </c>
      <c r="I135" s="195">
        <v>1.117</v>
      </c>
      <c r="J135" s="195">
        <v>1.119</v>
      </c>
      <c r="K135" s="195">
        <v>1.117</v>
      </c>
      <c r="L135" s="195">
        <v>1.1519999999999999</v>
      </c>
      <c r="M135" s="195">
        <v>1.1399999999999999</v>
      </c>
      <c r="N135" s="195">
        <v>1.1719999999999999</v>
      </c>
      <c r="O135" s="195">
        <v>1.18</v>
      </c>
      <c r="P135" s="195">
        <v>1.1910000000000001</v>
      </c>
      <c r="Q135" s="195">
        <v>1.2</v>
      </c>
      <c r="R135" s="195">
        <v>1.2230000000000001</v>
      </c>
      <c r="S135" s="195">
        <v>1.2350000000000001</v>
      </c>
      <c r="T135" s="195">
        <v>1.2470000000000001</v>
      </c>
      <c r="U135" s="195">
        <v>1.2589999999999999</v>
      </c>
      <c r="V135" s="195">
        <v>1.2649999999999999</v>
      </c>
      <c r="W135" s="195">
        <v>1.268</v>
      </c>
      <c r="X135" s="195">
        <v>1.272</v>
      </c>
      <c r="Y135" s="195">
        <v>1.28</v>
      </c>
      <c r="Z135" s="195">
        <v>1.288</v>
      </c>
    </row>
    <row r="136" spans="1:26">
      <c r="A136" s="195" t="s">
        <v>206</v>
      </c>
      <c r="B136" s="195" t="s">
        <v>285</v>
      </c>
      <c r="C136" s="195">
        <v>0.85299999999999998</v>
      </c>
      <c r="D136" s="195">
        <v>0.81499999999999995</v>
      </c>
      <c r="E136" s="195">
        <v>0.79400000000000004</v>
      </c>
      <c r="F136" s="195">
        <v>0.76800000000000002</v>
      </c>
      <c r="G136" s="195">
        <v>0.76800000000000002</v>
      </c>
      <c r="H136" s="195">
        <v>0.76500000000000001</v>
      </c>
      <c r="I136" s="195">
        <v>0.76200000000000001</v>
      </c>
      <c r="J136" s="195">
        <v>0.75900000000000001</v>
      </c>
      <c r="K136" s="195">
        <v>0.755</v>
      </c>
      <c r="L136" s="195">
        <v>0.78200000000000003</v>
      </c>
      <c r="M136" s="195">
        <v>0.78900000000000003</v>
      </c>
      <c r="N136" s="195">
        <v>0.82099999999999995</v>
      </c>
      <c r="O136" s="195">
        <v>0.83399999999999996</v>
      </c>
      <c r="P136" s="195">
        <v>0.84099999999999997</v>
      </c>
      <c r="Q136" s="195">
        <v>0.85199999999999998</v>
      </c>
      <c r="R136" s="195">
        <v>0.86299999999999999</v>
      </c>
      <c r="S136" s="195">
        <v>0.873</v>
      </c>
      <c r="T136" s="195">
        <v>0.88400000000000001</v>
      </c>
      <c r="U136" s="195">
        <v>0.89500000000000002</v>
      </c>
      <c r="V136" s="195">
        <v>0.90200000000000002</v>
      </c>
      <c r="W136" s="195">
        <v>0.90900000000000003</v>
      </c>
      <c r="X136" s="195">
        <v>0.91600000000000004</v>
      </c>
      <c r="Y136" s="195">
        <v>0.92300000000000004</v>
      </c>
      <c r="Z136" s="195">
        <v>0.93100000000000005</v>
      </c>
    </row>
    <row r="137" spans="1:26">
      <c r="A137" s="195" t="s">
        <v>207</v>
      </c>
      <c r="B137" s="195" t="s">
        <v>285</v>
      </c>
      <c r="C137" s="195">
        <v>0.85299999999999998</v>
      </c>
      <c r="D137" s="195">
        <v>0.81499999999999995</v>
      </c>
      <c r="E137" s="195">
        <v>0.79400000000000004</v>
      </c>
      <c r="F137" s="195">
        <v>0.76200000000000001</v>
      </c>
      <c r="G137" s="195">
        <v>0.75800000000000001</v>
      </c>
      <c r="H137" s="195">
        <v>0.74099999999999999</v>
      </c>
      <c r="I137" s="195">
        <v>0.747</v>
      </c>
      <c r="J137" s="195">
        <v>0.747</v>
      </c>
      <c r="K137" s="195">
        <v>0.74</v>
      </c>
      <c r="L137" s="195">
        <v>0.75</v>
      </c>
      <c r="M137" s="195">
        <v>0.75700000000000001</v>
      </c>
      <c r="N137" s="195">
        <v>0.76400000000000001</v>
      </c>
      <c r="O137" s="195">
        <v>0.77100000000000002</v>
      </c>
      <c r="P137" s="195">
        <v>0.77900000000000003</v>
      </c>
      <c r="Q137" s="195">
        <v>0.79</v>
      </c>
      <c r="R137" s="195">
        <v>0.80300000000000005</v>
      </c>
      <c r="S137" s="195">
        <v>0.622</v>
      </c>
      <c r="T137" s="195">
        <v>0.628</v>
      </c>
      <c r="U137" s="195">
        <v>0.63500000000000001</v>
      </c>
      <c r="V137" s="195">
        <v>0.64</v>
      </c>
      <c r="W137" s="195">
        <v>0.64400000000000002</v>
      </c>
      <c r="X137" s="195">
        <v>0.64900000000000002</v>
      </c>
      <c r="Y137" s="195">
        <v>0.65300000000000002</v>
      </c>
      <c r="Z137" s="195">
        <v>0.65800000000000003</v>
      </c>
    </row>
    <row r="138" spans="1:26">
      <c r="A138" s="195" t="s">
        <v>208</v>
      </c>
      <c r="B138" s="195" t="s">
        <v>285</v>
      </c>
      <c r="C138" s="195">
        <v>0.91600000000000004</v>
      </c>
      <c r="D138" s="195">
        <v>0.87</v>
      </c>
      <c r="E138" s="195">
        <v>0.82499999999999996</v>
      </c>
      <c r="F138" s="195">
        <v>0.77900000000000003</v>
      </c>
      <c r="G138" s="195">
        <v>0.77500000000000002</v>
      </c>
      <c r="H138" s="195">
        <v>0.77200000000000002</v>
      </c>
      <c r="I138" s="195">
        <v>0.76800000000000002</v>
      </c>
      <c r="J138" s="195">
        <v>0.76500000000000001</v>
      </c>
      <c r="K138" s="195">
        <v>0.76100000000000001</v>
      </c>
      <c r="L138" s="195">
        <v>0.76800000000000002</v>
      </c>
      <c r="M138" s="195">
        <v>0.77500000000000002</v>
      </c>
      <c r="N138" s="195">
        <v>0.78300000000000003</v>
      </c>
      <c r="O138" s="195">
        <v>0.79</v>
      </c>
      <c r="P138" s="195">
        <v>0.79800000000000004</v>
      </c>
      <c r="Q138" s="195">
        <v>0.80800000000000005</v>
      </c>
      <c r="R138" s="195">
        <v>0.81899999999999995</v>
      </c>
      <c r="S138" s="195">
        <v>0.83</v>
      </c>
      <c r="T138" s="195">
        <v>0.84099999999999997</v>
      </c>
      <c r="U138" s="195">
        <v>0.85199999999999998</v>
      </c>
      <c r="V138" s="195">
        <v>0.86</v>
      </c>
      <c r="W138" s="195">
        <v>0.86699999999999999</v>
      </c>
      <c r="X138" s="195">
        <v>0.874</v>
      </c>
      <c r="Y138" s="195">
        <v>0.88100000000000001</v>
      </c>
      <c r="Z138" s="195">
        <v>0.88900000000000001</v>
      </c>
    </row>
    <row r="139" spans="1:26">
      <c r="A139" s="195" t="s">
        <v>209</v>
      </c>
      <c r="B139" s="195" t="s">
        <v>285</v>
      </c>
      <c r="C139" s="195">
        <v>0</v>
      </c>
      <c r="D139" s="195">
        <v>0</v>
      </c>
      <c r="E139" s="195">
        <v>0</v>
      </c>
      <c r="F139" s="195">
        <v>0</v>
      </c>
      <c r="G139" s="195">
        <v>0</v>
      </c>
      <c r="H139" s="195">
        <v>0</v>
      </c>
      <c r="I139" s="195">
        <v>0</v>
      </c>
      <c r="J139" s="195">
        <v>0</v>
      </c>
      <c r="K139" s="195">
        <v>0</v>
      </c>
      <c r="L139" s="195">
        <v>0</v>
      </c>
      <c r="M139" s="195">
        <v>0</v>
      </c>
      <c r="N139" s="195">
        <v>0</v>
      </c>
      <c r="O139" s="195">
        <v>0</v>
      </c>
      <c r="P139" s="195">
        <v>0</v>
      </c>
      <c r="Q139" s="195">
        <v>0</v>
      </c>
      <c r="R139" s="195">
        <v>0</v>
      </c>
      <c r="S139" s="195">
        <v>0</v>
      </c>
      <c r="T139" s="195">
        <v>0</v>
      </c>
      <c r="U139" s="195">
        <v>0</v>
      </c>
      <c r="V139" s="195">
        <v>0</v>
      </c>
      <c r="W139" s="195">
        <v>0</v>
      </c>
      <c r="X139" s="195">
        <v>0</v>
      </c>
      <c r="Y139" s="195">
        <v>0</v>
      </c>
      <c r="Z139" s="195">
        <v>0</v>
      </c>
    </row>
    <row r="140" spans="1:26">
      <c r="A140" s="195" t="s">
        <v>210</v>
      </c>
      <c r="B140" s="195" t="s">
        <v>285</v>
      </c>
      <c r="C140" s="195">
        <v>0.91300000000000003</v>
      </c>
      <c r="D140" s="195">
        <v>0.86099999999999999</v>
      </c>
      <c r="E140" s="195">
        <v>0.64200000000000002</v>
      </c>
      <c r="F140" s="195">
        <v>0.88200000000000001</v>
      </c>
      <c r="G140" s="195">
        <v>0.76100000000000001</v>
      </c>
      <c r="H140" s="195">
        <v>0.77900000000000003</v>
      </c>
      <c r="I140" s="195">
        <v>0.78400000000000003</v>
      </c>
      <c r="J140" s="195">
        <v>0.73299999999999998</v>
      </c>
      <c r="K140" s="195">
        <v>0.69399999999999995</v>
      </c>
      <c r="L140" s="195">
        <v>0.73099999999999998</v>
      </c>
      <c r="M140" s="195">
        <v>0.751</v>
      </c>
      <c r="N140" s="195">
        <v>0.72</v>
      </c>
      <c r="O140" s="195">
        <v>0.75600000000000001</v>
      </c>
      <c r="P140" s="195">
        <v>0.85099999999999998</v>
      </c>
      <c r="Q140" s="195">
        <v>0.74399999999999999</v>
      </c>
      <c r="R140" s="195">
        <v>0.754</v>
      </c>
      <c r="S140" s="195">
        <v>0.96399999999999997</v>
      </c>
      <c r="T140" s="195">
        <v>0.88100000000000001</v>
      </c>
      <c r="U140" s="195">
        <v>0.92400000000000004</v>
      </c>
      <c r="V140" s="195">
        <v>0.94299999999999995</v>
      </c>
      <c r="W140" s="195">
        <v>0.94</v>
      </c>
      <c r="X140" s="195">
        <v>0.95899999999999996</v>
      </c>
      <c r="Y140" s="195">
        <v>0.93400000000000005</v>
      </c>
      <c r="Z140" s="195">
        <v>0.95</v>
      </c>
    </row>
    <row r="141" spans="1:26">
      <c r="A141" s="195" t="s">
        <v>211</v>
      </c>
      <c r="B141" s="195" t="s">
        <v>285</v>
      </c>
      <c r="C141" s="195">
        <v>1.502</v>
      </c>
      <c r="D141" s="195">
        <v>0.96799999999999997</v>
      </c>
      <c r="E141" s="195">
        <v>0.65900000000000003</v>
      </c>
      <c r="F141" s="195">
        <v>0.93200000000000005</v>
      </c>
      <c r="G141" s="195">
        <v>0.33500000000000002</v>
      </c>
      <c r="H141" s="195">
        <v>0.47399999999999998</v>
      </c>
      <c r="I141" s="195">
        <v>0.45500000000000002</v>
      </c>
      <c r="J141" s="195">
        <v>0.24299999999999999</v>
      </c>
      <c r="K141" s="195">
        <v>0.30199999999999999</v>
      </c>
      <c r="L141" s="195">
        <v>0.23899999999999999</v>
      </c>
      <c r="M141" s="195">
        <v>0.33400000000000002</v>
      </c>
      <c r="N141" s="195">
        <v>0.151</v>
      </c>
      <c r="O141" s="195">
        <v>0.222</v>
      </c>
      <c r="P141" s="195">
        <v>0.121</v>
      </c>
      <c r="Q141" s="195">
        <v>0.108</v>
      </c>
      <c r="R141" s="195">
        <v>0.16400000000000001</v>
      </c>
      <c r="S141" s="195">
        <v>0.32800000000000001</v>
      </c>
      <c r="T141" s="195">
        <v>0.13500000000000001</v>
      </c>
      <c r="U141" s="195">
        <v>0.154</v>
      </c>
      <c r="V141" s="195">
        <v>0.21099999999999999</v>
      </c>
      <c r="W141" s="195">
        <v>0.25800000000000001</v>
      </c>
      <c r="X141" s="195">
        <v>0.26100000000000001</v>
      </c>
      <c r="Y141" s="195">
        <v>0.41899999999999998</v>
      </c>
      <c r="Z141" s="195">
        <v>0.45500000000000002</v>
      </c>
    </row>
    <row r="142" spans="1:26">
      <c r="A142" s="195" t="s">
        <v>281</v>
      </c>
      <c r="B142" s="195" t="s">
        <v>282</v>
      </c>
      <c r="C142" s="195" t="s">
        <v>283</v>
      </c>
      <c r="D142" s="195" t="s">
        <v>283</v>
      </c>
      <c r="E142" s="195" t="s">
        <v>283</v>
      </c>
      <c r="F142" s="195" t="s">
        <v>283</v>
      </c>
      <c r="G142" s="195" t="s">
        <v>283</v>
      </c>
      <c r="H142" s="195" t="s">
        <v>283</v>
      </c>
      <c r="I142" s="195" t="s">
        <v>283</v>
      </c>
      <c r="J142" s="195" t="s">
        <v>283</v>
      </c>
      <c r="K142" s="195" t="s">
        <v>283</v>
      </c>
      <c r="L142" s="195" t="s">
        <v>283</v>
      </c>
      <c r="M142" s="195" t="s">
        <v>283</v>
      </c>
      <c r="N142" s="195" t="s">
        <v>283</v>
      </c>
      <c r="O142" s="195" t="s">
        <v>283</v>
      </c>
      <c r="P142" s="195" t="s">
        <v>283</v>
      </c>
      <c r="Q142" s="195" t="s">
        <v>283</v>
      </c>
      <c r="R142" s="195" t="s">
        <v>283</v>
      </c>
      <c r="S142" s="195" t="s">
        <v>283</v>
      </c>
      <c r="T142" s="195" t="s">
        <v>283</v>
      </c>
      <c r="U142" s="195" t="s">
        <v>283</v>
      </c>
      <c r="V142" s="195" t="s">
        <v>283</v>
      </c>
      <c r="W142" s="195" t="s">
        <v>283</v>
      </c>
      <c r="X142" s="195" t="s">
        <v>283</v>
      </c>
      <c r="Y142" s="195" t="s">
        <v>283</v>
      </c>
      <c r="Z142" s="195" t="s">
        <v>284</v>
      </c>
    </row>
    <row r="144" spans="1:26">
      <c r="C144" s="202" t="str">
        <f>CONCATENATE(L144,M144,N144,O144,P144,Q144,R144,S144,T144,R145,S145)</f>
        <v>Table 1D US Refinery GatePrices, $/Gal:2004PADD , 2</v>
      </c>
      <c r="L144" s="195" t="s">
        <v>266</v>
      </c>
      <c r="M144" s="195" t="s">
        <v>267</v>
      </c>
      <c r="N144" s="195" t="s">
        <v>268</v>
      </c>
      <c r="O144" s="195" t="s">
        <v>269</v>
      </c>
      <c r="P144" s="195" t="s">
        <v>270</v>
      </c>
      <c r="Q144" s="195" t="s">
        <v>271</v>
      </c>
      <c r="R144" s="195" t="s">
        <v>272</v>
      </c>
      <c r="S144" s="195" t="s">
        <v>273</v>
      </c>
      <c r="T144" s="195">
        <v>4</v>
      </c>
    </row>
    <row r="145" spans="1:26">
      <c r="R145" s="195" t="s">
        <v>274</v>
      </c>
      <c r="S145" s="195" t="s">
        <v>286</v>
      </c>
    </row>
    <row r="146" spans="1:26">
      <c r="A146" s="195" t="s">
        <v>276</v>
      </c>
      <c r="B146" s="195" t="s">
        <v>277</v>
      </c>
      <c r="C146" s="195">
        <v>11006</v>
      </c>
      <c r="D146" s="195" t="s">
        <v>278</v>
      </c>
      <c r="E146" s="195" t="s">
        <v>279</v>
      </c>
      <c r="F146" s="195" t="s">
        <v>280</v>
      </c>
    </row>
    <row r="147" spans="1:26">
      <c r="A147" s="195" t="s">
        <v>281</v>
      </c>
      <c r="B147" s="195" t="s">
        <v>282</v>
      </c>
      <c r="C147" s="195" t="s">
        <v>283</v>
      </c>
      <c r="D147" s="195" t="s">
        <v>283</v>
      </c>
      <c r="E147" s="195" t="s">
        <v>283</v>
      </c>
      <c r="F147" s="195" t="s">
        <v>283</v>
      </c>
      <c r="G147" s="195" t="s">
        <v>283</v>
      </c>
      <c r="H147" s="195" t="s">
        <v>283</v>
      </c>
      <c r="I147" s="195" t="s">
        <v>283</v>
      </c>
      <c r="J147" s="195" t="s">
        <v>283</v>
      </c>
      <c r="K147" s="195" t="s">
        <v>283</v>
      </c>
      <c r="L147" s="195" t="s">
        <v>283</v>
      </c>
      <c r="M147" s="195" t="s">
        <v>283</v>
      </c>
      <c r="N147" s="195" t="s">
        <v>283</v>
      </c>
      <c r="O147" s="195" t="s">
        <v>283</v>
      </c>
      <c r="P147" s="195" t="s">
        <v>283</v>
      </c>
      <c r="Q147" s="195" t="s">
        <v>283</v>
      </c>
      <c r="R147" s="195" t="s">
        <v>283</v>
      </c>
      <c r="S147" s="195" t="s">
        <v>283</v>
      </c>
      <c r="T147" s="195" t="s">
        <v>283</v>
      </c>
      <c r="U147" s="195" t="s">
        <v>283</v>
      </c>
      <c r="V147" s="195" t="s">
        <v>283</v>
      </c>
      <c r="W147" s="195" t="s">
        <v>283</v>
      </c>
      <c r="X147" s="195" t="s">
        <v>283</v>
      </c>
      <c r="Y147" s="195" t="s">
        <v>283</v>
      </c>
      <c r="Z147" s="195" t="s">
        <v>284</v>
      </c>
    </row>
    <row r="148" spans="1:26">
      <c r="C148" s="195">
        <v>2007</v>
      </c>
      <c r="D148" s="195">
        <v>2008</v>
      </c>
      <c r="E148" s="195">
        <v>2009</v>
      </c>
      <c r="F148" s="195">
        <v>2010</v>
      </c>
      <c r="G148" s="195">
        <v>2011</v>
      </c>
      <c r="H148" s="195">
        <v>2012</v>
      </c>
      <c r="I148" s="195">
        <v>2013</v>
      </c>
      <c r="J148" s="195">
        <v>2014</v>
      </c>
      <c r="K148" s="195">
        <v>2015</v>
      </c>
      <c r="L148" s="195">
        <v>2016</v>
      </c>
      <c r="M148" s="195">
        <v>2017</v>
      </c>
      <c r="N148" s="195">
        <v>2018</v>
      </c>
      <c r="O148" s="195">
        <v>2019</v>
      </c>
      <c r="P148" s="195">
        <v>2020</v>
      </c>
      <c r="Q148" s="195">
        <v>2021</v>
      </c>
      <c r="R148" s="195">
        <v>2022</v>
      </c>
      <c r="S148" s="195">
        <v>2023</v>
      </c>
      <c r="T148" s="195">
        <v>2024</v>
      </c>
      <c r="U148" s="195">
        <v>2025</v>
      </c>
      <c r="V148" s="195">
        <v>2026</v>
      </c>
      <c r="W148" s="195">
        <v>2027</v>
      </c>
      <c r="X148" s="195">
        <v>2028</v>
      </c>
      <c r="Y148" s="195">
        <v>2029</v>
      </c>
      <c r="Z148" s="195">
        <v>2030</v>
      </c>
    </row>
    <row r="149" spans="1:26">
      <c r="A149" s="195" t="s">
        <v>281</v>
      </c>
      <c r="B149" s="195" t="s">
        <v>282</v>
      </c>
      <c r="C149" s="195" t="s">
        <v>283</v>
      </c>
      <c r="D149" s="195" t="s">
        <v>283</v>
      </c>
      <c r="E149" s="195" t="s">
        <v>283</v>
      </c>
      <c r="F149" s="195" t="s">
        <v>283</v>
      </c>
      <c r="G149" s="195" t="s">
        <v>283</v>
      </c>
      <c r="H149" s="195" t="s">
        <v>283</v>
      </c>
      <c r="I149" s="195" t="s">
        <v>283</v>
      </c>
      <c r="J149" s="195" t="s">
        <v>283</v>
      </c>
      <c r="K149" s="195" t="s">
        <v>283</v>
      </c>
      <c r="L149" s="195" t="s">
        <v>283</v>
      </c>
      <c r="M149" s="195" t="s">
        <v>283</v>
      </c>
      <c r="N149" s="195" t="s">
        <v>283</v>
      </c>
      <c r="O149" s="195" t="s">
        <v>283</v>
      </c>
      <c r="P149" s="195" t="s">
        <v>283</v>
      </c>
      <c r="Q149" s="195" t="s">
        <v>283</v>
      </c>
      <c r="R149" s="195" t="s">
        <v>283</v>
      </c>
      <c r="S149" s="195" t="s">
        <v>283</v>
      </c>
      <c r="T149" s="195" t="s">
        <v>283</v>
      </c>
      <c r="U149" s="195" t="s">
        <v>283</v>
      </c>
      <c r="V149" s="195" t="s">
        <v>283</v>
      </c>
      <c r="W149" s="195" t="s">
        <v>283</v>
      </c>
      <c r="X149" s="195" t="s">
        <v>283</v>
      </c>
      <c r="Y149" s="195" t="s">
        <v>283</v>
      </c>
      <c r="Z149" s="195" t="s">
        <v>284</v>
      </c>
    </row>
    <row r="150" spans="1:26">
      <c r="A150" s="195" t="s">
        <v>197</v>
      </c>
      <c r="B150" s="195" t="s">
        <v>285</v>
      </c>
      <c r="C150" s="195">
        <v>1.502</v>
      </c>
      <c r="D150" s="195">
        <v>1.4359999999999999</v>
      </c>
      <c r="E150" s="195">
        <v>1.369</v>
      </c>
      <c r="F150" s="195">
        <v>1.306</v>
      </c>
      <c r="G150" s="195">
        <v>1.3049999999999999</v>
      </c>
      <c r="H150" s="195">
        <v>1.296</v>
      </c>
      <c r="I150" s="195">
        <v>1.292</v>
      </c>
      <c r="J150" s="195">
        <v>1.2929999999999999</v>
      </c>
      <c r="K150" s="195">
        <v>1.288</v>
      </c>
      <c r="L150" s="195">
        <v>1.3169999999999999</v>
      </c>
      <c r="M150" s="195">
        <v>1.3260000000000001</v>
      </c>
      <c r="N150" s="195">
        <v>1.3440000000000001</v>
      </c>
      <c r="O150" s="195">
        <v>1.371</v>
      </c>
      <c r="P150" s="195">
        <v>1.395</v>
      </c>
      <c r="Q150" s="195">
        <v>1.4059999999999999</v>
      </c>
      <c r="R150" s="195">
        <v>1.423</v>
      </c>
      <c r="S150" s="195">
        <v>1.4319999999999999</v>
      </c>
      <c r="T150" s="195">
        <v>1.446</v>
      </c>
      <c r="U150" s="195">
        <v>1.46</v>
      </c>
      <c r="V150" s="195">
        <v>1.472</v>
      </c>
      <c r="W150" s="195">
        <v>1.4810000000000001</v>
      </c>
      <c r="X150" s="195">
        <v>1.4970000000000001</v>
      </c>
      <c r="Y150" s="195">
        <v>1.5049999999999999</v>
      </c>
      <c r="Z150" s="195">
        <v>1.5169999999999999</v>
      </c>
    </row>
    <row r="151" spans="1:26">
      <c r="A151" s="195" t="s">
        <v>198</v>
      </c>
      <c r="B151" s="195" t="s">
        <v>285</v>
      </c>
      <c r="C151" s="195">
        <v>1.476</v>
      </c>
      <c r="D151" s="195">
        <v>1.411</v>
      </c>
      <c r="E151" s="195">
        <v>1.3460000000000001</v>
      </c>
      <c r="F151" s="195">
        <v>1.2849999999999999</v>
      </c>
      <c r="G151" s="195">
        <v>1.2849999999999999</v>
      </c>
      <c r="H151" s="195">
        <v>1.276</v>
      </c>
      <c r="I151" s="195">
        <v>1.2709999999999999</v>
      </c>
      <c r="J151" s="195">
        <v>1.272</v>
      </c>
      <c r="K151" s="195">
        <v>1.2669999999999999</v>
      </c>
      <c r="L151" s="195">
        <v>1.2949999999999999</v>
      </c>
      <c r="M151" s="195">
        <v>1.304</v>
      </c>
      <c r="N151" s="195">
        <v>1.3220000000000001</v>
      </c>
      <c r="O151" s="195">
        <v>1.35</v>
      </c>
      <c r="P151" s="195">
        <v>1.373</v>
      </c>
      <c r="Q151" s="195">
        <v>1.385</v>
      </c>
      <c r="R151" s="195">
        <v>1.403</v>
      </c>
      <c r="S151" s="195">
        <v>1.4119999999999999</v>
      </c>
      <c r="T151" s="195">
        <v>1.4259999999999999</v>
      </c>
      <c r="U151" s="195">
        <v>1.4410000000000001</v>
      </c>
      <c r="V151" s="195">
        <v>1.452</v>
      </c>
      <c r="W151" s="195">
        <v>1.4610000000000001</v>
      </c>
      <c r="X151" s="195">
        <v>1.4770000000000001</v>
      </c>
      <c r="Y151" s="195">
        <v>1.4850000000000001</v>
      </c>
      <c r="Z151" s="195">
        <v>1.498</v>
      </c>
    </row>
    <row r="152" spans="1:26">
      <c r="A152" s="195" t="s">
        <v>199</v>
      </c>
      <c r="B152" s="195" t="s">
        <v>285</v>
      </c>
      <c r="C152" s="195">
        <v>1.647</v>
      </c>
      <c r="D152" s="195">
        <v>1.571</v>
      </c>
      <c r="E152" s="195">
        <v>1.496</v>
      </c>
      <c r="F152" s="195">
        <v>1.425</v>
      </c>
      <c r="G152" s="195">
        <v>1.421</v>
      </c>
      <c r="H152" s="195">
        <v>1.4139999999999999</v>
      </c>
      <c r="I152" s="195">
        <v>1.411</v>
      </c>
      <c r="J152" s="195">
        <v>1.4119999999999999</v>
      </c>
      <c r="K152" s="195">
        <v>1.407</v>
      </c>
      <c r="L152" s="195">
        <v>1.4390000000000001</v>
      </c>
      <c r="M152" s="195">
        <v>1.4470000000000001</v>
      </c>
      <c r="N152" s="195">
        <v>1.466</v>
      </c>
      <c r="O152" s="195">
        <v>1.49</v>
      </c>
      <c r="P152" s="195">
        <v>1.5169999999999999</v>
      </c>
      <c r="Q152" s="195">
        <v>1.526</v>
      </c>
      <c r="R152" s="195">
        <v>1.54</v>
      </c>
      <c r="S152" s="195">
        <v>1.546</v>
      </c>
      <c r="T152" s="195">
        <v>1.56</v>
      </c>
      <c r="U152" s="195">
        <v>1.573</v>
      </c>
      <c r="V152" s="195">
        <v>1.585</v>
      </c>
      <c r="W152" s="195">
        <v>1.595</v>
      </c>
      <c r="X152" s="195">
        <v>1.613</v>
      </c>
      <c r="Y152" s="195">
        <v>1.6180000000000001</v>
      </c>
      <c r="Z152" s="195">
        <v>1.627</v>
      </c>
    </row>
    <row r="153" spans="1:26">
      <c r="A153" s="195" t="s">
        <v>200</v>
      </c>
      <c r="B153" s="195" t="s">
        <v>285</v>
      </c>
      <c r="C153" s="195">
        <v>1.4650000000000001</v>
      </c>
      <c r="D153" s="195">
        <v>1.401</v>
      </c>
      <c r="E153" s="195">
        <v>1.333</v>
      </c>
      <c r="F153" s="195">
        <v>1.272</v>
      </c>
      <c r="G153" s="195">
        <v>1.272</v>
      </c>
      <c r="H153" s="195">
        <v>1.262</v>
      </c>
      <c r="I153" s="195">
        <v>1.2569999999999999</v>
      </c>
      <c r="J153" s="195">
        <v>1.2589999999999999</v>
      </c>
      <c r="K153" s="195">
        <v>1.254</v>
      </c>
      <c r="L153" s="195">
        <v>1.2829999999999999</v>
      </c>
      <c r="M153" s="195">
        <v>1.2909999999999999</v>
      </c>
      <c r="N153" s="195">
        <v>1.31</v>
      </c>
      <c r="O153" s="195">
        <v>1.3380000000000001</v>
      </c>
      <c r="P153" s="195">
        <v>1.361</v>
      </c>
      <c r="Q153" s="195">
        <v>1.373</v>
      </c>
      <c r="R153" s="195">
        <v>1.391</v>
      </c>
      <c r="S153" s="195">
        <v>1.401</v>
      </c>
      <c r="T153" s="195">
        <v>1.4139999999999999</v>
      </c>
      <c r="U153" s="195">
        <v>1.429</v>
      </c>
      <c r="V153" s="195">
        <v>1.44</v>
      </c>
      <c r="W153" s="195">
        <v>1.45</v>
      </c>
      <c r="X153" s="195">
        <v>1.4650000000000001</v>
      </c>
      <c r="Y153" s="195">
        <v>1.4730000000000001</v>
      </c>
      <c r="Z153" s="195">
        <v>1.486</v>
      </c>
    </row>
    <row r="154" spans="1:26">
      <c r="A154" s="195" t="s">
        <v>461</v>
      </c>
      <c r="B154" s="195" t="s">
        <v>285</v>
      </c>
      <c r="C154" s="195">
        <v>0</v>
      </c>
      <c r="D154" s="195">
        <v>0</v>
      </c>
      <c r="E154" s="195">
        <v>0</v>
      </c>
      <c r="F154" s="195">
        <v>0</v>
      </c>
      <c r="G154" s="195">
        <v>0</v>
      </c>
      <c r="H154" s="195">
        <v>0</v>
      </c>
      <c r="I154" s="195">
        <v>0</v>
      </c>
      <c r="J154" s="195">
        <v>0</v>
      </c>
      <c r="K154" s="195">
        <v>0</v>
      </c>
      <c r="L154" s="195">
        <v>0</v>
      </c>
      <c r="M154" s="195">
        <v>0</v>
      </c>
      <c r="N154" s="195">
        <v>0</v>
      </c>
      <c r="O154" s="195">
        <v>0</v>
      </c>
      <c r="P154" s="195">
        <v>0</v>
      </c>
      <c r="Q154" s="195">
        <v>0</v>
      </c>
      <c r="R154" s="195">
        <v>0</v>
      </c>
      <c r="S154" s="195">
        <v>0</v>
      </c>
      <c r="T154" s="195">
        <v>0</v>
      </c>
      <c r="U154" s="195">
        <v>0</v>
      </c>
      <c r="V154" s="195">
        <v>0</v>
      </c>
      <c r="W154" s="195">
        <v>0</v>
      </c>
      <c r="X154" s="195">
        <v>0</v>
      </c>
      <c r="Y154" s="195">
        <v>0</v>
      </c>
      <c r="Z154" s="195">
        <v>0</v>
      </c>
    </row>
    <row r="155" spans="1:26">
      <c r="A155" s="195" t="s">
        <v>201</v>
      </c>
      <c r="B155" s="195" t="s">
        <v>285</v>
      </c>
      <c r="C155" s="195">
        <v>1.2809999999999999</v>
      </c>
      <c r="D155" s="195">
        <v>1.244</v>
      </c>
      <c r="E155" s="195">
        <v>1.1819999999999999</v>
      </c>
      <c r="F155" s="195">
        <v>1.135</v>
      </c>
      <c r="G155" s="195">
        <v>1.1379999999999999</v>
      </c>
      <c r="H155" s="195">
        <v>1.157</v>
      </c>
      <c r="I155" s="195">
        <v>1.119</v>
      </c>
      <c r="J155" s="195">
        <v>1.1379999999999999</v>
      </c>
      <c r="K155" s="195">
        <v>1.143</v>
      </c>
      <c r="L155" s="195">
        <v>1.1559999999999999</v>
      </c>
      <c r="M155" s="195">
        <v>1.167</v>
      </c>
      <c r="N155" s="195">
        <v>1.198</v>
      </c>
      <c r="O155" s="195">
        <v>1.19</v>
      </c>
      <c r="P155" s="195">
        <v>1.2170000000000001</v>
      </c>
      <c r="Q155" s="195">
        <v>1.22</v>
      </c>
      <c r="R155" s="195">
        <v>1.252</v>
      </c>
      <c r="S155" s="195">
        <v>1.26</v>
      </c>
      <c r="T155" s="195">
        <v>1.256</v>
      </c>
      <c r="U155" s="195">
        <v>1.264</v>
      </c>
      <c r="V155" s="195">
        <v>1.27</v>
      </c>
      <c r="W155" s="195">
        <v>1.2589999999999999</v>
      </c>
      <c r="X155" s="195">
        <v>1.266</v>
      </c>
      <c r="Y155" s="195">
        <v>1.2390000000000001</v>
      </c>
      <c r="Z155" s="195">
        <v>1.244</v>
      </c>
    </row>
    <row r="156" spans="1:26">
      <c r="A156" s="195" t="s">
        <v>202</v>
      </c>
      <c r="B156" s="195" t="s">
        <v>285</v>
      </c>
      <c r="C156" s="195">
        <v>1.2809999999999999</v>
      </c>
      <c r="D156" s="195">
        <v>1.2689999999999999</v>
      </c>
      <c r="E156" s="195">
        <v>1.21</v>
      </c>
      <c r="F156" s="195">
        <v>1.141</v>
      </c>
      <c r="G156" s="195">
        <v>1.1379999999999999</v>
      </c>
      <c r="H156" s="195">
        <v>1.143</v>
      </c>
      <c r="I156" s="195">
        <v>0</v>
      </c>
      <c r="J156" s="195">
        <v>0</v>
      </c>
      <c r="K156" s="195">
        <v>0</v>
      </c>
      <c r="L156" s="195">
        <v>0</v>
      </c>
      <c r="M156" s="195">
        <v>0</v>
      </c>
      <c r="N156" s="195">
        <v>0</v>
      </c>
      <c r="O156" s="195">
        <v>0</v>
      </c>
      <c r="P156" s="195">
        <v>0</v>
      </c>
      <c r="Q156" s="195">
        <v>0</v>
      </c>
      <c r="R156" s="195">
        <v>0</v>
      </c>
      <c r="S156" s="195">
        <v>0</v>
      </c>
      <c r="T156" s="195">
        <v>0</v>
      </c>
      <c r="U156" s="195">
        <v>0</v>
      </c>
      <c r="V156" s="195">
        <v>0</v>
      </c>
      <c r="W156" s="195">
        <v>0</v>
      </c>
      <c r="X156" s="195">
        <v>0</v>
      </c>
      <c r="Y156" s="195">
        <v>0</v>
      </c>
      <c r="Z156" s="195">
        <v>0</v>
      </c>
    </row>
    <row r="157" spans="1:26">
      <c r="A157" s="195" t="s">
        <v>203</v>
      </c>
      <c r="B157" s="195" t="s">
        <v>285</v>
      </c>
      <c r="C157" s="195">
        <v>1.4410000000000001</v>
      </c>
      <c r="D157" s="195">
        <v>1.371</v>
      </c>
      <c r="E157" s="195">
        <v>1.321</v>
      </c>
      <c r="F157" s="195">
        <v>1.274</v>
      </c>
      <c r="G157" s="195">
        <v>1.2929999999999999</v>
      </c>
      <c r="H157" s="195">
        <v>1.286</v>
      </c>
      <c r="I157" s="195">
        <v>1.3</v>
      </c>
      <c r="J157" s="195">
        <v>1.2829999999999999</v>
      </c>
      <c r="K157" s="195">
        <v>1.3089999999999999</v>
      </c>
      <c r="L157" s="195">
        <v>1.3169999999999999</v>
      </c>
      <c r="M157" s="195">
        <v>1.3169999999999999</v>
      </c>
      <c r="N157" s="195">
        <v>1.333</v>
      </c>
      <c r="O157" s="195">
        <v>1.3520000000000001</v>
      </c>
      <c r="P157" s="195">
        <v>1.363</v>
      </c>
      <c r="Q157" s="195">
        <v>1.375</v>
      </c>
      <c r="R157" s="195">
        <v>1.383</v>
      </c>
      <c r="S157" s="195">
        <v>1.413</v>
      </c>
      <c r="T157" s="195">
        <v>1.423</v>
      </c>
      <c r="U157" s="195">
        <v>1.415</v>
      </c>
      <c r="V157" s="195">
        <v>1.4330000000000001</v>
      </c>
      <c r="W157" s="195">
        <v>1.456</v>
      </c>
      <c r="X157" s="195">
        <v>1.484</v>
      </c>
      <c r="Y157" s="195">
        <v>1.4450000000000001</v>
      </c>
      <c r="Z157" s="195">
        <v>1.464</v>
      </c>
    </row>
    <row r="158" spans="1:26">
      <c r="A158" s="195" t="s">
        <v>204</v>
      </c>
      <c r="B158" s="195" t="s">
        <v>285</v>
      </c>
      <c r="C158" s="195">
        <v>1.266</v>
      </c>
      <c r="D158" s="195">
        <v>1.226</v>
      </c>
      <c r="E158" s="195">
        <v>1.169</v>
      </c>
      <c r="F158" s="195">
        <v>1.1359999999999999</v>
      </c>
      <c r="G158" s="195">
        <v>1.161</v>
      </c>
      <c r="H158" s="195">
        <v>1.1779999999999999</v>
      </c>
      <c r="I158" s="195">
        <v>1.169</v>
      </c>
      <c r="J158" s="195">
        <v>1.1759999999999999</v>
      </c>
      <c r="K158" s="195">
        <v>1.1950000000000001</v>
      </c>
      <c r="L158" s="195">
        <v>1.224</v>
      </c>
      <c r="M158" s="195">
        <v>1.216</v>
      </c>
      <c r="N158" s="195">
        <v>1.2569999999999999</v>
      </c>
      <c r="O158" s="195">
        <v>1.264</v>
      </c>
      <c r="P158" s="195">
        <v>1.306</v>
      </c>
      <c r="Q158" s="195">
        <v>1.319</v>
      </c>
      <c r="R158" s="195">
        <v>1.333</v>
      </c>
      <c r="S158" s="195">
        <v>1.35</v>
      </c>
      <c r="T158" s="195">
        <v>1.3420000000000001</v>
      </c>
      <c r="U158" s="195">
        <v>1.3480000000000001</v>
      </c>
      <c r="V158" s="195">
        <v>1.37</v>
      </c>
      <c r="W158" s="195">
        <v>1.397</v>
      </c>
      <c r="X158" s="195">
        <v>1.4370000000000001</v>
      </c>
      <c r="Y158" s="195">
        <v>1.4490000000000001</v>
      </c>
      <c r="Z158" s="195">
        <v>1.4610000000000001</v>
      </c>
    </row>
    <row r="159" spans="1:26">
      <c r="A159" s="195" t="s">
        <v>205</v>
      </c>
      <c r="B159" s="195" t="s">
        <v>285</v>
      </c>
      <c r="C159" s="195">
        <v>1.2809999999999999</v>
      </c>
      <c r="D159" s="195">
        <v>1.244</v>
      </c>
      <c r="E159" s="195">
        <v>1.1819999999999999</v>
      </c>
      <c r="F159" s="195">
        <v>1.135</v>
      </c>
      <c r="G159" s="195">
        <v>1.1379999999999999</v>
      </c>
      <c r="H159" s="195">
        <v>1.157</v>
      </c>
      <c r="I159" s="195">
        <v>1.119</v>
      </c>
      <c r="J159" s="195">
        <v>1.1379999999999999</v>
      </c>
      <c r="K159" s="195">
        <v>1.143</v>
      </c>
      <c r="L159" s="195">
        <v>1.1559999999999999</v>
      </c>
      <c r="M159" s="195">
        <v>1.167</v>
      </c>
      <c r="N159" s="195">
        <v>1.198</v>
      </c>
      <c r="O159" s="195">
        <v>1.19</v>
      </c>
      <c r="P159" s="195">
        <v>1.2170000000000001</v>
      </c>
      <c r="Q159" s="195">
        <v>1.22</v>
      </c>
      <c r="R159" s="195">
        <v>1.252</v>
      </c>
      <c r="S159" s="195">
        <v>1.26</v>
      </c>
      <c r="T159" s="195">
        <v>1.256</v>
      </c>
      <c r="U159" s="195">
        <v>1.264</v>
      </c>
      <c r="V159" s="195">
        <v>1.27</v>
      </c>
      <c r="W159" s="195">
        <v>1.2589999999999999</v>
      </c>
      <c r="X159" s="195">
        <v>1.266</v>
      </c>
      <c r="Y159" s="195">
        <v>1.2390000000000001</v>
      </c>
      <c r="Z159" s="195">
        <v>1.244</v>
      </c>
    </row>
    <row r="160" spans="1:26">
      <c r="A160" s="195" t="s">
        <v>206</v>
      </c>
      <c r="B160" s="195" t="s">
        <v>285</v>
      </c>
      <c r="C160" s="195">
        <v>0.84699999999999998</v>
      </c>
      <c r="D160" s="195">
        <v>0.81499999999999995</v>
      </c>
      <c r="E160" s="195">
        <v>0.78900000000000003</v>
      </c>
      <c r="F160" s="195">
        <v>0.76400000000000001</v>
      </c>
      <c r="G160" s="195">
        <v>0.76800000000000002</v>
      </c>
      <c r="H160" s="195">
        <v>0.76500000000000001</v>
      </c>
      <c r="I160" s="195">
        <v>0.76200000000000001</v>
      </c>
      <c r="J160" s="195">
        <v>0.75900000000000001</v>
      </c>
      <c r="K160" s="195">
        <v>0.755</v>
      </c>
      <c r="L160" s="195">
        <v>0.78200000000000003</v>
      </c>
      <c r="M160" s="195">
        <v>0.78900000000000003</v>
      </c>
      <c r="N160" s="195">
        <v>0.82099999999999995</v>
      </c>
      <c r="O160" s="195">
        <v>0.83399999999999996</v>
      </c>
      <c r="P160" s="195">
        <v>0.84099999999999997</v>
      </c>
      <c r="Q160" s="195">
        <v>0.85199999999999998</v>
      </c>
      <c r="R160" s="195">
        <v>0.86499999999999999</v>
      </c>
      <c r="S160" s="195">
        <v>0.873</v>
      </c>
      <c r="T160" s="195">
        <v>0.89</v>
      </c>
      <c r="U160" s="195">
        <v>0.89500000000000002</v>
      </c>
      <c r="V160" s="195">
        <v>0.90200000000000002</v>
      </c>
      <c r="W160" s="195">
        <v>0.93500000000000005</v>
      </c>
      <c r="X160" s="195">
        <v>0.98299999999999998</v>
      </c>
      <c r="Y160" s="195">
        <v>0.97599999999999998</v>
      </c>
      <c r="Z160" s="195">
        <v>0.97899999999999998</v>
      </c>
    </row>
    <row r="161" spans="1:26">
      <c r="A161" s="195" t="s">
        <v>207</v>
      </c>
      <c r="B161" s="195" t="s">
        <v>285</v>
      </c>
      <c r="C161" s="195">
        <v>0.66700000000000004</v>
      </c>
      <c r="D161" s="195">
        <v>0.64</v>
      </c>
      <c r="E161" s="195">
        <v>0.61199999999999999</v>
      </c>
      <c r="F161" s="195">
        <v>0.58499999999999996</v>
      </c>
      <c r="G161" s="195">
        <v>0.58299999999999996</v>
      </c>
      <c r="H161" s="195">
        <v>0.57999999999999996</v>
      </c>
      <c r="I161" s="195">
        <v>0.57799999999999996</v>
      </c>
      <c r="J161" s="195">
        <v>0.57599999999999996</v>
      </c>
      <c r="K161" s="195">
        <v>0.57399999999999995</v>
      </c>
      <c r="L161" s="195">
        <v>0.57799999999999996</v>
      </c>
      <c r="M161" s="195">
        <v>0.58299999999999996</v>
      </c>
      <c r="N161" s="195">
        <v>0.58699999999999997</v>
      </c>
      <c r="O161" s="195">
        <v>0.59099999999999997</v>
      </c>
      <c r="P161" s="195">
        <v>0.59599999999999997</v>
      </c>
      <c r="Q161" s="195">
        <v>0.60199999999999998</v>
      </c>
      <c r="R161" s="195">
        <v>0.60899999999999999</v>
      </c>
      <c r="S161" s="195">
        <v>0.61599999999999999</v>
      </c>
      <c r="T161" s="195">
        <v>0.622</v>
      </c>
      <c r="U161" s="195">
        <v>0.629</v>
      </c>
      <c r="V161" s="195">
        <v>0.63300000000000001</v>
      </c>
      <c r="W161" s="195">
        <v>0.63800000000000001</v>
      </c>
      <c r="X161" s="195">
        <v>0.64200000000000002</v>
      </c>
      <c r="Y161" s="195">
        <v>0.64700000000000002</v>
      </c>
      <c r="Z161" s="195">
        <v>0.65100000000000002</v>
      </c>
    </row>
    <row r="162" spans="1:26">
      <c r="A162" s="195" t="s">
        <v>208</v>
      </c>
      <c r="B162" s="195" t="s">
        <v>285</v>
      </c>
      <c r="C162" s="195">
        <v>1.0820000000000001</v>
      </c>
      <c r="D162" s="195">
        <v>1.06</v>
      </c>
      <c r="E162" s="195">
        <v>1.008</v>
      </c>
      <c r="F162" s="195">
        <v>0.90800000000000003</v>
      </c>
      <c r="G162" s="195">
        <v>0.93799999999999994</v>
      </c>
      <c r="H162" s="195">
        <v>0.94099999999999995</v>
      </c>
      <c r="I162" s="195">
        <v>0.90900000000000003</v>
      </c>
      <c r="J162" s="195">
        <v>0.93300000000000005</v>
      </c>
      <c r="K162" s="195">
        <v>0.92100000000000004</v>
      </c>
      <c r="L162" s="195">
        <v>0.93300000000000005</v>
      </c>
      <c r="M162" s="195">
        <v>0.94199999999999995</v>
      </c>
      <c r="N162" s="195">
        <v>0.93300000000000005</v>
      </c>
      <c r="O162" s="195">
        <v>0.93700000000000006</v>
      </c>
      <c r="P162" s="195">
        <v>0.98499999999999999</v>
      </c>
      <c r="Q162" s="195">
        <v>0.97299999999999998</v>
      </c>
      <c r="R162" s="195">
        <v>0.96699999999999997</v>
      </c>
      <c r="S162" s="195">
        <v>0.97599999999999998</v>
      </c>
      <c r="T162" s="195">
        <v>1.0109999999999999</v>
      </c>
      <c r="U162" s="195">
        <v>1.0189999999999999</v>
      </c>
      <c r="V162" s="195">
        <v>1.02</v>
      </c>
      <c r="W162" s="195">
        <v>1.028</v>
      </c>
      <c r="X162" s="195">
        <v>1.024</v>
      </c>
      <c r="Y162" s="195">
        <v>1.0269999999999999</v>
      </c>
      <c r="Z162" s="195">
        <v>1.054</v>
      </c>
    </row>
    <row r="163" spans="1:26">
      <c r="A163" s="195" t="s">
        <v>209</v>
      </c>
      <c r="B163" s="195" t="s">
        <v>285</v>
      </c>
      <c r="C163" s="195">
        <v>1.0329999999999999</v>
      </c>
      <c r="D163" s="195">
        <v>1.004</v>
      </c>
      <c r="E163" s="195">
        <v>0.94499999999999995</v>
      </c>
      <c r="F163" s="195">
        <v>0.89200000000000002</v>
      </c>
      <c r="G163" s="195">
        <v>0.89200000000000002</v>
      </c>
      <c r="H163" s="195">
        <v>0.876</v>
      </c>
      <c r="I163" s="195">
        <v>0.88400000000000001</v>
      </c>
      <c r="J163" s="195">
        <v>0</v>
      </c>
      <c r="K163" s="195">
        <v>0</v>
      </c>
      <c r="L163" s="195">
        <v>0.871</v>
      </c>
      <c r="M163" s="195">
        <v>0</v>
      </c>
      <c r="N163" s="195">
        <v>0.89600000000000002</v>
      </c>
      <c r="O163" s="195">
        <v>0.90600000000000003</v>
      </c>
      <c r="P163" s="195">
        <v>0.90900000000000003</v>
      </c>
      <c r="Q163" s="195">
        <v>0.92300000000000004</v>
      </c>
      <c r="R163" s="195">
        <v>0.93799999999999994</v>
      </c>
      <c r="S163" s="195">
        <v>0.95799999999999996</v>
      </c>
      <c r="T163" s="195">
        <v>0.96599999999999997</v>
      </c>
      <c r="U163" s="195">
        <v>0.98099999999999998</v>
      </c>
      <c r="V163" s="195">
        <v>0.99</v>
      </c>
      <c r="W163" s="195">
        <v>0.999</v>
      </c>
      <c r="X163" s="195">
        <v>1.0089999999999999</v>
      </c>
      <c r="Y163" s="195">
        <v>1.018</v>
      </c>
      <c r="Z163" s="195">
        <v>1.0389999999999999</v>
      </c>
    </row>
    <row r="164" spans="1:26">
      <c r="A164" s="195" t="s">
        <v>210</v>
      </c>
      <c r="B164" s="195" t="s">
        <v>285</v>
      </c>
      <c r="C164" s="195">
        <v>1.024</v>
      </c>
      <c r="D164" s="195">
        <v>0.98099999999999998</v>
      </c>
      <c r="E164" s="195">
        <v>0.91900000000000004</v>
      </c>
      <c r="F164" s="195">
        <v>0.92700000000000005</v>
      </c>
      <c r="G164" s="195">
        <v>0.88200000000000001</v>
      </c>
      <c r="H164" s="195">
        <v>0.85</v>
      </c>
      <c r="I164" s="195">
        <v>0.88400000000000001</v>
      </c>
      <c r="J164" s="195">
        <v>0.87</v>
      </c>
      <c r="K164" s="195">
        <v>0.90500000000000003</v>
      </c>
      <c r="L164" s="195">
        <v>0.81499999999999995</v>
      </c>
      <c r="M164" s="195">
        <v>0.91200000000000003</v>
      </c>
      <c r="N164" s="195">
        <v>0.871</v>
      </c>
      <c r="O164" s="195">
        <v>0.89100000000000001</v>
      </c>
      <c r="P164" s="195">
        <v>0.85499999999999998</v>
      </c>
      <c r="Q164" s="195">
        <v>0.876</v>
      </c>
      <c r="R164" s="195">
        <v>0.92700000000000005</v>
      </c>
      <c r="S164" s="195">
        <v>1</v>
      </c>
      <c r="T164" s="195">
        <v>0.92500000000000004</v>
      </c>
      <c r="U164" s="195">
        <v>0.94799999999999995</v>
      </c>
      <c r="V164" s="195">
        <v>0.96799999999999997</v>
      </c>
      <c r="W164" s="195">
        <v>0.98</v>
      </c>
      <c r="X164" s="195">
        <v>1.0069999999999999</v>
      </c>
      <c r="Y164" s="195">
        <v>1.085</v>
      </c>
      <c r="Z164" s="195">
        <v>1.107</v>
      </c>
    </row>
    <row r="165" spans="1:26">
      <c r="A165" s="195" t="s">
        <v>211</v>
      </c>
      <c r="B165" s="195" t="s">
        <v>285</v>
      </c>
      <c r="C165" s="195">
        <v>0.61599999999999999</v>
      </c>
      <c r="D165" s="195">
        <v>0.52500000000000002</v>
      </c>
      <c r="E165" s="195">
        <v>0.44600000000000001</v>
      </c>
      <c r="F165" s="195">
        <v>0.45200000000000001</v>
      </c>
      <c r="G165" s="195">
        <v>0.33500000000000002</v>
      </c>
      <c r="H165" s="195">
        <v>0.29799999999999999</v>
      </c>
      <c r="I165" s="195">
        <v>0.26500000000000001</v>
      </c>
      <c r="J165" s="195">
        <v>0.24299999999999999</v>
      </c>
      <c r="K165" s="195">
        <v>0.30199999999999999</v>
      </c>
      <c r="L165" s="195">
        <v>0.23899999999999999</v>
      </c>
      <c r="M165" s="195">
        <v>0.33400000000000002</v>
      </c>
      <c r="N165" s="195">
        <v>0.151</v>
      </c>
      <c r="O165" s="195">
        <v>0.222</v>
      </c>
      <c r="P165" s="195">
        <v>0.121</v>
      </c>
      <c r="Q165" s="195">
        <v>0.108</v>
      </c>
      <c r="R165" s="195">
        <v>0.16400000000000001</v>
      </c>
      <c r="S165" s="195">
        <v>0.32800000000000001</v>
      </c>
      <c r="T165" s="195">
        <v>0.13500000000000001</v>
      </c>
      <c r="U165" s="195">
        <v>0.154</v>
      </c>
      <c r="V165" s="195">
        <v>0.21099999999999999</v>
      </c>
      <c r="W165" s="195">
        <v>0.25800000000000001</v>
      </c>
      <c r="X165" s="195">
        <v>0.26100000000000001</v>
      </c>
      <c r="Y165" s="195">
        <v>0.41899999999999998</v>
      </c>
      <c r="Z165" s="195">
        <v>0.45500000000000002</v>
      </c>
    </row>
    <row r="166" spans="1:26">
      <c r="A166" s="195" t="s">
        <v>281</v>
      </c>
      <c r="B166" s="195" t="s">
        <v>282</v>
      </c>
      <c r="C166" s="195" t="s">
        <v>283</v>
      </c>
      <c r="D166" s="195" t="s">
        <v>283</v>
      </c>
      <c r="E166" s="195" t="s">
        <v>283</v>
      </c>
      <c r="F166" s="195" t="s">
        <v>283</v>
      </c>
      <c r="G166" s="195" t="s">
        <v>283</v>
      </c>
      <c r="H166" s="195" t="s">
        <v>283</v>
      </c>
      <c r="I166" s="195" t="s">
        <v>283</v>
      </c>
      <c r="J166" s="195" t="s">
        <v>283</v>
      </c>
      <c r="K166" s="195" t="s">
        <v>283</v>
      </c>
      <c r="L166" s="195" t="s">
        <v>283</v>
      </c>
      <c r="M166" s="195" t="s">
        <v>283</v>
      </c>
      <c r="N166" s="195" t="s">
        <v>283</v>
      </c>
      <c r="O166" s="195" t="s">
        <v>283</v>
      </c>
      <c r="P166" s="195" t="s">
        <v>283</v>
      </c>
      <c r="Q166" s="195" t="s">
        <v>283</v>
      </c>
      <c r="R166" s="195" t="s">
        <v>283</v>
      </c>
      <c r="S166" s="195" t="s">
        <v>283</v>
      </c>
      <c r="T166" s="195" t="s">
        <v>283</v>
      </c>
      <c r="U166" s="195" t="s">
        <v>283</v>
      </c>
      <c r="V166" s="195" t="s">
        <v>283</v>
      </c>
      <c r="W166" s="195" t="s">
        <v>283</v>
      </c>
      <c r="X166" s="195" t="s">
        <v>283</v>
      </c>
      <c r="Y166" s="195" t="s">
        <v>283</v>
      </c>
      <c r="Z166" s="195" t="s">
        <v>284</v>
      </c>
    </row>
    <row r="168" spans="1:26">
      <c r="C168" s="202" t="str">
        <f>CONCATENATE(L168,M168,N168,O168,P168,Q168,R168,S168,T168,R169,S169)</f>
        <v>Table 1D US Refinery GatePrices, $/Gal:2004PADD , 3</v>
      </c>
      <c r="L168" s="195" t="s">
        <v>266</v>
      </c>
      <c r="M168" s="195" t="s">
        <v>267</v>
      </c>
      <c r="N168" s="195" t="s">
        <v>268</v>
      </c>
      <c r="O168" s="195" t="s">
        <v>269</v>
      </c>
      <c r="P168" s="195" t="s">
        <v>270</v>
      </c>
      <c r="Q168" s="195" t="s">
        <v>271</v>
      </c>
      <c r="R168" s="195" t="s">
        <v>272</v>
      </c>
      <c r="S168" s="195" t="s">
        <v>273</v>
      </c>
      <c r="T168" s="195">
        <v>4</v>
      </c>
    </row>
    <row r="169" spans="1:26">
      <c r="R169" s="195" t="s">
        <v>274</v>
      </c>
      <c r="S169" s="195" t="s">
        <v>287</v>
      </c>
    </row>
    <row r="170" spans="1:26">
      <c r="A170" s="195" t="s">
        <v>276</v>
      </c>
      <c r="B170" s="195" t="s">
        <v>277</v>
      </c>
      <c r="C170" s="195">
        <v>11006</v>
      </c>
      <c r="D170" s="195" t="s">
        <v>278</v>
      </c>
      <c r="E170" s="195" t="s">
        <v>279</v>
      </c>
      <c r="F170" s="195" t="s">
        <v>280</v>
      </c>
    </row>
    <row r="171" spans="1:26">
      <c r="A171" s="195" t="s">
        <v>281</v>
      </c>
      <c r="B171" s="195" t="s">
        <v>282</v>
      </c>
      <c r="C171" s="195" t="s">
        <v>283</v>
      </c>
      <c r="D171" s="195" t="s">
        <v>283</v>
      </c>
      <c r="E171" s="195" t="s">
        <v>283</v>
      </c>
      <c r="F171" s="195" t="s">
        <v>283</v>
      </c>
      <c r="G171" s="195" t="s">
        <v>283</v>
      </c>
      <c r="H171" s="195" t="s">
        <v>283</v>
      </c>
      <c r="I171" s="195" t="s">
        <v>283</v>
      </c>
      <c r="J171" s="195" t="s">
        <v>283</v>
      </c>
      <c r="K171" s="195" t="s">
        <v>283</v>
      </c>
      <c r="L171" s="195" t="s">
        <v>283</v>
      </c>
      <c r="M171" s="195" t="s">
        <v>283</v>
      </c>
      <c r="N171" s="195" t="s">
        <v>283</v>
      </c>
      <c r="O171" s="195" t="s">
        <v>283</v>
      </c>
      <c r="P171" s="195" t="s">
        <v>283</v>
      </c>
      <c r="Q171" s="195" t="s">
        <v>283</v>
      </c>
      <c r="R171" s="195" t="s">
        <v>283</v>
      </c>
      <c r="S171" s="195" t="s">
        <v>283</v>
      </c>
      <c r="T171" s="195" t="s">
        <v>283</v>
      </c>
      <c r="U171" s="195" t="s">
        <v>283</v>
      </c>
      <c r="V171" s="195" t="s">
        <v>283</v>
      </c>
      <c r="W171" s="195" t="s">
        <v>283</v>
      </c>
      <c r="X171" s="195" t="s">
        <v>283</v>
      </c>
      <c r="Y171" s="195" t="s">
        <v>283</v>
      </c>
      <c r="Z171" s="195" t="s">
        <v>284</v>
      </c>
    </row>
    <row r="172" spans="1:26">
      <c r="C172" s="195">
        <v>2007</v>
      </c>
      <c r="D172" s="195">
        <v>2008</v>
      </c>
      <c r="E172" s="195">
        <v>2009</v>
      </c>
      <c r="F172" s="195">
        <v>2010</v>
      </c>
      <c r="G172" s="195">
        <v>2011</v>
      </c>
      <c r="H172" s="195">
        <v>2012</v>
      </c>
      <c r="I172" s="195">
        <v>2013</v>
      </c>
      <c r="J172" s="195">
        <v>2014</v>
      </c>
      <c r="K172" s="195">
        <v>2015</v>
      </c>
      <c r="L172" s="195">
        <v>2016</v>
      </c>
      <c r="M172" s="195">
        <v>2017</v>
      </c>
      <c r="N172" s="195">
        <v>2018</v>
      </c>
      <c r="O172" s="195">
        <v>2019</v>
      </c>
      <c r="P172" s="195">
        <v>2020</v>
      </c>
      <c r="Q172" s="195">
        <v>2021</v>
      </c>
      <c r="R172" s="195">
        <v>2022</v>
      </c>
      <c r="S172" s="195">
        <v>2023</v>
      </c>
      <c r="T172" s="195">
        <v>2024</v>
      </c>
      <c r="U172" s="195">
        <v>2025</v>
      </c>
      <c r="V172" s="195">
        <v>2026</v>
      </c>
      <c r="W172" s="195">
        <v>2027</v>
      </c>
      <c r="X172" s="195">
        <v>2028</v>
      </c>
      <c r="Y172" s="195">
        <v>2029</v>
      </c>
      <c r="Z172" s="195">
        <v>2030</v>
      </c>
    </row>
    <row r="173" spans="1:26">
      <c r="A173" s="195" t="s">
        <v>281</v>
      </c>
      <c r="B173" s="195" t="s">
        <v>282</v>
      </c>
      <c r="C173" s="195" t="s">
        <v>283</v>
      </c>
      <c r="D173" s="195" t="s">
        <v>283</v>
      </c>
      <c r="E173" s="195" t="s">
        <v>283</v>
      </c>
      <c r="F173" s="195" t="s">
        <v>283</v>
      </c>
      <c r="G173" s="195" t="s">
        <v>283</v>
      </c>
      <c r="H173" s="195" t="s">
        <v>283</v>
      </c>
      <c r="I173" s="195" t="s">
        <v>283</v>
      </c>
      <c r="J173" s="195" t="s">
        <v>283</v>
      </c>
      <c r="K173" s="195" t="s">
        <v>283</v>
      </c>
      <c r="L173" s="195" t="s">
        <v>283</v>
      </c>
      <c r="M173" s="195" t="s">
        <v>283</v>
      </c>
      <c r="N173" s="195" t="s">
        <v>283</v>
      </c>
      <c r="O173" s="195" t="s">
        <v>283</v>
      </c>
      <c r="P173" s="195" t="s">
        <v>283</v>
      </c>
      <c r="Q173" s="195" t="s">
        <v>283</v>
      </c>
      <c r="R173" s="195" t="s">
        <v>283</v>
      </c>
      <c r="S173" s="195" t="s">
        <v>283</v>
      </c>
      <c r="T173" s="195" t="s">
        <v>283</v>
      </c>
      <c r="U173" s="195" t="s">
        <v>283</v>
      </c>
      <c r="V173" s="195" t="s">
        <v>283</v>
      </c>
      <c r="W173" s="195" t="s">
        <v>283</v>
      </c>
      <c r="X173" s="195" t="s">
        <v>283</v>
      </c>
      <c r="Y173" s="195" t="s">
        <v>283</v>
      </c>
      <c r="Z173" s="195" t="s">
        <v>284</v>
      </c>
    </row>
    <row r="174" spans="1:26">
      <c r="A174" s="195" t="s">
        <v>197</v>
      </c>
      <c r="B174" s="195" t="s">
        <v>285</v>
      </c>
      <c r="C174" s="195">
        <v>1.448</v>
      </c>
      <c r="D174" s="195">
        <v>1.381</v>
      </c>
      <c r="E174" s="195">
        <v>1.3160000000000001</v>
      </c>
      <c r="F174" s="195">
        <v>1.2549999999999999</v>
      </c>
      <c r="G174" s="195">
        <v>1.254</v>
      </c>
      <c r="H174" s="195">
        <v>1.2470000000000001</v>
      </c>
      <c r="I174" s="195">
        <v>1.2430000000000001</v>
      </c>
      <c r="J174" s="195">
        <v>1.244</v>
      </c>
      <c r="K174" s="195">
        <v>1.24</v>
      </c>
      <c r="L174" s="195">
        <v>1.268</v>
      </c>
      <c r="M174" s="195">
        <v>1.2769999999999999</v>
      </c>
      <c r="N174" s="195">
        <v>1.2949999999999999</v>
      </c>
      <c r="O174" s="195">
        <v>1.323</v>
      </c>
      <c r="P174" s="195">
        <v>1.3460000000000001</v>
      </c>
      <c r="Q174" s="195">
        <v>1.357</v>
      </c>
      <c r="R174" s="195">
        <v>1.375</v>
      </c>
      <c r="S174" s="195">
        <v>1.385</v>
      </c>
      <c r="T174" s="195">
        <v>1.399</v>
      </c>
      <c r="U174" s="195">
        <v>1.413</v>
      </c>
      <c r="V174" s="195">
        <v>1.4239999999999999</v>
      </c>
      <c r="W174" s="195">
        <v>1.4339999999999999</v>
      </c>
      <c r="X174" s="195">
        <v>1.4490000000000001</v>
      </c>
      <c r="Y174" s="195">
        <v>1.4590000000000001</v>
      </c>
      <c r="Z174" s="195">
        <v>1.472</v>
      </c>
    </row>
    <row r="175" spans="1:26">
      <c r="A175" s="195" t="s">
        <v>198</v>
      </c>
      <c r="B175" s="195" t="s">
        <v>285</v>
      </c>
      <c r="C175" s="195">
        <v>1.4259999999999999</v>
      </c>
      <c r="D175" s="195">
        <v>1.361</v>
      </c>
      <c r="E175" s="195">
        <v>1.2969999999999999</v>
      </c>
      <c r="F175" s="195">
        <v>1.2370000000000001</v>
      </c>
      <c r="G175" s="195">
        <v>1.2370000000000001</v>
      </c>
      <c r="H175" s="195">
        <v>1.23</v>
      </c>
      <c r="I175" s="195">
        <v>1.226</v>
      </c>
      <c r="J175" s="195">
        <v>1.2270000000000001</v>
      </c>
      <c r="K175" s="195">
        <v>1.222</v>
      </c>
      <c r="L175" s="195">
        <v>1.2509999999999999</v>
      </c>
      <c r="M175" s="195">
        <v>1.2589999999999999</v>
      </c>
      <c r="N175" s="195">
        <v>1.278</v>
      </c>
      <c r="O175" s="195">
        <v>1.306</v>
      </c>
      <c r="P175" s="195">
        <v>1.329</v>
      </c>
      <c r="Q175" s="195">
        <v>1.34</v>
      </c>
      <c r="R175" s="195">
        <v>1.3580000000000001</v>
      </c>
      <c r="S175" s="195">
        <v>1.3680000000000001</v>
      </c>
      <c r="T175" s="195">
        <v>1.3819999999999999</v>
      </c>
      <c r="U175" s="195">
        <v>1.3959999999999999</v>
      </c>
      <c r="V175" s="195">
        <v>1.407</v>
      </c>
      <c r="W175" s="195">
        <v>1.417</v>
      </c>
      <c r="X175" s="195">
        <v>1.4319999999999999</v>
      </c>
      <c r="Y175" s="195">
        <v>1.4410000000000001</v>
      </c>
      <c r="Z175" s="195">
        <v>1.454</v>
      </c>
    </row>
    <row r="176" spans="1:26">
      <c r="A176" s="195" t="s">
        <v>199</v>
      </c>
      <c r="B176" s="195" t="s">
        <v>285</v>
      </c>
      <c r="C176" s="195">
        <v>1.5389999999999999</v>
      </c>
      <c r="D176" s="195">
        <v>1.4630000000000001</v>
      </c>
      <c r="E176" s="195">
        <v>1.3959999999999999</v>
      </c>
      <c r="F176" s="195">
        <v>1.329</v>
      </c>
      <c r="G176" s="195">
        <v>1.325</v>
      </c>
      <c r="H176" s="195">
        <v>1.319</v>
      </c>
      <c r="I176" s="195">
        <v>1.3169999999999999</v>
      </c>
      <c r="J176" s="195">
        <v>1.3180000000000001</v>
      </c>
      <c r="K176" s="195">
        <v>1.3140000000000001</v>
      </c>
      <c r="L176" s="195">
        <v>1.34</v>
      </c>
      <c r="M176" s="195">
        <v>1.35</v>
      </c>
      <c r="N176" s="195">
        <v>1.365</v>
      </c>
      <c r="O176" s="195">
        <v>1.3919999999999999</v>
      </c>
      <c r="P176" s="195">
        <v>1.415</v>
      </c>
      <c r="Q176" s="195">
        <v>1.4259999999999999</v>
      </c>
      <c r="R176" s="195">
        <v>1.4430000000000001</v>
      </c>
      <c r="S176" s="195">
        <v>1.454</v>
      </c>
      <c r="T176" s="195">
        <v>1.468</v>
      </c>
      <c r="U176" s="195">
        <v>1.4830000000000001</v>
      </c>
      <c r="V176" s="195">
        <v>1.494</v>
      </c>
      <c r="W176" s="195">
        <v>1.504</v>
      </c>
      <c r="X176" s="195">
        <v>1.5189999999999999</v>
      </c>
      <c r="Y176" s="195">
        <v>1.5349999999999999</v>
      </c>
      <c r="Z176" s="195">
        <v>1.5469999999999999</v>
      </c>
    </row>
    <row r="177" spans="1:26">
      <c r="A177" s="195" t="s">
        <v>200</v>
      </c>
      <c r="B177" s="195" t="s">
        <v>285</v>
      </c>
      <c r="C177" s="195">
        <v>1.4059999999999999</v>
      </c>
      <c r="D177" s="195">
        <v>1.341</v>
      </c>
      <c r="E177" s="195">
        <v>1.2769999999999999</v>
      </c>
      <c r="F177" s="195">
        <v>1.218</v>
      </c>
      <c r="G177" s="195">
        <v>1.2170000000000001</v>
      </c>
      <c r="H177" s="195">
        <v>1.2130000000000001</v>
      </c>
      <c r="I177" s="195">
        <v>1.208</v>
      </c>
      <c r="J177" s="195">
        <v>1.2090000000000001</v>
      </c>
      <c r="K177" s="195">
        <v>1.2050000000000001</v>
      </c>
      <c r="L177" s="195">
        <v>1.2330000000000001</v>
      </c>
      <c r="M177" s="195">
        <v>1.242</v>
      </c>
      <c r="N177" s="195">
        <v>1.26</v>
      </c>
      <c r="O177" s="195">
        <v>1.2889999999999999</v>
      </c>
      <c r="P177" s="195">
        <v>1.3120000000000001</v>
      </c>
      <c r="Q177" s="195">
        <v>1.323</v>
      </c>
      <c r="R177" s="195">
        <v>1.341</v>
      </c>
      <c r="S177" s="195">
        <v>1.351</v>
      </c>
      <c r="T177" s="195">
        <v>1.365</v>
      </c>
      <c r="U177" s="195">
        <v>1.379</v>
      </c>
      <c r="V177" s="195">
        <v>1.39</v>
      </c>
      <c r="W177" s="195">
        <v>1.4</v>
      </c>
      <c r="X177" s="195">
        <v>1.415</v>
      </c>
      <c r="Y177" s="195">
        <v>1.4239999999999999</v>
      </c>
      <c r="Z177" s="195">
        <v>1.4370000000000001</v>
      </c>
    </row>
    <row r="178" spans="1:26">
      <c r="A178" s="195" t="s">
        <v>461</v>
      </c>
      <c r="B178" s="195" t="s">
        <v>285</v>
      </c>
      <c r="C178" s="195">
        <v>0</v>
      </c>
      <c r="D178" s="195">
        <v>0</v>
      </c>
      <c r="E178" s="195">
        <v>0</v>
      </c>
      <c r="F178" s="195">
        <v>0</v>
      </c>
      <c r="G178" s="195">
        <v>0</v>
      </c>
      <c r="H178" s="195">
        <v>0</v>
      </c>
      <c r="I178" s="195">
        <v>0</v>
      </c>
      <c r="J178" s="195">
        <v>0</v>
      </c>
      <c r="K178" s="195">
        <v>0</v>
      </c>
      <c r="L178" s="195">
        <v>0</v>
      </c>
      <c r="M178" s="195">
        <v>0</v>
      </c>
      <c r="N178" s="195">
        <v>0</v>
      </c>
      <c r="O178" s="195">
        <v>0</v>
      </c>
      <c r="P178" s="195">
        <v>0</v>
      </c>
      <c r="Q178" s="195">
        <v>0</v>
      </c>
      <c r="R178" s="195">
        <v>0</v>
      </c>
      <c r="S178" s="195">
        <v>0</v>
      </c>
      <c r="T178" s="195">
        <v>0</v>
      </c>
      <c r="U178" s="195">
        <v>0</v>
      </c>
      <c r="V178" s="195">
        <v>0</v>
      </c>
      <c r="W178" s="195">
        <v>0</v>
      </c>
      <c r="X178" s="195">
        <v>0</v>
      </c>
      <c r="Y178" s="195">
        <v>0</v>
      </c>
      <c r="Z178" s="195">
        <v>0</v>
      </c>
    </row>
    <row r="179" spans="1:26">
      <c r="A179" s="195" t="s">
        <v>201</v>
      </c>
      <c r="B179" s="195" t="s">
        <v>285</v>
      </c>
      <c r="C179" s="195">
        <v>1.26</v>
      </c>
      <c r="D179" s="195">
        <v>1.2230000000000001</v>
      </c>
      <c r="E179" s="195">
        <v>1.163</v>
      </c>
      <c r="F179" s="195">
        <v>1.1220000000000001</v>
      </c>
      <c r="G179" s="195">
        <v>1.117</v>
      </c>
      <c r="H179" s="195">
        <v>1.137</v>
      </c>
      <c r="I179" s="195">
        <v>1.089</v>
      </c>
      <c r="J179" s="195">
        <v>1.1080000000000001</v>
      </c>
      <c r="K179" s="195">
        <v>1.113</v>
      </c>
      <c r="L179" s="195">
        <v>1.1479999999999999</v>
      </c>
      <c r="M179" s="195">
        <v>1.137</v>
      </c>
      <c r="N179" s="195">
        <v>1.1679999999999999</v>
      </c>
      <c r="O179" s="195">
        <v>1.1759999999999999</v>
      </c>
      <c r="P179" s="195">
        <v>1.1879999999999999</v>
      </c>
      <c r="Q179" s="195">
        <v>1.196</v>
      </c>
      <c r="R179" s="195">
        <v>1.222</v>
      </c>
      <c r="S179" s="195">
        <v>1.2310000000000001</v>
      </c>
      <c r="T179" s="195">
        <v>1.2430000000000001</v>
      </c>
      <c r="U179" s="195">
        <v>1.2549999999999999</v>
      </c>
      <c r="V179" s="195">
        <v>1.2609999999999999</v>
      </c>
      <c r="W179" s="195">
        <v>1.266</v>
      </c>
      <c r="X179" s="195">
        <v>1.274</v>
      </c>
      <c r="Y179" s="195">
        <v>1.2889999999999999</v>
      </c>
      <c r="Z179" s="195">
        <v>1.3</v>
      </c>
    </row>
    <row r="180" spans="1:26">
      <c r="A180" s="195" t="s">
        <v>202</v>
      </c>
      <c r="B180" s="195" t="s">
        <v>285</v>
      </c>
      <c r="C180" s="195">
        <v>1.2709999999999999</v>
      </c>
      <c r="D180" s="195">
        <v>1.2430000000000001</v>
      </c>
      <c r="E180" s="195">
        <v>1.181</v>
      </c>
      <c r="F180" s="195">
        <v>1.1259999999999999</v>
      </c>
      <c r="G180" s="195">
        <v>1.109</v>
      </c>
      <c r="H180" s="195">
        <v>1.1220000000000001</v>
      </c>
      <c r="I180" s="195">
        <v>0</v>
      </c>
      <c r="J180" s="195">
        <v>0</v>
      </c>
      <c r="K180" s="195">
        <v>0</v>
      </c>
      <c r="L180" s="195">
        <v>0</v>
      </c>
      <c r="M180" s="195">
        <v>0</v>
      </c>
      <c r="N180" s="195">
        <v>0</v>
      </c>
      <c r="O180" s="195">
        <v>0</v>
      </c>
      <c r="P180" s="195">
        <v>0</v>
      </c>
      <c r="Q180" s="195">
        <v>0</v>
      </c>
      <c r="R180" s="195">
        <v>0</v>
      </c>
      <c r="S180" s="195">
        <v>0</v>
      </c>
      <c r="T180" s="195">
        <v>0</v>
      </c>
      <c r="U180" s="195">
        <v>0</v>
      </c>
      <c r="V180" s="195">
        <v>0</v>
      </c>
      <c r="W180" s="195">
        <v>0</v>
      </c>
      <c r="X180" s="195">
        <v>0</v>
      </c>
      <c r="Y180" s="195">
        <v>0</v>
      </c>
      <c r="Z180" s="195">
        <v>0</v>
      </c>
    </row>
    <row r="181" spans="1:26">
      <c r="A181" s="195" t="s">
        <v>203</v>
      </c>
      <c r="B181" s="195" t="s">
        <v>285</v>
      </c>
      <c r="C181" s="195">
        <v>1.411</v>
      </c>
      <c r="D181" s="195">
        <v>1.341</v>
      </c>
      <c r="E181" s="195">
        <v>1.2909999999999999</v>
      </c>
      <c r="F181" s="195">
        <v>1.2450000000000001</v>
      </c>
      <c r="G181" s="195">
        <v>1.264</v>
      </c>
      <c r="H181" s="195">
        <v>1.2569999999999999</v>
      </c>
      <c r="I181" s="195">
        <v>1.27</v>
      </c>
      <c r="J181" s="195">
        <v>1.254</v>
      </c>
      <c r="K181" s="195">
        <v>1.2789999999999999</v>
      </c>
      <c r="L181" s="195">
        <v>1.2869999999999999</v>
      </c>
      <c r="M181" s="195">
        <v>1.2869999999999999</v>
      </c>
      <c r="N181" s="195">
        <v>1.3029999999999999</v>
      </c>
      <c r="O181" s="195">
        <v>1.3220000000000001</v>
      </c>
      <c r="P181" s="195">
        <v>1.3340000000000001</v>
      </c>
      <c r="Q181" s="195">
        <v>1.345</v>
      </c>
      <c r="R181" s="195">
        <v>1.353</v>
      </c>
      <c r="S181" s="195">
        <v>1.3839999999999999</v>
      </c>
      <c r="T181" s="195">
        <v>1.393</v>
      </c>
      <c r="U181" s="195">
        <v>1.4059999999999999</v>
      </c>
      <c r="V181" s="195">
        <v>1.4239999999999999</v>
      </c>
      <c r="W181" s="195">
        <v>1.4470000000000001</v>
      </c>
      <c r="X181" s="195">
        <v>1.4750000000000001</v>
      </c>
      <c r="Y181" s="195">
        <v>1.452</v>
      </c>
      <c r="Z181" s="195">
        <v>1.4750000000000001</v>
      </c>
    </row>
    <row r="182" spans="1:26">
      <c r="A182" s="195" t="s">
        <v>204</v>
      </c>
      <c r="B182" s="195" t="s">
        <v>285</v>
      </c>
      <c r="C182" s="195">
        <v>1.26</v>
      </c>
      <c r="D182" s="195">
        <v>1.2210000000000001</v>
      </c>
      <c r="E182" s="195">
        <v>1.1639999999999999</v>
      </c>
      <c r="F182" s="195">
        <v>1.131</v>
      </c>
      <c r="G182" s="195">
        <v>1.1559999999999999</v>
      </c>
      <c r="H182" s="195">
        <v>1.173</v>
      </c>
      <c r="I182" s="195">
        <v>1.153</v>
      </c>
      <c r="J182" s="195">
        <v>1.171</v>
      </c>
      <c r="K182" s="195">
        <v>1.1779999999999999</v>
      </c>
      <c r="L182" s="195">
        <v>1.206</v>
      </c>
      <c r="M182" s="195">
        <v>1.198</v>
      </c>
      <c r="N182" s="195">
        <v>1.236</v>
      </c>
      <c r="O182" s="195">
        <v>1.256</v>
      </c>
      <c r="P182" s="195">
        <v>1.28</v>
      </c>
      <c r="Q182" s="195">
        <v>1.2969999999999999</v>
      </c>
      <c r="R182" s="195">
        <v>1.3140000000000001</v>
      </c>
      <c r="S182" s="195">
        <v>1.32</v>
      </c>
      <c r="T182" s="195">
        <v>1.3360000000000001</v>
      </c>
      <c r="U182" s="195">
        <v>1.3420000000000001</v>
      </c>
      <c r="V182" s="195">
        <v>1.36</v>
      </c>
      <c r="W182" s="195">
        <v>1.381</v>
      </c>
      <c r="X182" s="195">
        <v>1.407</v>
      </c>
      <c r="Y182" s="195">
        <v>1.419</v>
      </c>
      <c r="Z182" s="195">
        <v>1.431</v>
      </c>
    </row>
    <row r="183" spans="1:26">
      <c r="A183" s="195" t="s">
        <v>205</v>
      </c>
      <c r="B183" s="195" t="s">
        <v>285</v>
      </c>
      <c r="C183" s="195">
        <v>1.26</v>
      </c>
      <c r="D183" s="195">
        <v>1.2230000000000001</v>
      </c>
      <c r="E183" s="195">
        <v>1.163</v>
      </c>
      <c r="F183" s="195">
        <v>1.1220000000000001</v>
      </c>
      <c r="G183" s="195">
        <v>1.117</v>
      </c>
      <c r="H183" s="195">
        <v>1.137</v>
      </c>
      <c r="I183" s="195">
        <v>1.089</v>
      </c>
      <c r="J183" s="195">
        <v>1.1080000000000001</v>
      </c>
      <c r="K183" s="195">
        <v>1.113</v>
      </c>
      <c r="L183" s="195">
        <v>1.1479999999999999</v>
      </c>
      <c r="M183" s="195">
        <v>1.137</v>
      </c>
      <c r="N183" s="195">
        <v>1.1679999999999999</v>
      </c>
      <c r="O183" s="195">
        <v>1.1759999999999999</v>
      </c>
      <c r="P183" s="195">
        <v>1.1879999999999999</v>
      </c>
      <c r="Q183" s="195">
        <v>1.196</v>
      </c>
      <c r="R183" s="195">
        <v>1.222</v>
      </c>
      <c r="S183" s="195">
        <v>1.2310000000000001</v>
      </c>
      <c r="T183" s="195">
        <v>1.2430000000000001</v>
      </c>
      <c r="U183" s="195">
        <v>1.2549999999999999</v>
      </c>
      <c r="V183" s="195">
        <v>1.2609999999999999</v>
      </c>
      <c r="W183" s="195">
        <v>1.266</v>
      </c>
      <c r="X183" s="195">
        <v>1.274</v>
      </c>
      <c r="Y183" s="195">
        <v>1.2889999999999999</v>
      </c>
      <c r="Z183" s="195">
        <v>1.3</v>
      </c>
    </row>
    <row r="184" spans="1:26">
      <c r="A184" s="195" t="s">
        <v>206</v>
      </c>
      <c r="B184" s="195" t="s">
        <v>285</v>
      </c>
      <c r="C184" s="195">
        <v>0.84899999999999998</v>
      </c>
      <c r="D184" s="195">
        <v>0.81699999999999995</v>
      </c>
      <c r="E184" s="195">
        <v>0.79</v>
      </c>
      <c r="F184" s="195">
        <v>0.76500000000000001</v>
      </c>
      <c r="G184" s="195">
        <v>0.77</v>
      </c>
      <c r="H184" s="195">
        <v>0.76600000000000001</v>
      </c>
      <c r="I184" s="195">
        <v>0.76</v>
      </c>
      <c r="J184" s="195">
        <v>0.75</v>
      </c>
      <c r="K184" s="195">
        <v>0.75600000000000001</v>
      </c>
      <c r="L184" s="195">
        <v>0.78300000000000003</v>
      </c>
      <c r="M184" s="195">
        <v>0.79</v>
      </c>
      <c r="N184" s="195">
        <v>0.82199999999999995</v>
      </c>
      <c r="O184" s="195">
        <v>0.83499999999999996</v>
      </c>
      <c r="P184" s="195">
        <v>0.84299999999999997</v>
      </c>
      <c r="Q184" s="195">
        <v>0.86299999999999999</v>
      </c>
      <c r="R184" s="195">
        <v>0.876</v>
      </c>
      <c r="S184" s="195">
        <v>0.88400000000000001</v>
      </c>
      <c r="T184" s="195">
        <v>0.90100000000000002</v>
      </c>
      <c r="U184" s="195">
        <v>0.90600000000000003</v>
      </c>
      <c r="V184" s="195">
        <v>0.91300000000000003</v>
      </c>
      <c r="W184" s="195">
        <v>0.94599999999999995</v>
      </c>
      <c r="X184" s="195">
        <v>0.99399999999999999</v>
      </c>
      <c r="Y184" s="195">
        <v>0.98699999999999999</v>
      </c>
      <c r="Z184" s="195">
        <v>0.99</v>
      </c>
    </row>
    <row r="185" spans="1:26">
      <c r="A185" s="195" t="s">
        <v>207</v>
      </c>
      <c r="B185" s="195" t="s">
        <v>285</v>
      </c>
      <c r="C185" s="195">
        <v>0.64100000000000001</v>
      </c>
      <c r="D185" s="195">
        <v>0.61399999999999999</v>
      </c>
      <c r="E185" s="195">
        <v>0.58599999999999997</v>
      </c>
      <c r="F185" s="195">
        <v>0.55900000000000005</v>
      </c>
      <c r="G185" s="195">
        <v>0.55600000000000005</v>
      </c>
      <c r="H185" s="195">
        <v>0.55400000000000005</v>
      </c>
      <c r="I185" s="195">
        <v>0.55200000000000005</v>
      </c>
      <c r="J185" s="195">
        <v>0.55000000000000004</v>
      </c>
      <c r="K185" s="195">
        <v>0.54700000000000004</v>
      </c>
      <c r="L185" s="195">
        <v>0.55200000000000005</v>
      </c>
      <c r="M185" s="195">
        <v>0.55600000000000005</v>
      </c>
      <c r="N185" s="195">
        <v>0.56100000000000005</v>
      </c>
      <c r="O185" s="195">
        <v>0.56499999999999995</v>
      </c>
      <c r="P185" s="195">
        <v>0.56999999999999995</v>
      </c>
      <c r="Q185" s="195">
        <v>0.57599999999999996</v>
      </c>
      <c r="R185" s="195">
        <v>0.58299999999999996</v>
      </c>
      <c r="S185" s="195">
        <v>0.58899999999999997</v>
      </c>
      <c r="T185" s="195">
        <v>0.59599999999999997</v>
      </c>
      <c r="U185" s="195">
        <v>0.60299999999999998</v>
      </c>
      <c r="V185" s="195">
        <v>0.60699999999999998</v>
      </c>
      <c r="W185" s="195">
        <v>0.61199999999999999</v>
      </c>
      <c r="X185" s="195">
        <v>0.61599999999999999</v>
      </c>
      <c r="Y185" s="195">
        <v>0.62</v>
      </c>
      <c r="Z185" s="195">
        <v>0.625</v>
      </c>
    </row>
    <row r="186" spans="1:26">
      <c r="A186" s="195" t="s">
        <v>208</v>
      </c>
      <c r="B186" s="195" t="s">
        <v>285</v>
      </c>
      <c r="C186" s="195">
        <v>1.097</v>
      </c>
      <c r="D186" s="195">
        <v>1.0740000000000001</v>
      </c>
      <c r="E186" s="195">
        <v>1.0229999999999999</v>
      </c>
      <c r="F186" s="195">
        <v>0.92300000000000004</v>
      </c>
      <c r="G186" s="195">
        <v>0.95199999999999996</v>
      </c>
      <c r="H186" s="195">
        <v>0.95499999999999996</v>
      </c>
      <c r="I186" s="195">
        <v>0.92400000000000004</v>
      </c>
      <c r="J186" s="195">
        <v>0.94699999999999995</v>
      </c>
      <c r="K186" s="195">
        <v>0.93600000000000005</v>
      </c>
      <c r="L186" s="195">
        <v>0.94799999999999995</v>
      </c>
      <c r="M186" s="195">
        <v>0.95699999999999996</v>
      </c>
      <c r="N186" s="195">
        <v>0.94799999999999995</v>
      </c>
      <c r="O186" s="195">
        <v>0.95099999999999996</v>
      </c>
      <c r="P186" s="195">
        <v>0.999</v>
      </c>
      <c r="Q186" s="195">
        <v>0.98799999999999999</v>
      </c>
      <c r="R186" s="195">
        <v>0.98199999999999998</v>
      </c>
      <c r="S186" s="195">
        <v>0.99099999999999999</v>
      </c>
      <c r="T186" s="195">
        <v>1.026</v>
      </c>
      <c r="U186" s="195">
        <v>1.034</v>
      </c>
      <c r="V186" s="195">
        <v>1.0349999999999999</v>
      </c>
      <c r="W186" s="195">
        <v>1.044</v>
      </c>
      <c r="X186" s="195">
        <v>1.0389999999999999</v>
      </c>
      <c r="Y186" s="195">
        <v>1.042</v>
      </c>
      <c r="Z186" s="195">
        <v>1.069</v>
      </c>
    </row>
    <row r="187" spans="1:26">
      <c r="A187" s="195" t="s">
        <v>209</v>
      </c>
      <c r="B187" s="195" t="s">
        <v>285</v>
      </c>
      <c r="C187" s="195">
        <v>1.0780000000000001</v>
      </c>
      <c r="D187" s="195">
        <v>0</v>
      </c>
      <c r="E187" s="195">
        <v>0</v>
      </c>
      <c r="F187" s="195">
        <v>0</v>
      </c>
      <c r="G187" s="195">
        <v>0</v>
      </c>
      <c r="H187" s="195">
        <v>0</v>
      </c>
      <c r="I187" s="195">
        <v>0</v>
      </c>
      <c r="J187" s="195">
        <v>0</v>
      </c>
      <c r="K187" s="195">
        <v>0</v>
      </c>
      <c r="L187" s="195">
        <v>0.88600000000000001</v>
      </c>
      <c r="M187" s="195">
        <v>0</v>
      </c>
      <c r="N187" s="195">
        <v>0</v>
      </c>
      <c r="O187" s="195">
        <v>0</v>
      </c>
      <c r="P187" s="195">
        <v>0.92400000000000004</v>
      </c>
      <c r="Q187" s="195">
        <v>0.93799999999999994</v>
      </c>
      <c r="R187" s="195">
        <v>0.95299999999999996</v>
      </c>
      <c r="S187" s="195">
        <v>0</v>
      </c>
      <c r="T187" s="195">
        <v>0.98099999999999998</v>
      </c>
      <c r="U187" s="195">
        <v>0.995</v>
      </c>
      <c r="V187" s="195">
        <v>1.0049999999999999</v>
      </c>
      <c r="W187" s="195">
        <v>1.0149999999999999</v>
      </c>
      <c r="X187" s="195">
        <v>1.024</v>
      </c>
      <c r="Y187" s="195">
        <v>0</v>
      </c>
      <c r="Z187" s="195">
        <v>0</v>
      </c>
    </row>
    <row r="188" spans="1:26">
      <c r="A188" s="195" t="s">
        <v>210</v>
      </c>
      <c r="B188" s="195" t="s">
        <v>285</v>
      </c>
      <c r="C188" s="195">
        <v>1.0780000000000001</v>
      </c>
      <c r="D188" s="195">
        <v>1.0169999999999999</v>
      </c>
      <c r="E188" s="195">
        <v>0.95799999999999996</v>
      </c>
      <c r="F188" s="195">
        <v>0.94799999999999995</v>
      </c>
      <c r="G188" s="195">
        <v>0.88600000000000001</v>
      </c>
      <c r="H188" s="195">
        <v>0.85</v>
      </c>
      <c r="I188" s="195">
        <v>0.88900000000000001</v>
      </c>
      <c r="J188" s="195">
        <v>0.874</v>
      </c>
      <c r="K188" s="195">
        <v>0.91200000000000003</v>
      </c>
      <c r="L188" s="195">
        <v>0.81499999999999995</v>
      </c>
      <c r="M188" s="195">
        <v>0.92</v>
      </c>
      <c r="N188" s="195">
        <v>0.875</v>
      </c>
      <c r="O188" s="195">
        <v>0.89800000000000002</v>
      </c>
      <c r="P188" s="195">
        <v>0.85899999999999999</v>
      </c>
      <c r="Q188" s="195">
        <v>0.88</v>
      </c>
      <c r="R188" s="195">
        <v>0.93100000000000005</v>
      </c>
      <c r="S188" s="195">
        <v>1.0209999999999999</v>
      </c>
      <c r="T188" s="195">
        <v>0.92900000000000005</v>
      </c>
      <c r="U188" s="195">
        <v>0.95199999999999996</v>
      </c>
      <c r="V188" s="195">
        <v>0.97199999999999998</v>
      </c>
      <c r="W188" s="195">
        <v>0.98399999999999999</v>
      </c>
      <c r="X188" s="195">
        <v>1.0109999999999999</v>
      </c>
      <c r="Y188" s="195">
        <v>1.089</v>
      </c>
      <c r="Z188" s="195">
        <v>1.1279999999999999</v>
      </c>
    </row>
    <row r="189" spans="1:26">
      <c r="A189" s="195" t="s">
        <v>211</v>
      </c>
      <c r="B189" s="195" t="s">
        <v>285</v>
      </c>
      <c r="C189" s="195">
        <v>0.63500000000000001</v>
      </c>
      <c r="D189" s="195">
        <v>0.54400000000000004</v>
      </c>
      <c r="E189" s="195">
        <v>0.46400000000000002</v>
      </c>
      <c r="F189" s="195">
        <v>0.47</v>
      </c>
      <c r="G189" s="195">
        <v>0.35399999999999998</v>
      </c>
      <c r="H189" s="195">
        <v>0.317</v>
      </c>
      <c r="I189" s="195">
        <v>0.28299999999999997</v>
      </c>
      <c r="J189" s="195">
        <v>0.26200000000000001</v>
      </c>
      <c r="K189" s="195">
        <v>0.32</v>
      </c>
      <c r="L189" s="195">
        <v>0.25800000000000001</v>
      </c>
      <c r="M189" s="195">
        <v>0.35199999999999998</v>
      </c>
      <c r="N189" s="195">
        <v>0.17</v>
      </c>
      <c r="O189" s="195">
        <v>0.24099999999999999</v>
      </c>
      <c r="P189" s="195">
        <v>0.13900000000000001</v>
      </c>
      <c r="Q189" s="195">
        <v>0.127</v>
      </c>
      <c r="R189" s="195">
        <v>0.183</v>
      </c>
      <c r="S189" s="195">
        <v>0.34699999999999998</v>
      </c>
      <c r="T189" s="195">
        <v>0.154</v>
      </c>
      <c r="U189" s="195">
        <v>0.17299999999999999</v>
      </c>
      <c r="V189" s="195">
        <v>0.23</v>
      </c>
      <c r="W189" s="195">
        <v>0.27700000000000002</v>
      </c>
      <c r="X189" s="195">
        <v>0.28100000000000003</v>
      </c>
      <c r="Y189" s="195">
        <v>0.438</v>
      </c>
      <c r="Z189" s="195">
        <v>0.47399999999999998</v>
      </c>
    </row>
    <row r="190" spans="1:26">
      <c r="A190" s="195" t="s">
        <v>281</v>
      </c>
      <c r="B190" s="195" t="s">
        <v>282</v>
      </c>
      <c r="C190" s="195" t="s">
        <v>283</v>
      </c>
      <c r="D190" s="195" t="s">
        <v>283</v>
      </c>
      <c r="E190" s="195" t="s">
        <v>283</v>
      </c>
      <c r="F190" s="195" t="s">
        <v>283</v>
      </c>
      <c r="G190" s="195" t="s">
        <v>283</v>
      </c>
      <c r="H190" s="195" t="s">
        <v>283</v>
      </c>
      <c r="I190" s="195" t="s">
        <v>283</v>
      </c>
      <c r="J190" s="195" t="s">
        <v>283</v>
      </c>
      <c r="K190" s="195" t="s">
        <v>283</v>
      </c>
      <c r="L190" s="195" t="s">
        <v>283</v>
      </c>
      <c r="M190" s="195" t="s">
        <v>283</v>
      </c>
      <c r="N190" s="195" t="s">
        <v>283</v>
      </c>
      <c r="O190" s="195" t="s">
        <v>283</v>
      </c>
      <c r="P190" s="195" t="s">
        <v>283</v>
      </c>
      <c r="Q190" s="195" t="s">
        <v>283</v>
      </c>
      <c r="R190" s="195" t="s">
        <v>283</v>
      </c>
      <c r="S190" s="195" t="s">
        <v>283</v>
      </c>
      <c r="T190" s="195" t="s">
        <v>283</v>
      </c>
      <c r="U190" s="195" t="s">
        <v>283</v>
      </c>
      <c r="V190" s="195" t="s">
        <v>283</v>
      </c>
      <c r="W190" s="195" t="s">
        <v>283</v>
      </c>
      <c r="X190" s="195" t="s">
        <v>283</v>
      </c>
      <c r="Y190" s="195" t="s">
        <v>283</v>
      </c>
      <c r="Z190" s="195" t="s">
        <v>284</v>
      </c>
    </row>
    <row r="192" spans="1:26">
      <c r="C192" s="202" t="str">
        <f>CONCATENATE(L192,M192,N192,O192,P192,Q192,R192,S192,T192,R193,S193)</f>
        <v>Table 1D US Refinery GatePrices, $/Gal:2004PADD , 4</v>
      </c>
      <c r="L192" s="195" t="s">
        <v>266</v>
      </c>
      <c r="M192" s="195" t="s">
        <v>267</v>
      </c>
      <c r="N192" s="195" t="s">
        <v>268</v>
      </c>
      <c r="O192" s="195" t="s">
        <v>269</v>
      </c>
      <c r="P192" s="195" t="s">
        <v>270</v>
      </c>
      <c r="Q192" s="195" t="s">
        <v>271</v>
      </c>
      <c r="R192" s="195" t="s">
        <v>272</v>
      </c>
      <c r="S192" s="195" t="s">
        <v>273</v>
      </c>
      <c r="T192" s="195">
        <v>4</v>
      </c>
    </row>
    <row r="193" spans="1:26">
      <c r="R193" s="195" t="s">
        <v>274</v>
      </c>
      <c r="S193" s="195" t="s">
        <v>288</v>
      </c>
    </row>
    <row r="194" spans="1:26">
      <c r="A194" s="195" t="s">
        <v>276</v>
      </c>
      <c r="B194" s="195" t="s">
        <v>277</v>
      </c>
      <c r="C194" s="195">
        <v>11006</v>
      </c>
      <c r="D194" s="195" t="s">
        <v>278</v>
      </c>
      <c r="E194" s="195" t="s">
        <v>279</v>
      </c>
      <c r="F194" s="195" t="s">
        <v>280</v>
      </c>
    </row>
    <row r="195" spans="1:26">
      <c r="A195" s="195" t="s">
        <v>281</v>
      </c>
      <c r="B195" s="195" t="s">
        <v>282</v>
      </c>
      <c r="C195" s="195" t="s">
        <v>283</v>
      </c>
      <c r="D195" s="195" t="s">
        <v>283</v>
      </c>
      <c r="E195" s="195" t="s">
        <v>283</v>
      </c>
      <c r="F195" s="195" t="s">
        <v>283</v>
      </c>
      <c r="G195" s="195" t="s">
        <v>283</v>
      </c>
      <c r="H195" s="195" t="s">
        <v>283</v>
      </c>
      <c r="I195" s="195" t="s">
        <v>283</v>
      </c>
      <c r="J195" s="195" t="s">
        <v>283</v>
      </c>
      <c r="K195" s="195" t="s">
        <v>283</v>
      </c>
      <c r="L195" s="195" t="s">
        <v>283</v>
      </c>
      <c r="M195" s="195" t="s">
        <v>283</v>
      </c>
      <c r="N195" s="195" t="s">
        <v>283</v>
      </c>
      <c r="O195" s="195" t="s">
        <v>283</v>
      </c>
      <c r="P195" s="195" t="s">
        <v>283</v>
      </c>
      <c r="Q195" s="195" t="s">
        <v>283</v>
      </c>
      <c r="R195" s="195" t="s">
        <v>283</v>
      </c>
      <c r="S195" s="195" t="s">
        <v>283</v>
      </c>
      <c r="T195" s="195" t="s">
        <v>283</v>
      </c>
      <c r="U195" s="195" t="s">
        <v>283</v>
      </c>
      <c r="V195" s="195" t="s">
        <v>283</v>
      </c>
      <c r="W195" s="195" t="s">
        <v>283</v>
      </c>
      <c r="X195" s="195" t="s">
        <v>283</v>
      </c>
      <c r="Y195" s="195" t="s">
        <v>283</v>
      </c>
      <c r="Z195" s="195" t="s">
        <v>284</v>
      </c>
    </row>
    <row r="196" spans="1:26">
      <c r="C196" s="195">
        <v>2007</v>
      </c>
      <c r="D196" s="195">
        <v>2008</v>
      </c>
      <c r="E196" s="195">
        <v>2009</v>
      </c>
      <c r="F196" s="195">
        <v>2010</v>
      </c>
      <c r="G196" s="195">
        <v>2011</v>
      </c>
      <c r="H196" s="195">
        <v>2012</v>
      </c>
      <c r="I196" s="195">
        <v>2013</v>
      </c>
      <c r="J196" s="195">
        <v>2014</v>
      </c>
      <c r="K196" s="195">
        <v>2015</v>
      </c>
      <c r="L196" s="195">
        <v>2016</v>
      </c>
      <c r="M196" s="195">
        <v>2017</v>
      </c>
      <c r="N196" s="195">
        <v>2018</v>
      </c>
      <c r="O196" s="195">
        <v>2019</v>
      </c>
      <c r="P196" s="195">
        <v>2020</v>
      </c>
      <c r="Q196" s="195">
        <v>2021</v>
      </c>
      <c r="R196" s="195">
        <v>2022</v>
      </c>
      <c r="S196" s="195">
        <v>2023</v>
      </c>
      <c r="T196" s="195">
        <v>2024</v>
      </c>
      <c r="U196" s="195">
        <v>2025</v>
      </c>
      <c r="V196" s="195">
        <v>2026</v>
      </c>
      <c r="W196" s="195">
        <v>2027</v>
      </c>
      <c r="X196" s="195">
        <v>2028</v>
      </c>
      <c r="Y196" s="195">
        <v>2029</v>
      </c>
      <c r="Z196" s="195">
        <v>2030</v>
      </c>
    </row>
    <row r="197" spans="1:26">
      <c r="A197" s="195" t="s">
        <v>281</v>
      </c>
      <c r="B197" s="195" t="s">
        <v>282</v>
      </c>
      <c r="C197" s="195" t="s">
        <v>283</v>
      </c>
      <c r="D197" s="195" t="s">
        <v>283</v>
      </c>
      <c r="E197" s="195" t="s">
        <v>283</v>
      </c>
      <c r="F197" s="195" t="s">
        <v>283</v>
      </c>
      <c r="G197" s="195" t="s">
        <v>283</v>
      </c>
      <c r="H197" s="195" t="s">
        <v>283</v>
      </c>
      <c r="I197" s="195" t="s">
        <v>283</v>
      </c>
      <c r="J197" s="195" t="s">
        <v>283</v>
      </c>
      <c r="K197" s="195" t="s">
        <v>283</v>
      </c>
      <c r="L197" s="195" t="s">
        <v>283</v>
      </c>
      <c r="M197" s="195" t="s">
        <v>283</v>
      </c>
      <c r="N197" s="195" t="s">
        <v>283</v>
      </c>
      <c r="O197" s="195" t="s">
        <v>283</v>
      </c>
      <c r="P197" s="195" t="s">
        <v>283</v>
      </c>
      <c r="Q197" s="195" t="s">
        <v>283</v>
      </c>
      <c r="R197" s="195" t="s">
        <v>283</v>
      </c>
      <c r="S197" s="195" t="s">
        <v>283</v>
      </c>
      <c r="T197" s="195" t="s">
        <v>283</v>
      </c>
      <c r="U197" s="195" t="s">
        <v>283</v>
      </c>
      <c r="V197" s="195" t="s">
        <v>283</v>
      </c>
      <c r="W197" s="195" t="s">
        <v>283</v>
      </c>
      <c r="X197" s="195" t="s">
        <v>283</v>
      </c>
      <c r="Y197" s="195" t="s">
        <v>283</v>
      </c>
      <c r="Z197" s="195" t="s">
        <v>284</v>
      </c>
    </row>
    <row r="198" spans="1:26">
      <c r="A198" s="195" t="s">
        <v>197</v>
      </c>
      <c r="B198" s="195" t="s">
        <v>285</v>
      </c>
      <c r="C198" s="195">
        <v>1.68</v>
      </c>
      <c r="D198" s="195">
        <v>1.696</v>
      </c>
      <c r="E198" s="195">
        <v>1.631</v>
      </c>
      <c r="F198" s="195">
        <v>1.478</v>
      </c>
      <c r="G198" s="195">
        <v>1.5149999999999999</v>
      </c>
      <c r="H198" s="195">
        <v>1.47</v>
      </c>
      <c r="I198" s="195">
        <v>1.47</v>
      </c>
      <c r="J198" s="195">
        <v>1.4430000000000001</v>
      </c>
      <c r="K198" s="195">
        <v>1.5009999999999999</v>
      </c>
      <c r="L198" s="195">
        <v>1.48</v>
      </c>
      <c r="M198" s="195">
        <v>1.5249999999999999</v>
      </c>
      <c r="N198" s="195">
        <v>1.516</v>
      </c>
      <c r="O198" s="195">
        <v>1.5289999999999999</v>
      </c>
      <c r="P198" s="195">
        <v>1.546</v>
      </c>
      <c r="Q198" s="195">
        <v>1.575</v>
      </c>
      <c r="R198" s="195">
        <v>1.5840000000000001</v>
      </c>
      <c r="S198" s="195">
        <v>1.5960000000000001</v>
      </c>
      <c r="T198" s="195">
        <v>1.5920000000000001</v>
      </c>
      <c r="U198" s="195">
        <v>1.5820000000000001</v>
      </c>
      <c r="V198" s="195">
        <v>1.611</v>
      </c>
      <c r="W198" s="195">
        <v>1.6140000000000001</v>
      </c>
      <c r="X198" s="195">
        <v>1.6339999999999999</v>
      </c>
      <c r="Y198" s="195">
        <v>1.6439999999999999</v>
      </c>
      <c r="Z198" s="195">
        <v>1.655</v>
      </c>
    </row>
    <row r="199" spans="1:26">
      <c r="A199" s="195" t="s">
        <v>198</v>
      </c>
      <c r="B199" s="195" t="s">
        <v>285</v>
      </c>
      <c r="C199" s="195">
        <v>1.66</v>
      </c>
      <c r="D199" s="195">
        <v>1.677</v>
      </c>
      <c r="E199" s="195">
        <v>1.613</v>
      </c>
      <c r="F199" s="195">
        <v>1.462</v>
      </c>
      <c r="G199" s="195">
        <v>1.5009999999999999</v>
      </c>
      <c r="H199" s="195">
        <v>1.456</v>
      </c>
      <c r="I199" s="195">
        <v>1.456</v>
      </c>
      <c r="J199" s="195">
        <v>1.423</v>
      </c>
      <c r="K199" s="195">
        <v>1.482</v>
      </c>
      <c r="L199" s="195">
        <v>1.462</v>
      </c>
      <c r="M199" s="195">
        <v>1.5069999999999999</v>
      </c>
      <c r="N199" s="195">
        <v>1.4970000000000001</v>
      </c>
      <c r="O199" s="195">
        <v>1.51</v>
      </c>
      <c r="P199" s="195">
        <v>1.528</v>
      </c>
      <c r="Q199" s="195">
        <v>1.5580000000000001</v>
      </c>
      <c r="R199" s="195">
        <v>1.5669999999999999</v>
      </c>
      <c r="S199" s="195">
        <v>1.58</v>
      </c>
      <c r="T199" s="195">
        <v>1.5740000000000001</v>
      </c>
      <c r="U199" s="195">
        <v>1.5620000000000001</v>
      </c>
      <c r="V199" s="195">
        <v>1.5940000000000001</v>
      </c>
      <c r="W199" s="195">
        <v>1.5980000000000001</v>
      </c>
      <c r="X199" s="195">
        <v>1.619</v>
      </c>
      <c r="Y199" s="195">
        <v>1.631</v>
      </c>
      <c r="Z199" s="195">
        <v>1.643</v>
      </c>
    </row>
    <row r="200" spans="1:26">
      <c r="A200" s="195" t="s">
        <v>199</v>
      </c>
      <c r="B200" s="195" t="s">
        <v>285</v>
      </c>
      <c r="C200" s="195">
        <v>1.7989999999999999</v>
      </c>
      <c r="D200" s="195">
        <v>1.8069999999999999</v>
      </c>
      <c r="E200" s="195">
        <v>1.738</v>
      </c>
      <c r="F200" s="195">
        <v>1.571</v>
      </c>
      <c r="G200" s="195">
        <v>1.6</v>
      </c>
      <c r="H200" s="195">
        <v>1.5549999999999999</v>
      </c>
      <c r="I200" s="195">
        <v>1.556</v>
      </c>
      <c r="J200" s="195">
        <v>1.56</v>
      </c>
      <c r="K200" s="195">
        <v>1.6120000000000001</v>
      </c>
      <c r="L200" s="195">
        <v>1.587</v>
      </c>
      <c r="M200" s="195">
        <v>1.6339999999999999</v>
      </c>
      <c r="N200" s="195">
        <v>1.627</v>
      </c>
      <c r="O200" s="195">
        <v>1.641</v>
      </c>
      <c r="P200" s="195">
        <v>1.653</v>
      </c>
      <c r="Q200" s="195">
        <v>1.679</v>
      </c>
      <c r="R200" s="195">
        <v>1.6850000000000001</v>
      </c>
      <c r="S200" s="195">
        <v>1.6910000000000001</v>
      </c>
      <c r="T200" s="195">
        <v>1.7010000000000001</v>
      </c>
      <c r="U200" s="195">
        <v>1.6990000000000001</v>
      </c>
      <c r="V200" s="195">
        <v>1.712</v>
      </c>
      <c r="W200" s="195">
        <v>1.7130000000000001</v>
      </c>
      <c r="X200" s="195">
        <v>1.722</v>
      </c>
      <c r="Y200" s="195">
        <v>1.7230000000000001</v>
      </c>
      <c r="Z200" s="195">
        <v>1.73</v>
      </c>
    </row>
    <row r="201" spans="1:26">
      <c r="A201" s="195" t="s">
        <v>200</v>
      </c>
      <c r="B201" s="195" t="s">
        <v>285</v>
      </c>
      <c r="C201" s="195">
        <v>1.66</v>
      </c>
      <c r="D201" s="195">
        <v>1.677</v>
      </c>
      <c r="E201" s="195">
        <v>1.613</v>
      </c>
      <c r="F201" s="195">
        <v>1.462</v>
      </c>
      <c r="G201" s="195">
        <v>1.5009999999999999</v>
      </c>
      <c r="H201" s="195">
        <v>1.456</v>
      </c>
      <c r="I201" s="195">
        <v>1.456</v>
      </c>
      <c r="J201" s="195">
        <v>1.423</v>
      </c>
      <c r="K201" s="195">
        <v>1.482</v>
      </c>
      <c r="L201" s="195">
        <v>1.462</v>
      </c>
      <c r="M201" s="195">
        <v>1.5069999999999999</v>
      </c>
      <c r="N201" s="195">
        <v>1.4970000000000001</v>
      </c>
      <c r="O201" s="195">
        <v>1.51</v>
      </c>
      <c r="P201" s="195">
        <v>1.528</v>
      </c>
      <c r="Q201" s="195">
        <v>1.5580000000000001</v>
      </c>
      <c r="R201" s="195">
        <v>1.5669999999999999</v>
      </c>
      <c r="S201" s="195">
        <v>1.58</v>
      </c>
      <c r="T201" s="195">
        <v>1.5740000000000001</v>
      </c>
      <c r="U201" s="195">
        <v>1.5620000000000001</v>
      </c>
      <c r="V201" s="195">
        <v>1.5940000000000001</v>
      </c>
      <c r="W201" s="195">
        <v>1.5980000000000001</v>
      </c>
      <c r="X201" s="195">
        <v>1.619</v>
      </c>
      <c r="Y201" s="195">
        <v>1.631</v>
      </c>
      <c r="Z201" s="195">
        <v>1.643</v>
      </c>
    </row>
    <row r="202" spans="1:26">
      <c r="A202" s="195" t="s">
        <v>461</v>
      </c>
      <c r="B202" s="195" t="s">
        <v>285</v>
      </c>
      <c r="C202" s="195">
        <v>0</v>
      </c>
      <c r="D202" s="195">
        <v>0</v>
      </c>
      <c r="E202" s="195">
        <v>0</v>
      </c>
      <c r="F202" s="195">
        <v>0</v>
      </c>
      <c r="G202" s="195">
        <v>0</v>
      </c>
      <c r="H202" s="195">
        <v>0</v>
      </c>
      <c r="I202" s="195">
        <v>0</v>
      </c>
      <c r="J202" s="195">
        <v>0</v>
      </c>
      <c r="K202" s="195">
        <v>0</v>
      </c>
      <c r="L202" s="195">
        <v>0</v>
      </c>
      <c r="M202" s="195">
        <v>0</v>
      </c>
      <c r="N202" s="195">
        <v>0</v>
      </c>
      <c r="O202" s="195">
        <v>0</v>
      </c>
      <c r="P202" s="195">
        <v>0</v>
      </c>
      <c r="Q202" s="195">
        <v>0</v>
      </c>
      <c r="R202" s="195">
        <v>0</v>
      </c>
      <c r="S202" s="195">
        <v>0</v>
      </c>
      <c r="T202" s="195">
        <v>0</v>
      </c>
      <c r="U202" s="195">
        <v>0</v>
      </c>
      <c r="V202" s="195">
        <v>0</v>
      </c>
      <c r="W202" s="195">
        <v>0</v>
      </c>
      <c r="X202" s="195">
        <v>0</v>
      </c>
      <c r="Y202" s="195">
        <v>0</v>
      </c>
      <c r="Z202" s="195">
        <v>0</v>
      </c>
    </row>
    <row r="203" spans="1:26">
      <c r="A203" s="195" t="s">
        <v>201</v>
      </c>
      <c r="B203" s="195" t="s">
        <v>285</v>
      </c>
      <c r="C203" s="195">
        <v>1.3129999999999999</v>
      </c>
      <c r="D203" s="195">
        <v>1.2869999999999999</v>
      </c>
      <c r="E203" s="195">
        <v>1.238</v>
      </c>
      <c r="F203" s="195">
        <v>1.161</v>
      </c>
      <c r="G203" s="195">
        <v>1.2</v>
      </c>
      <c r="H203" s="195">
        <v>1.18</v>
      </c>
      <c r="I203" s="195">
        <v>1.1279999999999999</v>
      </c>
      <c r="J203" s="195">
        <v>1.117</v>
      </c>
      <c r="K203" s="195">
        <v>1.1519999999999999</v>
      </c>
      <c r="L203" s="195">
        <v>1.1539999999999999</v>
      </c>
      <c r="M203" s="195">
        <v>1.143</v>
      </c>
      <c r="N203" s="195">
        <v>1.1739999999999999</v>
      </c>
      <c r="O203" s="195">
        <v>1.1659999999999999</v>
      </c>
      <c r="P203" s="195">
        <v>1.194</v>
      </c>
      <c r="Q203" s="195">
        <v>1.196</v>
      </c>
      <c r="R203" s="195">
        <v>1.1950000000000001</v>
      </c>
      <c r="S203" s="195">
        <v>1.2050000000000001</v>
      </c>
      <c r="T203" s="195">
        <v>1.206</v>
      </c>
      <c r="U203" s="195">
        <v>1.2070000000000001</v>
      </c>
      <c r="V203" s="195">
        <v>1.224</v>
      </c>
      <c r="W203" s="195">
        <v>1.2290000000000001</v>
      </c>
      <c r="X203" s="195">
        <v>1.2230000000000001</v>
      </c>
      <c r="Y203" s="195">
        <v>1.2110000000000001</v>
      </c>
      <c r="Z203" s="195">
        <v>1.2170000000000001</v>
      </c>
    </row>
    <row r="204" spans="1:26">
      <c r="A204" s="195" t="s">
        <v>202</v>
      </c>
      <c r="B204" s="195" t="s">
        <v>285</v>
      </c>
      <c r="C204" s="195">
        <v>1.395</v>
      </c>
      <c r="D204" s="195">
        <v>1.4570000000000001</v>
      </c>
      <c r="E204" s="195">
        <v>1.399</v>
      </c>
      <c r="F204" s="195">
        <v>1.244</v>
      </c>
      <c r="G204" s="195">
        <v>1.2569999999999999</v>
      </c>
      <c r="H204" s="195">
        <v>1.22</v>
      </c>
      <c r="I204" s="195">
        <v>0</v>
      </c>
      <c r="J204" s="195">
        <v>0</v>
      </c>
      <c r="K204" s="195">
        <v>0</v>
      </c>
      <c r="L204" s="195">
        <v>0</v>
      </c>
      <c r="M204" s="195">
        <v>0</v>
      </c>
      <c r="N204" s="195">
        <v>0</v>
      </c>
      <c r="O204" s="195">
        <v>0</v>
      </c>
      <c r="P204" s="195">
        <v>0</v>
      </c>
      <c r="Q204" s="195">
        <v>0</v>
      </c>
      <c r="R204" s="195">
        <v>0</v>
      </c>
      <c r="S204" s="195">
        <v>0</v>
      </c>
      <c r="T204" s="195">
        <v>0</v>
      </c>
      <c r="U204" s="195">
        <v>0</v>
      </c>
      <c r="V204" s="195">
        <v>0</v>
      </c>
      <c r="W204" s="195">
        <v>0</v>
      </c>
      <c r="X204" s="195">
        <v>0</v>
      </c>
      <c r="Y204" s="195">
        <v>0</v>
      </c>
      <c r="Z204" s="195">
        <v>0</v>
      </c>
    </row>
    <row r="205" spans="1:26">
      <c r="A205" s="195" t="s">
        <v>203</v>
      </c>
      <c r="B205" s="195" t="s">
        <v>285</v>
      </c>
      <c r="C205" s="195">
        <v>1.5349999999999999</v>
      </c>
      <c r="D205" s="195">
        <v>1.556</v>
      </c>
      <c r="E205" s="195">
        <v>1.5089999999999999</v>
      </c>
      <c r="F205" s="195">
        <v>1.363</v>
      </c>
      <c r="G205" s="195">
        <v>1.4339999999999999</v>
      </c>
      <c r="H205" s="195">
        <v>1.391</v>
      </c>
      <c r="I205" s="195">
        <v>1.4019999999999999</v>
      </c>
      <c r="J205" s="195">
        <v>1.3620000000000001</v>
      </c>
      <c r="K205" s="195">
        <v>1.4470000000000001</v>
      </c>
      <c r="L205" s="195">
        <v>1.3959999999999999</v>
      </c>
      <c r="M205" s="195">
        <v>1.4370000000000001</v>
      </c>
      <c r="N205" s="195">
        <v>1.4279999999999999</v>
      </c>
      <c r="O205" s="195">
        <v>1.4330000000000001</v>
      </c>
      <c r="P205" s="195">
        <v>1.4350000000000001</v>
      </c>
      <c r="Q205" s="195">
        <v>1.46</v>
      </c>
      <c r="R205" s="195">
        <v>1.4570000000000001</v>
      </c>
      <c r="S205" s="195">
        <v>1.4990000000000001</v>
      </c>
      <c r="T205" s="195">
        <v>1.486</v>
      </c>
      <c r="U205" s="195">
        <v>1.482</v>
      </c>
      <c r="V205" s="195">
        <v>1.5029999999999999</v>
      </c>
      <c r="W205" s="195">
        <v>1.5189999999999999</v>
      </c>
      <c r="X205" s="195">
        <v>1.5509999999999999</v>
      </c>
      <c r="Y205" s="195">
        <v>1.5349999999999999</v>
      </c>
      <c r="Z205" s="195">
        <v>1.556</v>
      </c>
    </row>
    <row r="206" spans="1:26">
      <c r="A206" s="195" t="s">
        <v>204</v>
      </c>
      <c r="B206" s="195" t="s">
        <v>285</v>
      </c>
      <c r="C206" s="195">
        <v>1.3640000000000001</v>
      </c>
      <c r="D206" s="195">
        <v>1.4139999999999999</v>
      </c>
      <c r="E206" s="195">
        <v>1.3620000000000001</v>
      </c>
      <c r="F206" s="195">
        <v>1.2270000000000001</v>
      </c>
      <c r="G206" s="195">
        <v>1.288</v>
      </c>
      <c r="H206" s="195">
        <v>1.262</v>
      </c>
      <c r="I206" s="195">
        <v>1.258</v>
      </c>
      <c r="J206" s="195">
        <v>1.2669999999999999</v>
      </c>
      <c r="K206" s="195">
        <v>1.3460000000000001</v>
      </c>
      <c r="L206" s="195">
        <v>1.3149999999999999</v>
      </c>
      <c r="M206" s="195">
        <v>1.347</v>
      </c>
      <c r="N206" s="195">
        <v>1.361</v>
      </c>
      <c r="O206" s="195">
        <v>1.357</v>
      </c>
      <c r="P206" s="195">
        <v>1.381</v>
      </c>
      <c r="Q206" s="195">
        <v>1.4119999999999999</v>
      </c>
      <c r="R206" s="195">
        <v>1.417</v>
      </c>
      <c r="S206" s="195">
        <v>1.4350000000000001</v>
      </c>
      <c r="T206" s="195">
        <v>1.423</v>
      </c>
      <c r="U206" s="195">
        <v>1.413</v>
      </c>
      <c r="V206" s="195">
        <v>1.4370000000000001</v>
      </c>
      <c r="W206" s="195">
        <v>1.4530000000000001</v>
      </c>
      <c r="X206" s="195">
        <v>1.4850000000000001</v>
      </c>
      <c r="Y206" s="195">
        <v>1.4930000000000001</v>
      </c>
      <c r="Z206" s="195">
        <v>1.5029999999999999</v>
      </c>
    </row>
    <row r="207" spans="1:26">
      <c r="A207" s="195" t="s">
        <v>205</v>
      </c>
      <c r="B207" s="195" t="s">
        <v>285</v>
      </c>
      <c r="C207" s="195">
        <v>1.3129999999999999</v>
      </c>
      <c r="D207" s="195">
        <v>1.2869999999999999</v>
      </c>
      <c r="E207" s="195">
        <v>1.238</v>
      </c>
      <c r="F207" s="195">
        <v>1.161</v>
      </c>
      <c r="G207" s="195">
        <v>1.2</v>
      </c>
      <c r="H207" s="195">
        <v>1.18</v>
      </c>
      <c r="I207" s="195">
        <v>1.1279999999999999</v>
      </c>
      <c r="J207" s="195">
        <v>1.117</v>
      </c>
      <c r="K207" s="195">
        <v>1.1519999999999999</v>
      </c>
      <c r="L207" s="195">
        <v>1.1539999999999999</v>
      </c>
      <c r="M207" s="195">
        <v>1.143</v>
      </c>
      <c r="N207" s="195">
        <v>1.1739999999999999</v>
      </c>
      <c r="O207" s="195">
        <v>1.1659999999999999</v>
      </c>
      <c r="P207" s="195">
        <v>1.194</v>
      </c>
      <c r="Q207" s="195">
        <v>1.196</v>
      </c>
      <c r="R207" s="195">
        <v>1.1950000000000001</v>
      </c>
      <c r="S207" s="195">
        <v>1.2050000000000001</v>
      </c>
      <c r="T207" s="195">
        <v>1.206</v>
      </c>
      <c r="U207" s="195">
        <v>1.2070000000000001</v>
      </c>
      <c r="V207" s="195">
        <v>1.224</v>
      </c>
      <c r="W207" s="195">
        <v>1.2290000000000001</v>
      </c>
      <c r="X207" s="195">
        <v>1.2230000000000001</v>
      </c>
      <c r="Y207" s="195">
        <v>1.2110000000000001</v>
      </c>
      <c r="Z207" s="195">
        <v>1.2170000000000001</v>
      </c>
    </row>
    <row r="208" spans="1:26">
      <c r="A208" s="195" t="s">
        <v>206</v>
      </c>
      <c r="B208" s="195" t="s">
        <v>285</v>
      </c>
      <c r="C208" s="195">
        <v>0.82</v>
      </c>
      <c r="D208" s="195">
        <v>0.78900000000000003</v>
      </c>
      <c r="E208" s="195">
        <v>0.76300000000000001</v>
      </c>
      <c r="F208" s="195">
        <v>0.73799999999999999</v>
      </c>
      <c r="G208" s="195">
        <v>0.74199999999999999</v>
      </c>
      <c r="H208" s="195">
        <v>0.73899999999999999</v>
      </c>
      <c r="I208" s="195">
        <v>0.73299999999999998</v>
      </c>
      <c r="J208" s="195">
        <v>0.72299999999999998</v>
      </c>
      <c r="K208" s="195">
        <v>0.72899999999999998</v>
      </c>
      <c r="L208" s="195">
        <v>0.755</v>
      </c>
      <c r="M208" s="195">
        <v>0.76300000000000001</v>
      </c>
      <c r="N208" s="195">
        <v>0.79500000000000004</v>
      </c>
      <c r="O208" s="195">
        <v>0.80800000000000005</v>
      </c>
      <c r="P208" s="195">
        <v>0.81499999999999995</v>
      </c>
      <c r="Q208" s="195">
        <v>0.83499999999999996</v>
      </c>
      <c r="R208" s="195">
        <v>0.84899999999999998</v>
      </c>
      <c r="S208" s="195">
        <v>0.85599999999999998</v>
      </c>
      <c r="T208" s="195">
        <v>0.86399999999999999</v>
      </c>
      <c r="U208" s="195">
        <v>0.86899999999999999</v>
      </c>
      <c r="V208" s="195">
        <v>0.876</v>
      </c>
      <c r="W208" s="195">
        <v>0.90900000000000003</v>
      </c>
      <c r="X208" s="195">
        <v>0.95699999999999996</v>
      </c>
      <c r="Y208" s="195">
        <v>0.95</v>
      </c>
      <c r="Z208" s="195">
        <v>0.95299999999999996</v>
      </c>
    </row>
    <row r="209" spans="1:26">
      <c r="A209" s="195" t="s">
        <v>207</v>
      </c>
      <c r="B209" s="195" t="s">
        <v>285</v>
      </c>
      <c r="C209" s="195">
        <v>0.61299999999999999</v>
      </c>
      <c r="D209" s="195">
        <v>0.58599999999999997</v>
      </c>
      <c r="E209" s="195">
        <v>0.55900000000000005</v>
      </c>
      <c r="F209" s="195">
        <v>0.53100000000000003</v>
      </c>
      <c r="G209" s="195">
        <v>0.52900000000000003</v>
      </c>
      <c r="H209" s="195">
        <v>0.52700000000000002</v>
      </c>
      <c r="I209" s="195">
        <v>0.52400000000000002</v>
      </c>
      <c r="J209" s="195">
        <v>0.52200000000000002</v>
      </c>
      <c r="K209" s="195">
        <v>0.52</v>
      </c>
      <c r="L209" s="195">
        <v>0.52400000000000002</v>
      </c>
      <c r="M209" s="195">
        <v>0.52900000000000003</v>
      </c>
      <c r="N209" s="195">
        <v>0.53300000000000003</v>
      </c>
      <c r="O209" s="195">
        <v>0.53800000000000003</v>
      </c>
      <c r="P209" s="195">
        <v>0.54200000000000004</v>
      </c>
      <c r="Q209" s="195">
        <v>0.54800000000000004</v>
      </c>
      <c r="R209" s="195">
        <v>0.55500000000000005</v>
      </c>
      <c r="S209" s="195">
        <v>0.56100000000000005</v>
      </c>
      <c r="T209" s="195">
        <v>0.56799999999999995</v>
      </c>
      <c r="U209" s="195">
        <v>0.57499999999999996</v>
      </c>
      <c r="V209" s="195">
        <v>0.57899999999999996</v>
      </c>
      <c r="W209" s="195">
        <v>0.58299999999999996</v>
      </c>
      <c r="X209" s="195">
        <v>0.58699999999999997</v>
      </c>
      <c r="Y209" s="195">
        <v>0.59199999999999997</v>
      </c>
      <c r="Z209" s="195">
        <v>0.59599999999999997</v>
      </c>
    </row>
    <row r="210" spans="1:26">
      <c r="A210" s="195" t="s">
        <v>208</v>
      </c>
      <c r="B210" s="195" t="s">
        <v>285</v>
      </c>
      <c r="C210" s="195">
        <v>1.0740000000000001</v>
      </c>
      <c r="D210" s="195">
        <v>1.0469999999999999</v>
      </c>
      <c r="E210" s="195">
        <v>0.996</v>
      </c>
      <c r="F210" s="195">
        <v>0.92900000000000005</v>
      </c>
      <c r="G210" s="195">
        <v>0.94899999999999995</v>
      </c>
      <c r="H210" s="195">
        <v>0.95299999999999996</v>
      </c>
      <c r="I210" s="195">
        <v>0.92600000000000005</v>
      </c>
      <c r="J210" s="195">
        <v>0.92</v>
      </c>
      <c r="K210" s="195">
        <v>0.95799999999999996</v>
      </c>
      <c r="L210" s="195">
        <v>0.94699999999999995</v>
      </c>
      <c r="M210" s="195">
        <v>0.95899999999999996</v>
      </c>
      <c r="N210" s="195">
        <v>0.94499999999999995</v>
      </c>
      <c r="O210" s="195">
        <v>0.96799999999999997</v>
      </c>
      <c r="P210" s="195">
        <v>0.98699999999999999</v>
      </c>
      <c r="Q210" s="195">
        <v>0.98899999999999999</v>
      </c>
      <c r="R210" s="195">
        <v>0.98799999999999999</v>
      </c>
      <c r="S210" s="195">
        <v>1</v>
      </c>
      <c r="T210" s="195">
        <v>1.0089999999999999</v>
      </c>
      <c r="U210" s="195">
        <v>1.0069999999999999</v>
      </c>
      <c r="V210" s="195">
        <v>1.038</v>
      </c>
      <c r="W210" s="195">
        <v>1.046</v>
      </c>
      <c r="X210" s="195">
        <v>1.0109999999999999</v>
      </c>
      <c r="Y210" s="195">
        <v>1.014</v>
      </c>
      <c r="Z210" s="195">
        <v>1.026</v>
      </c>
    </row>
    <row r="211" spans="1:26">
      <c r="A211" s="195" t="s">
        <v>209</v>
      </c>
      <c r="B211" s="195" t="s">
        <v>285</v>
      </c>
      <c r="C211" s="195">
        <v>1.05</v>
      </c>
      <c r="D211" s="195">
        <v>1.004</v>
      </c>
      <c r="E211" s="195">
        <v>0.93799999999999994</v>
      </c>
      <c r="F211" s="195">
        <v>0.91</v>
      </c>
      <c r="G211" s="195">
        <v>0.91500000000000004</v>
      </c>
      <c r="H211" s="195">
        <v>0.90200000000000002</v>
      </c>
      <c r="I211" s="195">
        <v>0.90400000000000003</v>
      </c>
      <c r="J211" s="195">
        <v>0.879</v>
      </c>
      <c r="K211" s="195">
        <v>0.90800000000000003</v>
      </c>
      <c r="L211" s="195">
        <v>0.86799999999999999</v>
      </c>
      <c r="M211" s="195">
        <v>0.92800000000000005</v>
      </c>
      <c r="N211" s="195">
        <v>0.91300000000000003</v>
      </c>
      <c r="O211" s="195">
        <v>0.93500000000000005</v>
      </c>
      <c r="P211" s="195">
        <v>0.92</v>
      </c>
      <c r="Q211" s="195">
        <v>0.92200000000000004</v>
      </c>
      <c r="R211" s="195">
        <v>0.95199999999999996</v>
      </c>
      <c r="S211" s="195">
        <v>0.99099999999999999</v>
      </c>
      <c r="T211" s="195">
        <v>0.96299999999999997</v>
      </c>
      <c r="U211" s="195">
        <v>0.97099999999999997</v>
      </c>
      <c r="V211" s="195">
        <v>0.996</v>
      </c>
      <c r="W211" s="195">
        <v>1.0049999999999999</v>
      </c>
      <c r="X211" s="195">
        <v>1</v>
      </c>
      <c r="Y211" s="195">
        <v>1.014</v>
      </c>
      <c r="Z211" s="195">
        <v>1.026</v>
      </c>
    </row>
    <row r="212" spans="1:26">
      <c r="A212" s="195" t="s">
        <v>210</v>
      </c>
      <c r="B212" s="195" t="s">
        <v>285</v>
      </c>
      <c r="C212" s="195">
        <v>1.056</v>
      </c>
      <c r="D212" s="195">
        <v>0.996</v>
      </c>
      <c r="E212" s="195">
        <v>0.93700000000000006</v>
      </c>
      <c r="F212" s="195">
        <v>0.95799999999999996</v>
      </c>
      <c r="G212" s="195">
        <v>0.90300000000000002</v>
      </c>
      <c r="H212" s="195">
        <v>0.86699999999999999</v>
      </c>
      <c r="I212" s="195">
        <v>0.90600000000000003</v>
      </c>
      <c r="J212" s="195">
        <v>0.87</v>
      </c>
      <c r="K212" s="195">
        <v>0.90500000000000003</v>
      </c>
      <c r="L212" s="195">
        <v>0.83199999999999996</v>
      </c>
      <c r="M212" s="195">
        <v>0.93200000000000005</v>
      </c>
      <c r="N212" s="195">
        <v>0.89200000000000002</v>
      </c>
      <c r="O212" s="195">
        <v>0.91500000000000004</v>
      </c>
      <c r="P212" s="195">
        <v>0.876</v>
      </c>
      <c r="Q212" s="195">
        <v>0.876</v>
      </c>
      <c r="R212" s="195">
        <v>0.92700000000000005</v>
      </c>
      <c r="S212" s="195">
        <v>1</v>
      </c>
      <c r="T212" s="195">
        <v>0.92500000000000004</v>
      </c>
      <c r="U212" s="195">
        <v>0.94799999999999995</v>
      </c>
      <c r="V212" s="195">
        <v>0.96799999999999997</v>
      </c>
      <c r="W212" s="195">
        <v>0.98</v>
      </c>
      <c r="X212" s="195">
        <v>1.0069999999999999</v>
      </c>
      <c r="Y212" s="195">
        <v>1.085</v>
      </c>
      <c r="Z212" s="195">
        <v>1.107</v>
      </c>
    </row>
    <row r="213" spans="1:26">
      <c r="A213" s="195" t="s">
        <v>211</v>
      </c>
      <c r="B213" s="195" t="s">
        <v>285</v>
      </c>
      <c r="C213" s="195">
        <v>0.62</v>
      </c>
      <c r="D213" s="195">
        <v>0.52800000000000002</v>
      </c>
      <c r="E213" s="195">
        <v>0.44900000000000001</v>
      </c>
      <c r="F213" s="195">
        <v>0.45400000000000001</v>
      </c>
      <c r="G213" s="195">
        <v>0.33800000000000002</v>
      </c>
      <c r="H213" s="195">
        <v>0.30099999999999999</v>
      </c>
      <c r="I213" s="195">
        <v>0.26800000000000002</v>
      </c>
      <c r="J213" s="195">
        <v>0.246</v>
      </c>
      <c r="K213" s="195">
        <v>0.30499999999999999</v>
      </c>
      <c r="L213" s="195">
        <v>0.24199999999999999</v>
      </c>
      <c r="M213" s="195">
        <v>0.33700000000000002</v>
      </c>
      <c r="N213" s="195">
        <v>0.154</v>
      </c>
      <c r="O213" s="195">
        <v>0.22500000000000001</v>
      </c>
      <c r="P213" s="195">
        <v>0.124</v>
      </c>
      <c r="Q213" s="195">
        <v>0.112</v>
      </c>
      <c r="R213" s="195">
        <v>0.16800000000000001</v>
      </c>
      <c r="S213" s="195">
        <v>0.33100000000000002</v>
      </c>
      <c r="T213" s="195">
        <v>0.13900000000000001</v>
      </c>
      <c r="U213" s="195">
        <v>0.157</v>
      </c>
      <c r="V213" s="195">
        <v>0.215</v>
      </c>
      <c r="W213" s="195">
        <v>0.26200000000000001</v>
      </c>
      <c r="X213" s="195">
        <v>0.26500000000000001</v>
      </c>
      <c r="Y213" s="195">
        <v>0.42299999999999999</v>
      </c>
      <c r="Z213" s="195">
        <v>0.45900000000000002</v>
      </c>
    </row>
    <row r="214" spans="1:26">
      <c r="A214" s="195" t="s">
        <v>281</v>
      </c>
      <c r="B214" s="195" t="s">
        <v>282</v>
      </c>
      <c r="C214" s="195" t="s">
        <v>283</v>
      </c>
      <c r="D214" s="195" t="s">
        <v>283</v>
      </c>
      <c r="E214" s="195" t="s">
        <v>283</v>
      </c>
      <c r="F214" s="195" t="s">
        <v>283</v>
      </c>
      <c r="G214" s="195" t="s">
        <v>283</v>
      </c>
      <c r="H214" s="195" t="s">
        <v>283</v>
      </c>
      <c r="I214" s="195" t="s">
        <v>283</v>
      </c>
      <c r="J214" s="195" t="s">
        <v>283</v>
      </c>
      <c r="K214" s="195" t="s">
        <v>283</v>
      </c>
      <c r="L214" s="195" t="s">
        <v>283</v>
      </c>
      <c r="M214" s="195" t="s">
        <v>283</v>
      </c>
      <c r="N214" s="195" t="s">
        <v>283</v>
      </c>
      <c r="O214" s="195" t="s">
        <v>283</v>
      </c>
      <c r="P214" s="195" t="s">
        <v>283</v>
      </c>
      <c r="Q214" s="195" t="s">
        <v>283</v>
      </c>
      <c r="R214" s="195" t="s">
        <v>283</v>
      </c>
      <c r="S214" s="195" t="s">
        <v>283</v>
      </c>
      <c r="T214" s="195" t="s">
        <v>283</v>
      </c>
      <c r="U214" s="195" t="s">
        <v>283</v>
      </c>
      <c r="V214" s="195" t="s">
        <v>283</v>
      </c>
      <c r="W214" s="195" t="s">
        <v>283</v>
      </c>
      <c r="X214" s="195" t="s">
        <v>283</v>
      </c>
      <c r="Y214" s="195" t="s">
        <v>283</v>
      </c>
      <c r="Z214" s="195" t="s">
        <v>284</v>
      </c>
    </row>
    <row r="216" spans="1:26">
      <c r="C216" s="202" t="str">
        <f>CONCATENATE(L216,M216,N216,O216,P216,Q216,R216,S216,T216,R217,S217)</f>
        <v>Table 1D US Refinery GatePrices, $/Gal:2004PADD , 5</v>
      </c>
      <c r="L216" s="195" t="s">
        <v>266</v>
      </c>
      <c r="M216" s="195" t="s">
        <v>267</v>
      </c>
      <c r="N216" s="195" t="s">
        <v>268</v>
      </c>
      <c r="O216" s="195" t="s">
        <v>269</v>
      </c>
      <c r="P216" s="195" t="s">
        <v>270</v>
      </c>
      <c r="Q216" s="195" t="s">
        <v>271</v>
      </c>
      <c r="R216" s="195" t="s">
        <v>272</v>
      </c>
      <c r="S216" s="195" t="s">
        <v>273</v>
      </c>
      <c r="T216" s="195">
        <v>4</v>
      </c>
    </row>
    <row r="217" spans="1:26">
      <c r="R217" s="195" t="s">
        <v>274</v>
      </c>
      <c r="S217" s="195" t="s">
        <v>289</v>
      </c>
    </row>
    <row r="218" spans="1:26">
      <c r="A218" s="195" t="s">
        <v>276</v>
      </c>
      <c r="B218" s="195" t="s">
        <v>277</v>
      </c>
      <c r="C218" s="195">
        <v>11006</v>
      </c>
      <c r="D218" s="195" t="s">
        <v>278</v>
      </c>
      <c r="E218" s="195" t="s">
        <v>279</v>
      </c>
      <c r="F218" s="195" t="s">
        <v>280</v>
      </c>
    </row>
    <row r="219" spans="1:26">
      <c r="A219" s="195" t="s">
        <v>281</v>
      </c>
      <c r="B219" s="195" t="s">
        <v>282</v>
      </c>
      <c r="C219" s="195" t="s">
        <v>283</v>
      </c>
      <c r="D219" s="195" t="s">
        <v>283</v>
      </c>
      <c r="E219" s="195" t="s">
        <v>283</v>
      </c>
      <c r="F219" s="195" t="s">
        <v>283</v>
      </c>
      <c r="G219" s="195" t="s">
        <v>283</v>
      </c>
      <c r="H219" s="195" t="s">
        <v>283</v>
      </c>
      <c r="I219" s="195" t="s">
        <v>283</v>
      </c>
      <c r="J219" s="195" t="s">
        <v>283</v>
      </c>
      <c r="K219" s="195" t="s">
        <v>283</v>
      </c>
      <c r="L219" s="195" t="s">
        <v>283</v>
      </c>
      <c r="M219" s="195" t="s">
        <v>283</v>
      </c>
      <c r="N219" s="195" t="s">
        <v>283</v>
      </c>
      <c r="O219" s="195" t="s">
        <v>283</v>
      </c>
      <c r="P219" s="195" t="s">
        <v>283</v>
      </c>
      <c r="Q219" s="195" t="s">
        <v>283</v>
      </c>
      <c r="R219" s="195" t="s">
        <v>283</v>
      </c>
      <c r="S219" s="195" t="s">
        <v>283</v>
      </c>
      <c r="T219" s="195" t="s">
        <v>283</v>
      </c>
      <c r="U219" s="195" t="s">
        <v>283</v>
      </c>
      <c r="V219" s="195" t="s">
        <v>283</v>
      </c>
      <c r="W219" s="195" t="s">
        <v>283</v>
      </c>
      <c r="X219" s="195" t="s">
        <v>283</v>
      </c>
      <c r="Y219" s="195" t="s">
        <v>283</v>
      </c>
      <c r="Z219" s="195" t="s">
        <v>284</v>
      </c>
    </row>
    <row r="220" spans="1:26">
      <c r="C220" s="195">
        <v>2007</v>
      </c>
      <c r="D220" s="195">
        <v>2008</v>
      </c>
      <c r="E220" s="195">
        <v>2009</v>
      </c>
      <c r="F220" s="195">
        <v>2010</v>
      </c>
      <c r="G220" s="195">
        <v>2011</v>
      </c>
      <c r="H220" s="195">
        <v>2012</v>
      </c>
      <c r="I220" s="195">
        <v>2013</v>
      </c>
      <c r="J220" s="195">
        <v>2014</v>
      </c>
      <c r="K220" s="195">
        <v>2015</v>
      </c>
      <c r="L220" s="195">
        <v>2016</v>
      </c>
      <c r="M220" s="195">
        <v>2017</v>
      </c>
      <c r="N220" s="195">
        <v>2018</v>
      </c>
      <c r="O220" s="195">
        <v>2019</v>
      </c>
      <c r="P220" s="195">
        <v>2020</v>
      </c>
      <c r="Q220" s="195">
        <v>2021</v>
      </c>
      <c r="R220" s="195">
        <v>2022</v>
      </c>
      <c r="S220" s="195">
        <v>2023</v>
      </c>
      <c r="T220" s="195">
        <v>2024</v>
      </c>
      <c r="U220" s="195">
        <v>2025</v>
      </c>
      <c r="V220" s="195">
        <v>2026</v>
      </c>
      <c r="W220" s="195">
        <v>2027</v>
      </c>
      <c r="X220" s="195">
        <v>2028</v>
      </c>
      <c r="Y220" s="195">
        <v>2029</v>
      </c>
      <c r="Z220" s="195">
        <v>2030</v>
      </c>
    </row>
    <row r="221" spans="1:26">
      <c r="A221" s="195" t="s">
        <v>281</v>
      </c>
      <c r="B221" s="195" t="s">
        <v>282</v>
      </c>
      <c r="C221" s="195" t="s">
        <v>283</v>
      </c>
      <c r="D221" s="195" t="s">
        <v>283</v>
      </c>
      <c r="E221" s="195" t="s">
        <v>283</v>
      </c>
      <c r="F221" s="195" t="s">
        <v>283</v>
      </c>
      <c r="G221" s="195" t="s">
        <v>283</v>
      </c>
      <c r="H221" s="195" t="s">
        <v>283</v>
      </c>
      <c r="I221" s="195" t="s">
        <v>283</v>
      </c>
      <c r="J221" s="195" t="s">
        <v>283</v>
      </c>
      <c r="K221" s="195" t="s">
        <v>283</v>
      </c>
      <c r="L221" s="195" t="s">
        <v>283</v>
      </c>
      <c r="M221" s="195" t="s">
        <v>283</v>
      </c>
      <c r="N221" s="195" t="s">
        <v>283</v>
      </c>
      <c r="O221" s="195" t="s">
        <v>283</v>
      </c>
      <c r="P221" s="195" t="s">
        <v>283</v>
      </c>
      <c r="Q221" s="195" t="s">
        <v>283</v>
      </c>
      <c r="R221" s="195" t="s">
        <v>283</v>
      </c>
      <c r="S221" s="195" t="s">
        <v>283</v>
      </c>
      <c r="T221" s="195" t="s">
        <v>283</v>
      </c>
      <c r="U221" s="195" t="s">
        <v>283</v>
      </c>
      <c r="V221" s="195" t="s">
        <v>283</v>
      </c>
      <c r="W221" s="195" t="s">
        <v>283</v>
      </c>
      <c r="X221" s="195" t="s">
        <v>283</v>
      </c>
      <c r="Y221" s="195" t="s">
        <v>283</v>
      </c>
      <c r="Z221" s="195" t="s">
        <v>284</v>
      </c>
    </row>
    <row r="222" spans="1:26">
      <c r="A222" s="195" t="s">
        <v>197</v>
      </c>
      <c r="B222" s="195" t="s">
        <v>285</v>
      </c>
      <c r="C222" s="195">
        <v>1.736</v>
      </c>
      <c r="D222" s="195">
        <v>1.8</v>
      </c>
      <c r="E222" s="195">
        <v>1.714</v>
      </c>
      <c r="F222" s="195">
        <v>1.585</v>
      </c>
      <c r="G222" s="195">
        <v>1.6220000000000001</v>
      </c>
      <c r="H222" s="195">
        <v>1.607</v>
      </c>
      <c r="I222" s="195">
        <v>1.597</v>
      </c>
      <c r="J222" s="195">
        <v>1.5549999999999999</v>
      </c>
      <c r="K222" s="195">
        <v>1.605</v>
      </c>
      <c r="L222" s="195">
        <v>1.5760000000000001</v>
      </c>
      <c r="M222" s="195">
        <v>1.619</v>
      </c>
      <c r="N222" s="195">
        <v>1.609</v>
      </c>
      <c r="O222" s="195">
        <v>1.623</v>
      </c>
      <c r="P222" s="195">
        <v>1.641</v>
      </c>
      <c r="Q222" s="195">
        <v>1.665</v>
      </c>
      <c r="R222" s="195">
        <v>1.6879999999999999</v>
      </c>
      <c r="S222" s="195">
        <v>1.7010000000000001</v>
      </c>
      <c r="T222" s="195">
        <v>1.7090000000000001</v>
      </c>
      <c r="U222" s="195">
        <v>1.7170000000000001</v>
      </c>
      <c r="V222" s="195">
        <v>1.732</v>
      </c>
      <c r="W222" s="195">
        <v>1.738</v>
      </c>
      <c r="X222" s="195">
        <v>1.752</v>
      </c>
      <c r="Y222" s="195">
        <v>1.7609999999999999</v>
      </c>
      <c r="Z222" s="195">
        <v>1.7709999999999999</v>
      </c>
    </row>
    <row r="223" spans="1:26">
      <c r="A223" s="195" t="s">
        <v>198</v>
      </c>
      <c r="B223" s="195" t="s">
        <v>285</v>
      </c>
      <c r="C223" s="195">
        <v>1.675</v>
      </c>
      <c r="D223" s="195">
        <v>1.6919999999999999</v>
      </c>
      <c r="E223" s="195">
        <v>1.627</v>
      </c>
      <c r="F223" s="195">
        <v>1.4770000000000001</v>
      </c>
      <c r="G223" s="195">
        <v>1.516</v>
      </c>
      <c r="H223" s="195">
        <v>1.4710000000000001</v>
      </c>
      <c r="I223" s="195">
        <v>1.4710000000000001</v>
      </c>
      <c r="J223" s="195">
        <v>1.4379999999999999</v>
      </c>
      <c r="K223" s="195">
        <v>1.4970000000000001</v>
      </c>
      <c r="L223" s="195">
        <v>1.4770000000000001</v>
      </c>
      <c r="M223" s="195">
        <v>1.522</v>
      </c>
      <c r="N223" s="195">
        <v>1.512</v>
      </c>
      <c r="O223" s="195">
        <v>1.5249999999999999</v>
      </c>
      <c r="P223" s="195">
        <v>1.5429999999999999</v>
      </c>
      <c r="Q223" s="195">
        <v>1.573</v>
      </c>
      <c r="R223" s="195">
        <v>1.5820000000000001</v>
      </c>
      <c r="S223" s="195">
        <v>1.595</v>
      </c>
      <c r="T223" s="195">
        <v>1.589</v>
      </c>
      <c r="U223" s="195">
        <v>1.577</v>
      </c>
      <c r="V223" s="195">
        <v>1.609</v>
      </c>
      <c r="W223" s="195">
        <v>1.613</v>
      </c>
      <c r="X223" s="195">
        <v>1.6339999999999999</v>
      </c>
      <c r="Y223" s="195">
        <v>1.6459999999999999</v>
      </c>
      <c r="Z223" s="195">
        <v>1.6579999999999999</v>
      </c>
    </row>
    <row r="224" spans="1:26">
      <c r="A224" s="195" t="s">
        <v>199</v>
      </c>
      <c r="B224" s="195" t="s">
        <v>285</v>
      </c>
      <c r="C224" s="195">
        <v>1.774</v>
      </c>
      <c r="D224" s="195">
        <v>1.849</v>
      </c>
      <c r="E224" s="195">
        <v>1.754</v>
      </c>
      <c r="F224" s="195">
        <v>1.6240000000000001</v>
      </c>
      <c r="G224" s="195">
        <v>1.6579999999999999</v>
      </c>
      <c r="H224" s="195">
        <v>1.65</v>
      </c>
      <c r="I224" s="195">
        <v>1.635</v>
      </c>
      <c r="J224" s="195">
        <v>1.587</v>
      </c>
      <c r="K224" s="195">
        <v>1.6339999999999999</v>
      </c>
      <c r="L224" s="195">
        <v>1.6020000000000001</v>
      </c>
      <c r="M224" s="195">
        <v>1.645</v>
      </c>
      <c r="N224" s="195">
        <v>1.633</v>
      </c>
      <c r="O224" s="195">
        <v>1.645</v>
      </c>
      <c r="P224" s="195">
        <v>1.665</v>
      </c>
      <c r="Q224" s="195">
        <v>1.6819999999999999</v>
      </c>
      <c r="R224" s="195">
        <v>1.7090000000000001</v>
      </c>
      <c r="S224" s="195">
        <v>1.722</v>
      </c>
      <c r="T224" s="195">
        <v>1.734</v>
      </c>
      <c r="U224" s="195">
        <v>1.7470000000000001</v>
      </c>
      <c r="V224" s="195">
        <v>1.7569999999999999</v>
      </c>
      <c r="W224" s="195">
        <v>1.764</v>
      </c>
      <c r="X224" s="195">
        <v>1.7749999999999999</v>
      </c>
      <c r="Y224" s="195">
        <v>1.7829999999999999</v>
      </c>
      <c r="Z224" s="195">
        <v>1.792</v>
      </c>
    </row>
    <row r="225" spans="1:26">
      <c r="A225" s="195" t="s">
        <v>200</v>
      </c>
      <c r="B225" s="195" t="s">
        <v>285</v>
      </c>
      <c r="C225" s="195">
        <v>1.1579999999999999</v>
      </c>
      <c r="D225" s="195">
        <v>1.2789999999999999</v>
      </c>
      <c r="E225" s="195">
        <v>1.2809999999999999</v>
      </c>
      <c r="F225" s="195">
        <v>1.236</v>
      </c>
      <c r="G225" s="195">
        <v>1.27</v>
      </c>
      <c r="H225" s="195">
        <v>1.2669999999999999</v>
      </c>
      <c r="I225" s="195">
        <v>1.2589999999999999</v>
      </c>
      <c r="J225" s="195">
        <v>1.232</v>
      </c>
      <c r="K225" s="195">
        <v>1.26</v>
      </c>
      <c r="L225" s="195">
        <v>1.1970000000000001</v>
      </c>
      <c r="M225" s="195">
        <v>1.2250000000000001</v>
      </c>
      <c r="N225" s="195">
        <v>1.2130000000000001</v>
      </c>
      <c r="O225" s="195">
        <v>1.3109999999999999</v>
      </c>
      <c r="P225" s="195">
        <v>1.2450000000000001</v>
      </c>
      <c r="Q225" s="195">
        <v>1.3759999999999999</v>
      </c>
      <c r="R225" s="195">
        <v>1.395</v>
      </c>
      <c r="S225" s="195">
        <v>1.4179999999999999</v>
      </c>
      <c r="T225" s="195">
        <v>1.4279999999999999</v>
      </c>
      <c r="U225" s="195">
        <v>1.425</v>
      </c>
      <c r="V225" s="195">
        <v>1.4530000000000001</v>
      </c>
      <c r="W225" s="195">
        <v>1.4590000000000001</v>
      </c>
      <c r="X225" s="195">
        <v>1.4750000000000001</v>
      </c>
      <c r="Y225" s="195">
        <v>1.48</v>
      </c>
      <c r="Z225" s="195">
        <v>1.5009999999999999</v>
      </c>
    </row>
    <row r="226" spans="1:26">
      <c r="A226" s="195" t="s">
        <v>461</v>
      </c>
      <c r="B226" s="195" t="s">
        <v>285</v>
      </c>
      <c r="C226" s="195">
        <v>1.774</v>
      </c>
      <c r="D226" s="195">
        <v>1.849</v>
      </c>
      <c r="E226" s="195">
        <v>1.754</v>
      </c>
      <c r="F226" s="195">
        <v>1.643</v>
      </c>
      <c r="G226" s="195">
        <v>1.6930000000000001</v>
      </c>
      <c r="H226" s="195">
        <v>1.6970000000000001</v>
      </c>
      <c r="I226" s="195">
        <v>1.6919999999999999</v>
      </c>
      <c r="J226" s="195">
        <v>1.6519999999999999</v>
      </c>
      <c r="K226" s="195">
        <v>1.706</v>
      </c>
      <c r="L226" s="195">
        <v>1.68</v>
      </c>
      <c r="M226" s="195">
        <v>1.7270000000000001</v>
      </c>
      <c r="N226" s="195">
        <v>1.72</v>
      </c>
      <c r="O226" s="195">
        <v>1.734</v>
      </c>
      <c r="P226" s="195">
        <v>1.7569999999999999</v>
      </c>
      <c r="Q226" s="195">
        <v>1.778</v>
      </c>
      <c r="R226" s="195">
        <v>1.8069999999999999</v>
      </c>
      <c r="S226" s="195">
        <v>1.821</v>
      </c>
      <c r="T226" s="195">
        <v>1.835</v>
      </c>
      <c r="U226" s="195">
        <v>1.85</v>
      </c>
      <c r="V226" s="195">
        <v>1.86</v>
      </c>
      <c r="W226" s="195">
        <v>1.869</v>
      </c>
      <c r="X226" s="195">
        <v>1.88</v>
      </c>
      <c r="Y226" s="195">
        <v>1.89</v>
      </c>
      <c r="Z226" s="195">
        <v>1.899</v>
      </c>
    </row>
    <row r="227" spans="1:26">
      <c r="A227" s="195" t="s">
        <v>201</v>
      </c>
      <c r="B227" s="195" t="s">
        <v>285</v>
      </c>
      <c r="C227" s="195">
        <v>1.2390000000000001</v>
      </c>
      <c r="D227" s="195">
        <v>1.1970000000000001</v>
      </c>
      <c r="E227" s="195">
        <v>1.137</v>
      </c>
      <c r="F227" s="195">
        <v>1.1140000000000001</v>
      </c>
      <c r="G227" s="195">
        <v>1.1240000000000001</v>
      </c>
      <c r="H227" s="195">
        <v>1.133</v>
      </c>
      <c r="I227" s="195">
        <v>1.113</v>
      </c>
      <c r="J227" s="195">
        <v>1.115</v>
      </c>
      <c r="K227" s="195">
        <v>1.143</v>
      </c>
      <c r="L227" s="195">
        <v>1.143</v>
      </c>
      <c r="M227" s="195">
        <v>1.153</v>
      </c>
      <c r="N227" s="195">
        <v>1.17</v>
      </c>
      <c r="O227" s="195">
        <v>1.179</v>
      </c>
      <c r="P227" s="195">
        <v>1.208</v>
      </c>
      <c r="Q227" s="195">
        <v>1.216</v>
      </c>
      <c r="R227" s="195">
        <v>1.2390000000000001</v>
      </c>
      <c r="S227" s="195">
        <v>1.258</v>
      </c>
      <c r="T227" s="195">
        <v>1.2629999999999999</v>
      </c>
      <c r="U227" s="195">
        <v>1.282</v>
      </c>
      <c r="V227" s="195">
        <v>1.298</v>
      </c>
      <c r="W227" s="195">
        <v>1.325</v>
      </c>
      <c r="X227" s="195">
        <v>1.3420000000000001</v>
      </c>
      <c r="Y227" s="195">
        <v>1.361</v>
      </c>
      <c r="Z227" s="195">
        <v>1.3640000000000001</v>
      </c>
    </row>
    <row r="228" spans="1:26">
      <c r="A228" s="195" t="s">
        <v>202</v>
      </c>
      <c r="B228" s="195" t="s">
        <v>285</v>
      </c>
      <c r="C228" s="195">
        <v>1.2909999999999999</v>
      </c>
      <c r="D228" s="195">
        <v>1.28</v>
      </c>
      <c r="E228" s="195">
        <v>1.242</v>
      </c>
      <c r="F228" s="195">
        <v>1.204</v>
      </c>
      <c r="G228" s="195">
        <v>1.208</v>
      </c>
      <c r="H228" s="195">
        <v>1.1970000000000001</v>
      </c>
      <c r="I228" s="195">
        <v>0</v>
      </c>
      <c r="J228" s="195">
        <v>0</v>
      </c>
      <c r="K228" s="195">
        <v>0</v>
      </c>
      <c r="L228" s="195">
        <v>0</v>
      </c>
      <c r="M228" s="195">
        <v>0</v>
      </c>
      <c r="N228" s="195">
        <v>0</v>
      </c>
      <c r="O228" s="195">
        <v>0</v>
      </c>
      <c r="P228" s="195">
        <v>0</v>
      </c>
      <c r="Q228" s="195">
        <v>0</v>
      </c>
      <c r="R228" s="195">
        <v>0</v>
      </c>
      <c r="S228" s="195">
        <v>0</v>
      </c>
      <c r="T228" s="195">
        <v>0</v>
      </c>
      <c r="U228" s="195">
        <v>0</v>
      </c>
      <c r="V228" s="195">
        <v>0</v>
      </c>
      <c r="W228" s="195">
        <v>0</v>
      </c>
      <c r="X228" s="195">
        <v>0</v>
      </c>
      <c r="Y228" s="195">
        <v>0</v>
      </c>
      <c r="Z228" s="195">
        <v>0</v>
      </c>
    </row>
    <row r="229" spans="1:26">
      <c r="A229" s="195" t="s">
        <v>203</v>
      </c>
      <c r="B229" s="195" t="s">
        <v>285</v>
      </c>
      <c r="C229" s="195">
        <v>1.319</v>
      </c>
      <c r="D229" s="195">
        <v>1.325</v>
      </c>
      <c r="E229" s="195">
        <v>1.2949999999999999</v>
      </c>
      <c r="F229" s="195">
        <v>1.278</v>
      </c>
      <c r="G229" s="195">
        <v>1.296</v>
      </c>
      <c r="H229" s="195">
        <v>1.2909999999999999</v>
      </c>
      <c r="I229" s="195">
        <v>1.331</v>
      </c>
      <c r="J229" s="195">
        <v>1.323</v>
      </c>
      <c r="K229" s="195">
        <v>1.321</v>
      </c>
      <c r="L229" s="195">
        <v>1.319</v>
      </c>
      <c r="M229" s="195">
        <v>1.3169999999999999</v>
      </c>
      <c r="N229" s="195">
        <v>1.4159999999999999</v>
      </c>
      <c r="O229" s="195">
        <v>1.3009999999999999</v>
      </c>
      <c r="P229" s="195">
        <v>1.369</v>
      </c>
      <c r="Q229" s="195">
        <v>1.383</v>
      </c>
      <c r="R229" s="195">
        <v>1.3660000000000001</v>
      </c>
      <c r="S229" s="195">
        <v>1.3740000000000001</v>
      </c>
      <c r="T229" s="195">
        <v>1.3959999999999999</v>
      </c>
      <c r="U229" s="195">
        <v>1.492</v>
      </c>
      <c r="V229" s="195">
        <v>1.512</v>
      </c>
      <c r="W229" s="195">
        <v>1.4950000000000001</v>
      </c>
      <c r="X229" s="195">
        <v>1.5089999999999999</v>
      </c>
      <c r="Y229" s="195">
        <v>1.524</v>
      </c>
      <c r="Z229" s="195">
        <v>1.554</v>
      </c>
    </row>
    <row r="230" spans="1:26">
      <c r="A230" s="195" t="s">
        <v>204</v>
      </c>
      <c r="B230" s="195" t="s">
        <v>285</v>
      </c>
      <c r="C230" s="195">
        <v>1.246</v>
      </c>
      <c r="D230" s="195">
        <v>1.2509999999999999</v>
      </c>
      <c r="E230" s="195">
        <v>1.2250000000000001</v>
      </c>
      <c r="F230" s="195">
        <v>1.1819999999999999</v>
      </c>
      <c r="G230" s="195">
        <v>1.1919999999999999</v>
      </c>
      <c r="H230" s="195">
        <v>1.1830000000000001</v>
      </c>
      <c r="I230" s="195">
        <v>1.1879999999999999</v>
      </c>
      <c r="J230" s="195">
        <v>1.179</v>
      </c>
      <c r="K230" s="195">
        <v>1.1839999999999999</v>
      </c>
      <c r="L230" s="195">
        <v>1.1930000000000001</v>
      </c>
      <c r="M230" s="195">
        <v>1.196</v>
      </c>
      <c r="N230" s="195">
        <v>1.256</v>
      </c>
      <c r="O230" s="195">
        <v>1.218</v>
      </c>
      <c r="P230" s="195">
        <v>1.2649999999999999</v>
      </c>
      <c r="Q230" s="195">
        <v>1.2789999999999999</v>
      </c>
      <c r="R230" s="195">
        <v>1.2849999999999999</v>
      </c>
      <c r="S230" s="195">
        <v>1.2909999999999999</v>
      </c>
      <c r="T230" s="195">
        <v>1.298</v>
      </c>
      <c r="U230" s="195">
        <v>1.3640000000000001</v>
      </c>
      <c r="V230" s="195">
        <v>1.37</v>
      </c>
      <c r="W230" s="195">
        <v>1.38</v>
      </c>
      <c r="X230" s="195">
        <v>1.397</v>
      </c>
      <c r="Y230" s="195">
        <v>1.425</v>
      </c>
      <c r="Z230" s="195">
        <v>1.423</v>
      </c>
    </row>
    <row r="231" spans="1:26">
      <c r="A231" s="195" t="s">
        <v>205</v>
      </c>
      <c r="B231" s="195" t="s">
        <v>285</v>
      </c>
      <c r="C231" s="195">
        <v>1.2390000000000001</v>
      </c>
      <c r="D231" s="195">
        <v>1.1970000000000001</v>
      </c>
      <c r="E231" s="195">
        <v>1.137</v>
      </c>
      <c r="F231" s="195">
        <v>1.1140000000000001</v>
      </c>
      <c r="G231" s="195">
        <v>1.1240000000000001</v>
      </c>
      <c r="H231" s="195">
        <v>1.133</v>
      </c>
      <c r="I231" s="195">
        <v>1.113</v>
      </c>
      <c r="J231" s="195">
        <v>1.115</v>
      </c>
      <c r="K231" s="195">
        <v>1.143</v>
      </c>
      <c r="L231" s="195">
        <v>1.143</v>
      </c>
      <c r="M231" s="195">
        <v>1.153</v>
      </c>
      <c r="N231" s="195">
        <v>1.17</v>
      </c>
      <c r="O231" s="195">
        <v>1.179</v>
      </c>
      <c r="P231" s="195">
        <v>1.208</v>
      </c>
      <c r="Q231" s="195">
        <v>1.216</v>
      </c>
      <c r="R231" s="195">
        <v>1.2390000000000001</v>
      </c>
      <c r="S231" s="195">
        <v>1.258</v>
      </c>
      <c r="T231" s="195">
        <v>1.2629999999999999</v>
      </c>
      <c r="U231" s="195">
        <v>1.282</v>
      </c>
      <c r="V231" s="195">
        <v>1.298</v>
      </c>
      <c r="W231" s="195">
        <v>1.325</v>
      </c>
      <c r="X231" s="195">
        <v>1.3420000000000001</v>
      </c>
      <c r="Y231" s="195">
        <v>1.361</v>
      </c>
      <c r="Z231" s="195">
        <v>1.3640000000000001</v>
      </c>
    </row>
    <row r="232" spans="1:26">
      <c r="A232" s="195" t="s">
        <v>206</v>
      </c>
      <c r="B232" s="195" t="s">
        <v>285</v>
      </c>
      <c r="C232" s="195">
        <v>0.33400000000000002</v>
      </c>
      <c r="D232" s="195">
        <v>0.25900000000000001</v>
      </c>
      <c r="E232" s="195">
        <v>0.36299999999999999</v>
      </c>
      <c r="F232" s="195">
        <v>0.496</v>
      </c>
      <c r="G232" s="195">
        <v>0.59099999999999997</v>
      </c>
      <c r="H232" s="195">
        <v>0.54700000000000004</v>
      </c>
      <c r="I232" s="195">
        <v>0.61899999999999999</v>
      </c>
      <c r="J232" s="195">
        <v>0.61699999999999999</v>
      </c>
      <c r="K232" s="195">
        <v>0.51800000000000002</v>
      </c>
      <c r="L232" s="195">
        <v>0.28299999999999997</v>
      </c>
      <c r="M232" s="195">
        <v>0.191</v>
      </c>
      <c r="N232" s="195">
        <v>0.19700000000000001</v>
      </c>
      <c r="O232" s="195">
        <v>0.30499999999999999</v>
      </c>
      <c r="P232" s="195">
        <v>0.30299999999999999</v>
      </c>
      <c r="Q232" s="195">
        <v>0.374</v>
      </c>
      <c r="R232" s="195">
        <v>0.437</v>
      </c>
      <c r="S232" s="195">
        <v>0.43</v>
      </c>
      <c r="T232" s="195">
        <v>0.47399999999999998</v>
      </c>
      <c r="U232" s="195">
        <v>0.52700000000000002</v>
      </c>
      <c r="V232" s="195">
        <v>0.51700000000000002</v>
      </c>
      <c r="W232" s="195">
        <v>0.53700000000000003</v>
      </c>
      <c r="X232" s="195">
        <v>0.51800000000000002</v>
      </c>
      <c r="Y232" s="195">
        <v>0.57699999999999996</v>
      </c>
      <c r="Z232" s="195">
        <v>0.52200000000000002</v>
      </c>
    </row>
    <row r="233" spans="1:26">
      <c r="A233" s="195" t="s">
        <v>207</v>
      </c>
      <c r="B233" s="195" t="s">
        <v>285</v>
      </c>
      <c r="C233" s="195">
        <v>0.121</v>
      </c>
      <c r="D233" s="195">
        <v>0.115</v>
      </c>
      <c r="E233" s="195">
        <v>0.109</v>
      </c>
      <c r="F233" s="195">
        <v>0.10299999999999999</v>
      </c>
      <c r="G233" s="195">
        <v>0.10299999999999999</v>
      </c>
      <c r="H233" s="195">
        <v>0.10199999999999999</v>
      </c>
      <c r="I233" s="195">
        <v>0.10199999999999999</v>
      </c>
      <c r="J233" s="195">
        <v>0.10100000000000001</v>
      </c>
      <c r="K233" s="195">
        <v>0.10100000000000001</v>
      </c>
      <c r="L233" s="195">
        <v>0.10199999999999999</v>
      </c>
      <c r="M233" s="195">
        <v>0.10299999999999999</v>
      </c>
      <c r="N233" s="195">
        <v>0.10299999999999999</v>
      </c>
      <c r="O233" s="195">
        <v>0.104</v>
      </c>
      <c r="P233" s="195">
        <v>0.105</v>
      </c>
      <c r="Q233" s="195">
        <v>0.107</v>
      </c>
      <c r="R233" s="195">
        <v>0.108</v>
      </c>
      <c r="S233" s="195">
        <v>0.11</v>
      </c>
      <c r="T233" s="195">
        <v>0.111</v>
      </c>
      <c r="U233" s="195">
        <v>0.113</v>
      </c>
      <c r="V233" s="195">
        <v>0.113</v>
      </c>
      <c r="W233" s="195">
        <v>0.114</v>
      </c>
      <c r="X233" s="195">
        <v>0.115</v>
      </c>
      <c r="Y233" s="195">
        <v>0.11600000000000001</v>
      </c>
      <c r="Z233" s="195">
        <v>0.11700000000000001</v>
      </c>
    </row>
    <row r="234" spans="1:26">
      <c r="A234" s="195" t="s">
        <v>208</v>
      </c>
      <c r="B234" s="195" t="s">
        <v>285</v>
      </c>
      <c r="C234" s="195">
        <v>1.0529999999999999</v>
      </c>
      <c r="D234" s="195">
        <v>1.0269999999999999</v>
      </c>
      <c r="E234" s="195">
        <v>0.93</v>
      </c>
      <c r="F234" s="195">
        <v>0.94199999999999995</v>
      </c>
      <c r="G234" s="195">
        <v>0.96199999999999997</v>
      </c>
      <c r="H234" s="195">
        <v>0.96599999999999997</v>
      </c>
      <c r="I234" s="195">
        <v>0.93899999999999995</v>
      </c>
      <c r="J234" s="195">
        <v>0.93400000000000005</v>
      </c>
      <c r="K234" s="195">
        <v>0.97099999999999997</v>
      </c>
      <c r="L234" s="195">
        <v>0.96</v>
      </c>
      <c r="M234" s="195">
        <v>0.97199999999999998</v>
      </c>
      <c r="N234" s="195">
        <v>0.95799999999999996</v>
      </c>
      <c r="O234" s="195">
        <v>0.98099999999999998</v>
      </c>
      <c r="P234" s="195">
        <v>1.002</v>
      </c>
      <c r="Q234" s="195">
        <v>1.008</v>
      </c>
      <c r="R234" s="195">
        <v>1.032</v>
      </c>
      <c r="S234" s="195">
        <v>0</v>
      </c>
      <c r="T234" s="195">
        <v>1.0660000000000001</v>
      </c>
      <c r="U234" s="195">
        <v>1.0820000000000001</v>
      </c>
      <c r="V234" s="195">
        <v>0</v>
      </c>
      <c r="W234" s="195">
        <v>0</v>
      </c>
      <c r="X234" s="195">
        <v>0</v>
      </c>
      <c r="Y234" s="195">
        <v>1.165</v>
      </c>
      <c r="Z234" s="195">
        <v>1.1719999999999999</v>
      </c>
    </row>
    <row r="235" spans="1:26">
      <c r="A235" s="195" t="s">
        <v>209</v>
      </c>
      <c r="B235" s="195" t="s">
        <v>285</v>
      </c>
      <c r="C235" s="195">
        <v>0.99099999999999999</v>
      </c>
      <c r="D235" s="195">
        <v>0.96899999999999997</v>
      </c>
      <c r="E235" s="195">
        <v>0.872</v>
      </c>
      <c r="F235" s="195">
        <v>0.92500000000000004</v>
      </c>
      <c r="G235" s="195">
        <v>0.91800000000000004</v>
      </c>
      <c r="H235" s="195">
        <v>0.92</v>
      </c>
      <c r="I235" s="195">
        <v>0.89</v>
      </c>
      <c r="J235" s="195">
        <v>0.88600000000000001</v>
      </c>
      <c r="K235" s="195">
        <v>0.91100000000000003</v>
      </c>
      <c r="L235" s="195">
        <v>0.90200000000000002</v>
      </c>
      <c r="M235" s="195">
        <v>0.91</v>
      </c>
      <c r="N235" s="195">
        <v>0.88600000000000001</v>
      </c>
      <c r="O235" s="195">
        <v>0.91900000000000004</v>
      </c>
      <c r="P235" s="195">
        <v>0.92300000000000004</v>
      </c>
      <c r="Q235" s="195">
        <v>0.94099999999999995</v>
      </c>
      <c r="R235" s="195">
        <v>0.96299999999999997</v>
      </c>
      <c r="S235" s="195">
        <v>1.0169999999999999</v>
      </c>
      <c r="T235" s="195">
        <v>0.996</v>
      </c>
      <c r="U235" s="195">
        <v>1.0089999999999999</v>
      </c>
      <c r="V235" s="195">
        <v>1.048</v>
      </c>
      <c r="W235" s="195">
        <v>1.0780000000000001</v>
      </c>
      <c r="X235" s="195">
        <v>1.089</v>
      </c>
      <c r="Y235" s="195">
        <v>1.1240000000000001</v>
      </c>
      <c r="Z235" s="195">
        <v>1.1339999999999999</v>
      </c>
    </row>
    <row r="236" spans="1:26">
      <c r="A236" s="195" t="s">
        <v>210</v>
      </c>
      <c r="B236" s="195" t="s">
        <v>285</v>
      </c>
      <c r="C236" s="195">
        <v>0.95899999999999996</v>
      </c>
      <c r="D236" s="195">
        <v>0.95</v>
      </c>
      <c r="E236" s="195">
        <v>0.85799999999999998</v>
      </c>
      <c r="F236" s="195">
        <v>0.92100000000000004</v>
      </c>
      <c r="G236" s="195">
        <v>0.89500000000000002</v>
      </c>
      <c r="H236" s="195">
        <v>0.89</v>
      </c>
      <c r="I236" s="195">
        <v>0.85799999999999998</v>
      </c>
      <c r="J236" s="195">
        <v>0.85499999999999998</v>
      </c>
      <c r="K236" s="195">
        <v>0.86799999999999999</v>
      </c>
      <c r="L236" s="195">
        <v>0.85</v>
      </c>
      <c r="M236" s="195">
        <v>0.86099999999999999</v>
      </c>
      <c r="N236" s="195">
        <v>0.82399999999999995</v>
      </c>
      <c r="O236" s="195">
        <v>0.86599999999999999</v>
      </c>
      <c r="P236" s="195">
        <v>0.85299999999999998</v>
      </c>
      <c r="Q236" s="195">
        <v>0.88</v>
      </c>
      <c r="R236" s="195">
        <v>0.90200000000000002</v>
      </c>
      <c r="S236" s="195">
        <v>0.96799999999999997</v>
      </c>
      <c r="T236" s="195">
        <v>0.93700000000000006</v>
      </c>
      <c r="U236" s="195">
        <v>0.94399999999999995</v>
      </c>
      <c r="V236" s="195">
        <v>0.97799999999999998</v>
      </c>
      <c r="W236" s="195">
        <v>1.006</v>
      </c>
      <c r="X236" s="195">
        <v>1.0209999999999999</v>
      </c>
      <c r="Y236" s="195">
        <v>1.083</v>
      </c>
      <c r="Z236" s="195">
        <v>1.097</v>
      </c>
    </row>
    <row r="237" spans="1:26">
      <c r="A237" s="195" t="s">
        <v>211</v>
      </c>
      <c r="B237" s="195" t="s">
        <v>285</v>
      </c>
      <c r="C237" s="195">
        <v>0.62</v>
      </c>
      <c r="D237" s="195">
        <v>0.52800000000000002</v>
      </c>
      <c r="E237" s="195">
        <v>0.44900000000000001</v>
      </c>
      <c r="F237" s="195">
        <v>0.45400000000000001</v>
      </c>
      <c r="G237" s="195">
        <v>0.33800000000000002</v>
      </c>
      <c r="H237" s="195">
        <v>0.30099999999999999</v>
      </c>
      <c r="I237" s="195">
        <v>0.26800000000000002</v>
      </c>
      <c r="J237" s="195">
        <v>0.246</v>
      </c>
      <c r="K237" s="195">
        <v>0.30499999999999999</v>
      </c>
      <c r="L237" s="195">
        <v>0.24199999999999999</v>
      </c>
      <c r="M237" s="195">
        <v>0.33700000000000002</v>
      </c>
      <c r="N237" s="195">
        <v>0.154</v>
      </c>
      <c r="O237" s="195">
        <v>0.22500000000000001</v>
      </c>
      <c r="P237" s="195">
        <v>0.124</v>
      </c>
      <c r="Q237" s="195">
        <v>0.112</v>
      </c>
      <c r="R237" s="195">
        <v>0.16800000000000001</v>
      </c>
      <c r="S237" s="195">
        <v>0.33100000000000002</v>
      </c>
      <c r="T237" s="195">
        <v>0.13900000000000001</v>
      </c>
      <c r="U237" s="195">
        <v>0.157</v>
      </c>
      <c r="V237" s="195">
        <v>0.215</v>
      </c>
      <c r="W237" s="195">
        <v>0.26200000000000001</v>
      </c>
      <c r="X237" s="195">
        <v>0.26500000000000001</v>
      </c>
      <c r="Y237" s="195">
        <v>0.42299999999999999</v>
      </c>
      <c r="Z237" s="195">
        <v>0.45900000000000002</v>
      </c>
    </row>
    <row r="238" spans="1:26">
      <c r="A238" s="195" t="s">
        <v>281</v>
      </c>
      <c r="B238" s="195" t="s">
        <v>282</v>
      </c>
      <c r="C238" s="195" t="s">
        <v>283</v>
      </c>
      <c r="D238" s="195" t="s">
        <v>283</v>
      </c>
      <c r="E238" s="195" t="s">
        <v>283</v>
      </c>
      <c r="F238" s="195" t="s">
        <v>283</v>
      </c>
      <c r="G238" s="195" t="s">
        <v>283</v>
      </c>
      <c r="H238" s="195" t="s">
        <v>283</v>
      </c>
      <c r="I238" s="195" t="s">
        <v>283</v>
      </c>
      <c r="J238" s="195" t="s">
        <v>283</v>
      </c>
      <c r="K238" s="195" t="s">
        <v>283</v>
      </c>
      <c r="L238" s="195" t="s">
        <v>283</v>
      </c>
      <c r="M238" s="195" t="s">
        <v>283</v>
      </c>
      <c r="N238" s="195" t="s">
        <v>283</v>
      </c>
      <c r="O238" s="195" t="s">
        <v>283</v>
      </c>
      <c r="P238" s="195" t="s">
        <v>283</v>
      </c>
      <c r="Q238" s="195" t="s">
        <v>283</v>
      </c>
      <c r="R238" s="195" t="s">
        <v>283</v>
      </c>
      <c r="S238" s="195" t="s">
        <v>283</v>
      </c>
      <c r="T238" s="195" t="s">
        <v>283</v>
      </c>
      <c r="U238" s="195" t="s">
        <v>283</v>
      </c>
      <c r="V238" s="195" t="s">
        <v>283</v>
      </c>
      <c r="W238" s="195" t="s">
        <v>283</v>
      </c>
      <c r="X238" s="195" t="s">
        <v>283</v>
      </c>
      <c r="Y238" s="195" t="s">
        <v>283</v>
      </c>
      <c r="Z238" s="195" t="s">
        <v>284</v>
      </c>
    </row>
    <row r="240" spans="1:26">
      <c r="C240" s="202" t="str">
        <f>CONCATENATE(L240,M240,N240,O240,P240,Q240,R240,S240,T240,R241,S241)</f>
        <v>Table 10  USRefinery Gate Prices,PADD , 1</v>
      </c>
      <c r="L240" s="195" t="s">
        <v>266</v>
      </c>
      <c r="M240" s="195" t="s">
        <v>267</v>
      </c>
      <c r="N240" s="195" t="s">
        <v>290</v>
      </c>
      <c r="O240" s="195" t="s">
        <v>291</v>
      </c>
      <c r="P240" s="195" t="s">
        <v>292</v>
      </c>
      <c r="Q240" s="195" t="s">
        <v>293</v>
      </c>
      <c r="R240" s="195" t="s">
        <v>294</v>
      </c>
    </row>
    <row r="241" spans="1:26">
      <c r="L241" s="195" t="s">
        <v>295</v>
      </c>
      <c r="M241" s="195" t="s">
        <v>296</v>
      </c>
      <c r="R241" s="195" t="s">
        <v>274</v>
      </c>
      <c r="S241" s="195" t="s">
        <v>275</v>
      </c>
    </row>
    <row r="242" spans="1:26">
      <c r="A242" s="195" t="s">
        <v>276</v>
      </c>
      <c r="B242" s="195" t="s">
        <v>277</v>
      </c>
      <c r="C242" s="195">
        <v>11006</v>
      </c>
      <c r="D242" s="195" t="s">
        <v>278</v>
      </c>
      <c r="E242" s="195" t="s">
        <v>279</v>
      </c>
      <c r="F242" s="195" t="s">
        <v>280</v>
      </c>
    </row>
    <row r="243" spans="1:26">
      <c r="A243" s="195" t="s">
        <v>281</v>
      </c>
      <c r="B243" s="195" t="s">
        <v>282</v>
      </c>
      <c r="C243" s="195" t="s">
        <v>283</v>
      </c>
      <c r="D243" s="195" t="s">
        <v>283</v>
      </c>
      <c r="E243" s="195" t="s">
        <v>283</v>
      </c>
      <c r="F243" s="195" t="s">
        <v>283</v>
      </c>
      <c r="G243" s="195" t="s">
        <v>283</v>
      </c>
      <c r="H243" s="195" t="s">
        <v>283</v>
      </c>
      <c r="I243" s="195" t="s">
        <v>283</v>
      </c>
      <c r="J243" s="195" t="s">
        <v>283</v>
      </c>
      <c r="K243" s="195" t="s">
        <v>283</v>
      </c>
      <c r="L243" s="195" t="s">
        <v>283</v>
      </c>
      <c r="M243" s="195" t="s">
        <v>283</v>
      </c>
      <c r="N243" s="195" t="s">
        <v>283</v>
      </c>
      <c r="O243" s="195" t="s">
        <v>283</v>
      </c>
      <c r="P243" s="195" t="s">
        <v>283</v>
      </c>
      <c r="Q243" s="195" t="s">
        <v>283</v>
      </c>
      <c r="R243" s="195" t="s">
        <v>283</v>
      </c>
      <c r="S243" s="195" t="s">
        <v>283</v>
      </c>
      <c r="T243" s="195" t="s">
        <v>283</v>
      </c>
      <c r="U243" s="195" t="s">
        <v>283</v>
      </c>
      <c r="V243" s="195" t="s">
        <v>283</v>
      </c>
      <c r="W243" s="195" t="s">
        <v>283</v>
      </c>
      <c r="X243" s="195" t="s">
        <v>283</v>
      </c>
      <c r="Y243" s="195" t="s">
        <v>283</v>
      </c>
      <c r="Z243" s="195" t="s">
        <v>284</v>
      </c>
    </row>
    <row r="244" spans="1:26">
      <c r="C244" s="195">
        <v>2007</v>
      </c>
      <c r="D244" s="195">
        <v>2008</v>
      </c>
      <c r="E244" s="195">
        <v>2009</v>
      </c>
      <c r="F244" s="195">
        <v>2010</v>
      </c>
      <c r="G244" s="195">
        <v>2011</v>
      </c>
      <c r="H244" s="195">
        <v>2012</v>
      </c>
      <c r="I244" s="195">
        <v>2013</v>
      </c>
      <c r="J244" s="195">
        <v>2014</v>
      </c>
      <c r="K244" s="195">
        <v>2015</v>
      </c>
      <c r="L244" s="195">
        <v>2016</v>
      </c>
      <c r="M244" s="195">
        <v>2017</v>
      </c>
      <c r="N244" s="195">
        <v>2018</v>
      </c>
      <c r="O244" s="195">
        <v>2019</v>
      </c>
      <c r="P244" s="195">
        <v>2020</v>
      </c>
      <c r="Q244" s="195">
        <v>2021</v>
      </c>
      <c r="R244" s="195">
        <v>2022</v>
      </c>
      <c r="S244" s="195">
        <v>2023</v>
      </c>
      <c r="T244" s="195">
        <v>2024</v>
      </c>
      <c r="U244" s="195">
        <v>2025</v>
      </c>
      <c r="V244" s="195">
        <v>2026</v>
      </c>
      <c r="W244" s="195">
        <v>2027</v>
      </c>
      <c r="X244" s="195">
        <v>2028</v>
      </c>
      <c r="Y244" s="195">
        <v>2029</v>
      </c>
      <c r="Z244" s="195">
        <v>2030</v>
      </c>
    </row>
    <row r="245" spans="1:26">
      <c r="A245" s="195" t="s">
        <v>281</v>
      </c>
      <c r="B245" s="195" t="s">
        <v>282</v>
      </c>
      <c r="C245" s="195" t="s">
        <v>283</v>
      </c>
      <c r="D245" s="195" t="s">
        <v>283</v>
      </c>
      <c r="E245" s="195" t="s">
        <v>283</v>
      </c>
      <c r="F245" s="195" t="s">
        <v>283</v>
      </c>
      <c r="G245" s="195" t="s">
        <v>283</v>
      </c>
      <c r="H245" s="195" t="s">
        <v>283</v>
      </c>
      <c r="I245" s="195" t="s">
        <v>283</v>
      </c>
      <c r="J245" s="195" t="s">
        <v>283</v>
      </c>
      <c r="K245" s="195" t="s">
        <v>283</v>
      </c>
      <c r="L245" s="195" t="s">
        <v>283</v>
      </c>
      <c r="M245" s="195" t="s">
        <v>283</v>
      </c>
      <c r="N245" s="195" t="s">
        <v>283</v>
      </c>
      <c r="O245" s="195" t="s">
        <v>283</v>
      </c>
      <c r="P245" s="195" t="s">
        <v>283</v>
      </c>
      <c r="Q245" s="195" t="s">
        <v>283</v>
      </c>
      <c r="R245" s="195" t="s">
        <v>283</v>
      </c>
      <c r="S245" s="195" t="s">
        <v>283</v>
      </c>
      <c r="T245" s="195" t="s">
        <v>283</v>
      </c>
      <c r="U245" s="195" t="s">
        <v>283</v>
      </c>
      <c r="V245" s="195" t="s">
        <v>283</v>
      </c>
      <c r="W245" s="195" t="s">
        <v>283</v>
      </c>
      <c r="X245" s="195" t="s">
        <v>283</v>
      </c>
      <c r="Y245" s="195" t="s">
        <v>283</v>
      </c>
      <c r="Z245" s="195" t="s">
        <v>284</v>
      </c>
    </row>
    <row r="246" spans="1:26">
      <c r="A246" s="195" t="s">
        <v>197</v>
      </c>
      <c r="B246" s="195" t="s">
        <v>285</v>
      </c>
      <c r="C246" s="195">
        <v>1.0169999999999999</v>
      </c>
      <c r="D246" s="195">
        <v>0.97599999999999998</v>
      </c>
      <c r="E246" s="195">
        <v>0.93300000000000005</v>
      </c>
      <c r="F246" s="195">
        <v>0.89100000000000001</v>
      </c>
      <c r="G246" s="195">
        <v>0.88900000000000001</v>
      </c>
      <c r="H246" s="195">
        <v>0.88500000000000001</v>
      </c>
      <c r="I246" s="195">
        <v>0.88200000000000001</v>
      </c>
      <c r="J246" s="195">
        <v>0.88300000000000001</v>
      </c>
      <c r="K246" s="195">
        <v>0.88</v>
      </c>
      <c r="L246" s="195">
        <v>0.89900000000000002</v>
      </c>
      <c r="M246" s="195">
        <v>0.90400000000000003</v>
      </c>
      <c r="N246" s="195">
        <v>0.91600000000000004</v>
      </c>
      <c r="O246" s="195">
        <v>0.93500000000000005</v>
      </c>
      <c r="P246" s="195">
        <v>0.95099999999999996</v>
      </c>
      <c r="Q246" s="195">
        <v>0.95899999999999996</v>
      </c>
      <c r="R246" s="195">
        <v>0.97</v>
      </c>
      <c r="S246" s="195">
        <v>0.97799999999999998</v>
      </c>
      <c r="T246" s="195">
        <v>0.98699999999999999</v>
      </c>
      <c r="U246" s="195">
        <v>0.996</v>
      </c>
      <c r="V246" s="195">
        <v>1.0029999999999999</v>
      </c>
      <c r="W246" s="195">
        <v>1.01</v>
      </c>
      <c r="X246" s="195">
        <v>1.0189999999999999</v>
      </c>
      <c r="Y246" s="195">
        <v>1.026</v>
      </c>
      <c r="Z246" s="195">
        <v>1.034</v>
      </c>
    </row>
    <row r="247" spans="1:26">
      <c r="A247" s="195" t="s">
        <v>198</v>
      </c>
      <c r="B247" s="195" t="s">
        <v>285</v>
      </c>
      <c r="C247" s="195">
        <v>0.97899999999999998</v>
      </c>
      <c r="D247" s="195">
        <v>0.94199999999999995</v>
      </c>
      <c r="E247" s="195">
        <v>0.89900000000000002</v>
      </c>
      <c r="F247" s="195">
        <v>0.85899999999999999</v>
      </c>
      <c r="G247" s="195">
        <v>0.85799999999999998</v>
      </c>
      <c r="H247" s="195">
        <v>0.85499999999999998</v>
      </c>
      <c r="I247" s="195">
        <v>0.85199999999999998</v>
      </c>
      <c r="J247" s="195">
        <v>0.85299999999999998</v>
      </c>
      <c r="K247" s="195">
        <v>0.85</v>
      </c>
      <c r="L247" s="195">
        <v>0.86899999999999999</v>
      </c>
      <c r="M247" s="195">
        <v>0.875</v>
      </c>
      <c r="N247" s="195">
        <v>0.88700000000000001</v>
      </c>
      <c r="O247" s="195">
        <v>0.90600000000000003</v>
      </c>
      <c r="P247" s="195">
        <v>0.92400000000000004</v>
      </c>
      <c r="Q247" s="195">
        <v>0.93200000000000005</v>
      </c>
      <c r="R247" s="195">
        <v>0.94399999999999995</v>
      </c>
      <c r="S247" s="195">
        <v>0.95099999999999996</v>
      </c>
      <c r="T247" s="195">
        <v>0.96</v>
      </c>
      <c r="U247" s="195">
        <v>0.96899999999999997</v>
      </c>
      <c r="V247" s="195">
        <v>0.97599999999999998</v>
      </c>
      <c r="W247" s="195">
        <v>0.98399999999999999</v>
      </c>
      <c r="X247" s="195">
        <v>0.99199999999999999</v>
      </c>
      <c r="Y247" s="195">
        <v>0.997</v>
      </c>
      <c r="Z247" s="195">
        <v>1.006</v>
      </c>
    </row>
    <row r="248" spans="1:26">
      <c r="A248" s="195" t="s">
        <v>199</v>
      </c>
      <c r="B248" s="195" t="s">
        <v>285</v>
      </c>
      <c r="C248" s="195">
        <v>1.077</v>
      </c>
      <c r="D248" s="195">
        <v>1.032</v>
      </c>
      <c r="E248" s="195">
        <v>0.98699999999999999</v>
      </c>
      <c r="F248" s="195">
        <v>0.94199999999999995</v>
      </c>
      <c r="G248" s="195">
        <v>0.93799999999999994</v>
      </c>
      <c r="H248" s="195">
        <v>0.93300000000000005</v>
      </c>
      <c r="I248" s="195">
        <v>0.93200000000000005</v>
      </c>
      <c r="J248" s="195">
        <v>0.93300000000000005</v>
      </c>
      <c r="K248" s="195">
        <v>0.93</v>
      </c>
      <c r="L248" s="195">
        <v>0.94799999999999995</v>
      </c>
      <c r="M248" s="195">
        <v>0.95399999999999996</v>
      </c>
      <c r="N248" s="195">
        <v>0.96399999999999997</v>
      </c>
      <c r="O248" s="195">
        <v>0.98299999999999998</v>
      </c>
      <c r="P248" s="195">
        <v>0.997</v>
      </c>
      <c r="Q248" s="195">
        <v>1.004</v>
      </c>
      <c r="R248" s="195">
        <v>1.0149999999999999</v>
      </c>
      <c r="S248" s="195">
        <v>1.024</v>
      </c>
      <c r="T248" s="195">
        <v>1.0329999999999999</v>
      </c>
      <c r="U248" s="195">
        <v>1.0429999999999999</v>
      </c>
      <c r="V248" s="195">
        <v>1.0509999999999999</v>
      </c>
      <c r="W248" s="195">
        <v>1.0569999999999999</v>
      </c>
      <c r="X248" s="195">
        <v>1.0669999999999999</v>
      </c>
      <c r="Y248" s="195">
        <v>1.077</v>
      </c>
      <c r="Z248" s="195">
        <v>1.0840000000000001</v>
      </c>
    </row>
    <row r="249" spans="1:26">
      <c r="A249" s="195" t="s">
        <v>200</v>
      </c>
      <c r="B249" s="195" t="s">
        <v>285</v>
      </c>
      <c r="C249" s="195">
        <v>0</v>
      </c>
      <c r="D249" s="195">
        <v>0</v>
      </c>
      <c r="E249" s="195">
        <v>0</v>
      </c>
      <c r="F249" s="195">
        <v>0</v>
      </c>
      <c r="G249" s="195">
        <v>0</v>
      </c>
      <c r="H249" s="195">
        <v>0</v>
      </c>
      <c r="I249" s="195">
        <v>0</v>
      </c>
      <c r="J249" s="195">
        <v>0</v>
      </c>
      <c r="K249" s="195">
        <v>0</v>
      </c>
      <c r="L249" s="195">
        <v>0</v>
      </c>
      <c r="M249" s="195">
        <v>0</v>
      </c>
      <c r="N249" s="195">
        <v>0</v>
      </c>
      <c r="O249" s="195">
        <v>0</v>
      </c>
      <c r="P249" s="195">
        <v>0</v>
      </c>
      <c r="Q249" s="195">
        <v>0</v>
      </c>
      <c r="R249" s="195">
        <v>0</v>
      </c>
      <c r="S249" s="195">
        <v>0</v>
      </c>
      <c r="T249" s="195">
        <v>0</v>
      </c>
      <c r="U249" s="195">
        <v>0</v>
      </c>
      <c r="V249" s="195">
        <v>0</v>
      </c>
      <c r="W249" s="195">
        <v>0</v>
      </c>
      <c r="X249" s="195">
        <v>0</v>
      </c>
      <c r="Y249" s="195">
        <v>0</v>
      </c>
      <c r="Z249" s="195">
        <v>0</v>
      </c>
    </row>
    <row r="250" spans="1:26">
      <c r="A250" s="195" t="s">
        <v>461</v>
      </c>
      <c r="B250" s="195" t="s">
        <v>285</v>
      </c>
      <c r="C250" s="195">
        <v>0</v>
      </c>
      <c r="D250" s="195">
        <v>0</v>
      </c>
      <c r="E250" s="195">
        <v>0</v>
      </c>
      <c r="F250" s="195">
        <v>0</v>
      </c>
      <c r="G250" s="195">
        <v>0</v>
      </c>
      <c r="H250" s="195">
        <v>0</v>
      </c>
      <c r="I250" s="195">
        <v>0</v>
      </c>
      <c r="J250" s="195">
        <v>0</v>
      </c>
      <c r="K250" s="195">
        <v>0</v>
      </c>
      <c r="L250" s="195">
        <v>0</v>
      </c>
      <c r="M250" s="195">
        <v>0</v>
      </c>
      <c r="N250" s="195">
        <v>0</v>
      </c>
      <c r="O250" s="195">
        <v>0</v>
      </c>
      <c r="P250" s="195">
        <v>0</v>
      </c>
      <c r="Q250" s="195">
        <v>0</v>
      </c>
      <c r="R250" s="195">
        <v>0</v>
      </c>
      <c r="S250" s="195">
        <v>0</v>
      </c>
      <c r="T250" s="195">
        <v>0</v>
      </c>
      <c r="U250" s="195">
        <v>0</v>
      </c>
      <c r="V250" s="195">
        <v>0</v>
      </c>
      <c r="W250" s="195">
        <v>0</v>
      </c>
      <c r="X250" s="195">
        <v>0</v>
      </c>
      <c r="Y250" s="195">
        <v>0</v>
      </c>
      <c r="Z250" s="195">
        <v>0</v>
      </c>
    </row>
    <row r="251" spans="1:26">
      <c r="A251" s="195" t="s">
        <v>201</v>
      </c>
      <c r="B251" s="195" t="s">
        <v>285</v>
      </c>
      <c r="C251" s="195">
        <v>0.84399999999999997</v>
      </c>
      <c r="D251" s="195">
        <v>0.82299999999999995</v>
      </c>
      <c r="E251" s="195">
        <v>0.79100000000000004</v>
      </c>
      <c r="F251" s="195">
        <v>0.75800000000000001</v>
      </c>
      <c r="G251" s="195">
        <v>0.755</v>
      </c>
      <c r="H251" s="195">
        <v>0.76500000000000001</v>
      </c>
      <c r="I251" s="195">
        <v>0.75</v>
      </c>
      <c r="J251" s="195">
        <v>0.751</v>
      </c>
      <c r="K251" s="195">
        <v>0.749</v>
      </c>
      <c r="L251" s="195">
        <v>0.77300000000000002</v>
      </c>
      <c r="M251" s="195">
        <v>0.76500000000000001</v>
      </c>
      <c r="N251" s="195">
        <v>0.78600000000000003</v>
      </c>
      <c r="O251" s="195">
        <v>0.79200000000000004</v>
      </c>
      <c r="P251" s="195">
        <v>0.79900000000000004</v>
      </c>
      <c r="Q251" s="195">
        <v>0.80500000000000005</v>
      </c>
      <c r="R251" s="195">
        <v>0.82</v>
      </c>
      <c r="S251" s="195">
        <v>0.82899999999999996</v>
      </c>
      <c r="T251" s="195">
        <v>0.83699999999999997</v>
      </c>
      <c r="U251" s="195">
        <v>0.84499999999999997</v>
      </c>
      <c r="V251" s="195">
        <v>0.84899999999999998</v>
      </c>
      <c r="W251" s="195">
        <v>0.85</v>
      </c>
      <c r="X251" s="195">
        <v>0.85299999999999998</v>
      </c>
      <c r="Y251" s="195">
        <v>0.85899999999999999</v>
      </c>
      <c r="Z251" s="195">
        <v>0.86399999999999999</v>
      </c>
    </row>
    <row r="252" spans="1:26">
      <c r="A252" s="195" t="s">
        <v>202</v>
      </c>
      <c r="B252" s="195" t="s">
        <v>285</v>
      </c>
      <c r="C252" s="195">
        <v>0.86799999999999999</v>
      </c>
      <c r="D252" s="195">
        <v>0.85599999999999998</v>
      </c>
      <c r="E252" s="195">
        <v>0.81399999999999995</v>
      </c>
      <c r="F252" s="195">
        <v>0.77700000000000002</v>
      </c>
      <c r="G252" s="195">
        <v>0.76600000000000001</v>
      </c>
      <c r="H252" s="195">
        <v>0.77500000000000002</v>
      </c>
      <c r="I252" s="195">
        <v>0</v>
      </c>
      <c r="J252" s="195">
        <v>0</v>
      </c>
      <c r="K252" s="195">
        <v>0</v>
      </c>
      <c r="L252" s="195">
        <v>0</v>
      </c>
      <c r="M252" s="195">
        <v>0</v>
      </c>
      <c r="N252" s="195">
        <v>0</v>
      </c>
      <c r="O252" s="195">
        <v>0</v>
      </c>
      <c r="P252" s="195">
        <v>0</v>
      </c>
      <c r="Q252" s="195">
        <v>0</v>
      </c>
      <c r="R252" s="195">
        <v>0</v>
      </c>
      <c r="S252" s="195">
        <v>0</v>
      </c>
      <c r="T252" s="195">
        <v>0</v>
      </c>
      <c r="U252" s="195">
        <v>0</v>
      </c>
      <c r="V252" s="195">
        <v>0</v>
      </c>
      <c r="W252" s="195">
        <v>0</v>
      </c>
      <c r="X252" s="195">
        <v>0</v>
      </c>
      <c r="Y252" s="195">
        <v>0</v>
      </c>
      <c r="Z252" s="195">
        <v>0</v>
      </c>
    </row>
    <row r="253" spans="1:26">
      <c r="A253" s="195" t="s">
        <v>203</v>
      </c>
      <c r="B253" s="195" t="s">
        <v>285</v>
      </c>
      <c r="C253" s="195">
        <v>0.96199999999999997</v>
      </c>
      <c r="D253" s="195">
        <v>0.92200000000000004</v>
      </c>
      <c r="E253" s="195">
        <v>0.88800000000000001</v>
      </c>
      <c r="F253" s="195">
        <v>0.85699999999999998</v>
      </c>
      <c r="G253" s="195">
        <v>0.87</v>
      </c>
      <c r="H253" s="195">
        <v>0.86499999999999999</v>
      </c>
      <c r="I253" s="195">
        <v>0.874</v>
      </c>
      <c r="J253" s="195">
        <v>0.86299999999999999</v>
      </c>
      <c r="K253" s="195">
        <v>0.88</v>
      </c>
      <c r="L253" s="195">
        <v>0.88500000000000001</v>
      </c>
      <c r="M253" s="195">
        <v>0.88600000000000001</v>
      </c>
      <c r="N253" s="195">
        <v>0.89600000000000002</v>
      </c>
      <c r="O253" s="195">
        <v>0.90900000000000003</v>
      </c>
      <c r="P253" s="195">
        <v>0.91700000000000004</v>
      </c>
      <c r="Q253" s="195">
        <v>0.90700000000000003</v>
      </c>
      <c r="R253" s="195">
        <v>0.90800000000000003</v>
      </c>
      <c r="S253" s="195">
        <v>0.95099999999999996</v>
      </c>
      <c r="T253" s="195">
        <v>0.95699999999999996</v>
      </c>
      <c r="U253" s="195">
        <v>0.94599999999999995</v>
      </c>
      <c r="V253" s="195">
        <v>0.97799999999999998</v>
      </c>
      <c r="W253" s="195">
        <v>0.99399999999999999</v>
      </c>
      <c r="X253" s="195">
        <v>1.012</v>
      </c>
      <c r="Y253" s="195">
        <v>0.997</v>
      </c>
      <c r="Z253" s="195">
        <v>1.012</v>
      </c>
    </row>
    <row r="254" spans="1:26">
      <c r="A254" s="195" t="s">
        <v>204</v>
      </c>
      <c r="B254" s="195" t="s">
        <v>285</v>
      </c>
      <c r="C254" s="195">
        <v>0.86</v>
      </c>
      <c r="D254" s="195">
        <v>0.84099999999999997</v>
      </c>
      <c r="E254" s="195">
        <v>0.80300000000000005</v>
      </c>
      <c r="F254" s="195">
        <v>0.78100000000000003</v>
      </c>
      <c r="G254" s="195">
        <v>0.79700000000000004</v>
      </c>
      <c r="H254" s="195">
        <v>0.80900000000000005</v>
      </c>
      <c r="I254" s="195">
        <v>0.79500000000000004</v>
      </c>
      <c r="J254" s="195">
        <v>0.80800000000000005</v>
      </c>
      <c r="K254" s="195">
        <v>0.81200000000000006</v>
      </c>
      <c r="L254" s="195">
        <v>0.83099999999999996</v>
      </c>
      <c r="M254" s="195">
        <v>0.82599999999999996</v>
      </c>
      <c r="N254" s="195">
        <v>0.85099999999999998</v>
      </c>
      <c r="O254" s="195">
        <v>0.86499999999999999</v>
      </c>
      <c r="P254" s="195">
        <v>0.88100000000000001</v>
      </c>
      <c r="Q254" s="195">
        <v>0.89200000000000002</v>
      </c>
      <c r="R254" s="195">
        <v>0.90300000000000002</v>
      </c>
      <c r="S254" s="195">
        <v>0.90800000000000003</v>
      </c>
      <c r="T254" s="195">
        <v>0.91900000000000004</v>
      </c>
      <c r="U254" s="195">
        <v>0.92300000000000004</v>
      </c>
      <c r="V254" s="195">
        <v>0.93500000000000005</v>
      </c>
      <c r="W254" s="195">
        <v>0.94899999999999995</v>
      </c>
      <c r="X254" s="195">
        <v>0.96699999999999997</v>
      </c>
      <c r="Y254" s="195">
        <v>0.97499999999999998</v>
      </c>
      <c r="Z254" s="195">
        <v>0.98299999999999998</v>
      </c>
    </row>
    <row r="255" spans="1:26">
      <c r="A255" s="195" t="s">
        <v>205</v>
      </c>
      <c r="B255" s="195" t="s">
        <v>285</v>
      </c>
      <c r="C255" s="195">
        <v>0.84399999999999997</v>
      </c>
      <c r="D255" s="195">
        <v>0.82299999999999995</v>
      </c>
      <c r="E255" s="195">
        <v>0.79100000000000004</v>
      </c>
      <c r="F255" s="195">
        <v>0.75800000000000001</v>
      </c>
      <c r="G255" s="195">
        <v>0.755</v>
      </c>
      <c r="H255" s="195">
        <v>0.76500000000000001</v>
      </c>
      <c r="I255" s="195">
        <v>0.75</v>
      </c>
      <c r="J255" s="195">
        <v>0.751</v>
      </c>
      <c r="K255" s="195">
        <v>0.749</v>
      </c>
      <c r="L255" s="195">
        <v>0.77300000000000002</v>
      </c>
      <c r="M255" s="195">
        <v>0.76500000000000001</v>
      </c>
      <c r="N255" s="195">
        <v>0.78600000000000003</v>
      </c>
      <c r="O255" s="195">
        <v>0.79200000000000004</v>
      </c>
      <c r="P255" s="195">
        <v>0.79900000000000004</v>
      </c>
      <c r="Q255" s="195">
        <v>0.80500000000000005</v>
      </c>
      <c r="R255" s="195">
        <v>0.82</v>
      </c>
      <c r="S255" s="195">
        <v>0.82899999999999996</v>
      </c>
      <c r="T255" s="195">
        <v>0.83699999999999997</v>
      </c>
      <c r="U255" s="195">
        <v>0.84499999999999997</v>
      </c>
      <c r="V255" s="195">
        <v>0.84899999999999998</v>
      </c>
      <c r="W255" s="195">
        <v>0.85</v>
      </c>
      <c r="X255" s="195">
        <v>0.85299999999999998</v>
      </c>
      <c r="Y255" s="195">
        <v>0.85899999999999999</v>
      </c>
      <c r="Z255" s="195">
        <v>0.86399999999999999</v>
      </c>
    </row>
    <row r="256" spans="1:26">
      <c r="A256" s="195" t="s">
        <v>206</v>
      </c>
      <c r="B256" s="195" t="s">
        <v>285</v>
      </c>
      <c r="C256" s="195">
        <v>0.57199999999999995</v>
      </c>
      <c r="D256" s="195">
        <v>0.54700000000000004</v>
      </c>
      <c r="E256" s="195">
        <v>0.53200000000000003</v>
      </c>
      <c r="F256" s="195">
        <v>0.51500000000000001</v>
      </c>
      <c r="G256" s="195">
        <v>0.51500000000000001</v>
      </c>
      <c r="H256" s="195">
        <v>0.51300000000000001</v>
      </c>
      <c r="I256" s="195">
        <v>0.51100000000000001</v>
      </c>
      <c r="J256" s="195">
        <v>0.50900000000000001</v>
      </c>
      <c r="K256" s="195">
        <v>0.50700000000000001</v>
      </c>
      <c r="L256" s="195">
        <v>0.52500000000000002</v>
      </c>
      <c r="M256" s="195">
        <v>0.52900000000000003</v>
      </c>
      <c r="N256" s="195">
        <v>0.55100000000000005</v>
      </c>
      <c r="O256" s="195">
        <v>0.55900000000000005</v>
      </c>
      <c r="P256" s="195">
        <v>0.56399999999999995</v>
      </c>
      <c r="Q256" s="195">
        <v>0.57099999999999995</v>
      </c>
      <c r="R256" s="195">
        <v>0.57899999999999996</v>
      </c>
      <c r="S256" s="195">
        <v>0.58599999999999997</v>
      </c>
      <c r="T256" s="195">
        <v>0.59299999999999997</v>
      </c>
      <c r="U256" s="195">
        <v>0.6</v>
      </c>
      <c r="V256" s="195">
        <v>0.60499999999999998</v>
      </c>
      <c r="W256" s="195">
        <v>0.61</v>
      </c>
      <c r="X256" s="195">
        <v>0.61499999999999999</v>
      </c>
      <c r="Y256" s="195">
        <v>0.62</v>
      </c>
      <c r="Z256" s="195">
        <v>0.625</v>
      </c>
    </row>
    <row r="257" spans="1:26">
      <c r="A257" s="195" t="s">
        <v>207</v>
      </c>
      <c r="B257" s="195" t="s">
        <v>285</v>
      </c>
      <c r="C257" s="195">
        <v>0.57199999999999995</v>
      </c>
      <c r="D257" s="195">
        <v>0.54700000000000004</v>
      </c>
      <c r="E257" s="195">
        <v>0.53200000000000003</v>
      </c>
      <c r="F257" s="195">
        <v>0.51100000000000001</v>
      </c>
      <c r="G257" s="195">
        <v>0.50900000000000001</v>
      </c>
      <c r="H257" s="195">
        <v>0.497</v>
      </c>
      <c r="I257" s="195">
        <v>0.501</v>
      </c>
      <c r="J257" s="195">
        <v>0.502</v>
      </c>
      <c r="K257" s="195">
        <v>0.497</v>
      </c>
      <c r="L257" s="195">
        <v>0.503</v>
      </c>
      <c r="M257" s="195">
        <v>0.50800000000000001</v>
      </c>
      <c r="N257" s="195">
        <v>0.51300000000000001</v>
      </c>
      <c r="O257" s="195">
        <v>0.51700000000000002</v>
      </c>
      <c r="P257" s="195">
        <v>0.52300000000000002</v>
      </c>
      <c r="Q257" s="195">
        <v>0.53</v>
      </c>
      <c r="R257" s="195">
        <v>0.53900000000000003</v>
      </c>
      <c r="S257" s="195">
        <v>0.41699999999999998</v>
      </c>
      <c r="T257" s="195">
        <v>0.42199999999999999</v>
      </c>
      <c r="U257" s="195">
        <v>0.42599999999999999</v>
      </c>
      <c r="V257" s="195">
        <v>0.42899999999999999</v>
      </c>
      <c r="W257" s="195">
        <v>0.432</v>
      </c>
      <c r="X257" s="195">
        <v>0.435</v>
      </c>
      <c r="Y257" s="195">
        <v>0.438</v>
      </c>
      <c r="Z257" s="195">
        <v>0.441</v>
      </c>
    </row>
    <row r="258" spans="1:26">
      <c r="A258" s="195" t="s">
        <v>208</v>
      </c>
      <c r="B258" s="195" t="s">
        <v>285</v>
      </c>
      <c r="C258" s="195">
        <v>0.61399999999999999</v>
      </c>
      <c r="D258" s="195">
        <v>0.58399999999999996</v>
      </c>
      <c r="E258" s="195">
        <v>0.55300000000000005</v>
      </c>
      <c r="F258" s="195">
        <v>0.52300000000000002</v>
      </c>
      <c r="G258" s="195">
        <v>0.52</v>
      </c>
      <c r="H258" s="195">
        <v>0.51800000000000002</v>
      </c>
      <c r="I258" s="195">
        <v>0.51500000000000001</v>
      </c>
      <c r="J258" s="195">
        <v>0.51300000000000001</v>
      </c>
      <c r="K258" s="195">
        <v>0.51100000000000001</v>
      </c>
      <c r="L258" s="195">
        <v>0.51500000000000001</v>
      </c>
      <c r="M258" s="195">
        <v>0.52</v>
      </c>
      <c r="N258" s="195">
        <v>0.52500000000000002</v>
      </c>
      <c r="O258" s="195">
        <v>0.53</v>
      </c>
      <c r="P258" s="195">
        <v>0.53500000000000003</v>
      </c>
      <c r="Q258" s="195">
        <v>0.54200000000000004</v>
      </c>
      <c r="R258" s="195">
        <v>0.55000000000000004</v>
      </c>
      <c r="S258" s="195">
        <v>0.55700000000000005</v>
      </c>
      <c r="T258" s="195">
        <v>0.56399999999999995</v>
      </c>
      <c r="U258" s="195">
        <v>0.57199999999999995</v>
      </c>
      <c r="V258" s="195">
        <v>0.57699999999999996</v>
      </c>
      <c r="W258" s="195">
        <v>0.58199999999999996</v>
      </c>
      <c r="X258" s="195">
        <v>0.58699999999999997</v>
      </c>
      <c r="Y258" s="195">
        <v>0.59099999999999997</v>
      </c>
      <c r="Z258" s="195">
        <v>0.59599999999999997</v>
      </c>
    </row>
    <row r="259" spans="1:26">
      <c r="A259" s="195" t="s">
        <v>209</v>
      </c>
      <c r="B259" s="195" t="s">
        <v>285</v>
      </c>
      <c r="C259" s="195">
        <v>0</v>
      </c>
      <c r="D259" s="195">
        <v>0</v>
      </c>
      <c r="E259" s="195">
        <v>0</v>
      </c>
      <c r="F259" s="195">
        <v>0</v>
      </c>
      <c r="G259" s="195">
        <v>0</v>
      </c>
      <c r="H259" s="195">
        <v>0</v>
      </c>
      <c r="I259" s="195">
        <v>0</v>
      </c>
      <c r="J259" s="195">
        <v>0</v>
      </c>
      <c r="K259" s="195">
        <v>0</v>
      </c>
      <c r="L259" s="195">
        <v>0</v>
      </c>
      <c r="M259" s="195">
        <v>0</v>
      </c>
      <c r="N259" s="195">
        <v>0</v>
      </c>
      <c r="O259" s="195">
        <v>0</v>
      </c>
      <c r="P259" s="195">
        <v>0</v>
      </c>
      <c r="Q259" s="195">
        <v>0</v>
      </c>
      <c r="R259" s="195">
        <v>0</v>
      </c>
      <c r="S259" s="195">
        <v>0</v>
      </c>
      <c r="T259" s="195">
        <v>0</v>
      </c>
      <c r="U259" s="195">
        <v>0</v>
      </c>
      <c r="V259" s="195">
        <v>0</v>
      </c>
      <c r="W259" s="195">
        <v>0</v>
      </c>
      <c r="X259" s="195">
        <v>0</v>
      </c>
      <c r="Y259" s="195">
        <v>0</v>
      </c>
      <c r="Z259" s="195">
        <v>0</v>
      </c>
    </row>
    <row r="260" spans="1:26">
      <c r="A260" s="195" t="s">
        <v>210</v>
      </c>
      <c r="B260" s="195" t="s">
        <v>285</v>
      </c>
      <c r="C260" s="195">
        <v>0.61299999999999999</v>
      </c>
      <c r="D260" s="195">
        <v>0.57699999999999996</v>
      </c>
      <c r="E260" s="195">
        <v>0.43099999999999999</v>
      </c>
      <c r="F260" s="195">
        <v>0.59199999999999997</v>
      </c>
      <c r="G260" s="195">
        <v>0.51100000000000001</v>
      </c>
      <c r="H260" s="195">
        <v>0.52200000000000002</v>
      </c>
      <c r="I260" s="195">
        <v>0.52600000000000002</v>
      </c>
      <c r="J260" s="195">
        <v>0.49199999999999999</v>
      </c>
      <c r="K260" s="195">
        <v>0.46600000000000003</v>
      </c>
      <c r="L260" s="195">
        <v>0.49099999999999999</v>
      </c>
      <c r="M260" s="195">
        <v>0.504</v>
      </c>
      <c r="N260" s="195">
        <v>0.48299999999999998</v>
      </c>
      <c r="O260" s="195">
        <v>0.50800000000000001</v>
      </c>
      <c r="P260" s="195">
        <v>0.57099999999999995</v>
      </c>
      <c r="Q260" s="195">
        <v>0.499</v>
      </c>
      <c r="R260" s="195">
        <v>0.50600000000000001</v>
      </c>
      <c r="S260" s="195">
        <v>0.64700000000000002</v>
      </c>
      <c r="T260" s="195">
        <v>0.59099999999999997</v>
      </c>
      <c r="U260" s="195">
        <v>0.62</v>
      </c>
      <c r="V260" s="195">
        <v>0.63300000000000001</v>
      </c>
      <c r="W260" s="195">
        <v>0.63100000000000001</v>
      </c>
      <c r="X260" s="195">
        <v>0.64400000000000002</v>
      </c>
      <c r="Y260" s="195">
        <v>0.627</v>
      </c>
      <c r="Z260" s="195">
        <v>0.63700000000000001</v>
      </c>
    </row>
    <row r="261" spans="1:26">
      <c r="A261" s="195" t="s">
        <v>211</v>
      </c>
      <c r="B261" s="195" t="s">
        <v>285</v>
      </c>
      <c r="C261" s="195">
        <v>1.008</v>
      </c>
      <c r="D261" s="195">
        <v>0.64900000000000002</v>
      </c>
      <c r="E261" s="195">
        <v>0.442</v>
      </c>
      <c r="F261" s="195">
        <v>0.625</v>
      </c>
      <c r="G261" s="195">
        <v>0.22500000000000001</v>
      </c>
      <c r="H261" s="195">
        <v>0.318</v>
      </c>
      <c r="I261" s="195">
        <v>0.30599999999999999</v>
      </c>
      <c r="J261" s="195">
        <v>0.16300000000000001</v>
      </c>
      <c r="K261" s="195">
        <v>0.20200000000000001</v>
      </c>
      <c r="L261" s="195">
        <v>0.161</v>
      </c>
      <c r="M261" s="195">
        <v>0.224</v>
      </c>
      <c r="N261" s="195">
        <v>0.10100000000000001</v>
      </c>
      <c r="O261" s="195">
        <v>0.14899999999999999</v>
      </c>
      <c r="P261" s="195">
        <v>8.1000000000000003E-2</v>
      </c>
      <c r="Q261" s="195">
        <v>7.2999999999999995E-2</v>
      </c>
      <c r="R261" s="195">
        <v>0.11</v>
      </c>
      <c r="S261" s="195">
        <v>0.22</v>
      </c>
      <c r="T261" s="195">
        <v>9.0999999999999998E-2</v>
      </c>
      <c r="U261" s="195">
        <v>0.10299999999999999</v>
      </c>
      <c r="V261" s="195">
        <v>0.14199999999999999</v>
      </c>
      <c r="W261" s="195">
        <v>0.17299999999999999</v>
      </c>
      <c r="X261" s="195">
        <v>0.17499999999999999</v>
      </c>
      <c r="Y261" s="195">
        <v>0.28100000000000003</v>
      </c>
      <c r="Z261" s="195">
        <v>0.30499999999999999</v>
      </c>
    </row>
    <row r="262" spans="1:26">
      <c r="A262" s="195" t="s">
        <v>281</v>
      </c>
      <c r="B262" s="195" t="s">
        <v>282</v>
      </c>
      <c r="C262" s="195" t="s">
        <v>283</v>
      </c>
      <c r="D262" s="195" t="s">
        <v>283</v>
      </c>
      <c r="E262" s="195" t="s">
        <v>283</v>
      </c>
      <c r="F262" s="195" t="s">
        <v>283</v>
      </c>
      <c r="G262" s="195" t="s">
        <v>283</v>
      </c>
      <c r="H262" s="195" t="s">
        <v>283</v>
      </c>
      <c r="I262" s="195" t="s">
        <v>283</v>
      </c>
      <c r="J262" s="195" t="s">
        <v>283</v>
      </c>
      <c r="K262" s="195" t="s">
        <v>283</v>
      </c>
      <c r="L262" s="195" t="s">
        <v>283</v>
      </c>
      <c r="M262" s="195" t="s">
        <v>283</v>
      </c>
      <c r="N262" s="195" t="s">
        <v>283</v>
      </c>
      <c r="O262" s="195" t="s">
        <v>283</v>
      </c>
      <c r="P262" s="195" t="s">
        <v>283</v>
      </c>
      <c r="Q262" s="195" t="s">
        <v>283</v>
      </c>
      <c r="R262" s="195" t="s">
        <v>283</v>
      </c>
      <c r="S262" s="195" t="s">
        <v>283</v>
      </c>
      <c r="T262" s="195" t="s">
        <v>283</v>
      </c>
      <c r="U262" s="195" t="s">
        <v>283</v>
      </c>
      <c r="V262" s="195" t="s">
        <v>283</v>
      </c>
      <c r="W262" s="195" t="s">
        <v>283</v>
      </c>
      <c r="X262" s="195" t="s">
        <v>283</v>
      </c>
      <c r="Y262" s="195" t="s">
        <v>283</v>
      </c>
      <c r="Z262" s="195" t="s">
        <v>284</v>
      </c>
    </row>
    <row r="264" spans="1:26">
      <c r="C264" s="202" t="str">
        <f>CONCATENATE(L264,M264,N264,O264,P264,Q264,R264,S264,T264,R265,S265)</f>
        <v>Table 10  USRefinery Gate Prices,PADD , 2</v>
      </c>
      <c r="L264" s="195" t="s">
        <v>266</v>
      </c>
      <c r="M264" s="195" t="s">
        <v>267</v>
      </c>
      <c r="N264" s="195" t="s">
        <v>290</v>
      </c>
      <c r="O264" s="195" t="s">
        <v>291</v>
      </c>
      <c r="P264" s="195" t="s">
        <v>292</v>
      </c>
      <c r="Q264" s="195" t="s">
        <v>293</v>
      </c>
      <c r="R264" s="195" t="s">
        <v>294</v>
      </c>
    </row>
    <row r="265" spans="1:26">
      <c r="L265" s="195" t="s">
        <v>295</v>
      </c>
      <c r="M265" s="195" t="s">
        <v>296</v>
      </c>
      <c r="R265" s="195" t="s">
        <v>274</v>
      </c>
      <c r="S265" s="195" t="s">
        <v>286</v>
      </c>
    </row>
    <row r="266" spans="1:26">
      <c r="A266" s="195" t="s">
        <v>276</v>
      </c>
      <c r="B266" s="195" t="s">
        <v>277</v>
      </c>
      <c r="C266" s="195">
        <v>11006</v>
      </c>
      <c r="D266" s="195" t="s">
        <v>278</v>
      </c>
      <c r="E266" s="195" t="s">
        <v>279</v>
      </c>
      <c r="F266" s="195" t="s">
        <v>280</v>
      </c>
    </row>
    <row r="267" spans="1:26">
      <c r="A267" s="195" t="s">
        <v>281</v>
      </c>
      <c r="B267" s="195" t="s">
        <v>282</v>
      </c>
      <c r="C267" s="195" t="s">
        <v>283</v>
      </c>
      <c r="D267" s="195" t="s">
        <v>283</v>
      </c>
      <c r="E267" s="195" t="s">
        <v>283</v>
      </c>
      <c r="F267" s="195" t="s">
        <v>283</v>
      </c>
      <c r="G267" s="195" t="s">
        <v>283</v>
      </c>
      <c r="H267" s="195" t="s">
        <v>283</v>
      </c>
      <c r="I267" s="195" t="s">
        <v>283</v>
      </c>
      <c r="J267" s="195" t="s">
        <v>283</v>
      </c>
      <c r="K267" s="195" t="s">
        <v>283</v>
      </c>
      <c r="L267" s="195" t="s">
        <v>283</v>
      </c>
      <c r="M267" s="195" t="s">
        <v>283</v>
      </c>
      <c r="N267" s="195" t="s">
        <v>283</v>
      </c>
      <c r="O267" s="195" t="s">
        <v>283</v>
      </c>
      <c r="P267" s="195" t="s">
        <v>283</v>
      </c>
      <c r="Q267" s="195" t="s">
        <v>283</v>
      </c>
      <c r="R267" s="195" t="s">
        <v>283</v>
      </c>
      <c r="S267" s="195" t="s">
        <v>283</v>
      </c>
      <c r="T267" s="195" t="s">
        <v>283</v>
      </c>
      <c r="U267" s="195" t="s">
        <v>283</v>
      </c>
      <c r="V267" s="195" t="s">
        <v>283</v>
      </c>
      <c r="W267" s="195" t="s">
        <v>283</v>
      </c>
      <c r="X267" s="195" t="s">
        <v>283</v>
      </c>
      <c r="Y267" s="195" t="s">
        <v>283</v>
      </c>
      <c r="Z267" s="195" t="s">
        <v>284</v>
      </c>
    </row>
    <row r="268" spans="1:26">
      <c r="C268" s="195">
        <v>2007</v>
      </c>
      <c r="D268" s="195">
        <v>2008</v>
      </c>
      <c r="E268" s="195">
        <v>2009</v>
      </c>
      <c r="F268" s="195">
        <v>2010</v>
      </c>
      <c r="G268" s="195">
        <v>2011</v>
      </c>
      <c r="H268" s="195">
        <v>2012</v>
      </c>
      <c r="I268" s="195">
        <v>2013</v>
      </c>
      <c r="J268" s="195">
        <v>2014</v>
      </c>
      <c r="K268" s="195">
        <v>2015</v>
      </c>
      <c r="L268" s="195">
        <v>2016</v>
      </c>
      <c r="M268" s="195">
        <v>2017</v>
      </c>
      <c r="N268" s="195">
        <v>2018</v>
      </c>
      <c r="O268" s="195">
        <v>2019</v>
      </c>
      <c r="P268" s="195">
        <v>2020</v>
      </c>
      <c r="Q268" s="195">
        <v>2021</v>
      </c>
      <c r="R268" s="195">
        <v>2022</v>
      </c>
      <c r="S268" s="195">
        <v>2023</v>
      </c>
      <c r="T268" s="195">
        <v>2024</v>
      </c>
      <c r="U268" s="195">
        <v>2025</v>
      </c>
      <c r="V268" s="195">
        <v>2026</v>
      </c>
      <c r="W268" s="195">
        <v>2027</v>
      </c>
      <c r="X268" s="195">
        <v>2028</v>
      </c>
      <c r="Y268" s="195">
        <v>2029</v>
      </c>
      <c r="Z268" s="195">
        <v>2030</v>
      </c>
    </row>
    <row r="269" spans="1:26">
      <c r="A269" s="195" t="s">
        <v>281</v>
      </c>
      <c r="B269" s="195" t="s">
        <v>282</v>
      </c>
      <c r="C269" s="195" t="s">
        <v>283</v>
      </c>
      <c r="D269" s="195" t="s">
        <v>283</v>
      </c>
      <c r="E269" s="195" t="s">
        <v>283</v>
      </c>
      <c r="F269" s="195" t="s">
        <v>283</v>
      </c>
      <c r="G269" s="195" t="s">
        <v>283</v>
      </c>
      <c r="H269" s="195" t="s">
        <v>283</v>
      </c>
      <c r="I269" s="195" t="s">
        <v>283</v>
      </c>
      <c r="J269" s="195" t="s">
        <v>283</v>
      </c>
      <c r="K269" s="195" t="s">
        <v>283</v>
      </c>
      <c r="L269" s="195" t="s">
        <v>283</v>
      </c>
      <c r="M269" s="195" t="s">
        <v>283</v>
      </c>
      <c r="N269" s="195" t="s">
        <v>283</v>
      </c>
      <c r="O269" s="195" t="s">
        <v>283</v>
      </c>
      <c r="P269" s="195" t="s">
        <v>283</v>
      </c>
      <c r="Q269" s="195" t="s">
        <v>283</v>
      </c>
      <c r="R269" s="195" t="s">
        <v>283</v>
      </c>
      <c r="S269" s="195" t="s">
        <v>283</v>
      </c>
      <c r="T269" s="195" t="s">
        <v>283</v>
      </c>
      <c r="U269" s="195" t="s">
        <v>283</v>
      </c>
      <c r="V269" s="195" t="s">
        <v>283</v>
      </c>
      <c r="W269" s="195" t="s">
        <v>283</v>
      </c>
      <c r="X269" s="195" t="s">
        <v>283</v>
      </c>
      <c r="Y269" s="195" t="s">
        <v>283</v>
      </c>
      <c r="Z269" s="195" t="s">
        <v>284</v>
      </c>
    </row>
    <row r="270" spans="1:26">
      <c r="A270" s="195" t="s">
        <v>197</v>
      </c>
      <c r="B270" s="195" t="s">
        <v>285</v>
      </c>
      <c r="C270" s="195">
        <v>1.008</v>
      </c>
      <c r="D270" s="195">
        <v>0.96299999999999997</v>
      </c>
      <c r="E270" s="195">
        <v>0.91900000000000004</v>
      </c>
      <c r="F270" s="195">
        <v>0.876</v>
      </c>
      <c r="G270" s="195">
        <v>0.876</v>
      </c>
      <c r="H270" s="195">
        <v>0.87</v>
      </c>
      <c r="I270" s="195">
        <v>0.86699999999999999</v>
      </c>
      <c r="J270" s="195">
        <v>0.86799999999999999</v>
      </c>
      <c r="K270" s="195">
        <v>0.86499999999999999</v>
      </c>
      <c r="L270" s="195">
        <v>0.88400000000000001</v>
      </c>
      <c r="M270" s="195">
        <v>0.88900000000000001</v>
      </c>
      <c r="N270" s="195">
        <v>0.90200000000000002</v>
      </c>
      <c r="O270" s="195">
        <v>0.92</v>
      </c>
      <c r="P270" s="195">
        <v>0.93600000000000005</v>
      </c>
      <c r="Q270" s="195">
        <v>0.94299999999999995</v>
      </c>
      <c r="R270" s="195">
        <v>0.95499999999999996</v>
      </c>
      <c r="S270" s="195">
        <v>0.96099999999999997</v>
      </c>
      <c r="T270" s="195">
        <v>0.97</v>
      </c>
      <c r="U270" s="195">
        <v>0.98</v>
      </c>
      <c r="V270" s="195">
        <v>0.98699999999999999</v>
      </c>
      <c r="W270" s="195">
        <v>0.99399999999999999</v>
      </c>
      <c r="X270" s="195">
        <v>1.004</v>
      </c>
      <c r="Y270" s="195">
        <v>1.01</v>
      </c>
      <c r="Z270" s="195">
        <v>1.018</v>
      </c>
    </row>
    <row r="271" spans="1:26">
      <c r="A271" s="195" t="s">
        <v>198</v>
      </c>
      <c r="B271" s="195" t="s">
        <v>285</v>
      </c>
      <c r="C271" s="195">
        <v>0.99</v>
      </c>
      <c r="D271" s="195">
        <v>0.94699999999999995</v>
      </c>
      <c r="E271" s="195">
        <v>0.90300000000000002</v>
      </c>
      <c r="F271" s="195">
        <v>0.86199999999999999</v>
      </c>
      <c r="G271" s="195">
        <v>0.86199999999999999</v>
      </c>
      <c r="H271" s="195">
        <v>0.85599999999999998</v>
      </c>
      <c r="I271" s="195">
        <v>0.85299999999999998</v>
      </c>
      <c r="J271" s="195">
        <v>0.85399999999999998</v>
      </c>
      <c r="K271" s="195">
        <v>0.85</v>
      </c>
      <c r="L271" s="195">
        <v>0.86899999999999999</v>
      </c>
      <c r="M271" s="195">
        <v>0.875</v>
      </c>
      <c r="N271" s="195">
        <v>0.88700000000000001</v>
      </c>
      <c r="O271" s="195">
        <v>0.90600000000000003</v>
      </c>
      <c r="P271" s="195">
        <v>0.92100000000000004</v>
      </c>
      <c r="Q271" s="195">
        <v>0.92900000000000005</v>
      </c>
      <c r="R271" s="195">
        <v>0.94099999999999995</v>
      </c>
      <c r="S271" s="195">
        <v>0.94799999999999995</v>
      </c>
      <c r="T271" s="195">
        <v>0.95699999999999996</v>
      </c>
      <c r="U271" s="195">
        <v>0.96699999999999997</v>
      </c>
      <c r="V271" s="195">
        <v>0.97399999999999998</v>
      </c>
      <c r="W271" s="195">
        <v>0.98099999999999998</v>
      </c>
      <c r="X271" s="195">
        <v>0.99099999999999999</v>
      </c>
      <c r="Y271" s="195">
        <v>0.996</v>
      </c>
      <c r="Z271" s="195">
        <v>1.0049999999999999</v>
      </c>
    </row>
    <row r="272" spans="1:26">
      <c r="A272" s="195" t="s">
        <v>199</v>
      </c>
      <c r="B272" s="195" t="s">
        <v>285</v>
      </c>
      <c r="C272" s="195">
        <v>1.105</v>
      </c>
      <c r="D272" s="195">
        <v>1.054</v>
      </c>
      <c r="E272" s="195">
        <v>1.004</v>
      </c>
      <c r="F272" s="195">
        <v>0.95599999999999996</v>
      </c>
      <c r="G272" s="195">
        <v>0.95299999999999996</v>
      </c>
      <c r="H272" s="195">
        <v>0.94899999999999995</v>
      </c>
      <c r="I272" s="195">
        <v>0.94699999999999995</v>
      </c>
      <c r="J272" s="195">
        <v>0.94699999999999995</v>
      </c>
      <c r="K272" s="195">
        <v>0.94399999999999995</v>
      </c>
      <c r="L272" s="195">
        <v>0.96499999999999997</v>
      </c>
      <c r="M272" s="195">
        <v>0.97099999999999997</v>
      </c>
      <c r="N272" s="195">
        <v>0.98399999999999999</v>
      </c>
      <c r="O272" s="195">
        <v>1</v>
      </c>
      <c r="P272" s="195">
        <v>1.018</v>
      </c>
      <c r="Q272" s="195">
        <v>1.024</v>
      </c>
      <c r="R272" s="195">
        <v>1.034</v>
      </c>
      <c r="S272" s="195">
        <v>1.0369999999999999</v>
      </c>
      <c r="T272" s="195">
        <v>1.0469999999999999</v>
      </c>
      <c r="U272" s="195">
        <v>1.0549999999999999</v>
      </c>
      <c r="V272" s="195">
        <v>1.0629999999999999</v>
      </c>
      <c r="W272" s="195">
        <v>1.07</v>
      </c>
      <c r="X272" s="195">
        <v>1.0820000000000001</v>
      </c>
      <c r="Y272" s="195">
        <v>1.0860000000000001</v>
      </c>
      <c r="Z272" s="195">
        <v>1.0920000000000001</v>
      </c>
    </row>
    <row r="273" spans="1:26">
      <c r="A273" s="195" t="s">
        <v>200</v>
      </c>
      <c r="B273" s="195" t="s">
        <v>285</v>
      </c>
      <c r="C273" s="195">
        <v>0.98299999999999998</v>
      </c>
      <c r="D273" s="195">
        <v>0.94</v>
      </c>
      <c r="E273" s="195">
        <v>0.89400000000000002</v>
      </c>
      <c r="F273" s="195">
        <v>0.85299999999999998</v>
      </c>
      <c r="G273" s="195">
        <v>0.85299999999999998</v>
      </c>
      <c r="H273" s="195">
        <v>0.84699999999999998</v>
      </c>
      <c r="I273" s="195">
        <v>0.84399999999999997</v>
      </c>
      <c r="J273" s="195">
        <v>0.84499999999999997</v>
      </c>
      <c r="K273" s="195">
        <v>0.84199999999999997</v>
      </c>
      <c r="L273" s="195">
        <v>0.86099999999999999</v>
      </c>
      <c r="M273" s="195">
        <v>0.86699999999999999</v>
      </c>
      <c r="N273" s="195">
        <v>0.879</v>
      </c>
      <c r="O273" s="195">
        <v>0.89800000000000002</v>
      </c>
      <c r="P273" s="195">
        <v>0.91300000000000003</v>
      </c>
      <c r="Q273" s="195">
        <v>0.92100000000000004</v>
      </c>
      <c r="R273" s="195">
        <v>0.93300000000000005</v>
      </c>
      <c r="S273" s="195">
        <v>0.94</v>
      </c>
      <c r="T273" s="195">
        <v>0.94899999999999995</v>
      </c>
      <c r="U273" s="195">
        <v>0.95899999999999996</v>
      </c>
      <c r="V273" s="195">
        <v>0.96599999999999997</v>
      </c>
      <c r="W273" s="195">
        <v>0.97299999999999998</v>
      </c>
      <c r="X273" s="195">
        <v>0.98299999999999998</v>
      </c>
      <c r="Y273" s="195">
        <v>0.98799999999999999</v>
      </c>
      <c r="Z273" s="195">
        <v>0.997</v>
      </c>
    </row>
    <row r="274" spans="1:26">
      <c r="A274" s="195" t="s">
        <v>461</v>
      </c>
      <c r="B274" s="195" t="s">
        <v>285</v>
      </c>
      <c r="C274" s="195">
        <v>0</v>
      </c>
      <c r="D274" s="195">
        <v>0</v>
      </c>
      <c r="E274" s="195">
        <v>0</v>
      </c>
      <c r="F274" s="195">
        <v>0</v>
      </c>
      <c r="G274" s="195">
        <v>0</v>
      </c>
      <c r="H274" s="195">
        <v>0</v>
      </c>
      <c r="I274" s="195">
        <v>0</v>
      </c>
      <c r="J274" s="195">
        <v>0</v>
      </c>
      <c r="K274" s="195">
        <v>0</v>
      </c>
      <c r="L274" s="195">
        <v>0</v>
      </c>
      <c r="M274" s="195">
        <v>0</v>
      </c>
      <c r="N274" s="195">
        <v>0</v>
      </c>
      <c r="O274" s="195">
        <v>0</v>
      </c>
      <c r="P274" s="195">
        <v>0</v>
      </c>
      <c r="Q274" s="195">
        <v>0</v>
      </c>
      <c r="R274" s="195">
        <v>0</v>
      </c>
      <c r="S274" s="195">
        <v>0</v>
      </c>
      <c r="T274" s="195">
        <v>0</v>
      </c>
      <c r="U274" s="195">
        <v>0</v>
      </c>
      <c r="V274" s="195">
        <v>0</v>
      </c>
      <c r="W274" s="195">
        <v>0</v>
      </c>
      <c r="X274" s="195">
        <v>0</v>
      </c>
      <c r="Y274" s="195">
        <v>0</v>
      </c>
      <c r="Z274" s="195">
        <v>0</v>
      </c>
    </row>
    <row r="275" spans="1:26">
      <c r="A275" s="195" t="s">
        <v>201</v>
      </c>
      <c r="B275" s="195" t="s">
        <v>285</v>
      </c>
      <c r="C275" s="195">
        <v>0.85899999999999999</v>
      </c>
      <c r="D275" s="195">
        <v>0.83499999999999996</v>
      </c>
      <c r="E275" s="195">
        <v>0.79300000000000004</v>
      </c>
      <c r="F275" s="195">
        <v>0.76100000000000001</v>
      </c>
      <c r="G275" s="195">
        <v>0.76400000000000001</v>
      </c>
      <c r="H275" s="195">
        <v>0.77600000000000002</v>
      </c>
      <c r="I275" s="195">
        <v>0.751</v>
      </c>
      <c r="J275" s="195">
        <v>0.76400000000000001</v>
      </c>
      <c r="K275" s="195">
        <v>0.76700000000000002</v>
      </c>
      <c r="L275" s="195">
        <v>0.77600000000000002</v>
      </c>
      <c r="M275" s="195">
        <v>0.78300000000000003</v>
      </c>
      <c r="N275" s="195">
        <v>0.80400000000000005</v>
      </c>
      <c r="O275" s="195">
        <v>0.79800000000000004</v>
      </c>
      <c r="P275" s="195">
        <v>0.81699999999999995</v>
      </c>
      <c r="Q275" s="195">
        <v>0.81899999999999995</v>
      </c>
      <c r="R275" s="195">
        <v>0.84</v>
      </c>
      <c r="S275" s="195">
        <v>0.84499999999999997</v>
      </c>
      <c r="T275" s="195">
        <v>0.84299999999999997</v>
      </c>
      <c r="U275" s="195">
        <v>0.84799999999999998</v>
      </c>
      <c r="V275" s="195">
        <v>0.85199999999999998</v>
      </c>
      <c r="W275" s="195">
        <v>0.84499999999999997</v>
      </c>
      <c r="X275" s="195">
        <v>0.84899999999999998</v>
      </c>
      <c r="Y275" s="195">
        <v>0.83099999999999996</v>
      </c>
      <c r="Z275" s="195">
        <v>0.83499999999999996</v>
      </c>
    </row>
    <row r="276" spans="1:26">
      <c r="A276" s="195" t="s">
        <v>202</v>
      </c>
      <c r="B276" s="195" t="s">
        <v>285</v>
      </c>
      <c r="C276" s="195">
        <v>0.86</v>
      </c>
      <c r="D276" s="195">
        <v>0.85099999999999998</v>
      </c>
      <c r="E276" s="195">
        <v>0.81200000000000006</v>
      </c>
      <c r="F276" s="195">
        <v>0.76600000000000001</v>
      </c>
      <c r="G276" s="195">
        <v>0.76400000000000001</v>
      </c>
      <c r="H276" s="195">
        <v>0.76700000000000002</v>
      </c>
      <c r="I276" s="195">
        <v>0</v>
      </c>
      <c r="J276" s="195">
        <v>0</v>
      </c>
      <c r="K276" s="195">
        <v>0</v>
      </c>
      <c r="L276" s="195">
        <v>0</v>
      </c>
      <c r="M276" s="195">
        <v>0</v>
      </c>
      <c r="N276" s="195">
        <v>0</v>
      </c>
      <c r="O276" s="195">
        <v>0</v>
      </c>
      <c r="P276" s="195">
        <v>0</v>
      </c>
      <c r="Q276" s="195">
        <v>0</v>
      </c>
      <c r="R276" s="195">
        <v>0</v>
      </c>
      <c r="S276" s="195">
        <v>0</v>
      </c>
      <c r="T276" s="195">
        <v>0</v>
      </c>
      <c r="U276" s="195">
        <v>0</v>
      </c>
      <c r="V276" s="195">
        <v>0</v>
      </c>
      <c r="W276" s="195">
        <v>0</v>
      </c>
      <c r="X276" s="195">
        <v>0</v>
      </c>
      <c r="Y276" s="195">
        <v>0</v>
      </c>
      <c r="Z276" s="195">
        <v>0</v>
      </c>
    </row>
    <row r="277" spans="1:26">
      <c r="A277" s="195" t="s">
        <v>203</v>
      </c>
      <c r="B277" s="195" t="s">
        <v>285</v>
      </c>
      <c r="C277" s="195">
        <v>0.96699999999999997</v>
      </c>
      <c r="D277" s="195">
        <v>0.92</v>
      </c>
      <c r="E277" s="195">
        <v>0.88600000000000001</v>
      </c>
      <c r="F277" s="195">
        <v>0.85499999999999998</v>
      </c>
      <c r="G277" s="195">
        <v>0.86799999999999999</v>
      </c>
      <c r="H277" s="195">
        <v>0.86299999999999999</v>
      </c>
      <c r="I277" s="195">
        <v>0.872</v>
      </c>
      <c r="J277" s="195">
        <v>0.86099999999999999</v>
      </c>
      <c r="K277" s="195">
        <v>0.878</v>
      </c>
      <c r="L277" s="195">
        <v>0.88300000000000001</v>
      </c>
      <c r="M277" s="195">
        <v>0.88400000000000001</v>
      </c>
      <c r="N277" s="195">
        <v>0.89400000000000002</v>
      </c>
      <c r="O277" s="195">
        <v>0.90700000000000003</v>
      </c>
      <c r="P277" s="195">
        <v>0.91500000000000004</v>
      </c>
      <c r="Q277" s="195">
        <v>0.92300000000000004</v>
      </c>
      <c r="R277" s="195">
        <v>0.92800000000000005</v>
      </c>
      <c r="S277" s="195">
        <v>0.94799999999999995</v>
      </c>
      <c r="T277" s="195">
        <v>0.95499999999999996</v>
      </c>
      <c r="U277" s="195">
        <v>0.94899999999999995</v>
      </c>
      <c r="V277" s="195">
        <v>0.96099999999999997</v>
      </c>
      <c r="W277" s="195">
        <v>0.97699999999999998</v>
      </c>
      <c r="X277" s="195">
        <v>0.996</v>
      </c>
      <c r="Y277" s="195">
        <v>0.96899999999999997</v>
      </c>
      <c r="Z277" s="195">
        <v>0.98299999999999998</v>
      </c>
    </row>
    <row r="278" spans="1:26">
      <c r="A278" s="195" t="s">
        <v>204</v>
      </c>
      <c r="B278" s="195" t="s">
        <v>285</v>
      </c>
      <c r="C278" s="195">
        <v>0.84899999999999998</v>
      </c>
      <c r="D278" s="195">
        <v>0.82299999999999995</v>
      </c>
      <c r="E278" s="195">
        <v>0.78400000000000003</v>
      </c>
      <c r="F278" s="195">
        <v>0.76200000000000001</v>
      </c>
      <c r="G278" s="195">
        <v>0.77900000000000003</v>
      </c>
      <c r="H278" s="195">
        <v>0.79</v>
      </c>
      <c r="I278" s="195">
        <v>0.78500000000000003</v>
      </c>
      <c r="J278" s="195">
        <v>0.78900000000000003</v>
      </c>
      <c r="K278" s="195">
        <v>0.80100000000000005</v>
      </c>
      <c r="L278" s="195">
        <v>0.82099999999999995</v>
      </c>
      <c r="M278" s="195">
        <v>0.81599999999999995</v>
      </c>
      <c r="N278" s="195">
        <v>0.84299999999999997</v>
      </c>
      <c r="O278" s="195">
        <v>0.84799999999999998</v>
      </c>
      <c r="P278" s="195">
        <v>0.876</v>
      </c>
      <c r="Q278" s="195">
        <v>0.88500000000000001</v>
      </c>
      <c r="R278" s="195">
        <v>0.89400000000000002</v>
      </c>
      <c r="S278" s="195">
        <v>0.90600000000000003</v>
      </c>
      <c r="T278" s="195">
        <v>0.90100000000000002</v>
      </c>
      <c r="U278" s="195">
        <v>0.90500000000000003</v>
      </c>
      <c r="V278" s="195">
        <v>0.91900000000000004</v>
      </c>
      <c r="W278" s="195">
        <v>0.93700000000000006</v>
      </c>
      <c r="X278" s="195">
        <v>0.96399999999999997</v>
      </c>
      <c r="Y278" s="195">
        <v>0.97199999999999998</v>
      </c>
      <c r="Z278" s="195">
        <v>0.98</v>
      </c>
    </row>
    <row r="279" spans="1:26">
      <c r="A279" s="195" t="s">
        <v>205</v>
      </c>
      <c r="B279" s="195" t="s">
        <v>285</v>
      </c>
      <c r="C279" s="195">
        <v>0.85899999999999999</v>
      </c>
      <c r="D279" s="195">
        <v>0.83499999999999996</v>
      </c>
      <c r="E279" s="195">
        <v>0.79300000000000004</v>
      </c>
      <c r="F279" s="195">
        <v>0.76100000000000001</v>
      </c>
      <c r="G279" s="195">
        <v>0.76400000000000001</v>
      </c>
      <c r="H279" s="195">
        <v>0.77600000000000002</v>
      </c>
      <c r="I279" s="195">
        <v>0.751</v>
      </c>
      <c r="J279" s="195">
        <v>0.76400000000000001</v>
      </c>
      <c r="K279" s="195">
        <v>0.76700000000000002</v>
      </c>
      <c r="L279" s="195">
        <v>0.77600000000000002</v>
      </c>
      <c r="M279" s="195">
        <v>0.78300000000000003</v>
      </c>
      <c r="N279" s="195">
        <v>0.80400000000000005</v>
      </c>
      <c r="O279" s="195">
        <v>0.79800000000000004</v>
      </c>
      <c r="P279" s="195">
        <v>0.81699999999999995</v>
      </c>
      <c r="Q279" s="195">
        <v>0.81899999999999995</v>
      </c>
      <c r="R279" s="195">
        <v>0.84</v>
      </c>
      <c r="S279" s="195">
        <v>0.84499999999999997</v>
      </c>
      <c r="T279" s="195">
        <v>0.84299999999999997</v>
      </c>
      <c r="U279" s="195">
        <v>0.84799999999999998</v>
      </c>
      <c r="V279" s="195">
        <v>0.85199999999999998</v>
      </c>
      <c r="W279" s="195">
        <v>0.84499999999999997</v>
      </c>
      <c r="X279" s="195">
        <v>0.84899999999999998</v>
      </c>
      <c r="Y279" s="195">
        <v>0.83099999999999996</v>
      </c>
      <c r="Z279" s="195">
        <v>0.83499999999999996</v>
      </c>
    </row>
    <row r="280" spans="1:26">
      <c r="A280" s="195" t="s">
        <v>206</v>
      </c>
      <c r="B280" s="195" t="s">
        <v>285</v>
      </c>
      <c r="C280" s="195">
        <v>0.56899999999999995</v>
      </c>
      <c r="D280" s="195">
        <v>0.54700000000000004</v>
      </c>
      <c r="E280" s="195">
        <v>0.52900000000000003</v>
      </c>
      <c r="F280" s="195">
        <v>0.51300000000000001</v>
      </c>
      <c r="G280" s="195">
        <v>0.51500000000000001</v>
      </c>
      <c r="H280" s="195">
        <v>0.51300000000000001</v>
      </c>
      <c r="I280" s="195">
        <v>0.51100000000000001</v>
      </c>
      <c r="J280" s="195">
        <v>0.50900000000000001</v>
      </c>
      <c r="K280" s="195">
        <v>0.50700000000000001</v>
      </c>
      <c r="L280" s="195">
        <v>0.52500000000000002</v>
      </c>
      <c r="M280" s="195">
        <v>0.52900000000000003</v>
      </c>
      <c r="N280" s="195">
        <v>0.55100000000000005</v>
      </c>
      <c r="O280" s="195">
        <v>0.55900000000000005</v>
      </c>
      <c r="P280" s="195">
        <v>0.56399999999999995</v>
      </c>
      <c r="Q280" s="195">
        <v>0.57099999999999995</v>
      </c>
      <c r="R280" s="195">
        <v>0.58099999999999996</v>
      </c>
      <c r="S280" s="195">
        <v>0.58599999999999997</v>
      </c>
      <c r="T280" s="195">
        <v>0.59699999999999998</v>
      </c>
      <c r="U280" s="195">
        <v>0.6</v>
      </c>
      <c r="V280" s="195">
        <v>0.60499999999999998</v>
      </c>
      <c r="W280" s="195">
        <v>0.627</v>
      </c>
      <c r="X280" s="195">
        <v>0.65900000000000003</v>
      </c>
      <c r="Y280" s="195">
        <v>0.65500000000000003</v>
      </c>
      <c r="Z280" s="195">
        <v>0.65700000000000003</v>
      </c>
    </row>
    <row r="281" spans="1:26">
      <c r="A281" s="195" t="s">
        <v>207</v>
      </c>
      <c r="B281" s="195" t="s">
        <v>285</v>
      </c>
      <c r="C281" s="195">
        <v>0.44800000000000001</v>
      </c>
      <c r="D281" s="195">
        <v>0.42899999999999999</v>
      </c>
      <c r="E281" s="195">
        <v>0.41099999999999998</v>
      </c>
      <c r="F281" s="195">
        <v>0.39200000000000002</v>
      </c>
      <c r="G281" s="195">
        <v>0.39100000000000001</v>
      </c>
      <c r="H281" s="195">
        <v>0.38900000000000001</v>
      </c>
      <c r="I281" s="195">
        <v>0.38800000000000001</v>
      </c>
      <c r="J281" s="195">
        <v>0.38600000000000001</v>
      </c>
      <c r="K281" s="195">
        <v>0.38500000000000001</v>
      </c>
      <c r="L281" s="195">
        <v>0.38800000000000001</v>
      </c>
      <c r="M281" s="195">
        <v>0.39100000000000001</v>
      </c>
      <c r="N281" s="195">
        <v>0.39400000000000002</v>
      </c>
      <c r="O281" s="195">
        <v>0.39700000000000002</v>
      </c>
      <c r="P281" s="195">
        <v>0.4</v>
      </c>
      <c r="Q281" s="195">
        <v>0.40400000000000003</v>
      </c>
      <c r="R281" s="195">
        <v>0.40899999999999997</v>
      </c>
      <c r="S281" s="195">
        <v>0.41299999999999998</v>
      </c>
      <c r="T281" s="195">
        <v>0.41799999999999998</v>
      </c>
      <c r="U281" s="195">
        <v>0.42199999999999999</v>
      </c>
      <c r="V281" s="195">
        <v>0.42499999999999999</v>
      </c>
      <c r="W281" s="195">
        <v>0.42799999999999999</v>
      </c>
      <c r="X281" s="195">
        <v>0.43099999999999999</v>
      </c>
      <c r="Y281" s="195">
        <v>0.434</v>
      </c>
      <c r="Z281" s="195">
        <v>0.437</v>
      </c>
    </row>
    <row r="282" spans="1:26">
      <c r="A282" s="195" t="s">
        <v>208</v>
      </c>
      <c r="B282" s="195" t="s">
        <v>285</v>
      </c>
      <c r="C282" s="195">
        <v>0.72599999999999998</v>
      </c>
      <c r="D282" s="195">
        <v>0.71099999999999997</v>
      </c>
      <c r="E282" s="195">
        <v>0.67600000000000005</v>
      </c>
      <c r="F282" s="195">
        <v>0.60899999999999999</v>
      </c>
      <c r="G282" s="195">
        <v>0.629</v>
      </c>
      <c r="H282" s="195">
        <v>0.63100000000000001</v>
      </c>
      <c r="I282" s="195">
        <v>0.61</v>
      </c>
      <c r="J282" s="195">
        <v>0.626</v>
      </c>
      <c r="K282" s="195">
        <v>0.61799999999999999</v>
      </c>
      <c r="L282" s="195">
        <v>0.626</v>
      </c>
      <c r="M282" s="195">
        <v>0.63200000000000001</v>
      </c>
      <c r="N282" s="195">
        <v>0.626</v>
      </c>
      <c r="O282" s="195">
        <v>0.628</v>
      </c>
      <c r="P282" s="195">
        <v>0.66100000000000003</v>
      </c>
      <c r="Q282" s="195">
        <v>0.65300000000000002</v>
      </c>
      <c r="R282" s="195">
        <v>0.64900000000000002</v>
      </c>
      <c r="S282" s="195">
        <v>0.65500000000000003</v>
      </c>
      <c r="T282" s="195">
        <v>0.67800000000000005</v>
      </c>
      <c r="U282" s="195">
        <v>0.68400000000000005</v>
      </c>
      <c r="V282" s="195">
        <v>0.68400000000000005</v>
      </c>
      <c r="W282" s="195">
        <v>0.69</v>
      </c>
      <c r="X282" s="195">
        <v>0.68700000000000006</v>
      </c>
      <c r="Y282" s="195">
        <v>0.68899999999999995</v>
      </c>
      <c r="Z282" s="195">
        <v>0.70699999999999996</v>
      </c>
    </row>
    <row r="283" spans="1:26">
      <c r="A283" s="195" t="s">
        <v>209</v>
      </c>
      <c r="B283" s="195" t="s">
        <v>285</v>
      </c>
      <c r="C283" s="195">
        <v>0.69299999999999995</v>
      </c>
      <c r="D283" s="195">
        <v>0.67400000000000004</v>
      </c>
      <c r="E283" s="195">
        <v>0.63400000000000001</v>
      </c>
      <c r="F283" s="195">
        <v>0.59799999999999998</v>
      </c>
      <c r="G283" s="195">
        <v>0.59899999999999998</v>
      </c>
      <c r="H283" s="195">
        <v>0.58799999999999997</v>
      </c>
      <c r="I283" s="195">
        <v>0.59299999999999997</v>
      </c>
      <c r="J283" s="195">
        <v>0</v>
      </c>
      <c r="K283" s="195">
        <v>0</v>
      </c>
      <c r="L283" s="195">
        <v>0.58499999999999996</v>
      </c>
      <c r="M283" s="195">
        <v>0</v>
      </c>
      <c r="N283" s="195">
        <v>0.60099999999999998</v>
      </c>
      <c r="O283" s="195">
        <v>0.60799999999999998</v>
      </c>
      <c r="P283" s="195">
        <v>0.61</v>
      </c>
      <c r="Q283" s="195">
        <v>0.62</v>
      </c>
      <c r="R283" s="195">
        <v>0.629</v>
      </c>
      <c r="S283" s="195">
        <v>0.64300000000000002</v>
      </c>
      <c r="T283" s="195">
        <v>0.64800000000000002</v>
      </c>
      <c r="U283" s="195">
        <v>0.65800000000000003</v>
      </c>
      <c r="V283" s="195">
        <v>0.66400000000000003</v>
      </c>
      <c r="W283" s="195">
        <v>0.67100000000000004</v>
      </c>
      <c r="X283" s="195">
        <v>0.67700000000000005</v>
      </c>
      <c r="Y283" s="195">
        <v>0.68300000000000005</v>
      </c>
      <c r="Z283" s="195">
        <v>0.69699999999999995</v>
      </c>
    </row>
    <row r="284" spans="1:26">
      <c r="A284" s="195" t="s">
        <v>210</v>
      </c>
      <c r="B284" s="195" t="s">
        <v>285</v>
      </c>
      <c r="C284" s="195">
        <v>0.68700000000000006</v>
      </c>
      <c r="D284" s="195">
        <v>0.65800000000000003</v>
      </c>
      <c r="E284" s="195">
        <v>0.61699999999999999</v>
      </c>
      <c r="F284" s="195">
        <v>0.622</v>
      </c>
      <c r="G284" s="195">
        <v>0.59199999999999997</v>
      </c>
      <c r="H284" s="195">
        <v>0.56999999999999995</v>
      </c>
      <c r="I284" s="195">
        <v>0.59299999999999997</v>
      </c>
      <c r="J284" s="195">
        <v>0.58399999999999996</v>
      </c>
      <c r="K284" s="195">
        <v>0.60699999999999998</v>
      </c>
      <c r="L284" s="195">
        <v>0.54700000000000004</v>
      </c>
      <c r="M284" s="195">
        <v>0.61199999999999999</v>
      </c>
      <c r="N284" s="195">
        <v>0.58399999999999996</v>
      </c>
      <c r="O284" s="195">
        <v>0.59799999999999998</v>
      </c>
      <c r="P284" s="195">
        <v>0.57399999999999995</v>
      </c>
      <c r="Q284" s="195">
        <v>0.58799999999999997</v>
      </c>
      <c r="R284" s="195">
        <v>0.622</v>
      </c>
      <c r="S284" s="195">
        <v>0.67100000000000004</v>
      </c>
      <c r="T284" s="195">
        <v>0.621</v>
      </c>
      <c r="U284" s="195">
        <v>0.63600000000000001</v>
      </c>
      <c r="V284" s="195">
        <v>0.65</v>
      </c>
      <c r="W284" s="195">
        <v>0.65800000000000003</v>
      </c>
      <c r="X284" s="195">
        <v>0.67600000000000005</v>
      </c>
      <c r="Y284" s="195">
        <v>0.72799999999999998</v>
      </c>
      <c r="Z284" s="195">
        <v>0.74299999999999999</v>
      </c>
    </row>
    <row r="285" spans="1:26">
      <c r="A285" s="195" t="s">
        <v>211</v>
      </c>
      <c r="B285" s="195" t="s">
        <v>285</v>
      </c>
      <c r="C285" s="195">
        <v>0.41299999999999998</v>
      </c>
      <c r="D285" s="195">
        <v>0.35199999999999998</v>
      </c>
      <c r="E285" s="195">
        <v>0.29899999999999999</v>
      </c>
      <c r="F285" s="195">
        <v>0.30299999999999999</v>
      </c>
      <c r="G285" s="195">
        <v>0.22500000000000001</v>
      </c>
      <c r="H285" s="195">
        <v>0.2</v>
      </c>
      <c r="I285" s="195">
        <v>0.17799999999999999</v>
      </c>
      <c r="J285" s="195">
        <v>0.16300000000000001</v>
      </c>
      <c r="K285" s="195">
        <v>0.20200000000000001</v>
      </c>
      <c r="L285" s="195">
        <v>0.161</v>
      </c>
      <c r="M285" s="195">
        <v>0.224</v>
      </c>
      <c r="N285" s="195">
        <v>0.10100000000000001</v>
      </c>
      <c r="O285" s="195">
        <v>0.14899999999999999</v>
      </c>
      <c r="P285" s="195">
        <v>8.1000000000000003E-2</v>
      </c>
      <c r="Q285" s="195">
        <v>7.2999999999999995E-2</v>
      </c>
      <c r="R285" s="195">
        <v>0.11</v>
      </c>
      <c r="S285" s="195">
        <v>0.22</v>
      </c>
      <c r="T285" s="195">
        <v>9.0999999999999998E-2</v>
      </c>
      <c r="U285" s="195">
        <v>0.10299999999999999</v>
      </c>
      <c r="V285" s="195">
        <v>0.14199999999999999</v>
      </c>
      <c r="W285" s="195">
        <v>0.17299999999999999</v>
      </c>
      <c r="X285" s="195">
        <v>0.17499999999999999</v>
      </c>
      <c r="Y285" s="195">
        <v>0.28100000000000003</v>
      </c>
      <c r="Z285" s="195">
        <v>0.30499999999999999</v>
      </c>
    </row>
    <row r="286" spans="1:26">
      <c r="A286" s="195" t="s">
        <v>281</v>
      </c>
      <c r="B286" s="195" t="s">
        <v>282</v>
      </c>
      <c r="C286" s="195" t="s">
        <v>283</v>
      </c>
      <c r="D286" s="195" t="s">
        <v>283</v>
      </c>
      <c r="E286" s="195" t="s">
        <v>283</v>
      </c>
      <c r="F286" s="195" t="s">
        <v>283</v>
      </c>
      <c r="G286" s="195" t="s">
        <v>283</v>
      </c>
      <c r="H286" s="195" t="s">
        <v>283</v>
      </c>
      <c r="I286" s="195" t="s">
        <v>283</v>
      </c>
      <c r="J286" s="195" t="s">
        <v>283</v>
      </c>
      <c r="K286" s="195" t="s">
        <v>283</v>
      </c>
      <c r="L286" s="195" t="s">
        <v>283</v>
      </c>
      <c r="M286" s="195" t="s">
        <v>283</v>
      </c>
      <c r="N286" s="195" t="s">
        <v>283</v>
      </c>
      <c r="O286" s="195" t="s">
        <v>283</v>
      </c>
      <c r="P286" s="195" t="s">
        <v>283</v>
      </c>
      <c r="Q286" s="195" t="s">
        <v>283</v>
      </c>
      <c r="R286" s="195" t="s">
        <v>283</v>
      </c>
      <c r="S286" s="195" t="s">
        <v>283</v>
      </c>
      <c r="T286" s="195" t="s">
        <v>283</v>
      </c>
      <c r="U286" s="195" t="s">
        <v>283</v>
      </c>
      <c r="V286" s="195" t="s">
        <v>283</v>
      </c>
      <c r="W286" s="195" t="s">
        <v>283</v>
      </c>
      <c r="X286" s="195" t="s">
        <v>283</v>
      </c>
      <c r="Y286" s="195" t="s">
        <v>283</v>
      </c>
      <c r="Z286" s="195" t="s">
        <v>284</v>
      </c>
    </row>
    <row r="288" spans="1:26">
      <c r="C288" s="202" t="str">
        <f>CONCATENATE(L288,M288,N288,O288,P288,Q288,R288,S288,T288,R289,S289)</f>
        <v>Table 10  USRefinery Gate Prices,PADD , 3</v>
      </c>
      <c r="L288" s="195" t="s">
        <v>266</v>
      </c>
      <c r="M288" s="195" t="s">
        <v>267</v>
      </c>
      <c r="N288" s="195" t="s">
        <v>290</v>
      </c>
      <c r="O288" s="195" t="s">
        <v>291</v>
      </c>
      <c r="P288" s="195" t="s">
        <v>292</v>
      </c>
      <c r="Q288" s="195" t="s">
        <v>293</v>
      </c>
      <c r="R288" s="195" t="s">
        <v>294</v>
      </c>
    </row>
    <row r="289" spans="1:26">
      <c r="L289" s="195" t="s">
        <v>295</v>
      </c>
      <c r="M289" s="195" t="s">
        <v>296</v>
      </c>
      <c r="R289" s="195" t="s">
        <v>274</v>
      </c>
      <c r="S289" s="195" t="s">
        <v>287</v>
      </c>
    </row>
    <row r="290" spans="1:26">
      <c r="A290" s="195" t="s">
        <v>276</v>
      </c>
      <c r="B290" s="195" t="s">
        <v>277</v>
      </c>
      <c r="C290" s="195">
        <v>11006</v>
      </c>
      <c r="D290" s="195" t="s">
        <v>278</v>
      </c>
      <c r="E290" s="195" t="s">
        <v>279</v>
      </c>
      <c r="F290" s="195" t="s">
        <v>280</v>
      </c>
    </row>
    <row r="291" spans="1:26">
      <c r="A291" s="195" t="s">
        <v>281</v>
      </c>
      <c r="B291" s="195" t="s">
        <v>282</v>
      </c>
      <c r="C291" s="195" t="s">
        <v>283</v>
      </c>
      <c r="D291" s="195" t="s">
        <v>283</v>
      </c>
      <c r="E291" s="195" t="s">
        <v>283</v>
      </c>
      <c r="F291" s="195" t="s">
        <v>283</v>
      </c>
      <c r="G291" s="195" t="s">
        <v>283</v>
      </c>
      <c r="H291" s="195" t="s">
        <v>283</v>
      </c>
      <c r="I291" s="195" t="s">
        <v>283</v>
      </c>
      <c r="J291" s="195" t="s">
        <v>283</v>
      </c>
      <c r="K291" s="195" t="s">
        <v>283</v>
      </c>
      <c r="L291" s="195" t="s">
        <v>283</v>
      </c>
      <c r="M291" s="195" t="s">
        <v>283</v>
      </c>
      <c r="N291" s="195" t="s">
        <v>283</v>
      </c>
      <c r="O291" s="195" t="s">
        <v>283</v>
      </c>
      <c r="P291" s="195" t="s">
        <v>283</v>
      </c>
      <c r="Q291" s="195" t="s">
        <v>283</v>
      </c>
      <c r="R291" s="195" t="s">
        <v>283</v>
      </c>
      <c r="S291" s="195" t="s">
        <v>283</v>
      </c>
      <c r="T291" s="195" t="s">
        <v>283</v>
      </c>
      <c r="U291" s="195" t="s">
        <v>283</v>
      </c>
      <c r="V291" s="195" t="s">
        <v>283</v>
      </c>
      <c r="W291" s="195" t="s">
        <v>283</v>
      </c>
      <c r="X291" s="195" t="s">
        <v>283</v>
      </c>
      <c r="Y291" s="195" t="s">
        <v>283</v>
      </c>
      <c r="Z291" s="195" t="s">
        <v>284</v>
      </c>
    </row>
    <row r="292" spans="1:26">
      <c r="C292" s="195">
        <v>2007</v>
      </c>
      <c r="D292" s="195">
        <v>2008</v>
      </c>
      <c r="E292" s="195">
        <v>2009</v>
      </c>
      <c r="F292" s="195">
        <v>2010</v>
      </c>
      <c r="G292" s="195">
        <v>2011</v>
      </c>
      <c r="H292" s="195">
        <v>2012</v>
      </c>
      <c r="I292" s="195">
        <v>2013</v>
      </c>
      <c r="J292" s="195">
        <v>2014</v>
      </c>
      <c r="K292" s="195">
        <v>2015</v>
      </c>
      <c r="L292" s="195">
        <v>2016</v>
      </c>
      <c r="M292" s="195">
        <v>2017</v>
      </c>
      <c r="N292" s="195">
        <v>2018</v>
      </c>
      <c r="O292" s="195">
        <v>2019</v>
      </c>
      <c r="P292" s="195">
        <v>2020</v>
      </c>
      <c r="Q292" s="195">
        <v>2021</v>
      </c>
      <c r="R292" s="195">
        <v>2022</v>
      </c>
      <c r="S292" s="195">
        <v>2023</v>
      </c>
      <c r="T292" s="195">
        <v>2024</v>
      </c>
      <c r="U292" s="195">
        <v>2025</v>
      </c>
      <c r="V292" s="195">
        <v>2026</v>
      </c>
      <c r="W292" s="195">
        <v>2027</v>
      </c>
      <c r="X292" s="195">
        <v>2028</v>
      </c>
      <c r="Y292" s="195">
        <v>2029</v>
      </c>
      <c r="Z292" s="195">
        <v>2030</v>
      </c>
    </row>
    <row r="293" spans="1:26">
      <c r="A293" s="195" t="s">
        <v>281</v>
      </c>
      <c r="B293" s="195" t="s">
        <v>282</v>
      </c>
      <c r="C293" s="195" t="s">
        <v>283</v>
      </c>
      <c r="D293" s="195" t="s">
        <v>283</v>
      </c>
      <c r="E293" s="195" t="s">
        <v>283</v>
      </c>
      <c r="F293" s="195" t="s">
        <v>283</v>
      </c>
      <c r="G293" s="195" t="s">
        <v>283</v>
      </c>
      <c r="H293" s="195" t="s">
        <v>283</v>
      </c>
      <c r="I293" s="195" t="s">
        <v>283</v>
      </c>
      <c r="J293" s="195" t="s">
        <v>283</v>
      </c>
      <c r="K293" s="195" t="s">
        <v>283</v>
      </c>
      <c r="L293" s="195" t="s">
        <v>283</v>
      </c>
      <c r="M293" s="195" t="s">
        <v>283</v>
      </c>
      <c r="N293" s="195" t="s">
        <v>283</v>
      </c>
      <c r="O293" s="195" t="s">
        <v>283</v>
      </c>
      <c r="P293" s="195" t="s">
        <v>283</v>
      </c>
      <c r="Q293" s="195" t="s">
        <v>283</v>
      </c>
      <c r="R293" s="195" t="s">
        <v>283</v>
      </c>
      <c r="S293" s="195" t="s">
        <v>283</v>
      </c>
      <c r="T293" s="195" t="s">
        <v>283</v>
      </c>
      <c r="U293" s="195" t="s">
        <v>283</v>
      </c>
      <c r="V293" s="195" t="s">
        <v>283</v>
      </c>
      <c r="W293" s="195" t="s">
        <v>283</v>
      </c>
      <c r="X293" s="195" t="s">
        <v>283</v>
      </c>
      <c r="Y293" s="195" t="s">
        <v>283</v>
      </c>
      <c r="Z293" s="195" t="s">
        <v>284</v>
      </c>
    </row>
    <row r="294" spans="1:26">
      <c r="A294" s="195" t="s">
        <v>197</v>
      </c>
      <c r="B294" s="195" t="s">
        <v>285</v>
      </c>
      <c r="C294" s="195">
        <v>0.97099999999999997</v>
      </c>
      <c r="D294" s="195">
        <v>0.92600000000000005</v>
      </c>
      <c r="E294" s="195">
        <v>0.88300000000000001</v>
      </c>
      <c r="F294" s="195">
        <v>0.84199999999999997</v>
      </c>
      <c r="G294" s="195">
        <v>0.84099999999999997</v>
      </c>
      <c r="H294" s="195">
        <v>0.83699999999999997</v>
      </c>
      <c r="I294" s="195">
        <v>0.83399999999999996</v>
      </c>
      <c r="J294" s="195">
        <v>0.83499999999999996</v>
      </c>
      <c r="K294" s="195">
        <v>0.83199999999999996</v>
      </c>
      <c r="L294" s="195">
        <v>0.85099999999999998</v>
      </c>
      <c r="M294" s="195">
        <v>0.85699999999999998</v>
      </c>
      <c r="N294" s="195">
        <v>0.86899999999999999</v>
      </c>
      <c r="O294" s="195">
        <v>0.88800000000000001</v>
      </c>
      <c r="P294" s="195">
        <v>0.90300000000000002</v>
      </c>
      <c r="Q294" s="195">
        <v>0.91</v>
      </c>
      <c r="R294" s="195">
        <v>0.92300000000000004</v>
      </c>
      <c r="S294" s="195">
        <v>0.92900000000000005</v>
      </c>
      <c r="T294" s="195">
        <v>0.93899999999999995</v>
      </c>
      <c r="U294" s="195">
        <v>0.94799999999999995</v>
      </c>
      <c r="V294" s="195">
        <v>0.95599999999999996</v>
      </c>
      <c r="W294" s="195">
        <v>0.96199999999999997</v>
      </c>
      <c r="X294" s="195">
        <v>0.97299999999999998</v>
      </c>
      <c r="Y294" s="195">
        <v>0.97899999999999998</v>
      </c>
      <c r="Z294" s="195">
        <v>0.98799999999999999</v>
      </c>
    </row>
    <row r="295" spans="1:26">
      <c r="A295" s="195" t="s">
        <v>198</v>
      </c>
      <c r="B295" s="195" t="s">
        <v>285</v>
      </c>
      <c r="C295" s="195">
        <v>0.95699999999999996</v>
      </c>
      <c r="D295" s="195">
        <v>0.91300000000000003</v>
      </c>
      <c r="E295" s="195">
        <v>0.87</v>
      </c>
      <c r="F295" s="195">
        <v>0.83</v>
      </c>
      <c r="G295" s="195">
        <v>0.83</v>
      </c>
      <c r="H295" s="195">
        <v>0.82499999999999996</v>
      </c>
      <c r="I295" s="195">
        <v>0.82199999999999995</v>
      </c>
      <c r="J295" s="195">
        <v>0.82299999999999995</v>
      </c>
      <c r="K295" s="195">
        <v>0.82</v>
      </c>
      <c r="L295" s="195">
        <v>0.83899999999999997</v>
      </c>
      <c r="M295" s="195">
        <v>0.84499999999999997</v>
      </c>
      <c r="N295" s="195">
        <v>0.85699999999999998</v>
      </c>
      <c r="O295" s="195">
        <v>0.876</v>
      </c>
      <c r="P295" s="195">
        <v>0.89200000000000002</v>
      </c>
      <c r="Q295" s="195">
        <v>0.89900000000000002</v>
      </c>
      <c r="R295" s="195">
        <v>0.91100000000000003</v>
      </c>
      <c r="S295" s="195">
        <v>0.91800000000000004</v>
      </c>
      <c r="T295" s="195">
        <v>0.92700000000000005</v>
      </c>
      <c r="U295" s="195">
        <v>0.93700000000000006</v>
      </c>
      <c r="V295" s="195">
        <v>0.94399999999999995</v>
      </c>
      <c r="W295" s="195">
        <v>0.95099999999999996</v>
      </c>
      <c r="X295" s="195">
        <v>0.96099999999999997</v>
      </c>
      <c r="Y295" s="195">
        <v>0.96699999999999997</v>
      </c>
      <c r="Z295" s="195">
        <v>0.97499999999999998</v>
      </c>
    </row>
    <row r="296" spans="1:26">
      <c r="A296" s="195" t="s">
        <v>199</v>
      </c>
      <c r="B296" s="195" t="s">
        <v>285</v>
      </c>
      <c r="C296" s="195">
        <v>1.032</v>
      </c>
      <c r="D296" s="195">
        <v>0.98199999999999998</v>
      </c>
      <c r="E296" s="195">
        <v>0.93600000000000005</v>
      </c>
      <c r="F296" s="195">
        <v>0.89200000000000002</v>
      </c>
      <c r="G296" s="195">
        <v>0.88900000000000001</v>
      </c>
      <c r="H296" s="195">
        <v>0.88500000000000001</v>
      </c>
      <c r="I296" s="195">
        <v>0.88400000000000001</v>
      </c>
      <c r="J296" s="195">
        <v>0.88500000000000001</v>
      </c>
      <c r="K296" s="195">
        <v>0.88100000000000001</v>
      </c>
      <c r="L296" s="195">
        <v>0.89900000000000002</v>
      </c>
      <c r="M296" s="195">
        <v>0.90600000000000003</v>
      </c>
      <c r="N296" s="195">
        <v>0.91600000000000004</v>
      </c>
      <c r="O296" s="195">
        <v>0.93400000000000005</v>
      </c>
      <c r="P296" s="195">
        <v>0.94899999999999995</v>
      </c>
      <c r="Q296" s="195">
        <v>0.95699999999999996</v>
      </c>
      <c r="R296" s="195">
        <v>0.96799999999999997</v>
      </c>
      <c r="S296" s="195">
        <v>0.97599999999999998</v>
      </c>
      <c r="T296" s="195">
        <v>0.98499999999999999</v>
      </c>
      <c r="U296" s="195">
        <v>0.995</v>
      </c>
      <c r="V296" s="195">
        <v>1.002</v>
      </c>
      <c r="W296" s="195">
        <v>1.0089999999999999</v>
      </c>
      <c r="X296" s="195">
        <v>1.0189999999999999</v>
      </c>
      <c r="Y296" s="195">
        <v>1.03</v>
      </c>
      <c r="Z296" s="195">
        <v>1.038</v>
      </c>
    </row>
    <row r="297" spans="1:26">
      <c r="A297" s="195" t="s">
        <v>200</v>
      </c>
      <c r="B297" s="195" t="s">
        <v>285</v>
      </c>
      <c r="C297" s="195">
        <v>0.94299999999999995</v>
      </c>
      <c r="D297" s="195">
        <v>0.9</v>
      </c>
      <c r="E297" s="195">
        <v>0.85699999999999998</v>
      </c>
      <c r="F297" s="195">
        <v>0.81699999999999995</v>
      </c>
      <c r="G297" s="195">
        <v>0.81699999999999995</v>
      </c>
      <c r="H297" s="195">
        <v>0.81399999999999995</v>
      </c>
      <c r="I297" s="195">
        <v>0.81100000000000005</v>
      </c>
      <c r="J297" s="195">
        <v>0.81100000000000005</v>
      </c>
      <c r="K297" s="195">
        <v>0.80800000000000005</v>
      </c>
      <c r="L297" s="195">
        <v>0.82699999999999996</v>
      </c>
      <c r="M297" s="195">
        <v>0.83299999999999996</v>
      </c>
      <c r="N297" s="195">
        <v>0.84599999999999997</v>
      </c>
      <c r="O297" s="195">
        <v>0.86499999999999999</v>
      </c>
      <c r="P297" s="195">
        <v>0.88</v>
      </c>
      <c r="Q297" s="195">
        <v>0.88800000000000001</v>
      </c>
      <c r="R297" s="195">
        <v>0.9</v>
      </c>
      <c r="S297" s="195">
        <v>0.90700000000000003</v>
      </c>
      <c r="T297" s="195">
        <v>0.91600000000000004</v>
      </c>
      <c r="U297" s="195">
        <v>0.92500000000000004</v>
      </c>
      <c r="V297" s="195">
        <v>0.93300000000000005</v>
      </c>
      <c r="W297" s="195">
        <v>0.93899999999999995</v>
      </c>
      <c r="X297" s="195">
        <v>0.95</v>
      </c>
      <c r="Y297" s="195">
        <v>0.95499999999999996</v>
      </c>
      <c r="Z297" s="195">
        <v>0.96399999999999997</v>
      </c>
    </row>
    <row r="298" spans="1:26">
      <c r="A298" s="195" t="s">
        <v>461</v>
      </c>
      <c r="B298" s="195" t="s">
        <v>285</v>
      </c>
      <c r="C298" s="195">
        <v>0</v>
      </c>
      <c r="D298" s="195">
        <v>0</v>
      </c>
      <c r="E298" s="195">
        <v>0</v>
      </c>
      <c r="F298" s="195">
        <v>0</v>
      </c>
      <c r="G298" s="195">
        <v>0</v>
      </c>
      <c r="H298" s="195">
        <v>0</v>
      </c>
      <c r="I298" s="195">
        <v>0</v>
      </c>
      <c r="J298" s="195">
        <v>0</v>
      </c>
      <c r="K298" s="195">
        <v>0</v>
      </c>
      <c r="L298" s="195">
        <v>0</v>
      </c>
      <c r="M298" s="195">
        <v>0</v>
      </c>
      <c r="N298" s="195">
        <v>0</v>
      </c>
      <c r="O298" s="195">
        <v>0</v>
      </c>
      <c r="P298" s="195">
        <v>0</v>
      </c>
      <c r="Q298" s="195">
        <v>0</v>
      </c>
      <c r="R298" s="195">
        <v>0</v>
      </c>
      <c r="S298" s="195">
        <v>0</v>
      </c>
      <c r="T298" s="195">
        <v>0</v>
      </c>
      <c r="U298" s="195">
        <v>0</v>
      </c>
      <c r="V298" s="195">
        <v>0</v>
      </c>
      <c r="W298" s="195">
        <v>0</v>
      </c>
      <c r="X298" s="195">
        <v>0</v>
      </c>
      <c r="Y298" s="195">
        <v>0</v>
      </c>
      <c r="Z298" s="195">
        <v>0</v>
      </c>
    </row>
    <row r="299" spans="1:26">
      <c r="A299" s="195" t="s">
        <v>201</v>
      </c>
      <c r="B299" s="195" t="s">
        <v>285</v>
      </c>
      <c r="C299" s="195">
        <v>0.84599999999999997</v>
      </c>
      <c r="D299" s="195">
        <v>0.82</v>
      </c>
      <c r="E299" s="195">
        <v>0.78</v>
      </c>
      <c r="F299" s="195">
        <v>0.753</v>
      </c>
      <c r="G299" s="195">
        <v>0.75</v>
      </c>
      <c r="H299" s="195">
        <v>0.76300000000000001</v>
      </c>
      <c r="I299" s="195">
        <v>0.73099999999999998</v>
      </c>
      <c r="J299" s="195">
        <v>0.74399999999999999</v>
      </c>
      <c r="K299" s="195">
        <v>0.747</v>
      </c>
      <c r="L299" s="195">
        <v>0.77</v>
      </c>
      <c r="M299" s="195">
        <v>0.76300000000000001</v>
      </c>
      <c r="N299" s="195">
        <v>0.78400000000000003</v>
      </c>
      <c r="O299" s="195">
        <v>0.78900000000000003</v>
      </c>
      <c r="P299" s="195">
        <v>0.79700000000000004</v>
      </c>
      <c r="Q299" s="195">
        <v>0.80300000000000005</v>
      </c>
      <c r="R299" s="195">
        <v>0.82</v>
      </c>
      <c r="S299" s="195">
        <v>0.82599999999999996</v>
      </c>
      <c r="T299" s="195">
        <v>0.83399999999999996</v>
      </c>
      <c r="U299" s="195">
        <v>0.84199999999999997</v>
      </c>
      <c r="V299" s="195">
        <v>0.84599999999999997</v>
      </c>
      <c r="W299" s="195">
        <v>0.85</v>
      </c>
      <c r="X299" s="195">
        <v>0.85499999999999998</v>
      </c>
      <c r="Y299" s="195">
        <v>0.86499999999999999</v>
      </c>
      <c r="Z299" s="195">
        <v>0.872</v>
      </c>
    </row>
    <row r="300" spans="1:26">
      <c r="A300" s="195" t="s">
        <v>202</v>
      </c>
      <c r="B300" s="195" t="s">
        <v>285</v>
      </c>
      <c r="C300" s="195">
        <v>0.85299999999999998</v>
      </c>
      <c r="D300" s="195">
        <v>0.83399999999999996</v>
      </c>
      <c r="E300" s="195">
        <v>0.79200000000000004</v>
      </c>
      <c r="F300" s="195">
        <v>0.755</v>
      </c>
      <c r="G300" s="195">
        <v>0.74399999999999999</v>
      </c>
      <c r="H300" s="195">
        <v>0.753</v>
      </c>
      <c r="I300" s="195">
        <v>0</v>
      </c>
      <c r="J300" s="195">
        <v>0</v>
      </c>
      <c r="K300" s="195">
        <v>0</v>
      </c>
      <c r="L300" s="195">
        <v>0</v>
      </c>
      <c r="M300" s="195">
        <v>0</v>
      </c>
      <c r="N300" s="195">
        <v>0</v>
      </c>
      <c r="O300" s="195">
        <v>0</v>
      </c>
      <c r="P300" s="195">
        <v>0</v>
      </c>
      <c r="Q300" s="195">
        <v>0</v>
      </c>
      <c r="R300" s="195">
        <v>0</v>
      </c>
      <c r="S300" s="195">
        <v>0</v>
      </c>
      <c r="T300" s="195">
        <v>0</v>
      </c>
      <c r="U300" s="195">
        <v>0</v>
      </c>
      <c r="V300" s="195">
        <v>0</v>
      </c>
      <c r="W300" s="195">
        <v>0</v>
      </c>
      <c r="X300" s="195">
        <v>0</v>
      </c>
      <c r="Y300" s="195">
        <v>0</v>
      </c>
      <c r="Z300" s="195">
        <v>0</v>
      </c>
    </row>
    <row r="301" spans="1:26">
      <c r="A301" s="195" t="s">
        <v>203</v>
      </c>
      <c r="B301" s="195" t="s">
        <v>285</v>
      </c>
      <c r="C301" s="195">
        <v>0.94699999999999995</v>
      </c>
      <c r="D301" s="195">
        <v>0.9</v>
      </c>
      <c r="E301" s="195">
        <v>0.86599999999999999</v>
      </c>
      <c r="F301" s="195">
        <v>0.83499999999999996</v>
      </c>
      <c r="G301" s="195">
        <v>0.84799999999999998</v>
      </c>
      <c r="H301" s="195">
        <v>0.84299999999999997</v>
      </c>
      <c r="I301" s="195">
        <v>0.85199999999999998</v>
      </c>
      <c r="J301" s="195">
        <v>0.84099999999999997</v>
      </c>
      <c r="K301" s="195">
        <v>0.85799999999999998</v>
      </c>
      <c r="L301" s="195">
        <v>0.86299999999999999</v>
      </c>
      <c r="M301" s="195">
        <v>0.86399999999999999</v>
      </c>
      <c r="N301" s="195">
        <v>0.874</v>
      </c>
      <c r="O301" s="195">
        <v>0.88700000000000001</v>
      </c>
      <c r="P301" s="195">
        <v>0.89500000000000002</v>
      </c>
      <c r="Q301" s="195">
        <v>0.90300000000000002</v>
      </c>
      <c r="R301" s="195">
        <v>0.90800000000000003</v>
      </c>
      <c r="S301" s="195">
        <v>0.92800000000000005</v>
      </c>
      <c r="T301" s="195">
        <v>0.93500000000000005</v>
      </c>
      <c r="U301" s="195">
        <v>0.94299999999999995</v>
      </c>
      <c r="V301" s="195">
        <v>0.95599999999999996</v>
      </c>
      <c r="W301" s="195">
        <v>0.97099999999999997</v>
      </c>
      <c r="X301" s="195">
        <v>0.99</v>
      </c>
      <c r="Y301" s="195">
        <v>0.97399999999999998</v>
      </c>
      <c r="Z301" s="195">
        <v>0.99</v>
      </c>
    </row>
    <row r="302" spans="1:26">
      <c r="A302" s="195" t="s">
        <v>204</v>
      </c>
      <c r="B302" s="195" t="s">
        <v>285</v>
      </c>
      <c r="C302" s="195">
        <v>0.84499999999999997</v>
      </c>
      <c r="D302" s="195">
        <v>0.81899999999999995</v>
      </c>
      <c r="E302" s="195">
        <v>0.78100000000000003</v>
      </c>
      <c r="F302" s="195">
        <v>0.75900000000000001</v>
      </c>
      <c r="G302" s="195">
        <v>0.77600000000000002</v>
      </c>
      <c r="H302" s="195">
        <v>0.78700000000000003</v>
      </c>
      <c r="I302" s="195">
        <v>0.77300000000000002</v>
      </c>
      <c r="J302" s="195">
        <v>0.78600000000000003</v>
      </c>
      <c r="K302" s="195">
        <v>0.79</v>
      </c>
      <c r="L302" s="195">
        <v>0.80900000000000005</v>
      </c>
      <c r="M302" s="195">
        <v>0.80400000000000005</v>
      </c>
      <c r="N302" s="195">
        <v>0.82899999999999996</v>
      </c>
      <c r="O302" s="195">
        <v>0.84299999999999997</v>
      </c>
      <c r="P302" s="195">
        <v>0.85899999999999999</v>
      </c>
      <c r="Q302" s="195">
        <v>0.87</v>
      </c>
      <c r="R302" s="195">
        <v>0.88100000000000001</v>
      </c>
      <c r="S302" s="195">
        <v>0.88600000000000001</v>
      </c>
      <c r="T302" s="195">
        <v>0.89700000000000002</v>
      </c>
      <c r="U302" s="195">
        <v>0.90100000000000002</v>
      </c>
      <c r="V302" s="195">
        <v>0.91200000000000003</v>
      </c>
      <c r="W302" s="195">
        <v>0.92600000000000005</v>
      </c>
      <c r="X302" s="195">
        <v>0.94399999999999995</v>
      </c>
      <c r="Y302" s="195">
        <v>0.95199999999999996</v>
      </c>
      <c r="Z302" s="195">
        <v>0.96</v>
      </c>
    </row>
    <row r="303" spans="1:26">
      <c r="A303" s="195" t="s">
        <v>205</v>
      </c>
      <c r="B303" s="195" t="s">
        <v>285</v>
      </c>
      <c r="C303" s="195">
        <v>0.84599999999999997</v>
      </c>
      <c r="D303" s="195">
        <v>0.82</v>
      </c>
      <c r="E303" s="195">
        <v>0.78</v>
      </c>
      <c r="F303" s="195">
        <v>0.753</v>
      </c>
      <c r="G303" s="195">
        <v>0.75</v>
      </c>
      <c r="H303" s="195">
        <v>0.76300000000000001</v>
      </c>
      <c r="I303" s="195">
        <v>0.73099999999999998</v>
      </c>
      <c r="J303" s="195">
        <v>0.74399999999999999</v>
      </c>
      <c r="K303" s="195">
        <v>0.747</v>
      </c>
      <c r="L303" s="195">
        <v>0.77</v>
      </c>
      <c r="M303" s="195">
        <v>0.76300000000000001</v>
      </c>
      <c r="N303" s="195">
        <v>0.78400000000000003</v>
      </c>
      <c r="O303" s="195">
        <v>0.78900000000000003</v>
      </c>
      <c r="P303" s="195">
        <v>0.79700000000000004</v>
      </c>
      <c r="Q303" s="195">
        <v>0.80300000000000005</v>
      </c>
      <c r="R303" s="195">
        <v>0.82</v>
      </c>
      <c r="S303" s="195">
        <v>0.82599999999999996</v>
      </c>
      <c r="T303" s="195">
        <v>0.83399999999999996</v>
      </c>
      <c r="U303" s="195">
        <v>0.84199999999999997</v>
      </c>
      <c r="V303" s="195">
        <v>0.84599999999999997</v>
      </c>
      <c r="W303" s="195">
        <v>0.85</v>
      </c>
      <c r="X303" s="195">
        <v>0.85499999999999998</v>
      </c>
      <c r="Y303" s="195">
        <v>0.86499999999999999</v>
      </c>
      <c r="Z303" s="195">
        <v>0.872</v>
      </c>
    </row>
    <row r="304" spans="1:26">
      <c r="A304" s="195" t="s">
        <v>206</v>
      </c>
      <c r="B304" s="195" t="s">
        <v>285</v>
      </c>
      <c r="C304" s="195">
        <v>0.56899999999999995</v>
      </c>
      <c r="D304" s="195">
        <v>0.54800000000000004</v>
      </c>
      <c r="E304" s="195">
        <v>0.53</v>
      </c>
      <c r="F304" s="195">
        <v>0.51400000000000001</v>
      </c>
      <c r="G304" s="195">
        <v>0.51600000000000001</v>
      </c>
      <c r="H304" s="195">
        <v>0.51400000000000001</v>
      </c>
      <c r="I304" s="195">
        <v>0.51</v>
      </c>
      <c r="J304" s="195">
        <v>0.504</v>
      </c>
      <c r="K304" s="195">
        <v>0.50800000000000001</v>
      </c>
      <c r="L304" s="195">
        <v>0.52500000000000002</v>
      </c>
      <c r="M304" s="195">
        <v>0.53</v>
      </c>
      <c r="N304" s="195">
        <v>0.55200000000000005</v>
      </c>
      <c r="O304" s="195">
        <v>0.56100000000000005</v>
      </c>
      <c r="P304" s="195">
        <v>0.56599999999999995</v>
      </c>
      <c r="Q304" s="195">
        <v>0.57899999999999996</v>
      </c>
      <c r="R304" s="195">
        <v>0.58799999999999997</v>
      </c>
      <c r="S304" s="195">
        <v>0.59299999999999997</v>
      </c>
      <c r="T304" s="195">
        <v>0.60499999999999998</v>
      </c>
      <c r="U304" s="195">
        <v>0.60799999999999998</v>
      </c>
      <c r="V304" s="195">
        <v>0.61299999999999999</v>
      </c>
      <c r="W304" s="195">
        <v>0.63500000000000001</v>
      </c>
      <c r="X304" s="195">
        <v>0.66700000000000004</v>
      </c>
      <c r="Y304" s="195">
        <v>0.66200000000000003</v>
      </c>
      <c r="Z304" s="195">
        <v>0.66400000000000003</v>
      </c>
    </row>
    <row r="305" spans="1:26">
      <c r="A305" s="195" t="s">
        <v>207</v>
      </c>
      <c r="B305" s="195" t="s">
        <v>285</v>
      </c>
      <c r="C305" s="195">
        <v>0.43</v>
      </c>
      <c r="D305" s="195">
        <v>0.41199999999999998</v>
      </c>
      <c r="E305" s="195">
        <v>0.39300000000000002</v>
      </c>
      <c r="F305" s="195">
        <v>0.375</v>
      </c>
      <c r="G305" s="195">
        <v>0.373</v>
      </c>
      <c r="H305" s="195">
        <v>0.372</v>
      </c>
      <c r="I305" s="195">
        <v>0.37</v>
      </c>
      <c r="J305" s="195">
        <v>0.36899999999999999</v>
      </c>
      <c r="K305" s="195">
        <v>0.36699999999999999</v>
      </c>
      <c r="L305" s="195">
        <v>0.37</v>
      </c>
      <c r="M305" s="195">
        <v>0.373</v>
      </c>
      <c r="N305" s="195">
        <v>0.376</v>
      </c>
      <c r="O305" s="195">
        <v>0.379</v>
      </c>
      <c r="P305" s="195">
        <v>0.38200000000000001</v>
      </c>
      <c r="Q305" s="195">
        <v>0.38700000000000001</v>
      </c>
      <c r="R305" s="195">
        <v>0.39100000000000001</v>
      </c>
      <c r="S305" s="195">
        <v>0.39600000000000002</v>
      </c>
      <c r="T305" s="195">
        <v>0.4</v>
      </c>
      <c r="U305" s="195">
        <v>0.40400000000000003</v>
      </c>
      <c r="V305" s="195">
        <v>0.40699999999999997</v>
      </c>
      <c r="W305" s="195">
        <v>0.41</v>
      </c>
      <c r="X305" s="195">
        <v>0.41299999999999998</v>
      </c>
      <c r="Y305" s="195">
        <v>0.41599999999999998</v>
      </c>
      <c r="Z305" s="195">
        <v>0.41899999999999998</v>
      </c>
    </row>
    <row r="306" spans="1:26">
      <c r="A306" s="195" t="s">
        <v>208</v>
      </c>
      <c r="B306" s="195" t="s">
        <v>285</v>
      </c>
      <c r="C306" s="195">
        <v>0.73599999999999999</v>
      </c>
      <c r="D306" s="195">
        <v>0.72099999999999997</v>
      </c>
      <c r="E306" s="195">
        <v>0.68600000000000005</v>
      </c>
      <c r="F306" s="195">
        <v>0.61899999999999999</v>
      </c>
      <c r="G306" s="195">
        <v>0.63900000000000001</v>
      </c>
      <c r="H306" s="195">
        <v>0.64100000000000001</v>
      </c>
      <c r="I306" s="195">
        <v>0.62</v>
      </c>
      <c r="J306" s="195">
        <v>0.63600000000000001</v>
      </c>
      <c r="K306" s="195">
        <v>0.628</v>
      </c>
      <c r="L306" s="195">
        <v>0.63600000000000001</v>
      </c>
      <c r="M306" s="195">
        <v>0.64200000000000002</v>
      </c>
      <c r="N306" s="195">
        <v>0.63600000000000001</v>
      </c>
      <c r="O306" s="195">
        <v>0.63800000000000001</v>
      </c>
      <c r="P306" s="195">
        <v>0.67100000000000004</v>
      </c>
      <c r="Q306" s="195">
        <v>0.66300000000000003</v>
      </c>
      <c r="R306" s="195">
        <v>0.65900000000000003</v>
      </c>
      <c r="S306" s="195">
        <v>0.66500000000000004</v>
      </c>
      <c r="T306" s="195">
        <v>0.68799999999999994</v>
      </c>
      <c r="U306" s="195">
        <v>0.69399999999999995</v>
      </c>
      <c r="V306" s="195">
        <v>0.69399999999999995</v>
      </c>
      <c r="W306" s="195">
        <v>0.7</v>
      </c>
      <c r="X306" s="195">
        <v>0.69699999999999995</v>
      </c>
      <c r="Y306" s="195">
        <v>0.69899999999999995</v>
      </c>
      <c r="Z306" s="195">
        <v>0.71799999999999997</v>
      </c>
    </row>
    <row r="307" spans="1:26">
      <c r="A307" s="195" t="s">
        <v>209</v>
      </c>
      <c r="B307" s="195" t="s">
        <v>285</v>
      </c>
      <c r="C307" s="195">
        <v>0.72299999999999998</v>
      </c>
      <c r="D307" s="195">
        <v>0</v>
      </c>
      <c r="E307" s="195">
        <v>0</v>
      </c>
      <c r="F307" s="195">
        <v>0</v>
      </c>
      <c r="G307" s="195">
        <v>0</v>
      </c>
      <c r="H307" s="195">
        <v>0</v>
      </c>
      <c r="I307" s="195">
        <v>0</v>
      </c>
      <c r="J307" s="195">
        <v>0</v>
      </c>
      <c r="K307" s="195">
        <v>0</v>
      </c>
      <c r="L307" s="195">
        <v>0.59399999999999997</v>
      </c>
      <c r="M307" s="195">
        <v>0</v>
      </c>
      <c r="N307" s="195">
        <v>0</v>
      </c>
      <c r="O307" s="195">
        <v>0</v>
      </c>
      <c r="P307" s="195">
        <v>0.62</v>
      </c>
      <c r="Q307" s="195">
        <v>0.629</v>
      </c>
      <c r="R307" s="195">
        <v>0.63900000000000001</v>
      </c>
      <c r="S307" s="195">
        <v>0</v>
      </c>
      <c r="T307" s="195">
        <v>0.65800000000000003</v>
      </c>
      <c r="U307" s="195">
        <v>0.66800000000000004</v>
      </c>
      <c r="V307" s="195">
        <v>0.67400000000000004</v>
      </c>
      <c r="W307" s="195">
        <v>0.68100000000000005</v>
      </c>
      <c r="X307" s="195">
        <v>0.68700000000000006</v>
      </c>
      <c r="Y307" s="195">
        <v>0</v>
      </c>
      <c r="Z307" s="195">
        <v>0</v>
      </c>
    </row>
    <row r="308" spans="1:26">
      <c r="A308" s="195" t="s">
        <v>210</v>
      </c>
      <c r="B308" s="195" t="s">
        <v>285</v>
      </c>
      <c r="C308" s="195">
        <v>0.72299999999999998</v>
      </c>
      <c r="D308" s="195">
        <v>0.68200000000000005</v>
      </c>
      <c r="E308" s="195">
        <v>0.64300000000000002</v>
      </c>
      <c r="F308" s="195">
        <v>0.63600000000000001</v>
      </c>
      <c r="G308" s="195">
        <v>0.59399999999999997</v>
      </c>
      <c r="H308" s="195">
        <v>0.56999999999999995</v>
      </c>
      <c r="I308" s="195">
        <v>0.59599999999999997</v>
      </c>
      <c r="J308" s="195">
        <v>0.58599999999999997</v>
      </c>
      <c r="K308" s="195">
        <v>0.61199999999999999</v>
      </c>
      <c r="L308" s="195">
        <v>0.54700000000000004</v>
      </c>
      <c r="M308" s="195">
        <v>0.61699999999999999</v>
      </c>
      <c r="N308" s="195">
        <v>0.58699999999999997</v>
      </c>
      <c r="O308" s="195">
        <v>0.60199999999999998</v>
      </c>
      <c r="P308" s="195">
        <v>0.57599999999999996</v>
      </c>
      <c r="Q308" s="195">
        <v>0.59099999999999997</v>
      </c>
      <c r="R308" s="195">
        <v>0.624</v>
      </c>
      <c r="S308" s="195">
        <v>0.68500000000000005</v>
      </c>
      <c r="T308" s="195">
        <v>0.623</v>
      </c>
      <c r="U308" s="195">
        <v>0.63800000000000001</v>
      </c>
      <c r="V308" s="195">
        <v>0.65200000000000002</v>
      </c>
      <c r="W308" s="195">
        <v>0.66</v>
      </c>
      <c r="X308" s="195">
        <v>0.67900000000000005</v>
      </c>
      <c r="Y308" s="195">
        <v>0.73099999999999998</v>
      </c>
      <c r="Z308" s="195">
        <v>0.75700000000000001</v>
      </c>
    </row>
    <row r="309" spans="1:26">
      <c r="A309" s="195" t="s">
        <v>211</v>
      </c>
      <c r="B309" s="195" t="s">
        <v>285</v>
      </c>
      <c r="C309" s="195">
        <v>0.42599999999999999</v>
      </c>
      <c r="D309" s="195">
        <v>0.36499999999999999</v>
      </c>
      <c r="E309" s="195">
        <v>0.311</v>
      </c>
      <c r="F309" s="195">
        <v>0.315</v>
      </c>
      <c r="G309" s="195">
        <v>0.23699999999999999</v>
      </c>
      <c r="H309" s="195">
        <v>0.21199999999999999</v>
      </c>
      <c r="I309" s="195">
        <v>0.19</v>
      </c>
      <c r="J309" s="195">
        <v>0.17599999999999999</v>
      </c>
      <c r="K309" s="195">
        <v>0.215</v>
      </c>
      <c r="L309" s="195">
        <v>0.17299999999999999</v>
      </c>
      <c r="M309" s="195">
        <v>0.23599999999999999</v>
      </c>
      <c r="N309" s="195">
        <v>0.114</v>
      </c>
      <c r="O309" s="195">
        <v>0.16200000000000001</v>
      </c>
      <c r="P309" s="195">
        <v>9.4E-2</v>
      </c>
      <c r="Q309" s="195">
        <v>8.5000000000000006E-2</v>
      </c>
      <c r="R309" s="195">
        <v>0.123</v>
      </c>
      <c r="S309" s="195">
        <v>0.23300000000000001</v>
      </c>
      <c r="T309" s="195">
        <v>0.10299999999999999</v>
      </c>
      <c r="U309" s="195">
        <v>0.11600000000000001</v>
      </c>
      <c r="V309" s="195">
        <v>0.154</v>
      </c>
      <c r="W309" s="195">
        <v>0.186</v>
      </c>
      <c r="X309" s="195">
        <v>0.188</v>
      </c>
      <c r="Y309" s="195">
        <v>0.29399999999999998</v>
      </c>
      <c r="Z309" s="195">
        <v>0.318</v>
      </c>
    </row>
    <row r="310" spans="1:26">
      <c r="A310" s="195" t="s">
        <v>281</v>
      </c>
      <c r="B310" s="195" t="s">
        <v>282</v>
      </c>
      <c r="C310" s="195" t="s">
        <v>283</v>
      </c>
      <c r="D310" s="195" t="s">
        <v>283</v>
      </c>
      <c r="E310" s="195" t="s">
        <v>283</v>
      </c>
      <c r="F310" s="195" t="s">
        <v>283</v>
      </c>
      <c r="G310" s="195" t="s">
        <v>283</v>
      </c>
      <c r="H310" s="195" t="s">
        <v>283</v>
      </c>
      <c r="I310" s="195" t="s">
        <v>283</v>
      </c>
      <c r="J310" s="195" t="s">
        <v>283</v>
      </c>
      <c r="K310" s="195" t="s">
        <v>283</v>
      </c>
      <c r="L310" s="195" t="s">
        <v>283</v>
      </c>
      <c r="M310" s="195" t="s">
        <v>283</v>
      </c>
      <c r="N310" s="195" t="s">
        <v>283</v>
      </c>
      <c r="O310" s="195" t="s">
        <v>283</v>
      </c>
      <c r="P310" s="195" t="s">
        <v>283</v>
      </c>
      <c r="Q310" s="195" t="s">
        <v>283</v>
      </c>
      <c r="R310" s="195" t="s">
        <v>283</v>
      </c>
      <c r="S310" s="195" t="s">
        <v>283</v>
      </c>
      <c r="T310" s="195" t="s">
        <v>283</v>
      </c>
      <c r="U310" s="195" t="s">
        <v>283</v>
      </c>
      <c r="V310" s="195" t="s">
        <v>283</v>
      </c>
      <c r="W310" s="195" t="s">
        <v>283</v>
      </c>
      <c r="X310" s="195" t="s">
        <v>283</v>
      </c>
      <c r="Y310" s="195" t="s">
        <v>283</v>
      </c>
      <c r="Z310" s="195" t="s">
        <v>284</v>
      </c>
    </row>
    <row r="312" spans="1:26">
      <c r="C312" s="202" t="str">
        <f>CONCATENATE(L312,M312,N312,O312,P312,Q312,R312,S312,T312,R313,S313)</f>
        <v>Table 10  USRefinery Gate Prices,PADD , 4</v>
      </c>
      <c r="L312" s="195" t="s">
        <v>266</v>
      </c>
      <c r="M312" s="195" t="s">
        <v>267</v>
      </c>
      <c r="N312" s="195" t="s">
        <v>290</v>
      </c>
      <c r="O312" s="195" t="s">
        <v>291</v>
      </c>
      <c r="P312" s="195" t="s">
        <v>292</v>
      </c>
      <c r="Q312" s="195" t="s">
        <v>293</v>
      </c>
      <c r="R312" s="195" t="s">
        <v>294</v>
      </c>
    </row>
    <row r="313" spans="1:26">
      <c r="L313" s="195" t="s">
        <v>295</v>
      </c>
      <c r="M313" s="195" t="s">
        <v>296</v>
      </c>
      <c r="R313" s="195" t="s">
        <v>274</v>
      </c>
      <c r="S313" s="195" t="s">
        <v>288</v>
      </c>
    </row>
    <row r="314" spans="1:26">
      <c r="A314" s="195" t="s">
        <v>276</v>
      </c>
      <c r="B314" s="195" t="s">
        <v>277</v>
      </c>
      <c r="C314" s="195">
        <v>11006</v>
      </c>
      <c r="D314" s="195" t="s">
        <v>278</v>
      </c>
      <c r="E314" s="195" t="s">
        <v>279</v>
      </c>
      <c r="F314" s="195" t="s">
        <v>280</v>
      </c>
    </row>
    <row r="315" spans="1:26">
      <c r="A315" s="195" t="s">
        <v>281</v>
      </c>
      <c r="B315" s="195" t="s">
        <v>282</v>
      </c>
      <c r="C315" s="195" t="s">
        <v>283</v>
      </c>
      <c r="D315" s="195" t="s">
        <v>283</v>
      </c>
      <c r="E315" s="195" t="s">
        <v>283</v>
      </c>
      <c r="F315" s="195" t="s">
        <v>283</v>
      </c>
      <c r="G315" s="195" t="s">
        <v>283</v>
      </c>
      <c r="H315" s="195" t="s">
        <v>283</v>
      </c>
      <c r="I315" s="195" t="s">
        <v>283</v>
      </c>
      <c r="J315" s="195" t="s">
        <v>283</v>
      </c>
      <c r="K315" s="195" t="s">
        <v>283</v>
      </c>
      <c r="L315" s="195" t="s">
        <v>283</v>
      </c>
      <c r="M315" s="195" t="s">
        <v>283</v>
      </c>
      <c r="N315" s="195" t="s">
        <v>283</v>
      </c>
      <c r="O315" s="195" t="s">
        <v>283</v>
      </c>
      <c r="P315" s="195" t="s">
        <v>283</v>
      </c>
      <c r="Q315" s="195" t="s">
        <v>283</v>
      </c>
      <c r="R315" s="195" t="s">
        <v>283</v>
      </c>
      <c r="S315" s="195" t="s">
        <v>283</v>
      </c>
      <c r="T315" s="195" t="s">
        <v>283</v>
      </c>
      <c r="U315" s="195" t="s">
        <v>283</v>
      </c>
      <c r="V315" s="195" t="s">
        <v>283</v>
      </c>
      <c r="W315" s="195" t="s">
        <v>283</v>
      </c>
      <c r="X315" s="195" t="s">
        <v>283</v>
      </c>
      <c r="Y315" s="195" t="s">
        <v>283</v>
      </c>
      <c r="Z315" s="195" t="s">
        <v>284</v>
      </c>
    </row>
    <row r="316" spans="1:26">
      <c r="C316" s="195">
        <v>2007</v>
      </c>
      <c r="D316" s="195">
        <v>2008</v>
      </c>
      <c r="E316" s="195">
        <v>2009</v>
      </c>
      <c r="F316" s="195">
        <v>2010</v>
      </c>
      <c r="G316" s="195">
        <v>2011</v>
      </c>
      <c r="H316" s="195">
        <v>2012</v>
      </c>
      <c r="I316" s="195">
        <v>2013</v>
      </c>
      <c r="J316" s="195">
        <v>2014</v>
      </c>
      <c r="K316" s="195">
        <v>2015</v>
      </c>
      <c r="L316" s="195">
        <v>2016</v>
      </c>
      <c r="M316" s="195">
        <v>2017</v>
      </c>
      <c r="N316" s="195">
        <v>2018</v>
      </c>
      <c r="O316" s="195">
        <v>2019</v>
      </c>
      <c r="P316" s="195">
        <v>2020</v>
      </c>
      <c r="Q316" s="195">
        <v>2021</v>
      </c>
      <c r="R316" s="195">
        <v>2022</v>
      </c>
      <c r="S316" s="195">
        <v>2023</v>
      </c>
      <c r="T316" s="195">
        <v>2024</v>
      </c>
      <c r="U316" s="195">
        <v>2025</v>
      </c>
      <c r="V316" s="195">
        <v>2026</v>
      </c>
      <c r="W316" s="195">
        <v>2027</v>
      </c>
      <c r="X316" s="195">
        <v>2028</v>
      </c>
      <c r="Y316" s="195">
        <v>2029</v>
      </c>
      <c r="Z316" s="195">
        <v>2030</v>
      </c>
    </row>
    <row r="317" spans="1:26">
      <c r="A317" s="195" t="s">
        <v>281</v>
      </c>
      <c r="B317" s="195" t="s">
        <v>282</v>
      </c>
      <c r="C317" s="195" t="s">
        <v>283</v>
      </c>
      <c r="D317" s="195" t="s">
        <v>283</v>
      </c>
      <c r="E317" s="195" t="s">
        <v>283</v>
      </c>
      <c r="F317" s="195" t="s">
        <v>283</v>
      </c>
      <c r="G317" s="195" t="s">
        <v>283</v>
      </c>
      <c r="H317" s="195" t="s">
        <v>283</v>
      </c>
      <c r="I317" s="195" t="s">
        <v>283</v>
      </c>
      <c r="J317" s="195" t="s">
        <v>283</v>
      </c>
      <c r="K317" s="195" t="s">
        <v>283</v>
      </c>
      <c r="L317" s="195" t="s">
        <v>283</v>
      </c>
      <c r="M317" s="195" t="s">
        <v>283</v>
      </c>
      <c r="N317" s="195" t="s">
        <v>283</v>
      </c>
      <c r="O317" s="195" t="s">
        <v>283</v>
      </c>
      <c r="P317" s="195" t="s">
        <v>283</v>
      </c>
      <c r="Q317" s="195" t="s">
        <v>283</v>
      </c>
      <c r="R317" s="195" t="s">
        <v>283</v>
      </c>
      <c r="S317" s="195" t="s">
        <v>283</v>
      </c>
      <c r="T317" s="195" t="s">
        <v>283</v>
      </c>
      <c r="U317" s="195" t="s">
        <v>283</v>
      </c>
      <c r="V317" s="195" t="s">
        <v>283</v>
      </c>
      <c r="W317" s="195" t="s">
        <v>283</v>
      </c>
      <c r="X317" s="195" t="s">
        <v>283</v>
      </c>
      <c r="Y317" s="195" t="s">
        <v>283</v>
      </c>
      <c r="Z317" s="195" t="s">
        <v>284</v>
      </c>
    </row>
    <row r="318" spans="1:26">
      <c r="A318" s="195" t="s">
        <v>197</v>
      </c>
      <c r="B318" s="195" t="s">
        <v>285</v>
      </c>
      <c r="C318" s="195">
        <v>1.127</v>
      </c>
      <c r="D318" s="195">
        <v>1.1379999999999999</v>
      </c>
      <c r="E318" s="195">
        <v>1.0940000000000001</v>
      </c>
      <c r="F318" s="195">
        <v>0.99199999999999999</v>
      </c>
      <c r="G318" s="195">
        <v>1.0169999999999999</v>
      </c>
      <c r="H318" s="195">
        <v>0.98699999999999999</v>
      </c>
      <c r="I318" s="195">
        <v>0.98699999999999999</v>
      </c>
      <c r="J318" s="195">
        <v>0.96799999999999997</v>
      </c>
      <c r="K318" s="195">
        <v>1.0069999999999999</v>
      </c>
      <c r="L318" s="195">
        <v>0.99299999999999999</v>
      </c>
      <c r="M318" s="195">
        <v>1.0229999999999999</v>
      </c>
      <c r="N318" s="195">
        <v>1.0169999999999999</v>
      </c>
      <c r="O318" s="195">
        <v>1.026</v>
      </c>
      <c r="P318" s="195">
        <v>1.0369999999999999</v>
      </c>
      <c r="Q318" s="195">
        <v>1.0569999999999999</v>
      </c>
      <c r="R318" s="195">
        <v>1.0629999999999999</v>
      </c>
      <c r="S318" s="195">
        <v>1.071</v>
      </c>
      <c r="T318" s="195">
        <v>1.0680000000000001</v>
      </c>
      <c r="U318" s="195">
        <v>1.0609999999999999</v>
      </c>
      <c r="V318" s="195">
        <v>1.081</v>
      </c>
      <c r="W318" s="195">
        <v>1.083</v>
      </c>
      <c r="X318" s="195">
        <v>1.0960000000000001</v>
      </c>
      <c r="Y318" s="195">
        <v>1.103</v>
      </c>
      <c r="Z318" s="195">
        <v>1.111</v>
      </c>
    </row>
    <row r="319" spans="1:26">
      <c r="A319" s="195" t="s">
        <v>198</v>
      </c>
      <c r="B319" s="195" t="s">
        <v>285</v>
      </c>
      <c r="C319" s="195">
        <v>1.1140000000000001</v>
      </c>
      <c r="D319" s="195">
        <v>1.125</v>
      </c>
      <c r="E319" s="195">
        <v>1.0820000000000001</v>
      </c>
      <c r="F319" s="195">
        <v>0.98099999999999998</v>
      </c>
      <c r="G319" s="195">
        <v>1.0069999999999999</v>
      </c>
      <c r="H319" s="195">
        <v>0.97699999999999998</v>
      </c>
      <c r="I319" s="195">
        <v>0.97699999999999998</v>
      </c>
      <c r="J319" s="195">
        <v>0.95499999999999996</v>
      </c>
      <c r="K319" s="195">
        <v>0.995</v>
      </c>
      <c r="L319" s="195">
        <v>0.98099999999999998</v>
      </c>
      <c r="M319" s="195">
        <v>1.0109999999999999</v>
      </c>
      <c r="N319" s="195">
        <v>1.0049999999999999</v>
      </c>
      <c r="O319" s="195">
        <v>1.0129999999999999</v>
      </c>
      <c r="P319" s="195">
        <v>1.0249999999999999</v>
      </c>
      <c r="Q319" s="195">
        <v>1.0449999999999999</v>
      </c>
      <c r="R319" s="195">
        <v>1.052</v>
      </c>
      <c r="S319" s="195">
        <v>1.06</v>
      </c>
      <c r="T319" s="195">
        <v>1.056</v>
      </c>
      <c r="U319" s="195">
        <v>1.048</v>
      </c>
      <c r="V319" s="195">
        <v>1.07</v>
      </c>
      <c r="W319" s="195">
        <v>1.0720000000000001</v>
      </c>
      <c r="X319" s="195">
        <v>1.0860000000000001</v>
      </c>
      <c r="Y319" s="195">
        <v>1.095</v>
      </c>
      <c r="Z319" s="195">
        <v>1.1020000000000001</v>
      </c>
    </row>
    <row r="320" spans="1:26">
      <c r="A320" s="195" t="s">
        <v>199</v>
      </c>
      <c r="B320" s="195" t="s">
        <v>285</v>
      </c>
      <c r="C320" s="195">
        <v>1.2070000000000001</v>
      </c>
      <c r="D320" s="195">
        <v>1.212</v>
      </c>
      <c r="E320" s="195">
        <v>1.1659999999999999</v>
      </c>
      <c r="F320" s="195">
        <v>1.054</v>
      </c>
      <c r="G320" s="195">
        <v>1.0740000000000001</v>
      </c>
      <c r="H320" s="195">
        <v>1.044</v>
      </c>
      <c r="I320" s="195">
        <v>1.044</v>
      </c>
      <c r="J320" s="195">
        <v>1.0469999999999999</v>
      </c>
      <c r="K320" s="195">
        <v>1.0820000000000001</v>
      </c>
      <c r="L320" s="195">
        <v>1.0649999999999999</v>
      </c>
      <c r="M320" s="195">
        <v>1.097</v>
      </c>
      <c r="N320" s="195">
        <v>1.0920000000000001</v>
      </c>
      <c r="O320" s="195">
        <v>1.101</v>
      </c>
      <c r="P320" s="195">
        <v>1.109</v>
      </c>
      <c r="Q320" s="195">
        <v>1.1259999999999999</v>
      </c>
      <c r="R320" s="195">
        <v>1.131</v>
      </c>
      <c r="S320" s="195">
        <v>1.135</v>
      </c>
      <c r="T320" s="195">
        <v>1.141</v>
      </c>
      <c r="U320" s="195">
        <v>1.1399999999999999</v>
      </c>
      <c r="V320" s="195">
        <v>1.149</v>
      </c>
      <c r="W320" s="195">
        <v>1.149</v>
      </c>
      <c r="X320" s="195">
        <v>1.155</v>
      </c>
      <c r="Y320" s="195">
        <v>1.1559999999999999</v>
      </c>
      <c r="Z320" s="195">
        <v>1.161</v>
      </c>
    </row>
    <row r="321" spans="1:26">
      <c r="A321" s="195" t="s">
        <v>200</v>
      </c>
      <c r="B321" s="195" t="s">
        <v>285</v>
      </c>
      <c r="C321" s="195">
        <v>1.1140000000000001</v>
      </c>
      <c r="D321" s="195">
        <v>1.125</v>
      </c>
      <c r="E321" s="195">
        <v>1.0820000000000001</v>
      </c>
      <c r="F321" s="195">
        <v>0.98099999999999998</v>
      </c>
      <c r="G321" s="195">
        <v>1.0069999999999999</v>
      </c>
      <c r="H321" s="195">
        <v>0.97699999999999998</v>
      </c>
      <c r="I321" s="195">
        <v>0.97699999999999998</v>
      </c>
      <c r="J321" s="195">
        <v>0.95499999999999996</v>
      </c>
      <c r="K321" s="195">
        <v>0.995</v>
      </c>
      <c r="L321" s="195">
        <v>0.98099999999999998</v>
      </c>
      <c r="M321" s="195">
        <v>1.0109999999999999</v>
      </c>
      <c r="N321" s="195">
        <v>1.0049999999999999</v>
      </c>
      <c r="O321" s="195">
        <v>1.0129999999999999</v>
      </c>
      <c r="P321" s="195">
        <v>1.0249999999999999</v>
      </c>
      <c r="Q321" s="195">
        <v>1.0449999999999999</v>
      </c>
      <c r="R321" s="195">
        <v>1.052</v>
      </c>
      <c r="S321" s="195">
        <v>1.06</v>
      </c>
      <c r="T321" s="195">
        <v>1.056</v>
      </c>
      <c r="U321" s="195">
        <v>1.048</v>
      </c>
      <c r="V321" s="195">
        <v>1.07</v>
      </c>
      <c r="W321" s="195">
        <v>1.0720000000000001</v>
      </c>
      <c r="X321" s="195">
        <v>1.0860000000000001</v>
      </c>
      <c r="Y321" s="195">
        <v>1.095</v>
      </c>
      <c r="Z321" s="195">
        <v>1.1020000000000001</v>
      </c>
    </row>
    <row r="322" spans="1:26">
      <c r="A322" s="195" t="s">
        <v>461</v>
      </c>
      <c r="B322" s="195" t="s">
        <v>285</v>
      </c>
      <c r="C322" s="195">
        <v>0</v>
      </c>
      <c r="D322" s="195">
        <v>0</v>
      </c>
      <c r="E322" s="195">
        <v>0</v>
      </c>
      <c r="F322" s="195">
        <v>0</v>
      </c>
      <c r="G322" s="195">
        <v>0</v>
      </c>
      <c r="H322" s="195">
        <v>0</v>
      </c>
      <c r="I322" s="195">
        <v>0</v>
      </c>
      <c r="J322" s="195">
        <v>0</v>
      </c>
      <c r="K322" s="195">
        <v>0</v>
      </c>
      <c r="L322" s="195">
        <v>0</v>
      </c>
      <c r="M322" s="195">
        <v>0</v>
      </c>
      <c r="N322" s="195">
        <v>0</v>
      </c>
      <c r="O322" s="195">
        <v>0</v>
      </c>
      <c r="P322" s="195">
        <v>0</v>
      </c>
      <c r="Q322" s="195">
        <v>0</v>
      </c>
      <c r="R322" s="195">
        <v>0</v>
      </c>
      <c r="S322" s="195">
        <v>0</v>
      </c>
      <c r="T322" s="195">
        <v>0</v>
      </c>
      <c r="U322" s="195">
        <v>0</v>
      </c>
      <c r="V322" s="195">
        <v>0</v>
      </c>
      <c r="W322" s="195">
        <v>0</v>
      </c>
      <c r="X322" s="195">
        <v>0</v>
      </c>
      <c r="Y322" s="195">
        <v>0</v>
      </c>
      <c r="Z322" s="195">
        <v>0</v>
      </c>
    </row>
    <row r="323" spans="1:26">
      <c r="A323" s="195" t="s">
        <v>201</v>
      </c>
      <c r="B323" s="195" t="s">
        <v>285</v>
      </c>
      <c r="C323" s="195">
        <v>0.88100000000000001</v>
      </c>
      <c r="D323" s="195">
        <v>0.86299999999999999</v>
      </c>
      <c r="E323" s="195">
        <v>0.83099999999999996</v>
      </c>
      <c r="F323" s="195">
        <v>0.77900000000000003</v>
      </c>
      <c r="G323" s="195">
        <v>0.80500000000000005</v>
      </c>
      <c r="H323" s="195">
        <v>0.79200000000000004</v>
      </c>
      <c r="I323" s="195">
        <v>0.75700000000000001</v>
      </c>
      <c r="J323" s="195">
        <v>0.75</v>
      </c>
      <c r="K323" s="195">
        <v>0.77300000000000002</v>
      </c>
      <c r="L323" s="195">
        <v>0.77500000000000002</v>
      </c>
      <c r="M323" s="195">
        <v>0.76700000000000002</v>
      </c>
      <c r="N323" s="195">
        <v>0.78800000000000003</v>
      </c>
      <c r="O323" s="195">
        <v>0.78200000000000003</v>
      </c>
      <c r="P323" s="195">
        <v>0.80100000000000005</v>
      </c>
      <c r="Q323" s="195">
        <v>0.80300000000000005</v>
      </c>
      <c r="R323" s="195">
        <v>0.80200000000000005</v>
      </c>
      <c r="S323" s="195">
        <v>0.80900000000000005</v>
      </c>
      <c r="T323" s="195">
        <v>0.80900000000000005</v>
      </c>
      <c r="U323" s="195">
        <v>0.81</v>
      </c>
      <c r="V323" s="195">
        <v>0.82099999999999995</v>
      </c>
      <c r="W323" s="195">
        <v>0.82499999999999996</v>
      </c>
      <c r="X323" s="195">
        <v>0.82099999999999995</v>
      </c>
      <c r="Y323" s="195">
        <v>0.81200000000000006</v>
      </c>
      <c r="Z323" s="195">
        <v>0.81699999999999995</v>
      </c>
    </row>
    <row r="324" spans="1:26">
      <c r="A324" s="195" t="s">
        <v>202</v>
      </c>
      <c r="B324" s="195" t="s">
        <v>285</v>
      </c>
      <c r="C324" s="195">
        <v>0.93600000000000005</v>
      </c>
      <c r="D324" s="195">
        <v>0.97799999999999998</v>
      </c>
      <c r="E324" s="195">
        <v>0.93899999999999995</v>
      </c>
      <c r="F324" s="195">
        <v>0.83499999999999996</v>
      </c>
      <c r="G324" s="195">
        <v>0.84299999999999997</v>
      </c>
      <c r="H324" s="195">
        <v>0.81899999999999995</v>
      </c>
      <c r="I324" s="195">
        <v>0</v>
      </c>
      <c r="J324" s="195">
        <v>0</v>
      </c>
      <c r="K324" s="195">
        <v>0</v>
      </c>
      <c r="L324" s="195">
        <v>0</v>
      </c>
      <c r="M324" s="195">
        <v>0</v>
      </c>
      <c r="N324" s="195">
        <v>0</v>
      </c>
      <c r="O324" s="195">
        <v>0</v>
      </c>
      <c r="P324" s="195">
        <v>0</v>
      </c>
      <c r="Q324" s="195">
        <v>0</v>
      </c>
      <c r="R324" s="195">
        <v>0</v>
      </c>
      <c r="S324" s="195">
        <v>0</v>
      </c>
      <c r="T324" s="195">
        <v>0</v>
      </c>
      <c r="U324" s="195">
        <v>0</v>
      </c>
      <c r="V324" s="195">
        <v>0</v>
      </c>
      <c r="W324" s="195">
        <v>0</v>
      </c>
      <c r="X324" s="195">
        <v>0</v>
      </c>
      <c r="Y324" s="195">
        <v>0</v>
      </c>
      <c r="Z324" s="195">
        <v>0</v>
      </c>
    </row>
    <row r="325" spans="1:26">
      <c r="A325" s="195" t="s">
        <v>203</v>
      </c>
      <c r="B325" s="195" t="s">
        <v>285</v>
      </c>
      <c r="C325" s="195">
        <v>1.03</v>
      </c>
      <c r="D325" s="195">
        <v>1.044</v>
      </c>
      <c r="E325" s="195">
        <v>1.0129999999999999</v>
      </c>
      <c r="F325" s="195">
        <v>0.91500000000000004</v>
      </c>
      <c r="G325" s="195">
        <v>0.96199999999999997</v>
      </c>
      <c r="H325" s="195">
        <v>0.93300000000000005</v>
      </c>
      <c r="I325" s="195">
        <v>0.94</v>
      </c>
      <c r="J325" s="195">
        <v>0.91400000000000003</v>
      </c>
      <c r="K325" s="195">
        <v>0.97099999999999997</v>
      </c>
      <c r="L325" s="195">
        <v>0.93700000000000006</v>
      </c>
      <c r="M325" s="195">
        <v>0.96399999999999997</v>
      </c>
      <c r="N325" s="195">
        <v>0.95799999999999996</v>
      </c>
      <c r="O325" s="195">
        <v>0.96099999999999997</v>
      </c>
      <c r="P325" s="195">
        <v>0.96299999999999997</v>
      </c>
      <c r="Q325" s="195">
        <v>0.98</v>
      </c>
      <c r="R325" s="195">
        <v>0.97699999999999998</v>
      </c>
      <c r="S325" s="195">
        <v>1.006</v>
      </c>
      <c r="T325" s="195">
        <v>0.997</v>
      </c>
      <c r="U325" s="195">
        <v>0.99399999999999999</v>
      </c>
      <c r="V325" s="195">
        <v>1.008</v>
      </c>
      <c r="W325" s="195">
        <v>1.0189999999999999</v>
      </c>
      <c r="X325" s="195">
        <v>1.0409999999999999</v>
      </c>
      <c r="Y325" s="195">
        <v>1.03</v>
      </c>
      <c r="Z325" s="195">
        <v>1.044</v>
      </c>
    </row>
    <row r="326" spans="1:26">
      <c r="A326" s="195" t="s">
        <v>204</v>
      </c>
      <c r="B326" s="195" t="s">
        <v>285</v>
      </c>
      <c r="C326" s="195">
        <v>0.91500000000000004</v>
      </c>
      <c r="D326" s="195">
        <v>0.94799999999999995</v>
      </c>
      <c r="E326" s="195">
        <v>0.91400000000000003</v>
      </c>
      <c r="F326" s="195">
        <v>0.82399999999999995</v>
      </c>
      <c r="G326" s="195">
        <v>0.86399999999999999</v>
      </c>
      <c r="H326" s="195">
        <v>0.84699999999999998</v>
      </c>
      <c r="I326" s="195">
        <v>0.84399999999999997</v>
      </c>
      <c r="J326" s="195">
        <v>0.85</v>
      </c>
      <c r="K326" s="195">
        <v>0.90300000000000002</v>
      </c>
      <c r="L326" s="195">
        <v>0.88200000000000001</v>
      </c>
      <c r="M326" s="195">
        <v>0.90400000000000003</v>
      </c>
      <c r="N326" s="195">
        <v>0.91300000000000003</v>
      </c>
      <c r="O326" s="195">
        <v>0.91100000000000003</v>
      </c>
      <c r="P326" s="195">
        <v>0.92700000000000005</v>
      </c>
      <c r="Q326" s="195">
        <v>0.94799999999999995</v>
      </c>
      <c r="R326" s="195">
        <v>0.95099999999999996</v>
      </c>
      <c r="S326" s="195">
        <v>0.96299999999999997</v>
      </c>
      <c r="T326" s="195">
        <v>0.95499999999999996</v>
      </c>
      <c r="U326" s="195">
        <v>0.94799999999999995</v>
      </c>
      <c r="V326" s="195">
        <v>0.96399999999999997</v>
      </c>
      <c r="W326" s="195">
        <v>0.97499999999999998</v>
      </c>
      <c r="X326" s="195">
        <v>0.996</v>
      </c>
      <c r="Y326" s="195">
        <v>1.002</v>
      </c>
      <c r="Z326" s="195">
        <v>1.008</v>
      </c>
    </row>
    <row r="327" spans="1:26">
      <c r="A327" s="195" t="s">
        <v>205</v>
      </c>
      <c r="B327" s="195" t="s">
        <v>285</v>
      </c>
      <c r="C327" s="195">
        <v>0.88100000000000001</v>
      </c>
      <c r="D327" s="195">
        <v>0.86299999999999999</v>
      </c>
      <c r="E327" s="195">
        <v>0.83099999999999996</v>
      </c>
      <c r="F327" s="195">
        <v>0.77900000000000003</v>
      </c>
      <c r="G327" s="195">
        <v>0.80500000000000005</v>
      </c>
      <c r="H327" s="195">
        <v>0.79200000000000004</v>
      </c>
      <c r="I327" s="195">
        <v>0.75700000000000001</v>
      </c>
      <c r="J327" s="195">
        <v>0.75</v>
      </c>
      <c r="K327" s="195">
        <v>0.77300000000000002</v>
      </c>
      <c r="L327" s="195">
        <v>0.77500000000000002</v>
      </c>
      <c r="M327" s="195">
        <v>0.76700000000000002</v>
      </c>
      <c r="N327" s="195">
        <v>0.78800000000000003</v>
      </c>
      <c r="O327" s="195">
        <v>0.78200000000000003</v>
      </c>
      <c r="P327" s="195">
        <v>0.80100000000000005</v>
      </c>
      <c r="Q327" s="195">
        <v>0.80300000000000005</v>
      </c>
      <c r="R327" s="195">
        <v>0.80200000000000005</v>
      </c>
      <c r="S327" s="195">
        <v>0.80900000000000005</v>
      </c>
      <c r="T327" s="195">
        <v>0.80900000000000005</v>
      </c>
      <c r="U327" s="195">
        <v>0.81</v>
      </c>
      <c r="V327" s="195">
        <v>0.82099999999999995</v>
      </c>
      <c r="W327" s="195">
        <v>0.82499999999999996</v>
      </c>
      <c r="X327" s="195">
        <v>0.82099999999999995</v>
      </c>
      <c r="Y327" s="195">
        <v>0.81200000000000006</v>
      </c>
      <c r="Z327" s="195">
        <v>0.81699999999999995</v>
      </c>
    </row>
    <row r="328" spans="1:26">
      <c r="A328" s="195" t="s">
        <v>206</v>
      </c>
      <c r="B328" s="195" t="s">
        <v>285</v>
      </c>
      <c r="C328" s="195">
        <v>0.55000000000000004</v>
      </c>
      <c r="D328" s="195">
        <v>0.52900000000000003</v>
      </c>
      <c r="E328" s="195">
        <v>0.51200000000000001</v>
      </c>
      <c r="F328" s="195">
        <v>0.495</v>
      </c>
      <c r="G328" s="195">
        <v>0.498</v>
      </c>
      <c r="H328" s="195">
        <v>0.496</v>
      </c>
      <c r="I328" s="195">
        <v>0.49199999999999999</v>
      </c>
      <c r="J328" s="195">
        <v>0.48499999999999999</v>
      </c>
      <c r="K328" s="195">
        <v>0.48899999999999999</v>
      </c>
      <c r="L328" s="195">
        <v>0.50700000000000001</v>
      </c>
      <c r="M328" s="195">
        <v>0.51200000000000001</v>
      </c>
      <c r="N328" s="195">
        <v>0.53300000000000003</v>
      </c>
      <c r="O328" s="195">
        <v>0.54200000000000004</v>
      </c>
      <c r="P328" s="195">
        <v>0.54700000000000004</v>
      </c>
      <c r="Q328" s="195">
        <v>0.56000000000000005</v>
      </c>
      <c r="R328" s="195">
        <v>0.56899999999999995</v>
      </c>
      <c r="S328" s="195">
        <v>0.57499999999999996</v>
      </c>
      <c r="T328" s="195">
        <v>0.57999999999999996</v>
      </c>
      <c r="U328" s="195">
        <v>0.58299999999999996</v>
      </c>
      <c r="V328" s="195">
        <v>0.58799999999999997</v>
      </c>
      <c r="W328" s="195">
        <v>0.61</v>
      </c>
      <c r="X328" s="195">
        <v>0.64200000000000002</v>
      </c>
      <c r="Y328" s="195">
        <v>0.63700000000000001</v>
      </c>
      <c r="Z328" s="195">
        <v>0.64</v>
      </c>
    </row>
    <row r="329" spans="1:26">
      <c r="A329" s="195" t="s">
        <v>207</v>
      </c>
      <c r="B329" s="195" t="s">
        <v>285</v>
      </c>
      <c r="C329" s="195">
        <v>0.41099999999999998</v>
      </c>
      <c r="D329" s="195">
        <v>0.39300000000000002</v>
      </c>
      <c r="E329" s="195">
        <v>0.375</v>
      </c>
      <c r="F329" s="195">
        <v>0.35699999999999998</v>
      </c>
      <c r="G329" s="195">
        <v>0.35499999999999998</v>
      </c>
      <c r="H329" s="195">
        <v>0.35299999999999998</v>
      </c>
      <c r="I329" s="195">
        <v>0.35199999999999998</v>
      </c>
      <c r="J329" s="195">
        <v>0.35</v>
      </c>
      <c r="K329" s="195">
        <v>0.34899999999999998</v>
      </c>
      <c r="L329" s="195">
        <v>0.35199999999999998</v>
      </c>
      <c r="M329" s="195">
        <v>0.35499999999999998</v>
      </c>
      <c r="N329" s="195">
        <v>0.35799999999999998</v>
      </c>
      <c r="O329" s="195">
        <v>0.36099999999999999</v>
      </c>
      <c r="P329" s="195">
        <v>0.36399999999999999</v>
      </c>
      <c r="Q329" s="195">
        <v>0.36799999999999999</v>
      </c>
      <c r="R329" s="195">
        <v>0.372</v>
      </c>
      <c r="S329" s="195">
        <v>0.377</v>
      </c>
      <c r="T329" s="195">
        <v>0.38100000000000001</v>
      </c>
      <c r="U329" s="195">
        <v>0.38600000000000001</v>
      </c>
      <c r="V329" s="195">
        <v>0.38800000000000001</v>
      </c>
      <c r="W329" s="195">
        <v>0.39100000000000001</v>
      </c>
      <c r="X329" s="195">
        <v>0.39400000000000002</v>
      </c>
      <c r="Y329" s="195">
        <v>0.39700000000000002</v>
      </c>
      <c r="Z329" s="195">
        <v>0.4</v>
      </c>
    </row>
    <row r="330" spans="1:26">
      <c r="A330" s="195" t="s">
        <v>208</v>
      </c>
      <c r="B330" s="195" t="s">
        <v>285</v>
      </c>
      <c r="C330" s="195">
        <v>0.72099999999999997</v>
      </c>
      <c r="D330" s="195">
        <v>0.70199999999999996</v>
      </c>
      <c r="E330" s="195">
        <v>0.66800000000000004</v>
      </c>
      <c r="F330" s="195">
        <v>0.623</v>
      </c>
      <c r="G330" s="195">
        <v>0.63700000000000001</v>
      </c>
      <c r="H330" s="195">
        <v>0.63900000000000001</v>
      </c>
      <c r="I330" s="195">
        <v>0.621</v>
      </c>
      <c r="J330" s="195">
        <v>0.61799999999999999</v>
      </c>
      <c r="K330" s="195">
        <v>0.64300000000000002</v>
      </c>
      <c r="L330" s="195">
        <v>0.63500000000000001</v>
      </c>
      <c r="M330" s="195">
        <v>0.64300000000000002</v>
      </c>
      <c r="N330" s="195">
        <v>0.63400000000000001</v>
      </c>
      <c r="O330" s="195">
        <v>0.65</v>
      </c>
      <c r="P330" s="195">
        <v>0.66300000000000003</v>
      </c>
      <c r="Q330" s="195">
        <v>0.66300000000000003</v>
      </c>
      <c r="R330" s="195">
        <v>0.66300000000000003</v>
      </c>
      <c r="S330" s="195">
        <v>0.67100000000000004</v>
      </c>
      <c r="T330" s="195">
        <v>0.67700000000000005</v>
      </c>
      <c r="U330" s="195">
        <v>0.67500000000000004</v>
      </c>
      <c r="V330" s="195">
        <v>0.69599999999999995</v>
      </c>
      <c r="W330" s="195">
        <v>0.70199999999999996</v>
      </c>
      <c r="X330" s="195">
        <v>0.67900000000000005</v>
      </c>
      <c r="Y330" s="195">
        <v>0.68100000000000005</v>
      </c>
      <c r="Z330" s="195">
        <v>0.68799999999999994</v>
      </c>
    </row>
    <row r="331" spans="1:26">
      <c r="A331" s="195" t="s">
        <v>209</v>
      </c>
      <c r="B331" s="195" t="s">
        <v>285</v>
      </c>
      <c r="C331" s="195">
        <v>0.70499999999999996</v>
      </c>
      <c r="D331" s="195">
        <v>0.67400000000000004</v>
      </c>
      <c r="E331" s="195">
        <v>0.63</v>
      </c>
      <c r="F331" s="195">
        <v>0.61099999999999999</v>
      </c>
      <c r="G331" s="195">
        <v>0.61399999999999999</v>
      </c>
      <c r="H331" s="195">
        <v>0.60499999999999998</v>
      </c>
      <c r="I331" s="195">
        <v>0.60599999999999998</v>
      </c>
      <c r="J331" s="195">
        <v>0.59</v>
      </c>
      <c r="K331" s="195">
        <v>0.60899999999999999</v>
      </c>
      <c r="L331" s="195">
        <v>0.58299999999999996</v>
      </c>
      <c r="M331" s="195">
        <v>0.623</v>
      </c>
      <c r="N331" s="195">
        <v>0.61299999999999999</v>
      </c>
      <c r="O331" s="195">
        <v>0.627</v>
      </c>
      <c r="P331" s="195">
        <v>0.61699999999999999</v>
      </c>
      <c r="Q331" s="195">
        <v>0.61899999999999999</v>
      </c>
      <c r="R331" s="195">
        <v>0.63900000000000001</v>
      </c>
      <c r="S331" s="195">
        <v>0.66500000000000004</v>
      </c>
      <c r="T331" s="195">
        <v>0.64600000000000002</v>
      </c>
      <c r="U331" s="195">
        <v>0.65100000000000002</v>
      </c>
      <c r="V331" s="195">
        <v>0.66800000000000004</v>
      </c>
      <c r="W331" s="195">
        <v>0.67500000000000004</v>
      </c>
      <c r="X331" s="195">
        <v>0.67100000000000004</v>
      </c>
      <c r="Y331" s="195">
        <v>0.68100000000000005</v>
      </c>
      <c r="Z331" s="195">
        <v>0.68799999999999994</v>
      </c>
    </row>
    <row r="332" spans="1:26">
      <c r="A332" s="195" t="s">
        <v>210</v>
      </c>
      <c r="B332" s="195" t="s">
        <v>285</v>
      </c>
      <c r="C332" s="195">
        <v>0.70899999999999996</v>
      </c>
      <c r="D332" s="195">
        <v>0.66800000000000004</v>
      </c>
      <c r="E332" s="195">
        <v>0.629</v>
      </c>
      <c r="F332" s="195">
        <v>0.64300000000000002</v>
      </c>
      <c r="G332" s="195">
        <v>0.60599999999999998</v>
      </c>
      <c r="H332" s="195">
        <v>0.58199999999999996</v>
      </c>
      <c r="I332" s="195">
        <v>0.60799999999999998</v>
      </c>
      <c r="J332" s="195">
        <v>0.58399999999999996</v>
      </c>
      <c r="K332" s="195">
        <v>0.60699999999999998</v>
      </c>
      <c r="L332" s="195">
        <v>0.55800000000000005</v>
      </c>
      <c r="M332" s="195">
        <v>0.625</v>
      </c>
      <c r="N332" s="195">
        <v>0.59799999999999998</v>
      </c>
      <c r="O332" s="195">
        <v>0.61399999999999999</v>
      </c>
      <c r="P332" s="195">
        <v>0.58799999999999997</v>
      </c>
      <c r="Q332" s="195">
        <v>0.58799999999999997</v>
      </c>
      <c r="R332" s="195">
        <v>0.622</v>
      </c>
      <c r="S332" s="195">
        <v>0.67100000000000004</v>
      </c>
      <c r="T332" s="195">
        <v>0.621</v>
      </c>
      <c r="U332" s="195">
        <v>0.63600000000000001</v>
      </c>
      <c r="V332" s="195">
        <v>0.65</v>
      </c>
      <c r="W332" s="195">
        <v>0.65800000000000003</v>
      </c>
      <c r="X332" s="195">
        <v>0.67600000000000005</v>
      </c>
      <c r="Y332" s="195">
        <v>0.72799999999999998</v>
      </c>
      <c r="Z332" s="195">
        <v>0.74299999999999999</v>
      </c>
    </row>
    <row r="333" spans="1:26">
      <c r="A333" s="195" t="s">
        <v>211</v>
      </c>
      <c r="B333" s="195" t="s">
        <v>285</v>
      </c>
      <c r="C333" s="195">
        <v>0.41599999999999998</v>
      </c>
      <c r="D333" s="195">
        <v>0.35399999999999998</v>
      </c>
      <c r="E333" s="195">
        <v>0.30099999999999999</v>
      </c>
      <c r="F333" s="195">
        <v>0.30499999999999999</v>
      </c>
      <c r="G333" s="195">
        <v>0.22700000000000001</v>
      </c>
      <c r="H333" s="195">
        <v>0.20200000000000001</v>
      </c>
      <c r="I333" s="195">
        <v>0.18</v>
      </c>
      <c r="J333" s="195">
        <v>0.16500000000000001</v>
      </c>
      <c r="K333" s="195">
        <v>0.20499999999999999</v>
      </c>
      <c r="L333" s="195">
        <v>0.16300000000000001</v>
      </c>
      <c r="M333" s="195">
        <v>0.22600000000000001</v>
      </c>
      <c r="N333" s="195">
        <v>0.104</v>
      </c>
      <c r="O333" s="195">
        <v>0.151</v>
      </c>
      <c r="P333" s="195">
        <v>8.3000000000000004E-2</v>
      </c>
      <c r="Q333" s="195">
        <v>7.4999999999999997E-2</v>
      </c>
      <c r="R333" s="195">
        <v>0.112</v>
      </c>
      <c r="S333" s="195">
        <v>0.222</v>
      </c>
      <c r="T333" s="195">
        <v>9.2999999999999999E-2</v>
      </c>
      <c r="U333" s="195">
        <v>0.106</v>
      </c>
      <c r="V333" s="195">
        <v>0.14399999999999999</v>
      </c>
      <c r="W333" s="195">
        <v>0.17599999999999999</v>
      </c>
      <c r="X333" s="195">
        <v>0.17799999999999999</v>
      </c>
      <c r="Y333" s="195">
        <v>0.28399999999999997</v>
      </c>
      <c r="Z333" s="195">
        <v>0.308</v>
      </c>
    </row>
    <row r="334" spans="1:26">
      <c r="A334" s="195" t="s">
        <v>281</v>
      </c>
      <c r="B334" s="195" t="s">
        <v>282</v>
      </c>
      <c r="C334" s="195" t="s">
        <v>283</v>
      </c>
      <c r="D334" s="195" t="s">
        <v>283</v>
      </c>
      <c r="E334" s="195" t="s">
        <v>283</v>
      </c>
      <c r="F334" s="195" t="s">
        <v>283</v>
      </c>
      <c r="G334" s="195" t="s">
        <v>283</v>
      </c>
      <c r="H334" s="195" t="s">
        <v>283</v>
      </c>
      <c r="I334" s="195" t="s">
        <v>283</v>
      </c>
      <c r="J334" s="195" t="s">
        <v>283</v>
      </c>
      <c r="K334" s="195" t="s">
        <v>283</v>
      </c>
      <c r="L334" s="195" t="s">
        <v>283</v>
      </c>
      <c r="M334" s="195" t="s">
        <v>283</v>
      </c>
      <c r="N334" s="195" t="s">
        <v>283</v>
      </c>
      <c r="O334" s="195" t="s">
        <v>283</v>
      </c>
      <c r="P334" s="195" t="s">
        <v>283</v>
      </c>
      <c r="Q334" s="195" t="s">
        <v>283</v>
      </c>
      <c r="R334" s="195" t="s">
        <v>283</v>
      </c>
      <c r="S334" s="195" t="s">
        <v>283</v>
      </c>
      <c r="T334" s="195" t="s">
        <v>283</v>
      </c>
      <c r="U334" s="195" t="s">
        <v>283</v>
      </c>
      <c r="V334" s="195" t="s">
        <v>283</v>
      </c>
      <c r="W334" s="195" t="s">
        <v>283</v>
      </c>
      <c r="X334" s="195" t="s">
        <v>283</v>
      </c>
      <c r="Y334" s="195" t="s">
        <v>283</v>
      </c>
      <c r="Z334" s="195" t="s">
        <v>284</v>
      </c>
    </row>
    <row r="336" spans="1:26">
      <c r="C336" s="202" t="str">
        <f>CONCATENATE(L336,M336,N336,O336,P336,Q336,R336,S336,T336,R337,S337)</f>
        <v>Table 10  USRefinery Gate Prices,PADD , 5</v>
      </c>
      <c r="L336" s="195" t="s">
        <v>266</v>
      </c>
      <c r="M336" s="195" t="s">
        <v>267</v>
      </c>
      <c r="N336" s="195" t="s">
        <v>290</v>
      </c>
      <c r="O336" s="195" t="s">
        <v>291</v>
      </c>
      <c r="P336" s="195" t="s">
        <v>292</v>
      </c>
      <c r="Q336" s="195" t="s">
        <v>293</v>
      </c>
      <c r="R336" s="195" t="s">
        <v>294</v>
      </c>
    </row>
    <row r="337" spans="1:26">
      <c r="L337" s="195" t="s">
        <v>295</v>
      </c>
      <c r="M337" s="195" t="s">
        <v>296</v>
      </c>
      <c r="R337" s="195" t="s">
        <v>274</v>
      </c>
      <c r="S337" s="195" t="s">
        <v>289</v>
      </c>
    </row>
    <row r="338" spans="1:26">
      <c r="A338" s="195" t="s">
        <v>276</v>
      </c>
      <c r="B338" s="195" t="s">
        <v>277</v>
      </c>
      <c r="C338" s="195">
        <v>11006</v>
      </c>
      <c r="D338" s="195" t="s">
        <v>278</v>
      </c>
      <c r="E338" s="195" t="s">
        <v>279</v>
      </c>
      <c r="F338" s="195" t="s">
        <v>280</v>
      </c>
    </row>
    <row r="339" spans="1:26">
      <c r="A339" s="195" t="s">
        <v>281</v>
      </c>
      <c r="B339" s="195" t="s">
        <v>282</v>
      </c>
      <c r="C339" s="195" t="s">
        <v>283</v>
      </c>
      <c r="D339" s="195" t="s">
        <v>283</v>
      </c>
      <c r="E339" s="195" t="s">
        <v>283</v>
      </c>
      <c r="F339" s="195" t="s">
        <v>283</v>
      </c>
      <c r="G339" s="195" t="s">
        <v>283</v>
      </c>
      <c r="H339" s="195" t="s">
        <v>283</v>
      </c>
      <c r="I339" s="195" t="s">
        <v>283</v>
      </c>
      <c r="J339" s="195" t="s">
        <v>283</v>
      </c>
      <c r="K339" s="195" t="s">
        <v>283</v>
      </c>
      <c r="L339" s="195" t="s">
        <v>283</v>
      </c>
      <c r="M339" s="195" t="s">
        <v>283</v>
      </c>
      <c r="N339" s="195" t="s">
        <v>283</v>
      </c>
      <c r="O339" s="195" t="s">
        <v>283</v>
      </c>
      <c r="P339" s="195" t="s">
        <v>283</v>
      </c>
      <c r="Q339" s="195" t="s">
        <v>283</v>
      </c>
      <c r="R339" s="195" t="s">
        <v>283</v>
      </c>
      <c r="S339" s="195" t="s">
        <v>283</v>
      </c>
      <c r="T339" s="195" t="s">
        <v>283</v>
      </c>
      <c r="U339" s="195" t="s">
        <v>283</v>
      </c>
      <c r="V339" s="195" t="s">
        <v>283</v>
      </c>
      <c r="W339" s="195" t="s">
        <v>283</v>
      </c>
      <c r="X339" s="195" t="s">
        <v>283</v>
      </c>
      <c r="Y339" s="195" t="s">
        <v>283</v>
      </c>
      <c r="Z339" s="195" t="s">
        <v>284</v>
      </c>
    </row>
    <row r="340" spans="1:26">
      <c r="C340" s="195">
        <v>2007</v>
      </c>
      <c r="D340" s="195">
        <v>2008</v>
      </c>
      <c r="E340" s="195">
        <v>2009</v>
      </c>
      <c r="F340" s="195">
        <v>2010</v>
      </c>
      <c r="G340" s="195">
        <v>2011</v>
      </c>
      <c r="H340" s="195">
        <v>2012</v>
      </c>
      <c r="I340" s="195">
        <v>2013</v>
      </c>
      <c r="J340" s="195">
        <v>2014</v>
      </c>
      <c r="K340" s="195">
        <v>2015</v>
      </c>
      <c r="L340" s="195">
        <v>2016</v>
      </c>
      <c r="M340" s="195">
        <v>2017</v>
      </c>
      <c r="N340" s="195">
        <v>2018</v>
      </c>
      <c r="O340" s="195">
        <v>2019</v>
      </c>
      <c r="P340" s="195">
        <v>2020</v>
      </c>
      <c r="Q340" s="195">
        <v>2021</v>
      </c>
      <c r="R340" s="195">
        <v>2022</v>
      </c>
      <c r="S340" s="195">
        <v>2023</v>
      </c>
      <c r="T340" s="195">
        <v>2024</v>
      </c>
      <c r="U340" s="195">
        <v>2025</v>
      </c>
      <c r="V340" s="195">
        <v>2026</v>
      </c>
      <c r="W340" s="195">
        <v>2027</v>
      </c>
      <c r="X340" s="195">
        <v>2028</v>
      </c>
      <c r="Y340" s="195">
        <v>2029</v>
      </c>
      <c r="Z340" s="195">
        <v>2030</v>
      </c>
    </row>
    <row r="341" spans="1:26">
      <c r="A341" s="195" t="s">
        <v>281</v>
      </c>
      <c r="B341" s="195" t="s">
        <v>282</v>
      </c>
      <c r="C341" s="195" t="s">
        <v>283</v>
      </c>
      <c r="D341" s="195" t="s">
        <v>283</v>
      </c>
      <c r="E341" s="195" t="s">
        <v>283</v>
      </c>
      <c r="F341" s="195" t="s">
        <v>283</v>
      </c>
      <c r="G341" s="195" t="s">
        <v>283</v>
      </c>
      <c r="H341" s="195" t="s">
        <v>283</v>
      </c>
      <c r="I341" s="195" t="s">
        <v>283</v>
      </c>
      <c r="J341" s="195" t="s">
        <v>283</v>
      </c>
      <c r="K341" s="195" t="s">
        <v>283</v>
      </c>
      <c r="L341" s="195" t="s">
        <v>283</v>
      </c>
      <c r="M341" s="195" t="s">
        <v>283</v>
      </c>
      <c r="N341" s="195" t="s">
        <v>283</v>
      </c>
      <c r="O341" s="195" t="s">
        <v>283</v>
      </c>
      <c r="P341" s="195" t="s">
        <v>283</v>
      </c>
      <c r="Q341" s="195" t="s">
        <v>283</v>
      </c>
      <c r="R341" s="195" t="s">
        <v>283</v>
      </c>
      <c r="S341" s="195" t="s">
        <v>283</v>
      </c>
      <c r="T341" s="195" t="s">
        <v>283</v>
      </c>
      <c r="U341" s="195" t="s">
        <v>283</v>
      </c>
      <c r="V341" s="195" t="s">
        <v>283</v>
      </c>
      <c r="W341" s="195" t="s">
        <v>283</v>
      </c>
      <c r="X341" s="195" t="s">
        <v>283</v>
      </c>
      <c r="Y341" s="195" t="s">
        <v>283</v>
      </c>
      <c r="Z341" s="195" t="s">
        <v>284</v>
      </c>
    </row>
    <row r="342" spans="1:26">
      <c r="A342" s="195" t="s">
        <v>197</v>
      </c>
      <c r="B342" s="195" t="s">
        <v>285</v>
      </c>
      <c r="C342" s="195">
        <v>1.165</v>
      </c>
      <c r="D342" s="195">
        <v>1.2070000000000001</v>
      </c>
      <c r="E342" s="195">
        <v>1.1499999999999999</v>
      </c>
      <c r="F342" s="195">
        <v>1.0629999999999999</v>
      </c>
      <c r="G342" s="195">
        <v>1.0880000000000001</v>
      </c>
      <c r="H342" s="195">
        <v>1.0780000000000001</v>
      </c>
      <c r="I342" s="195">
        <v>1.0720000000000001</v>
      </c>
      <c r="J342" s="195">
        <v>1.0429999999999999</v>
      </c>
      <c r="K342" s="195">
        <v>1.077</v>
      </c>
      <c r="L342" s="195">
        <v>1.0569999999999999</v>
      </c>
      <c r="M342" s="195">
        <v>1.0860000000000001</v>
      </c>
      <c r="N342" s="195">
        <v>1.079</v>
      </c>
      <c r="O342" s="195">
        <v>1.089</v>
      </c>
      <c r="P342" s="195">
        <v>1.101</v>
      </c>
      <c r="Q342" s="195">
        <v>1.117</v>
      </c>
      <c r="R342" s="195">
        <v>1.1319999999999999</v>
      </c>
      <c r="S342" s="195">
        <v>1.141</v>
      </c>
      <c r="T342" s="195">
        <v>1.147</v>
      </c>
      <c r="U342" s="195">
        <v>1.1519999999999999</v>
      </c>
      <c r="V342" s="195">
        <v>1.1619999999999999</v>
      </c>
      <c r="W342" s="195">
        <v>1.1659999999999999</v>
      </c>
      <c r="X342" s="195">
        <v>1.175</v>
      </c>
      <c r="Y342" s="195">
        <v>1.1819999999999999</v>
      </c>
      <c r="Z342" s="195">
        <v>1.1879999999999999</v>
      </c>
    </row>
    <row r="343" spans="1:26">
      <c r="A343" s="195" t="s">
        <v>198</v>
      </c>
      <c r="B343" s="195" t="s">
        <v>285</v>
      </c>
      <c r="C343" s="195">
        <v>1.1240000000000001</v>
      </c>
      <c r="D343" s="195">
        <v>1.135</v>
      </c>
      <c r="E343" s="195">
        <v>1.0920000000000001</v>
      </c>
      <c r="F343" s="195">
        <v>0.99099999999999999</v>
      </c>
      <c r="G343" s="195">
        <v>1.0169999999999999</v>
      </c>
      <c r="H343" s="195">
        <v>0.98699999999999999</v>
      </c>
      <c r="I343" s="195">
        <v>0.98699999999999999</v>
      </c>
      <c r="J343" s="195">
        <v>0.96499999999999997</v>
      </c>
      <c r="K343" s="195">
        <v>1.0049999999999999</v>
      </c>
      <c r="L343" s="195">
        <v>0.99099999999999999</v>
      </c>
      <c r="M343" s="195">
        <v>1.0209999999999999</v>
      </c>
      <c r="N343" s="195">
        <v>1.0149999999999999</v>
      </c>
      <c r="O343" s="195">
        <v>1.0229999999999999</v>
      </c>
      <c r="P343" s="195">
        <v>1.0349999999999999</v>
      </c>
      <c r="Q343" s="195">
        <v>1.0549999999999999</v>
      </c>
      <c r="R343" s="195">
        <v>1.0620000000000001</v>
      </c>
      <c r="S343" s="195">
        <v>1.07</v>
      </c>
      <c r="T343" s="195">
        <v>1.0660000000000001</v>
      </c>
      <c r="U343" s="195">
        <v>1.0580000000000001</v>
      </c>
      <c r="V343" s="195">
        <v>1.08</v>
      </c>
      <c r="W343" s="195">
        <v>1.0820000000000001</v>
      </c>
      <c r="X343" s="195">
        <v>1.0960000000000001</v>
      </c>
      <c r="Y343" s="195">
        <v>1.105</v>
      </c>
      <c r="Z343" s="195">
        <v>1.1120000000000001</v>
      </c>
    </row>
    <row r="344" spans="1:26">
      <c r="A344" s="195" t="s">
        <v>199</v>
      </c>
      <c r="B344" s="195" t="s">
        <v>285</v>
      </c>
      <c r="C344" s="195">
        <v>1.19</v>
      </c>
      <c r="D344" s="195">
        <v>1.24</v>
      </c>
      <c r="E344" s="195">
        <v>1.177</v>
      </c>
      <c r="F344" s="195">
        <v>1.0900000000000001</v>
      </c>
      <c r="G344" s="195">
        <v>1.113</v>
      </c>
      <c r="H344" s="195">
        <v>1.107</v>
      </c>
      <c r="I344" s="195">
        <v>1.097</v>
      </c>
      <c r="J344" s="195">
        <v>1.0649999999999999</v>
      </c>
      <c r="K344" s="195">
        <v>1.097</v>
      </c>
      <c r="L344" s="195">
        <v>1.075</v>
      </c>
      <c r="M344" s="195">
        <v>1.1040000000000001</v>
      </c>
      <c r="N344" s="195">
        <v>1.0960000000000001</v>
      </c>
      <c r="O344" s="195">
        <v>1.103</v>
      </c>
      <c r="P344" s="195">
        <v>1.117</v>
      </c>
      <c r="Q344" s="195">
        <v>1.129</v>
      </c>
      <c r="R344" s="195">
        <v>1.147</v>
      </c>
      <c r="S344" s="195">
        <v>1.155</v>
      </c>
      <c r="T344" s="195">
        <v>1.1639999999999999</v>
      </c>
      <c r="U344" s="195">
        <v>1.1719999999999999</v>
      </c>
      <c r="V344" s="195">
        <v>1.179</v>
      </c>
      <c r="W344" s="195">
        <v>1.1839999999999999</v>
      </c>
      <c r="X344" s="195">
        <v>1.1910000000000001</v>
      </c>
      <c r="Y344" s="195">
        <v>1.196</v>
      </c>
      <c r="Z344" s="195">
        <v>1.2030000000000001</v>
      </c>
    </row>
    <row r="345" spans="1:26">
      <c r="A345" s="195" t="s">
        <v>200</v>
      </c>
      <c r="B345" s="195" t="s">
        <v>285</v>
      </c>
      <c r="C345" s="195">
        <v>0.77700000000000002</v>
      </c>
      <c r="D345" s="195">
        <v>0.85799999999999998</v>
      </c>
      <c r="E345" s="195">
        <v>0.86</v>
      </c>
      <c r="F345" s="195">
        <v>0.82899999999999996</v>
      </c>
      <c r="G345" s="195">
        <v>0.85199999999999998</v>
      </c>
      <c r="H345" s="195">
        <v>0.85</v>
      </c>
      <c r="I345" s="195">
        <v>0.84499999999999997</v>
      </c>
      <c r="J345" s="195">
        <v>0.82599999999999996</v>
      </c>
      <c r="K345" s="195">
        <v>0.84499999999999997</v>
      </c>
      <c r="L345" s="195">
        <v>0.80300000000000005</v>
      </c>
      <c r="M345" s="195">
        <v>0.82199999999999995</v>
      </c>
      <c r="N345" s="195">
        <v>0.81399999999999995</v>
      </c>
      <c r="O345" s="195">
        <v>0.88</v>
      </c>
      <c r="P345" s="195">
        <v>0.83499999999999996</v>
      </c>
      <c r="Q345" s="195">
        <v>0.92300000000000004</v>
      </c>
      <c r="R345" s="195">
        <v>0.93600000000000005</v>
      </c>
      <c r="S345" s="195">
        <v>0.95199999999999996</v>
      </c>
      <c r="T345" s="195">
        <v>0.95799999999999996</v>
      </c>
      <c r="U345" s="195">
        <v>0.95599999999999996</v>
      </c>
      <c r="V345" s="195">
        <v>0.97499999999999998</v>
      </c>
      <c r="W345" s="195">
        <v>0.97899999999999998</v>
      </c>
      <c r="X345" s="195">
        <v>0.99</v>
      </c>
      <c r="Y345" s="195">
        <v>0.99299999999999999</v>
      </c>
      <c r="Z345" s="195">
        <v>1.0069999999999999</v>
      </c>
    </row>
    <row r="346" spans="1:26">
      <c r="A346" s="195" t="s">
        <v>461</v>
      </c>
      <c r="B346" s="195" t="s">
        <v>285</v>
      </c>
      <c r="C346" s="195">
        <v>1.19</v>
      </c>
      <c r="D346" s="195">
        <v>1.24</v>
      </c>
      <c r="E346" s="195">
        <v>1.177</v>
      </c>
      <c r="F346" s="195">
        <v>1.103</v>
      </c>
      <c r="G346" s="195">
        <v>1.1359999999999999</v>
      </c>
      <c r="H346" s="195">
        <v>1.1379999999999999</v>
      </c>
      <c r="I346" s="195">
        <v>1.135</v>
      </c>
      <c r="J346" s="195">
        <v>1.109</v>
      </c>
      <c r="K346" s="195">
        <v>1.145</v>
      </c>
      <c r="L346" s="195">
        <v>1.127</v>
      </c>
      <c r="M346" s="195">
        <v>1.159</v>
      </c>
      <c r="N346" s="195">
        <v>1.1539999999999999</v>
      </c>
      <c r="O346" s="195">
        <v>1.1639999999999999</v>
      </c>
      <c r="P346" s="195">
        <v>1.179</v>
      </c>
      <c r="Q346" s="195">
        <v>1.1930000000000001</v>
      </c>
      <c r="R346" s="195">
        <v>1.212</v>
      </c>
      <c r="S346" s="195">
        <v>1.222</v>
      </c>
      <c r="T346" s="195">
        <v>1.2310000000000001</v>
      </c>
      <c r="U346" s="195">
        <v>1.2410000000000001</v>
      </c>
      <c r="V346" s="195">
        <v>1.248</v>
      </c>
      <c r="W346" s="195">
        <v>1.254</v>
      </c>
      <c r="X346" s="195">
        <v>1.262</v>
      </c>
      <c r="Y346" s="195">
        <v>1.268</v>
      </c>
      <c r="Z346" s="195">
        <v>1.274</v>
      </c>
    </row>
    <row r="347" spans="1:26">
      <c r="A347" s="195" t="s">
        <v>201</v>
      </c>
      <c r="B347" s="195" t="s">
        <v>285</v>
      </c>
      <c r="C347" s="195">
        <v>0.83099999999999996</v>
      </c>
      <c r="D347" s="195">
        <v>0.80300000000000005</v>
      </c>
      <c r="E347" s="195">
        <v>0.76300000000000001</v>
      </c>
      <c r="F347" s="195">
        <v>0.748</v>
      </c>
      <c r="G347" s="195">
        <v>0.754</v>
      </c>
      <c r="H347" s="195">
        <v>0.76</v>
      </c>
      <c r="I347" s="195">
        <v>0.747</v>
      </c>
      <c r="J347" s="195">
        <v>0.748</v>
      </c>
      <c r="K347" s="195">
        <v>0.76700000000000002</v>
      </c>
      <c r="L347" s="195">
        <v>0.76700000000000002</v>
      </c>
      <c r="M347" s="195">
        <v>0.77300000000000002</v>
      </c>
      <c r="N347" s="195">
        <v>0.78500000000000003</v>
      </c>
      <c r="O347" s="195">
        <v>0.79100000000000004</v>
      </c>
      <c r="P347" s="195">
        <v>0.81100000000000005</v>
      </c>
      <c r="Q347" s="195">
        <v>0.81599999999999995</v>
      </c>
      <c r="R347" s="195">
        <v>0.83099999999999996</v>
      </c>
      <c r="S347" s="195">
        <v>0.84399999999999997</v>
      </c>
      <c r="T347" s="195">
        <v>0.84799999999999998</v>
      </c>
      <c r="U347" s="195">
        <v>0.86</v>
      </c>
      <c r="V347" s="195">
        <v>0.871</v>
      </c>
      <c r="W347" s="195">
        <v>0.88900000000000001</v>
      </c>
      <c r="X347" s="195">
        <v>0.90100000000000002</v>
      </c>
      <c r="Y347" s="195">
        <v>0.91300000000000003</v>
      </c>
      <c r="Z347" s="195">
        <v>0.91500000000000004</v>
      </c>
    </row>
    <row r="348" spans="1:26">
      <c r="A348" s="195" t="s">
        <v>202</v>
      </c>
      <c r="B348" s="195" t="s">
        <v>285</v>
      </c>
      <c r="C348" s="195">
        <v>0.86599999999999999</v>
      </c>
      <c r="D348" s="195">
        <v>0.85899999999999999</v>
      </c>
      <c r="E348" s="195">
        <v>0.83299999999999996</v>
      </c>
      <c r="F348" s="195">
        <v>0.80800000000000005</v>
      </c>
      <c r="G348" s="195">
        <v>0.81</v>
      </c>
      <c r="H348" s="195">
        <v>0.80300000000000005</v>
      </c>
      <c r="I348" s="195">
        <v>0</v>
      </c>
      <c r="J348" s="195">
        <v>0</v>
      </c>
      <c r="K348" s="195">
        <v>0</v>
      </c>
      <c r="L348" s="195">
        <v>0</v>
      </c>
      <c r="M348" s="195">
        <v>0</v>
      </c>
      <c r="N348" s="195">
        <v>0</v>
      </c>
      <c r="O348" s="195">
        <v>0</v>
      </c>
      <c r="P348" s="195">
        <v>0</v>
      </c>
      <c r="Q348" s="195">
        <v>0</v>
      </c>
      <c r="R348" s="195">
        <v>0</v>
      </c>
      <c r="S348" s="195">
        <v>0</v>
      </c>
      <c r="T348" s="195">
        <v>0</v>
      </c>
      <c r="U348" s="195">
        <v>0</v>
      </c>
      <c r="V348" s="195">
        <v>0</v>
      </c>
      <c r="W348" s="195">
        <v>0</v>
      </c>
      <c r="X348" s="195">
        <v>0</v>
      </c>
      <c r="Y348" s="195">
        <v>0</v>
      </c>
      <c r="Z348" s="195">
        <v>0</v>
      </c>
    </row>
    <row r="349" spans="1:26">
      <c r="A349" s="195" t="s">
        <v>203</v>
      </c>
      <c r="B349" s="195" t="s">
        <v>285</v>
      </c>
      <c r="C349" s="195">
        <v>0.88500000000000001</v>
      </c>
      <c r="D349" s="195">
        <v>0.88900000000000001</v>
      </c>
      <c r="E349" s="195">
        <v>0.86899999999999999</v>
      </c>
      <c r="F349" s="195">
        <v>0.85699999999999998</v>
      </c>
      <c r="G349" s="195">
        <v>0.86899999999999999</v>
      </c>
      <c r="H349" s="195">
        <v>0.86599999999999999</v>
      </c>
      <c r="I349" s="195">
        <v>0.89300000000000002</v>
      </c>
      <c r="J349" s="195">
        <v>0.88800000000000001</v>
      </c>
      <c r="K349" s="195">
        <v>0.88700000000000001</v>
      </c>
      <c r="L349" s="195">
        <v>0.88500000000000001</v>
      </c>
      <c r="M349" s="195">
        <v>0.88300000000000001</v>
      </c>
      <c r="N349" s="195">
        <v>0.95</v>
      </c>
      <c r="O349" s="195">
        <v>0.873</v>
      </c>
      <c r="P349" s="195">
        <v>0.91900000000000004</v>
      </c>
      <c r="Q349" s="195">
        <v>0.92800000000000005</v>
      </c>
      <c r="R349" s="195">
        <v>0.91600000000000004</v>
      </c>
      <c r="S349" s="195">
        <v>0.92200000000000004</v>
      </c>
      <c r="T349" s="195">
        <v>0.93700000000000006</v>
      </c>
      <c r="U349" s="195">
        <v>1.0009999999999999</v>
      </c>
      <c r="V349" s="195">
        <v>1.0149999999999999</v>
      </c>
      <c r="W349" s="195">
        <v>1.0029999999999999</v>
      </c>
      <c r="X349" s="195">
        <v>1.012</v>
      </c>
      <c r="Y349" s="195">
        <v>1.0229999999999999</v>
      </c>
      <c r="Z349" s="195">
        <v>1.0429999999999999</v>
      </c>
    </row>
    <row r="350" spans="1:26">
      <c r="A350" s="195" t="s">
        <v>204</v>
      </c>
      <c r="B350" s="195" t="s">
        <v>285</v>
      </c>
      <c r="C350" s="195">
        <v>0.83599999999999997</v>
      </c>
      <c r="D350" s="195">
        <v>0.83899999999999997</v>
      </c>
      <c r="E350" s="195">
        <v>0.82199999999999995</v>
      </c>
      <c r="F350" s="195">
        <v>0.79300000000000004</v>
      </c>
      <c r="G350" s="195">
        <v>0.8</v>
      </c>
      <c r="H350" s="195">
        <v>0.79400000000000004</v>
      </c>
      <c r="I350" s="195">
        <v>0.79700000000000004</v>
      </c>
      <c r="J350" s="195">
        <v>0.79100000000000004</v>
      </c>
      <c r="K350" s="195">
        <v>0.79400000000000004</v>
      </c>
      <c r="L350" s="195">
        <v>0.8</v>
      </c>
      <c r="M350" s="195">
        <v>0.80300000000000005</v>
      </c>
      <c r="N350" s="195">
        <v>0.84299999999999997</v>
      </c>
      <c r="O350" s="195">
        <v>0.81699999999999995</v>
      </c>
      <c r="P350" s="195">
        <v>0.84899999999999998</v>
      </c>
      <c r="Q350" s="195">
        <v>0.85799999999999998</v>
      </c>
      <c r="R350" s="195">
        <v>0.86199999999999999</v>
      </c>
      <c r="S350" s="195">
        <v>0.86599999999999999</v>
      </c>
      <c r="T350" s="195">
        <v>0.871</v>
      </c>
      <c r="U350" s="195">
        <v>0.91500000000000004</v>
      </c>
      <c r="V350" s="195">
        <v>0.91900000000000004</v>
      </c>
      <c r="W350" s="195">
        <v>0.92600000000000005</v>
      </c>
      <c r="X350" s="195">
        <v>0.93700000000000006</v>
      </c>
      <c r="Y350" s="195">
        <v>0.95599999999999996</v>
      </c>
      <c r="Z350" s="195">
        <v>0.95499999999999996</v>
      </c>
    </row>
    <row r="351" spans="1:26">
      <c r="A351" s="195" t="s">
        <v>205</v>
      </c>
      <c r="B351" s="195" t="s">
        <v>285</v>
      </c>
      <c r="C351" s="195">
        <v>0.83099999999999996</v>
      </c>
      <c r="D351" s="195">
        <v>0.80300000000000005</v>
      </c>
      <c r="E351" s="195">
        <v>0.76300000000000001</v>
      </c>
      <c r="F351" s="195">
        <v>0.748</v>
      </c>
      <c r="G351" s="195">
        <v>0.754</v>
      </c>
      <c r="H351" s="195">
        <v>0.76</v>
      </c>
      <c r="I351" s="195">
        <v>0.747</v>
      </c>
      <c r="J351" s="195">
        <v>0.748</v>
      </c>
      <c r="K351" s="195">
        <v>0.76700000000000002</v>
      </c>
      <c r="L351" s="195">
        <v>0.76700000000000002</v>
      </c>
      <c r="M351" s="195">
        <v>0.77300000000000002</v>
      </c>
      <c r="N351" s="195">
        <v>0.78500000000000003</v>
      </c>
      <c r="O351" s="195">
        <v>0.79100000000000004</v>
      </c>
      <c r="P351" s="195">
        <v>0.81100000000000005</v>
      </c>
      <c r="Q351" s="195">
        <v>0.81599999999999995</v>
      </c>
      <c r="R351" s="195">
        <v>0.83099999999999996</v>
      </c>
      <c r="S351" s="195">
        <v>0.84399999999999997</v>
      </c>
      <c r="T351" s="195">
        <v>0.84799999999999998</v>
      </c>
      <c r="U351" s="195">
        <v>0.86</v>
      </c>
      <c r="V351" s="195">
        <v>0.871</v>
      </c>
      <c r="W351" s="195">
        <v>0.88900000000000001</v>
      </c>
      <c r="X351" s="195">
        <v>0.90100000000000002</v>
      </c>
      <c r="Y351" s="195">
        <v>0.91300000000000003</v>
      </c>
      <c r="Z351" s="195">
        <v>0.91500000000000004</v>
      </c>
    </row>
    <row r="352" spans="1:26">
      <c r="A352" s="195" t="s">
        <v>206</v>
      </c>
      <c r="B352" s="195" t="s">
        <v>285</v>
      </c>
      <c r="C352" s="195">
        <v>0.224</v>
      </c>
      <c r="D352" s="195">
        <v>0.17399999999999999</v>
      </c>
      <c r="E352" s="195">
        <v>0.24399999999999999</v>
      </c>
      <c r="F352" s="195">
        <v>0.33300000000000002</v>
      </c>
      <c r="G352" s="195">
        <v>0.39600000000000002</v>
      </c>
      <c r="H352" s="195">
        <v>0.36699999999999999</v>
      </c>
      <c r="I352" s="195">
        <v>0.41499999999999998</v>
      </c>
      <c r="J352" s="195">
        <v>0.41399999999999998</v>
      </c>
      <c r="K352" s="195">
        <v>0.34799999999999998</v>
      </c>
      <c r="L352" s="195">
        <v>0.19</v>
      </c>
      <c r="M352" s="195">
        <v>0.128</v>
      </c>
      <c r="N352" s="195">
        <v>0.13200000000000001</v>
      </c>
      <c r="O352" s="195">
        <v>0.20499999999999999</v>
      </c>
      <c r="P352" s="195">
        <v>0.20300000000000001</v>
      </c>
      <c r="Q352" s="195">
        <v>0.251</v>
      </c>
      <c r="R352" s="195">
        <v>0.29299999999999998</v>
      </c>
      <c r="S352" s="195">
        <v>0.28799999999999998</v>
      </c>
      <c r="T352" s="195">
        <v>0.318</v>
      </c>
      <c r="U352" s="195">
        <v>0.35399999999999998</v>
      </c>
      <c r="V352" s="195">
        <v>0.34699999999999998</v>
      </c>
      <c r="W352" s="195">
        <v>0.36099999999999999</v>
      </c>
      <c r="X352" s="195">
        <v>0.34799999999999998</v>
      </c>
      <c r="Y352" s="195">
        <v>0.38700000000000001</v>
      </c>
      <c r="Z352" s="195">
        <v>0.35</v>
      </c>
    </row>
    <row r="353" spans="1:26">
      <c r="A353" s="195" t="s">
        <v>207</v>
      </c>
      <c r="B353" s="195" t="s">
        <v>285</v>
      </c>
      <c r="C353" s="195">
        <v>8.1000000000000003E-2</v>
      </c>
      <c r="D353" s="195">
        <v>7.6999999999999999E-2</v>
      </c>
      <c r="E353" s="195">
        <v>7.2999999999999995E-2</v>
      </c>
      <c r="F353" s="195">
        <v>6.9000000000000006E-2</v>
      </c>
      <c r="G353" s="195">
        <v>6.9000000000000006E-2</v>
      </c>
      <c r="H353" s="195">
        <v>6.8000000000000005E-2</v>
      </c>
      <c r="I353" s="195">
        <v>6.8000000000000005E-2</v>
      </c>
      <c r="J353" s="195">
        <v>6.8000000000000005E-2</v>
      </c>
      <c r="K353" s="195">
        <v>6.8000000000000005E-2</v>
      </c>
      <c r="L353" s="195">
        <v>6.8000000000000005E-2</v>
      </c>
      <c r="M353" s="195">
        <v>6.9000000000000006E-2</v>
      </c>
      <c r="N353" s="195">
        <v>6.9000000000000006E-2</v>
      </c>
      <c r="O353" s="195">
        <v>7.0000000000000007E-2</v>
      </c>
      <c r="P353" s="195">
        <v>7.0999999999999994E-2</v>
      </c>
      <c r="Q353" s="195">
        <v>7.1999999999999995E-2</v>
      </c>
      <c r="R353" s="195">
        <v>7.2999999999999995E-2</v>
      </c>
      <c r="S353" s="195">
        <v>7.3999999999999996E-2</v>
      </c>
      <c r="T353" s="195">
        <v>7.4999999999999997E-2</v>
      </c>
      <c r="U353" s="195">
        <v>7.5999999999999998E-2</v>
      </c>
      <c r="V353" s="195">
        <v>7.5999999999999998E-2</v>
      </c>
      <c r="W353" s="195">
        <v>7.6999999999999999E-2</v>
      </c>
      <c r="X353" s="195">
        <v>7.6999999999999999E-2</v>
      </c>
      <c r="Y353" s="195">
        <v>7.8E-2</v>
      </c>
      <c r="Z353" s="195">
        <v>7.9000000000000001E-2</v>
      </c>
    </row>
    <row r="354" spans="1:26">
      <c r="A354" s="195" t="s">
        <v>208</v>
      </c>
      <c r="B354" s="195" t="s">
        <v>285</v>
      </c>
      <c r="C354" s="195">
        <v>0.70599999999999996</v>
      </c>
      <c r="D354" s="195">
        <v>0.68899999999999995</v>
      </c>
      <c r="E354" s="195">
        <v>0.624</v>
      </c>
      <c r="F354" s="195">
        <v>0.63200000000000001</v>
      </c>
      <c r="G354" s="195">
        <v>0.64500000000000002</v>
      </c>
      <c r="H354" s="195">
        <v>0.64800000000000002</v>
      </c>
      <c r="I354" s="195">
        <v>0.63</v>
      </c>
      <c r="J354" s="195">
        <v>0.626</v>
      </c>
      <c r="K354" s="195">
        <v>0.65200000000000002</v>
      </c>
      <c r="L354" s="195">
        <v>0.64400000000000002</v>
      </c>
      <c r="M354" s="195">
        <v>0.65200000000000002</v>
      </c>
      <c r="N354" s="195">
        <v>0.64300000000000002</v>
      </c>
      <c r="O354" s="195">
        <v>0.65800000000000003</v>
      </c>
      <c r="P354" s="195">
        <v>0.67300000000000004</v>
      </c>
      <c r="Q354" s="195">
        <v>0.67700000000000005</v>
      </c>
      <c r="R354" s="195">
        <v>0.69199999999999995</v>
      </c>
      <c r="S354" s="195">
        <v>0</v>
      </c>
      <c r="T354" s="195">
        <v>0.71499999999999997</v>
      </c>
      <c r="U354" s="195">
        <v>0.72599999999999998</v>
      </c>
      <c r="V354" s="195">
        <v>0</v>
      </c>
      <c r="W354" s="195">
        <v>0</v>
      </c>
      <c r="X354" s="195">
        <v>0</v>
      </c>
      <c r="Y354" s="195">
        <v>0.78200000000000003</v>
      </c>
      <c r="Z354" s="195">
        <v>0.78700000000000003</v>
      </c>
    </row>
    <row r="355" spans="1:26">
      <c r="A355" s="195" t="s">
        <v>209</v>
      </c>
      <c r="B355" s="195" t="s">
        <v>285</v>
      </c>
      <c r="C355" s="195">
        <v>0.66500000000000004</v>
      </c>
      <c r="D355" s="195">
        <v>0.65</v>
      </c>
      <c r="E355" s="195">
        <v>0.58499999999999996</v>
      </c>
      <c r="F355" s="195">
        <v>0.62</v>
      </c>
      <c r="G355" s="195">
        <v>0.61599999999999999</v>
      </c>
      <c r="H355" s="195">
        <v>0.61699999999999999</v>
      </c>
      <c r="I355" s="195">
        <v>0.59699999999999998</v>
      </c>
      <c r="J355" s="195">
        <v>0.59399999999999997</v>
      </c>
      <c r="K355" s="195">
        <v>0.61099999999999999</v>
      </c>
      <c r="L355" s="195">
        <v>0.60499999999999998</v>
      </c>
      <c r="M355" s="195">
        <v>0.61099999999999999</v>
      </c>
      <c r="N355" s="195">
        <v>0.59399999999999997</v>
      </c>
      <c r="O355" s="195">
        <v>0.61699999999999999</v>
      </c>
      <c r="P355" s="195">
        <v>0.61899999999999999</v>
      </c>
      <c r="Q355" s="195">
        <v>0.63200000000000001</v>
      </c>
      <c r="R355" s="195">
        <v>0.64600000000000002</v>
      </c>
      <c r="S355" s="195">
        <v>0.68200000000000005</v>
      </c>
      <c r="T355" s="195">
        <v>0.66800000000000004</v>
      </c>
      <c r="U355" s="195">
        <v>0.67700000000000005</v>
      </c>
      <c r="V355" s="195">
        <v>0.70299999999999996</v>
      </c>
      <c r="W355" s="195">
        <v>0.72299999999999998</v>
      </c>
      <c r="X355" s="195">
        <v>0.73099999999999998</v>
      </c>
      <c r="Y355" s="195">
        <v>0.754</v>
      </c>
      <c r="Z355" s="195">
        <v>0.76100000000000001</v>
      </c>
    </row>
    <row r="356" spans="1:26">
      <c r="A356" s="195" t="s">
        <v>210</v>
      </c>
      <c r="B356" s="195" t="s">
        <v>285</v>
      </c>
      <c r="C356" s="195">
        <v>0.64400000000000002</v>
      </c>
      <c r="D356" s="195">
        <v>0.63700000000000001</v>
      </c>
      <c r="E356" s="195">
        <v>0.57599999999999996</v>
      </c>
      <c r="F356" s="195">
        <v>0.61799999999999999</v>
      </c>
      <c r="G356" s="195">
        <v>0.60099999999999998</v>
      </c>
      <c r="H356" s="195">
        <v>0.59699999999999998</v>
      </c>
      <c r="I356" s="195">
        <v>0.57499999999999996</v>
      </c>
      <c r="J356" s="195">
        <v>0.57299999999999995</v>
      </c>
      <c r="K356" s="195">
        <v>0.58299999999999996</v>
      </c>
      <c r="L356" s="195">
        <v>0.57099999999999995</v>
      </c>
      <c r="M356" s="195">
        <v>0.57699999999999996</v>
      </c>
      <c r="N356" s="195">
        <v>0.55300000000000005</v>
      </c>
      <c r="O356" s="195">
        <v>0.58099999999999996</v>
      </c>
      <c r="P356" s="195">
        <v>0.57299999999999995</v>
      </c>
      <c r="Q356" s="195">
        <v>0.59</v>
      </c>
      <c r="R356" s="195">
        <v>0.60499999999999998</v>
      </c>
      <c r="S356" s="195">
        <v>0.65</v>
      </c>
      <c r="T356" s="195">
        <v>0.629</v>
      </c>
      <c r="U356" s="195">
        <v>0.63300000000000001</v>
      </c>
      <c r="V356" s="195">
        <v>0.65600000000000003</v>
      </c>
      <c r="W356" s="195">
        <v>0.67500000000000004</v>
      </c>
      <c r="X356" s="195">
        <v>0.68500000000000005</v>
      </c>
      <c r="Y356" s="195">
        <v>0.72599999999999998</v>
      </c>
      <c r="Z356" s="195">
        <v>0.73599999999999999</v>
      </c>
    </row>
    <row r="357" spans="1:26">
      <c r="A357" s="195" t="s">
        <v>211</v>
      </c>
      <c r="B357" s="195" t="s">
        <v>285</v>
      </c>
      <c r="C357" s="195">
        <v>0.41599999999999998</v>
      </c>
      <c r="D357" s="195">
        <v>0.35399999999999998</v>
      </c>
      <c r="E357" s="195">
        <v>0.30099999999999999</v>
      </c>
      <c r="F357" s="195">
        <v>0.30499999999999999</v>
      </c>
      <c r="G357" s="195">
        <v>0.22700000000000001</v>
      </c>
      <c r="H357" s="195">
        <v>0.20200000000000001</v>
      </c>
      <c r="I357" s="195">
        <v>0.18</v>
      </c>
      <c r="J357" s="195">
        <v>0.16500000000000001</v>
      </c>
      <c r="K357" s="195">
        <v>0.20499999999999999</v>
      </c>
      <c r="L357" s="195">
        <v>0.16300000000000001</v>
      </c>
      <c r="M357" s="195">
        <v>0.22600000000000001</v>
      </c>
      <c r="N357" s="195">
        <v>0.104</v>
      </c>
      <c r="O357" s="195">
        <v>0.151</v>
      </c>
      <c r="P357" s="195">
        <v>8.3000000000000004E-2</v>
      </c>
      <c r="Q357" s="195">
        <v>7.4999999999999997E-2</v>
      </c>
      <c r="R357" s="195">
        <v>0.112</v>
      </c>
      <c r="S357" s="195">
        <v>0.222</v>
      </c>
      <c r="T357" s="195">
        <v>9.2999999999999999E-2</v>
      </c>
      <c r="U357" s="195">
        <v>0.106</v>
      </c>
      <c r="V357" s="195">
        <v>0.14399999999999999</v>
      </c>
      <c r="W357" s="195">
        <v>0.17599999999999999</v>
      </c>
      <c r="X357" s="195">
        <v>0.17799999999999999</v>
      </c>
      <c r="Y357" s="195">
        <v>0.28399999999999997</v>
      </c>
      <c r="Z357" s="195">
        <v>0.308</v>
      </c>
    </row>
    <row r="358" spans="1:26">
      <c r="A358" s="195" t="s">
        <v>281</v>
      </c>
      <c r="B358" s="195" t="s">
        <v>282</v>
      </c>
      <c r="C358" s="195" t="s">
        <v>283</v>
      </c>
      <c r="D358" s="195" t="s">
        <v>283</v>
      </c>
      <c r="E358" s="195" t="s">
        <v>283</v>
      </c>
      <c r="F358" s="195" t="s">
        <v>283</v>
      </c>
      <c r="G358" s="195" t="s">
        <v>283</v>
      </c>
      <c r="H358" s="195" t="s">
        <v>283</v>
      </c>
      <c r="I358" s="195" t="s">
        <v>283</v>
      </c>
      <c r="J358" s="195" t="s">
        <v>283</v>
      </c>
      <c r="K358" s="195" t="s">
        <v>283</v>
      </c>
      <c r="L358" s="195" t="s">
        <v>283</v>
      </c>
      <c r="M358" s="195" t="s">
        <v>283</v>
      </c>
      <c r="N358" s="195" t="s">
        <v>283</v>
      </c>
      <c r="O358" s="195" t="s">
        <v>283</v>
      </c>
      <c r="P358" s="195" t="s">
        <v>283</v>
      </c>
      <c r="Q358" s="195" t="s">
        <v>283</v>
      </c>
      <c r="R358" s="195" t="s">
        <v>283</v>
      </c>
      <c r="S358" s="195" t="s">
        <v>283</v>
      </c>
      <c r="T358" s="195" t="s">
        <v>283</v>
      </c>
      <c r="U358" s="195" t="s">
        <v>283</v>
      </c>
      <c r="V358" s="195" t="s">
        <v>283</v>
      </c>
      <c r="W358" s="195" t="s">
        <v>283</v>
      </c>
      <c r="X358" s="195" t="s">
        <v>283</v>
      </c>
      <c r="Y358" s="195" t="s">
        <v>283</v>
      </c>
      <c r="Z358" s="195" t="s">
        <v>284</v>
      </c>
    </row>
    <row r="361" spans="1:26">
      <c r="C361" s="202" t="str">
        <f>CONCATENATE(M361,N361,O361,P361,Q361,R361)</f>
        <v>Table 8US EndUse Prices,$/Gal</v>
      </c>
      <c r="M361" s="195" t="s">
        <v>297</v>
      </c>
      <c r="N361" s="195" t="s">
        <v>298</v>
      </c>
      <c r="O361" s="195" t="s">
        <v>299</v>
      </c>
      <c r="P361" s="195" t="s">
        <v>300</v>
      </c>
      <c r="Q361" s="195" t="s">
        <v>301</v>
      </c>
      <c r="R361" s="195" t="s">
        <v>302</v>
      </c>
    </row>
    <row r="362" spans="1:26">
      <c r="A362" s="195" t="s">
        <v>276</v>
      </c>
      <c r="B362" s="195" t="s">
        <v>277</v>
      </c>
      <c r="C362" s="195">
        <v>11006</v>
      </c>
      <c r="D362" s="195" t="s">
        <v>278</v>
      </c>
      <c r="E362" s="195" t="s">
        <v>279</v>
      </c>
      <c r="F362" s="195" t="s">
        <v>280</v>
      </c>
    </row>
    <row r="363" spans="1:26">
      <c r="A363" s="195" t="s">
        <v>281</v>
      </c>
      <c r="B363" s="195" t="s">
        <v>282</v>
      </c>
      <c r="C363" s="195" t="s">
        <v>283</v>
      </c>
      <c r="D363" s="195" t="s">
        <v>283</v>
      </c>
      <c r="E363" s="195" t="s">
        <v>283</v>
      </c>
      <c r="F363" s="195" t="s">
        <v>283</v>
      </c>
      <c r="G363" s="195" t="s">
        <v>283</v>
      </c>
      <c r="H363" s="195" t="s">
        <v>283</v>
      </c>
      <c r="I363" s="195" t="s">
        <v>283</v>
      </c>
      <c r="J363" s="195" t="s">
        <v>283</v>
      </c>
      <c r="K363" s="195" t="s">
        <v>283</v>
      </c>
      <c r="L363" s="195" t="s">
        <v>283</v>
      </c>
      <c r="M363" s="195" t="s">
        <v>283</v>
      </c>
      <c r="N363" s="195" t="s">
        <v>283</v>
      </c>
      <c r="O363" s="195" t="s">
        <v>283</v>
      </c>
      <c r="P363" s="195" t="s">
        <v>283</v>
      </c>
      <c r="Q363" s="195" t="s">
        <v>283</v>
      </c>
      <c r="R363" s="195" t="s">
        <v>283</v>
      </c>
      <c r="S363" s="195" t="s">
        <v>283</v>
      </c>
      <c r="T363" s="195" t="s">
        <v>283</v>
      </c>
      <c r="U363" s="195" t="s">
        <v>283</v>
      </c>
      <c r="V363" s="195" t="s">
        <v>283</v>
      </c>
      <c r="W363" s="195" t="s">
        <v>283</v>
      </c>
      <c r="X363" s="195" t="s">
        <v>283</v>
      </c>
      <c r="Y363" s="195" t="s">
        <v>283</v>
      </c>
      <c r="Z363" s="195" t="s">
        <v>284</v>
      </c>
    </row>
    <row r="364" spans="1:26">
      <c r="C364" s="195">
        <v>2007</v>
      </c>
      <c r="D364" s="195">
        <v>2008</v>
      </c>
      <c r="E364" s="195">
        <v>2009</v>
      </c>
      <c r="F364" s="195">
        <v>2010</v>
      </c>
      <c r="G364" s="195">
        <v>2011</v>
      </c>
      <c r="H364" s="195">
        <v>2012</v>
      </c>
      <c r="I364" s="195">
        <v>2013</v>
      </c>
      <c r="J364" s="195">
        <v>2014</v>
      </c>
      <c r="K364" s="195">
        <v>2015</v>
      </c>
      <c r="L364" s="195">
        <v>2016</v>
      </c>
      <c r="M364" s="195">
        <v>2017</v>
      </c>
      <c r="N364" s="195">
        <v>2018</v>
      </c>
      <c r="O364" s="195">
        <v>2019</v>
      </c>
      <c r="P364" s="195">
        <v>2020</v>
      </c>
      <c r="Q364" s="195">
        <v>2021</v>
      </c>
      <c r="R364" s="195">
        <v>2022</v>
      </c>
      <c r="S364" s="195">
        <v>2023</v>
      </c>
      <c r="T364" s="195">
        <v>2024</v>
      </c>
      <c r="U364" s="195">
        <v>2025</v>
      </c>
      <c r="V364" s="195">
        <v>2026</v>
      </c>
      <c r="W364" s="195">
        <v>2027</v>
      </c>
      <c r="X364" s="195">
        <v>2028</v>
      </c>
      <c r="Y364" s="195">
        <v>2029</v>
      </c>
      <c r="Z364" s="195">
        <v>2030</v>
      </c>
    </row>
    <row r="365" spans="1:26">
      <c r="A365" s="195" t="s">
        <v>281</v>
      </c>
      <c r="B365" s="195" t="s">
        <v>282</v>
      </c>
      <c r="C365" s="195" t="s">
        <v>283</v>
      </c>
      <c r="D365" s="195" t="s">
        <v>283</v>
      </c>
      <c r="E365" s="195" t="s">
        <v>283</v>
      </c>
      <c r="F365" s="195" t="s">
        <v>283</v>
      </c>
      <c r="G365" s="195" t="s">
        <v>283</v>
      </c>
      <c r="H365" s="195" t="s">
        <v>283</v>
      </c>
      <c r="I365" s="195" t="s">
        <v>283</v>
      </c>
      <c r="J365" s="195" t="s">
        <v>283</v>
      </c>
      <c r="K365" s="195" t="s">
        <v>283</v>
      </c>
      <c r="L365" s="195" t="s">
        <v>283</v>
      </c>
      <c r="M365" s="195" t="s">
        <v>283</v>
      </c>
      <c r="N365" s="195" t="s">
        <v>283</v>
      </c>
      <c r="O365" s="195" t="s">
        <v>283</v>
      </c>
      <c r="P365" s="195" t="s">
        <v>283</v>
      </c>
      <c r="Q365" s="195" t="s">
        <v>283</v>
      </c>
      <c r="R365" s="195" t="s">
        <v>283</v>
      </c>
      <c r="S365" s="195" t="s">
        <v>283</v>
      </c>
      <c r="T365" s="195" t="s">
        <v>283</v>
      </c>
      <c r="U365" s="195" t="s">
        <v>283</v>
      </c>
      <c r="V365" s="195" t="s">
        <v>283</v>
      </c>
      <c r="W365" s="195" t="s">
        <v>283</v>
      </c>
      <c r="X365" s="195" t="s">
        <v>283</v>
      </c>
      <c r="Y365" s="195" t="s">
        <v>283</v>
      </c>
      <c r="Z365" s="195" t="s">
        <v>284</v>
      </c>
    </row>
    <row r="366" spans="1:26">
      <c r="A366" s="195" t="s">
        <v>197</v>
      </c>
    </row>
    <row r="367" spans="1:26">
      <c r="A367" s="195" t="s">
        <v>303</v>
      </c>
      <c r="B367" s="195" t="s">
        <v>285</v>
      </c>
      <c r="C367" s="195">
        <v>1.5569999999999999</v>
      </c>
      <c r="D367" s="195">
        <v>1.5069999999999999</v>
      </c>
      <c r="E367" s="195">
        <v>1.4550000000000001</v>
      </c>
      <c r="F367" s="195">
        <v>1.4019999999999999</v>
      </c>
      <c r="G367" s="195">
        <v>1.391</v>
      </c>
      <c r="H367" s="195">
        <v>1.3819999999999999</v>
      </c>
      <c r="I367" s="195">
        <v>1.377</v>
      </c>
      <c r="J367" s="195">
        <v>1.375</v>
      </c>
      <c r="K367" s="195">
        <v>1.369</v>
      </c>
      <c r="L367" s="195">
        <v>1.385</v>
      </c>
      <c r="M367" s="195">
        <v>1.39</v>
      </c>
      <c r="N367" s="195">
        <v>1.399</v>
      </c>
      <c r="O367" s="195">
        <v>1.415</v>
      </c>
      <c r="P367" s="195">
        <v>1.429</v>
      </c>
      <c r="Q367" s="195">
        <v>1.4350000000000001</v>
      </c>
      <c r="R367" s="195">
        <v>1.444</v>
      </c>
      <c r="S367" s="195">
        <v>1.452</v>
      </c>
      <c r="T367" s="195">
        <v>1.4610000000000001</v>
      </c>
      <c r="U367" s="195">
        <v>1.47</v>
      </c>
      <c r="V367" s="195">
        <v>1.476</v>
      </c>
      <c r="W367" s="195">
        <v>1.4810000000000001</v>
      </c>
      <c r="X367" s="195">
        <v>1.488</v>
      </c>
      <c r="Y367" s="195">
        <v>1.494</v>
      </c>
      <c r="Z367" s="195">
        <v>1.5009999999999999</v>
      </c>
    </row>
    <row r="368" spans="1:26">
      <c r="A368" s="195" t="s">
        <v>304</v>
      </c>
      <c r="B368" s="195" t="s">
        <v>285</v>
      </c>
      <c r="C368" s="195">
        <v>1.5369999999999999</v>
      </c>
      <c r="D368" s="195">
        <v>1.49</v>
      </c>
      <c r="E368" s="195">
        <v>1.4390000000000001</v>
      </c>
      <c r="F368" s="195">
        <v>1.3879999999999999</v>
      </c>
      <c r="G368" s="195">
        <v>1.38</v>
      </c>
      <c r="H368" s="195">
        <v>1.3720000000000001</v>
      </c>
      <c r="I368" s="195">
        <v>1.367</v>
      </c>
      <c r="J368" s="195">
        <v>1.365</v>
      </c>
      <c r="K368" s="195">
        <v>1.359</v>
      </c>
      <c r="L368" s="195">
        <v>1.3759999999999999</v>
      </c>
      <c r="M368" s="195">
        <v>1.38</v>
      </c>
      <c r="N368" s="195">
        <v>1.39</v>
      </c>
      <c r="O368" s="195">
        <v>1.4059999999999999</v>
      </c>
      <c r="P368" s="195">
        <v>1.421</v>
      </c>
      <c r="Q368" s="195">
        <v>1.427</v>
      </c>
      <c r="R368" s="195">
        <v>1.4370000000000001</v>
      </c>
      <c r="S368" s="195">
        <v>1.444</v>
      </c>
      <c r="T368" s="195">
        <v>1.452</v>
      </c>
      <c r="U368" s="195">
        <v>1.4610000000000001</v>
      </c>
      <c r="V368" s="195">
        <v>1.4670000000000001</v>
      </c>
      <c r="W368" s="195">
        <v>1.4730000000000001</v>
      </c>
      <c r="X368" s="195">
        <v>1.482</v>
      </c>
      <c r="Y368" s="195">
        <v>1.49</v>
      </c>
      <c r="Z368" s="195">
        <v>1.498</v>
      </c>
    </row>
    <row r="369" spans="1:26">
      <c r="A369" s="195" t="s">
        <v>305</v>
      </c>
      <c r="B369" s="195" t="s">
        <v>285</v>
      </c>
      <c r="C369" s="195">
        <v>1.482</v>
      </c>
      <c r="D369" s="195">
        <v>1.4339999999999999</v>
      </c>
      <c r="E369" s="195">
        <v>1.383</v>
      </c>
      <c r="F369" s="195">
        <v>1.335</v>
      </c>
      <c r="G369" s="195">
        <v>1.33</v>
      </c>
      <c r="H369" s="195">
        <v>1.3220000000000001</v>
      </c>
      <c r="I369" s="195">
        <v>1.3160000000000001</v>
      </c>
      <c r="J369" s="195">
        <v>1.3140000000000001</v>
      </c>
      <c r="K369" s="195">
        <v>1.3080000000000001</v>
      </c>
      <c r="L369" s="195">
        <v>1.325</v>
      </c>
      <c r="M369" s="195">
        <v>1.329</v>
      </c>
      <c r="N369" s="195">
        <v>1.34</v>
      </c>
      <c r="O369" s="195">
        <v>1.3560000000000001</v>
      </c>
      <c r="P369" s="195">
        <v>1.371</v>
      </c>
      <c r="Q369" s="195">
        <v>1.377</v>
      </c>
      <c r="R369" s="195">
        <v>1.3879999999999999</v>
      </c>
      <c r="S369" s="195">
        <v>1.393</v>
      </c>
      <c r="T369" s="195">
        <v>1.401</v>
      </c>
      <c r="U369" s="195">
        <v>1.409</v>
      </c>
      <c r="V369" s="195">
        <v>1.415</v>
      </c>
      <c r="W369" s="195">
        <v>1.421</v>
      </c>
      <c r="X369" s="195">
        <v>1.43</v>
      </c>
      <c r="Y369" s="195">
        <v>1.4339999999999999</v>
      </c>
      <c r="Z369" s="195">
        <v>1.4419999999999999</v>
      </c>
    </row>
    <row r="370" spans="1:26">
      <c r="A370" s="195" t="s">
        <v>306</v>
      </c>
      <c r="B370" s="195" t="s">
        <v>285</v>
      </c>
      <c r="C370" s="195">
        <v>1.448</v>
      </c>
      <c r="D370" s="195">
        <v>1.4</v>
      </c>
      <c r="E370" s="195">
        <v>1.3480000000000001</v>
      </c>
      <c r="F370" s="195">
        <v>1.3</v>
      </c>
      <c r="G370" s="195">
        <v>1.2949999999999999</v>
      </c>
      <c r="H370" s="195">
        <v>1.286</v>
      </c>
      <c r="I370" s="195">
        <v>1.28</v>
      </c>
      <c r="J370" s="195">
        <v>1.278</v>
      </c>
      <c r="K370" s="195">
        <v>1.272</v>
      </c>
      <c r="L370" s="195">
        <v>1.29</v>
      </c>
      <c r="M370" s="195">
        <v>1.294</v>
      </c>
      <c r="N370" s="195">
        <v>1.3049999999999999</v>
      </c>
      <c r="O370" s="195">
        <v>1.321</v>
      </c>
      <c r="P370" s="195">
        <v>1.3360000000000001</v>
      </c>
      <c r="Q370" s="195">
        <v>1.3420000000000001</v>
      </c>
      <c r="R370" s="195">
        <v>1.353</v>
      </c>
      <c r="S370" s="195">
        <v>1.3580000000000001</v>
      </c>
      <c r="T370" s="195">
        <v>1.367</v>
      </c>
      <c r="U370" s="195">
        <v>1.375</v>
      </c>
      <c r="V370" s="195">
        <v>1.381</v>
      </c>
      <c r="W370" s="195">
        <v>1.3859999999999999</v>
      </c>
      <c r="X370" s="195">
        <v>1.3959999999999999</v>
      </c>
      <c r="Y370" s="195">
        <v>1.4</v>
      </c>
      <c r="Z370" s="195">
        <v>1.4079999999999999</v>
      </c>
    </row>
    <row r="371" spans="1:26">
      <c r="A371" s="195" t="s">
        <v>307</v>
      </c>
      <c r="B371" s="195" t="s">
        <v>285</v>
      </c>
      <c r="C371" s="195">
        <v>1.417</v>
      </c>
      <c r="D371" s="195">
        <v>1.375</v>
      </c>
      <c r="E371" s="195">
        <v>1.3260000000000001</v>
      </c>
      <c r="F371" s="195">
        <v>1.2789999999999999</v>
      </c>
      <c r="G371" s="195">
        <v>1.2749999999999999</v>
      </c>
      <c r="H371" s="195">
        <v>1.2689999999999999</v>
      </c>
      <c r="I371" s="195">
        <v>1.264</v>
      </c>
      <c r="J371" s="195">
        <v>1.262</v>
      </c>
      <c r="K371" s="195">
        <v>1.256</v>
      </c>
      <c r="L371" s="195">
        <v>1.2729999999999999</v>
      </c>
      <c r="M371" s="195">
        <v>1.2769999999999999</v>
      </c>
      <c r="N371" s="195">
        <v>1.288</v>
      </c>
      <c r="O371" s="195">
        <v>1.3049999999999999</v>
      </c>
      <c r="P371" s="195">
        <v>1.321</v>
      </c>
      <c r="Q371" s="195">
        <v>1.3280000000000001</v>
      </c>
      <c r="R371" s="195">
        <v>1.3380000000000001</v>
      </c>
      <c r="S371" s="195">
        <v>1.3440000000000001</v>
      </c>
      <c r="T371" s="195">
        <v>1.3520000000000001</v>
      </c>
      <c r="U371" s="195">
        <v>1.36</v>
      </c>
      <c r="V371" s="195">
        <v>1.365</v>
      </c>
      <c r="W371" s="195">
        <v>1.3720000000000001</v>
      </c>
      <c r="X371" s="195">
        <v>1.379</v>
      </c>
      <c r="Y371" s="195">
        <v>1.385</v>
      </c>
      <c r="Z371" s="195">
        <v>1.393</v>
      </c>
    </row>
    <row r="372" spans="1:26">
      <c r="A372" s="195" t="s">
        <v>308</v>
      </c>
      <c r="B372" s="195" t="s">
        <v>285</v>
      </c>
      <c r="C372" s="195">
        <v>1.4410000000000001</v>
      </c>
      <c r="D372" s="195">
        <v>1.3939999999999999</v>
      </c>
      <c r="E372" s="195">
        <v>1.345</v>
      </c>
      <c r="F372" s="195">
        <v>1.298</v>
      </c>
      <c r="G372" s="195">
        <v>1.294</v>
      </c>
      <c r="H372" s="195">
        <v>1.2869999999999999</v>
      </c>
      <c r="I372" s="195">
        <v>1.2809999999999999</v>
      </c>
      <c r="J372" s="195">
        <v>1.2789999999999999</v>
      </c>
      <c r="K372" s="195">
        <v>1.2729999999999999</v>
      </c>
      <c r="L372" s="195">
        <v>1.2909999999999999</v>
      </c>
      <c r="M372" s="195">
        <v>1.2949999999999999</v>
      </c>
      <c r="N372" s="195">
        <v>1.306</v>
      </c>
      <c r="O372" s="195">
        <v>1.323</v>
      </c>
      <c r="P372" s="195">
        <v>1.3380000000000001</v>
      </c>
      <c r="Q372" s="195">
        <v>1.3440000000000001</v>
      </c>
      <c r="R372" s="195">
        <v>1.355</v>
      </c>
      <c r="S372" s="195">
        <v>1.361</v>
      </c>
      <c r="T372" s="195">
        <v>1.369</v>
      </c>
      <c r="U372" s="195">
        <v>1.377</v>
      </c>
      <c r="V372" s="195">
        <v>1.383</v>
      </c>
      <c r="W372" s="195">
        <v>1.389</v>
      </c>
      <c r="X372" s="195">
        <v>1.3979999999999999</v>
      </c>
      <c r="Y372" s="195">
        <v>1.403</v>
      </c>
      <c r="Z372" s="195">
        <v>1.411</v>
      </c>
    </row>
    <row r="373" spans="1:26">
      <c r="A373" s="195" t="s">
        <v>309</v>
      </c>
      <c r="B373" s="195" t="s">
        <v>285</v>
      </c>
      <c r="C373" s="195">
        <v>1.4590000000000001</v>
      </c>
      <c r="D373" s="195">
        <v>1.41</v>
      </c>
      <c r="E373" s="195">
        <v>1.359</v>
      </c>
      <c r="F373" s="195">
        <v>1.3109999999999999</v>
      </c>
      <c r="G373" s="195">
        <v>1.3049999999999999</v>
      </c>
      <c r="H373" s="195">
        <v>1.2989999999999999</v>
      </c>
      <c r="I373" s="195">
        <v>1.294</v>
      </c>
      <c r="J373" s="195">
        <v>1.292</v>
      </c>
      <c r="K373" s="195">
        <v>1.286</v>
      </c>
      <c r="L373" s="195">
        <v>1.3029999999999999</v>
      </c>
      <c r="M373" s="195">
        <v>1.3069999999999999</v>
      </c>
      <c r="N373" s="195">
        <v>1.3180000000000001</v>
      </c>
      <c r="O373" s="195">
        <v>1.335</v>
      </c>
      <c r="P373" s="195">
        <v>1.35</v>
      </c>
      <c r="Q373" s="195">
        <v>1.3560000000000001</v>
      </c>
      <c r="R373" s="195">
        <v>1.367</v>
      </c>
      <c r="S373" s="195">
        <v>1.373</v>
      </c>
      <c r="T373" s="195">
        <v>1.381</v>
      </c>
      <c r="U373" s="195">
        <v>1.39</v>
      </c>
      <c r="V373" s="195">
        <v>1.3959999999999999</v>
      </c>
      <c r="W373" s="195">
        <v>1.4019999999999999</v>
      </c>
      <c r="X373" s="195">
        <v>1.411</v>
      </c>
      <c r="Y373" s="195">
        <v>1.417</v>
      </c>
      <c r="Z373" s="195">
        <v>1.4259999999999999</v>
      </c>
    </row>
    <row r="374" spans="1:26">
      <c r="A374" s="195" t="s">
        <v>310</v>
      </c>
      <c r="B374" s="195" t="s">
        <v>285</v>
      </c>
      <c r="C374" s="195">
        <v>1.6459999999999999</v>
      </c>
      <c r="D374" s="195">
        <v>1.6559999999999999</v>
      </c>
      <c r="E374" s="195">
        <v>1.603</v>
      </c>
      <c r="F374" s="195">
        <v>1.49</v>
      </c>
      <c r="G374" s="195">
        <v>1.5109999999999999</v>
      </c>
      <c r="H374" s="195">
        <v>1.476</v>
      </c>
      <c r="I374" s="195">
        <v>1.472</v>
      </c>
      <c r="J374" s="195">
        <v>1.4510000000000001</v>
      </c>
      <c r="K374" s="195">
        <v>1.4890000000000001</v>
      </c>
      <c r="L374" s="195">
        <v>1.4730000000000001</v>
      </c>
      <c r="M374" s="195">
        <v>1.502</v>
      </c>
      <c r="N374" s="195">
        <v>1.496</v>
      </c>
      <c r="O374" s="195">
        <v>1.5</v>
      </c>
      <c r="P374" s="195">
        <v>1.51</v>
      </c>
      <c r="Q374" s="195">
        <v>1.53</v>
      </c>
      <c r="R374" s="195">
        <v>1.5329999999999999</v>
      </c>
      <c r="S374" s="195">
        <v>1.54</v>
      </c>
      <c r="T374" s="195">
        <v>1.536</v>
      </c>
      <c r="U374" s="195">
        <v>1.5289999999999999</v>
      </c>
      <c r="V374" s="195">
        <v>1.5469999999999999</v>
      </c>
      <c r="W374" s="195">
        <v>1.548</v>
      </c>
      <c r="X374" s="195">
        <v>1.5609999999999999</v>
      </c>
      <c r="Y374" s="195">
        <v>1.5680000000000001</v>
      </c>
      <c r="Z374" s="195">
        <v>1.5760000000000001</v>
      </c>
    </row>
    <row r="375" spans="1:26">
      <c r="A375" s="195" t="s">
        <v>311</v>
      </c>
      <c r="B375" s="195" t="s">
        <v>285</v>
      </c>
      <c r="C375" s="195">
        <v>1.6379999999999999</v>
      </c>
      <c r="D375" s="195">
        <v>1.677</v>
      </c>
      <c r="E375" s="195">
        <v>1.609</v>
      </c>
      <c r="F375" s="195">
        <v>1.5109999999999999</v>
      </c>
      <c r="G375" s="195">
        <v>1.532</v>
      </c>
      <c r="H375" s="195">
        <v>1.5169999999999999</v>
      </c>
      <c r="I375" s="195">
        <v>1.5049999999999999</v>
      </c>
      <c r="J375" s="195">
        <v>1.474</v>
      </c>
      <c r="K375" s="195">
        <v>1.506</v>
      </c>
      <c r="L375" s="195">
        <v>1.484</v>
      </c>
      <c r="M375" s="195">
        <v>1.512</v>
      </c>
      <c r="N375" s="195">
        <v>1.5029999999999999</v>
      </c>
      <c r="O375" s="195">
        <v>1.5069999999999999</v>
      </c>
      <c r="P375" s="195">
        <v>1.52</v>
      </c>
      <c r="Q375" s="195">
        <v>1.5329999999999999</v>
      </c>
      <c r="R375" s="195">
        <v>1.5449999999999999</v>
      </c>
      <c r="S375" s="195">
        <v>1.5529999999999999</v>
      </c>
      <c r="T375" s="195">
        <v>1.5580000000000001</v>
      </c>
      <c r="U375" s="195">
        <v>1.5649999999999999</v>
      </c>
      <c r="V375" s="195">
        <v>1.573</v>
      </c>
      <c r="W375" s="195">
        <v>1.577</v>
      </c>
      <c r="X375" s="195">
        <v>1.585</v>
      </c>
      <c r="Y375" s="195">
        <v>1.591</v>
      </c>
      <c r="Z375" s="195">
        <v>1.597</v>
      </c>
    </row>
    <row r="376" spans="1:26">
      <c r="A376" s="195" t="s">
        <v>312</v>
      </c>
      <c r="B376" s="195" t="s">
        <v>285</v>
      </c>
      <c r="C376" s="195">
        <v>1.5049999999999999</v>
      </c>
      <c r="D376" s="195">
        <v>1.4750000000000001</v>
      </c>
      <c r="E376" s="195">
        <v>1.421</v>
      </c>
      <c r="F376" s="195">
        <v>1.361</v>
      </c>
      <c r="G376" s="195">
        <v>1.361</v>
      </c>
      <c r="H376" s="195">
        <v>1.351</v>
      </c>
      <c r="I376" s="195">
        <v>1.345</v>
      </c>
      <c r="J376" s="195">
        <v>1.337</v>
      </c>
      <c r="K376" s="195">
        <v>1.34</v>
      </c>
      <c r="L376" s="195">
        <v>1.349</v>
      </c>
      <c r="M376" s="195">
        <v>1.359</v>
      </c>
      <c r="N376" s="195">
        <v>1.365</v>
      </c>
      <c r="O376" s="195">
        <v>1.379</v>
      </c>
      <c r="P376" s="195">
        <v>1.393</v>
      </c>
      <c r="Q376" s="195">
        <v>1.4019999999999999</v>
      </c>
      <c r="R376" s="195">
        <v>1.4119999999999999</v>
      </c>
      <c r="S376" s="195">
        <v>1.4179999999999999</v>
      </c>
      <c r="T376" s="195">
        <v>1.425</v>
      </c>
      <c r="U376" s="195">
        <v>1.4319999999999999</v>
      </c>
      <c r="V376" s="195">
        <v>1.4390000000000001</v>
      </c>
      <c r="W376" s="195">
        <v>1.4450000000000001</v>
      </c>
      <c r="X376" s="195">
        <v>1.4530000000000001</v>
      </c>
      <c r="Y376" s="195">
        <v>1.4590000000000001</v>
      </c>
      <c r="Z376" s="195">
        <v>1.466</v>
      </c>
    </row>
    <row r="377" spans="1:26">
      <c r="A377" s="195" t="s">
        <v>198</v>
      </c>
    </row>
    <row r="378" spans="1:26">
      <c r="A378" s="195" t="s">
        <v>303</v>
      </c>
      <c r="B378" s="195" t="s">
        <v>285</v>
      </c>
      <c r="C378" s="195">
        <v>1.5009999999999999</v>
      </c>
      <c r="D378" s="195">
        <v>1.458</v>
      </c>
      <c r="E378" s="195">
        <v>1.41</v>
      </c>
      <c r="F378" s="195">
        <v>1.3620000000000001</v>
      </c>
      <c r="G378" s="195">
        <v>1.3540000000000001</v>
      </c>
      <c r="H378" s="195">
        <v>1.3480000000000001</v>
      </c>
      <c r="I378" s="195">
        <v>1.341</v>
      </c>
      <c r="J378" s="195">
        <v>1.339</v>
      </c>
      <c r="K378" s="195">
        <v>1.333</v>
      </c>
      <c r="L378" s="195">
        <v>1.351</v>
      </c>
      <c r="M378" s="195">
        <v>1.355</v>
      </c>
      <c r="N378" s="195">
        <v>1.365</v>
      </c>
      <c r="O378" s="195">
        <v>1.3819999999999999</v>
      </c>
      <c r="P378" s="195">
        <v>1.4</v>
      </c>
      <c r="Q378" s="195">
        <v>1.4059999999999999</v>
      </c>
      <c r="R378" s="195">
        <v>1.417</v>
      </c>
      <c r="S378" s="195">
        <v>1.423</v>
      </c>
      <c r="T378" s="195">
        <v>1.431</v>
      </c>
      <c r="U378" s="195">
        <v>1.4390000000000001</v>
      </c>
      <c r="V378" s="195">
        <v>1.444</v>
      </c>
      <c r="W378" s="195">
        <v>1.4510000000000001</v>
      </c>
      <c r="X378" s="195">
        <v>1.458</v>
      </c>
      <c r="Y378" s="195">
        <v>1.4630000000000001</v>
      </c>
      <c r="Z378" s="195">
        <v>1.4710000000000001</v>
      </c>
    </row>
    <row r="379" spans="1:26">
      <c r="A379" s="195" t="s">
        <v>304</v>
      </c>
      <c r="B379" s="195" t="s">
        <v>285</v>
      </c>
      <c r="C379" s="195">
        <v>1.4730000000000001</v>
      </c>
      <c r="D379" s="195">
        <v>1.429</v>
      </c>
      <c r="E379" s="195">
        <v>1.3819999999999999</v>
      </c>
      <c r="F379" s="195">
        <v>1.3340000000000001</v>
      </c>
      <c r="G379" s="195">
        <v>1.3260000000000001</v>
      </c>
      <c r="H379" s="195">
        <v>1.32</v>
      </c>
      <c r="I379" s="195">
        <v>1.3129999999999999</v>
      </c>
      <c r="J379" s="195">
        <v>1.3109999999999999</v>
      </c>
      <c r="K379" s="195">
        <v>1.306</v>
      </c>
      <c r="L379" s="195">
        <v>1.323</v>
      </c>
      <c r="M379" s="195">
        <v>1.327</v>
      </c>
      <c r="N379" s="195">
        <v>1.337</v>
      </c>
      <c r="O379" s="195">
        <v>1.355</v>
      </c>
      <c r="P379" s="195">
        <v>1.3720000000000001</v>
      </c>
      <c r="Q379" s="195">
        <v>1.3779999999999999</v>
      </c>
      <c r="R379" s="195">
        <v>1.389</v>
      </c>
      <c r="S379" s="195">
        <v>1.3939999999999999</v>
      </c>
      <c r="T379" s="195">
        <v>1.403</v>
      </c>
      <c r="U379" s="195">
        <v>1.411</v>
      </c>
      <c r="V379" s="195">
        <v>1.4159999999999999</v>
      </c>
      <c r="W379" s="195">
        <v>1.423</v>
      </c>
      <c r="X379" s="195">
        <v>1.43</v>
      </c>
      <c r="Y379" s="195">
        <v>1.4350000000000001</v>
      </c>
      <c r="Z379" s="195">
        <v>1.4430000000000001</v>
      </c>
    </row>
    <row r="380" spans="1:26">
      <c r="A380" s="195" t="s">
        <v>305</v>
      </c>
      <c r="B380" s="195" t="s">
        <v>285</v>
      </c>
      <c r="C380" s="195">
        <v>1.4650000000000001</v>
      </c>
      <c r="D380" s="195">
        <v>1.4179999999999999</v>
      </c>
      <c r="E380" s="195">
        <v>1.3680000000000001</v>
      </c>
      <c r="F380" s="195">
        <v>1.32</v>
      </c>
      <c r="G380" s="195">
        <v>1.3140000000000001</v>
      </c>
      <c r="H380" s="195">
        <v>1.3049999999999999</v>
      </c>
      <c r="I380" s="195">
        <v>1.298</v>
      </c>
      <c r="J380" s="195">
        <v>1.296</v>
      </c>
      <c r="K380" s="195">
        <v>1.2909999999999999</v>
      </c>
      <c r="L380" s="195">
        <v>1.3069999999999999</v>
      </c>
      <c r="M380" s="195">
        <v>1.3109999999999999</v>
      </c>
      <c r="N380" s="195">
        <v>1.3220000000000001</v>
      </c>
      <c r="O380" s="195">
        <v>1.339</v>
      </c>
      <c r="P380" s="195">
        <v>1.353</v>
      </c>
      <c r="Q380" s="195">
        <v>1.359</v>
      </c>
      <c r="R380" s="195">
        <v>1.37</v>
      </c>
      <c r="S380" s="195">
        <v>1.3759999999999999</v>
      </c>
      <c r="T380" s="195">
        <v>1.3839999999999999</v>
      </c>
      <c r="U380" s="195">
        <v>1.393</v>
      </c>
      <c r="V380" s="195">
        <v>1.399</v>
      </c>
      <c r="W380" s="195">
        <v>1.4039999999999999</v>
      </c>
      <c r="X380" s="195">
        <v>1.413</v>
      </c>
      <c r="Y380" s="195">
        <v>1.4179999999999999</v>
      </c>
      <c r="Z380" s="195">
        <v>1.4259999999999999</v>
      </c>
    </row>
    <row r="381" spans="1:26">
      <c r="A381" s="195" t="s">
        <v>306</v>
      </c>
      <c r="B381" s="195" t="s">
        <v>285</v>
      </c>
      <c r="C381" s="195">
        <v>1.4430000000000001</v>
      </c>
      <c r="D381" s="195">
        <v>1.3959999999999999</v>
      </c>
      <c r="E381" s="195">
        <v>1.3440000000000001</v>
      </c>
      <c r="F381" s="195">
        <v>1.296</v>
      </c>
      <c r="G381" s="195">
        <v>1.29</v>
      </c>
      <c r="H381" s="195">
        <v>1.2809999999999999</v>
      </c>
      <c r="I381" s="195">
        <v>1.274</v>
      </c>
      <c r="J381" s="195">
        <v>1.272</v>
      </c>
      <c r="K381" s="195">
        <v>1.2669999999999999</v>
      </c>
      <c r="L381" s="195">
        <v>1.284</v>
      </c>
      <c r="M381" s="195">
        <v>1.288</v>
      </c>
      <c r="N381" s="195">
        <v>1.2989999999999999</v>
      </c>
      <c r="O381" s="195">
        <v>1.3160000000000001</v>
      </c>
      <c r="P381" s="195">
        <v>1.331</v>
      </c>
      <c r="Q381" s="195">
        <v>1.337</v>
      </c>
      <c r="R381" s="195">
        <v>1.3480000000000001</v>
      </c>
      <c r="S381" s="195">
        <v>1.353</v>
      </c>
      <c r="T381" s="195">
        <v>1.361</v>
      </c>
      <c r="U381" s="195">
        <v>1.37</v>
      </c>
      <c r="V381" s="195">
        <v>1.3759999999999999</v>
      </c>
      <c r="W381" s="195">
        <v>1.381</v>
      </c>
      <c r="X381" s="195">
        <v>1.391</v>
      </c>
      <c r="Y381" s="195">
        <v>1.395</v>
      </c>
      <c r="Z381" s="195">
        <v>1.4039999999999999</v>
      </c>
    </row>
    <row r="382" spans="1:26">
      <c r="A382" s="195" t="s">
        <v>307</v>
      </c>
      <c r="B382" s="195" t="s">
        <v>285</v>
      </c>
      <c r="C382" s="195">
        <v>1.405</v>
      </c>
      <c r="D382" s="195">
        <v>1.3640000000000001</v>
      </c>
      <c r="E382" s="195">
        <v>1.3149999999999999</v>
      </c>
      <c r="F382" s="195">
        <v>1.2669999999999999</v>
      </c>
      <c r="G382" s="195">
        <v>1.2629999999999999</v>
      </c>
      <c r="H382" s="195">
        <v>1.2569999999999999</v>
      </c>
      <c r="I382" s="195">
        <v>1.2509999999999999</v>
      </c>
      <c r="J382" s="195">
        <v>1.248</v>
      </c>
      <c r="K382" s="195">
        <v>1.2430000000000001</v>
      </c>
      <c r="L382" s="195">
        <v>1.26</v>
      </c>
      <c r="M382" s="195">
        <v>1.264</v>
      </c>
      <c r="N382" s="195">
        <v>1.2749999999999999</v>
      </c>
      <c r="O382" s="195">
        <v>1.292</v>
      </c>
      <c r="P382" s="195">
        <v>1.3089999999999999</v>
      </c>
      <c r="Q382" s="195">
        <v>1.3149999999999999</v>
      </c>
      <c r="R382" s="195">
        <v>1.3260000000000001</v>
      </c>
      <c r="S382" s="195">
        <v>1.3320000000000001</v>
      </c>
      <c r="T382" s="195">
        <v>1.34</v>
      </c>
      <c r="U382" s="195">
        <v>1.3480000000000001</v>
      </c>
      <c r="V382" s="195">
        <v>1.353</v>
      </c>
      <c r="W382" s="195">
        <v>1.36</v>
      </c>
      <c r="X382" s="195">
        <v>1.367</v>
      </c>
      <c r="Y382" s="195">
        <v>1.371</v>
      </c>
      <c r="Z382" s="195">
        <v>1.38</v>
      </c>
    </row>
    <row r="383" spans="1:26">
      <c r="A383" s="195" t="s">
        <v>308</v>
      </c>
      <c r="B383" s="195" t="s">
        <v>285</v>
      </c>
      <c r="C383" s="195">
        <v>1.446</v>
      </c>
      <c r="D383" s="195">
        <v>1.3979999999999999</v>
      </c>
      <c r="E383" s="195">
        <v>1.3480000000000001</v>
      </c>
      <c r="F383" s="195">
        <v>1.3</v>
      </c>
      <c r="G383" s="195">
        <v>1.2949999999999999</v>
      </c>
      <c r="H383" s="195">
        <v>1.286</v>
      </c>
      <c r="I383" s="195">
        <v>1.2789999999999999</v>
      </c>
      <c r="J383" s="195">
        <v>1.2769999999999999</v>
      </c>
      <c r="K383" s="195">
        <v>1.2709999999999999</v>
      </c>
      <c r="L383" s="195">
        <v>1.2889999999999999</v>
      </c>
      <c r="M383" s="195">
        <v>1.2929999999999999</v>
      </c>
      <c r="N383" s="195">
        <v>1.3029999999999999</v>
      </c>
      <c r="O383" s="195">
        <v>1.321</v>
      </c>
      <c r="P383" s="195">
        <v>1.3360000000000001</v>
      </c>
      <c r="Q383" s="195">
        <v>1.3420000000000001</v>
      </c>
      <c r="R383" s="195">
        <v>1.353</v>
      </c>
      <c r="S383" s="195">
        <v>1.359</v>
      </c>
      <c r="T383" s="195">
        <v>1.367</v>
      </c>
      <c r="U383" s="195">
        <v>1.3759999999999999</v>
      </c>
      <c r="V383" s="195">
        <v>1.3819999999999999</v>
      </c>
      <c r="W383" s="195">
        <v>1.3879999999999999</v>
      </c>
      <c r="X383" s="195">
        <v>1.397</v>
      </c>
      <c r="Y383" s="195">
        <v>1.4019999999999999</v>
      </c>
      <c r="Z383" s="195">
        <v>1.41</v>
      </c>
    </row>
    <row r="384" spans="1:26">
      <c r="A384" s="195" t="s">
        <v>309</v>
      </c>
      <c r="B384" s="195" t="s">
        <v>285</v>
      </c>
      <c r="C384" s="195">
        <v>1.44</v>
      </c>
      <c r="D384" s="195">
        <v>1.393</v>
      </c>
      <c r="E384" s="195">
        <v>1.3420000000000001</v>
      </c>
      <c r="F384" s="195">
        <v>1.294</v>
      </c>
      <c r="G384" s="195">
        <v>1.2889999999999999</v>
      </c>
      <c r="H384" s="195">
        <v>1.282</v>
      </c>
      <c r="I384" s="195">
        <v>1.276</v>
      </c>
      <c r="J384" s="195">
        <v>1.274</v>
      </c>
      <c r="K384" s="195">
        <v>1.268</v>
      </c>
      <c r="L384" s="195">
        <v>1.286</v>
      </c>
      <c r="M384" s="195">
        <v>1.29</v>
      </c>
      <c r="N384" s="195">
        <v>1.3</v>
      </c>
      <c r="O384" s="195">
        <v>1.3180000000000001</v>
      </c>
      <c r="P384" s="195">
        <v>1.333</v>
      </c>
      <c r="Q384" s="195">
        <v>1.339</v>
      </c>
      <c r="R384" s="195">
        <v>1.35</v>
      </c>
      <c r="S384" s="195">
        <v>1.3560000000000001</v>
      </c>
      <c r="T384" s="195">
        <v>1.3640000000000001</v>
      </c>
      <c r="U384" s="195">
        <v>1.373</v>
      </c>
      <c r="V384" s="195">
        <v>1.379</v>
      </c>
      <c r="W384" s="195">
        <v>1.385</v>
      </c>
      <c r="X384" s="195">
        <v>1.3939999999999999</v>
      </c>
      <c r="Y384" s="195">
        <v>1.399</v>
      </c>
      <c r="Z384" s="195">
        <v>1.4079999999999999</v>
      </c>
    </row>
    <row r="385" spans="1:26">
      <c r="A385" s="195" t="s">
        <v>310</v>
      </c>
      <c r="B385" s="195" t="s">
        <v>285</v>
      </c>
      <c r="C385" s="195">
        <v>1.6359999999999999</v>
      </c>
      <c r="D385" s="195">
        <v>1.6479999999999999</v>
      </c>
      <c r="E385" s="195">
        <v>1.5960000000000001</v>
      </c>
      <c r="F385" s="195">
        <v>1.482</v>
      </c>
      <c r="G385" s="195">
        <v>1.504</v>
      </c>
      <c r="H385" s="195">
        <v>1.4690000000000001</v>
      </c>
      <c r="I385" s="195">
        <v>1.4650000000000001</v>
      </c>
      <c r="J385" s="195">
        <v>1.4390000000000001</v>
      </c>
      <c r="K385" s="195">
        <v>1.478</v>
      </c>
      <c r="L385" s="195">
        <v>1.462</v>
      </c>
      <c r="M385" s="195">
        <v>1.4910000000000001</v>
      </c>
      <c r="N385" s="195">
        <v>1.4830000000000001</v>
      </c>
      <c r="O385" s="195">
        <v>1.488</v>
      </c>
      <c r="P385" s="195">
        <v>1.4990000000000001</v>
      </c>
      <c r="Q385" s="195">
        <v>1.518</v>
      </c>
      <c r="R385" s="195">
        <v>1.5229999999999999</v>
      </c>
      <c r="S385" s="195">
        <v>1.53</v>
      </c>
      <c r="T385" s="195">
        <v>1.5249999999999999</v>
      </c>
      <c r="U385" s="195">
        <v>1.5169999999999999</v>
      </c>
      <c r="V385" s="195">
        <v>1.5369999999999999</v>
      </c>
      <c r="W385" s="195">
        <v>1.538</v>
      </c>
      <c r="X385" s="195">
        <v>1.552</v>
      </c>
      <c r="Y385" s="195">
        <v>1.56</v>
      </c>
      <c r="Z385" s="195">
        <v>1.5680000000000001</v>
      </c>
    </row>
    <row r="386" spans="1:26">
      <c r="A386" s="195" t="s">
        <v>311</v>
      </c>
      <c r="B386" s="195" t="s">
        <v>285</v>
      </c>
      <c r="C386" s="195">
        <v>1.581</v>
      </c>
      <c r="D386" s="195">
        <v>1.589</v>
      </c>
      <c r="E386" s="195">
        <v>1.54</v>
      </c>
      <c r="F386" s="195">
        <v>1.4319999999999999</v>
      </c>
      <c r="G386" s="195">
        <v>1.454</v>
      </c>
      <c r="H386" s="195">
        <v>1.42</v>
      </c>
      <c r="I386" s="195">
        <v>1.4159999999999999</v>
      </c>
      <c r="J386" s="195">
        <v>1.39</v>
      </c>
      <c r="K386" s="195">
        <v>1.429</v>
      </c>
      <c r="L386" s="195">
        <v>1.4119999999999999</v>
      </c>
      <c r="M386" s="195">
        <v>1.4410000000000001</v>
      </c>
      <c r="N386" s="195">
        <v>1.4319999999999999</v>
      </c>
      <c r="O386" s="195">
        <v>1.4370000000000001</v>
      </c>
      <c r="P386" s="195">
        <v>1.448</v>
      </c>
      <c r="Q386" s="195">
        <v>1.4670000000000001</v>
      </c>
      <c r="R386" s="195">
        <v>1.472</v>
      </c>
      <c r="S386" s="195">
        <v>1.478</v>
      </c>
      <c r="T386" s="195">
        <v>1.4750000000000001</v>
      </c>
      <c r="U386" s="195">
        <v>1.4670000000000001</v>
      </c>
      <c r="V386" s="195">
        <v>1.4870000000000001</v>
      </c>
      <c r="W386" s="195">
        <v>1.488</v>
      </c>
      <c r="X386" s="195">
        <v>1.502</v>
      </c>
      <c r="Y386" s="195">
        <v>1.5089999999999999</v>
      </c>
      <c r="Z386" s="195">
        <v>1.516</v>
      </c>
    </row>
    <row r="387" spans="1:26">
      <c r="A387" s="195" t="s">
        <v>312</v>
      </c>
      <c r="B387" s="195" t="s">
        <v>285</v>
      </c>
      <c r="C387" s="195">
        <v>1.462</v>
      </c>
      <c r="D387" s="195">
        <v>1.4239999999999999</v>
      </c>
      <c r="E387" s="195">
        <v>1.3740000000000001</v>
      </c>
      <c r="F387" s="195">
        <v>1.3180000000000001</v>
      </c>
      <c r="G387" s="195">
        <v>1.3160000000000001</v>
      </c>
      <c r="H387" s="195">
        <v>1.3049999999999999</v>
      </c>
      <c r="I387" s="195">
        <v>1.2989999999999999</v>
      </c>
      <c r="J387" s="195">
        <v>1.294</v>
      </c>
      <c r="K387" s="195">
        <v>1.294</v>
      </c>
      <c r="L387" s="195">
        <v>1.3069999999999999</v>
      </c>
      <c r="M387" s="195">
        <v>1.3140000000000001</v>
      </c>
      <c r="N387" s="195">
        <v>1.3220000000000001</v>
      </c>
      <c r="O387" s="195">
        <v>1.3380000000000001</v>
      </c>
      <c r="P387" s="195">
        <v>1.353</v>
      </c>
      <c r="Q387" s="195">
        <v>1.361</v>
      </c>
      <c r="R387" s="195">
        <v>1.371</v>
      </c>
      <c r="S387" s="195">
        <v>1.377</v>
      </c>
      <c r="T387" s="195">
        <v>1.3839999999999999</v>
      </c>
      <c r="U387" s="195">
        <v>1.39</v>
      </c>
      <c r="V387" s="195">
        <v>1.3979999999999999</v>
      </c>
      <c r="W387" s="195">
        <v>1.403</v>
      </c>
      <c r="X387" s="195">
        <v>1.4119999999999999</v>
      </c>
      <c r="Y387" s="195">
        <v>1.417</v>
      </c>
      <c r="Z387" s="195">
        <v>1.425</v>
      </c>
    </row>
    <row r="388" spans="1:26">
      <c r="A388" s="195" t="s">
        <v>199</v>
      </c>
    </row>
    <row r="389" spans="1:26">
      <c r="A389" s="195" t="s">
        <v>303</v>
      </c>
      <c r="B389" s="195" t="s">
        <v>285</v>
      </c>
      <c r="C389" s="195">
        <v>1.554</v>
      </c>
      <c r="D389" s="195">
        <v>1.5029999999999999</v>
      </c>
      <c r="E389" s="195">
        <v>1.4530000000000001</v>
      </c>
      <c r="F389" s="195">
        <v>1.4019999999999999</v>
      </c>
      <c r="G389" s="195">
        <v>1.393</v>
      </c>
      <c r="H389" s="195">
        <v>1.3859999999999999</v>
      </c>
      <c r="I389" s="195">
        <v>1.3819999999999999</v>
      </c>
      <c r="J389" s="195">
        <v>1.38</v>
      </c>
      <c r="K389" s="195">
        <v>1.3740000000000001</v>
      </c>
      <c r="L389" s="195">
        <v>1.391</v>
      </c>
      <c r="M389" s="195">
        <v>1.395</v>
      </c>
      <c r="N389" s="195">
        <v>1.4039999999999999</v>
      </c>
      <c r="O389" s="195">
        <v>1.421</v>
      </c>
      <c r="P389" s="195">
        <v>1.4339999999999999</v>
      </c>
      <c r="Q389" s="195">
        <v>1.44</v>
      </c>
      <c r="R389" s="195">
        <v>1.4490000000000001</v>
      </c>
      <c r="S389" s="195">
        <v>1.4570000000000001</v>
      </c>
      <c r="T389" s="195">
        <v>1.4650000000000001</v>
      </c>
      <c r="U389" s="195">
        <v>1.474</v>
      </c>
      <c r="V389" s="195">
        <v>1.4810000000000001</v>
      </c>
      <c r="W389" s="195">
        <v>1.4850000000000001</v>
      </c>
      <c r="X389" s="195">
        <v>1.4930000000000001</v>
      </c>
      <c r="Y389" s="195">
        <v>1.498</v>
      </c>
      <c r="Z389" s="195">
        <v>1.504</v>
      </c>
    </row>
    <row r="390" spans="1:26">
      <c r="A390" s="195" t="s">
        <v>304</v>
      </c>
      <c r="B390" s="195" t="s">
        <v>285</v>
      </c>
      <c r="C390" s="195">
        <v>1.5720000000000001</v>
      </c>
      <c r="D390" s="195">
        <v>1.524</v>
      </c>
      <c r="E390" s="195">
        <v>1.4710000000000001</v>
      </c>
      <c r="F390" s="195">
        <v>1.421</v>
      </c>
      <c r="G390" s="195">
        <v>1.415</v>
      </c>
      <c r="H390" s="195">
        <v>1.407</v>
      </c>
      <c r="I390" s="195">
        <v>1.403</v>
      </c>
      <c r="J390" s="195">
        <v>1.401</v>
      </c>
      <c r="K390" s="195">
        <v>1.3959999999999999</v>
      </c>
      <c r="L390" s="195">
        <v>1.4119999999999999</v>
      </c>
      <c r="M390" s="195">
        <v>1.4159999999999999</v>
      </c>
      <c r="N390" s="195">
        <v>1.425</v>
      </c>
      <c r="O390" s="195">
        <v>1.4419999999999999</v>
      </c>
      <c r="P390" s="195">
        <v>1.4550000000000001</v>
      </c>
      <c r="Q390" s="195">
        <v>1.4610000000000001</v>
      </c>
      <c r="R390" s="195">
        <v>1.472</v>
      </c>
      <c r="S390" s="195">
        <v>1.478</v>
      </c>
      <c r="T390" s="195">
        <v>1.486</v>
      </c>
      <c r="U390" s="195">
        <v>1.4950000000000001</v>
      </c>
      <c r="V390" s="195">
        <v>1.502</v>
      </c>
      <c r="W390" s="195">
        <v>1.5069999999999999</v>
      </c>
      <c r="X390" s="195">
        <v>1.5169999999999999</v>
      </c>
      <c r="Y390" s="195">
        <v>1.5269999999999999</v>
      </c>
      <c r="Z390" s="195">
        <v>1.534</v>
      </c>
    </row>
    <row r="391" spans="1:26">
      <c r="A391" s="195" t="s">
        <v>305</v>
      </c>
      <c r="B391" s="195" t="s">
        <v>285</v>
      </c>
      <c r="C391" s="195">
        <v>1.571</v>
      </c>
      <c r="D391" s="195">
        <v>1.5169999999999999</v>
      </c>
      <c r="E391" s="195">
        <v>1.4610000000000001</v>
      </c>
      <c r="F391" s="195">
        <v>1.4079999999999999</v>
      </c>
      <c r="G391" s="195">
        <v>1.4019999999999999</v>
      </c>
      <c r="H391" s="195">
        <v>1.3959999999999999</v>
      </c>
      <c r="I391" s="195">
        <v>1.39</v>
      </c>
      <c r="J391" s="195">
        <v>1.3879999999999999</v>
      </c>
      <c r="K391" s="195">
        <v>1.383</v>
      </c>
      <c r="L391" s="195">
        <v>1.4019999999999999</v>
      </c>
      <c r="M391" s="195">
        <v>1.4059999999999999</v>
      </c>
      <c r="N391" s="195">
        <v>1.417</v>
      </c>
      <c r="O391" s="195">
        <v>1.431</v>
      </c>
      <c r="P391" s="195">
        <v>1.448</v>
      </c>
      <c r="Q391" s="195">
        <v>1.4530000000000001</v>
      </c>
      <c r="R391" s="195">
        <v>1.462</v>
      </c>
      <c r="S391" s="195">
        <v>1.464</v>
      </c>
      <c r="T391" s="195">
        <v>1.472</v>
      </c>
      <c r="U391" s="195">
        <v>1.48</v>
      </c>
      <c r="V391" s="195">
        <v>1.486</v>
      </c>
      <c r="W391" s="195">
        <v>1.492</v>
      </c>
      <c r="X391" s="195">
        <v>1.5029999999999999</v>
      </c>
      <c r="Y391" s="195">
        <v>1.5049999999999999</v>
      </c>
      <c r="Z391" s="195">
        <v>1.5109999999999999</v>
      </c>
    </row>
    <row r="392" spans="1:26">
      <c r="A392" s="195" t="s">
        <v>306</v>
      </c>
      <c r="B392" s="195" t="s">
        <v>285</v>
      </c>
      <c r="C392" s="195">
        <v>1.538</v>
      </c>
      <c r="D392" s="195">
        <v>1.484</v>
      </c>
      <c r="E392" s="195">
        <v>1.4279999999999999</v>
      </c>
      <c r="F392" s="195">
        <v>1.3740000000000001</v>
      </c>
      <c r="G392" s="195">
        <v>1.3680000000000001</v>
      </c>
      <c r="H392" s="195">
        <v>1.3620000000000001</v>
      </c>
      <c r="I392" s="195">
        <v>1.3560000000000001</v>
      </c>
      <c r="J392" s="195">
        <v>1.3540000000000001</v>
      </c>
      <c r="K392" s="195">
        <v>1.349</v>
      </c>
      <c r="L392" s="195">
        <v>1.369</v>
      </c>
      <c r="M392" s="195">
        <v>1.3720000000000001</v>
      </c>
      <c r="N392" s="195">
        <v>1.3839999999999999</v>
      </c>
      <c r="O392" s="195">
        <v>1.399</v>
      </c>
      <c r="P392" s="195">
        <v>1.4159999999999999</v>
      </c>
      <c r="Q392" s="195">
        <v>1.42</v>
      </c>
      <c r="R392" s="195">
        <v>1.429</v>
      </c>
      <c r="S392" s="195">
        <v>1.431</v>
      </c>
      <c r="T392" s="195">
        <v>1.44</v>
      </c>
      <c r="U392" s="195">
        <v>1.4470000000000001</v>
      </c>
      <c r="V392" s="195">
        <v>1.454</v>
      </c>
      <c r="W392" s="195">
        <v>1.4590000000000001</v>
      </c>
      <c r="X392" s="195">
        <v>1.47</v>
      </c>
      <c r="Y392" s="195">
        <v>1.4730000000000001</v>
      </c>
      <c r="Z392" s="195">
        <v>1.478</v>
      </c>
    </row>
    <row r="393" spans="1:26">
      <c r="A393" s="195" t="s">
        <v>307</v>
      </c>
      <c r="B393" s="195" t="s">
        <v>285</v>
      </c>
      <c r="C393" s="195">
        <v>1.496</v>
      </c>
      <c r="D393" s="195">
        <v>1.448</v>
      </c>
      <c r="E393" s="195">
        <v>1.397</v>
      </c>
      <c r="F393" s="195">
        <v>1.347</v>
      </c>
      <c r="G393" s="195">
        <v>1.341</v>
      </c>
      <c r="H393" s="195">
        <v>1.335</v>
      </c>
      <c r="I393" s="195">
        <v>1.331</v>
      </c>
      <c r="J393" s="195">
        <v>1.329</v>
      </c>
      <c r="K393" s="195">
        <v>1.323</v>
      </c>
      <c r="L393" s="195">
        <v>1.34</v>
      </c>
      <c r="M393" s="195">
        <v>1.3440000000000001</v>
      </c>
      <c r="N393" s="195">
        <v>1.353</v>
      </c>
      <c r="O393" s="195">
        <v>1.369</v>
      </c>
      <c r="P393" s="195">
        <v>1.383</v>
      </c>
      <c r="Q393" s="195">
        <v>1.389</v>
      </c>
      <c r="R393" s="195">
        <v>1.4</v>
      </c>
      <c r="S393" s="195">
        <v>1.4059999999999999</v>
      </c>
      <c r="T393" s="195">
        <v>1.4139999999999999</v>
      </c>
      <c r="U393" s="195">
        <v>1.423</v>
      </c>
      <c r="V393" s="195">
        <v>1.429</v>
      </c>
      <c r="W393" s="195">
        <v>1.4350000000000001</v>
      </c>
      <c r="X393" s="195">
        <v>1.444</v>
      </c>
      <c r="Y393" s="195">
        <v>1.4530000000000001</v>
      </c>
      <c r="Z393" s="195">
        <v>1.4610000000000001</v>
      </c>
    </row>
    <row r="394" spans="1:26">
      <c r="A394" s="195" t="s">
        <v>308</v>
      </c>
      <c r="B394" s="195" t="s">
        <v>285</v>
      </c>
      <c r="C394" s="195">
        <v>1.5189999999999999</v>
      </c>
      <c r="D394" s="195">
        <v>1.4650000000000001</v>
      </c>
      <c r="E394" s="195">
        <v>1.415</v>
      </c>
      <c r="F394" s="195">
        <v>1.365</v>
      </c>
      <c r="G394" s="195">
        <v>1.3580000000000001</v>
      </c>
      <c r="H394" s="195">
        <v>1.3520000000000001</v>
      </c>
      <c r="I394" s="195">
        <v>1.3480000000000001</v>
      </c>
      <c r="J394" s="195">
        <v>1.3460000000000001</v>
      </c>
      <c r="K394" s="195">
        <v>1.341</v>
      </c>
      <c r="L394" s="195">
        <v>1.357</v>
      </c>
      <c r="M394" s="195">
        <v>1.3620000000000001</v>
      </c>
      <c r="N394" s="195">
        <v>1.371</v>
      </c>
      <c r="O394" s="195">
        <v>1.387</v>
      </c>
      <c r="P394" s="195">
        <v>1.4019999999999999</v>
      </c>
      <c r="Q394" s="195">
        <v>1.4079999999999999</v>
      </c>
      <c r="R394" s="195">
        <v>1.4179999999999999</v>
      </c>
      <c r="S394" s="195">
        <v>1.425</v>
      </c>
      <c r="T394" s="195">
        <v>1.4330000000000001</v>
      </c>
      <c r="U394" s="195">
        <v>1.4419999999999999</v>
      </c>
      <c r="V394" s="195">
        <v>1.448</v>
      </c>
      <c r="W394" s="195">
        <v>1.454</v>
      </c>
      <c r="X394" s="195">
        <v>1.4630000000000001</v>
      </c>
      <c r="Y394" s="195">
        <v>1.4730000000000001</v>
      </c>
      <c r="Z394" s="195">
        <v>1.48</v>
      </c>
    </row>
    <row r="395" spans="1:26">
      <c r="A395" s="195" t="s">
        <v>309</v>
      </c>
      <c r="B395" s="195" t="s">
        <v>285</v>
      </c>
      <c r="C395" s="195">
        <v>1.518</v>
      </c>
      <c r="D395" s="195">
        <v>1.4630000000000001</v>
      </c>
      <c r="E395" s="195">
        <v>1.4119999999999999</v>
      </c>
      <c r="F395" s="195">
        <v>1.361</v>
      </c>
      <c r="G395" s="195">
        <v>1.3540000000000001</v>
      </c>
      <c r="H395" s="195">
        <v>1.3480000000000001</v>
      </c>
      <c r="I395" s="195">
        <v>1.3440000000000001</v>
      </c>
      <c r="J395" s="195">
        <v>1.3420000000000001</v>
      </c>
      <c r="K395" s="195">
        <v>1.337</v>
      </c>
      <c r="L395" s="195">
        <v>1.353</v>
      </c>
      <c r="M395" s="195">
        <v>1.357</v>
      </c>
      <c r="N395" s="195">
        <v>1.367</v>
      </c>
      <c r="O395" s="195">
        <v>1.3839999999999999</v>
      </c>
      <c r="P395" s="195">
        <v>1.3979999999999999</v>
      </c>
      <c r="Q395" s="195">
        <v>1.4039999999999999</v>
      </c>
      <c r="R395" s="195">
        <v>1.415</v>
      </c>
      <c r="S395" s="195">
        <v>1.421</v>
      </c>
      <c r="T395" s="195">
        <v>1.43</v>
      </c>
      <c r="U395" s="195">
        <v>1.4390000000000001</v>
      </c>
      <c r="V395" s="195">
        <v>1.4450000000000001</v>
      </c>
      <c r="W395" s="195">
        <v>1.4510000000000001</v>
      </c>
      <c r="X395" s="195">
        <v>1.46</v>
      </c>
      <c r="Y395" s="195">
        <v>1.4690000000000001</v>
      </c>
      <c r="Z395" s="195">
        <v>1.4770000000000001</v>
      </c>
    </row>
    <row r="396" spans="1:26">
      <c r="A396" s="195" t="s">
        <v>310</v>
      </c>
      <c r="B396" s="195" t="s">
        <v>285</v>
      </c>
      <c r="C396" s="195">
        <v>1.72</v>
      </c>
      <c r="D396" s="195">
        <v>1.726</v>
      </c>
      <c r="E396" s="195">
        <v>1.6719999999999999</v>
      </c>
      <c r="F396" s="195">
        <v>1.55</v>
      </c>
      <c r="G396" s="195">
        <v>1.5669999999999999</v>
      </c>
      <c r="H396" s="195">
        <v>1.532</v>
      </c>
      <c r="I396" s="195">
        <v>1.53</v>
      </c>
      <c r="J396" s="195">
        <v>1.5289999999999999</v>
      </c>
      <c r="K396" s="195">
        <v>1.5629999999999999</v>
      </c>
      <c r="L396" s="195">
        <v>1.544</v>
      </c>
      <c r="M396" s="195">
        <v>1.575</v>
      </c>
      <c r="N396" s="195">
        <v>1.5680000000000001</v>
      </c>
      <c r="O396" s="195">
        <v>1.575</v>
      </c>
      <c r="P396" s="195">
        <v>1.5820000000000001</v>
      </c>
      <c r="Q396" s="195">
        <v>1.5980000000000001</v>
      </c>
      <c r="R396" s="195">
        <v>1.601</v>
      </c>
      <c r="S396" s="195">
        <v>1.603</v>
      </c>
      <c r="T396" s="195">
        <v>1.609</v>
      </c>
      <c r="U396" s="195">
        <v>1.607</v>
      </c>
      <c r="V396" s="195">
        <v>1.615</v>
      </c>
      <c r="W396" s="195">
        <v>1.613</v>
      </c>
      <c r="X396" s="195">
        <v>1.619</v>
      </c>
      <c r="Y396" s="195">
        <v>1.619</v>
      </c>
      <c r="Z396" s="195">
        <v>1.625</v>
      </c>
    </row>
    <row r="397" spans="1:26">
      <c r="A397" s="195" t="s">
        <v>311</v>
      </c>
      <c r="B397" s="195" t="s">
        <v>285</v>
      </c>
      <c r="C397" s="195">
        <v>1.639</v>
      </c>
      <c r="D397" s="195">
        <v>1.6859999999999999</v>
      </c>
      <c r="E397" s="195">
        <v>1.6180000000000001</v>
      </c>
      <c r="F397" s="195">
        <v>1.5249999999999999</v>
      </c>
      <c r="G397" s="195">
        <v>1.546</v>
      </c>
      <c r="H397" s="195">
        <v>1.538</v>
      </c>
      <c r="I397" s="195">
        <v>1.524</v>
      </c>
      <c r="J397" s="195">
        <v>1.4890000000000001</v>
      </c>
      <c r="K397" s="195">
        <v>1.5189999999999999</v>
      </c>
      <c r="L397" s="195">
        <v>1.4950000000000001</v>
      </c>
      <c r="M397" s="195">
        <v>1.522</v>
      </c>
      <c r="N397" s="195">
        <v>1.512</v>
      </c>
      <c r="O397" s="195">
        <v>1.5169999999999999</v>
      </c>
      <c r="P397" s="195">
        <v>1.528</v>
      </c>
      <c r="Q397" s="195">
        <v>1.5389999999999999</v>
      </c>
      <c r="R397" s="195">
        <v>1.556</v>
      </c>
      <c r="S397" s="195">
        <v>1.5620000000000001</v>
      </c>
      <c r="T397" s="195">
        <v>1.571</v>
      </c>
      <c r="U397" s="195">
        <v>1.58</v>
      </c>
      <c r="V397" s="195">
        <v>1.585</v>
      </c>
      <c r="W397" s="195">
        <v>1.5880000000000001</v>
      </c>
      <c r="X397" s="195">
        <v>1.595</v>
      </c>
      <c r="Y397" s="195">
        <v>1.599</v>
      </c>
      <c r="Z397" s="195">
        <v>1.6040000000000001</v>
      </c>
    </row>
    <row r="398" spans="1:26">
      <c r="A398" s="195" t="s">
        <v>312</v>
      </c>
      <c r="B398" s="195" t="s">
        <v>285</v>
      </c>
      <c r="C398" s="195">
        <v>1.5780000000000001</v>
      </c>
      <c r="D398" s="195">
        <v>1.5580000000000001</v>
      </c>
      <c r="E398" s="195">
        <v>1.5009999999999999</v>
      </c>
      <c r="F398" s="195">
        <v>1.4350000000000001</v>
      </c>
      <c r="G398" s="195">
        <v>1.4370000000000001</v>
      </c>
      <c r="H398" s="195">
        <v>1.429</v>
      </c>
      <c r="I398" s="195">
        <v>1.4219999999999999</v>
      </c>
      <c r="J398" s="195">
        <v>1.411</v>
      </c>
      <c r="K398" s="195">
        <v>1.417</v>
      </c>
      <c r="L398" s="195">
        <v>1.421</v>
      </c>
      <c r="M398" s="195">
        <v>1.4319999999999999</v>
      </c>
      <c r="N398" s="195">
        <v>1.4359999999999999</v>
      </c>
      <c r="O398" s="195">
        <v>1.448</v>
      </c>
      <c r="P398" s="195">
        <v>1.4610000000000001</v>
      </c>
      <c r="Q398" s="195">
        <v>1.4690000000000001</v>
      </c>
      <c r="R398" s="195">
        <v>1.4810000000000001</v>
      </c>
      <c r="S398" s="195">
        <v>1.4870000000000001</v>
      </c>
      <c r="T398" s="195">
        <v>1.4950000000000001</v>
      </c>
      <c r="U398" s="195">
        <v>1.504</v>
      </c>
      <c r="V398" s="195">
        <v>1.51</v>
      </c>
      <c r="W398" s="195">
        <v>1.5149999999999999</v>
      </c>
      <c r="X398" s="195">
        <v>1.5229999999999999</v>
      </c>
      <c r="Y398" s="195">
        <v>1.5289999999999999</v>
      </c>
      <c r="Z398" s="195">
        <v>1.536</v>
      </c>
    </row>
    <row r="399" spans="1:26">
      <c r="A399" s="195" t="s">
        <v>200</v>
      </c>
    </row>
    <row r="400" spans="1:26">
      <c r="A400" s="195" t="s">
        <v>303</v>
      </c>
      <c r="B400" s="195" t="s">
        <v>285</v>
      </c>
      <c r="C400" s="195">
        <v>1.492</v>
      </c>
      <c r="D400" s="195">
        <v>1.4490000000000001</v>
      </c>
      <c r="E400" s="195">
        <v>1.403</v>
      </c>
      <c r="F400" s="195">
        <v>1.3560000000000001</v>
      </c>
      <c r="G400" s="195">
        <v>1.35</v>
      </c>
      <c r="H400" s="195">
        <v>1.345</v>
      </c>
      <c r="I400" s="195">
        <v>1.339</v>
      </c>
      <c r="J400" s="195">
        <v>1.337</v>
      </c>
      <c r="K400" s="195">
        <v>1.331</v>
      </c>
      <c r="L400" s="195">
        <v>1.349</v>
      </c>
      <c r="M400" s="195">
        <v>1.353</v>
      </c>
      <c r="N400" s="195">
        <v>1.3640000000000001</v>
      </c>
      <c r="O400" s="195">
        <v>1.381</v>
      </c>
      <c r="P400" s="195">
        <v>1.3979999999999999</v>
      </c>
      <c r="Q400" s="195">
        <v>1.405</v>
      </c>
      <c r="R400" s="195">
        <v>1.4159999999999999</v>
      </c>
      <c r="S400" s="195">
        <v>1.421</v>
      </c>
      <c r="T400" s="195">
        <v>1.429</v>
      </c>
      <c r="U400" s="195">
        <v>1.4379999999999999</v>
      </c>
      <c r="V400" s="195">
        <v>1.4419999999999999</v>
      </c>
      <c r="W400" s="195">
        <v>1.45</v>
      </c>
      <c r="X400" s="195">
        <v>1.456</v>
      </c>
      <c r="Y400" s="195">
        <v>1.4610000000000001</v>
      </c>
      <c r="Z400" s="195">
        <v>1.4690000000000001</v>
      </c>
    </row>
    <row r="401" spans="1:26">
      <c r="A401" s="195" t="s">
        <v>304</v>
      </c>
      <c r="B401" s="195" t="s">
        <v>285</v>
      </c>
      <c r="C401" s="195">
        <v>1.464</v>
      </c>
      <c r="D401" s="195">
        <v>1.421</v>
      </c>
      <c r="E401" s="195">
        <v>1.375</v>
      </c>
      <c r="F401" s="195">
        <v>1.329</v>
      </c>
      <c r="G401" s="195">
        <v>1.3220000000000001</v>
      </c>
      <c r="H401" s="195">
        <v>1.3169999999999999</v>
      </c>
      <c r="I401" s="195">
        <v>1.3109999999999999</v>
      </c>
      <c r="J401" s="195">
        <v>1.31</v>
      </c>
      <c r="K401" s="195">
        <v>1.304</v>
      </c>
      <c r="L401" s="195">
        <v>1.321</v>
      </c>
      <c r="M401" s="195">
        <v>1.325</v>
      </c>
      <c r="N401" s="195">
        <v>1.3360000000000001</v>
      </c>
      <c r="O401" s="195">
        <v>1.3540000000000001</v>
      </c>
      <c r="P401" s="195">
        <v>1.371</v>
      </c>
      <c r="Q401" s="195">
        <v>1.377</v>
      </c>
      <c r="R401" s="195">
        <v>1.3879999999999999</v>
      </c>
      <c r="S401" s="195">
        <v>1.393</v>
      </c>
      <c r="T401" s="195">
        <v>1.401</v>
      </c>
      <c r="U401" s="195">
        <v>1.409</v>
      </c>
      <c r="V401" s="195">
        <v>1.4139999999999999</v>
      </c>
      <c r="W401" s="195">
        <v>1.421</v>
      </c>
      <c r="X401" s="195">
        <v>1.4279999999999999</v>
      </c>
      <c r="Y401" s="195">
        <v>1.4319999999999999</v>
      </c>
      <c r="Z401" s="195">
        <v>1.44</v>
      </c>
    </row>
    <row r="402" spans="1:26">
      <c r="A402" s="195" t="s">
        <v>305</v>
      </c>
      <c r="B402" s="195" t="s">
        <v>285</v>
      </c>
      <c r="C402" s="195">
        <v>1.456</v>
      </c>
      <c r="D402" s="195">
        <v>1.41</v>
      </c>
      <c r="E402" s="195">
        <v>1.361</v>
      </c>
      <c r="F402" s="195">
        <v>1.3140000000000001</v>
      </c>
      <c r="G402" s="195">
        <v>1.3109999999999999</v>
      </c>
      <c r="H402" s="195">
        <v>1.3029999999999999</v>
      </c>
      <c r="I402" s="195">
        <v>1.296</v>
      </c>
      <c r="J402" s="195">
        <v>1.2949999999999999</v>
      </c>
      <c r="K402" s="195">
        <v>1.2889999999999999</v>
      </c>
      <c r="L402" s="195">
        <v>1.306</v>
      </c>
      <c r="M402" s="195">
        <v>1.3089999999999999</v>
      </c>
      <c r="N402" s="195">
        <v>1.321</v>
      </c>
      <c r="O402" s="195">
        <v>1.337</v>
      </c>
      <c r="P402" s="195">
        <v>1.3520000000000001</v>
      </c>
      <c r="Q402" s="195">
        <v>1.3580000000000001</v>
      </c>
      <c r="R402" s="195">
        <v>1.369</v>
      </c>
      <c r="S402" s="195">
        <v>1.375</v>
      </c>
      <c r="T402" s="195">
        <v>1.3819999999999999</v>
      </c>
      <c r="U402" s="195">
        <v>1.391</v>
      </c>
      <c r="V402" s="195">
        <v>1.397</v>
      </c>
      <c r="W402" s="195">
        <v>1.403</v>
      </c>
      <c r="X402" s="195">
        <v>1.4119999999999999</v>
      </c>
      <c r="Y402" s="195">
        <v>1.4159999999999999</v>
      </c>
      <c r="Z402" s="195">
        <v>1.4239999999999999</v>
      </c>
    </row>
    <row r="403" spans="1:26">
      <c r="A403" s="195" t="s">
        <v>306</v>
      </c>
      <c r="B403" s="195" t="s">
        <v>285</v>
      </c>
      <c r="C403" s="195">
        <v>1.4350000000000001</v>
      </c>
      <c r="D403" s="195">
        <v>1.3879999999999999</v>
      </c>
      <c r="E403" s="195">
        <v>1.337</v>
      </c>
      <c r="F403" s="195">
        <v>1.2909999999999999</v>
      </c>
      <c r="G403" s="195">
        <v>1.2869999999999999</v>
      </c>
      <c r="H403" s="195">
        <v>1.2789999999999999</v>
      </c>
      <c r="I403" s="195">
        <v>1.272</v>
      </c>
      <c r="J403" s="195">
        <v>1.2709999999999999</v>
      </c>
      <c r="K403" s="195">
        <v>1.2649999999999999</v>
      </c>
      <c r="L403" s="195">
        <v>1.2829999999999999</v>
      </c>
      <c r="M403" s="195">
        <v>1.286</v>
      </c>
      <c r="N403" s="195">
        <v>1.2969999999999999</v>
      </c>
      <c r="O403" s="195">
        <v>1.3149999999999999</v>
      </c>
      <c r="P403" s="195">
        <v>1.329</v>
      </c>
      <c r="Q403" s="195">
        <v>1.3360000000000001</v>
      </c>
      <c r="R403" s="195">
        <v>1.347</v>
      </c>
      <c r="S403" s="195">
        <v>1.3520000000000001</v>
      </c>
      <c r="T403" s="195">
        <v>1.36</v>
      </c>
      <c r="U403" s="195">
        <v>1.3680000000000001</v>
      </c>
      <c r="V403" s="195">
        <v>1.375</v>
      </c>
      <c r="W403" s="195">
        <v>1.38</v>
      </c>
      <c r="X403" s="195">
        <v>1.389</v>
      </c>
      <c r="Y403" s="195">
        <v>1.393</v>
      </c>
      <c r="Z403" s="195">
        <v>1.401</v>
      </c>
    </row>
    <row r="404" spans="1:26">
      <c r="A404" s="195" t="s">
        <v>307</v>
      </c>
      <c r="B404" s="195" t="s">
        <v>285</v>
      </c>
      <c r="C404" s="195">
        <v>1.397</v>
      </c>
      <c r="D404" s="195">
        <v>1.357</v>
      </c>
      <c r="E404" s="195">
        <v>1.3089999999999999</v>
      </c>
      <c r="F404" s="195">
        <v>1.2629999999999999</v>
      </c>
      <c r="G404" s="195">
        <v>1.26</v>
      </c>
      <c r="H404" s="195">
        <v>1.2549999999999999</v>
      </c>
      <c r="I404" s="195">
        <v>1.2490000000000001</v>
      </c>
      <c r="J404" s="195">
        <v>1.2470000000000001</v>
      </c>
      <c r="K404" s="195">
        <v>1.2410000000000001</v>
      </c>
      <c r="L404" s="195">
        <v>1.2589999999999999</v>
      </c>
      <c r="M404" s="195">
        <v>1.2629999999999999</v>
      </c>
      <c r="N404" s="195">
        <v>1.274</v>
      </c>
      <c r="O404" s="195">
        <v>1.2909999999999999</v>
      </c>
      <c r="P404" s="195">
        <v>1.3080000000000001</v>
      </c>
      <c r="Q404" s="195">
        <v>1.3140000000000001</v>
      </c>
      <c r="R404" s="195">
        <v>1.325</v>
      </c>
      <c r="S404" s="195">
        <v>1.331</v>
      </c>
      <c r="T404" s="195">
        <v>1.339</v>
      </c>
      <c r="U404" s="195">
        <v>1.347</v>
      </c>
      <c r="V404" s="195">
        <v>1.351</v>
      </c>
      <c r="W404" s="195">
        <v>1.359</v>
      </c>
      <c r="X404" s="195">
        <v>1.365</v>
      </c>
      <c r="Y404" s="195">
        <v>1.37</v>
      </c>
      <c r="Z404" s="195">
        <v>1.3779999999999999</v>
      </c>
    </row>
    <row r="405" spans="1:26">
      <c r="A405" s="195" t="s">
        <v>308</v>
      </c>
      <c r="B405" s="195" t="s">
        <v>285</v>
      </c>
      <c r="C405" s="195">
        <v>1.4370000000000001</v>
      </c>
      <c r="D405" s="195">
        <v>1.39</v>
      </c>
      <c r="E405" s="195">
        <v>1.341</v>
      </c>
      <c r="F405" s="195">
        <v>1.2949999999999999</v>
      </c>
      <c r="G405" s="195">
        <v>1.2909999999999999</v>
      </c>
      <c r="H405" s="195">
        <v>1.2829999999999999</v>
      </c>
      <c r="I405" s="195">
        <v>1.2769999999999999</v>
      </c>
      <c r="J405" s="195">
        <v>1.2749999999999999</v>
      </c>
      <c r="K405" s="195">
        <v>1.27</v>
      </c>
      <c r="L405" s="195">
        <v>1.2869999999999999</v>
      </c>
      <c r="M405" s="195">
        <v>1.2909999999999999</v>
      </c>
      <c r="N405" s="195">
        <v>1.302</v>
      </c>
      <c r="O405" s="195">
        <v>1.32</v>
      </c>
      <c r="P405" s="195">
        <v>1.3340000000000001</v>
      </c>
      <c r="Q405" s="195">
        <v>1.341</v>
      </c>
      <c r="R405" s="195">
        <v>1.3520000000000001</v>
      </c>
      <c r="S405" s="195">
        <v>1.357</v>
      </c>
      <c r="T405" s="195">
        <v>1.3660000000000001</v>
      </c>
      <c r="U405" s="195">
        <v>1.3740000000000001</v>
      </c>
      <c r="V405" s="195">
        <v>1.38</v>
      </c>
      <c r="W405" s="195">
        <v>1.3859999999999999</v>
      </c>
      <c r="X405" s="195">
        <v>1.395</v>
      </c>
      <c r="Y405" s="195">
        <v>1.4</v>
      </c>
      <c r="Z405" s="195">
        <v>1.4079999999999999</v>
      </c>
    </row>
    <row r="406" spans="1:26">
      <c r="A406" s="195" t="s">
        <v>309</v>
      </c>
      <c r="B406" s="195" t="s">
        <v>285</v>
      </c>
      <c r="C406" s="195">
        <v>1.431</v>
      </c>
      <c r="D406" s="195">
        <v>1.3839999999999999</v>
      </c>
      <c r="E406" s="195">
        <v>1.335</v>
      </c>
      <c r="F406" s="195">
        <v>1.288</v>
      </c>
      <c r="G406" s="195">
        <v>1.2849999999999999</v>
      </c>
      <c r="H406" s="195">
        <v>1.28</v>
      </c>
      <c r="I406" s="195">
        <v>1.274</v>
      </c>
      <c r="J406" s="195">
        <v>1.272</v>
      </c>
      <c r="K406" s="195">
        <v>1.266</v>
      </c>
      <c r="L406" s="195">
        <v>1.284</v>
      </c>
      <c r="M406" s="195">
        <v>1.288</v>
      </c>
      <c r="N406" s="195">
        <v>1.2989999999999999</v>
      </c>
      <c r="O406" s="195">
        <v>1.3169999999999999</v>
      </c>
      <c r="P406" s="195">
        <v>1.331</v>
      </c>
      <c r="Q406" s="195">
        <v>1.3380000000000001</v>
      </c>
      <c r="R406" s="195">
        <v>1.349</v>
      </c>
      <c r="S406" s="195">
        <v>1.355</v>
      </c>
      <c r="T406" s="195">
        <v>1.363</v>
      </c>
      <c r="U406" s="195">
        <v>1.3720000000000001</v>
      </c>
      <c r="V406" s="195">
        <v>1.3779999999999999</v>
      </c>
      <c r="W406" s="195">
        <v>1.383</v>
      </c>
      <c r="X406" s="195">
        <v>1.393</v>
      </c>
      <c r="Y406" s="195">
        <v>1.397</v>
      </c>
      <c r="Z406" s="195">
        <v>1.405</v>
      </c>
    </row>
    <row r="407" spans="1:26">
      <c r="A407" s="195" t="s">
        <v>310</v>
      </c>
      <c r="B407" s="195" t="s">
        <v>285</v>
      </c>
      <c r="C407" s="195">
        <v>1.627</v>
      </c>
      <c r="D407" s="195">
        <v>1.639</v>
      </c>
      <c r="E407" s="195">
        <v>1.5880000000000001</v>
      </c>
      <c r="F407" s="195">
        <v>1.4770000000000001</v>
      </c>
      <c r="G407" s="195">
        <v>1.5</v>
      </c>
      <c r="H407" s="195">
        <v>1.466</v>
      </c>
      <c r="I407" s="195">
        <v>1.462</v>
      </c>
      <c r="J407" s="195">
        <v>1.4370000000000001</v>
      </c>
      <c r="K407" s="195">
        <v>1.476</v>
      </c>
      <c r="L407" s="195">
        <v>1.46</v>
      </c>
      <c r="M407" s="195">
        <v>1.4890000000000001</v>
      </c>
      <c r="N407" s="195">
        <v>1.4810000000000001</v>
      </c>
      <c r="O407" s="195">
        <v>1.4870000000000001</v>
      </c>
      <c r="P407" s="195">
        <v>1.498</v>
      </c>
      <c r="Q407" s="195">
        <v>1.5169999999999999</v>
      </c>
      <c r="R407" s="195">
        <v>1.522</v>
      </c>
      <c r="S407" s="195">
        <v>1.5289999999999999</v>
      </c>
      <c r="T407" s="195">
        <v>1.524</v>
      </c>
      <c r="U407" s="195">
        <v>1.5149999999999999</v>
      </c>
      <c r="V407" s="195">
        <v>1.5349999999999999</v>
      </c>
      <c r="W407" s="195">
        <v>1.536</v>
      </c>
      <c r="X407" s="195">
        <v>1.5509999999999999</v>
      </c>
      <c r="Y407" s="195">
        <v>1.5580000000000001</v>
      </c>
      <c r="Z407" s="195">
        <v>1.5660000000000001</v>
      </c>
    </row>
    <row r="408" spans="1:26">
      <c r="A408" s="195" t="s">
        <v>311</v>
      </c>
      <c r="B408" s="195" t="s">
        <v>285</v>
      </c>
      <c r="C408" s="195">
        <v>1.573</v>
      </c>
      <c r="D408" s="195">
        <v>1.581</v>
      </c>
      <c r="E408" s="195">
        <v>1.5329999999999999</v>
      </c>
      <c r="F408" s="195">
        <v>1.427</v>
      </c>
      <c r="G408" s="195">
        <v>1.4510000000000001</v>
      </c>
      <c r="H408" s="195">
        <v>1.4179999999999999</v>
      </c>
      <c r="I408" s="195">
        <v>1.4139999999999999</v>
      </c>
      <c r="J408" s="195">
        <v>1.389</v>
      </c>
      <c r="K408" s="195">
        <v>1.427</v>
      </c>
      <c r="L408" s="195">
        <v>1.411</v>
      </c>
      <c r="M408" s="195">
        <v>1.4390000000000001</v>
      </c>
      <c r="N408" s="195">
        <v>1.431</v>
      </c>
      <c r="O408" s="195">
        <v>1.4359999999999999</v>
      </c>
      <c r="P408" s="195">
        <v>1.4470000000000001</v>
      </c>
      <c r="Q408" s="195">
        <v>1.4650000000000001</v>
      </c>
      <c r="R408" s="195">
        <v>1.4710000000000001</v>
      </c>
      <c r="S408" s="195">
        <v>1.4770000000000001</v>
      </c>
      <c r="T408" s="195">
        <v>1.4730000000000001</v>
      </c>
      <c r="U408" s="195">
        <v>1.466</v>
      </c>
      <c r="V408" s="195">
        <v>1.486</v>
      </c>
      <c r="W408" s="195">
        <v>1.4870000000000001</v>
      </c>
      <c r="X408" s="195">
        <v>1.5</v>
      </c>
      <c r="Y408" s="195">
        <v>1.5069999999999999</v>
      </c>
      <c r="Z408" s="195">
        <v>1.514</v>
      </c>
    </row>
    <row r="409" spans="1:26">
      <c r="A409" s="195" t="s">
        <v>312</v>
      </c>
      <c r="B409" s="195" t="s">
        <v>285</v>
      </c>
      <c r="C409" s="195">
        <v>1.506</v>
      </c>
      <c r="D409" s="195">
        <v>1.482</v>
      </c>
      <c r="E409" s="195">
        <v>1.4319999999999999</v>
      </c>
      <c r="F409" s="195">
        <v>1.36</v>
      </c>
      <c r="G409" s="195">
        <v>1.3680000000000001</v>
      </c>
      <c r="H409" s="195">
        <v>1.35</v>
      </c>
      <c r="I409" s="195">
        <v>1.345</v>
      </c>
      <c r="J409" s="195">
        <v>1.3340000000000001</v>
      </c>
      <c r="K409" s="195">
        <v>1.347</v>
      </c>
      <c r="L409" s="195">
        <v>1.351</v>
      </c>
      <c r="M409" s="195">
        <v>1.3660000000000001</v>
      </c>
      <c r="N409" s="195">
        <v>1.369</v>
      </c>
      <c r="O409" s="195">
        <v>1.3819999999999999</v>
      </c>
      <c r="P409" s="195">
        <v>1.3959999999999999</v>
      </c>
      <c r="Q409" s="195">
        <v>1.4079999999999999</v>
      </c>
      <c r="R409" s="195">
        <v>1.417</v>
      </c>
      <c r="S409" s="195">
        <v>1.423</v>
      </c>
      <c r="T409" s="195">
        <v>1.4259999999999999</v>
      </c>
      <c r="U409" s="195">
        <v>1.4279999999999999</v>
      </c>
      <c r="V409" s="195">
        <v>1.44</v>
      </c>
      <c r="W409" s="195">
        <v>1.444</v>
      </c>
      <c r="X409" s="195">
        <v>1.456</v>
      </c>
      <c r="Y409" s="195">
        <v>1.462</v>
      </c>
      <c r="Z409" s="195">
        <v>1.47</v>
      </c>
    </row>
    <row r="410" spans="1:26">
      <c r="A410" s="195" t="s">
        <v>461</v>
      </c>
    </row>
    <row r="411" spans="1:26">
      <c r="A411" s="195" t="s">
        <v>303</v>
      </c>
      <c r="B411" s="195" t="s">
        <v>285</v>
      </c>
      <c r="C411" s="195">
        <v>0.496</v>
      </c>
      <c r="D411" s="195">
        <v>0.49299999999999999</v>
      </c>
      <c r="E411" s="195">
        <v>0.48699999999999999</v>
      </c>
      <c r="F411" s="195">
        <v>0.48099999999999998</v>
      </c>
      <c r="G411" s="195">
        <v>0.47699999999999998</v>
      </c>
      <c r="H411" s="195">
        <v>0.47499999999999998</v>
      </c>
      <c r="I411" s="195">
        <v>0.47199999999999998</v>
      </c>
      <c r="J411" s="195">
        <v>0.46899999999999997</v>
      </c>
      <c r="K411" s="195">
        <v>0.46700000000000003</v>
      </c>
      <c r="L411" s="195">
        <v>0.46500000000000002</v>
      </c>
      <c r="M411" s="195">
        <v>0.46300000000000002</v>
      </c>
      <c r="N411" s="195">
        <v>0.46200000000000002</v>
      </c>
      <c r="O411" s="195">
        <v>0.46</v>
      </c>
      <c r="P411" s="195">
        <v>0.45900000000000002</v>
      </c>
      <c r="Q411" s="195">
        <v>0.45800000000000002</v>
      </c>
      <c r="R411" s="195">
        <v>0.45700000000000002</v>
      </c>
      <c r="S411" s="195">
        <v>0.45600000000000002</v>
      </c>
      <c r="T411" s="195">
        <v>0.45500000000000002</v>
      </c>
      <c r="U411" s="195">
        <v>0.45400000000000001</v>
      </c>
      <c r="V411" s="195">
        <v>0.45200000000000001</v>
      </c>
      <c r="W411" s="195">
        <v>0.45100000000000001</v>
      </c>
      <c r="X411" s="195">
        <v>0.45</v>
      </c>
      <c r="Y411" s="195">
        <v>0.44900000000000001</v>
      </c>
      <c r="Z411" s="195">
        <v>0.44800000000000001</v>
      </c>
    </row>
    <row r="412" spans="1:26">
      <c r="A412" s="195" t="s">
        <v>304</v>
      </c>
      <c r="B412" s="195" t="s">
        <v>285</v>
      </c>
      <c r="C412" s="195">
        <v>0.48199999999999998</v>
      </c>
      <c r="D412" s="195">
        <v>0.47799999999999998</v>
      </c>
      <c r="E412" s="195">
        <v>0.47199999999999998</v>
      </c>
      <c r="F412" s="195">
        <v>0.46700000000000003</v>
      </c>
      <c r="G412" s="195">
        <v>0.46300000000000002</v>
      </c>
      <c r="H412" s="195">
        <v>0.46100000000000002</v>
      </c>
      <c r="I412" s="195">
        <v>0.45800000000000002</v>
      </c>
      <c r="J412" s="195">
        <v>0.45600000000000002</v>
      </c>
      <c r="K412" s="195">
        <v>0.45300000000000001</v>
      </c>
      <c r="L412" s="195">
        <v>0.45100000000000001</v>
      </c>
      <c r="M412" s="195">
        <v>0.44900000000000001</v>
      </c>
      <c r="N412" s="195">
        <v>0.44800000000000001</v>
      </c>
      <c r="O412" s="195">
        <v>0.44600000000000001</v>
      </c>
      <c r="P412" s="195">
        <v>0.44500000000000001</v>
      </c>
      <c r="Q412" s="195">
        <v>0.44400000000000001</v>
      </c>
      <c r="R412" s="195">
        <v>0.443</v>
      </c>
      <c r="S412" s="195">
        <v>0.442</v>
      </c>
      <c r="T412" s="195">
        <v>0.44</v>
      </c>
      <c r="U412" s="195">
        <v>0.439</v>
      </c>
      <c r="V412" s="195">
        <v>0.438</v>
      </c>
      <c r="W412" s="195">
        <v>0.437</v>
      </c>
      <c r="X412" s="195">
        <v>0.436</v>
      </c>
      <c r="Y412" s="195">
        <v>0.435</v>
      </c>
      <c r="Z412" s="195">
        <v>0.434</v>
      </c>
    </row>
    <row r="413" spans="1:26">
      <c r="A413" s="195" t="s">
        <v>305</v>
      </c>
      <c r="B413" s="195" t="s">
        <v>285</v>
      </c>
      <c r="C413" s="195">
        <v>0.46300000000000002</v>
      </c>
      <c r="D413" s="195">
        <v>0.46</v>
      </c>
      <c r="E413" s="195">
        <v>0.45400000000000001</v>
      </c>
      <c r="F413" s="195">
        <v>0.44800000000000001</v>
      </c>
      <c r="G413" s="195">
        <v>0.44500000000000001</v>
      </c>
      <c r="H413" s="195">
        <v>0.443</v>
      </c>
      <c r="I413" s="195">
        <v>0.44</v>
      </c>
      <c r="J413" s="195">
        <v>0.437</v>
      </c>
      <c r="K413" s="195">
        <v>0.435</v>
      </c>
      <c r="L413" s="195">
        <v>0.433</v>
      </c>
      <c r="M413" s="195">
        <v>0.43099999999999999</v>
      </c>
      <c r="N413" s="195">
        <v>0.43</v>
      </c>
      <c r="O413" s="195">
        <v>0.42799999999999999</v>
      </c>
      <c r="P413" s="195">
        <v>0.42699999999999999</v>
      </c>
      <c r="Q413" s="195">
        <v>0.42599999999999999</v>
      </c>
      <c r="R413" s="195">
        <v>0.42499999999999999</v>
      </c>
      <c r="S413" s="195">
        <v>0.42299999999999999</v>
      </c>
      <c r="T413" s="195">
        <v>0.42199999999999999</v>
      </c>
      <c r="U413" s="195">
        <v>0.42099999999999999</v>
      </c>
      <c r="V413" s="195">
        <v>0.42</v>
      </c>
      <c r="W413" s="195">
        <v>0.41799999999999998</v>
      </c>
      <c r="X413" s="195">
        <v>0.41799999999999998</v>
      </c>
      <c r="Y413" s="195">
        <v>0.41599999999999998</v>
      </c>
      <c r="Z413" s="195">
        <v>0.41499999999999998</v>
      </c>
    </row>
    <row r="414" spans="1:26">
      <c r="A414" s="195" t="s">
        <v>306</v>
      </c>
      <c r="B414" s="195" t="s">
        <v>285</v>
      </c>
      <c r="C414" s="195">
        <v>0.45200000000000001</v>
      </c>
      <c r="D414" s="195">
        <v>0.44800000000000001</v>
      </c>
      <c r="E414" s="195">
        <v>0.443</v>
      </c>
      <c r="F414" s="195">
        <v>0.437</v>
      </c>
      <c r="G414" s="195">
        <v>0.434</v>
      </c>
      <c r="H414" s="195">
        <v>0.432</v>
      </c>
      <c r="I414" s="195">
        <v>0.42899999999999999</v>
      </c>
      <c r="J414" s="195">
        <v>0.42599999999999999</v>
      </c>
      <c r="K414" s="195">
        <v>0.42299999999999999</v>
      </c>
      <c r="L414" s="195">
        <v>0.42199999999999999</v>
      </c>
      <c r="M414" s="195">
        <v>0.42</v>
      </c>
      <c r="N414" s="195">
        <v>0.41799999999999998</v>
      </c>
      <c r="O414" s="195">
        <v>0.41699999999999998</v>
      </c>
      <c r="P414" s="195">
        <v>0.41599999999999998</v>
      </c>
      <c r="Q414" s="195">
        <v>0.41499999999999998</v>
      </c>
      <c r="R414" s="195">
        <v>0.41299999999999998</v>
      </c>
      <c r="S414" s="195">
        <v>0.41199999999999998</v>
      </c>
      <c r="T414" s="195">
        <v>0.41099999999999998</v>
      </c>
      <c r="U414" s="195">
        <v>0.41</v>
      </c>
      <c r="V414" s="195">
        <v>0.40799999999999997</v>
      </c>
      <c r="W414" s="195">
        <v>0.40699999999999997</v>
      </c>
      <c r="X414" s="195">
        <v>0.40600000000000003</v>
      </c>
      <c r="Y414" s="195">
        <v>0.40500000000000003</v>
      </c>
      <c r="Z414" s="195">
        <v>0.40400000000000003</v>
      </c>
    </row>
    <row r="415" spans="1:26">
      <c r="A415" s="195" t="s">
        <v>307</v>
      </c>
      <c r="B415" s="195" t="s">
        <v>285</v>
      </c>
      <c r="C415" s="195">
        <v>0.42</v>
      </c>
      <c r="D415" s="195">
        <v>0.41599999999999998</v>
      </c>
      <c r="E415" s="195">
        <v>0.41099999999999998</v>
      </c>
      <c r="F415" s="195">
        <v>0.40600000000000003</v>
      </c>
      <c r="G415" s="195">
        <v>0.40200000000000002</v>
      </c>
      <c r="H415" s="195">
        <v>0.4</v>
      </c>
      <c r="I415" s="195">
        <v>0.39700000000000002</v>
      </c>
      <c r="J415" s="195">
        <v>0.39500000000000002</v>
      </c>
      <c r="K415" s="195">
        <v>0.39200000000000002</v>
      </c>
      <c r="L415" s="195">
        <v>0.39100000000000001</v>
      </c>
      <c r="M415" s="195">
        <v>0.38900000000000001</v>
      </c>
      <c r="N415" s="195">
        <v>0.38700000000000001</v>
      </c>
      <c r="O415" s="195">
        <v>0.38500000000000001</v>
      </c>
      <c r="P415" s="195">
        <v>0.38400000000000001</v>
      </c>
      <c r="Q415" s="195">
        <v>0.38300000000000001</v>
      </c>
      <c r="R415" s="195">
        <v>0.38200000000000001</v>
      </c>
      <c r="S415" s="195">
        <v>0.38100000000000001</v>
      </c>
      <c r="T415" s="195">
        <v>0.379</v>
      </c>
      <c r="U415" s="195">
        <v>0.378</v>
      </c>
      <c r="V415" s="195">
        <v>0.377</v>
      </c>
      <c r="W415" s="195">
        <v>0.375</v>
      </c>
      <c r="X415" s="195">
        <v>0.374</v>
      </c>
      <c r="Y415" s="195">
        <v>0.373</v>
      </c>
      <c r="Z415" s="195">
        <v>0.372</v>
      </c>
    </row>
    <row r="416" spans="1:26">
      <c r="A416" s="195" t="s">
        <v>308</v>
      </c>
      <c r="B416" s="195" t="s">
        <v>285</v>
      </c>
      <c r="C416" s="195">
        <v>0.46100000000000002</v>
      </c>
      <c r="D416" s="195">
        <v>0.45800000000000002</v>
      </c>
      <c r="E416" s="195">
        <v>0.45200000000000001</v>
      </c>
      <c r="F416" s="195">
        <v>0.44600000000000001</v>
      </c>
      <c r="G416" s="195">
        <v>0.443</v>
      </c>
      <c r="H416" s="195">
        <v>0.441</v>
      </c>
      <c r="I416" s="195">
        <v>0.438</v>
      </c>
      <c r="J416" s="195">
        <v>0.435</v>
      </c>
      <c r="K416" s="195">
        <v>0.433</v>
      </c>
      <c r="L416" s="195">
        <v>0.43099999999999999</v>
      </c>
      <c r="M416" s="195">
        <v>0.42899999999999999</v>
      </c>
      <c r="N416" s="195">
        <v>0.42799999999999999</v>
      </c>
      <c r="O416" s="195">
        <v>0.42599999999999999</v>
      </c>
      <c r="P416" s="195">
        <v>0.42499999999999999</v>
      </c>
      <c r="Q416" s="195">
        <v>0.42399999999999999</v>
      </c>
      <c r="R416" s="195">
        <v>0.42299999999999999</v>
      </c>
      <c r="S416" s="195">
        <v>0.42199999999999999</v>
      </c>
      <c r="T416" s="195">
        <v>0.42099999999999999</v>
      </c>
      <c r="U416" s="195">
        <v>0.42</v>
      </c>
      <c r="V416" s="195">
        <v>0.41799999999999998</v>
      </c>
      <c r="W416" s="195">
        <v>0.41699999999999998</v>
      </c>
      <c r="X416" s="195">
        <v>0.41599999999999998</v>
      </c>
      <c r="Y416" s="195">
        <v>0.41499999999999998</v>
      </c>
      <c r="Z416" s="195">
        <v>0.41399999999999998</v>
      </c>
    </row>
    <row r="417" spans="1:26">
      <c r="A417" s="195" t="s">
        <v>309</v>
      </c>
      <c r="B417" s="195" t="s">
        <v>285</v>
      </c>
      <c r="C417" s="195">
        <v>0.48799999999999999</v>
      </c>
      <c r="D417" s="195">
        <v>0.48399999999999999</v>
      </c>
      <c r="E417" s="195">
        <v>0.47799999999999998</v>
      </c>
      <c r="F417" s="195">
        <v>0.47099999999999997</v>
      </c>
      <c r="G417" s="195">
        <v>0.46800000000000003</v>
      </c>
      <c r="H417" s="195">
        <v>0.46600000000000003</v>
      </c>
      <c r="I417" s="195">
        <v>0.46300000000000002</v>
      </c>
      <c r="J417" s="195">
        <v>0.46</v>
      </c>
      <c r="K417" s="195">
        <v>0.45800000000000002</v>
      </c>
      <c r="L417" s="195">
        <v>0.45700000000000002</v>
      </c>
      <c r="M417" s="195">
        <v>0.45500000000000002</v>
      </c>
      <c r="N417" s="195">
        <v>0.45300000000000001</v>
      </c>
      <c r="O417" s="195">
        <v>0.45200000000000001</v>
      </c>
      <c r="P417" s="195">
        <v>0.45100000000000001</v>
      </c>
      <c r="Q417" s="195">
        <v>0.45</v>
      </c>
      <c r="R417" s="195">
        <v>0.44900000000000001</v>
      </c>
      <c r="S417" s="195">
        <v>0.44800000000000001</v>
      </c>
      <c r="T417" s="195">
        <v>0.44700000000000001</v>
      </c>
      <c r="U417" s="195">
        <v>0.44600000000000001</v>
      </c>
      <c r="V417" s="195">
        <v>0.44500000000000001</v>
      </c>
      <c r="W417" s="195">
        <v>0.44400000000000001</v>
      </c>
      <c r="X417" s="195">
        <v>0.443</v>
      </c>
      <c r="Y417" s="195">
        <v>0.442</v>
      </c>
      <c r="Z417" s="195">
        <v>0.441</v>
      </c>
    </row>
    <row r="418" spans="1:26">
      <c r="A418" s="195" t="s">
        <v>310</v>
      </c>
      <c r="B418" s="195" t="s">
        <v>285</v>
      </c>
      <c r="C418" s="195">
        <v>0.51300000000000001</v>
      </c>
      <c r="D418" s="195">
        <v>0.51400000000000001</v>
      </c>
      <c r="E418" s="195">
        <v>0.50600000000000001</v>
      </c>
      <c r="F418" s="195">
        <v>0.496</v>
      </c>
      <c r="G418" s="195">
        <v>0.49299999999999999</v>
      </c>
      <c r="H418" s="195">
        <v>0.48899999999999999</v>
      </c>
      <c r="I418" s="195">
        <v>0.48499999999999999</v>
      </c>
      <c r="J418" s="195">
        <v>0.48299999999999998</v>
      </c>
      <c r="K418" s="195">
        <v>0.48099999999999998</v>
      </c>
      <c r="L418" s="195">
        <v>0.47899999999999998</v>
      </c>
      <c r="M418" s="195">
        <v>0.47799999999999998</v>
      </c>
      <c r="N418" s="195">
        <v>0.47599999999999998</v>
      </c>
      <c r="O418" s="195">
        <v>0.47399999999999998</v>
      </c>
      <c r="P418" s="195">
        <v>0.47199999999999998</v>
      </c>
      <c r="Q418" s="195">
        <v>0.47199999999999998</v>
      </c>
      <c r="R418" s="195">
        <v>0.47099999999999997</v>
      </c>
      <c r="S418" s="195">
        <v>0.46899999999999997</v>
      </c>
      <c r="T418" s="195">
        <v>0.46800000000000003</v>
      </c>
      <c r="U418" s="195">
        <v>0.46700000000000003</v>
      </c>
      <c r="V418" s="195">
        <v>0.46600000000000003</v>
      </c>
      <c r="W418" s="195">
        <v>0.46400000000000002</v>
      </c>
      <c r="X418" s="195">
        <v>0.46400000000000002</v>
      </c>
      <c r="Y418" s="195">
        <v>0.46400000000000002</v>
      </c>
      <c r="Z418" s="195">
        <v>0.46400000000000002</v>
      </c>
    </row>
    <row r="419" spans="1:26">
      <c r="A419" s="195" t="s">
        <v>311</v>
      </c>
      <c r="B419" s="195" t="s">
        <v>285</v>
      </c>
      <c r="C419" s="195">
        <v>1.639</v>
      </c>
      <c r="D419" s="195">
        <v>1.6859999999999999</v>
      </c>
      <c r="E419" s="195">
        <v>1.6180000000000001</v>
      </c>
      <c r="F419" s="195">
        <v>1.538</v>
      </c>
      <c r="G419" s="195">
        <v>1.57</v>
      </c>
      <c r="H419" s="195">
        <v>1.569</v>
      </c>
      <c r="I419" s="195">
        <v>1.5629999999999999</v>
      </c>
      <c r="J419" s="195">
        <v>1.5329999999999999</v>
      </c>
      <c r="K419" s="195">
        <v>1.5669999999999999</v>
      </c>
      <c r="L419" s="195">
        <v>1.5469999999999999</v>
      </c>
      <c r="M419" s="195">
        <v>1.577</v>
      </c>
      <c r="N419" s="195">
        <v>1.57</v>
      </c>
      <c r="O419" s="195">
        <v>1.577</v>
      </c>
      <c r="P419" s="195">
        <v>1.59</v>
      </c>
      <c r="Q419" s="195">
        <v>1.603</v>
      </c>
      <c r="R419" s="195">
        <v>1.621</v>
      </c>
      <c r="S419" s="195">
        <v>1.629</v>
      </c>
      <c r="T419" s="195">
        <v>1.6379999999999999</v>
      </c>
      <c r="U419" s="195">
        <v>1.649</v>
      </c>
      <c r="V419" s="195">
        <v>1.6539999999999999</v>
      </c>
      <c r="W419" s="195">
        <v>1.659</v>
      </c>
      <c r="X419" s="195">
        <v>1.665</v>
      </c>
      <c r="Y419" s="195">
        <v>1.67</v>
      </c>
      <c r="Z419" s="195">
        <v>1.6759999999999999</v>
      </c>
    </row>
    <row r="420" spans="1:26">
      <c r="A420" s="195" t="s">
        <v>312</v>
      </c>
      <c r="B420" s="195" t="s">
        <v>285</v>
      </c>
      <c r="C420" s="195">
        <v>1.639</v>
      </c>
      <c r="D420" s="195">
        <v>1.6859999999999999</v>
      </c>
      <c r="E420" s="195">
        <v>1.6180000000000001</v>
      </c>
      <c r="F420" s="195">
        <v>1.538</v>
      </c>
      <c r="G420" s="195">
        <v>1.57</v>
      </c>
      <c r="H420" s="195">
        <v>1.569</v>
      </c>
      <c r="I420" s="195">
        <v>1.5629999999999999</v>
      </c>
      <c r="J420" s="195">
        <v>1.5329999999999999</v>
      </c>
      <c r="K420" s="195">
        <v>1.5669999999999999</v>
      </c>
      <c r="L420" s="195">
        <v>1.5469999999999999</v>
      </c>
      <c r="M420" s="195">
        <v>1.577</v>
      </c>
      <c r="N420" s="195">
        <v>1.57</v>
      </c>
      <c r="O420" s="195">
        <v>1.577</v>
      </c>
      <c r="P420" s="195">
        <v>1.59</v>
      </c>
      <c r="Q420" s="195">
        <v>1.603</v>
      </c>
      <c r="R420" s="195">
        <v>1.621</v>
      </c>
      <c r="S420" s="195">
        <v>1.629</v>
      </c>
      <c r="T420" s="195">
        <v>1.6379999999999999</v>
      </c>
      <c r="U420" s="195">
        <v>1.649</v>
      </c>
      <c r="V420" s="195">
        <v>1.6539999999999999</v>
      </c>
      <c r="W420" s="195">
        <v>1.659</v>
      </c>
      <c r="X420" s="195">
        <v>1.665</v>
      </c>
      <c r="Y420" s="195">
        <v>1.67</v>
      </c>
      <c r="Z420" s="195">
        <v>1.6759999999999999</v>
      </c>
    </row>
    <row r="421" spans="1:26">
      <c r="A421" s="195" t="s">
        <v>213</v>
      </c>
    </row>
    <row r="422" spans="1:26">
      <c r="A422" s="195" t="s">
        <v>303</v>
      </c>
      <c r="B422" s="195" t="s">
        <v>285</v>
      </c>
      <c r="C422" s="195">
        <v>1.546</v>
      </c>
      <c r="D422" s="195">
        <v>1.498</v>
      </c>
      <c r="E422" s="195">
        <v>1.4339999999999999</v>
      </c>
      <c r="F422" s="195">
        <v>1.385</v>
      </c>
      <c r="G422" s="195">
        <v>1.3819999999999999</v>
      </c>
      <c r="H422" s="195">
        <v>1.353</v>
      </c>
      <c r="I422" s="195">
        <v>1.347</v>
      </c>
      <c r="J422" s="195">
        <v>1.3460000000000001</v>
      </c>
      <c r="K422" s="195">
        <v>1.34</v>
      </c>
      <c r="L422" s="195">
        <v>1.357</v>
      </c>
      <c r="M422" s="195">
        <v>1.36</v>
      </c>
      <c r="N422" s="195">
        <v>1.371</v>
      </c>
      <c r="O422" s="195">
        <v>1.387</v>
      </c>
      <c r="P422" s="195">
        <v>1.3839999999999999</v>
      </c>
      <c r="Q422" s="195">
        <v>1.39</v>
      </c>
      <c r="R422" s="195">
        <v>1.4</v>
      </c>
      <c r="S422" s="195">
        <v>1.4039999999999999</v>
      </c>
      <c r="T422" s="195">
        <v>1.4119999999999999</v>
      </c>
      <c r="U422" s="195">
        <v>1.4219999999999999</v>
      </c>
      <c r="V422" s="195">
        <v>1.4370000000000001</v>
      </c>
      <c r="W422" s="195">
        <v>1.43</v>
      </c>
      <c r="X422" s="195">
        <v>1.454</v>
      </c>
      <c r="Y422" s="195">
        <v>1.458</v>
      </c>
      <c r="Z422" s="195">
        <v>1.4650000000000001</v>
      </c>
    </row>
    <row r="423" spans="1:26">
      <c r="A423" s="195" t="s">
        <v>304</v>
      </c>
      <c r="B423" s="195" t="s">
        <v>285</v>
      </c>
      <c r="C423" s="195">
        <v>1.516</v>
      </c>
      <c r="D423" s="195">
        <v>1.4710000000000001</v>
      </c>
      <c r="E423" s="195">
        <v>1.407</v>
      </c>
      <c r="F423" s="195">
        <v>1.3580000000000001</v>
      </c>
      <c r="G423" s="195">
        <v>1.355</v>
      </c>
      <c r="H423" s="195">
        <v>1.3260000000000001</v>
      </c>
      <c r="I423" s="195">
        <v>1.32</v>
      </c>
      <c r="J423" s="195">
        <v>1.319</v>
      </c>
      <c r="K423" s="195">
        <v>1.3129999999999999</v>
      </c>
      <c r="L423" s="195">
        <v>1.33</v>
      </c>
      <c r="M423" s="195">
        <v>1.333</v>
      </c>
      <c r="N423" s="195">
        <v>1.343</v>
      </c>
      <c r="O423" s="195">
        <v>1.36</v>
      </c>
      <c r="P423" s="195">
        <v>1.357</v>
      </c>
      <c r="Q423" s="195">
        <v>1.363</v>
      </c>
      <c r="R423" s="195">
        <v>1.373</v>
      </c>
      <c r="S423" s="195">
        <v>1.377</v>
      </c>
      <c r="T423" s="195">
        <v>1.3839999999999999</v>
      </c>
      <c r="U423" s="195">
        <v>1.395</v>
      </c>
      <c r="V423" s="195">
        <v>1.409</v>
      </c>
      <c r="W423" s="195">
        <v>1.403</v>
      </c>
      <c r="X423" s="195">
        <v>1.427</v>
      </c>
      <c r="Y423" s="195">
        <v>1.431</v>
      </c>
      <c r="Z423" s="195">
        <v>1.4379999999999999</v>
      </c>
    </row>
    <row r="424" spans="1:26">
      <c r="A424" s="195" t="s">
        <v>305</v>
      </c>
      <c r="B424" s="195" t="s">
        <v>285</v>
      </c>
      <c r="C424" s="195">
        <v>1.087</v>
      </c>
      <c r="D424" s="195">
        <v>1.218</v>
      </c>
      <c r="E424" s="195">
        <v>1.2869999999999999</v>
      </c>
      <c r="F424" s="195">
        <v>1.3320000000000001</v>
      </c>
      <c r="G424" s="195">
        <v>1.33</v>
      </c>
      <c r="H424" s="195">
        <v>1.3</v>
      </c>
      <c r="I424" s="195">
        <v>1.294</v>
      </c>
      <c r="J424" s="195">
        <v>1.292</v>
      </c>
      <c r="K424" s="195">
        <v>1.2869999999999999</v>
      </c>
      <c r="L424" s="195">
        <v>1.2969999999999999</v>
      </c>
      <c r="M424" s="195">
        <v>1.3009999999999999</v>
      </c>
      <c r="N424" s="195">
        <v>1.3109999999999999</v>
      </c>
      <c r="O424" s="195">
        <v>1.3240000000000001</v>
      </c>
      <c r="P424" s="195">
        <v>1.32</v>
      </c>
      <c r="Q424" s="195">
        <v>1.3260000000000001</v>
      </c>
      <c r="R424" s="195">
        <v>1.3360000000000001</v>
      </c>
      <c r="S424" s="195">
        <v>1.34</v>
      </c>
      <c r="T424" s="195">
        <v>1.347</v>
      </c>
      <c r="U424" s="195">
        <v>1.3580000000000001</v>
      </c>
      <c r="V424" s="195">
        <v>1.373</v>
      </c>
      <c r="W424" s="195">
        <v>1.3660000000000001</v>
      </c>
      <c r="X424" s="195">
        <v>1.391</v>
      </c>
      <c r="Y424" s="195">
        <v>1.395</v>
      </c>
      <c r="Z424" s="195">
        <v>1.4019999999999999</v>
      </c>
    </row>
    <row r="425" spans="1:26">
      <c r="A425" s="195" t="s">
        <v>306</v>
      </c>
      <c r="B425" s="195" t="s">
        <v>285</v>
      </c>
      <c r="C425" s="195">
        <v>1.0429999999999999</v>
      </c>
      <c r="D425" s="195">
        <v>1.175</v>
      </c>
      <c r="E425" s="195">
        <v>1.234</v>
      </c>
      <c r="F425" s="195">
        <v>1.28</v>
      </c>
      <c r="G425" s="195">
        <v>1.278</v>
      </c>
      <c r="H425" s="195">
        <v>1.248</v>
      </c>
      <c r="I425" s="195">
        <v>1.242</v>
      </c>
      <c r="J425" s="195">
        <v>1.24</v>
      </c>
      <c r="K425" s="195">
        <v>1.2350000000000001</v>
      </c>
      <c r="L425" s="195">
        <v>1.252</v>
      </c>
      <c r="M425" s="195">
        <v>1.2549999999999999</v>
      </c>
      <c r="N425" s="195">
        <v>1.2649999999999999</v>
      </c>
      <c r="O425" s="195">
        <v>1.282</v>
      </c>
      <c r="P425" s="195">
        <v>1.278</v>
      </c>
      <c r="Q425" s="195">
        <v>1.284</v>
      </c>
      <c r="R425" s="195">
        <v>1.294</v>
      </c>
      <c r="S425" s="195">
        <v>1.298</v>
      </c>
      <c r="T425" s="195">
        <v>1.3049999999999999</v>
      </c>
      <c r="U425" s="195">
        <v>1.3160000000000001</v>
      </c>
      <c r="V425" s="195">
        <v>1.331</v>
      </c>
      <c r="W425" s="195">
        <v>1.3240000000000001</v>
      </c>
      <c r="X425" s="195">
        <v>1.3480000000000001</v>
      </c>
      <c r="Y425" s="195">
        <v>1.353</v>
      </c>
      <c r="Z425" s="195">
        <v>1.36</v>
      </c>
    </row>
    <row r="426" spans="1:26">
      <c r="A426" s="195" t="s">
        <v>307</v>
      </c>
      <c r="B426" s="195" t="s">
        <v>285</v>
      </c>
      <c r="C426" s="195">
        <v>1.506</v>
      </c>
      <c r="D426" s="195">
        <v>1.462</v>
      </c>
      <c r="E426" s="195">
        <v>1.397</v>
      </c>
      <c r="F426" s="195">
        <v>1.3480000000000001</v>
      </c>
      <c r="G426" s="195">
        <v>1.3460000000000001</v>
      </c>
      <c r="H426" s="195">
        <v>1.3169999999999999</v>
      </c>
      <c r="I426" s="195">
        <v>1.3120000000000001</v>
      </c>
      <c r="J426" s="195">
        <v>1.31</v>
      </c>
      <c r="K426" s="195">
        <v>1.304</v>
      </c>
      <c r="L426" s="195">
        <v>1.321</v>
      </c>
      <c r="M426" s="195">
        <v>1.325</v>
      </c>
      <c r="N426" s="195">
        <v>1.335</v>
      </c>
      <c r="O426" s="195">
        <v>1.3480000000000001</v>
      </c>
      <c r="P426" s="195">
        <v>1.345</v>
      </c>
      <c r="Q426" s="195">
        <v>1.35</v>
      </c>
      <c r="R426" s="195">
        <v>1.36</v>
      </c>
      <c r="S426" s="195">
        <v>1.365</v>
      </c>
      <c r="T426" s="195">
        <v>1.3720000000000001</v>
      </c>
      <c r="U426" s="195">
        <v>1.383</v>
      </c>
      <c r="V426" s="195">
        <v>1.397</v>
      </c>
      <c r="W426" s="195">
        <v>1.391</v>
      </c>
      <c r="X426" s="195">
        <v>1.415</v>
      </c>
      <c r="Y426" s="195">
        <v>1.419</v>
      </c>
      <c r="Z426" s="195">
        <v>1.4259999999999999</v>
      </c>
    </row>
    <row r="427" spans="1:26">
      <c r="A427" s="195" t="s">
        <v>308</v>
      </c>
      <c r="B427" s="195" t="s">
        <v>285</v>
      </c>
      <c r="C427" s="195">
        <v>1.4770000000000001</v>
      </c>
      <c r="D427" s="195">
        <v>1.431</v>
      </c>
      <c r="E427" s="195">
        <v>1.3859999999999999</v>
      </c>
      <c r="F427" s="195">
        <v>1.343</v>
      </c>
      <c r="G427" s="195">
        <v>1.341</v>
      </c>
      <c r="H427" s="195">
        <v>1.3120000000000001</v>
      </c>
      <c r="I427" s="195">
        <v>1.306</v>
      </c>
      <c r="J427" s="195">
        <v>1.304</v>
      </c>
      <c r="K427" s="195">
        <v>1.2989999999999999</v>
      </c>
      <c r="L427" s="195">
        <v>1.3160000000000001</v>
      </c>
      <c r="M427" s="195">
        <v>1.319</v>
      </c>
      <c r="N427" s="195">
        <v>1.329</v>
      </c>
      <c r="O427" s="195">
        <v>1.3460000000000001</v>
      </c>
      <c r="P427" s="195">
        <v>1.3420000000000001</v>
      </c>
      <c r="Q427" s="195">
        <v>1.3480000000000001</v>
      </c>
      <c r="R427" s="195">
        <v>1.3580000000000001</v>
      </c>
      <c r="S427" s="195">
        <v>1.3620000000000001</v>
      </c>
      <c r="T427" s="195">
        <v>1.369</v>
      </c>
      <c r="U427" s="195">
        <v>1.38</v>
      </c>
      <c r="V427" s="195">
        <v>1.395</v>
      </c>
      <c r="W427" s="195">
        <v>1.3879999999999999</v>
      </c>
      <c r="X427" s="195">
        <v>1.4119999999999999</v>
      </c>
      <c r="Y427" s="195">
        <v>1.4159999999999999</v>
      </c>
      <c r="Z427" s="195">
        <v>1.423</v>
      </c>
    </row>
    <row r="428" spans="1:26">
      <c r="A428" s="195" t="s">
        <v>309</v>
      </c>
      <c r="B428" s="195" t="s">
        <v>285</v>
      </c>
      <c r="C428" s="195">
        <v>1.506</v>
      </c>
      <c r="D428" s="195">
        <v>1.46</v>
      </c>
      <c r="E428" s="195">
        <v>1.395</v>
      </c>
      <c r="F428" s="195">
        <v>1.3460000000000001</v>
      </c>
      <c r="G428" s="195">
        <v>1.3440000000000001</v>
      </c>
      <c r="H428" s="195">
        <v>1.3149999999999999</v>
      </c>
      <c r="I428" s="195">
        <v>1.31</v>
      </c>
      <c r="J428" s="195">
        <v>1.3080000000000001</v>
      </c>
      <c r="K428" s="195">
        <v>1.302</v>
      </c>
      <c r="L428" s="195">
        <v>1.319</v>
      </c>
      <c r="M428" s="195">
        <v>1.323</v>
      </c>
      <c r="N428" s="195">
        <v>1.333</v>
      </c>
      <c r="O428" s="195">
        <v>1.349</v>
      </c>
      <c r="P428" s="195">
        <v>1.3460000000000001</v>
      </c>
      <c r="Q428" s="195">
        <v>1.351</v>
      </c>
      <c r="R428" s="195">
        <v>1.361</v>
      </c>
      <c r="S428" s="195">
        <v>1.3660000000000001</v>
      </c>
      <c r="T428" s="195">
        <v>1.373</v>
      </c>
      <c r="U428" s="195">
        <v>1.383</v>
      </c>
      <c r="V428" s="195">
        <v>1.3979999999999999</v>
      </c>
      <c r="W428" s="195">
        <v>1.391</v>
      </c>
      <c r="X428" s="195">
        <v>1.4159999999999999</v>
      </c>
      <c r="Y428" s="195">
        <v>1.42</v>
      </c>
      <c r="Z428" s="195">
        <v>1.427</v>
      </c>
    </row>
    <row r="429" spans="1:26">
      <c r="A429" s="195" t="s">
        <v>310</v>
      </c>
      <c r="B429" s="195" t="s">
        <v>285</v>
      </c>
      <c r="C429" s="195">
        <v>1.5229999999999999</v>
      </c>
      <c r="D429" s="195">
        <v>1.4910000000000001</v>
      </c>
      <c r="E429" s="195">
        <v>1.4259999999999999</v>
      </c>
      <c r="F429" s="195">
        <v>1.3620000000000001</v>
      </c>
      <c r="G429" s="195">
        <v>1.367</v>
      </c>
      <c r="H429" s="195">
        <v>1.331</v>
      </c>
      <c r="I429" s="195">
        <v>1.3260000000000001</v>
      </c>
      <c r="J429" s="195">
        <v>1.3180000000000001</v>
      </c>
      <c r="K429" s="195">
        <v>1.3240000000000001</v>
      </c>
      <c r="L429" s="195">
        <v>1.3320000000000001</v>
      </c>
      <c r="M429" s="195">
        <v>1.3420000000000001</v>
      </c>
      <c r="N429" s="195">
        <v>1.347</v>
      </c>
      <c r="O429" s="195">
        <v>1.361</v>
      </c>
      <c r="P429" s="195">
        <v>1.3560000000000001</v>
      </c>
      <c r="Q429" s="195">
        <v>1.365</v>
      </c>
      <c r="R429" s="195">
        <v>1.373</v>
      </c>
      <c r="S429" s="195">
        <v>1.3779999999999999</v>
      </c>
      <c r="T429" s="195">
        <v>1.3819999999999999</v>
      </c>
      <c r="U429" s="195">
        <v>1.3879999999999999</v>
      </c>
      <c r="V429" s="195">
        <v>1.407</v>
      </c>
      <c r="W429" s="195">
        <v>1.3979999999999999</v>
      </c>
      <c r="X429" s="195">
        <v>1.4239999999999999</v>
      </c>
      <c r="Y429" s="195">
        <v>1.429</v>
      </c>
      <c r="Z429" s="195">
        <v>1.4359999999999999</v>
      </c>
    </row>
    <row r="430" spans="1:26">
      <c r="A430" s="195" t="s">
        <v>311</v>
      </c>
      <c r="B430" s="195" t="s">
        <v>285</v>
      </c>
      <c r="C430" s="195">
        <v>1.417</v>
      </c>
      <c r="D430" s="195">
        <v>1.4039999999999999</v>
      </c>
      <c r="E430" s="195">
        <v>1.351</v>
      </c>
      <c r="F430" s="195">
        <v>1.304</v>
      </c>
      <c r="G430" s="195">
        <v>1.3080000000000001</v>
      </c>
      <c r="H430" s="195">
        <v>1.28</v>
      </c>
      <c r="I430" s="195">
        <v>1.2729999999999999</v>
      </c>
      <c r="J430" s="195">
        <v>1.2669999999999999</v>
      </c>
      <c r="K430" s="195">
        <v>1.2669999999999999</v>
      </c>
      <c r="L430" s="195">
        <v>1.268</v>
      </c>
      <c r="M430" s="195">
        <v>1.2749999999999999</v>
      </c>
      <c r="N430" s="195">
        <v>1.2789999999999999</v>
      </c>
      <c r="O430" s="195">
        <v>1.3080000000000001</v>
      </c>
      <c r="P430" s="195">
        <v>1.2889999999999999</v>
      </c>
      <c r="Q430" s="195">
        <v>1.3149999999999999</v>
      </c>
      <c r="R430" s="195">
        <v>1.325</v>
      </c>
      <c r="S430" s="195">
        <v>1.3320000000000001</v>
      </c>
      <c r="T430" s="195">
        <v>1.339</v>
      </c>
      <c r="U430" s="195">
        <v>1.3460000000000001</v>
      </c>
      <c r="V430" s="195">
        <v>1.3640000000000001</v>
      </c>
      <c r="W430" s="195">
        <v>1.3560000000000001</v>
      </c>
      <c r="X430" s="195">
        <v>1.381</v>
      </c>
      <c r="Y430" s="195">
        <v>1.385</v>
      </c>
      <c r="Z430" s="195">
        <v>1.393</v>
      </c>
    </row>
    <row r="431" spans="1:26">
      <c r="A431" s="195" t="s">
        <v>312</v>
      </c>
      <c r="B431" s="195" t="s">
        <v>285</v>
      </c>
      <c r="C431" s="195">
        <v>1.397</v>
      </c>
      <c r="D431" s="195">
        <v>1.397</v>
      </c>
      <c r="E431" s="195">
        <v>1.3640000000000001</v>
      </c>
      <c r="F431" s="195">
        <v>1.3360000000000001</v>
      </c>
      <c r="G431" s="195">
        <v>1.335</v>
      </c>
      <c r="H431" s="195">
        <v>1.3049999999999999</v>
      </c>
      <c r="I431" s="195">
        <v>1.3</v>
      </c>
      <c r="J431" s="195">
        <v>1.2969999999999999</v>
      </c>
      <c r="K431" s="195">
        <v>1.2929999999999999</v>
      </c>
      <c r="L431" s="195">
        <v>1.306</v>
      </c>
      <c r="M431" s="195">
        <v>1.31</v>
      </c>
      <c r="N431" s="195">
        <v>1.319</v>
      </c>
      <c r="O431" s="195">
        <v>1.3360000000000001</v>
      </c>
      <c r="P431" s="195">
        <v>1.33</v>
      </c>
      <c r="Q431" s="195">
        <v>1.339</v>
      </c>
      <c r="R431" s="195">
        <v>1.349</v>
      </c>
      <c r="S431" s="195">
        <v>1.3540000000000001</v>
      </c>
      <c r="T431" s="195">
        <v>1.361</v>
      </c>
      <c r="U431" s="195">
        <v>1.371</v>
      </c>
      <c r="V431" s="195">
        <v>1.3859999999999999</v>
      </c>
      <c r="W431" s="195">
        <v>1.379</v>
      </c>
      <c r="X431" s="195">
        <v>1.4039999999999999</v>
      </c>
      <c r="Y431" s="195">
        <v>1.4079999999999999</v>
      </c>
      <c r="Z431" s="195">
        <v>1.415</v>
      </c>
    </row>
    <row r="432" spans="1:26">
      <c r="A432" s="195" t="s">
        <v>281</v>
      </c>
      <c r="B432" s="195" t="s">
        <v>282</v>
      </c>
      <c r="C432" s="195" t="s">
        <v>283</v>
      </c>
      <c r="D432" s="195" t="s">
        <v>283</v>
      </c>
      <c r="E432" s="195" t="s">
        <v>283</v>
      </c>
      <c r="F432" s="195" t="s">
        <v>283</v>
      </c>
      <c r="G432" s="195" t="s">
        <v>283</v>
      </c>
      <c r="H432" s="195" t="s">
        <v>283</v>
      </c>
      <c r="I432" s="195" t="s">
        <v>283</v>
      </c>
      <c r="J432" s="195" t="s">
        <v>283</v>
      </c>
      <c r="K432" s="195" t="s">
        <v>283</v>
      </c>
      <c r="L432" s="195" t="s">
        <v>283</v>
      </c>
      <c r="M432" s="195" t="s">
        <v>283</v>
      </c>
      <c r="N432" s="195" t="s">
        <v>283</v>
      </c>
      <c r="O432" s="195" t="s">
        <v>283</v>
      </c>
      <c r="P432" s="195" t="s">
        <v>283</v>
      </c>
      <c r="Q432" s="195" t="s">
        <v>283</v>
      </c>
      <c r="R432" s="195" t="s">
        <v>283</v>
      </c>
      <c r="S432" s="195" t="s">
        <v>283</v>
      </c>
      <c r="T432" s="195" t="s">
        <v>283</v>
      </c>
      <c r="U432" s="195" t="s">
        <v>283</v>
      </c>
      <c r="V432" s="195" t="s">
        <v>283</v>
      </c>
      <c r="W432" s="195" t="s">
        <v>283</v>
      </c>
      <c r="X432" s="195" t="s">
        <v>283</v>
      </c>
      <c r="Y432" s="195" t="s">
        <v>283</v>
      </c>
      <c r="Z432" s="195" t="s">
        <v>284</v>
      </c>
    </row>
    <row r="434" spans="1:26">
      <c r="C434" s="202" t="str">
        <f>CONCATENATE(M434,N434,O434,P434,Q434,R434)</f>
        <v>Table 8US EndUse Prices,$/Gal</v>
      </c>
      <c r="M434" s="195" t="s">
        <v>297</v>
      </c>
      <c r="N434" s="195" t="s">
        <v>298</v>
      </c>
      <c r="O434" s="195" t="s">
        <v>299</v>
      </c>
      <c r="P434" s="195" t="s">
        <v>300</v>
      </c>
      <c r="Q434" s="195" t="s">
        <v>301</v>
      </c>
      <c r="R434" s="195" t="s">
        <v>302</v>
      </c>
    </row>
    <row r="435" spans="1:26">
      <c r="A435" s="195" t="s">
        <v>276</v>
      </c>
      <c r="B435" s="195" t="s">
        <v>277</v>
      </c>
      <c r="C435" s="195">
        <v>11006</v>
      </c>
      <c r="D435" s="195" t="s">
        <v>278</v>
      </c>
      <c r="E435" s="195" t="s">
        <v>279</v>
      </c>
      <c r="F435" s="195" t="s">
        <v>280</v>
      </c>
    </row>
    <row r="436" spans="1:26">
      <c r="A436" s="195" t="s">
        <v>281</v>
      </c>
      <c r="B436" s="195" t="s">
        <v>282</v>
      </c>
      <c r="C436" s="195" t="s">
        <v>283</v>
      </c>
      <c r="D436" s="195" t="s">
        <v>283</v>
      </c>
      <c r="E436" s="195" t="s">
        <v>283</v>
      </c>
      <c r="F436" s="195" t="s">
        <v>283</v>
      </c>
      <c r="G436" s="195" t="s">
        <v>283</v>
      </c>
      <c r="H436" s="195" t="s">
        <v>283</v>
      </c>
      <c r="I436" s="195" t="s">
        <v>283</v>
      </c>
      <c r="J436" s="195" t="s">
        <v>283</v>
      </c>
      <c r="K436" s="195" t="s">
        <v>283</v>
      </c>
      <c r="L436" s="195" t="s">
        <v>283</v>
      </c>
      <c r="M436" s="195" t="s">
        <v>283</v>
      </c>
      <c r="N436" s="195" t="s">
        <v>283</v>
      </c>
      <c r="O436" s="195" t="s">
        <v>283</v>
      </c>
      <c r="P436" s="195" t="s">
        <v>283</v>
      </c>
      <c r="Q436" s="195" t="s">
        <v>283</v>
      </c>
      <c r="R436" s="195" t="s">
        <v>283</v>
      </c>
      <c r="S436" s="195" t="s">
        <v>283</v>
      </c>
      <c r="T436" s="195" t="s">
        <v>283</v>
      </c>
      <c r="U436" s="195" t="s">
        <v>283</v>
      </c>
      <c r="V436" s="195" t="s">
        <v>283</v>
      </c>
      <c r="W436" s="195" t="s">
        <v>283</v>
      </c>
      <c r="X436" s="195" t="s">
        <v>283</v>
      </c>
      <c r="Y436" s="195" t="s">
        <v>283</v>
      </c>
      <c r="Z436" s="195" t="s">
        <v>284</v>
      </c>
    </row>
    <row r="437" spans="1:26">
      <c r="C437" s="195">
        <v>2007</v>
      </c>
      <c r="D437" s="195">
        <v>2008</v>
      </c>
      <c r="E437" s="195">
        <v>2009</v>
      </c>
      <c r="F437" s="195">
        <v>2010</v>
      </c>
      <c r="G437" s="195">
        <v>2011</v>
      </c>
      <c r="H437" s="195">
        <v>2012</v>
      </c>
      <c r="I437" s="195">
        <v>2013</v>
      </c>
      <c r="J437" s="195">
        <v>2014</v>
      </c>
      <c r="K437" s="195">
        <v>2015</v>
      </c>
      <c r="L437" s="195">
        <v>2016</v>
      </c>
      <c r="M437" s="195">
        <v>2017</v>
      </c>
      <c r="N437" s="195">
        <v>2018</v>
      </c>
      <c r="O437" s="195">
        <v>2019</v>
      </c>
      <c r="P437" s="195">
        <v>2020</v>
      </c>
      <c r="Q437" s="195">
        <v>2021</v>
      </c>
      <c r="R437" s="195">
        <v>2022</v>
      </c>
      <c r="S437" s="195">
        <v>2023</v>
      </c>
      <c r="T437" s="195">
        <v>2024</v>
      </c>
      <c r="U437" s="195">
        <v>2025</v>
      </c>
      <c r="V437" s="195">
        <v>2026</v>
      </c>
      <c r="W437" s="195">
        <v>2027</v>
      </c>
      <c r="X437" s="195">
        <v>2028</v>
      </c>
      <c r="Y437" s="195">
        <v>2029</v>
      </c>
      <c r="Z437" s="195">
        <v>2030</v>
      </c>
    </row>
    <row r="438" spans="1:26">
      <c r="A438" s="195" t="s">
        <v>281</v>
      </c>
      <c r="B438" s="195" t="s">
        <v>282</v>
      </c>
      <c r="C438" s="195" t="s">
        <v>283</v>
      </c>
      <c r="D438" s="195" t="s">
        <v>283</v>
      </c>
      <c r="E438" s="195" t="s">
        <v>283</v>
      </c>
      <c r="F438" s="195" t="s">
        <v>283</v>
      </c>
      <c r="G438" s="195" t="s">
        <v>283</v>
      </c>
      <c r="H438" s="195" t="s">
        <v>283</v>
      </c>
      <c r="I438" s="195" t="s">
        <v>283</v>
      </c>
      <c r="J438" s="195" t="s">
        <v>283</v>
      </c>
      <c r="K438" s="195" t="s">
        <v>283</v>
      </c>
      <c r="L438" s="195" t="s">
        <v>283</v>
      </c>
      <c r="M438" s="195" t="s">
        <v>283</v>
      </c>
      <c r="N438" s="195" t="s">
        <v>283</v>
      </c>
      <c r="O438" s="195" t="s">
        <v>283</v>
      </c>
      <c r="P438" s="195" t="s">
        <v>283</v>
      </c>
      <c r="Q438" s="195" t="s">
        <v>283</v>
      </c>
      <c r="R438" s="195" t="s">
        <v>283</v>
      </c>
      <c r="S438" s="195" t="s">
        <v>283</v>
      </c>
      <c r="T438" s="195" t="s">
        <v>283</v>
      </c>
      <c r="U438" s="195" t="s">
        <v>283</v>
      </c>
      <c r="V438" s="195" t="s">
        <v>283</v>
      </c>
      <c r="W438" s="195" t="s">
        <v>283</v>
      </c>
      <c r="X438" s="195" t="s">
        <v>283</v>
      </c>
      <c r="Y438" s="195" t="s">
        <v>283</v>
      </c>
      <c r="Z438" s="195" t="s">
        <v>284</v>
      </c>
    </row>
    <row r="439" spans="1:26">
      <c r="A439" s="195" t="s">
        <v>201</v>
      </c>
    </row>
    <row r="440" spans="1:26">
      <c r="A440" s="195" t="s">
        <v>303</v>
      </c>
      <c r="B440" s="195" t="s">
        <v>285</v>
      </c>
      <c r="C440" s="195">
        <v>1.319</v>
      </c>
      <c r="D440" s="195">
        <v>1.2909999999999999</v>
      </c>
      <c r="E440" s="195">
        <v>1.25</v>
      </c>
      <c r="F440" s="195">
        <v>1.2130000000000001</v>
      </c>
      <c r="G440" s="195">
        <v>1.2230000000000001</v>
      </c>
      <c r="H440" s="195">
        <v>1.228</v>
      </c>
      <c r="I440" s="195">
        <v>1.2270000000000001</v>
      </c>
      <c r="J440" s="195">
        <v>1.22</v>
      </c>
      <c r="K440" s="195">
        <v>1.2290000000000001</v>
      </c>
      <c r="L440" s="195">
        <v>1.2470000000000001</v>
      </c>
      <c r="M440" s="195">
        <v>1.2430000000000001</v>
      </c>
      <c r="N440" s="195">
        <v>1.266</v>
      </c>
      <c r="O440" s="195">
        <v>1.278</v>
      </c>
      <c r="P440" s="195">
        <v>1.29</v>
      </c>
      <c r="Q440" s="195">
        <v>1.2889999999999999</v>
      </c>
      <c r="R440" s="195">
        <v>1.3009999999999999</v>
      </c>
      <c r="S440" s="195">
        <v>1.331</v>
      </c>
      <c r="T440" s="195">
        <v>1.34</v>
      </c>
      <c r="U440" s="195">
        <v>1.3440000000000001</v>
      </c>
      <c r="V440" s="195">
        <v>1.3640000000000001</v>
      </c>
      <c r="W440" s="195">
        <v>1.377</v>
      </c>
      <c r="X440" s="195">
        <v>1.391</v>
      </c>
      <c r="Y440" s="195">
        <v>1.383</v>
      </c>
      <c r="Z440" s="195">
        <v>1.399</v>
      </c>
    </row>
    <row r="441" spans="1:26">
      <c r="A441" s="195" t="s">
        <v>304</v>
      </c>
      <c r="B441" s="195" t="s">
        <v>285</v>
      </c>
      <c r="C441" s="195">
        <v>1.351</v>
      </c>
      <c r="D441" s="195">
        <v>1.325</v>
      </c>
      <c r="E441" s="195">
        <v>1.2829999999999999</v>
      </c>
      <c r="F441" s="195">
        <v>1.248</v>
      </c>
      <c r="G441" s="195">
        <v>1.26</v>
      </c>
      <c r="H441" s="195">
        <v>1.2649999999999999</v>
      </c>
      <c r="I441" s="195">
        <v>1.2689999999999999</v>
      </c>
      <c r="J441" s="195">
        <v>1.2589999999999999</v>
      </c>
      <c r="K441" s="195">
        <v>1.27</v>
      </c>
      <c r="L441" s="195">
        <v>1.284</v>
      </c>
      <c r="M441" s="195">
        <v>1.28</v>
      </c>
      <c r="N441" s="195">
        <v>1.2989999999999999</v>
      </c>
      <c r="O441" s="195">
        <v>1.31</v>
      </c>
      <c r="P441" s="195">
        <v>1.321</v>
      </c>
      <c r="Q441" s="195">
        <v>1.3160000000000001</v>
      </c>
      <c r="R441" s="195">
        <v>1.3240000000000001</v>
      </c>
      <c r="S441" s="195">
        <v>1.3580000000000001</v>
      </c>
      <c r="T441" s="195">
        <v>1.367</v>
      </c>
      <c r="U441" s="195">
        <v>1.3660000000000001</v>
      </c>
      <c r="V441" s="195">
        <v>1.389</v>
      </c>
      <c r="W441" s="195">
        <v>1.403</v>
      </c>
      <c r="X441" s="195">
        <v>1.419</v>
      </c>
      <c r="Y441" s="195">
        <v>1.4059999999999999</v>
      </c>
      <c r="Z441" s="195">
        <v>1.4219999999999999</v>
      </c>
    </row>
    <row r="442" spans="1:26">
      <c r="A442" s="195" t="s">
        <v>305</v>
      </c>
      <c r="B442" s="195" t="s">
        <v>285</v>
      </c>
      <c r="C442" s="195">
        <v>1.3140000000000001</v>
      </c>
      <c r="D442" s="195">
        <v>1.284</v>
      </c>
      <c r="E442" s="195">
        <v>1.242</v>
      </c>
      <c r="F442" s="195">
        <v>1.214</v>
      </c>
      <c r="G442" s="195">
        <v>1.2370000000000001</v>
      </c>
      <c r="H442" s="195">
        <v>1.238</v>
      </c>
      <c r="I442" s="195">
        <v>1.25</v>
      </c>
      <c r="J442" s="195">
        <v>1.238</v>
      </c>
      <c r="K442" s="195">
        <v>1.2549999999999999</v>
      </c>
      <c r="L442" s="195">
        <v>1.2589999999999999</v>
      </c>
      <c r="M442" s="195">
        <v>1.2569999999999999</v>
      </c>
      <c r="N442" s="195">
        <v>1.268</v>
      </c>
      <c r="O442" s="195">
        <v>1.2769999999999999</v>
      </c>
      <c r="P442" s="195">
        <v>1.2869999999999999</v>
      </c>
      <c r="Q442" s="195">
        <v>1.2929999999999999</v>
      </c>
      <c r="R442" s="195">
        <v>1.298</v>
      </c>
      <c r="S442" s="195">
        <v>1.3169999999999999</v>
      </c>
      <c r="T442" s="195">
        <v>1.3220000000000001</v>
      </c>
      <c r="U442" s="195">
        <v>1.3160000000000001</v>
      </c>
      <c r="V442" s="195">
        <v>1.327</v>
      </c>
      <c r="W442" s="195">
        <v>1.3420000000000001</v>
      </c>
      <c r="X442" s="195">
        <v>1.359</v>
      </c>
      <c r="Y442" s="195">
        <v>1.329</v>
      </c>
      <c r="Z442" s="195">
        <v>1.3420000000000001</v>
      </c>
    </row>
    <row r="443" spans="1:26">
      <c r="A443" s="195" t="s">
        <v>306</v>
      </c>
      <c r="B443" s="195" t="s">
        <v>285</v>
      </c>
      <c r="C443" s="195">
        <v>1.2729999999999999</v>
      </c>
      <c r="D443" s="195">
        <v>1.246</v>
      </c>
      <c r="E443" s="195">
        <v>1.2050000000000001</v>
      </c>
      <c r="F443" s="195">
        <v>1.1779999999999999</v>
      </c>
      <c r="G443" s="195">
        <v>1.2030000000000001</v>
      </c>
      <c r="H443" s="195">
        <v>1.204</v>
      </c>
      <c r="I443" s="195">
        <v>1.216</v>
      </c>
      <c r="J443" s="195">
        <v>1.2050000000000001</v>
      </c>
      <c r="K443" s="195">
        <v>1.2210000000000001</v>
      </c>
      <c r="L443" s="195">
        <v>1.226</v>
      </c>
      <c r="M443" s="195">
        <v>1.2250000000000001</v>
      </c>
      <c r="N443" s="195">
        <v>1.2370000000000001</v>
      </c>
      <c r="O443" s="195">
        <v>1.2470000000000001</v>
      </c>
      <c r="P443" s="195">
        <v>1.256</v>
      </c>
      <c r="Q443" s="195">
        <v>1.262</v>
      </c>
      <c r="R443" s="195">
        <v>1.266</v>
      </c>
      <c r="S443" s="195">
        <v>1.284</v>
      </c>
      <c r="T443" s="195">
        <v>1.2889999999999999</v>
      </c>
      <c r="U443" s="195">
        <v>1.2829999999999999</v>
      </c>
      <c r="V443" s="195">
        <v>1.294</v>
      </c>
      <c r="W443" s="195">
        <v>1.3089999999999999</v>
      </c>
      <c r="X443" s="195">
        <v>1.325</v>
      </c>
      <c r="Y443" s="195">
        <v>1.2969999999999999</v>
      </c>
      <c r="Z443" s="195">
        <v>1.31</v>
      </c>
    </row>
    <row r="444" spans="1:26">
      <c r="A444" s="195" t="s">
        <v>307</v>
      </c>
      <c r="B444" s="195" t="s">
        <v>285</v>
      </c>
      <c r="C444" s="195">
        <v>1.2789999999999999</v>
      </c>
      <c r="D444" s="195">
        <v>1.254</v>
      </c>
      <c r="E444" s="195">
        <v>1.21</v>
      </c>
      <c r="F444" s="195">
        <v>1.181</v>
      </c>
      <c r="G444" s="195">
        <v>1.198</v>
      </c>
      <c r="H444" s="195">
        <v>1.2010000000000001</v>
      </c>
      <c r="I444" s="195">
        <v>1.21</v>
      </c>
      <c r="J444" s="195">
        <v>1.1990000000000001</v>
      </c>
      <c r="K444" s="195">
        <v>1.216</v>
      </c>
      <c r="L444" s="195">
        <v>1.222</v>
      </c>
      <c r="M444" s="195">
        <v>1.22</v>
      </c>
      <c r="N444" s="195">
        <v>1.2330000000000001</v>
      </c>
      <c r="O444" s="195">
        <v>1.244</v>
      </c>
      <c r="P444" s="195">
        <v>1.2529999999999999</v>
      </c>
      <c r="Q444" s="195">
        <v>1.2589999999999999</v>
      </c>
      <c r="R444" s="195">
        <v>1.2649999999999999</v>
      </c>
      <c r="S444" s="195">
        <v>1.284</v>
      </c>
      <c r="T444" s="195">
        <v>1.2909999999999999</v>
      </c>
      <c r="U444" s="195">
        <v>1.2989999999999999</v>
      </c>
      <c r="V444" s="195">
        <v>1.3109999999999999</v>
      </c>
      <c r="W444" s="195">
        <v>1.327</v>
      </c>
      <c r="X444" s="195">
        <v>1.345</v>
      </c>
      <c r="Y444" s="195">
        <v>1.329</v>
      </c>
      <c r="Z444" s="195">
        <v>1.3440000000000001</v>
      </c>
    </row>
    <row r="445" spans="1:26">
      <c r="A445" s="195" t="s">
        <v>308</v>
      </c>
      <c r="B445" s="195" t="s">
        <v>285</v>
      </c>
      <c r="C445" s="195">
        <v>1.302</v>
      </c>
      <c r="D445" s="195">
        <v>1.2689999999999999</v>
      </c>
      <c r="E445" s="195">
        <v>1.226</v>
      </c>
      <c r="F445" s="195">
        <v>1.1990000000000001</v>
      </c>
      <c r="G445" s="195">
        <v>1.2170000000000001</v>
      </c>
      <c r="H445" s="195">
        <v>1.218</v>
      </c>
      <c r="I445" s="195">
        <v>1.2310000000000001</v>
      </c>
      <c r="J445" s="195">
        <v>1.216</v>
      </c>
      <c r="K445" s="195">
        <v>1.2330000000000001</v>
      </c>
      <c r="L445" s="195">
        <v>1.236</v>
      </c>
      <c r="M445" s="195">
        <v>1.234</v>
      </c>
      <c r="N445" s="195">
        <v>1.2450000000000001</v>
      </c>
      <c r="O445" s="195">
        <v>1.2549999999999999</v>
      </c>
      <c r="P445" s="195">
        <v>1.2629999999999999</v>
      </c>
      <c r="Q445" s="195">
        <v>1.2689999999999999</v>
      </c>
      <c r="R445" s="195">
        <v>1.274</v>
      </c>
      <c r="S445" s="195">
        <v>1.2929999999999999</v>
      </c>
      <c r="T445" s="195">
        <v>1.2989999999999999</v>
      </c>
      <c r="U445" s="195">
        <v>1.3069999999999999</v>
      </c>
      <c r="V445" s="195">
        <v>1.319</v>
      </c>
      <c r="W445" s="195">
        <v>1.3340000000000001</v>
      </c>
      <c r="X445" s="195">
        <v>1.3520000000000001</v>
      </c>
      <c r="Y445" s="195">
        <v>1.333</v>
      </c>
      <c r="Z445" s="195">
        <v>1.3480000000000001</v>
      </c>
    </row>
    <row r="446" spans="1:26">
      <c r="A446" s="195" t="s">
        <v>309</v>
      </c>
      <c r="B446" s="195" t="s">
        <v>285</v>
      </c>
      <c r="C446" s="195">
        <v>1.2729999999999999</v>
      </c>
      <c r="D446" s="195">
        <v>1.2410000000000001</v>
      </c>
      <c r="E446" s="195">
        <v>1.1990000000000001</v>
      </c>
      <c r="F446" s="195">
        <v>1.1739999999999999</v>
      </c>
      <c r="G446" s="195">
        <v>1.1919999999999999</v>
      </c>
      <c r="H446" s="195">
        <v>1.1930000000000001</v>
      </c>
      <c r="I446" s="195">
        <v>1.206</v>
      </c>
      <c r="J446" s="195">
        <v>1.1919999999999999</v>
      </c>
      <c r="K446" s="195">
        <v>1.2090000000000001</v>
      </c>
      <c r="L446" s="195">
        <v>1.212</v>
      </c>
      <c r="M446" s="195">
        <v>1.2110000000000001</v>
      </c>
      <c r="N446" s="195">
        <v>1.2210000000000001</v>
      </c>
      <c r="O446" s="195">
        <v>1.232</v>
      </c>
      <c r="P446" s="195">
        <v>1.24</v>
      </c>
      <c r="Q446" s="195">
        <v>1.246</v>
      </c>
      <c r="R446" s="195">
        <v>1.2509999999999999</v>
      </c>
      <c r="S446" s="195">
        <v>1.27</v>
      </c>
      <c r="T446" s="195">
        <v>1.2749999999999999</v>
      </c>
      <c r="U446" s="195">
        <v>1.284</v>
      </c>
      <c r="V446" s="195">
        <v>1.2949999999999999</v>
      </c>
      <c r="W446" s="195">
        <v>1.3109999999999999</v>
      </c>
      <c r="X446" s="195">
        <v>1.329</v>
      </c>
      <c r="Y446" s="195">
        <v>1.3109999999999999</v>
      </c>
      <c r="Z446" s="195">
        <v>1.3260000000000001</v>
      </c>
    </row>
    <row r="447" spans="1:26">
      <c r="A447" s="195" t="s">
        <v>310</v>
      </c>
      <c r="B447" s="195" t="s">
        <v>285</v>
      </c>
      <c r="C447" s="195">
        <v>1.4370000000000001</v>
      </c>
      <c r="D447" s="195">
        <v>1.4750000000000001</v>
      </c>
      <c r="E447" s="195">
        <v>1.4339999999999999</v>
      </c>
      <c r="F447" s="195">
        <v>1.341</v>
      </c>
      <c r="G447" s="195">
        <v>1.395</v>
      </c>
      <c r="H447" s="195">
        <v>1.37</v>
      </c>
      <c r="I447" s="195">
        <v>1.38</v>
      </c>
      <c r="J447" s="195">
        <v>1.353</v>
      </c>
      <c r="K447" s="195">
        <v>1.41</v>
      </c>
      <c r="L447" s="195">
        <v>1.3720000000000001</v>
      </c>
      <c r="M447" s="195">
        <v>1.3979999999999999</v>
      </c>
      <c r="N447" s="195">
        <v>1.3919999999999999</v>
      </c>
      <c r="O447" s="195">
        <v>1.39</v>
      </c>
      <c r="P447" s="195">
        <v>1.3919999999999999</v>
      </c>
      <c r="Q447" s="195">
        <v>1.409</v>
      </c>
      <c r="R447" s="195">
        <v>1.4039999999999999</v>
      </c>
      <c r="S447" s="195">
        <v>1.4279999999999999</v>
      </c>
      <c r="T447" s="195">
        <v>1.4179999999999999</v>
      </c>
      <c r="U447" s="195">
        <v>1.417</v>
      </c>
      <c r="V447" s="195">
        <v>1.43</v>
      </c>
      <c r="W447" s="195">
        <v>1.4379999999999999</v>
      </c>
      <c r="X447" s="195">
        <v>1.4590000000000001</v>
      </c>
      <c r="Y447" s="195">
        <v>1.4450000000000001</v>
      </c>
      <c r="Z447" s="195">
        <v>1.46</v>
      </c>
    </row>
    <row r="448" spans="1:26">
      <c r="A448" s="195" t="s">
        <v>311</v>
      </c>
      <c r="B448" s="195" t="s">
        <v>285</v>
      </c>
      <c r="C448" s="195">
        <v>1.377</v>
      </c>
      <c r="D448" s="195">
        <v>1.3879999999999999</v>
      </c>
      <c r="E448" s="195">
        <v>1.3620000000000001</v>
      </c>
      <c r="F448" s="195">
        <v>1.349</v>
      </c>
      <c r="G448" s="195">
        <v>1.3660000000000001</v>
      </c>
      <c r="H448" s="195">
        <v>1.3660000000000001</v>
      </c>
      <c r="I448" s="195">
        <v>1.3959999999999999</v>
      </c>
      <c r="J448" s="195">
        <v>1.389</v>
      </c>
      <c r="K448" s="195">
        <v>1.387</v>
      </c>
      <c r="L448" s="195">
        <v>1.383</v>
      </c>
      <c r="M448" s="195">
        <v>1.383</v>
      </c>
      <c r="N448" s="195">
        <v>1.4510000000000001</v>
      </c>
      <c r="O448" s="195">
        <v>1.37</v>
      </c>
      <c r="P448" s="195">
        <v>1.415</v>
      </c>
      <c r="Q448" s="195">
        <v>1.4219999999999999</v>
      </c>
      <c r="R448" s="195">
        <v>1.411</v>
      </c>
      <c r="S448" s="195">
        <v>1.415</v>
      </c>
      <c r="T448" s="195">
        <v>1.4319999999999999</v>
      </c>
      <c r="U448" s="195">
        <v>1.4990000000000001</v>
      </c>
      <c r="V448" s="195">
        <v>1.512</v>
      </c>
      <c r="W448" s="195">
        <v>1.502</v>
      </c>
      <c r="X448" s="195">
        <v>1.5129999999999999</v>
      </c>
      <c r="Y448" s="195">
        <v>1.52</v>
      </c>
      <c r="Z448" s="195">
        <v>1.544</v>
      </c>
    </row>
    <row r="449" spans="1:26">
      <c r="A449" s="195" t="s">
        <v>312</v>
      </c>
      <c r="B449" s="195" t="s">
        <v>285</v>
      </c>
      <c r="C449" s="195">
        <v>1.319</v>
      </c>
      <c r="D449" s="195">
        <v>1.2989999999999999</v>
      </c>
      <c r="E449" s="195">
        <v>1.2589999999999999</v>
      </c>
      <c r="F449" s="195">
        <v>1.2270000000000001</v>
      </c>
      <c r="G449" s="195">
        <v>1.2470000000000001</v>
      </c>
      <c r="H449" s="195">
        <v>1.2470000000000001</v>
      </c>
      <c r="I449" s="195">
        <v>1.2589999999999999</v>
      </c>
      <c r="J449" s="195">
        <v>1.2470000000000001</v>
      </c>
      <c r="K449" s="195">
        <v>1.264</v>
      </c>
      <c r="L449" s="195">
        <v>1.266</v>
      </c>
      <c r="M449" s="195">
        <v>1.266</v>
      </c>
      <c r="N449" s="195">
        <v>1.284</v>
      </c>
      <c r="O449" s="195">
        <v>1.2829999999999999</v>
      </c>
      <c r="P449" s="195">
        <v>1.296</v>
      </c>
      <c r="Q449" s="195">
        <v>1.302</v>
      </c>
      <c r="R449" s="195">
        <v>1.3049999999999999</v>
      </c>
      <c r="S449" s="195">
        <v>1.325</v>
      </c>
      <c r="T449" s="195">
        <v>1.331</v>
      </c>
      <c r="U449" s="195">
        <v>1.341</v>
      </c>
      <c r="V449" s="195">
        <v>1.355</v>
      </c>
      <c r="W449" s="195">
        <v>1.3660000000000001</v>
      </c>
      <c r="X449" s="195">
        <v>1.383</v>
      </c>
      <c r="Y449" s="195">
        <v>1.367</v>
      </c>
      <c r="Z449" s="195">
        <v>1.383</v>
      </c>
    </row>
    <row r="450" spans="1:26">
      <c r="A450" s="195" t="s">
        <v>313</v>
      </c>
    </row>
    <row r="451" spans="1:26">
      <c r="A451" s="195" t="s">
        <v>303</v>
      </c>
      <c r="B451" s="195" t="s">
        <v>285</v>
      </c>
      <c r="C451" s="195">
        <v>1.2949999999999999</v>
      </c>
      <c r="D451" s="195">
        <v>1.264</v>
      </c>
      <c r="E451" s="195">
        <v>1.2230000000000001</v>
      </c>
      <c r="F451" s="195">
        <v>1.1759999999999999</v>
      </c>
      <c r="G451" s="195">
        <v>1.1739999999999999</v>
      </c>
      <c r="H451" s="195">
        <v>1.1830000000000001</v>
      </c>
      <c r="I451" s="195">
        <v>1.1659999999999999</v>
      </c>
      <c r="J451" s="195">
        <v>1.1659999999999999</v>
      </c>
      <c r="K451" s="195">
        <v>1.163</v>
      </c>
      <c r="L451" s="195">
        <v>1.1930000000000001</v>
      </c>
      <c r="M451" s="195">
        <v>1.1839999999999999</v>
      </c>
      <c r="N451" s="195">
        <v>1.2150000000000001</v>
      </c>
      <c r="O451" s="195">
        <v>1.2270000000000001</v>
      </c>
      <c r="P451" s="195">
        <v>1.2370000000000001</v>
      </c>
      <c r="Q451" s="195">
        <v>1.2470000000000001</v>
      </c>
      <c r="R451" s="195">
        <v>1.268</v>
      </c>
      <c r="S451" s="195">
        <v>1.278</v>
      </c>
      <c r="T451" s="195">
        <v>1.2889999999999999</v>
      </c>
      <c r="U451" s="195">
        <v>1.3029999999999999</v>
      </c>
      <c r="V451" s="195">
        <v>1.3080000000000001</v>
      </c>
      <c r="W451" s="195">
        <v>1.3120000000000001</v>
      </c>
      <c r="X451" s="195">
        <v>1.3169999999999999</v>
      </c>
      <c r="Y451" s="195">
        <v>1.32</v>
      </c>
      <c r="Z451" s="195">
        <v>1.333</v>
      </c>
    </row>
    <row r="452" spans="1:26">
      <c r="A452" s="195" t="s">
        <v>304</v>
      </c>
      <c r="B452" s="195" t="s">
        <v>285</v>
      </c>
      <c r="C452" s="195">
        <v>1.3480000000000001</v>
      </c>
      <c r="D452" s="195">
        <v>1.3149999999999999</v>
      </c>
      <c r="E452" s="195">
        <v>1.272</v>
      </c>
      <c r="F452" s="195">
        <v>1.2230000000000001</v>
      </c>
      <c r="G452" s="195">
        <v>1.2210000000000001</v>
      </c>
      <c r="H452" s="195">
        <v>1.2310000000000001</v>
      </c>
      <c r="I452" s="195">
        <v>1.2130000000000001</v>
      </c>
      <c r="J452" s="195">
        <v>1.2130000000000001</v>
      </c>
      <c r="K452" s="195">
        <v>1.21</v>
      </c>
      <c r="L452" s="195">
        <v>1.24</v>
      </c>
      <c r="M452" s="195">
        <v>1.2310000000000001</v>
      </c>
      <c r="N452" s="195">
        <v>1.2649999999999999</v>
      </c>
      <c r="O452" s="195">
        <v>1.2769999999999999</v>
      </c>
      <c r="P452" s="195">
        <v>1.288</v>
      </c>
      <c r="Q452" s="195">
        <v>1.298</v>
      </c>
      <c r="R452" s="195">
        <v>1.32</v>
      </c>
      <c r="S452" s="195">
        <v>1.33</v>
      </c>
      <c r="T452" s="195">
        <v>1.343</v>
      </c>
      <c r="U452" s="195">
        <v>1.357</v>
      </c>
      <c r="V452" s="195">
        <v>1.3620000000000001</v>
      </c>
      <c r="W452" s="195">
        <v>1.3660000000000001</v>
      </c>
      <c r="X452" s="195">
        <v>1.373</v>
      </c>
      <c r="Y452" s="195">
        <v>1.3740000000000001</v>
      </c>
      <c r="Z452" s="195">
        <v>1.389</v>
      </c>
    </row>
    <row r="453" spans="1:26">
      <c r="A453" s="195" t="s">
        <v>305</v>
      </c>
      <c r="B453" s="195" t="s">
        <v>285</v>
      </c>
      <c r="C453" s="195">
        <v>1.264</v>
      </c>
      <c r="D453" s="195">
        <v>1.228</v>
      </c>
      <c r="E453" s="195">
        <v>1.1759999999999999</v>
      </c>
      <c r="F453" s="195">
        <v>1.133</v>
      </c>
      <c r="G453" s="195">
        <v>1.1339999999999999</v>
      </c>
      <c r="H453" s="195">
        <v>1.1519999999999999</v>
      </c>
      <c r="I453" s="195">
        <v>1.1180000000000001</v>
      </c>
      <c r="J453" s="195">
        <v>1.1339999999999999</v>
      </c>
      <c r="K453" s="195">
        <v>1.1399999999999999</v>
      </c>
      <c r="L453" s="195">
        <v>1.149</v>
      </c>
      <c r="M453" s="195">
        <v>1.161</v>
      </c>
      <c r="N453" s="195">
        <v>1.19</v>
      </c>
      <c r="O453" s="195">
        <v>1.1839999999999999</v>
      </c>
      <c r="P453" s="195">
        <v>1.2030000000000001</v>
      </c>
      <c r="Q453" s="195">
        <v>1.2110000000000001</v>
      </c>
      <c r="R453" s="195">
        <v>1.24</v>
      </c>
      <c r="S453" s="195">
        <v>1.246</v>
      </c>
      <c r="T453" s="195">
        <v>1.246</v>
      </c>
      <c r="U453" s="195">
        <v>1.254</v>
      </c>
      <c r="V453" s="195">
        <v>1.256</v>
      </c>
      <c r="W453" s="195">
        <v>1.252</v>
      </c>
      <c r="X453" s="195">
        <v>1.254</v>
      </c>
      <c r="Y453" s="195">
        <v>1.2290000000000001</v>
      </c>
      <c r="Z453" s="195">
        <v>1.2390000000000001</v>
      </c>
    </row>
    <row r="454" spans="1:26">
      <c r="A454" s="195" t="s">
        <v>306</v>
      </c>
      <c r="B454" s="195" t="s">
        <v>285</v>
      </c>
      <c r="C454" s="195">
        <v>1.19</v>
      </c>
      <c r="D454" s="195">
        <v>1.157</v>
      </c>
      <c r="E454" s="195">
        <v>1.107</v>
      </c>
      <c r="F454" s="195">
        <v>1.0669999999999999</v>
      </c>
      <c r="G454" s="195">
        <v>1.0680000000000001</v>
      </c>
      <c r="H454" s="195">
        <v>1.0840000000000001</v>
      </c>
      <c r="I454" s="195">
        <v>1.0529999999999999</v>
      </c>
      <c r="J454" s="195">
        <v>1.0680000000000001</v>
      </c>
      <c r="K454" s="195">
        <v>1.073</v>
      </c>
      <c r="L454" s="195">
        <v>1.0820000000000001</v>
      </c>
      <c r="M454" s="195">
        <v>1.093</v>
      </c>
      <c r="N454" s="195">
        <v>1.121</v>
      </c>
      <c r="O454" s="195">
        <v>1.115</v>
      </c>
      <c r="P454" s="195">
        <v>1.1339999999999999</v>
      </c>
      <c r="Q454" s="195">
        <v>1.1399999999999999</v>
      </c>
      <c r="R454" s="195">
        <v>1.1439999999999999</v>
      </c>
      <c r="S454" s="195">
        <v>1.153</v>
      </c>
      <c r="T454" s="195">
        <v>1.1479999999999999</v>
      </c>
      <c r="U454" s="195">
        <v>1.151</v>
      </c>
      <c r="V454" s="195">
        <v>1.157</v>
      </c>
      <c r="W454" s="195">
        <v>1.161</v>
      </c>
      <c r="X454" s="195">
        <v>1.1659999999999999</v>
      </c>
      <c r="Y454" s="195">
        <v>1.1519999999999999</v>
      </c>
      <c r="Z454" s="195">
        <v>1.1579999999999999</v>
      </c>
    </row>
    <row r="455" spans="1:26">
      <c r="A455" s="195" t="s">
        <v>307</v>
      </c>
      <c r="B455" s="195" t="s">
        <v>285</v>
      </c>
      <c r="C455" s="195">
        <v>1.333</v>
      </c>
      <c r="D455" s="195">
        <v>1.3029999999999999</v>
      </c>
      <c r="E455" s="195">
        <v>1.248</v>
      </c>
      <c r="F455" s="195">
        <v>1.2070000000000001</v>
      </c>
      <c r="G455" s="195">
        <v>1.1990000000000001</v>
      </c>
      <c r="H455" s="195">
        <v>1.22</v>
      </c>
      <c r="I455" s="195">
        <v>1.177</v>
      </c>
      <c r="J455" s="195">
        <v>1.19</v>
      </c>
      <c r="K455" s="195">
        <v>1.198</v>
      </c>
      <c r="L455" s="195">
        <v>1.23</v>
      </c>
      <c r="M455" s="195">
        <v>1.2190000000000001</v>
      </c>
      <c r="N455" s="195">
        <v>1.2549999999999999</v>
      </c>
      <c r="O455" s="195">
        <v>1.264</v>
      </c>
      <c r="P455" s="195">
        <v>1.2769999999999999</v>
      </c>
      <c r="Q455" s="195">
        <v>1.288</v>
      </c>
      <c r="R455" s="195">
        <v>1.3120000000000001</v>
      </c>
      <c r="S455" s="195">
        <v>1.32</v>
      </c>
      <c r="T455" s="195">
        <v>1.3320000000000001</v>
      </c>
      <c r="U455" s="195">
        <v>1.3460000000000001</v>
      </c>
      <c r="V455" s="195">
        <v>1.351</v>
      </c>
      <c r="W455" s="195">
        <v>1.359</v>
      </c>
      <c r="X455" s="195">
        <v>1.367</v>
      </c>
      <c r="Y455" s="195">
        <v>1.375</v>
      </c>
      <c r="Z455" s="195">
        <v>1.39</v>
      </c>
    </row>
    <row r="456" spans="1:26">
      <c r="A456" s="195" t="s">
        <v>308</v>
      </c>
      <c r="B456" s="195" t="s">
        <v>285</v>
      </c>
      <c r="C456" s="195">
        <v>1.216</v>
      </c>
      <c r="D456" s="195">
        <v>1.1830000000000001</v>
      </c>
      <c r="E456" s="195">
        <v>1.133</v>
      </c>
      <c r="F456" s="195">
        <v>1.095</v>
      </c>
      <c r="G456" s="195">
        <v>1.0880000000000001</v>
      </c>
      <c r="H456" s="195">
        <v>1.107</v>
      </c>
      <c r="I456" s="195">
        <v>1.0680000000000001</v>
      </c>
      <c r="J456" s="195">
        <v>1.081</v>
      </c>
      <c r="K456" s="195">
        <v>1.087</v>
      </c>
      <c r="L456" s="195">
        <v>1.1160000000000001</v>
      </c>
      <c r="M456" s="195">
        <v>1.107</v>
      </c>
      <c r="N456" s="195">
        <v>1.1379999999999999</v>
      </c>
      <c r="O456" s="195">
        <v>1.1459999999999999</v>
      </c>
      <c r="P456" s="195">
        <v>1.155</v>
      </c>
      <c r="Q456" s="195">
        <v>1.1659999999999999</v>
      </c>
      <c r="R456" s="195">
        <v>1.1890000000000001</v>
      </c>
      <c r="S456" s="195">
        <v>1.1970000000000001</v>
      </c>
      <c r="T456" s="195">
        <v>1.208</v>
      </c>
      <c r="U456" s="195">
        <v>1.218</v>
      </c>
      <c r="V456" s="195">
        <v>1.22</v>
      </c>
      <c r="W456" s="195">
        <v>1.2170000000000001</v>
      </c>
      <c r="X456" s="195">
        <v>1.22</v>
      </c>
      <c r="Y456" s="195">
        <v>1.2090000000000001</v>
      </c>
      <c r="Z456" s="195">
        <v>1.2210000000000001</v>
      </c>
    </row>
    <row r="457" spans="1:26">
      <c r="A457" s="195" t="s">
        <v>309</v>
      </c>
      <c r="B457" s="195" t="s">
        <v>285</v>
      </c>
      <c r="C457" s="195">
        <v>1.107</v>
      </c>
      <c r="D457" s="195">
        <v>1.0760000000000001</v>
      </c>
      <c r="E457" s="195">
        <v>1.0289999999999999</v>
      </c>
      <c r="F457" s="195">
        <v>0.995</v>
      </c>
      <c r="G457" s="195">
        <v>0.98899999999999999</v>
      </c>
      <c r="H457" s="195">
        <v>1.006</v>
      </c>
      <c r="I457" s="195">
        <v>0.96799999999999997</v>
      </c>
      <c r="J457" s="195">
        <v>0.98099999999999998</v>
      </c>
      <c r="K457" s="195">
        <v>0.98599999999999999</v>
      </c>
      <c r="L457" s="195">
        <v>1.014</v>
      </c>
      <c r="M457" s="195">
        <v>1.0049999999999999</v>
      </c>
      <c r="N457" s="195">
        <v>1.034</v>
      </c>
      <c r="O457" s="195">
        <v>1.0409999999999999</v>
      </c>
      <c r="P457" s="195">
        <v>1.0509999999999999</v>
      </c>
      <c r="Q457" s="195">
        <v>1.06</v>
      </c>
      <c r="R457" s="195">
        <v>1.08</v>
      </c>
      <c r="S457" s="195">
        <v>1.087</v>
      </c>
      <c r="T457" s="195">
        <v>1.0980000000000001</v>
      </c>
      <c r="U457" s="195">
        <v>1.109</v>
      </c>
      <c r="V457" s="195">
        <v>1.113</v>
      </c>
      <c r="W457" s="195">
        <v>1.1180000000000001</v>
      </c>
      <c r="X457" s="195">
        <v>1.125</v>
      </c>
      <c r="Y457" s="195">
        <v>1.1339999999999999</v>
      </c>
      <c r="Z457" s="195">
        <v>1.145</v>
      </c>
    </row>
    <row r="458" spans="1:26">
      <c r="A458" s="195" t="s">
        <v>310</v>
      </c>
      <c r="B458" s="195" t="s">
        <v>285</v>
      </c>
      <c r="C458" s="195">
        <v>1.2929999999999999</v>
      </c>
      <c r="D458" s="195">
        <v>1.2689999999999999</v>
      </c>
      <c r="E458" s="195">
        <v>1.226</v>
      </c>
      <c r="F458" s="195">
        <v>1.165</v>
      </c>
      <c r="G458" s="195">
        <v>1.194</v>
      </c>
      <c r="H458" s="195">
        <v>1.175</v>
      </c>
      <c r="I458" s="195">
        <v>1.1319999999999999</v>
      </c>
      <c r="J458" s="195">
        <v>1.1240000000000001</v>
      </c>
      <c r="K458" s="195">
        <v>1.1499999999999999</v>
      </c>
      <c r="L458" s="195">
        <v>1.157</v>
      </c>
      <c r="M458" s="195">
        <v>1.147</v>
      </c>
      <c r="N458" s="195">
        <v>1.1739999999999999</v>
      </c>
      <c r="O458" s="195">
        <v>1.1679999999999999</v>
      </c>
      <c r="P458" s="195">
        <v>1.1870000000000001</v>
      </c>
      <c r="Q458" s="195">
        <v>1.1930000000000001</v>
      </c>
      <c r="R458" s="195">
        <v>1.1970000000000001</v>
      </c>
      <c r="S458" s="195">
        <v>1.206</v>
      </c>
      <c r="T458" s="195">
        <v>1.2010000000000001</v>
      </c>
      <c r="U458" s="195">
        <v>1.204</v>
      </c>
      <c r="V458" s="195">
        <v>1.21</v>
      </c>
      <c r="W458" s="195">
        <v>1.214</v>
      </c>
      <c r="X458" s="195">
        <v>1.2190000000000001</v>
      </c>
      <c r="Y458" s="195">
        <v>1.206</v>
      </c>
      <c r="Z458" s="195">
        <v>1.2110000000000001</v>
      </c>
    </row>
    <row r="459" spans="1:26">
      <c r="A459" s="195" t="s">
        <v>311</v>
      </c>
      <c r="B459" s="195" t="s">
        <v>285</v>
      </c>
      <c r="C459" s="195">
        <v>1.3620000000000001</v>
      </c>
      <c r="D459" s="195">
        <v>1.321</v>
      </c>
      <c r="E459" s="195">
        <v>1.2689999999999999</v>
      </c>
      <c r="F459" s="195">
        <v>1.246</v>
      </c>
      <c r="G459" s="195">
        <v>1.2549999999999999</v>
      </c>
      <c r="H459" s="195">
        <v>1.2649999999999999</v>
      </c>
      <c r="I459" s="195">
        <v>1.2430000000000001</v>
      </c>
      <c r="J459" s="195">
        <v>1.2430000000000001</v>
      </c>
      <c r="K459" s="195">
        <v>1.2689999999999999</v>
      </c>
      <c r="L459" s="195">
        <v>1.27</v>
      </c>
      <c r="M459" s="195">
        <v>1.2769999999999999</v>
      </c>
      <c r="N459" s="195">
        <v>1.2929999999999999</v>
      </c>
      <c r="O459" s="195">
        <v>1.304</v>
      </c>
      <c r="P459" s="195">
        <v>1.3320000000000001</v>
      </c>
      <c r="Q459" s="195">
        <v>1.3440000000000001</v>
      </c>
      <c r="R459" s="195">
        <v>1.365</v>
      </c>
      <c r="S459" s="195">
        <v>1.3819999999999999</v>
      </c>
      <c r="T459" s="195">
        <v>1.389</v>
      </c>
      <c r="U459" s="195">
        <v>1.4219999999999999</v>
      </c>
      <c r="V459" s="195">
        <v>1.427</v>
      </c>
      <c r="W459" s="195">
        <v>1.45</v>
      </c>
      <c r="X459" s="195">
        <v>1.4710000000000001</v>
      </c>
      <c r="Y459" s="195">
        <v>1.484</v>
      </c>
      <c r="Z459" s="195">
        <v>1.486</v>
      </c>
    </row>
    <row r="460" spans="1:26">
      <c r="A460" s="195" t="s">
        <v>312</v>
      </c>
      <c r="B460" s="195" t="s">
        <v>285</v>
      </c>
      <c r="C460" s="195">
        <v>1.319</v>
      </c>
      <c r="D460" s="195">
        <v>1.286</v>
      </c>
      <c r="E460" s="195">
        <v>1.242</v>
      </c>
      <c r="F460" s="195">
        <v>1.196</v>
      </c>
      <c r="G460" s="195">
        <v>1.194</v>
      </c>
      <c r="H460" s="195">
        <v>1.2050000000000001</v>
      </c>
      <c r="I460" s="195">
        <v>1.1839999999999999</v>
      </c>
      <c r="J460" s="195">
        <v>1.1859999999999999</v>
      </c>
      <c r="K460" s="195">
        <v>1.1859999999999999</v>
      </c>
      <c r="L460" s="195">
        <v>1.2130000000000001</v>
      </c>
      <c r="M460" s="195">
        <v>1.206</v>
      </c>
      <c r="N460" s="195">
        <v>1.238</v>
      </c>
      <c r="O460" s="195">
        <v>1.248</v>
      </c>
      <c r="P460" s="195">
        <v>1.26</v>
      </c>
      <c r="Q460" s="195">
        <v>1.27</v>
      </c>
      <c r="R460" s="195">
        <v>1.2909999999999999</v>
      </c>
      <c r="S460" s="195">
        <v>1.3009999999999999</v>
      </c>
      <c r="T460" s="195">
        <v>1.3120000000000001</v>
      </c>
      <c r="U460" s="195">
        <v>1.3260000000000001</v>
      </c>
      <c r="V460" s="195">
        <v>1.33</v>
      </c>
      <c r="W460" s="195">
        <v>1.335</v>
      </c>
      <c r="X460" s="195">
        <v>1.341</v>
      </c>
      <c r="Y460" s="195">
        <v>1.3420000000000001</v>
      </c>
      <c r="Z460" s="195">
        <v>1.355</v>
      </c>
    </row>
    <row r="461" spans="1:26">
      <c r="A461" s="195" t="s">
        <v>314</v>
      </c>
    </row>
    <row r="462" spans="1:26">
      <c r="A462" s="195" t="s">
        <v>303</v>
      </c>
      <c r="B462" s="195" t="s">
        <v>285</v>
      </c>
      <c r="C462" s="195">
        <v>1.0880000000000001</v>
      </c>
      <c r="D462" s="195">
        <v>1.0609999999999999</v>
      </c>
      <c r="E462" s="195">
        <v>1.022</v>
      </c>
      <c r="F462" s="195">
        <v>0.99399999999999999</v>
      </c>
      <c r="G462" s="195">
        <v>1.0109999999999999</v>
      </c>
      <c r="H462" s="195">
        <v>1.0129999999999999</v>
      </c>
      <c r="I462" s="195">
        <v>1.0109999999999999</v>
      </c>
      <c r="J462" s="195">
        <v>1.004</v>
      </c>
      <c r="K462" s="195">
        <v>1.0129999999999999</v>
      </c>
      <c r="L462" s="195">
        <v>1.0289999999999999</v>
      </c>
      <c r="M462" s="195">
        <v>1.0249999999999999</v>
      </c>
      <c r="N462" s="195">
        <v>1.044</v>
      </c>
      <c r="O462" s="195">
        <v>1.054</v>
      </c>
      <c r="P462" s="195">
        <v>1.0649999999999999</v>
      </c>
      <c r="Q462" s="195">
        <v>1.0620000000000001</v>
      </c>
      <c r="R462" s="195">
        <v>1.073</v>
      </c>
      <c r="S462" s="195">
        <v>1.101</v>
      </c>
      <c r="T462" s="195">
        <v>1.109</v>
      </c>
      <c r="U462" s="195">
        <v>1.1100000000000001</v>
      </c>
      <c r="V462" s="195">
        <v>1.129</v>
      </c>
      <c r="W462" s="195">
        <v>1.1399999999999999</v>
      </c>
      <c r="X462" s="195">
        <v>1.1519999999999999</v>
      </c>
      <c r="Y462" s="195">
        <v>1.1439999999999999</v>
      </c>
      <c r="Z462" s="195">
        <v>1.157</v>
      </c>
    </row>
    <row r="463" spans="1:26">
      <c r="A463" s="195" t="s">
        <v>304</v>
      </c>
      <c r="B463" s="195" t="s">
        <v>285</v>
      </c>
      <c r="C463" s="195">
        <v>1.0489999999999999</v>
      </c>
      <c r="D463" s="195">
        <v>1.024</v>
      </c>
      <c r="E463" s="195">
        <v>0.98599999999999999</v>
      </c>
      <c r="F463" s="195">
        <v>0.95799999999999996</v>
      </c>
      <c r="G463" s="195">
        <v>0.97499999999999998</v>
      </c>
      <c r="H463" s="195">
        <v>0.97699999999999998</v>
      </c>
      <c r="I463" s="195">
        <v>0.97499999999999998</v>
      </c>
      <c r="J463" s="195">
        <v>0.96799999999999997</v>
      </c>
      <c r="K463" s="195">
        <v>0.97699999999999998</v>
      </c>
      <c r="L463" s="195">
        <v>0.99299999999999999</v>
      </c>
      <c r="M463" s="195">
        <v>0.98899999999999999</v>
      </c>
      <c r="N463" s="195">
        <v>1.008</v>
      </c>
      <c r="O463" s="195">
        <v>1.0169999999999999</v>
      </c>
      <c r="P463" s="195">
        <v>1.0269999999999999</v>
      </c>
      <c r="Q463" s="195">
        <v>1.0249999999999999</v>
      </c>
      <c r="R463" s="195">
        <v>1.0349999999999999</v>
      </c>
      <c r="S463" s="195">
        <v>1.0620000000000001</v>
      </c>
      <c r="T463" s="195">
        <v>1.07</v>
      </c>
      <c r="U463" s="195">
        <v>1.071</v>
      </c>
      <c r="V463" s="195">
        <v>1.089</v>
      </c>
      <c r="W463" s="195">
        <v>1.1000000000000001</v>
      </c>
      <c r="X463" s="195">
        <v>1.1120000000000001</v>
      </c>
      <c r="Y463" s="195">
        <v>1.105</v>
      </c>
      <c r="Z463" s="195">
        <v>1.117</v>
      </c>
    </row>
    <row r="464" spans="1:26">
      <c r="A464" s="195" t="s">
        <v>305</v>
      </c>
      <c r="B464" s="195" t="s">
        <v>285</v>
      </c>
      <c r="C464" s="195">
        <v>1.002</v>
      </c>
      <c r="D464" s="195">
        <v>0.97199999999999998</v>
      </c>
      <c r="E464" s="195">
        <v>0.93200000000000005</v>
      </c>
      <c r="F464" s="195">
        <v>0.90600000000000003</v>
      </c>
      <c r="G464" s="195">
        <v>0.92500000000000004</v>
      </c>
      <c r="H464" s="195">
        <v>0.92900000000000005</v>
      </c>
      <c r="I464" s="195">
        <v>0.92100000000000004</v>
      </c>
      <c r="J464" s="195">
        <v>0.92200000000000004</v>
      </c>
      <c r="K464" s="195">
        <v>0.93200000000000005</v>
      </c>
      <c r="L464" s="195">
        <v>0.93899999999999995</v>
      </c>
      <c r="M464" s="195">
        <v>0.94399999999999995</v>
      </c>
      <c r="N464" s="195">
        <v>0.96099999999999997</v>
      </c>
      <c r="O464" s="195">
        <v>0.96399999999999997</v>
      </c>
      <c r="P464" s="195">
        <v>0.97799999999999998</v>
      </c>
      <c r="Q464" s="195">
        <v>0.98399999999999999</v>
      </c>
      <c r="R464" s="195">
        <v>0.998</v>
      </c>
      <c r="S464" s="195">
        <v>1.0109999999999999</v>
      </c>
      <c r="T464" s="195">
        <v>1.014</v>
      </c>
      <c r="U464" s="195">
        <v>1.014</v>
      </c>
      <c r="V464" s="195">
        <v>1.022</v>
      </c>
      <c r="W464" s="195">
        <v>1.0269999999999999</v>
      </c>
      <c r="X464" s="195">
        <v>1.038</v>
      </c>
      <c r="Y464" s="195">
        <v>1.014</v>
      </c>
      <c r="Z464" s="195">
        <v>1.024</v>
      </c>
    </row>
    <row r="465" spans="1:26">
      <c r="A465" s="195" t="s">
        <v>306</v>
      </c>
      <c r="B465" s="195" t="s">
        <v>285</v>
      </c>
      <c r="C465" s="195">
        <v>0.98099999999999998</v>
      </c>
      <c r="D465" s="195">
        <v>0.95399999999999996</v>
      </c>
      <c r="E465" s="195">
        <v>0.91400000000000003</v>
      </c>
      <c r="F465" s="195">
        <v>0.88900000000000001</v>
      </c>
      <c r="G465" s="195">
        <v>0.90700000000000003</v>
      </c>
      <c r="H465" s="195">
        <v>0.91200000000000003</v>
      </c>
      <c r="I465" s="195">
        <v>0.90300000000000002</v>
      </c>
      <c r="J465" s="195">
        <v>0.90400000000000003</v>
      </c>
      <c r="K465" s="195">
        <v>0.91400000000000003</v>
      </c>
      <c r="L465" s="195">
        <v>0.92100000000000004</v>
      </c>
      <c r="M465" s="195">
        <v>0.92500000000000004</v>
      </c>
      <c r="N465" s="195">
        <v>0.94199999999999995</v>
      </c>
      <c r="O465" s="195">
        <v>0.94599999999999995</v>
      </c>
      <c r="P465" s="195">
        <v>0.95899999999999996</v>
      </c>
      <c r="Q465" s="195">
        <v>0.96499999999999997</v>
      </c>
      <c r="R465" s="195">
        <v>0.96699999999999997</v>
      </c>
      <c r="S465" s="195">
        <v>0.98099999999999998</v>
      </c>
      <c r="T465" s="195">
        <v>0.98399999999999999</v>
      </c>
      <c r="U465" s="195">
        <v>0.98199999999999998</v>
      </c>
      <c r="V465" s="195">
        <v>0.99299999999999999</v>
      </c>
      <c r="W465" s="195">
        <v>1.0029999999999999</v>
      </c>
      <c r="X465" s="195">
        <v>1.0109999999999999</v>
      </c>
      <c r="Y465" s="195">
        <v>0.99299999999999999</v>
      </c>
      <c r="Z465" s="195">
        <v>1.002</v>
      </c>
    </row>
    <row r="466" spans="1:26">
      <c r="A466" s="195" t="s">
        <v>307</v>
      </c>
      <c r="B466" s="195" t="s">
        <v>285</v>
      </c>
      <c r="C466" s="195">
        <v>0.99299999999999999</v>
      </c>
      <c r="D466" s="195">
        <v>0.96899999999999997</v>
      </c>
      <c r="E466" s="195">
        <v>0.92800000000000005</v>
      </c>
      <c r="F466" s="195">
        <v>0.90500000000000003</v>
      </c>
      <c r="G466" s="195">
        <v>0.92</v>
      </c>
      <c r="H466" s="195">
        <v>0.92500000000000004</v>
      </c>
      <c r="I466" s="195">
        <v>0.91300000000000003</v>
      </c>
      <c r="J466" s="195">
        <v>0.91300000000000003</v>
      </c>
      <c r="K466" s="195">
        <v>0.92400000000000004</v>
      </c>
      <c r="L466" s="195">
        <v>0.94</v>
      </c>
      <c r="M466" s="195">
        <v>0.93600000000000005</v>
      </c>
      <c r="N466" s="195">
        <v>0.95399999999999996</v>
      </c>
      <c r="O466" s="195">
        <v>0.96299999999999997</v>
      </c>
      <c r="P466" s="195">
        <v>0.97199999999999998</v>
      </c>
      <c r="Q466" s="195">
        <v>0.98</v>
      </c>
      <c r="R466" s="195">
        <v>0.99199999999999999</v>
      </c>
      <c r="S466" s="195">
        <v>1.006</v>
      </c>
      <c r="T466" s="195">
        <v>1.014</v>
      </c>
      <c r="U466" s="195">
        <v>1.0229999999999999</v>
      </c>
      <c r="V466" s="195">
        <v>1.032</v>
      </c>
      <c r="W466" s="195">
        <v>1.042</v>
      </c>
      <c r="X466" s="195">
        <v>1.0549999999999999</v>
      </c>
      <c r="Y466" s="195">
        <v>1.0509999999999999</v>
      </c>
      <c r="Z466" s="195">
        <v>1.0640000000000001</v>
      </c>
    </row>
    <row r="467" spans="1:26">
      <c r="A467" s="195" t="s">
        <v>308</v>
      </c>
      <c r="B467" s="195" t="s">
        <v>285</v>
      </c>
      <c r="C467" s="195">
        <v>0.97399999999999998</v>
      </c>
      <c r="D467" s="195">
        <v>0.94399999999999995</v>
      </c>
      <c r="E467" s="195">
        <v>0.90300000000000002</v>
      </c>
      <c r="F467" s="195">
        <v>0.88100000000000001</v>
      </c>
      <c r="G467" s="195">
        <v>0.89600000000000002</v>
      </c>
      <c r="H467" s="195">
        <v>0.9</v>
      </c>
      <c r="I467" s="195">
        <v>0.88900000000000001</v>
      </c>
      <c r="J467" s="195">
        <v>0.88900000000000001</v>
      </c>
      <c r="K467" s="195">
        <v>0.9</v>
      </c>
      <c r="L467" s="195">
        <v>0.91500000000000004</v>
      </c>
      <c r="M467" s="195">
        <v>0.91100000000000003</v>
      </c>
      <c r="N467" s="195">
        <v>0.92800000000000005</v>
      </c>
      <c r="O467" s="195">
        <v>0.93700000000000006</v>
      </c>
      <c r="P467" s="195">
        <v>0.94599999999999995</v>
      </c>
      <c r="Q467" s="195">
        <v>0.95299999999999996</v>
      </c>
      <c r="R467" s="195">
        <v>0.96499999999999997</v>
      </c>
      <c r="S467" s="195">
        <v>0.97899999999999998</v>
      </c>
      <c r="T467" s="195">
        <v>0.98599999999999999</v>
      </c>
      <c r="U467" s="195">
        <v>0.995</v>
      </c>
      <c r="V467" s="195">
        <v>1.0029999999999999</v>
      </c>
      <c r="W467" s="195">
        <v>1.008</v>
      </c>
      <c r="X467" s="195">
        <v>1.02</v>
      </c>
      <c r="Y467" s="195">
        <v>1.008</v>
      </c>
      <c r="Z467" s="195">
        <v>1.0189999999999999</v>
      </c>
    </row>
    <row r="468" spans="1:26">
      <c r="A468" s="195" t="s">
        <v>309</v>
      </c>
      <c r="B468" s="195" t="s">
        <v>285</v>
      </c>
      <c r="C468" s="195">
        <v>0.96</v>
      </c>
      <c r="D468" s="195">
        <v>0.93</v>
      </c>
      <c r="E468" s="195">
        <v>0.89</v>
      </c>
      <c r="F468" s="195">
        <v>0.86699999999999999</v>
      </c>
      <c r="G468" s="195">
        <v>0.88200000000000001</v>
      </c>
      <c r="H468" s="195">
        <v>0.88700000000000001</v>
      </c>
      <c r="I468" s="195">
        <v>0.875</v>
      </c>
      <c r="J468" s="195">
        <v>0.875</v>
      </c>
      <c r="K468" s="195">
        <v>0.88600000000000001</v>
      </c>
      <c r="L468" s="195">
        <v>0.90100000000000002</v>
      </c>
      <c r="M468" s="195">
        <v>0.89700000000000002</v>
      </c>
      <c r="N468" s="195">
        <v>0.91500000000000004</v>
      </c>
      <c r="O468" s="195">
        <v>0.92400000000000004</v>
      </c>
      <c r="P468" s="195">
        <v>0.93200000000000005</v>
      </c>
      <c r="Q468" s="195">
        <v>0.94</v>
      </c>
      <c r="R468" s="195">
        <v>0.95099999999999996</v>
      </c>
      <c r="S468" s="195">
        <v>0.96499999999999997</v>
      </c>
      <c r="T468" s="195">
        <v>0.97299999999999998</v>
      </c>
      <c r="U468" s="195">
        <v>0.98099999999999998</v>
      </c>
      <c r="V468" s="195">
        <v>0.99</v>
      </c>
      <c r="W468" s="195">
        <v>1</v>
      </c>
      <c r="X468" s="195">
        <v>1.012</v>
      </c>
      <c r="Y468" s="195">
        <v>1.0089999999999999</v>
      </c>
      <c r="Z468" s="195">
        <v>1.0209999999999999</v>
      </c>
    </row>
    <row r="469" spans="1:26">
      <c r="A469" s="195" t="s">
        <v>310</v>
      </c>
      <c r="B469" s="195" t="s">
        <v>285</v>
      </c>
      <c r="C469" s="195">
        <v>1.089</v>
      </c>
      <c r="D469" s="195">
        <v>1.0960000000000001</v>
      </c>
      <c r="E469" s="195">
        <v>1.0609999999999999</v>
      </c>
      <c r="F469" s="195">
        <v>0.99299999999999999</v>
      </c>
      <c r="G469" s="195">
        <v>1.0409999999999999</v>
      </c>
      <c r="H469" s="195">
        <v>1.018</v>
      </c>
      <c r="I469" s="195">
        <v>1.0029999999999999</v>
      </c>
      <c r="J469" s="195">
        <v>0.98699999999999999</v>
      </c>
      <c r="K469" s="195">
        <v>1.0269999999999999</v>
      </c>
      <c r="L469" s="195">
        <v>1.0109999999999999</v>
      </c>
      <c r="M469" s="195">
        <v>1.0209999999999999</v>
      </c>
      <c r="N469" s="195">
        <v>1.03</v>
      </c>
      <c r="O469" s="195">
        <v>1.028</v>
      </c>
      <c r="P469" s="195">
        <v>1.038</v>
      </c>
      <c r="Q469" s="195">
        <v>1.0489999999999999</v>
      </c>
      <c r="R469" s="195">
        <v>1.0469999999999999</v>
      </c>
      <c r="S469" s="195">
        <v>1.0649999999999999</v>
      </c>
      <c r="T469" s="195">
        <v>1.06</v>
      </c>
      <c r="U469" s="195">
        <v>1.06</v>
      </c>
      <c r="V469" s="195">
        <v>1.073</v>
      </c>
      <c r="W469" s="195">
        <v>1.08</v>
      </c>
      <c r="X469" s="195">
        <v>1.0900000000000001</v>
      </c>
      <c r="Y469" s="195">
        <v>1.079</v>
      </c>
      <c r="Z469" s="195">
        <v>1.089</v>
      </c>
    </row>
    <row r="470" spans="1:26">
      <c r="A470" s="195" t="s">
        <v>311</v>
      </c>
      <c r="B470" s="195" t="s">
        <v>285</v>
      </c>
      <c r="C470" s="195">
        <v>1.0549999999999999</v>
      </c>
      <c r="D470" s="195">
        <v>1.044</v>
      </c>
      <c r="E470" s="195">
        <v>1.01</v>
      </c>
      <c r="F470" s="195">
        <v>0.999</v>
      </c>
      <c r="G470" s="195">
        <v>1.014</v>
      </c>
      <c r="H470" s="195">
        <v>1.0169999999999999</v>
      </c>
      <c r="I470" s="195">
        <v>1.0229999999999999</v>
      </c>
      <c r="J470" s="195">
        <v>1.0209999999999999</v>
      </c>
      <c r="K470" s="195">
        <v>1.0309999999999999</v>
      </c>
      <c r="L470" s="195">
        <v>1.03</v>
      </c>
      <c r="M470" s="195">
        <v>1.0329999999999999</v>
      </c>
      <c r="N470" s="195">
        <v>1.0740000000000001</v>
      </c>
      <c r="O470" s="195">
        <v>1.038</v>
      </c>
      <c r="P470" s="195">
        <v>1.0720000000000001</v>
      </c>
      <c r="Q470" s="195">
        <v>1.08</v>
      </c>
      <c r="R470" s="195">
        <v>1.0820000000000001</v>
      </c>
      <c r="S470" s="195">
        <v>1.091</v>
      </c>
      <c r="T470" s="195">
        <v>1.1020000000000001</v>
      </c>
      <c r="U470" s="195">
        <v>1.1439999999999999</v>
      </c>
      <c r="V470" s="195">
        <v>1.1559999999999999</v>
      </c>
      <c r="W470" s="195">
        <v>1.1599999999999999</v>
      </c>
      <c r="X470" s="195">
        <v>1.1719999999999999</v>
      </c>
      <c r="Y470" s="195">
        <v>1.1830000000000001</v>
      </c>
      <c r="Z470" s="195">
        <v>1.196</v>
      </c>
    </row>
    <row r="471" spans="1:26">
      <c r="A471" s="195" t="s">
        <v>312</v>
      </c>
      <c r="B471" s="195" t="s">
        <v>285</v>
      </c>
      <c r="C471" s="195">
        <v>1.0289999999999999</v>
      </c>
      <c r="D471" s="195">
        <v>1.0049999999999999</v>
      </c>
      <c r="E471" s="195">
        <v>0.96599999999999997</v>
      </c>
      <c r="F471" s="195">
        <v>0.94</v>
      </c>
      <c r="G471" s="195">
        <v>0.95699999999999996</v>
      </c>
      <c r="H471" s="195">
        <v>0.96</v>
      </c>
      <c r="I471" s="195">
        <v>0.95299999999999996</v>
      </c>
      <c r="J471" s="195">
        <v>0.95</v>
      </c>
      <c r="K471" s="195">
        <v>0.96099999999999997</v>
      </c>
      <c r="L471" s="195">
        <v>0.97199999999999998</v>
      </c>
      <c r="M471" s="195">
        <v>0.97099999999999997</v>
      </c>
      <c r="N471" s="195">
        <v>0.99</v>
      </c>
      <c r="O471" s="195">
        <v>0.99399999999999999</v>
      </c>
      <c r="P471" s="195">
        <v>1.0069999999999999</v>
      </c>
      <c r="Q471" s="195">
        <v>1.01</v>
      </c>
      <c r="R471" s="195">
        <v>1.0189999999999999</v>
      </c>
      <c r="S471" s="195">
        <v>1.038</v>
      </c>
      <c r="T471" s="195">
        <v>1.0449999999999999</v>
      </c>
      <c r="U471" s="195">
        <v>1.0509999999999999</v>
      </c>
      <c r="V471" s="195">
        <v>1.0640000000000001</v>
      </c>
      <c r="W471" s="195">
        <v>1.073</v>
      </c>
      <c r="X471" s="195">
        <v>1.0840000000000001</v>
      </c>
      <c r="Y471" s="195">
        <v>1.0760000000000001</v>
      </c>
      <c r="Z471" s="195">
        <v>1.087</v>
      </c>
    </row>
    <row r="472" spans="1:26">
      <c r="A472" s="195" t="s">
        <v>315</v>
      </c>
    </row>
    <row r="473" spans="1:26">
      <c r="A473" s="195" t="s">
        <v>303</v>
      </c>
      <c r="B473" s="195" t="s">
        <v>285</v>
      </c>
      <c r="C473" s="195">
        <v>1.093</v>
      </c>
      <c r="D473" s="195">
        <v>1.0780000000000001</v>
      </c>
      <c r="E473" s="195">
        <v>1.0329999999999999</v>
      </c>
      <c r="F473" s="195">
        <v>1.0209999999999999</v>
      </c>
      <c r="G473" s="195">
        <v>1.0680000000000001</v>
      </c>
      <c r="H473" s="195">
        <v>1.0649999999999999</v>
      </c>
      <c r="I473" s="195">
        <v>1.0720000000000001</v>
      </c>
      <c r="J473" s="195">
        <v>1.06</v>
      </c>
      <c r="K473" s="195">
        <v>1.0780000000000001</v>
      </c>
      <c r="L473" s="195">
        <v>1.0860000000000001</v>
      </c>
      <c r="M473" s="195">
        <v>1.085</v>
      </c>
      <c r="N473" s="195">
        <v>1.101</v>
      </c>
      <c r="O473" s="195">
        <v>1.1120000000000001</v>
      </c>
      <c r="P473" s="195">
        <v>1.125</v>
      </c>
      <c r="Q473" s="195">
        <v>1.115</v>
      </c>
      <c r="R473" s="195">
        <v>1.1200000000000001</v>
      </c>
      <c r="S473" s="195">
        <v>1.1619999999999999</v>
      </c>
      <c r="T473" s="195">
        <v>1.169</v>
      </c>
      <c r="U473" s="195">
        <v>1.165</v>
      </c>
      <c r="V473" s="195">
        <v>1.1930000000000001</v>
      </c>
      <c r="W473" s="195">
        <v>1.21</v>
      </c>
      <c r="X473" s="195">
        <v>1.2290000000000001</v>
      </c>
      <c r="Y473" s="195">
        <v>1.2130000000000001</v>
      </c>
      <c r="Z473" s="195">
        <v>1.2290000000000001</v>
      </c>
    </row>
    <row r="474" spans="1:26">
      <c r="A474" s="195" t="s">
        <v>304</v>
      </c>
      <c r="B474" s="195" t="s">
        <v>285</v>
      </c>
      <c r="C474" s="195">
        <v>1.0640000000000001</v>
      </c>
      <c r="D474" s="195">
        <v>1.052</v>
      </c>
      <c r="E474" s="195">
        <v>1.0089999999999999</v>
      </c>
      <c r="F474" s="195">
        <v>0.997</v>
      </c>
      <c r="G474" s="195">
        <v>1.0429999999999999</v>
      </c>
      <c r="H474" s="195">
        <v>1.04</v>
      </c>
      <c r="I474" s="195">
        <v>1.0469999999999999</v>
      </c>
      <c r="J474" s="195">
        <v>1.0349999999999999</v>
      </c>
      <c r="K474" s="195">
        <v>1.0529999999999999</v>
      </c>
      <c r="L474" s="195">
        <v>1.0609999999999999</v>
      </c>
      <c r="M474" s="195">
        <v>1.06</v>
      </c>
      <c r="N474" s="195">
        <v>1.075</v>
      </c>
      <c r="O474" s="195">
        <v>1.0860000000000001</v>
      </c>
      <c r="P474" s="195">
        <v>1.099</v>
      </c>
      <c r="Q474" s="195">
        <v>1.089</v>
      </c>
      <c r="R474" s="195">
        <v>1.0940000000000001</v>
      </c>
      <c r="S474" s="195">
        <v>1.135</v>
      </c>
      <c r="T474" s="195">
        <v>1.143</v>
      </c>
      <c r="U474" s="195">
        <v>1.1379999999999999</v>
      </c>
      <c r="V474" s="195">
        <v>1.1659999999999999</v>
      </c>
      <c r="W474" s="195">
        <v>1.1830000000000001</v>
      </c>
      <c r="X474" s="195">
        <v>1.2010000000000001</v>
      </c>
      <c r="Y474" s="195">
        <v>1.1850000000000001</v>
      </c>
      <c r="Z474" s="195">
        <v>1.2010000000000001</v>
      </c>
    </row>
    <row r="475" spans="1:26">
      <c r="A475" s="195" t="s">
        <v>305</v>
      </c>
      <c r="B475" s="195" t="s">
        <v>285</v>
      </c>
      <c r="C475" s="195">
        <v>1.075</v>
      </c>
      <c r="D475" s="195">
        <v>1.052</v>
      </c>
      <c r="E475" s="195">
        <v>1.0089999999999999</v>
      </c>
      <c r="F475" s="195">
        <v>0.99399999999999999</v>
      </c>
      <c r="G475" s="195">
        <v>1.044</v>
      </c>
      <c r="H475" s="195">
        <v>1.042</v>
      </c>
      <c r="I475" s="195">
        <v>1.0469999999999999</v>
      </c>
      <c r="J475" s="195">
        <v>1.0369999999999999</v>
      </c>
      <c r="K475" s="195">
        <v>1.056</v>
      </c>
      <c r="L475" s="195">
        <v>1.0609999999999999</v>
      </c>
      <c r="M475" s="195">
        <v>1.0629999999999999</v>
      </c>
      <c r="N475" s="195">
        <v>1.0780000000000001</v>
      </c>
      <c r="O475" s="195">
        <v>1.0880000000000001</v>
      </c>
      <c r="P475" s="195">
        <v>1.1000000000000001</v>
      </c>
      <c r="Q475" s="195">
        <v>1.1080000000000001</v>
      </c>
      <c r="R475" s="195">
        <v>1.117</v>
      </c>
      <c r="S475" s="195">
        <v>1.137</v>
      </c>
      <c r="T475" s="195">
        <v>1.143</v>
      </c>
      <c r="U475" s="195">
        <v>1.139</v>
      </c>
      <c r="V475" s="195">
        <v>1.151</v>
      </c>
      <c r="W475" s="195">
        <v>1.1659999999999999</v>
      </c>
      <c r="X475" s="195">
        <v>1.1830000000000001</v>
      </c>
      <c r="Y475" s="195">
        <v>1.1539999999999999</v>
      </c>
      <c r="Z475" s="195">
        <v>1.1679999999999999</v>
      </c>
    </row>
    <row r="476" spans="1:26">
      <c r="A476" s="195" t="s">
        <v>306</v>
      </c>
      <c r="B476" s="195" t="s">
        <v>285</v>
      </c>
      <c r="C476" s="195">
        <v>1.0509999999999999</v>
      </c>
      <c r="D476" s="195">
        <v>1.032</v>
      </c>
      <c r="E476" s="195">
        <v>0.99099999999999999</v>
      </c>
      <c r="F476" s="195">
        <v>0.97499999999999998</v>
      </c>
      <c r="G476" s="195">
        <v>1.0249999999999999</v>
      </c>
      <c r="H476" s="195">
        <v>1.022</v>
      </c>
      <c r="I476" s="195">
        <v>1.0269999999999999</v>
      </c>
      <c r="J476" s="195">
        <v>1.018</v>
      </c>
      <c r="K476" s="195">
        <v>1.0349999999999999</v>
      </c>
      <c r="L476" s="195">
        <v>1.0409999999999999</v>
      </c>
      <c r="M476" s="195">
        <v>1.0429999999999999</v>
      </c>
      <c r="N476" s="195">
        <v>1.0569999999999999</v>
      </c>
      <c r="O476" s="195">
        <v>1.0680000000000001</v>
      </c>
      <c r="P476" s="195">
        <v>1.079</v>
      </c>
      <c r="Q476" s="195">
        <v>1.087</v>
      </c>
      <c r="R476" s="195">
        <v>1.0920000000000001</v>
      </c>
      <c r="S476" s="195">
        <v>1.111</v>
      </c>
      <c r="T476" s="195">
        <v>1.117</v>
      </c>
      <c r="U476" s="195">
        <v>1.113</v>
      </c>
      <c r="V476" s="195">
        <v>1.1259999999999999</v>
      </c>
      <c r="W476" s="195">
        <v>1.141</v>
      </c>
      <c r="X476" s="195">
        <v>1.1579999999999999</v>
      </c>
      <c r="Y476" s="195">
        <v>1.131</v>
      </c>
      <c r="Z476" s="195">
        <v>1.1439999999999999</v>
      </c>
    </row>
    <row r="477" spans="1:26">
      <c r="A477" s="195" t="s">
        <v>307</v>
      </c>
      <c r="B477" s="195" t="s">
        <v>285</v>
      </c>
      <c r="C477" s="195">
        <v>1.024</v>
      </c>
      <c r="D477" s="195">
        <v>1.0069999999999999</v>
      </c>
      <c r="E477" s="195">
        <v>0.96299999999999997</v>
      </c>
      <c r="F477" s="195">
        <v>0.95199999999999996</v>
      </c>
      <c r="G477" s="195">
        <v>0.996</v>
      </c>
      <c r="H477" s="195">
        <v>0.99399999999999999</v>
      </c>
      <c r="I477" s="195">
        <v>0.998</v>
      </c>
      <c r="J477" s="195">
        <v>0.98899999999999999</v>
      </c>
      <c r="K477" s="195">
        <v>1.006</v>
      </c>
      <c r="L477" s="195">
        <v>1.014</v>
      </c>
      <c r="M477" s="195">
        <v>1.014</v>
      </c>
      <c r="N477" s="195">
        <v>1.028</v>
      </c>
      <c r="O477" s="195">
        <v>1.04</v>
      </c>
      <c r="P477" s="195">
        <v>1.0509999999999999</v>
      </c>
      <c r="Q477" s="195">
        <v>1.0589999999999999</v>
      </c>
      <c r="R477" s="195">
        <v>1.0669999999999999</v>
      </c>
      <c r="S477" s="195">
        <v>1.0860000000000001</v>
      </c>
      <c r="T477" s="195">
        <v>1.0940000000000001</v>
      </c>
      <c r="U477" s="195">
        <v>1.1040000000000001</v>
      </c>
      <c r="V477" s="195">
        <v>1.1160000000000001</v>
      </c>
      <c r="W477" s="195">
        <v>1.133</v>
      </c>
      <c r="X477" s="195">
        <v>1.151</v>
      </c>
      <c r="Y477" s="195">
        <v>1.1359999999999999</v>
      </c>
      <c r="Z477" s="195">
        <v>1.1519999999999999</v>
      </c>
    </row>
    <row r="478" spans="1:26">
      <c r="A478" s="195" t="s">
        <v>308</v>
      </c>
      <c r="B478" s="195" t="s">
        <v>285</v>
      </c>
      <c r="C478" s="195">
        <v>1.018</v>
      </c>
      <c r="D478" s="195">
        <v>0.99399999999999999</v>
      </c>
      <c r="E478" s="195">
        <v>0.95099999999999996</v>
      </c>
      <c r="F478" s="195">
        <v>0.94</v>
      </c>
      <c r="G478" s="195">
        <v>0.98399999999999999</v>
      </c>
      <c r="H478" s="195">
        <v>0.98199999999999998</v>
      </c>
      <c r="I478" s="195">
        <v>0.98599999999999999</v>
      </c>
      <c r="J478" s="195">
        <v>0.97699999999999998</v>
      </c>
      <c r="K478" s="195">
        <v>0.99399999999999999</v>
      </c>
      <c r="L478" s="195">
        <v>1.002</v>
      </c>
      <c r="M478" s="195">
        <v>1.0009999999999999</v>
      </c>
      <c r="N478" s="195">
        <v>1.016</v>
      </c>
      <c r="O478" s="195">
        <v>1.028</v>
      </c>
      <c r="P478" s="195">
        <v>1.0369999999999999</v>
      </c>
      <c r="Q478" s="195">
        <v>1.0449999999999999</v>
      </c>
      <c r="R478" s="195">
        <v>1.0529999999999999</v>
      </c>
      <c r="S478" s="195">
        <v>1.073</v>
      </c>
      <c r="T478" s="195">
        <v>1.08</v>
      </c>
      <c r="U478" s="195">
        <v>1.0900000000000001</v>
      </c>
      <c r="V478" s="195">
        <v>1.1020000000000001</v>
      </c>
      <c r="W478" s="195">
        <v>1.1160000000000001</v>
      </c>
      <c r="X478" s="195">
        <v>1.1339999999999999</v>
      </c>
      <c r="Y478" s="195">
        <v>1.117</v>
      </c>
      <c r="Z478" s="195">
        <v>1.133</v>
      </c>
    </row>
    <row r="479" spans="1:26">
      <c r="A479" s="195" t="s">
        <v>309</v>
      </c>
      <c r="B479" s="195" t="s">
        <v>285</v>
      </c>
      <c r="C479" s="195">
        <v>1.0149999999999999</v>
      </c>
      <c r="D479" s="195">
        <v>0.99099999999999999</v>
      </c>
      <c r="E479" s="195">
        <v>0.94799999999999995</v>
      </c>
      <c r="F479" s="195">
        <v>0.93700000000000006</v>
      </c>
      <c r="G479" s="195">
        <v>0.98199999999999998</v>
      </c>
      <c r="H479" s="195">
        <v>0.97899999999999998</v>
      </c>
      <c r="I479" s="195">
        <v>0.98299999999999998</v>
      </c>
      <c r="J479" s="195">
        <v>0.97399999999999998</v>
      </c>
      <c r="K479" s="195">
        <v>0.99099999999999999</v>
      </c>
      <c r="L479" s="195">
        <v>0.999</v>
      </c>
      <c r="M479" s="195">
        <v>0.999</v>
      </c>
      <c r="N479" s="195">
        <v>1.0129999999999999</v>
      </c>
      <c r="O479" s="195">
        <v>1.0249999999999999</v>
      </c>
      <c r="P479" s="195">
        <v>1.0349999999999999</v>
      </c>
      <c r="Q479" s="195">
        <v>1.0429999999999999</v>
      </c>
      <c r="R479" s="195">
        <v>1.0509999999999999</v>
      </c>
      <c r="S479" s="195">
        <v>1.071</v>
      </c>
      <c r="T479" s="195">
        <v>1.0780000000000001</v>
      </c>
      <c r="U479" s="195">
        <v>1.0880000000000001</v>
      </c>
      <c r="V479" s="195">
        <v>1.1000000000000001</v>
      </c>
      <c r="W479" s="195">
        <v>1.1160000000000001</v>
      </c>
      <c r="X479" s="195">
        <v>1.1339999999999999</v>
      </c>
      <c r="Y479" s="195">
        <v>1.1200000000000001</v>
      </c>
      <c r="Z479" s="195">
        <v>1.1359999999999999</v>
      </c>
    </row>
    <row r="480" spans="1:26">
      <c r="A480" s="195" t="s">
        <v>310</v>
      </c>
      <c r="B480" s="195" t="s">
        <v>285</v>
      </c>
      <c r="C480" s="195">
        <v>1.127</v>
      </c>
      <c r="D480" s="195">
        <v>1.1739999999999999</v>
      </c>
      <c r="E480" s="195">
        <v>1.133</v>
      </c>
      <c r="F480" s="195">
        <v>1.06</v>
      </c>
      <c r="G480" s="195">
        <v>1.137</v>
      </c>
      <c r="H480" s="195">
        <v>1.109</v>
      </c>
      <c r="I480" s="195">
        <v>1.1080000000000001</v>
      </c>
      <c r="J480" s="195">
        <v>1.085</v>
      </c>
      <c r="K480" s="195">
        <v>1.139</v>
      </c>
      <c r="L480" s="195">
        <v>1.109</v>
      </c>
      <c r="M480" s="195">
        <v>1.133</v>
      </c>
      <c r="N480" s="195">
        <v>1.1319999999999999</v>
      </c>
      <c r="O480" s="195">
        <v>1.1319999999999999</v>
      </c>
      <c r="P480" s="195">
        <v>1.1379999999999999</v>
      </c>
      <c r="Q480" s="195">
        <v>1.155</v>
      </c>
      <c r="R480" s="195">
        <v>1.1519999999999999</v>
      </c>
      <c r="S480" s="195">
        <v>1.177</v>
      </c>
      <c r="T480" s="195">
        <v>1.17</v>
      </c>
      <c r="U480" s="195">
        <v>1.17</v>
      </c>
      <c r="V480" s="195">
        <v>1.1839999999999999</v>
      </c>
      <c r="W480" s="195">
        <v>1.194</v>
      </c>
      <c r="X480" s="195">
        <v>1.214</v>
      </c>
      <c r="Y480" s="195">
        <v>1.202</v>
      </c>
      <c r="Z480" s="195">
        <v>1.2170000000000001</v>
      </c>
    </row>
    <row r="481" spans="1:26">
      <c r="A481" s="195" t="s">
        <v>311</v>
      </c>
      <c r="B481" s="195" t="s">
        <v>285</v>
      </c>
      <c r="C481" s="195">
        <v>1.115</v>
      </c>
      <c r="D481" s="195">
        <v>1.127</v>
      </c>
      <c r="E481" s="195">
        <v>1.097</v>
      </c>
      <c r="F481" s="195">
        <v>1.091</v>
      </c>
      <c r="G481" s="195">
        <v>1.123</v>
      </c>
      <c r="H481" s="195">
        <v>1.123</v>
      </c>
      <c r="I481" s="195">
        <v>1.1459999999999999</v>
      </c>
      <c r="J481" s="195">
        <v>1.141</v>
      </c>
      <c r="K481" s="195">
        <v>1.143</v>
      </c>
      <c r="L481" s="195">
        <v>1.141</v>
      </c>
      <c r="M481" s="195">
        <v>1.143</v>
      </c>
      <c r="N481" s="195">
        <v>1.2070000000000001</v>
      </c>
      <c r="O481" s="195">
        <v>1.137</v>
      </c>
      <c r="P481" s="195">
        <v>1.181</v>
      </c>
      <c r="Q481" s="195">
        <v>1.19</v>
      </c>
      <c r="R481" s="195">
        <v>1.1830000000000001</v>
      </c>
      <c r="S481" s="195">
        <v>1.1890000000000001</v>
      </c>
      <c r="T481" s="195">
        <v>1.206</v>
      </c>
      <c r="U481" s="195">
        <v>1.2689999999999999</v>
      </c>
      <c r="V481" s="195">
        <v>1.282</v>
      </c>
      <c r="W481" s="195">
        <v>1.276</v>
      </c>
      <c r="X481" s="195">
        <v>1.288</v>
      </c>
      <c r="Y481" s="195">
        <v>1.2969999999999999</v>
      </c>
      <c r="Z481" s="195">
        <v>1.32</v>
      </c>
    </row>
    <row r="482" spans="1:26">
      <c r="A482" s="195" t="s">
        <v>312</v>
      </c>
      <c r="B482" s="195" t="s">
        <v>285</v>
      </c>
      <c r="C482" s="195">
        <v>1.06</v>
      </c>
      <c r="D482" s="195">
        <v>1.0509999999999999</v>
      </c>
      <c r="E482" s="195">
        <v>1.0109999999999999</v>
      </c>
      <c r="F482" s="195">
        <v>0.99199999999999999</v>
      </c>
      <c r="G482" s="195">
        <v>1.0409999999999999</v>
      </c>
      <c r="H482" s="195">
        <v>1.036</v>
      </c>
      <c r="I482" s="195">
        <v>1.0429999999999999</v>
      </c>
      <c r="J482" s="195">
        <v>1.032</v>
      </c>
      <c r="K482" s="195">
        <v>1.052</v>
      </c>
      <c r="L482" s="195">
        <v>1.0529999999999999</v>
      </c>
      <c r="M482" s="195">
        <v>1.0569999999999999</v>
      </c>
      <c r="N482" s="195">
        <v>1.077</v>
      </c>
      <c r="O482" s="195">
        <v>1.075</v>
      </c>
      <c r="P482" s="195">
        <v>1.0900000000000001</v>
      </c>
      <c r="Q482" s="195">
        <v>1.0980000000000001</v>
      </c>
      <c r="R482" s="195">
        <v>1.103</v>
      </c>
      <c r="S482" s="195">
        <v>1.1220000000000001</v>
      </c>
      <c r="T482" s="195">
        <v>1.129</v>
      </c>
      <c r="U482" s="195">
        <v>1.1419999999999999</v>
      </c>
      <c r="V482" s="195">
        <v>1.1559999999999999</v>
      </c>
      <c r="W482" s="195">
        <v>1.167</v>
      </c>
      <c r="X482" s="195">
        <v>1.1839999999999999</v>
      </c>
      <c r="Y482" s="195">
        <v>1.171</v>
      </c>
      <c r="Z482" s="195">
        <v>1.1870000000000001</v>
      </c>
    </row>
    <row r="483" spans="1:26">
      <c r="A483" s="195" t="s">
        <v>316</v>
      </c>
    </row>
    <row r="484" spans="1:26">
      <c r="A484" s="195" t="s">
        <v>317</v>
      </c>
    </row>
    <row r="485" spans="1:26">
      <c r="A485" s="195" t="s">
        <v>303</v>
      </c>
      <c r="B485" s="195" t="s">
        <v>285</v>
      </c>
      <c r="C485" s="195">
        <v>1.5109999999999999</v>
      </c>
      <c r="D485" s="195">
        <v>1.4830000000000001</v>
      </c>
      <c r="E485" s="195">
        <v>1.4379999999999999</v>
      </c>
      <c r="F485" s="195">
        <v>1.4079999999999999</v>
      </c>
      <c r="G485" s="195">
        <v>1.4279999999999999</v>
      </c>
      <c r="H485" s="195">
        <v>1.421</v>
      </c>
      <c r="I485" s="195">
        <v>1.431</v>
      </c>
      <c r="J485" s="195">
        <v>1.413</v>
      </c>
      <c r="K485" s="195">
        <v>1.4319999999999999</v>
      </c>
      <c r="L485" s="195">
        <v>1.4330000000000001</v>
      </c>
      <c r="M485" s="195">
        <v>1.431</v>
      </c>
      <c r="N485" s="195">
        <v>1.4410000000000001</v>
      </c>
      <c r="O485" s="195">
        <v>1.45</v>
      </c>
      <c r="P485" s="195">
        <v>1.462</v>
      </c>
      <c r="Q485" s="195">
        <v>1.4450000000000001</v>
      </c>
      <c r="R485" s="195">
        <v>1.4450000000000001</v>
      </c>
      <c r="S485" s="195">
        <v>1.492</v>
      </c>
      <c r="T485" s="195">
        <v>1.496</v>
      </c>
      <c r="U485" s="195">
        <v>1.4850000000000001</v>
      </c>
      <c r="V485" s="195">
        <v>1.518</v>
      </c>
      <c r="W485" s="195">
        <v>1.5349999999999999</v>
      </c>
      <c r="X485" s="195">
        <v>1.5549999999999999</v>
      </c>
      <c r="Y485" s="195">
        <v>1.5329999999999999</v>
      </c>
      <c r="Z485" s="195">
        <v>1.5489999999999999</v>
      </c>
    </row>
    <row r="486" spans="1:26">
      <c r="A486" s="195" t="s">
        <v>304</v>
      </c>
      <c r="B486" s="195" t="s">
        <v>285</v>
      </c>
      <c r="C486" s="195">
        <v>1.4870000000000001</v>
      </c>
      <c r="D486" s="195">
        <v>1.458</v>
      </c>
      <c r="E486" s="195">
        <v>1.4139999999999999</v>
      </c>
      <c r="F486" s="195">
        <v>1.3859999999999999</v>
      </c>
      <c r="G486" s="195">
        <v>1.405</v>
      </c>
      <c r="H486" s="195">
        <v>1.397</v>
      </c>
      <c r="I486" s="195">
        <v>1.4059999999999999</v>
      </c>
      <c r="J486" s="195">
        <v>1.389</v>
      </c>
      <c r="K486" s="195">
        <v>1.407</v>
      </c>
      <c r="L486" s="195">
        <v>1.409</v>
      </c>
      <c r="M486" s="195">
        <v>1.4059999999999999</v>
      </c>
      <c r="N486" s="195">
        <v>1.4159999999999999</v>
      </c>
      <c r="O486" s="195">
        <v>1.425</v>
      </c>
      <c r="P486" s="195">
        <v>1.4350000000000001</v>
      </c>
      <c r="Q486" s="195">
        <v>1.419</v>
      </c>
      <c r="R486" s="195">
        <v>1.419</v>
      </c>
      <c r="S486" s="195">
        <v>1.464</v>
      </c>
      <c r="T486" s="195">
        <v>1.468</v>
      </c>
      <c r="U486" s="195">
        <v>1.4570000000000001</v>
      </c>
      <c r="V486" s="195">
        <v>1.4890000000000001</v>
      </c>
      <c r="W486" s="195">
        <v>1.5049999999999999</v>
      </c>
      <c r="X486" s="195">
        <v>1.5229999999999999</v>
      </c>
      <c r="Y486" s="195">
        <v>1.5029999999999999</v>
      </c>
      <c r="Z486" s="195">
        <v>1.518</v>
      </c>
    </row>
    <row r="487" spans="1:26">
      <c r="A487" s="195" t="s">
        <v>305</v>
      </c>
      <c r="B487" s="195" t="s">
        <v>285</v>
      </c>
      <c r="C487" s="195">
        <v>1.403</v>
      </c>
      <c r="D487" s="195">
        <v>1.367</v>
      </c>
      <c r="E487" s="195">
        <v>1.3260000000000001</v>
      </c>
      <c r="F487" s="195">
        <v>1.298</v>
      </c>
      <c r="G487" s="195">
        <v>1.3180000000000001</v>
      </c>
      <c r="H487" s="195">
        <v>1.31</v>
      </c>
      <c r="I487" s="195">
        <v>1.3180000000000001</v>
      </c>
      <c r="J487" s="195">
        <v>1.302</v>
      </c>
      <c r="K487" s="195">
        <v>1.3180000000000001</v>
      </c>
      <c r="L487" s="195">
        <v>1.32</v>
      </c>
      <c r="M487" s="195">
        <v>1.3180000000000001</v>
      </c>
      <c r="N487" s="195">
        <v>1.327</v>
      </c>
      <c r="O487" s="195">
        <v>1.337</v>
      </c>
      <c r="P487" s="195">
        <v>1.3440000000000001</v>
      </c>
      <c r="Q487" s="195">
        <v>1.349</v>
      </c>
      <c r="R487" s="195">
        <v>1.3520000000000001</v>
      </c>
      <c r="S487" s="195">
        <v>1.3720000000000001</v>
      </c>
      <c r="T487" s="195">
        <v>1.3759999999999999</v>
      </c>
      <c r="U487" s="195">
        <v>1.3680000000000001</v>
      </c>
      <c r="V487" s="195">
        <v>1.379</v>
      </c>
      <c r="W487" s="195">
        <v>1.3939999999999999</v>
      </c>
      <c r="X487" s="195">
        <v>1.4119999999999999</v>
      </c>
      <c r="Y487" s="195">
        <v>1.38</v>
      </c>
      <c r="Z487" s="195">
        <v>1.393</v>
      </c>
    </row>
    <row r="488" spans="1:26">
      <c r="A488" s="195" t="s">
        <v>306</v>
      </c>
      <c r="B488" s="195" t="s">
        <v>285</v>
      </c>
      <c r="C488" s="195">
        <v>1.38</v>
      </c>
      <c r="D488" s="195">
        <v>1.343</v>
      </c>
      <c r="E488" s="195">
        <v>1.3029999999999999</v>
      </c>
      <c r="F488" s="195">
        <v>1.2749999999999999</v>
      </c>
      <c r="G488" s="195">
        <v>1.294</v>
      </c>
      <c r="H488" s="195">
        <v>1.286</v>
      </c>
      <c r="I488" s="195">
        <v>1.294</v>
      </c>
      <c r="J488" s="195">
        <v>1.278</v>
      </c>
      <c r="K488" s="195">
        <v>1.294</v>
      </c>
      <c r="L488" s="195">
        <v>1.296</v>
      </c>
      <c r="M488" s="195">
        <v>1.294</v>
      </c>
      <c r="N488" s="195">
        <v>1.302</v>
      </c>
      <c r="O488" s="195">
        <v>1.3120000000000001</v>
      </c>
      <c r="P488" s="195">
        <v>1.319</v>
      </c>
      <c r="Q488" s="195">
        <v>1.3240000000000001</v>
      </c>
      <c r="R488" s="195">
        <v>1.327</v>
      </c>
      <c r="S488" s="195">
        <v>1.3460000000000001</v>
      </c>
      <c r="T488" s="195">
        <v>1.35</v>
      </c>
      <c r="U488" s="195">
        <v>1.343</v>
      </c>
      <c r="V488" s="195">
        <v>1.353</v>
      </c>
      <c r="W488" s="195">
        <v>1.3680000000000001</v>
      </c>
      <c r="X488" s="195">
        <v>1.3859999999999999</v>
      </c>
      <c r="Y488" s="195">
        <v>1.355</v>
      </c>
      <c r="Z488" s="195">
        <v>1.367</v>
      </c>
    </row>
    <row r="489" spans="1:26">
      <c r="A489" s="195" t="s">
        <v>307</v>
      </c>
      <c r="B489" s="195" t="s">
        <v>285</v>
      </c>
      <c r="C489" s="195">
        <v>1.3660000000000001</v>
      </c>
      <c r="D489" s="195">
        <v>1.335</v>
      </c>
      <c r="E489" s="195">
        <v>1.2929999999999999</v>
      </c>
      <c r="F489" s="195">
        <v>1.2649999999999999</v>
      </c>
      <c r="G489" s="195">
        <v>1.284</v>
      </c>
      <c r="H489" s="195">
        <v>1.276</v>
      </c>
      <c r="I489" s="195">
        <v>1.284</v>
      </c>
      <c r="J489" s="195">
        <v>1.268</v>
      </c>
      <c r="K489" s="195">
        <v>1.2849999999999999</v>
      </c>
      <c r="L489" s="195">
        <v>1.286</v>
      </c>
      <c r="M489" s="195">
        <v>1.284</v>
      </c>
      <c r="N489" s="195">
        <v>1.2929999999999999</v>
      </c>
      <c r="O489" s="195">
        <v>1.3029999999999999</v>
      </c>
      <c r="P489" s="195">
        <v>1.3109999999999999</v>
      </c>
      <c r="Q489" s="195">
        <v>1.3160000000000001</v>
      </c>
      <c r="R489" s="195">
        <v>1.319</v>
      </c>
      <c r="S489" s="195">
        <v>1.339</v>
      </c>
      <c r="T489" s="195">
        <v>1.343</v>
      </c>
      <c r="U489" s="195">
        <v>1.351</v>
      </c>
      <c r="V489" s="195">
        <v>1.363</v>
      </c>
      <c r="W489" s="195">
        <v>1.3779999999999999</v>
      </c>
      <c r="X489" s="195">
        <v>1.3959999999999999</v>
      </c>
      <c r="Y489" s="195">
        <v>1.377</v>
      </c>
      <c r="Z489" s="195">
        <v>1.391</v>
      </c>
    </row>
    <row r="490" spans="1:26">
      <c r="A490" s="195" t="s">
        <v>308</v>
      </c>
      <c r="B490" s="195" t="s">
        <v>285</v>
      </c>
      <c r="C490" s="195">
        <v>1.3759999999999999</v>
      </c>
      <c r="D490" s="195">
        <v>1.3380000000000001</v>
      </c>
      <c r="E490" s="195">
        <v>1.2949999999999999</v>
      </c>
      <c r="F490" s="195">
        <v>1.2669999999999999</v>
      </c>
      <c r="G490" s="195">
        <v>1.286</v>
      </c>
      <c r="H490" s="195">
        <v>1.278</v>
      </c>
      <c r="I490" s="195">
        <v>1.2869999999999999</v>
      </c>
      <c r="J490" s="195">
        <v>1.27</v>
      </c>
      <c r="K490" s="195">
        <v>1.2869999999999999</v>
      </c>
      <c r="L490" s="195">
        <v>1.2889999999999999</v>
      </c>
      <c r="M490" s="195">
        <v>1.2869999999999999</v>
      </c>
      <c r="N490" s="195">
        <v>1.296</v>
      </c>
      <c r="O490" s="195">
        <v>1.3069999999999999</v>
      </c>
      <c r="P490" s="195">
        <v>1.3140000000000001</v>
      </c>
      <c r="Q490" s="195">
        <v>1.32</v>
      </c>
      <c r="R490" s="195">
        <v>1.323</v>
      </c>
      <c r="S490" s="195">
        <v>1.343</v>
      </c>
      <c r="T490" s="195">
        <v>1.347</v>
      </c>
      <c r="U490" s="195">
        <v>1.355</v>
      </c>
      <c r="V490" s="195">
        <v>1.367</v>
      </c>
      <c r="W490" s="195">
        <v>1.383</v>
      </c>
      <c r="X490" s="195">
        <v>1.401</v>
      </c>
      <c r="Y490" s="195">
        <v>1.381</v>
      </c>
      <c r="Z490" s="195">
        <v>1.3959999999999999</v>
      </c>
    </row>
    <row r="491" spans="1:26">
      <c r="A491" s="195" t="s">
        <v>309</v>
      </c>
      <c r="B491" s="195" t="s">
        <v>285</v>
      </c>
      <c r="C491" s="195">
        <v>1.345</v>
      </c>
      <c r="D491" s="195">
        <v>1.306</v>
      </c>
      <c r="E491" s="195">
        <v>1.264</v>
      </c>
      <c r="F491" s="195">
        <v>1.2370000000000001</v>
      </c>
      <c r="G491" s="195">
        <v>1.2549999999999999</v>
      </c>
      <c r="H491" s="195">
        <v>1.248</v>
      </c>
      <c r="I491" s="195">
        <v>1.256</v>
      </c>
      <c r="J491" s="195">
        <v>1.2390000000000001</v>
      </c>
      <c r="K491" s="195">
        <v>1.256</v>
      </c>
      <c r="L491" s="195">
        <v>1.258</v>
      </c>
      <c r="M491" s="195">
        <v>1.2549999999999999</v>
      </c>
      <c r="N491" s="195">
        <v>1.264</v>
      </c>
      <c r="O491" s="195">
        <v>1.274</v>
      </c>
      <c r="P491" s="195">
        <v>1.2809999999999999</v>
      </c>
      <c r="Q491" s="195">
        <v>1.2869999999999999</v>
      </c>
      <c r="R491" s="195">
        <v>1.29</v>
      </c>
      <c r="S491" s="195">
        <v>1.3089999999999999</v>
      </c>
      <c r="T491" s="195">
        <v>1.3129999999999999</v>
      </c>
      <c r="U491" s="195">
        <v>1.321</v>
      </c>
      <c r="V491" s="195">
        <v>1.3320000000000001</v>
      </c>
      <c r="W491" s="195">
        <v>1.347</v>
      </c>
      <c r="X491" s="195">
        <v>1.365</v>
      </c>
      <c r="Y491" s="195">
        <v>1.3460000000000001</v>
      </c>
      <c r="Z491" s="195">
        <v>1.36</v>
      </c>
    </row>
    <row r="492" spans="1:26">
      <c r="A492" s="195" t="s">
        <v>310</v>
      </c>
      <c r="B492" s="195" t="s">
        <v>285</v>
      </c>
      <c r="C492" s="195">
        <v>1.544</v>
      </c>
      <c r="D492" s="195">
        <v>1.5740000000000001</v>
      </c>
      <c r="E492" s="195">
        <v>1.532</v>
      </c>
      <c r="F492" s="195">
        <v>1.4330000000000001</v>
      </c>
      <c r="G492" s="195">
        <v>1.4870000000000001</v>
      </c>
      <c r="H492" s="195">
        <v>1.4530000000000001</v>
      </c>
      <c r="I492" s="195">
        <v>1.458</v>
      </c>
      <c r="J492" s="195">
        <v>1.4279999999999999</v>
      </c>
      <c r="K492" s="195">
        <v>1.4850000000000001</v>
      </c>
      <c r="L492" s="195">
        <v>1.4450000000000001</v>
      </c>
      <c r="M492" s="195">
        <v>1.472</v>
      </c>
      <c r="N492" s="195">
        <v>1.4630000000000001</v>
      </c>
      <c r="O492" s="195">
        <v>1.462</v>
      </c>
      <c r="P492" s="195">
        <v>1.462</v>
      </c>
      <c r="Q492" s="195">
        <v>1.478</v>
      </c>
      <c r="R492" s="195">
        <v>1.4730000000000001</v>
      </c>
      <c r="S492" s="195">
        <v>1.5</v>
      </c>
      <c r="T492" s="195">
        <v>1.4890000000000001</v>
      </c>
      <c r="U492" s="195">
        <v>1.486</v>
      </c>
      <c r="V492" s="195">
        <v>1.4990000000000001</v>
      </c>
      <c r="W492" s="195">
        <v>1.5089999999999999</v>
      </c>
      <c r="X492" s="195">
        <v>1.53</v>
      </c>
      <c r="Y492" s="195">
        <v>1.5169999999999999</v>
      </c>
      <c r="Z492" s="195">
        <v>1.5309999999999999</v>
      </c>
    </row>
    <row r="493" spans="1:26">
      <c r="A493" s="195" t="s">
        <v>311</v>
      </c>
      <c r="B493" s="195" t="s">
        <v>285</v>
      </c>
      <c r="C493" s="195">
        <v>1.466</v>
      </c>
      <c r="D493" s="195">
        <v>1.4730000000000001</v>
      </c>
      <c r="E493" s="195">
        <v>1.45</v>
      </c>
      <c r="F493" s="195">
        <v>1.4370000000000001</v>
      </c>
      <c r="G493" s="195">
        <v>1.452</v>
      </c>
      <c r="H493" s="195">
        <v>1.4470000000000001</v>
      </c>
      <c r="I493" s="195">
        <v>1.4750000000000001</v>
      </c>
      <c r="J493" s="195">
        <v>1.466</v>
      </c>
      <c r="K493" s="195">
        <v>1.4610000000000001</v>
      </c>
      <c r="L493" s="195">
        <v>1.456</v>
      </c>
      <c r="M493" s="195">
        <v>1.454</v>
      </c>
      <c r="N493" s="195">
        <v>1.5249999999999999</v>
      </c>
      <c r="O493" s="195">
        <v>1.4370000000000001</v>
      </c>
      <c r="P493" s="195">
        <v>1.482</v>
      </c>
      <c r="Q493" s="195">
        <v>1.488</v>
      </c>
      <c r="R493" s="195">
        <v>1.474</v>
      </c>
      <c r="S493" s="195">
        <v>1.4770000000000001</v>
      </c>
      <c r="T493" s="195">
        <v>1.4930000000000001</v>
      </c>
      <c r="U493" s="195">
        <v>1.5629999999999999</v>
      </c>
      <c r="V493" s="195">
        <v>1.575</v>
      </c>
      <c r="W493" s="195">
        <v>1.5620000000000001</v>
      </c>
      <c r="X493" s="195">
        <v>1.5720000000000001</v>
      </c>
      <c r="Y493" s="195">
        <v>1.5780000000000001</v>
      </c>
      <c r="Z493" s="195">
        <v>1.603</v>
      </c>
    </row>
    <row r="494" spans="1:26">
      <c r="A494" s="195" t="s">
        <v>312</v>
      </c>
      <c r="B494" s="195" t="s">
        <v>285</v>
      </c>
      <c r="C494" s="195">
        <v>1.411</v>
      </c>
      <c r="D494" s="195">
        <v>1.387</v>
      </c>
      <c r="E494" s="195">
        <v>1.347</v>
      </c>
      <c r="F494" s="195">
        <v>1.3149999999999999</v>
      </c>
      <c r="G494" s="195">
        <v>1.3360000000000001</v>
      </c>
      <c r="H494" s="195">
        <v>1.327</v>
      </c>
      <c r="I494" s="195">
        <v>1.337</v>
      </c>
      <c r="J494" s="195">
        <v>1.32</v>
      </c>
      <c r="K494" s="195">
        <v>1.3380000000000001</v>
      </c>
      <c r="L494" s="195">
        <v>1.335</v>
      </c>
      <c r="M494" s="195">
        <v>1.3360000000000001</v>
      </c>
      <c r="N494" s="195">
        <v>1.351</v>
      </c>
      <c r="O494" s="195">
        <v>1.3480000000000001</v>
      </c>
      <c r="P494" s="195">
        <v>1.359</v>
      </c>
      <c r="Q494" s="195">
        <v>1.363</v>
      </c>
      <c r="R494" s="195">
        <v>1.363</v>
      </c>
      <c r="S494" s="195">
        <v>1.3839999999999999</v>
      </c>
      <c r="T494" s="195">
        <v>1.3879999999999999</v>
      </c>
      <c r="U494" s="195">
        <v>1.3979999999999999</v>
      </c>
      <c r="V494" s="195">
        <v>1.4119999999999999</v>
      </c>
      <c r="W494" s="195">
        <v>1.423</v>
      </c>
      <c r="X494" s="195">
        <v>1.4410000000000001</v>
      </c>
      <c r="Y494" s="195">
        <v>1.4219999999999999</v>
      </c>
      <c r="Z494" s="195">
        <v>1.4379999999999999</v>
      </c>
    </row>
    <row r="495" spans="1:26">
      <c r="A495" s="195" t="s">
        <v>318</v>
      </c>
    </row>
    <row r="496" spans="1:26">
      <c r="A496" s="195" t="s">
        <v>303</v>
      </c>
      <c r="B496" s="195" t="s">
        <v>285</v>
      </c>
      <c r="C496" s="195">
        <v>0.92400000000000004</v>
      </c>
      <c r="D496" s="195">
        <v>0.90100000000000002</v>
      </c>
      <c r="E496" s="195">
        <v>0.86899999999999999</v>
      </c>
      <c r="F496" s="195">
        <v>0.83499999999999996</v>
      </c>
      <c r="G496" s="195">
        <v>0.83199999999999996</v>
      </c>
      <c r="H496" s="195">
        <v>0.84199999999999997</v>
      </c>
      <c r="I496" s="195">
        <v>0.82699999999999996</v>
      </c>
      <c r="J496" s="195">
        <v>0.82799999999999996</v>
      </c>
      <c r="K496" s="195">
        <v>0.82599999999999996</v>
      </c>
      <c r="L496" s="195">
        <v>0.85</v>
      </c>
      <c r="M496" s="195">
        <v>0.84199999999999997</v>
      </c>
      <c r="N496" s="195">
        <v>0.86399999999999999</v>
      </c>
      <c r="O496" s="195">
        <v>0.87</v>
      </c>
      <c r="P496" s="195">
        <v>0.878</v>
      </c>
      <c r="Q496" s="195">
        <v>0.88400000000000001</v>
      </c>
      <c r="R496" s="195">
        <v>0.9</v>
      </c>
      <c r="S496" s="195">
        <v>0.90800000000000003</v>
      </c>
      <c r="T496" s="195">
        <v>0.91600000000000004</v>
      </c>
      <c r="U496" s="195">
        <v>0.92400000000000004</v>
      </c>
      <c r="V496" s="195">
        <v>0.92900000000000005</v>
      </c>
      <c r="W496" s="195">
        <v>0.93100000000000005</v>
      </c>
      <c r="X496" s="195">
        <v>0.93400000000000005</v>
      </c>
      <c r="Y496" s="195">
        <v>0.93899999999999995</v>
      </c>
      <c r="Z496" s="195">
        <v>0.94499999999999995</v>
      </c>
    </row>
    <row r="497" spans="1:26">
      <c r="A497" s="195" t="s">
        <v>304</v>
      </c>
      <c r="B497" s="195" t="s">
        <v>285</v>
      </c>
      <c r="C497" s="195">
        <v>0.92</v>
      </c>
      <c r="D497" s="195">
        <v>0.89700000000000002</v>
      </c>
      <c r="E497" s="195">
        <v>0.86499999999999999</v>
      </c>
      <c r="F497" s="195">
        <v>0.83099999999999996</v>
      </c>
      <c r="G497" s="195">
        <v>0.82799999999999996</v>
      </c>
      <c r="H497" s="195">
        <v>0.83799999999999997</v>
      </c>
      <c r="I497" s="195">
        <v>0.82299999999999995</v>
      </c>
      <c r="J497" s="195">
        <v>0.82299999999999995</v>
      </c>
      <c r="K497" s="195">
        <v>0.82199999999999995</v>
      </c>
      <c r="L497" s="195">
        <v>0.84599999999999997</v>
      </c>
      <c r="M497" s="195">
        <v>0.83799999999999997</v>
      </c>
      <c r="N497" s="195">
        <v>0.86</v>
      </c>
      <c r="O497" s="195">
        <v>0.86599999999999999</v>
      </c>
      <c r="P497" s="195">
        <v>0.874</v>
      </c>
      <c r="Q497" s="195">
        <v>0.88</v>
      </c>
      <c r="R497" s="195">
        <v>0.89600000000000002</v>
      </c>
      <c r="S497" s="195">
        <v>0.90400000000000003</v>
      </c>
      <c r="T497" s="195">
        <v>0.91200000000000003</v>
      </c>
      <c r="U497" s="195">
        <v>0.92100000000000004</v>
      </c>
      <c r="V497" s="195">
        <v>0.92500000000000004</v>
      </c>
      <c r="W497" s="195">
        <v>0.92700000000000005</v>
      </c>
      <c r="X497" s="195">
        <v>0.93</v>
      </c>
      <c r="Y497" s="195">
        <v>0.93500000000000005</v>
      </c>
      <c r="Z497" s="195">
        <v>0.94099999999999995</v>
      </c>
    </row>
    <row r="498" spans="1:26">
      <c r="A498" s="195" t="s">
        <v>305</v>
      </c>
      <c r="B498" s="195" t="s">
        <v>285</v>
      </c>
      <c r="C498" s="195">
        <v>0.94199999999999995</v>
      </c>
      <c r="D498" s="195">
        <v>0.91600000000000004</v>
      </c>
      <c r="E498" s="195">
        <v>0.874</v>
      </c>
      <c r="F498" s="195">
        <v>0.84199999999999997</v>
      </c>
      <c r="G498" s="195">
        <v>0.84399999999999997</v>
      </c>
      <c r="H498" s="195">
        <v>0.85699999999999998</v>
      </c>
      <c r="I498" s="195">
        <v>0.83099999999999996</v>
      </c>
      <c r="J498" s="195">
        <v>0.84399999999999997</v>
      </c>
      <c r="K498" s="195">
        <v>0.84699999999999998</v>
      </c>
      <c r="L498" s="195">
        <v>0.85599999999999998</v>
      </c>
      <c r="M498" s="195">
        <v>0.86299999999999999</v>
      </c>
      <c r="N498" s="195">
        <v>0.88500000000000001</v>
      </c>
      <c r="O498" s="195">
        <v>0.88</v>
      </c>
      <c r="P498" s="195">
        <v>0.89800000000000002</v>
      </c>
      <c r="Q498" s="195">
        <v>0.90100000000000002</v>
      </c>
      <c r="R498" s="195">
        <v>0.92200000000000004</v>
      </c>
      <c r="S498" s="195">
        <v>0.92800000000000005</v>
      </c>
      <c r="T498" s="195">
        <v>0.92500000000000004</v>
      </c>
      <c r="U498" s="195">
        <v>0.93100000000000005</v>
      </c>
      <c r="V498" s="195">
        <v>0.93400000000000005</v>
      </c>
      <c r="W498" s="195">
        <v>0.92800000000000005</v>
      </c>
      <c r="X498" s="195">
        <v>0.93200000000000005</v>
      </c>
      <c r="Y498" s="195">
        <v>0.91300000000000003</v>
      </c>
      <c r="Z498" s="195">
        <v>0.91700000000000004</v>
      </c>
    </row>
    <row r="499" spans="1:26">
      <c r="A499" s="195" t="s">
        <v>306</v>
      </c>
      <c r="B499" s="195" t="s">
        <v>285</v>
      </c>
      <c r="C499" s="195">
        <v>0.92700000000000005</v>
      </c>
      <c r="D499" s="195">
        <v>0.90100000000000002</v>
      </c>
      <c r="E499" s="195">
        <v>0.86</v>
      </c>
      <c r="F499" s="195">
        <v>0.82799999999999996</v>
      </c>
      <c r="G499" s="195">
        <v>0.83</v>
      </c>
      <c r="H499" s="195">
        <v>0.84299999999999997</v>
      </c>
      <c r="I499" s="195">
        <v>0.81799999999999995</v>
      </c>
      <c r="J499" s="195">
        <v>0.83</v>
      </c>
      <c r="K499" s="195">
        <v>0.83399999999999996</v>
      </c>
      <c r="L499" s="195">
        <v>0.84199999999999997</v>
      </c>
      <c r="M499" s="195">
        <v>0.84899999999999998</v>
      </c>
      <c r="N499" s="195">
        <v>0.871</v>
      </c>
      <c r="O499" s="195">
        <v>0.86599999999999999</v>
      </c>
      <c r="P499" s="195">
        <v>0.88300000000000001</v>
      </c>
      <c r="Q499" s="195">
        <v>0.88600000000000001</v>
      </c>
      <c r="R499" s="195">
        <v>0.88500000000000001</v>
      </c>
      <c r="S499" s="195">
        <v>0.89200000000000002</v>
      </c>
      <c r="T499" s="195">
        <v>0.89200000000000002</v>
      </c>
      <c r="U499" s="195">
        <v>0.89300000000000002</v>
      </c>
      <c r="V499" s="195">
        <v>0.90400000000000003</v>
      </c>
      <c r="W499" s="195">
        <v>0.90800000000000003</v>
      </c>
      <c r="X499" s="195">
        <v>0.90400000000000003</v>
      </c>
      <c r="Y499" s="195">
        <v>0.89500000000000002</v>
      </c>
      <c r="Z499" s="195">
        <v>0.9</v>
      </c>
    </row>
    <row r="500" spans="1:26">
      <c r="A500" s="195" t="s">
        <v>307</v>
      </c>
      <c r="B500" s="195" t="s">
        <v>285</v>
      </c>
      <c r="C500" s="195">
        <v>0.90700000000000003</v>
      </c>
      <c r="D500" s="195">
        <v>0.88800000000000001</v>
      </c>
      <c r="E500" s="195">
        <v>0.84699999999999998</v>
      </c>
      <c r="F500" s="195">
        <v>0.81899999999999995</v>
      </c>
      <c r="G500" s="195">
        <v>0.81599999999999995</v>
      </c>
      <c r="H500" s="195">
        <v>0.82899999999999996</v>
      </c>
      <c r="I500" s="195">
        <v>0.79700000000000004</v>
      </c>
      <c r="J500" s="195">
        <v>0.81</v>
      </c>
      <c r="K500" s="195">
        <v>0.81299999999999994</v>
      </c>
      <c r="L500" s="195">
        <v>0.83699999999999997</v>
      </c>
      <c r="M500" s="195">
        <v>0.82899999999999996</v>
      </c>
      <c r="N500" s="195">
        <v>0.85099999999999998</v>
      </c>
      <c r="O500" s="195">
        <v>0.85699999999999998</v>
      </c>
      <c r="P500" s="195">
        <v>0.86399999999999999</v>
      </c>
      <c r="Q500" s="195">
        <v>0.871</v>
      </c>
      <c r="R500" s="195">
        <v>0.88800000000000001</v>
      </c>
      <c r="S500" s="195">
        <v>0.89500000000000002</v>
      </c>
      <c r="T500" s="195">
        <v>0.90300000000000002</v>
      </c>
      <c r="U500" s="195">
        <v>0.91100000000000003</v>
      </c>
      <c r="V500" s="195">
        <v>0.91500000000000004</v>
      </c>
      <c r="W500" s="195">
        <v>0.91900000000000004</v>
      </c>
      <c r="X500" s="195">
        <v>0.92500000000000004</v>
      </c>
      <c r="Y500" s="195">
        <v>0.93500000000000005</v>
      </c>
      <c r="Z500" s="195">
        <v>0.94199999999999995</v>
      </c>
    </row>
    <row r="501" spans="1:26">
      <c r="A501" s="195" t="s">
        <v>308</v>
      </c>
      <c r="B501" s="195" t="s">
        <v>285</v>
      </c>
      <c r="C501" s="195">
        <v>0.96699999999999997</v>
      </c>
      <c r="D501" s="195">
        <v>0.94</v>
      </c>
      <c r="E501" s="195">
        <v>0.89800000000000002</v>
      </c>
      <c r="F501" s="195">
        <v>0.86799999999999999</v>
      </c>
      <c r="G501" s="195">
        <v>0.86399999999999999</v>
      </c>
      <c r="H501" s="195">
        <v>0.878</v>
      </c>
      <c r="I501" s="195">
        <v>0.84499999999999997</v>
      </c>
      <c r="J501" s="195">
        <v>0.85799999999999998</v>
      </c>
      <c r="K501" s="195">
        <v>0.86199999999999999</v>
      </c>
      <c r="L501" s="195">
        <v>0.88700000000000001</v>
      </c>
      <c r="M501" s="195">
        <v>0.879</v>
      </c>
      <c r="N501" s="195">
        <v>0.90200000000000002</v>
      </c>
      <c r="O501" s="195">
        <v>0.90800000000000003</v>
      </c>
      <c r="P501" s="195">
        <v>0.91500000000000004</v>
      </c>
      <c r="Q501" s="195">
        <v>0.92300000000000004</v>
      </c>
      <c r="R501" s="195">
        <v>0.94099999999999995</v>
      </c>
      <c r="S501" s="195">
        <v>0.94799999999999995</v>
      </c>
      <c r="T501" s="195">
        <v>0.95699999999999996</v>
      </c>
      <c r="U501" s="195">
        <v>0.96499999999999997</v>
      </c>
      <c r="V501" s="195">
        <v>0.96899999999999997</v>
      </c>
      <c r="W501" s="195">
        <v>0.96199999999999997</v>
      </c>
      <c r="X501" s="195">
        <v>0.96699999999999997</v>
      </c>
      <c r="Y501" s="195">
        <v>0.95899999999999996</v>
      </c>
      <c r="Z501" s="195">
        <v>0.96599999999999997</v>
      </c>
    </row>
    <row r="502" spans="1:26">
      <c r="A502" s="195" t="s">
        <v>309</v>
      </c>
      <c r="B502" s="195" t="s">
        <v>285</v>
      </c>
      <c r="C502" s="195">
        <v>0.91800000000000004</v>
      </c>
      <c r="D502" s="195">
        <v>0.89200000000000002</v>
      </c>
      <c r="E502" s="195">
        <v>0.85099999999999998</v>
      </c>
      <c r="F502" s="195">
        <v>0.82199999999999995</v>
      </c>
      <c r="G502" s="195">
        <v>0.81899999999999995</v>
      </c>
      <c r="H502" s="195">
        <v>0.83199999999999996</v>
      </c>
      <c r="I502" s="195">
        <v>0.8</v>
      </c>
      <c r="J502" s="195">
        <v>0.81200000000000006</v>
      </c>
      <c r="K502" s="195">
        <v>0.81599999999999995</v>
      </c>
      <c r="L502" s="195">
        <v>0.84</v>
      </c>
      <c r="M502" s="195">
        <v>0.83199999999999996</v>
      </c>
      <c r="N502" s="195">
        <v>0.85399999999999998</v>
      </c>
      <c r="O502" s="195">
        <v>0.86</v>
      </c>
      <c r="P502" s="195">
        <v>0.86799999999999999</v>
      </c>
      <c r="Q502" s="195">
        <v>0.875</v>
      </c>
      <c r="R502" s="195">
        <v>0.89200000000000002</v>
      </c>
      <c r="S502" s="195">
        <v>0.89800000000000002</v>
      </c>
      <c r="T502" s="195">
        <v>0.90700000000000003</v>
      </c>
      <c r="U502" s="195">
        <v>0.91500000000000004</v>
      </c>
      <c r="V502" s="195">
        <v>0.91900000000000004</v>
      </c>
      <c r="W502" s="195">
        <v>0.92300000000000004</v>
      </c>
      <c r="X502" s="195">
        <v>0.92900000000000005</v>
      </c>
      <c r="Y502" s="195">
        <v>0.93899999999999995</v>
      </c>
      <c r="Z502" s="195">
        <v>0.94599999999999995</v>
      </c>
    </row>
    <row r="503" spans="1:26">
      <c r="A503" s="195" t="s">
        <v>310</v>
      </c>
      <c r="B503" s="195" t="s">
        <v>285</v>
      </c>
      <c r="C503" s="195">
        <v>1.0680000000000001</v>
      </c>
      <c r="D503" s="195">
        <v>1.048</v>
      </c>
      <c r="E503" s="195">
        <v>1.0129999999999999</v>
      </c>
      <c r="F503" s="195">
        <v>0.96</v>
      </c>
      <c r="G503" s="195">
        <v>0.98699999999999999</v>
      </c>
      <c r="H503" s="195">
        <v>0.97099999999999997</v>
      </c>
      <c r="I503" s="195">
        <v>0.93400000000000005</v>
      </c>
      <c r="J503" s="195">
        <v>0.92800000000000005</v>
      </c>
      <c r="K503" s="195">
        <v>0.95099999999999996</v>
      </c>
      <c r="L503" s="195">
        <v>0.95399999999999996</v>
      </c>
      <c r="M503" s="195">
        <v>0.94599999999999995</v>
      </c>
      <c r="N503" s="195">
        <v>0.96799999999999997</v>
      </c>
      <c r="O503" s="195">
        <v>0.96299999999999997</v>
      </c>
      <c r="P503" s="195">
        <v>0.98099999999999998</v>
      </c>
      <c r="Q503" s="195">
        <v>0.98399999999999999</v>
      </c>
      <c r="R503" s="195">
        <v>0.98399999999999999</v>
      </c>
      <c r="S503" s="195">
        <v>0.99199999999999999</v>
      </c>
      <c r="T503" s="195">
        <v>0.99099999999999999</v>
      </c>
      <c r="U503" s="195">
        <v>0.99199999999999999</v>
      </c>
      <c r="V503" s="195">
        <v>1.002</v>
      </c>
      <c r="W503" s="195">
        <v>1.006</v>
      </c>
      <c r="X503" s="195">
        <v>1.004</v>
      </c>
      <c r="Y503" s="195">
        <v>0.99399999999999999</v>
      </c>
      <c r="Z503" s="195">
        <v>0.999</v>
      </c>
    </row>
    <row r="504" spans="1:26">
      <c r="A504" s="195" t="s">
        <v>311</v>
      </c>
      <c r="B504" s="195" t="s">
        <v>285</v>
      </c>
      <c r="C504" s="195">
        <v>0.97499999999999998</v>
      </c>
      <c r="D504" s="195">
        <v>0.94699999999999995</v>
      </c>
      <c r="E504" s="195">
        <v>0.90500000000000003</v>
      </c>
      <c r="F504" s="195">
        <v>0.88900000000000001</v>
      </c>
      <c r="G504" s="195">
        <v>0.89600000000000002</v>
      </c>
      <c r="H504" s="195">
        <v>0.90300000000000002</v>
      </c>
      <c r="I504" s="195">
        <v>0.88800000000000001</v>
      </c>
      <c r="J504" s="195">
        <v>0.89</v>
      </c>
      <c r="K504" s="195">
        <v>0.90900000000000003</v>
      </c>
      <c r="L504" s="195">
        <v>0.90900000000000003</v>
      </c>
      <c r="M504" s="195">
        <v>0.91500000000000004</v>
      </c>
      <c r="N504" s="195">
        <v>0.92700000000000005</v>
      </c>
      <c r="O504" s="195">
        <v>0.93400000000000005</v>
      </c>
      <c r="P504" s="195">
        <v>0.95399999999999996</v>
      </c>
      <c r="Q504" s="195">
        <v>0.96</v>
      </c>
      <c r="R504" s="195">
        <v>0.97499999999999998</v>
      </c>
      <c r="S504" s="195">
        <v>0.98799999999999999</v>
      </c>
      <c r="T504" s="195">
        <v>0.99199999999999999</v>
      </c>
      <c r="U504" s="195">
        <v>1.006</v>
      </c>
      <c r="V504" s="195">
        <v>1.016</v>
      </c>
      <c r="W504" s="195">
        <v>1.034</v>
      </c>
      <c r="X504" s="195">
        <v>1.0469999999999999</v>
      </c>
      <c r="Y504" s="195">
        <v>1.0589999999999999</v>
      </c>
      <c r="Z504" s="195">
        <v>1.0620000000000001</v>
      </c>
    </row>
    <row r="505" spans="1:26">
      <c r="A505" s="195" t="s">
        <v>312</v>
      </c>
      <c r="B505" s="195" t="s">
        <v>285</v>
      </c>
      <c r="C505" s="195">
        <v>0.93600000000000005</v>
      </c>
      <c r="D505" s="195">
        <v>0.91300000000000003</v>
      </c>
      <c r="E505" s="195">
        <v>0.873</v>
      </c>
      <c r="F505" s="195">
        <v>0.84099999999999997</v>
      </c>
      <c r="G505" s="195">
        <v>0.84099999999999997</v>
      </c>
      <c r="H505" s="195">
        <v>0.85199999999999998</v>
      </c>
      <c r="I505" s="195">
        <v>0.82399999999999995</v>
      </c>
      <c r="J505" s="195">
        <v>0.83399999999999996</v>
      </c>
      <c r="K505" s="195">
        <v>0.83899999999999997</v>
      </c>
      <c r="L505" s="195">
        <v>0.85799999999999998</v>
      </c>
      <c r="M505" s="195">
        <v>0.85499999999999998</v>
      </c>
      <c r="N505" s="195">
        <v>0.877</v>
      </c>
      <c r="O505" s="195">
        <v>0.88100000000000001</v>
      </c>
      <c r="P505" s="195">
        <v>0.89300000000000002</v>
      </c>
      <c r="Q505" s="195">
        <v>0.89900000000000002</v>
      </c>
      <c r="R505" s="195">
        <v>0.91500000000000004</v>
      </c>
      <c r="S505" s="195">
        <v>0.92200000000000004</v>
      </c>
      <c r="T505" s="195">
        <v>0.92800000000000005</v>
      </c>
      <c r="U505" s="195">
        <v>0.93500000000000005</v>
      </c>
      <c r="V505" s="195">
        <v>0.94099999999999995</v>
      </c>
      <c r="W505" s="195">
        <v>0.94399999999999995</v>
      </c>
      <c r="X505" s="195">
        <v>0.94799999999999995</v>
      </c>
      <c r="Y505" s="195">
        <v>0.94899999999999995</v>
      </c>
      <c r="Z505" s="195">
        <v>0.95499999999999996</v>
      </c>
    </row>
    <row r="506" spans="1:26">
      <c r="A506" s="195" t="s">
        <v>281</v>
      </c>
      <c r="B506" s="195" t="s">
        <v>282</v>
      </c>
      <c r="C506" s="195" t="s">
        <v>283</v>
      </c>
      <c r="D506" s="195" t="s">
        <v>283</v>
      </c>
      <c r="E506" s="195" t="s">
        <v>283</v>
      </c>
      <c r="F506" s="195" t="s">
        <v>283</v>
      </c>
      <c r="G506" s="195" t="s">
        <v>283</v>
      </c>
      <c r="H506" s="195" t="s">
        <v>283</v>
      </c>
      <c r="I506" s="195" t="s">
        <v>283</v>
      </c>
      <c r="J506" s="195" t="s">
        <v>283</v>
      </c>
      <c r="K506" s="195" t="s">
        <v>283</v>
      </c>
      <c r="L506" s="195" t="s">
        <v>283</v>
      </c>
      <c r="M506" s="195" t="s">
        <v>283</v>
      </c>
      <c r="N506" s="195" t="s">
        <v>283</v>
      </c>
      <c r="O506" s="195" t="s">
        <v>283</v>
      </c>
      <c r="P506" s="195" t="s">
        <v>283</v>
      </c>
      <c r="Q506" s="195" t="s">
        <v>283</v>
      </c>
      <c r="R506" s="195" t="s">
        <v>283</v>
      </c>
      <c r="S506" s="195" t="s">
        <v>283</v>
      </c>
      <c r="T506" s="195" t="s">
        <v>283</v>
      </c>
      <c r="U506" s="195" t="s">
        <v>283</v>
      </c>
      <c r="V506" s="195" t="s">
        <v>283</v>
      </c>
      <c r="W506" s="195" t="s">
        <v>283</v>
      </c>
      <c r="X506" s="195" t="s">
        <v>283</v>
      </c>
      <c r="Y506" s="195" t="s">
        <v>283</v>
      </c>
      <c r="Z506" s="195" t="s">
        <v>284</v>
      </c>
    </row>
    <row r="508" spans="1:26">
      <c r="C508" s="202" t="str">
        <f>CONCATENATE(M508,N508,O508,P508,Q508,R508)</f>
        <v>Table 8US EndUse Prices,$/Gal</v>
      </c>
      <c r="M508" s="195" t="s">
        <v>297</v>
      </c>
      <c r="N508" s="195" t="s">
        <v>298</v>
      </c>
      <c r="O508" s="195" t="s">
        <v>299</v>
      </c>
      <c r="P508" s="195" t="s">
        <v>300</v>
      </c>
      <c r="Q508" s="195" t="s">
        <v>301</v>
      </c>
      <c r="R508" s="195" t="s">
        <v>302</v>
      </c>
    </row>
    <row r="509" spans="1:26">
      <c r="A509" s="195" t="s">
        <v>276</v>
      </c>
      <c r="B509" s="195" t="s">
        <v>277</v>
      </c>
      <c r="C509" s="195">
        <v>11006</v>
      </c>
      <c r="D509" s="195" t="s">
        <v>278</v>
      </c>
      <c r="E509" s="195" t="s">
        <v>279</v>
      </c>
      <c r="F509" s="195" t="s">
        <v>280</v>
      </c>
    </row>
    <row r="510" spans="1:26">
      <c r="A510" s="195" t="s">
        <v>281</v>
      </c>
      <c r="B510" s="195" t="s">
        <v>282</v>
      </c>
      <c r="C510" s="195" t="s">
        <v>283</v>
      </c>
      <c r="D510" s="195" t="s">
        <v>283</v>
      </c>
      <c r="E510" s="195" t="s">
        <v>283</v>
      </c>
      <c r="F510" s="195" t="s">
        <v>283</v>
      </c>
      <c r="G510" s="195" t="s">
        <v>283</v>
      </c>
      <c r="H510" s="195" t="s">
        <v>283</v>
      </c>
      <c r="I510" s="195" t="s">
        <v>283</v>
      </c>
      <c r="J510" s="195" t="s">
        <v>283</v>
      </c>
      <c r="K510" s="195" t="s">
        <v>283</v>
      </c>
      <c r="L510" s="195" t="s">
        <v>283</v>
      </c>
      <c r="M510" s="195" t="s">
        <v>283</v>
      </c>
      <c r="N510" s="195" t="s">
        <v>283</v>
      </c>
      <c r="O510" s="195" t="s">
        <v>283</v>
      </c>
      <c r="P510" s="195" t="s">
        <v>283</v>
      </c>
      <c r="Q510" s="195" t="s">
        <v>283</v>
      </c>
      <c r="R510" s="195" t="s">
        <v>283</v>
      </c>
      <c r="S510" s="195" t="s">
        <v>283</v>
      </c>
      <c r="T510" s="195" t="s">
        <v>283</v>
      </c>
      <c r="U510" s="195" t="s">
        <v>283</v>
      </c>
      <c r="V510" s="195" t="s">
        <v>283</v>
      </c>
      <c r="W510" s="195" t="s">
        <v>283</v>
      </c>
      <c r="X510" s="195" t="s">
        <v>283</v>
      </c>
      <c r="Y510" s="195" t="s">
        <v>283</v>
      </c>
      <c r="Z510" s="195" t="s">
        <v>284</v>
      </c>
    </row>
    <row r="511" spans="1:26">
      <c r="C511" s="195">
        <v>2007</v>
      </c>
      <c r="D511" s="195">
        <v>2008</v>
      </c>
      <c r="E511" s="195">
        <v>2009</v>
      </c>
      <c r="F511" s="195">
        <v>2010</v>
      </c>
      <c r="G511" s="195">
        <v>2011</v>
      </c>
      <c r="H511" s="195">
        <v>2012</v>
      </c>
      <c r="I511" s="195">
        <v>2013</v>
      </c>
      <c r="J511" s="195">
        <v>2014</v>
      </c>
      <c r="K511" s="195">
        <v>2015</v>
      </c>
      <c r="L511" s="195">
        <v>2016</v>
      </c>
      <c r="M511" s="195">
        <v>2017</v>
      </c>
      <c r="N511" s="195">
        <v>2018</v>
      </c>
      <c r="O511" s="195">
        <v>2019</v>
      </c>
      <c r="P511" s="195">
        <v>2020</v>
      </c>
      <c r="Q511" s="195">
        <v>2021</v>
      </c>
      <c r="R511" s="195">
        <v>2022</v>
      </c>
      <c r="S511" s="195">
        <v>2023</v>
      </c>
      <c r="T511" s="195">
        <v>2024</v>
      </c>
      <c r="U511" s="195">
        <v>2025</v>
      </c>
      <c r="V511" s="195">
        <v>2026</v>
      </c>
      <c r="W511" s="195">
        <v>2027</v>
      </c>
      <c r="X511" s="195">
        <v>2028</v>
      </c>
      <c r="Y511" s="195">
        <v>2029</v>
      </c>
      <c r="Z511" s="195">
        <v>2030</v>
      </c>
    </row>
    <row r="512" spans="1:26">
      <c r="A512" s="195" t="s">
        <v>281</v>
      </c>
      <c r="B512" s="195" t="s">
        <v>282</v>
      </c>
      <c r="C512" s="195" t="s">
        <v>283</v>
      </c>
      <c r="D512" s="195" t="s">
        <v>283</v>
      </c>
      <c r="E512" s="195" t="s">
        <v>283</v>
      </c>
      <c r="F512" s="195" t="s">
        <v>283</v>
      </c>
      <c r="G512" s="195" t="s">
        <v>283</v>
      </c>
      <c r="H512" s="195" t="s">
        <v>283</v>
      </c>
      <c r="I512" s="195" t="s">
        <v>283</v>
      </c>
      <c r="J512" s="195" t="s">
        <v>283</v>
      </c>
      <c r="K512" s="195" t="s">
        <v>283</v>
      </c>
      <c r="L512" s="195" t="s">
        <v>283</v>
      </c>
      <c r="M512" s="195" t="s">
        <v>283</v>
      </c>
      <c r="N512" s="195" t="s">
        <v>283</v>
      </c>
      <c r="O512" s="195" t="s">
        <v>283</v>
      </c>
      <c r="P512" s="195" t="s">
        <v>283</v>
      </c>
      <c r="Q512" s="195" t="s">
        <v>283</v>
      </c>
      <c r="R512" s="195" t="s">
        <v>283</v>
      </c>
      <c r="S512" s="195" t="s">
        <v>283</v>
      </c>
      <c r="T512" s="195" t="s">
        <v>283</v>
      </c>
      <c r="U512" s="195" t="s">
        <v>283</v>
      </c>
      <c r="V512" s="195" t="s">
        <v>283</v>
      </c>
      <c r="W512" s="195" t="s">
        <v>283</v>
      </c>
      <c r="X512" s="195" t="s">
        <v>283</v>
      </c>
      <c r="Y512" s="195" t="s">
        <v>283</v>
      </c>
      <c r="Z512" s="195" t="s">
        <v>284</v>
      </c>
    </row>
    <row r="513" spans="1:26">
      <c r="A513" s="195" t="s">
        <v>204</v>
      </c>
    </row>
    <row r="514" spans="1:26">
      <c r="A514" s="195" t="s">
        <v>303</v>
      </c>
      <c r="B514" s="195" t="s">
        <v>285</v>
      </c>
      <c r="C514" s="195">
        <v>0.999</v>
      </c>
      <c r="D514" s="195">
        <v>0.97899999999999998</v>
      </c>
      <c r="E514" s="195">
        <v>0.94</v>
      </c>
      <c r="F514" s="195">
        <v>0.91400000000000003</v>
      </c>
      <c r="G514" s="195">
        <v>0.92700000000000005</v>
      </c>
      <c r="H514" s="195">
        <v>0.93500000000000005</v>
      </c>
      <c r="I514" s="195">
        <v>0.91900000000000004</v>
      </c>
      <c r="J514" s="195">
        <v>0.92900000000000005</v>
      </c>
      <c r="K514" s="195">
        <v>0.93100000000000005</v>
      </c>
      <c r="L514" s="195">
        <v>0.94799999999999995</v>
      </c>
      <c r="M514" s="195">
        <v>0.94</v>
      </c>
      <c r="N514" s="195">
        <v>0.96399999999999997</v>
      </c>
      <c r="O514" s="195">
        <v>0.97599999999999998</v>
      </c>
      <c r="P514" s="195">
        <v>0.99</v>
      </c>
      <c r="Q514" s="195">
        <v>1</v>
      </c>
      <c r="R514" s="195">
        <v>1.01</v>
      </c>
      <c r="S514" s="195">
        <v>1.0129999999999999</v>
      </c>
      <c r="T514" s="195">
        <v>1.0229999999999999</v>
      </c>
      <c r="U514" s="195">
        <v>1.026</v>
      </c>
      <c r="V514" s="195">
        <v>1.036</v>
      </c>
      <c r="W514" s="195">
        <v>1.05</v>
      </c>
      <c r="X514" s="195">
        <v>1.0669999999999999</v>
      </c>
      <c r="Y514" s="195">
        <v>1.073</v>
      </c>
      <c r="Z514" s="195">
        <v>1.08</v>
      </c>
    </row>
    <row r="515" spans="1:26">
      <c r="A515" s="195" t="s">
        <v>304</v>
      </c>
      <c r="B515" s="195" t="s">
        <v>285</v>
      </c>
      <c r="C515" s="195">
        <v>0.96099999999999997</v>
      </c>
      <c r="D515" s="195">
        <v>0.94099999999999995</v>
      </c>
      <c r="E515" s="195">
        <v>0.90200000000000002</v>
      </c>
      <c r="F515" s="195">
        <v>0.879</v>
      </c>
      <c r="G515" s="195">
        <v>0.89500000000000002</v>
      </c>
      <c r="H515" s="195">
        <v>0.90500000000000003</v>
      </c>
      <c r="I515" s="195">
        <v>0.89100000000000001</v>
      </c>
      <c r="J515" s="195">
        <v>0.90200000000000002</v>
      </c>
      <c r="K515" s="195">
        <v>0.90600000000000003</v>
      </c>
      <c r="L515" s="195">
        <v>0.92400000000000004</v>
      </c>
      <c r="M515" s="195">
        <v>0.91700000000000004</v>
      </c>
      <c r="N515" s="195">
        <v>0.94299999999999995</v>
      </c>
      <c r="O515" s="195">
        <v>0.95499999999999996</v>
      </c>
      <c r="P515" s="195">
        <v>0.97099999999999997</v>
      </c>
      <c r="Q515" s="195">
        <v>0.98099999999999998</v>
      </c>
      <c r="R515" s="195">
        <v>0.99199999999999999</v>
      </c>
      <c r="S515" s="195">
        <v>0.996</v>
      </c>
      <c r="T515" s="195">
        <v>1.006</v>
      </c>
      <c r="U515" s="195">
        <v>1.01</v>
      </c>
      <c r="V515" s="195">
        <v>1.0209999999999999</v>
      </c>
      <c r="W515" s="195">
        <v>1.0349999999999999</v>
      </c>
      <c r="X515" s="195">
        <v>1.052</v>
      </c>
      <c r="Y515" s="195">
        <v>1.0589999999999999</v>
      </c>
      <c r="Z515" s="195">
        <v>1.0669999999999999</v>
      </c>
    </row>
    <row r="516" spans="1:26">
      <c r="A516" s="195" t="s">
        <v>305</v>
      </c>
      <c r="B516" s="195" t="s">
        <v>285</v>
      </c>
      <c r="C516" s="195">
        <v>0.92700000000000005</v>
      </c>
      <c r="D516" s="195">
        <v>0.9</v>
      </c>
      <c r="E516" s="195">
        <v>0.86099999999999999</v>
      </c>
      <c r="F516" s="195">
        <v>0.83599999999999997</v>
      </c>
      <c r="G516" s="195">
        <v>0.85</v>
      </c>
      <c r="H516" s="195">
        <v>0.85899999999999999</v>
      </c>
      <c r="I516" s="195">
        <v>0.85099999999999998</v>
      </c>
      <c r="J516" s="195">
        <v>0.85399999999999998</v>
      </c>
      <c r="K516" s="195">
        <v>0.86399999999999999</v>
      </c>
      <c r="L516" s="195">
        <v>0.88200000000000001</v>
      </c>
      <c r="M516" s="195">
        <v>0.875</v>
      </c>
      <c r="N516" s="195">
        <v>0.90100000000000002</v>
      </c>
      <c r="O516" s="195">
        <v>0.90500000000000003</v>
      </c>
      <c r="P516" s="195">
        <v>0.93100000000000005</v>
      </c>
      <c r="Q516" s="195">
        <v>0.93899999999999995</v>
      </c>
      <c r="R516" s="195">
        <v>0.94699999999999995</v>
      </c>
      <c r="S516" s="195">
        <v>0.95699999999999996</v>
      </c>
      <c r="T516" s="195">
        <v>0.95099999999999996</v>
      </c>
      <c r="U516" s="195">
        <v>0.95399999999999996</v>
      </c>
      <c r="V516" s="195">
        <v>0.96699999999999997</v>
      </c>
      <c r="W516" s="195">
        <v>0.98499999999999999</v>
      </c>
      <c r="X516" s="195">
        <v>1.01</v>
      </c>
      <c r="Y516" s="195">
        <v>1.018</v>
      </c>
      <c r="Z516" s="195">
        <v>1.0249999999999999</v>
      </c>
    </row>
    <row r="517" spans="1:26">
      <c r="A517" s="195" t="s">
        <v>306</v>
      </c>
      <c r="B517" s="195" t="s">
        <v>285</v>
      </c>
      <c r="C517" s="195">
        <v>0.95599999999999996</v>
      </c>
      <c r="D517" s="195">
        <v>0.92900000000000005</v>
      </c>
      <c r="E517" s="195">
        <v>0.89</v>
      </c>
      <c r="F517" s="195">
        <v>0.86299999999999999</v>
      </c>
      <c r="G517" s="195">
        <v>0.875</v>
      </c>
      <c r="H517" s="195">
        <v>0.88300000000000001</v>
      </c>
      <c r="I517" s="195">
        <v>0.873</v>
      </c>
      <c r="J517" s="195">
        <v>0.875</v>
      </c>
      <c r="K517" s="195">
        <v>0.88400000000000001</v>
      </c>
      <c r="L517" s="195">
        <v>0.90100000000000002</v>
      </c>
      <c r="M517" s="195">
        <v>0.89300000000000002</v>
      </c>
      <c r="N517" s="195">
        <v>0.91800000000000004</v>
      </c>
      <c r="O517" s="195">
        <v>0.92100000000000004</v>
      </c>
      <c r="P517" s="195">
        <v>0.94699999999999995</v>
      </c>
      <c r="Q517" s="195">
        <v>0.95399999999999996</v>
      </c>
      <c r="R517" s="195">
        <v>0.96199999999999997</v>
      </c>
      <c r="S517" s="195">
        <v>0.97099999999999997</v>
      </c>
      <c r="T517" s="195">
        <v>0.96499999999999997</v>
      </c>
      <c r="U517" s="195">
        <v>0.96699999999999997</v>
      </c>
      <c r="V517" s="195">
        <v>0.98</v>
      </c>
      <c r="W517" s="195">
        <v>0.998</v>
      </c>
      <c r="X517" s="195">
        <v>1.0229999999999999</v>
      </c>
      <c r="Y517" s="195">
        <v>1.03</v>
      </c>
      <c r="Z517" s="195">
        <v>1.0369999999999999</v>
      </c>
    </row>
    <row r="518" spans="1:26">
      <c r="A518" s="195" t="s">
        <v>307</v>
      </c>
      <c r="B518" s="195" t="s">
        <v>285</v>
      </c>
      <c r="C518" s="195">
        <v>0.94899999999999995</v>
      </c>
      <c r="D518" s="195">
        <v>0.92900000000000005</v>
      </c>
      <c r="E518" s="195">
        <v>0.89</v>
      </c>
      <c r="F518" s="195">
        <v>0.86699999999999999</v>
      </c>
      <c r="G518" s="195">
        <v>0.88200000000000001</v>
      </c>
      <c r="H518" s="195">
        <v>0.89200000000000002</v>
      </c>
      <c r="I518" s="195">
        <v>0.877</v>
      </c>
      <c r="J518" s="195">
        <v>0.88800000000000001</v>
      </c>
      <c r="K518" s="195">
        <v>0.89100000000000001</v>
      </c>
      <c r="L518" s="195">
        <v>0.90900000000000003</v>
      </c>
      <c r="M518" s="195">
        <v>0.90200000000000002</v>
      </c>
      <c r="N518" s="195">
        <v>0.92700000000000005</v>
      </c>
      <c r="O518" s="195">
        <v>0.93899999999999995</v>
      </c>
      <c r="P518" s="195">
        <v>0.95399999999999996</v>
      </c>
      <c r="Q518" s="195">
        <v>0.96499999999999997</v>
      </c>
      <c r="R518" s="195">
        <v>0.97499999999999998</v>
      </c>
      <c r="S518" s="195">
        <v>0.97799999999999998</v>
      </c>
      <c r="T518" s="195">
        <v>0.98799999999999999</v>
      </c>
      <c r="U518" s="195">
        <v>0.99199999999999999</v>
      </c>
      <c r="V518" s="195">
        <v>1.0029999999999999</v>
      </c>
      <c r="W518" s="195">
        <v>1.0169999999999999</v>
      </c>
      <c r="X518" s="195">
        <v>1.034</v>
      </c>
      <c r="Y518" s="195">
        <v>1.0409999999999999</v>
      </c>
      <c r="Z518" s="195">
        <v>1.048</v>
      </c>
    </row>
    <row r="519" spans="1:26">
      <c r="A519" s="195" t="s">
        <v>308</v>
      </c>
      <c r="B519" s="195" t="s">
        <v>285</v>
      </c>
      <c r="C519" s="195">
        <v>0.94899999999999995</v>
      </c>
      <c r="D519" s="195">
        <v>0.92200000000000004</v>
      </c>
      <c r="E519" s="195">
        <v>0.88300000000000001</v>
      </c>
      <c r="F519" s="195">
        <v>0.86099999999999999</v>
      </c>
      <c r="G519" s="195">
        <v>0.877</v>
      </c>
      <c r="H519" s="195">
        <v>0.88900000000000001</v>
      </c>
      <c r="I519" s="195">
        <v>0.875</v>
      </c>
      <c r="J519" s="195">
        <v>0.88700000000000001</v>
      </c>
      <c r="K519" s="195">
        <v>0.89100000000000001</v>
      </c>
      <c r="L519" s="195">
        <v>0.91</v>
      </c>
      <c r="M519" s="195">
        <v>0.90400000000000003</v>
      </c>
      <c r="N519" s="195">
        <v>0.93</v>
      </c>
      <c r="O519" s="195">
        <v>0.94299999999999995</v>
      </c>
      <c r="P519" s="195">
        <v>0.95899999999999996</v>
      </c>
      <c r="Q519" s="195">
        <v>0.97</v>
      </c>
      <c r="R519" s="195">
        <v>0.98099999999999998</v>
      </c>
      <c r="S519" s="195">
        <v>0.98499999999999999</v>
      </c>
      <c r="T519" s="195">
        <v>0.996</v>
      </c>
      <c r="U519" s="195">
        <v>1</v>
      </c>
      <c r="V519" s="195">
        <v>1.0109999999999999</v>
      </c>
      <c r="W519" s="195">
        <v>1.026</v>
      </c>
      <c r="X519" s="195">
        <v>1.0429999999999999</v>
      </c>
      <c r="Y519" s="195">
        <v>1.0509999999999999</v>
      </c>
      <c r="Z519" s="195">
        <v>1.0580000000000001</v>
      </c>
    </row>
    <row r="520" spans="1:26">
      <c r="A520" s="195" t="s">
        <v>309</v>
      </c>
      <c r="B520" s="195" t="s">
        <v>285</v>
      </c>
      <c r="C520" s="195">
        <v>0.92</v>
      </c>
      <c r="D520" s="195">
        <v>0.89300000000000002</v>
      </c>
      <c r="E520" s="195">
        <v>0.85399999999999998</v>
      </c>
      <c r="F520" s="195">
        <v>0.83199999999999996</v>
      </c>
      <c r="G520" s="195">
        <v>0.84799999999999998</v>
      </c>
      <c r="H520" s="195">
        <v>0.85899999999999999</v>
      </c>
      <c r="I520" s="195">
        <v>0.84499999999999997</v>
      </c>
      <c r="J520" s="195">
        <v>0.85599999999999998</v>
      </c>
      <c r="K520" s="195">
        <v>0.86</v>
      </c>
      <c r="L520" s="195">
        <v>0.879</v>
      </c>
      <c r="M520" s="195">
        <v>0.872</v>
      </c>
      <c r="N520" s="195">
        <v>0.89800000000000002</v>
      </c>
      <c r="O520" s="195">
        <v>0.91100000000000003</v>
      </c>
      <c r="P520" s="195">
        <v>0.92600000000000005</v>
      </c>
      <c r="Q520" s="195">
        <v>0.93700000000000006</v>
      </c>
      <c r="R520" s="195">
        <v>0.94799999999999995</v>
      </c>
      <c r="S520" s="195">
        <v>0.95199999999999996</v>
      </c>
      <c r="T520" s="195">
        <v>0.96199999999999997</v>
      </c>
      <c r="U520" s="195">
        <v>0.96599999999999997</v>
      </c>
      <c r="V520" s="195">
        <v>0.97699999999999998</v>
      </c>
      <c r="W520" s="195">
        <v>0.99099999999999999</v>
      </c>
      <c r="X520" s="195">
        <v>1.008</v>
      </c>
      <c r="Y520" s="195">
        <v>1.016</v>
      </c>
      <c r="Z520" s="195">
        <v>1.0229999999999999</v>
      </c>
    </row>
    <row r="521" spans="1:26">
      <c r="A521" s="195" t="s">
        <v>310</v>
      </c>
      <c r="B521" s="195" t="s">
        <v>285</v>
      </c>
      <c r="C521" s="195">
        <v>1.079</v>
      </c>
      <c r="D521" s="195">
        <v>1.1100000000000001</v>
      </c>
      <c r="E521" s="195">
        <v>1.075</v>
      </c>
      <c r="F521" s="195">
        <v>0.97599999999999998</v>
      </c>
      <c r="G521" s="195">
        <v>1.0089999999999999</v>
      </c>
      <c r="H521" s="195">
        <v>0.98399999999999999</v>
      </c>
      <c r="I521" s="195">
        <v>0.97499999999999998</v>
      </c>
      <c r="J521" s="195">
        <v>0.97599999999999998</v>
      </c>
      <c r="K521" s="195">
        <v>1.024</v>
      </c>
      <c r="L521" s="195">
        <v>0.999</v>
      </c>
      <c r="M521" s="195">
        <v>1.0169999999999999</v>
      </c>
      <c r="N521" s="195">
        <v>1.0229999999999999</v>
      </c>
      <c r="O521" s="195">
        <v>1.0169999999999999</v>
      </c>
      <c r="P521" s="195">
        <v>1.03</v>
      </c>
      <c r="Q521" s="195">
        <v>1.0489999999999999</v>
      </c>
      <c r="R521" s="195">
        <v>1.0489999999999999</v>
      </c>
      <c r="S521" s="195">
        <v>1.0580000000000001</v>
      </c>
      <c r="T521" s="195">
        <v>1.0469999999999999</v>
      </c>
      <c r="U521" s="195">
        <v>1.04</v>
      </c>
      <c r="V521" s="195">
        <v>1.054</v>
      </c>
      <c r="W521" s="195">
        <v>1.0629999999999999</v>
      </c>
      <c r="X521" s="195">
        <v>1.083</v>
      </c>
      <c r="Y521" s="195">
        <v>1.087</v>
      </c>
      <c r="Z521" s="195">
        <v>1.0920000000000001</v>
      </c>
    </row>
    <row r="522" spans="1:26">
      <c r="A522" s="195" t="s">
        <v>311</v>
      </c>
      <c r="B522" s="195" t="s">
        <v>285</v>
      </c>
      <c r="C522" s="195">
        <v>0.96599999999999997</v>
      </c>
      <c r="D522" s="195">
        <v>0.97</v>
      </c>
      <c r="E522" s="195">
        <v>0.95</v>
      </c>
      <c r="F522" s="195">
        <v>0.91700000000000004</v>
      </c>
      <c r="G522" s="195">
        <v>0.92</v>
      </c>
      <c r="H522" s="195">
        <v>0.91100000000000003</v>
      </c>
      <c r="I522" s="195">
        <v>0.91100000000000003</v>
      </c>
      <c r="J522" s="195">
        <v>0.90300000000000002</v>
      </c>
      <c r="K522" s="195">
        <v>0.90300000000000002</v>
      </c>
      <c r="L522" s="195">
        <v>0.90700000000000003</v>
      </c>
      <c r="M522" s="195">
        <v>0.90700000000000003</v>
      </c>
      <c r="N522" s="195">
        <v>0.94499999999999995</v>
      </c>
      <c r="O522" s="195">
        <v>0.91800000000000004</v>
      </c>
      <c r="P522" s="195">
        <v>0.94699999999999995</v>
      </c>
      <c r="Q522" s="195">
        <v>0.95599999999999996</v>
      </c>
      <c r="R522" s="195">
        <v>0.95699999999999996</v>
      </c>
      <c r="S522" s="195">
        <v>0.95899999999999996</v>
      </c>
      <c r="T522" s="195">
        <v>0.96399999999999997</v>
      </c>
      <c r="U522" s="195">
        <v>1.0069999999999999</v>
      </c>
      <c r="V522" s="195">
        <v>1.01</v>
      </c>
      <c r="W522" s="195">
        <v>1.0149999999999999</v>
      </c>
      <c r="X522" s="195">
        <v>1.026</v>
      </c>
      <c r="Y522" s="195">
        <v>1.0429999999999999</v>
      </c>
      <c r="Z522" s="195">
        <v>1.0409999999999999</v>
      </c>
    </row>
    <row r="523" spans="1:26">
      <c r="A523" s="195" t="s">
        <v>312</v>
      </c>
      <c r="B523" s="195" t="s">
        <v>285</v>
      </c>
      <c r="C523" s="195">
        <v>0.95399999999999996</v>
      </c>
      <c r="D523" s="195">
        <v>0.94099999999999995</v>
      </c>
      <c r="E523" s="195">
        <v>0.90700000000000003</v>
      </c>
      <c r="F523" s="195">
        <v>0.877</v>
      </c>
      <c r="G523" s="195">
        <v>0.89</v>
      </c>
      <c r="H523" s="195">
        <v>0.89300000000000002</v>
      </c>
      <c r="I523" s="195">
        <v>0.88300000000000001</v>
      </c>
      <c r="J523" s="195">
        <v>0.88800000000000001</v>
      </c>
      <c r="K523" s="195">
        <v>0.89400000000000002</v>
      </c>
      <c r="L523" s="195">
        <v>0.90600000000000003</v>
      </c>
      <c r="M523" s="195">
        <v>0.90200000000000002</v>
      </c>
      <c r="N523" s="195">
        <v>0.93</v>
      </c>
      <c r="O523" s="195">
        <v>0.93</v>
      </c>
      <c r="P523" s="195">
        <v>0.95</v>
      </c>
      <c r="Q523" s="195">
        <v>0.96</v>
      </c>
      <c r="R523" s="195">
        <v>0.96799999999999997</v>
      </c>
      <c r="S523" s="195">
        <v>0.97199999999999998</v>
      </c>
      <c r="T523" s="195">
        <v>0.97699999999999998</v>
      </c>
      <c r="U523" s="195">
        <v>0.99099999999999999</v>
      </c>
      <c r="V523" s="195">
        <v>1</v>
      </c>
      <c r="W523" s="195">
        <v>1.012</v>
      </c>
      <c r="X523" s="195">
        <v>1.028</v>
      </c>
      <c r="Y523" s="195">
        <v>1.038</v>
      </c>
      <c r="Z523" s="195">
        <v>1.0429999999999999</v>
      </c>
    </row>
    <row r="524" spans="1:26">
      <c r="A524" s="195" t="s">
        <v>281</v>
      </c>
      <c r="B524" s="195" t="s">
        <v>282</v>
      </c>
      <c r="C524" s="195" t="s">
        <v>283</v>
      </c>
      <c r="D524" s="195" t="s">
        <v>283</v>
      </c>
      <c r="E524" s="195" t="s">
        <v>283</v>
      </c>
      <c r="F524" s="195" t="s">
        <v>283</v>
      </c>
      <c r="G524" s="195" t="s">
        <v>283</v>
      </c>
      <c r="H524" s="195" t="s">
        <v>283</v>
      </c>
      <c r="I524" s="195" t="s">
        <v>283</v>
      </c>
      <c r="J524" s="195" t="s">
        <v>283</v>
      </c>
      <c r="K524" s="195" t="s">
        <v>283</v>
      </c>
      <c r="L524" s="195" t="s">
        <v>283</v>
      </c>
      <c r="M524" s="195" t="s">
        <v>283</v>
      </c>
      <c r="N524" s="195" t="s">
        <v>283</v>
      </c>
      <c r="O524" s="195" t="s">
        <v>283</v>
      </c>
      <c r="P524" s="195" t="s">
        <v>283</v>
      </c>
      <c r="Q524" s="195" t="s">
        <v>283</v>
      </c>
      <c r="R524" s="195" t="s">
        <v>283</v>
      </c>
      <c r="S524" s="195" t="s">
        <v>283</v>
      </c>
      <c r="T524" s="195" t="s">
        <v>283</v>
      </c>
      <c r="U524" s="195" t="s">
        <v>283</v>
      </c>
      <c r="V524" s="195" t="s">
        <v>283</v>
      </c>
      <c r="W524" s="195" t="s">
        <v>283</v>
      </c>
      <c r="X524" s="195" t="s">
        <v>283</v>
      </c>
      <c r="Y524" s="195" t="s">
        <v>283</v>
      </c>
      <c r="Z524" s="195" t="s">
        <v>284</v>
      </c>
    </row>
    <row r="526" spans="1:26">
      <c r="C526" s="202" t="str">
        <f>CONCATENATE(M526,N526,O526,P526,Q526,R526)</f>
        <v>Table 8US EndUse Prices,$/Gal</v>
      </c>
      <c r="M526" s="195" t="s">
        <v>297</v>
      </c>
      <c r="N526" s="195" t="s">
        <v>298</v>
      </c>
      <c r="O526" s="195" t="s">
        <v>299</v>
      </c>
      <c r="P526" s="195" t="s">
        <v>300</v>
      </c>
      <c r="Q526" s="195" t="s">
        <v>301</v>
      </c>
      <c r="R526" s="195" t="s">
        <v>302</v>
      </c>
    </row>
    <row r="527" spans="1:26">
      <c r="A527" s="195" t="s">
        <v>276</v>
      </c>
      <c r="B527" s="195" t="s">
        <v>277</v>
      </c>
      <c r="C527" s="195">
        <v>11006</v>
      </c>
      <c r="D527" s="195" t="s">
        <v>278</v>
      </c>
      <c r="E527" s="195" t="s">
        <v>279</v>
      </c>
      <c r="F527" s="195" t="s">
        <v>280</v>
      </c>
    </row>
    <row r="528" spans="1:26">
      <c r="A528" s="195" t="s">
        <v>281</v>
      </c>
      <c r="B528" s="195" t="s">
        <v>282</v>
      </c>
      <c r="C528" s="195" t="s">
        <v>283</v>
      </c>
      <c r="D528" s="195" t="s">
        <v>283</v>
      </c>
      <c r="E528" s="195" t="s">
        <v>283</v>
      </c>
      <c r="F528" s="195" t="s">
        <v>283</v>
      </c>
      <c r="G528" s="195" t="s">
        <v>283</v>
      </c>
      <c r="H528" s="195" t="s">
        <v>283</v>
      </c>
      <c r="I528" s="195" t="s">
        <v>283</v>
      </c>
      <c r="J528" s="195" t="s">
        <v>283</v>
      </c>
      <c r="K528" s="195" t="s">
        <v>283</v>
      </c>
      <c r="L528" s="195" t="s">
        <v>283</v>
      </c>
      <c r="M528" s="195" t="s">
        <v>283</v>
      </c>
      <c r="N528" s="195" t="s">
        <v>283</v>
      </c>
      <c r="O528" s="195" t="s">
        <v>283</v>
      </c>
      <c r="P528" s="195" t="s">
        <v>283</v>
      </c>
      <c r="Q528" s="195" t="s">
        <v>283</v>
      </c>
      <c r="R528" s="195" t="s">
        <v>283</v>
      </c>
      <c r="S528" s="195" t="s">
        <v>283</v>
      </c>
      <c r="T528" s="195" t="s">
        <v>283</v>
      </c>
      <c r="U528" s="195" t="s">
        <v>283</v>
      </c>
      <c r="V528" s="195" t="s">
        <v>283</v>
      </c>
      <c r="W528" s="195" t="s">
        <v>283</v>
      </c>
      <c r="X528" s="195" t="s">
        <v>283</v>
      </c>
      <c r="Y528" s="195" t="s">
        <v>283</v>
      </c>
      <c r="Z528" s="195" t="s">
        <v>284</v>
      </c>
    </row>
    <row r="529" spans="1:26">
      <c r="C529" s="195">
        <v>2007</v>
      </c>
      <c r="D529" s="195">
        <v>2008</v>
      </c>
      <c r="E529" s="195">
        <v>2009</v>
      </c>
      <c r="F529" s="195">
        <v>2010</v>
      </c>
      <c r="G529" s="195">
        <v>2011</v>
      </c>
      <c r="H529" s="195">
        <v>2012</v>
      </c>
      <c r="I529" s="195">
        <v>2013</v>
      </c>
      <c r="J529" s="195">
        <v>2014</v>
      </c>
      <c r="K529" s="195">
        <v>2015</v>
      </c>
      <c r="L529" s="195">
        <v>2016</v>
      </c>
      <c r="M529" s="195">
        <v>2017</v>
      </c>
      <c r="N529" s="195">
        <v>2018</v>
      </c>
      <c r="O529" s="195">
        <v>2019</v>
      </c>
      <c r="P529" s="195">
        <v>2020</v>
      </c>
      <c r="Q529" s="195">
        <v>2021</v>
      </c>
      <c r="R529" s="195">
        <v>2022</v>
      </c>
      <c r="S529" s="195">
        <v>2023</v>
      </c>
      <c r="T529" s="195">
        <v>2024</v>
      </c>
      <c r="U529" s="195">
        <v>2025</v>
      </c>
      <c r="V529" s="195">
        <v>2026</v>
      </c>
      <c r="W529" s="195">
        <v>2027</v>
      </c>
      <c r="X529" s="195">
        <v>2028</v>
      </c>
      <c r="Y529" s="195">
        <v>2029</v>
      </c>
      <c r="Z529" s="195">
        <v>2030</v>
      </c>
    </row>
    <row r="530" spans="1:26">
      <c r="A530" s="195" t="s">
        <v>281</v>
      </c>
      <c r="B530" s="195" t="s">
        <v>282</v>
      </c>
      <c r="C530" s="195" t="s">
        <v>283</v>
      </c>
      <c r="D530" s="195" t="s">
        <v>283</v>
      </c>
      <c r="E530" s="195" t="s">
        <v>283</v>
      </c>
      <c r="F530" s="195" t="s">
        <v>283</v>
      </c>
      <c r="G530" s="195" t="s">
        <v>283</v>
      </c>
      <c r="H530" s="195" t="s">
        <v>283</v>
      </c>
      <c r="I530" s="195" t="s">
        <v>283</v>
      </c>
      <c r="J530" s="195" t="s">
        <v>283</v>
      </c>
      <c r="K530" s="195" t="s">
        <v>283</v>
      </c>
      <c r="L530" s="195" t="s">
        <v>283</v>
      </c>
      <c r="M530" s="195" t="s">
        <v>283</v>
      </c>
      <c r="N530" s="195" t="s">
        <v>283</v>
      </c>
      <c r="O530" s="195" t="s">
        <v>283</v>
      </c>
      <c r="P530" s="195" t="s">
        <v>283</v>
      </c>
      <c r="Q530" s="195" t="s">
        <v>283</v>
      </c>
      <c r="R530" s="195" t="s">
        <v>283</v>
      </c>
      <c r="S530" s="195" t="s">
        <v>283</v>
      </c>
      <c r="T530" s="195" t="s">
        <v>283</v>
      </c>
      <c r="U530" s="195" t="s">
        <v>283</v>
      </c>
      <c r="V530" s="195" t="s">
        <v>283</v>
      </c>
      <c r="W530" s="195" t="s">
        <v>283</v>
      </c>
      <c r="X530" s="195" t="s">
        <v>283</v>
      </c>
      <c r="Y530" s="195" t="s">
        <v>283</v>
      </c>
      <c r="Z530" s="195" t="s">
        <v>284</v>
      </c>
    </row>
    <row r="531" spans="1:26">
      <c r="A531" s="195" t="s">
        <v>205</v>
      </c>
    </row>
    <row r="532" spans="1:26">
      <c r="A532" s="195" t="s">
        <v>303</v>
      </c>
      <c r="B532" s="195" t="s">
        <v>285</v>
      </c>
      <c r="C532" s="195">
        <v>1.0669999999999999</v>
      </c>
      <c r="D532" s="195">
        <v>1.0449999999999999</v>
      </c>
      <c r="E532" s="195">
        <v>1.0129999999999999</v>
      </c>
      <c r="F532" s="195">
        <v>0.97599999999999998</v>
      </c>
      <c r="G532" s="195">
        <v>0.97</v>
      </c>
      <c r="H532" s="195">
        <v>0.97599999999999998</v>
      </c>
      <c r="I532" s="195">
        <v>0.95799999999999996</v>
      </c>
      <c r="J532" s="195">
        <v>0.95599999999999996</v>
      </c>
      <c r="K532" s="195">
        <v>0.95199999999999996</v>
      </c>
      <c r="L532" s="195">
        <v>0.97299999999999998</v>
      </c>
      <c r="M532" s="195">
        <v>0.96299999999999997</v>
      </c>
      <c r="N532" s="195">
        <v>0.98299999999999998</v>
      </c>
      <c r="O532" s="195">
        <v>0.98599999999999999</v>
      </c>
      <c r="P532" s="195">
        <v>0.99199999999999999</v>
      </c>
      <c r="Q532" s="195">
        <v>0.996</v>
      </c>
      <c r="R532" s="195">
        <v>1.01</v>
      </c>
      <c r="S532" s="195">
        <v>1.0169999999999999</v>
      </c>
      <c r="T532" s="195">
        <v>1.0229999999999999</v>
      </c>
      <c r="U532" s="195">
        <v>1.03</v>
      </c>
      <c r="V532" s="195">
        <v>1.0329999999999999</v>
      </c>
      <c r="W532" s="195">
        <v>1.034</v>
      </c>
      <c r="X532" s="195">
        <v>1.036</v>
      </c>
      <c r="Y532" s="195">
        <v>1.04</v>
      </c>
      <c r="Z532" s="195">
        <v>0.93300000000000005</v>
      </c>
    </row>
    <row r="533" spans="1:26">
      <c r="A533" s="195" t="s">
        <v>304</v>
      </c>
      <c r="B533" s="195" t="s">
        <v>285</v>
      </c>
      <c r="C533" s="195">
        <v>1.1319999999999999</v>
      </c>
      <c r="D533" s="195">
        <v>1.1100000000000001</v>
      </c>
      <c r="E533" s="195">
        <v>1.0780000000000001</v>
      </c>
      <c r="F533" s="195">
        <v>1.0409999999999999</v>
      </c>
      <c r="G533" s="195">
        <v>1.034</v>
      </c>
      <c r="H533" s="195">
        <v>1.0409999999999999</v>
      </c>
      <c r="I533" s="195">
        <v>1.022</v>
      </c>
      <c r="J533" s="195">
        <v>1.02</v>
      </c>
      <c r="K533" s="195">
        <v>1.016</v>
      </c>
      <c r="L533" s="195">
        <v>1.0369999999999999</v>
      </c>
      <c r="M533" s="195">
        <v>1.0269999999999999</v>
      </c>
      <c r="N533" s="195">
        <v>1.046</v>
      </c>
      <c r="O533" s="195">
        <v>1.05</v>
      </c>
      <c r="P533" s="195">
        <v>1.0549999999999999</v>
      </c>
      <c r="Q533" s="195">
        <v>1.0589999999999999</v>
      </c>
      <c r="R533" s="195">
        <v>1.073</v>
      </c>
      <c r="S533" s="195">
        <v>1.079</v>
      </c>
      <c r="T533" s="195">
        <v>1.0860000000000001</v>
      </c>
      <c r="U533" s="195">
        <v>1.0920000000000001</v>
      </c>
      <c r="V533" s="195">
        <v>1.095</v>
      </c>
      <c r="W533" s="195">
        <v>1.095</v>
      </c>
      <c r="X533" s="195">
        <v>1.097</v>
      </c>
      <c r="Y533" s="195">
        <v>1.101</v>
      </c>
      <c r="Z533" s="195">
        <v>0.91700000000000004</v>
      </c>
    </row>
    <row r="534" spans="1:26">
      <c r="A534" s="195" t="s">
        <v>305</v>
      </c>
      <c r="B534" s="195" t="s">
        <v>285</v>
      </c>
      <c r="C534" s="195">
        <v>1.2070000000000001</v>
      </c>
      <c r="D534" s="195">
        <v>1.1830000000000001</v>
      </c>
      <c r="E534" s="195">
        <v>1.1419999999999999</v>
      </c>
      <c r="F534" s="195">
        <v>1.107</v>
      </c>
      <c r="G534" s="195">
        <v>1.1060000000000001</v>
      </c>
      <c r="H534" s="195">
        <v>1.115</v>
      </c>
      <c r="I534" s="195">
        <v>1.087</v>
      </c>
      <c r="J534" s="195">
        <v>1.097</v>
      </c>
      <c r="K534" s="195">
        <v>1.0980000000000001</v>
      </c>
      <c r="L534" s="195">
        <v>1.105</v>
      </c>
      <c r="M534" s="195">
        <v>1.1100000000000001</v>
      </c>
      <c r="N534" s="195">
        <v>1.129</v>
      </c>
      <c r="O534" s="195">
        <v>1.1220000000000001</v>
      </c>
      <c r="P534" s="195">
        <v>1.1379999999999999</v>
      </c>
      <c r="Q534" s="195">
        <v>1.1399999999999999</v>
      </c>
      <c r="R534" s="195">
        <v>1.159</v>
      </c>
      <c r="S534" s="195">
        <v>1.163</v>
      </c>
      <c r="T534" s="195">
        <v>1.1599999999999999</v>
      </c>
      <c r="U534" s="195">
        <v>1.163</v>
      </c>
      <c r="V534" s="195">
        <v>1.1659999999999999</v>
      </c>
      <c r="W534" s="195">
        <v>1.159</v>
      </c>
      <c r="X534" s="195">
        <v>1.1619999999999999</v>
      </c>
      <c r="Y534" s="195">
        <v>1.143</v>
      </c>
      <c r="Z534" s="195">
        <v>0.88400000000000001</v>
      </c>
    </row>
    <row r="535" spans="1:26">
      <c r="A535" s="195" t="s">
        <v>306</v>
      </c>
      <c r="B535" s="195" t="s">
        <v>285</v>
      </c>
      <c r="C535" s="195">
        <v>1.1200000000000001</v>
      </c>
      <c r="D535" s="195">
        <v>1.095</v>
      </c>
      <c r="E535" s="195">
        <v>1.054</v>
      </c>
      <c r="F535" s="195">
        <v>1.0189999999999999</v>
      </c>
      <c r="G535" s="195">
        <v>1.0169999999999999</v>
      </c>
      <c r="H535" s="195">
        <v>1.0269999999999999</v>
      </c>
      <c r="I535" s="195">
        <v>0.998</v>
      </c>
      <c r="J535" s="195">
        <v>1.0089999999999999</v>
      </c>
      <c r="K535" s="195">
        <v>1.0089999999999999</v>
      </c>
      <c r="L535" s="195">
        <v>1.016</v>
      </c>
      <c r="M535" s="195">
        <v>1.0209999999999999</v>
      </c>
      <c r="N535" s="195">
        <v>1.04</v>
      </c>
      <c r="O535" s="195">
        <v>1.0329999999999999</v>
      </c>
      <c r="P535" s="195">
        <v>1.0489999999999999</v>
      </c>
      <c r="Q535" s="195">
        <v>1.05</v>
      </c>
      <c r="R535" s="195">
        <v>1.048</v>
      </c>
      <c r="S535" s="195">
        <v>1.0529999999999999</v>
      </c>
      <c r="T535" s="195">
        <v>1.0529999999999999</v>
      </c>
      <c r="U535" s="195">
        <v>1.052</v>
      </c>
      <c r="V535" s="195">
        <v>1.0620000000000001</v>
      </c>
      <c r="W535" s="195">
        <v>1.0649999999999999</v>
      </c>
      <c r="X535" s="195">
        <v>1.06</v>
      </c>
      <c r="Y535" s="195">
        <v>1.0509999999999999</v>
      </c>
      <c r="Z535" s="195">
        <v>0.88300000000000001</v>
      </c>
    </row>
    <row r="536" spans="1:26">
      <c r="A536" s="195" t="s">
        <v>307</v>
      </c>
      <c r="B536" s="195" t="s">
        <v>285</v>
      </c>
      <c r="C536" s="195">
        <v>1.163</v>
      </c>
      <c r="D536" s="195">
        <v>1.1439999999999999</v>
      </c>
      <c r="E536" s="195">
        <v>1.1040000000000001</v>
      </c>
      <c r="F536" s="195">
        <v>1.0720000000000001</v>
      </c>
      <c r="G536" s="195">
        <v>1.0660000000000001</v>
      </c>
      <c r="H536" s="195">
        <v>1.075</v>
      </c>
      <c r="I536" s="195">
        <v>1.0409999999999999</v>
      </c>
      <c r="J536" s="195">
        <v>1.05</v>
      </c>
      <c r="K536" s="195">
        <v>1.0509999999999999</v>
      </c>
      <c r="L536" s="195">
        <v>1.0720000000000001</v>
      </c>
      <c r="M536" s="195">
        <v>1.0620000000000001</v>
      </c>
      <c r="N536" s="195">
        <v>1.081</v>
      </c>
      <c r="O536" s="195">
        <v>1.0840000000000001</v>
      </c>
      <c r="P536" s="195">
        <v>1.0900000000000001</v>
      </c>
      <c r="Q536" s="195">
        <v>1.0940000000000001</v>
      </c>
      <c r="R536" s="195">
        <v>1.1100000000000001</v>
      </c>
      <c r="S536" s="195">
        <v>1.1140000000000001</v>
      </c>
      <c r="T536" s="195">
        <v>1.121</v>
      </c>
      <c r="U536" s="195">
        <v>1.1279999999999999</v>
      </c>
      <c r="V536" s="195">
        <v>1.1299999999999999</v>
      </c>
      <c r="W536" s="195">
        <v>1.133</v>
      </c>
      <c r="X536" s="195">
        <v>1.137</v>
      </c>
      <c r="Y536" s="195">
        <v>1.1459999999999999</v>
      </c>
      <c r="Z536" s="195">
        <v>0.94399999999999995</v>
      </c>
    </row>
    <row r="537" spans="1:26">
      <c r="A537" s="195" t="s">
        <v>308</v>
      </c>
      <c r="B537" s="195" t="s">
        <v>285</v>
      </c>
      <c r="C537" s="195">
        <v>1.2170000000000001</v>
      </c>
      <c r="D537" s="195">
        <v>1.1919999999999999</v>
      </c>
      <c r="E537" s="195">
        <v>1.1519999999999999</v>
      </c>
      <c r="F537" s="195">
        <v>1.1200000000000001</v>
      </c>
      <c r="G537" s="195">
        <v>1.113</v>
      </c>
      <c r="H537" s="195">
        <v>1.123</v>
      </c>
      <c r="I537" s="195">
        <v>1.0880000000000001</v>
      </c>
      <c r="J537" s="195">
        <v>1.0980000000000001</v>
      </c>
      <c r="K537" s="195">
        <v>1.099</v>
      </c>
      <c r="L537" s="195">
        <v>1.1200000000000001</v>
      </c>
      <c r="M537" s="195">
        <v>1.1100000000000001</v>
      </c>
      <c r="N537" s="195">
        <v>1.129</v>
      </c>
      <c r="O537" s="195">
        <v>1.133</v>
      </c>
      <c r="P537" s="195">
        <v>1.139</v>
      </c>
      <c r="Q537" s="195">
        <v>1.1439999999999999</v>
      </c>
      <c r="R537" s="195">
        <v>1.1599999999999999</v>
      </c>
      <c r="S537" s="195">
        <v>1.165</v>
      </c>
      <c r="T537" s="195">
        <v>1.1719999999999999</v>
      </c>
      <c r="U537" s="195">
        <v>1.179</v>
      </c>
      <c r="V537" s="195">
        <v>1.1819999999999999</v>
      </c>
      <c r="W537" s="195">
        <v>1.1739999999999999</v>
      </c>
      <c r="X537" s="195">
        <v>1.1779999999999999</v>
      </c>
      <c r="Y537" s="195">
        <v>1.17</v>
      </c>
      <c r="Z537" s="195">
        <v>0.92</v>
      </c>
    </row>
    <row r="538" spans="1:26">
      <c r="A538" s="195" t="s">
        <v>309</v>
      </c>
      <c r="B538" s="195" t="s">
        <v>285</v>
      </c>
      <c r="C538" s="195">
        <v>1.0049999999999999</v>
      </c>
      <c r="D538" s="195">
        <v>0.98</v>
      </c>
      <c r="E538" s="195">
        <v>0.94</v>
      </c>
      <c r="F538" s="195">
        <v>0.90900000000000003</v>
      </c>
      <c r="G538" s="195">
        <v>0.90200000000000002</v>
      </c>
      <c r="H538" s="195">
        <v>0.91100000000000003</v>
      </c>
      <c r="I538" s="195">
        <v>0.877</v>
      </c>
      <c r="J538" s="195">
        <v>0.88700000000000001</v>
      </c>
      <c r="K538" s="195">
        <v>0.88700000000000001</v>
      </c>
      <c r="L538" s="195">
        <v>0.90800000000000003</v>
      </c>
      <c r="M538" s="195">
        <v>0.89800000000000002</v>
      </c>
      <c r="N538" s="195">
        <v>0.91800000000000004</v>
      </c>
      <c r="O538" s="195">
        <v>0.92100000000000004</v>
      </c>
      <c r="P538" s="195">
        <v>0.92700000000000005</v>
      </c>
      <c r="Q538" s="195">
        <v>0.93100000000000005</v>
      </c>
      <c r="R538" s="195">
        <v>0.94699999999999995</v>
      </c>
      <c r="S538" s="195">
        <v>0.95199999999999996</v>
      </c>
      <c r="T538" s="195">
        <v>0.95899999999999996</v>
      </c>
      <c r="U538" s="195">
        <v>0.96499999999999997</v>
      </c>
      <c r="V538" s="195">
        <v>0.96799999999999997</v>
      </c>
      <c r="W538" s="195">
        <v>0.97</v>
      </c>
      <c r="X538" s="195">
        <v>0.97499999999999998</v>
      </c>
      <c r="Y538" s="195">
        <v>0.98399999999999999</v>
      </c>
      <c r="Z538" s="195">
        <v>0.92100000000000004</v>
      </c>
    </row>
    <row r="539" spans="1:26">
      <c r="A539" s="195" t="s">
        <v>310</v>
      </c>
      <c r="B539" s="195" t="s">
        <v>285</v>
      </c>
      <c r="C539" s="195">
        <v>1.113</v>
      </c>
      <c r="D539" s="195">
        <v>1.0940000000000001</v>
      </c>
      <c r="E539" s="195">
        <v>1.0609999999999999</v>
      </c>
      <c r="F539" s="195">
        <v>1.006</v>
      </c>
      <c r="G539" s="195">
        <v>1.0289999999999999</v>
      </c>
      <c r="H539" s="195">
        <v>1.012</v>
      </c>
      <c r="I539" s="195">
        <v>0.97299999999999998</v>
      </c>
      <c r="J539" s="195">
        <v>0.96399999999999997</v>
      </c>
      <c r="K539" s="195">
        <v>0.98399999999999999</v>
      </c>
      <c r="L539" s="195">
        <v>0.98399999999999999</v>
      </c>
      <c r="M539" s="195">
        <v>0.97399999999999998</v>
      </c>
      <c r="N539" s="195">
        <v>0.99299999999999999</v>
      </c>
      <c r="O539" s="195">
        <v>0.98599999999999999</v>
      </c>
      <c r="P539" s="195">
        <v>1.002</v>
      </c>
      <c r="Q539" s="195">
        <v>1.0029999999999999</v>
      </c>
      <c r="R539" s="195">
        <v>1.0009999999999999</v>
      </c>
      <c r="S539" s="195">
        <v>1.006</v>
      </c>
      <c r="T539" s="195">
        <v>1.0049999999999999</v>
      </c>
      <c r="U539" s="195">
        <v>1.0049999999999999</v>
      </c>
      <c r="V539" s="195">
        <v>1.0149999999999999</v>
      </c>
      <c r="W539" s="195">
        <v>1.0169999999999999</v>
      </c>
      <c r="X539" s="195">
        <v>1.0129999999999999</v>
      </c>
      <c r="Y539" s="195">
        <v>1.0029999999999999</v>
      </c>
      <c r="Z539" s="195">
        <v>0.876</v>
      </c>
    </row>
    <row r="540" spans="1:26">
      <c r="A540" s="195" t="s">
        <v>311</v>
      </c>
      <c r="B540" s="195" t="s">
        <v>285</v>
      </c>
      <c r="C540" s="195">
        <v>0.98399999999999999</v>
      </c>
      <c r="D540" s="195">
        <v>0.95699999999999996</v>
      </c>
      <c r="E540" s="195">
        <v>0.91600000000000004</v>
      </c>
      <c r="F540" s="195">
        <v>0.89600000000000002</v>
      </c>
      <c r="G540" s="195">
        <v>0.89900000000000002</v>
      </c>
      <c r="H540" s="195">
        <v>0.90200000000000002</v>
      </c>
      <c r="I540" s="195">
        <v>0.88500000000000001</v>
      </c>
      <c r="J540" s="195">
        <v>0.88400000000000001</v>
      </c>
      <c r="K540" s="195">
        <v>0.9</v>
      </c>
      <c r="L540" s="195">
        <v>0.89800000000000002</v>
      </c>
      <c r="M540" s="195">
        <v>0.90200000000000002</v>
      </c>
      <c r="N540" s="195">
        <v>0.91200000000000003</v>
      </c>
      <c r="O540" s="195">
        <v>0.91600000000000004</v>
      </c>
      <c r="P540" s="195">
        <v>0.93400000000000005</v>
      </c>
      <c r="Q540" s="195">
        <v>0.93899999999999995</v>
      </c>
      <c r="R540" s="195">
        <v>0.95099999999999996</v>
      </c>
      <c r="S540" s="195">
        <v>0.96299999999999997</v>
      </c>
      <c r="T540" s="195">
        <v>0.96599999999999997</v>
      </c>
      <c r="U540" s="195">
        <v>0.97699999999999998</v>
      </c>
      <c r="V540" s="195">
        <v>0.98699999999999999</v>
      </c>
      <c r="W540" s="195">
        <v>1.0029999999999999</v>
      </c>
      <c r="X540" s="195">
        <v>1.014</v>
      </c>
      <c r="Y540" s="195">
        <v>1.026</v>
      </c>
      <c r="Z540" s="195">
        <v>0.96499999999999997</v>
      </c>
    </row>
    <row r="541" spans="1:26">
      <c r="A541" s="195" t="s">
        <v>312</v>
      </c>
      <c r="B541" s="195" t="s">
        <v>285</v>
      </c>
      <c r="C541" s="195">
        <v>1.1259999999999999</v>
      </c>
      <c r="D541" s="195">
        <v>1.105</v>
      </c>
      <c r="E541" s="195">
        <v>1.069</v>
      </c>
      <c r="F541" s="195">
        <v>1.034</v>
      </c>
      <c r="G541" s="195">
        <v>1.0289999999999999</v>
      </c>
      <c r="H541" s="195">
        <v>1.036</v>
      </c>
      <c r="I541" s="195">
        <v>1.01</v>
      </c>
      <c r="J541" s="195">
        <v>1.0129999999999999</v>
      </c>
      <c r="K541" s="195">
        <v>1.012</v>
      </c>
      <c r="L541" s="195">
        <v>1.0309999999999999</v>
      </c>
      <c r="M541" s="195">
        <v>1.022</v>
      </c>
      <c r="N541" s="195">
        <v>1.0409999999999999</v>
      </c>
      <c r="O541" s="195">
        <v>1.044</v>
      </c>
      <c r="P541" s="195">
        <v>1.0509999999999999</v>
      </c>
      <c r="Q541" s="195">
        <v>1.0549999999999999</v>
      </c>
      <c r="R541" s="195">
        <v>1.069</v>
      </c>
      <c r="S541" s="195">
        <v>1.075</v>
      </c>
      <c r="T541" s="195">
        <v>1.08</v>
      </c>
      <c r="U541" s="195">
        <v>1.0860000000000001</v>
      </c>
      <c r="V541" s="195">
        <v>1.0900000000000001</v>
      </c>
      <c r="W541" s="195">
        <v>1.0900000000000001</v>
      </c>
      <c r="X541" s="195">
        <v>1.093</v>
      </c>
      <c r="Y541" s="195">
        <v>1.0960000000000001</v>
      </c>
      <c r="Z541" s="195">
        <v>1.1000000000000001</v>
      </c>
    </row>
    <row r="542" spans="1:26">
      <c r="A542" s="195" t="s">
        <v>313</v>
      </c>
    </row>
    <row r="543" spans="1:26">
      <c r="A543" s="195" t="s">
        <v>303</v>
      </c>
      <c r="B543" s="195" t="s">
        <v>285</v>
      </c>
      <c r="C543" s="195">
        <v>1.07</v>
      </c>
      <c r="D543" s="195">
        <v>1.048</v>
      </c>
      <c r="E543" s="195">
        <v>1.0169999999999999</v>
      </c>
      <c r="F543" s="195">
        <v>0.97899999999999998</v>
      </c>
      <c r="G543" s="195">
        <v>0.97299999999999998</v>
      </c>
      <c r="H543" s="195">
        <v>0.97899999999999998</v>
      </c>
      <c r="I543" s="195">
        <v>0.96099999999999997</v>
      </c>
      <c r="J543" s="195">
        <v>0.95899999999999996</v>
      </c>
      <c r="K543" s="195">
        <v>0.95499999999999996</v>
      </c>
      <c r="L543" s="195">
        <v>0.97599999999999998</v>
      </c>
      <c r="M543" s="195">
        <v>0.96699999999999997</v>
      </c>
      <c r="N543" s="195">
        <v>0.98599999999999999</v>
      </c>
      <c r="O543" s="195">
        <v>0.98899999999999999</v>
      </c>
      <c r="P543" s="195">
        <v>0.995</v>
      </c>
      <c r="Q543" s="195">
        <v>1</v>
      </c>
      <c r="R543" s="195">
        <v>1.014</v>
      </c>
      <c r="S543" s="195">
        <v>1.02</v>
      </c>
      <c r="T543" s="195">
        <v>1.0269999999999999</v>
      </c>
      <c r="U543" s="195">
        <v>1.034</v>
      </c>
      <c r="V543" s="195">
        <v>1.0369999999999999</v>
      </c>
      <c r="W543" s="195">
        <v>1.038</v>
      </c>
      <c r="X543" s="195">
        <v>1.04</v>
      </c>
      <c r="Y543" s="195">
        <v>1.044</v>
      </c>
      <c r="Z543" s="195">
        <v>1.0489999999999999</v>
      </c>
    </row>
    <row r="544" spans="1:26">
      <c r="A544" s="195" t="s">
        <v>304</v>
      </c>
      <c r="B544" s="195" t="s">
        <v>285</v>
      </c>
      <c r="C544" s="195">
        <v>1.1539999999999999</v>
      </c>
      <c r="D544" s="195">
        <v>1.1319999999999999</v>
      </c>
      <c r="E544" s="195">
        <v>1.101</v>
      </c>
      <c r="F544" s="195">
        <v>1.0640000000000001</v>
      </c>
      <c r="G544" s="195">
        <v>1.0569999999999999</v>
      </c>
      <c r="H544" s="195">
        <v>1.0640000000000001</v>
      </c>
      <c r="I544" s="195">
        <v>1.046</v>
      </c>
      <c r="J544" s="195">
        <v>1.044</v>
      </c>
      <c r="K544" s="195">
        <v>1.04</v>
      </c>
      <c r="L544" s="195">
        <v>1.0609999999999999</v>
      </c>
      <c r="M544" s="195">
        <v>1.0509999999999999</v>
      </c>
      <c r="N544" s="195">
        <v>1.07</v>
      </c>
      <c r="O544" s="195">
        <v>1.0740000000000001</v>
      </c>
      <c r="P544" s="195">
        <v>1.079</v>
      </c>
      <c r="Q544" s="195">
        <v>1.0840000000000001</v>
      </c>
      <c r="R544" s="195">
        <v>1.0980000000000001</v>
      </c>
      <c r="S544" s="195">
        <v>1.105</v>
      </c>
      <c r="T544" s="195">
        <v>1.111</v>
      </c>
      <c r="U544" s="195">
        <v>1.1180000000000001</v>
      </c>
      <c r="V544" s="195">
        <v>1.121</v>
      </c>
      <c r="W544" s="195">
        <v>1.1220000000000001</v>
      </c>
      <c r="X544" s="195">
        <v>1.1240000000000001</v>
      </c>
      <c r="Y544" s="195">
        <v>1.1279999999999999</v>
      </c>
      <c r="Z544" s="195">
        <v>1.133</v>
      </c>
    </row>
    <row r="545" spans="1:26">
      <c r="A545" s="195" t="s">
        <v>305</v>
      </c>
      <c r="B545" s="195" t="s">
        <v>285</v>
      </c>
      <c r="C545" s="195">
        <v>1.252</v>
      </c>
      <c r="D545" s="195">
        <v>1.2270000000000001</v>
      </c>
      <c r="E545" s="195">
        <v>1.1859999999999999</v>
      </c>
      <c r="F545" s="195">
        <v>1.1499999999999999</v>
      </c>
      <c r="G545" s="195">
        <v>1.149</v>
      </c>
      <c r="H545" s="195">
        <v>1.1579999999999999</v>
      </c>
      <c r="I545" s="195">
        <v>1.1299999999999999</v>
      </c>
      <c r="J545" s="195">
        <v>1.1399999999999999</v>
      </c>
      <c r="K545" s="195">
        <v>1.1399999999999999</v>
      </c>
      <c r="L545" s="195">
        <v>1.147</v>
      </c>
      <c r="M545" s="195">
        <v>1.151</v>
      </c>
      <c r="N545" s="195">
        <v>1.171</v>
      </c>
      <c r="O545" s="195">
        <v>1.1639999999999999</v>
      </c>
      <c r="P545" s="195">
        <v>1.18</v>
      </c>
      <c r="Q545" s="195">
        <v>1.181</v>
      </c>
      <c r="R545" s="195">
        <v>1.2</v>
      </c>
      <c r="S545" s="195">
        <v>1.204</v>
      </c>
      <c r="T545" s="195">
        <v>1.2010000000000001</v>
      </c>
      <c r="U545" s="195">
        <v>1.204</v>
      </c>
      <c r="V545" s="195">
        <v>1.2070000000000001</v>
      </c>
      <c r="W545" s="195">
        <v>1.1990000000000001</v>
      </c>
      <c r="X545" s="195">
        <v>1.2030000000000001</v>
      </c>
      <c r="Y545" s="195">
        <v>1.1830000000000001</v>
      </c>
      <c r="Z545" s="195">
        <v>1.1859999999999999</v>
      </c>
    </row>
    <row r="546" spans="1:26">
      <c r="A546" s="195" t="s">
        <v>306</v>
      </c>
      <c r="B546" s="195" t="s">
        <v>285</v>
      </c>
      <c r="C546" s="195">
        <v>1.1299999999999999</v>
      </c>
      <c r="D546" s="195">
        <v>1.105</v>
      </c>
      <c r="E546" s="195">
        <v>1.0640000000000001</v>
      </c>
      <c r="F546" s="195">
        <v>1.0289999999999999</v>
      </c>
      <c r="G546" s="195">
        <v>1.0269999999999999</v>
      </c>
      <c r="H546" s="195">
        <v>1.036</v>
      </c>
      <c r="I546" s="195">
        <v>1.008</v>
      </c>
      <c r="J546" s="195">
        <v>1.018</v>
      </c>
      <c r="K546" s="195">
        <v>1.0189999999999999</v>
      </c>
      <c r="L546" s="195">
        <v>1.0249999999999999</v>
      </c>
      <c r="M546" s="195">
        <v>1.03</v>
      </c>
      <c r="N546" s="195">
        <v>1.0489999999999999</v>
      </c>
      <c r="O546" s="195">
        <v>1.042</v>
      </c>
      <c r="P546" s="195">
        <v>1.0580000000000001</v>
      </c>
      <c r="Q546" s="195">
        <v>1.0589999999999999</v>
      </c>
      <c r="R546" s="195">
        <v>1.0569999999999999</v>
      </c>
      <c r="S546" s="195">
        <v>1.0620000000000001</v>
      </c>
      <c r="T546" s="195">
        <v>1.0609999999999999</v>
      </c>
      <c r="U546" s="195">
        <v>1.0609999999999999</v>
      </c>
      <c r="V546" s="195">
        <v>1.071</v>
      </c>
      <c r="W546" s="195">
        <v>1.073</v>
      </c>
      <c r="X546" s="195">
        <v>1.069</v>
      </c>
      <c r="Y546" s="195">
        <v>1.0589999999999999</v>
      </c>
      <c r="Z546" s="195">
        <v>1.0629999999999999</v>
      </c>
    </row>
    <row r="547" spans="1:26">
      <c r="A547" s="195" t="s">
        <v>307</v>
      </c>
      <c r="B547" s="195" t="s">
        <v>285</v>
      </c>
      <c r="C547" s="195">
        <v>1.1719999999999999</v>
      </c>
      <c r="D547" s="195">
        <v>1.1539999999999999</v>
      </c>
      <c r="E547" s="195">
        <v>1.1140000000000001</v>
      </c>
      <c r="F547" s="195">
        <v>1.0820000000000001</v>
      </c>
      <c r="G547" s="195">
        <v>1.075</v>
      </c>
      <c r="H547" s="195">
        <v>1.085</v>
      </c>
      <c r="I547" s="195">
        <v>1.05</v>
      </c>
      <c r="J547" s="195">
        <v>1.06</v>
      </c>
      <c r="K547" s="195">
        <v>1.0609999999999999</v>
      </c>
      <c r="L547" s="195">
        <v>1.0820000000000001</v>
      </c>
      <c r="M547" s="195">
        <v>1.0720000000000001</v>
      </c>
      <c r="N547" s="195">
        <v>1.0920000000000001</v>
      </c>
      <c r="O547" s="195">
        <v>1.095</v>
      </c>
      <c r="P547" s="195">
        <v>1.101</v>
      </c>
      <c r="Q547" s="195">
        <v>1.1060000000000001</v>
      </c>
      <c r="R547" s="195">
        <v>1.121</v>
      </c>
      <c r="S547" s="195">
        <v>1.1259999999999999</v>
      </c>
      <c r="T547" s="195">
        <v>1.133</v>
      </c>
      <c r="U547" s="195">
        <v>1.1399999999999999</v>
      </c>
      <c r="V547" s="195">
        <v>1.143</v>
      </c>
      <c r="W547" s="195">
        <v>1.1459999999999999</v>
      </c>
      <c r="X547" s="195">
        <v>1.1499999999999999</v>
      </c>
      <c r="Y547" s="195">
        <v>1.159</v>
      </c>
      <c r="Z547" s="195">
        <v>1.165</v>
      </c>
    </row>
    <row r="548" spans="1:26">
      <c r="A548" s="195" t="s">
        <v>308</v>
      </c>
      <c r="B548" s="195" t="s">
        <v>285</v>
      </c>
      <c r="C548" s="195">
        <v>1.2430000000000001</v>
      </c>
      <c r="D548" s="195">
        <v>1.2170000000000001</v>
      </c>
      <c r="E548" s="195">
        <v>1.177</v>
      </c>
      <c r="F548" s="195">
        <v>1.145</v>
      </c>
      <c r="G548" s="195">
        <v>1.1379999999999999</v>
      </c>
      <c r="H548" s="195">
        <v>1.1479999999999999</v>
      </c>
      <c r="I548" s="195">
        <v>1.113</v>
      </c>
      <c r="J548" s="195">
        <v>1.123</v>
      </c>
      <c r="K548" s="195">
        <v>1.1240000000000001</v>
      </c>
      <c r="L548" s="195">
        <v>1.145</v>
      </c>
      <c r="M548" s="195">
        <v>1.135</v>
      </c>
      <c r="N548" s="195">
        <v>1.155</v>
      </c>
      <c r="O548" s="195">
        <v>1.1579999999999999</v>
      </c>
      <c r="P548" s="195">
        <v>1.1639999999999999</v>
      </c>
      <c r="Q548" s="195">
        <v>1.169</v>
      </c>
      <c r="R548" s="195">
        <v>1.1839999999999999</v>
      </c>
      <c r="S548" s="195">
        <v>1.1890000000000001</v>
      </c>
      <c r="T548" s="195">
        <v>1.196</v>
      </c>
      <c r="U548" s="195">
        <v>1.2030000000000001</v>
      </c>
      <c r="V548" s="195">
        <v>1.206</v>
      </c>
      <c r="W548" s="195">
        <v>1.198</v>
      </c>
      <c r="X548" s="195">
        <v>1.202</v>
      </c>
      <c r="Y548" s="195">
        <v>1.1930000000000001</v>
      </c>
      <c r="Z548" s="195">
        <v>1.198</v>
      </c>
    </row>
    <row r="549" spans="1:26">
      <c r="A549" s="195" t="s">
        <v>309</v>
      </c>
      <c r="B549" s="195" t="s">
        <v>285</v>
      </c>
      <c r="C549" s="195">
        <v>1.095</v>
      </c>
      <c r="D549" s="195">
        <v>1.07</v>
      </c>
      <c r="E549" s="195">
        <v>1.03</v>
      </c>
      <c r="F549" s="195">
        <v>0.998</v>
      </c>
      <c r="G549" s="195">
        <v>0.99199999999999999</v>
      </c>
      <c r="H549" s="195">
        <v>1.0009999999999999</v>
      </c>
      <c r="I549" s="195">
        <v>0.96699999999999997</v>
      </c>
      <c r="J549" s="195">
        <v>0.97699999999999998</v>
      </c>
      <c r="K549" s="195">
        <v>0.97699999999999998</v>
      </c>
      <c r="L549" s="195">
        <v>0.998</v>
      </c>
      <c r="M549" s="195">
        <v>0.98799999999999999</v>
      </c>
      <c r="N549" s="195">
        <v>1.008</v>
      </c>
      <c r="O549" s="195">
        <v>1.0109999999999999</v>
      </c>
      <c r="P549" s="195">
        <v>1.0169999999999999</v>
      </c>
      <c r="Q549" s="195">
        <v>1.022</v>
      </c>
      <c r="R549" s="195">
        <v>1.0369999999999999</v>
      </c>
      <c r="S549" s="195">
        <v>1.042</v>
      </c>
      <c r="T549" s="195">
        <v>1.0489999999999999</v>
      </c>
      <c r="U549" s="195">
        <v>1.056</v>
      </c>
      <c r="V549" s="195">
        <v>1.0589999999999999</v>
      </c>
      <c r="W549" s="195">
        <v>1.0609999999999999</v>
      </c>
      <c r="X549" s="195">
        <v>1.0660000000000001</v>
      </c>
      <c r="Y549" s="195">
        <v>1.075</v>
      </c>
      <c r="Z549" s="195">
        <v>1.081</v>
      </c>
    </row>
    <row r="550" spans="1:26">
      <c r="A550" s="195" t="s">
        <v>310</v>
      </c>
      <c r="B550" s="195" t="s">
        <v>285</v>
      </c>
      <c r="C550" s="195">
        <v>1.1140000000000001</v>
      </c>
      <c r="D550" s="195">
        <v>1.095</v>
      </c>
      <c r="E550" s="195">
        <v>1.0629999999999999</v>
      </c>
      <c r="F550" s="195">
        <v>1.008</v>
      </c>
      <c r="G550" s="195">
        <v>1.0309999999999999</v>
      </c>
      <c r="H550" s="195">
        <v>1.0129999999999999</v>
      </c>
      <c r="I550" s="195">
        <v>0.97499999999999998</v>
      </c>
      <c r="J550" s="195">
        <v>0.96599999999999997</v>
      </c>
      <c r="K550" s="195">
        <v>0.98599999999999999</v>
      </c>
      <c r="L550" s="195">
        <v>0.98599999999999999</v>
      </c>
      <c r="M550" s="195">
        <v>0.97499999999999998</v>
      </c>
      <c r="N550" s="195">
        <v>0.995</v>
      </c>
      <c r="O550" s="195">
        <v>0.98799999999999999</v>
      </c>
      <c r="P550" s="195">
        <v>1.004</v>
      </c>
      <c r="Q550" s="195">
        <v>1.0049999999999999</v>
      </c>
      <c r="R550" s="195">
        <v>1.002</v>
      </c>
      <c r="S550" s="195">
        <v>1.008</v>
      </c>
      <c r="T550" s="195">
        <v>1.0069999999999999</v>
      </c>
      <c r="U550" s="195">
        <v>1.006</v>
      </c>
      <c r="V550" s="195">
        <v>1.016</v>
      </c>
      <c r="W550" s="195">
        <v>1.0189999999999999</v>
      </c>
      <c r="X550" s="195">
        <v>1.014</v>
      </c>
      <c r="Y550" s="195">
        <v>1.0049999999999999</v>
      </c>
      <c r="Z550" s="195">
        <v>1.0089999999999999</v>
      </c>
    </row>
    <row r="551" spans="1:26">
      <c r="A551" s="195" t="s">
        <v>311</v>
      </c>
      <c r="B551" s="195" t="s">
        <v>285</v>
      </c>
      <c r="C551" s="195">
        <v>0.97899999999999998</v>
      </c>
      <c r="D551" s="195">
        <v>0.95199999999999996</v>
      </c>
      <c r="E551" s="195">
        <v>0.91100000000000003</v>
      </c>
      <c r="F551" s="195">
        <v>0.89200000000000002</v>
      </c>
      <c r="G551" s="195">
        <v>0.89400000000000002</v>
      </c>
      <c r="H551" s="195">
        <v>0.89800000000000002</v>
      </c>
      <c r="I551" s="195">
        <v>0.88100000000000001</v>
      </c>
      <c r="J551" s="195">
        <v>0.879</v>
      </c>
      <c r="K551" s="195">
        <v>0.89600000000000002</v>
      </c>
      <c r="L551" s="195">
        <v>0.89300000000000002</v>
      </c>
      <c r="M551" s="195">
        <v>0.89800000000000002</v>
      </c>
      <c r="N551" s="195">
        <v>0.90700000000000003</v>
      </c>
      <c r="O551" s="195">
        <v>0.91200000000000003</v>
      </c>
      <c r="P551" s="195">
        <v>0.92900000000000005</v>
      </c>
      <c r="Q551" s="195">
        <v>0.93400000000000005</v>
      </c>
      <c r="R551" s="195">
        <v>0.94699999999999995</v>
      </c>
      <c r="S551" s="195">
        <v>0.95799999999999996</v>
      </c>
      <c r="T551" s="195">
        <v>0.96099999999999997</v>
      </c>
      <c r="U551" s="195">
        <v>0.97299999999999998</v>
      </c>
      <c r="V551" s="195">
        <v>0.98199999999999998</v>
      </c>
      <c r="W551" s="195">
        <v>0.999</v>
      </c>
      <c r="X551" s="195">
        <v>1.01</v>
      </c>
      <c r="Y551" s="195">
        <v>1.0209999999999999</v>
      </c>
      <c r="Z551" s="195">
        <v>1.0229999999999999</v>
      </c>
    </row>
    <row r="552" spans="1:26">
      <c r="A552" s="195" t="s">
        <v>312</v>
      </c>
      <c r="B552" s="195" t="s">
        <v>285</v>
      </c>
      <c r="C552" s="195">
        <v>1.1479999999999999</v>
      </c>
      <c r="D552" s="195">
        <v>1.127</v>
      </c>
      <c r="E552" s="195">
        <v>1.091</v>
      </c>
      <c r="F552" s="195">
        <v>1.056</v>
      </c>
      <c r="G552" s="195">
        <v>1.0509999999999999</v>
      </c>
      <c r="H552" s="195">
        <v>1.0580000000000001</v>
      </c>
      <c r="I552" s="195">
        <v>1.032</v>
      </c>
      <c r="J552" s="195">
        <v>1.036</v>
      </c>
      <c r="K552" s="195">
        <v>1.0349999999999999</v>
      </c>
      <c r="L552" s="195">
        <v>1.054</v>
      </c>
      <c r="M552" s="195">
        <v>1.046</v>
      </c>
      <c r="N552" s="195">
        <v>1.0649999999999999</v>
      </c>
      <c r="O552" s="195">
        <v>1.0669999999999999</v>
      </c>
      <c r="P552" s="195">
        <v>1.075</v>
      </c>
      <c r="Q552" s="195">
        <v>1.079</v>
      </c>
      <c r="R552" s="195">
        <v>1.093</v>
      </c>
      <c r="S552" s="195">
        <v>1.099</v>
      </c>
      <c r="T552" s="195">
        <v>1.105</v>
      </c>
      <c r="U552" s="195">
        <v>1.111</v>
      </c>
      <c r="V552" s="195">
        <v>1.115</v>
      </c>
      <c r="W552" s="195">
        <v>1.1160000000000001</v>
      </c>
      <c r="X552" s="195">
        <v>1.1200000000000001</v>
      </c>
      <c r="Y552" s="195">
        <v>1.1220000000000001</v>
      </c>
      <c r="Z552" s="195">
        <v>1.127</v>
      </c>
    </row>
    <row r="553" spans="1:26">
      <c r="A553" s="195" t="s">
        <v>314</v>
      </c>
    </row>
    <row r="554" spans="1:26">
      <c r="A554" s="195" t="s">
        <v>303</v>
      </c>
      <c r="B554" s="195" t="s">
        <v>285</v>
      </c>
      <c r="C554" s="195">
        <v>1.0660000000000001</v>
      </c>
      <c r="D554" s="195">
        <v>1.044</v>
      </c>
      <c r="E554" s="195">
        <v>1.012</v>
      </c>
      <c r="F554" s="195">
        <v>0.97499999999999998</v>
      </c>
      <c r="G554" s="195">
        <v>0.96899999999999997</v>
      </c>
      <c r="H554" s="195">
        <v>0.97499999999999998</v>
      </c>
      <c r="I554" s="195">
        <v>0.95699999999999996</v>
      </c>
      <c r="J554" s="195">
        <v>0.95499999999999996</v>
      </c>
      <c r="K554" s="195">
        <v>0.95099999999999996</v>
      </c>
      <c r="L554" s="195">
        <v>0.97199999999999998</v>
      </c>
      <c r="M554" s="195">
        <v>0.96299999999999997</v>
      </c>
      <c r="N554" s="195">
        <v>0.98199999999999998</v>
      </c>
      <c r="O554" s="195">
        <v>0.98499999999999999</v>
      </c>
      <c r="P554" s="195">
        <v>0.99099999999999999</v>
      </c>
      <c r="Q554" s="195">
        <v>0.996</v>
      </c>
      <c r="R554" s="195">
        <v>1.01</v>
      </c>
      <c r="S554" s="195">
        <v>1.016</v>
      </c>
      <c r="T554" s="195">
        <v>1.0229999999999999</v>
      </c>
      <c r="U554" s="195">
        <v>1.03</v>
      </c>
      <c r="V554" s="195">
        <v>1.0329999999999999</v>
      </c>
      <c r="W554" s="195">
        <v>1.034</v>
      </c>
      <c r="X554" s="195">
        <v>1.036</v>
      </c>
      <c r="Y554" s="195">
        <v>1.04</v>
      </c>
      <c r="Z554" s="195">
        <v>1.0449999999999999</v>
      </c>
    </row>
    <row r="555" spans="1:26">
      <c r="A555" s="195" t="s">
        <v>304</v>
      </c>
      <c r="B555" s="195" t="s">
        <v>285</v>
      </c>
      <c r="C555" s="195">
        <v>1.1180000000000001</v>
      </c>
      <c r="D555" s="195">
        <v>1.0960000000000001</v>
      </c>
      <c r="E555" s="195">
        <v>1.0649999999999999</v>
      </c>
      <c r="F555" s="195">
        <v>1.0269999999999999</v>
      </c>
      <c r="G555" s="195">
        <v>1.0209999999999999</v>
      </c>
      <c r="H555" s="195">
        <v>1.0269999999999999</v>
      </c>
      <c r="I555" s="195">
        <v>1.0089999999999999</v>
      </c>
      <c r="J555" s="195">
        <v>1.0069999999999999</v>
      </c>
      <c r="K555" s="195">
        <v>1.0029999999999999</v>
      </c>
      <c r="L555" s="195">
        <v>1.024</v>
      </c>
      <c r="M555" s="195">
        <v>1.0149999999999999</v>
      </c>
      <c r="N555" s="195">
        <v>1.034</v>
      </c>
      <c r="O555" s="195">
        <v>1.0369999999999999</v>
      </c>
      <c r="P555" s="195">
        <v>1.0429999999999999</v>
      </c>
      <c r="Q555" s="195">
        <v>1.048</v>
      </c>
      <c r="R555" s="195">
        <v>1.0620000000000001</v>
      </c>
      <c r="S555" s="195">
        <v>1.0680000000000001</v>
      </c>
      <c r="T555" s="195">
        <v>1.075</v>
      </c>
      <c r="U555" s="195">
        <v>1.0820000000000001</v>
      </c>
      <c r="V555" s="195">
        <v>1.085</v>
      </c>
      <c r="W555" s="195">
        <v>1.085</v>
      </c>
      <c r="X555" s="195">
        <v>1.0880000000000001</v>
      </c>
      <c r="Y555" s="195">
        <v>1.0920000000000001</v>
      </c>
      <c r="Z555" s="195">
        <v>1.097</v>
      </c>
    </row>
    <row r="556" spans="1:26">
      <c r="A556" s="195" t="s">
        <v>305</v>
      </c>
      <c r="B556" s="195" t="s">
        <v>285</v>
      </c>
      <c r="C556" s="195">
        <v>1.27</v>
      </c>
      <c r="D556" s="195">
        <v>1.244</v>
      </c>
      <c r="E556" s="195">
        <v>1.2030000000000001</v>
      </c>
      <c r="F556" s="195">
        <v>1.1679999999999999</v>
      </c>
      <c r="G556" s="195">
        <v>1.1659999999999999</v>
      </c>
      <c r="H556" s="195">
        <v>1.175</v>
      </c>
      <c r="I556" s="195">
        <v>1.147</v>
      </c>
      <c r="J556" s="195">
        <v>1.157</v>
      </c>
      <c r="K556" s="195">
        <v>1.1579999999999999</v>
      </c>
      <c r="L556" s="195">
        <v>1.1639999999999999</v>
      </c>
      <c r="M556" s="195">
        <v>1.169</v>
      </c>
      <c r="N556" s="195">
        <v>1.1879999999999999</v>
      </c>
      <c r="O556" s="195">
        <v>1.181</v>
      </c>
      <c r="P556" s="195">
        <v>1.1970000000000001</v>
      </c>
      <c r="Q556" s="195">
        <v>1.1990000000000001</v>
      </c>
      <c r="R556" s="195">
        <v>1.218</v>
      </c>
      <c r="S556" s="195">
        <v>1.222</v>
      </c>
      <c r="T556" s="195">
        <v>1.218</v>
      </c>
      <c r="U556" s="195">
        <v>1.222</v>
      </c>
      <c r="V556" s="195">
        <v>1.2250000000000001</v>
      </c>
      <c r="W556" s="195">
        <v>1.2170000000000001</v>
      </c>
      <c r="X556" s="195">
        <v>1.22</v>
      </c>
      <c r="Y556" s="195">
        <v>1.2010000000000001</v>
      </c>
      <c r="Z556" s="195">
        <v>1.204</v>
      </c>
    </row>
    <row r="557" spans="1:26">
      <c r="A557" s="195" t="s">
        <v>306</v>
      </c>
      <c r="B557" s="195" t="s">
        <v>285</v>
      </c>
      <c r="C557" s="195">
        <v>1.1339999999999999</v>
      </c>
      <c r="D557" s="195">
        <v>1.109</v>
      </c>
      <c r="E557" s="195">
        <v>1.0680000000000001</v>
      </c>
      <c r="F557" s="195">
        <v>1.0329999999999999</v>
      </c>
      <c r="G557" s="195">
        <v>1.0309999999999999</v>
      </c>
      <c r="H557" s="195">
        <v>1.04</v>
      </c>
      <c r="I557" s="195">
        <v>1.012</v>
      </c>
      <c r="J557" s="195">
        <v>1.022</v>
      </c>
      <c r="K557" s="195">
        <v>1.0229999999999999</v>
      </c>
      <c r="L557" s="195">
        <v>1.0289999999999999</v>
      </c>
      <c r="M557" s="195">
        <v>1.034</v>
      </c>
      <c r="N557" s="195">
        <v>1.0529999999999999</v>
      </c>
      <c r="O557" s="195">
        <v>1.046</v>
      </c>
      <c r="P557" s="195">
        <v>1.0620000000000001</v>
      </c>
      <c r="Q557" s="195">
        <v>1.0629999999999999</v>
      </c>
      <c r="R557" s="195">
        <v>1.0609999999999999</v>
      </c>
      <c r="S557" s="195">
        <v>1.0660000000000001</v>
      </c>
      <c r="T557" s="195">
        <v>1.0649999999999999</v>
      </c>
      <c r="U557" s="195">
        <v>1.0649999999999999</v>
      </c>
      <c r="V557" s="195">
        <v>1.075</v>
      </c>
      <c r="W557" s="195">
        <v>1.077</v>
      </c>
      <c r="X557" s="195">
        <v>1.073</v>
      </c>
      <c r="Y557" s="195">
        <v>1.0629999999999999</v>
      </c>
      <c r="Z557" s="195">
        <v>1.0669999999999999</v>
      </c>
    </row>
    <row r="558" spans="1:26">
      <c r="A558" s="195" t="s">
        <v>307</v>
      </c>
      <c r="B558" s="195" t="s">
        <v>285</v>
      </c>
      <c r="C558" s="195">
        <v>1.157</v>
      </c>
      <c r="D558" s="195">
        <v>1.139</v>
      </c>
      <c r="E558" s="195">
        <v>1.099</v>
      </c>
      <c r="F558" s="195">
        <v>1.0669999999999999</v>
      </c>
      <c r="G558" s="195">
        <v>1.06</v>
      </c>
      <c r="H558" s="195">
        <v>1.07</v>
      </c>
      <c r="I558" s="195">
        <v>1.036</v>
      </c>
      <c r="J558" s="195">
        <v>1.0449999999999999</v>
      </c>
      <c r="K558" s="195">
        <v>1.046</v>
      </c>
      <c r="L558" s="195">
        <v>1.0669999999999999</v>
      </c>
      <c r="M558" s="195">
        <v>1.0569999999999999</v>
      </c>
      <c r="N558" s="195">
        <v>1.077</v>
      </c>
      <c r="O558" s="195">
        <v>1.08</v>
      </c>
      <c r="P558" s="195">
        <v>1.0860000000000001</v>
      </c>
      <c r="Q558" s="195">
        <v>1.091</v>
      </c>
      <c r="R558" s="195">
        <v>1.1060000000000001</v>
      </c>
      <c r="S558" s="195">
        <v>1.111</v>
      </c>
      <c r="T558" s="195">
        <v>1.1180000000000001</v>
      </c>
      <c r="U558" s="195">
        <v>1.125</v>
      </c>
      <c r="V558" s="195">
        <v>1.1279999999999999</v>
      </c>
      <c r="W558" s="195">
        <v>1.131</v>
      </c>
      <c r="X558" s="195">
        <v>1.135</v>
      </c>
      <c r="Y558" s="195">
        <v>1.1439999999999999</v>
      </c>
      <c r="Z558" s="195">
        <v>1.1499999999999999</v>
      </c>
    </row>
    <row r="559" spans="1:26">
      <c r="A559" s="195" t="s">
        <v>308</v>
      </c>
      <c r="B559" s="195" t="s">
        <v>285</v>
      </c>
      <c r="C559" s="195">
        <v>1.2529999999999999</v>
      </c>
      <c r="D559" s="195">
        <v>1.228</v>
      </c>
      <c r="E559" s="195">
        <v>1.1879999999999999</v>
      </c>
      <c r="F559" s="195">
        <v>1.1559999999999999</v>
      </c>
      <c r="G559" s="195">
        <v>1.149</v>
      </c>
      <c r="H559" s="195">
        <v>1.159</v>
      </c>
      <c r="I559" s="195">
        <v>1.1240000000000001</v>
      </c>
      <c r="J559" s="195">
        <v>1.1339999999999999</v>
      </c>
      <c r="K559" s="195">
        <v>1.135</v>
      </c>
      <c r="L559" s="195">
        <v>1.1559999999999999</v>
      </c>
      <c r="M559" s="195">
        <v>1.1459999999999999</v>
      </c>
      <c r="N559" s="195">
        <v>1.165</v>
      </c>
      <c r="O559" s="195">
        <v>1.169</v>
      </c>
      <c r="P559" s="195">
        <v>1.175</v>
      </c>
      <c r="Q559" s="195">
        <v>1.18</v>
      </c>
      <c r="R559" s="195">
        <v>1.1950000000000001</v>
      </c>
      <c r="S559" s="195">
        <v>1.2</v>
      </c>
      <c r="T559" s="195">
        <v>1.2070000000000001</v>
      </c>
      <c r="U559" s="195">
        <v>1.214</v>
      </c>
      <c r="V559" s="195">
        <v>1.2170000000000001</v>
      </c>
      <c r="W559" s="195">
        <v>1.2090000000000001</v>
      </c>
      <c r="X559" s="195">
        <v>1.2130000000000001</v>
      </c>
      <c r="Y559" s="195">
        <v>1.204</v>
      </c>
      <c r="Z559" s="195">
        <v>1.2090000000000001</v>
      </c>
    </row>
    <row r="560" spans="1:26">
      <c r="A560" s="195" t="s">
        <v>309</v>
      </c>
      <c r="B560" s="195" t="s">
        <v>285</v>
      </c>
      <c r="C560" s="195">
        <v>1.071</v>
      </c>
      <c r="D560" s="195">
        <v>1.0449999999999999</v>
      </c>
      <c r="E560" s="195">
        <v>1.006</v>
      </c>
      <c r="F560" s="195">
        <v>0.97399999999999998</v>
      </c>
      <c r="G560" s="195">
        <v>0.96699999999999997</v>
      </c>
      <c r="H560" s="195">
        <v>0.97699999999999998</v>
      </c>
      <c r="I560" s="195">
        <v>0.94199999999999995</v>
      </c>
      <c r="J560" s="195">
        <v>0.95199999999999996</v>
      </c>
      <c r="K560" s="195">
        <v>0.95299999999999996</v>
      </c>
      <c r="L560" s="195">
        <v>0.97399999999999998</v>
      </c>
      <c r="M560" s="195">
        <v>0.96399999999999997</v>
      </c>
      <c r="N560" s="195">
        <v>0.98299999999999998</v>
      </c>
      <c r="O560" s="195">
        <v>0.98699999999999999</v>
      </c>
      <c r="P560" s="195">
        <v>0.99299999999999999</v>
      </c>
      <c r="Q560" s="195">
        <v>0.997</v>
      </c>
      <c r="R560" s="195">
        <v>1.0129999999999999</v>
      </c>
      <c r="S560" s="195">
        <v>1.018</v>
      </c>
      <c r="T560" s="195">
        <v>1.0249999999999999</v>
      </c>
      <c r="U560" s="195">
        <v>1.0309999999999999</v>
      </c>
      <c r="V560" s="195">
        <v>1.034</v>
      </c>
      <c r="W560" s="195">
        <v>1.0369999999999999</v>
      </c>
      <c r="X560" s="195">
        <v>1.0409999999999999</v>
      </c>
      <c r="Y560" s="195">
        <v>1.0509999999999999</v>
      </c>
      <c r="Z560" s="195">
        <v>1.056</v>
      </c>
    </row>
    <row r="561" spans="1:26">
      <c r="A561" s="195" t="s">
        <v>310</v>
      </c>
      <c r="B561" s="195" t="s">
        <v>285</v>
      </c>
      <c r="C561" s="195">
        <v>1.125</v>
      </c>
      <c r="D561" s="195">
        <v>1.1060000000000001</v>
      </c>
      <c r="E561" s="195">
        <v>1.0740000000000001</v>
      </c>
      <c r="F561" s="195">
        <v>1.0189999999999999</v>
      </c>
      <c r="G561" s="195">
        <v>1.042</v>
      </c>
      <c r="H561" s="195">
        <v>1.024</v>
      </c>
      <c r="I561" s="195">
        <v>0.98599999999999999</v>
      </c>
      <c r="J561" s="195">
        <v>0.97699999999999998</v>
      </c>
      <c r="K561" s="195">
        <v>0.996</v>
      </c>
      <c r="L561" s="195">
        <v>0.996</v>
      </c>
      <c r="M561" s="195">
        <v>0.98599999999999999</v>
      </c>
      <c r="N561" s="195">
        <v>1.006</v>
      </c>
      <c r="O561" s="195">
        <v>0.998</v>
      </c>
      <c r="P561" s="195">
        <v>1.014</v>
      </c>
      <c r="Q561" s="195">
        <v>1.016</v>
      </c>
      <c r="R561" s="195">
        <v>1.0129999999999999</v>
      </c>
      <c r="S561" s="195">
        <v>1.0189999999999999</v>
      </c>
      <c r="T561" s="195">
        <v>1.018</v>
      </c>
      <c r="U561" s="195">
        <v>1.0169999999999999</v>
      </c>
      <c r="V561" s="195">
        <v>1.0269999999999999</v>
      </c>
      <c r="W561" s="195">
        <v>1.03</v>
      </c>
      <c r="X561" s="195">
        <v>1.0249999999999999</v>
      </c>
      <c r="Y561" s="195">
        <v>1.0149999999999999</v>
      </c>
      <c r="Z561" s="195">
        <v>1.0189999999999999</v>
      </c>
    </row>
    <row r="562" spans="1:26">
      <c r="A562" s="195" t="s">
        <v>311</v>
      </c>
      <c r="B562" s="195" t="s">
        <v>285</v>
      </c>
      <c r="C562" s="195">
        <v>0.99</v>
      </c>
      <c r="D562" s="195">
        <v>0.96299999999999997</v>
      </c>
      <c r="E562" s="195">
        <v>0.92200000000000004</v>
      </c>
      <c r="F562" s="195">
        <v>0.90200000000000002</v>
      </c>
      <c r="G562" s="195">
        <v>0.90500000000000003</v>
      </c>
      <c r="H562" s="195">
        <v>0.90800000000000003</v>
      </c>
      <c r="I562" s="195">
        <v>0.89200000000000002</v>
      </c>
      <c r="J562" s="195">
        <v>0.89</v>
      </c>
      <c r="K562" s="195">
        <v>0.90600000000000003</v>
      </c>
      <c r="L562" s="195">
        <v>0.90400000000000003</v>
      </c>
      <c r="M562" s="195">
        <v>0.90800000000000003</v>
      </c>
      <c r="N562" s="195">
        <v>0.91800000000000004</v>
      </c>
      <c r="O562" s="195">
        <v>0.92200000000000004</v>
      </c>
      <c r="P562" s="195">
        <v>0.94</v>
      </c>
      <c r="Q562" s="195">
        <v>0.94499999999999995</v>
      </c>
      <c r="R562" s="195">
        <v>0.95699999999999996</v>
      </c>
      <c r="S562" s="195">
        <v>0.96899999999999997</v>
      </c>
      <c r="T562" s="195">
        <v>0.97199999999999998</v>
      </c>
      <c r="U562" s="195">
        <v>0.98299999999999998</v>
      </c>
      <c r="V562" s="195">
        <v>0.99299999999999999</v>
      </c>
      <c r="W562" s="195">
        <v>1.0089999999999999</v>
      </c>
      <c r="X562" s="195">
        <v>1.02</v>
      </c>
      <c r="Y562" s="195">
        <v>1.032</v>
      </c>
      <c r="Z562" s="195">
        <v>1.0329999999999999</v>
      </c>
    </row>
    <row r="563" spans="1:26">
      <c r="A563" s="195" t="s">
        <v>312</v>
      </c>
      <c r="B563" s="195" t="s">
        <v>285</v>
      </c>
      <c r="C563" s="195">
        <v>1.1299999999999999</v>
      </c>
      <c r="D563" s="195">
        <v>1.1080000000000001</v>
      </c>
      <c r="E563" s="195">
        <v>1.073</v>
      </c>
      <c r="F563" s="195">
        <v>1.038</v>
      </c>
      <c r="G563" s="195">
        <v>1.032</v>
      </c>
      <c r="H563" s="195">
        <v>1.04</v>
      </c>
      <c r="I563" s="195">
        <v>1.016</v>
      </c>
      <c r="J563" s="195">
        <v>1.018</v>
      </c>
      <c r="K563" s="195">
        <v>1.0169999999999999</v>
      </c>
      <c r="L563" s="195">
        <v>1.036</v>
      </c>
      <c r="M563" s="195">
        <v>1.028</v>
      </c>
      <c r="N563" s="195">
        <v>1.0469999999999999</v>
      </c>
      <c r="O563" s="195">
        <v>1.05</v>
      </c>
      <c r="P563" s="195">
        <v>1.056</v>
      </c>
      <c r="Q563" s="195">
        <v>1.0609999999999999</v>
      </c>
      <c r="R563" s="195">
        <v>1.075</v>
      </c>
      <c r="S563" s="195">
        <v>1.0820000000000001</v>
      </c>
      <c r="T563" s="195">
        <v>1.0880000000000001</v>
      </c>
      <c r="U563" s="195">
        <v>1.0940000000000001</v>
      </c>
      <c r="V563" s="195">
        <v>1.0980000000000001</v>
      </c>
      <c r="W563" s="195">
        <v>1.099</v>
      </c>
      <c r="X563" s="195">
        <v>1.1020000000000001</v>
      </c>
      <c r="Y563" s="195">
        <v>1.1060000000000001</v>
      </c>
      <c r="Z563" s="195">
        <v>1.1100000000000001</v>
      </c>
    </row>
    <row r="564" spans="1:26">
      <c r="A564" s="195" t="s">
        <v>315</v>
      </c>
    </row>
    <row r="565" spans="1:26">
      <c r="A565" s="195" t="s">
        <v>303</v>
      </c>
      <c r="B565" s="195" t="s">
        <v>285</v>
      </c>
      <c r="C565" s="195">
        <v>1.0229999999999999</v>
      </c>
      <c r="D565" s="195">
        <v>1.0009999999999999</v>
      </c>
      <c r="E565" s="195">
        <v>0.96899999999999997</v>
      </c>
      <c r="F565" s="195">
        <v>0.93200000000000005</v>
      </c>
      <c r="G565" s="195">
        <v>0.92500000000000004</v>
      </c>
      <c r="H565" s="195">
        <v>0.93200000000000005</v>
      </c>
      <c r="I565" s="195">
        <v>0.91400000000000003</v>
      </c>
      <c r="J565" s="195">
        <v>0.91200000000000003</v>
      </c>
      <c r="K565" s="195">
        <v>0.90800000000000003</v>
      </c>
      <c r="L565" s="195">
        <v>0.92900000000000005</v>
      </c>
      <c r="M565" s="195">
        <v>0.91900000000000004</v>
      </c>
      <c r="N565" s="195">
        <v>0.93899999999999995</v>
      </c>
      <c r="O565" s="195">
        <v>0.94199999999999995</v>
      </c>
      <c r="P565" s="195">
        <v>0.94799999999999995</v>
      </c>
      <c r="Q565" s="195">
        <v>0.95299999999999996</v>
      </c>
      <c r="R565" s="195">
        <v>0.96599999999999997</v>
      </c>
      <c r="S565" s="195">
        <v>0.97299999999999998</v>
      </c>
      <c r="T565" s="195">
        <v>0.98</v>
      </c>
      <c r="U565" s="195">
        <v>0.98699999999999999</v>
      </c>
      <c r="V565" s="195">
        <v>0.99</v>
      </c>
      <c r="W565" s="195">
        <v>0.99099999999999999</v>
      </c>
      <c r="X565" s="195">
        <v>0.99299999999999999</v>
      </c>
      <c r="Y565" s="195">
        <v>0.997</v>
      </c>
      <c r="Z565" s="195">
        <v>1.002</v>
      </c>
    </row>
    <row r="566" spans="1:26">
      <c r="A566" s="195" t="s">
        <v>304</v>
      </c>
      <c r="B566" s="195" t="s">
        <v>285</v>
      </c>
      <c r="C566" s="195">
        <v>1.014</v>
      </c>
      <c r="D566" s="195">
        <v>0.99199999999999999</v>
      </c>
      <c r="E566" s="195">
        <v>0.96099999999999997</v>
      </c>
      <c r="F566" s="195">
        <v>0.92300000000000004</v>
      </c>
      <c r="G566" s="195">
        <v>0.91700000000000004</v>
      </c>
      <c r="H566" s="195">
        <v>0.92300000000000004</v>
      </c>
      <c r="I566" s="195">
        <v>0.90500000000000003</v>
      </c>
      <c r="J566" s="195">
        <v>0.90300000000000002</v>
      </c>
      <c r="K566" s="195">
        <v>0.89900000000000002</v>
      </c>
      <c r="L566" s="195">
        <v>0.92100000000000004</v>
      </c>
      <c r="M566" s="195">
        <v>0.91100000000000003</v>
      </c>
      <c r="N566" s="195">
        <v>0.93</v>
      </c>
      <c r="O566" s="195">
        <v>0.93400000000000005</v>
      </c>
      <c r="P566" s="195">
        <v>0.93899999999999995</v>
      </c>
      <c r="Q566" s="195">
        <v>0.94399999999999995</v>
      </c>
      <c r="R566" s="195">
        <v>0.95799999999999996</v>
      </c>
      <c r="S566" s="195">
        <v>0.96399999999999997</v>
      </c>
      <c r="T566" s="195">
        <v>0.97099999999999997</v>
      </c>
      <c r="U566" s="195">
        <v>0.97799999999999998</v>
      </c>
      <c r="V566" s="195">
        <v>0.98099999999999998</v>
      </c>
      <c r="W566" s="195">
        <v>0.98099999999999998</v>
      </c>
      <c r="X566" s="195">
        <v>0.98399999999999999</v>
      </c>
      <c r="Y566" s="195">
        <v>0.98799999999999999</v>
      </c>
      <c r="Z566" s="195">
        <v>0.99299999999999999</v>
      </c>
    </row>
    <row r="567" spans="1:26">
      <c r="A567" s="195" t="s">
        <v>305</v>
      </c>
      <c r="B567" s="195" t="s">
        <v>285</v>
      </c>
      <c r="C567" s="195">
        <v>1.056</v>
      </c>
      <c r="D567" s="195">
        <v>1.0309999999999999</v>
      </c>
      <c r="E567" s="195">
        <v>0.99</v>
      </c>
      <c r="F567" s="195">
        <v>0.95399999999999996</v>
      </c>
      <c r="G567" s="195">
        <v>0.95299999999999996</v>
      </c>
      <c r="H567" s="195">
        <v>0.96199999999999997</v>
      </c>
      <c r="I567" s="195">
        <v>0.93400000000000005</v>
      </c>
      <c r="J567" s="195">
        <v>0.94399999999999995</v>
      </c>
      <c r="K567" s="195">
        <v>0.94399999999999995</v>
      </c>
      <c r="L567" s="195">
        <v>0.95099999999999996</v>
      </c>
      <c r="M567" s="195">
        <v>0.95599999999999996</v>
      </c>
      <c r="N567" s="195">
        <v>0.97499999999999998</v>
      </c>
      <c r="O567" s="195">
        <v>0.96799999999999997</v>
      </c>
      <c r="P567" s="195">
        <v>0.98399999999999999</v>
      </c>
      <c r="Q567" s="195">
        <v>0.98499999999999999</v>
      </c>
      <c r="R567" s="195">
        <v>1.004</v>
      </c>
      <c r="S567" s="195">
        <v>1.008</v>
      </c>
      <c r="T567" s="195">
        <v>1.0049999999999999</v>
      </c>
      <c r="U567" s="195">
        <v>1.0089999999999999</v>
      </c>
      <c r="V567" s="195">
        <v>1.012</v>
      </c>
      <c r="W567" s="195">
        <v>1.004</v>
      </c>
      <c r="X567" s="195">
        <v>1.0069999999999999</v>
      </c>
      <c r="Y567" s="195">
        <v>0.98799999999999999</v>
      </c>
      <c r="Z567" s="195">
        <v>0.99099999999999999</v>
      </c>
    </row>
    <row r="568" spans="1:26">
      <c r="A568" s="195" t="s">
        <v>306</v>
      </c>
      <c r="B568" s="195" t="s">
        <v>285</v>
      </c>
      <c r="C568" s="195">
        <v>1.075</v>
      </c>
      <c r="D568" s="195">
        <v>1.05</v>
      </c>
      <c r="E568" s="195">
        <v>1.0089999999999999</v>
      </c>
      <c r="F568" s="195">
        <v>0.97299999999999998</v>
      </c>
      <c r="G568" s="195">
        <v>0.97199999999999998</v>
      </c>
      <c r="H568" s="195">
        <v>0.98099999999999998</v>
      </c>
      <c r="I568" s="195">
        <v>0.95299999999999996</v>
      </c>
      <c r="J568" s="195">
        <v>0.96299999999999997</v>
      </c>
      <c r="K568" s="195">
        <v>0.96299999999999997</v>
      </c>
      <c r="L568" s="195">
        <v>0.97</v>
      </c>
      <c r="M568" s="195">
        <v>0.97399999999999998</v>
      </c>
      <c r="N568" s="195">
        <v>0.99399999999999999</v>
      </c>
      <c r="O568" s="195">
        <v>0.98699999999999999</v>
      </c>
      <c r="P568" s="195">
        <v>1.0029999999999999</v>
      </c>
      <c r="Q568" s="195">
        <v>1.004</v>
      </c>
      <c r="R568" s="195">
        <v>1.0009999999999999</v>
      </c>
      <c r="S568" s="195">
        <v>1.0069999999999999</v>
      </c>
      <c r="T568" s="195">
        <v>1.006</v>
      </c>
      <c r="U568" s="195">
        <v>1.0049999999999999</v>
      </c>
      <c r="V568" s="195">
        <v>1.0149999999999999</v>
      </c>
      <c r="W568" s="195">
        <v>1.018</v>
      </c>
      <c r="X568" s="195">
        <v>1.0129999999999999</v>
      </c>
      <c r="Y568" s="195">
        <v>1.004</v>
      </c>
      <c r="Z568" s="195">
        <v>1.008</v>
      </c>
    </row>
    <row r="569" spans="1:26">
      <c r="A569" s="195" t="s">
        <v>307</v>
      </c>
      <c r="B569" s="195" t="s">
        <v>285</v>
      </c>
      <c r="C569" s="195">
        <v>1.0549999999999999</v>
      </c>
      <c r="D569" s="195">
        <v>1.036</v>
      </c>
      <c r="E569" s="195">
        <v>0.996</v>
      </c>
      <c r="F569" s="195">
        <v>0.96399999999999997</v>
      </c>
      <c r="G569" s="195">
        <v>0.95799999999999996</v>
      </c>
      <c r="H569" s="195">
        <v>0.96699999999999997</v>
      </c>
      <c r="I569" s="195">
        <v>0.93300000000000005</v>
      </c>
      <c r="J569" s="195">
        <v>0.94299999999999995</v>
      </c>
      <c r="K569" s="195">
        <v>0.94299999999999995</v>
      </c>
      <c r="L569" s="195">
        <v>0.96499999999999997</v>
      </c>
      <c r="M569" s="195">
        <v>0.95499999999999996</v>
      </c>
      <c r="N569" s="195">
        <v>0.97399999999999998</v>
      </c>
      <c r="O569" s="195">
        <v>0.97799999999999998</v>
      </c>
      <c r="P569" s="195">
        <v>0.98299999999999998</v>
      </c>
      <c r="Q569" s="195">
        <v>0.98799999999999999</v>
      </c>
      <c r="R569" s="195">
        <v>1.004</v>
      </c>
      <c r="S569" s="195">
        <v>1.0089999999999999</v>
      </c>
      <c r="T569" s="195">
        <v>1.016</v>
      </c>
      <c r="U569" s="195">
        <v>1.022</v>
      </c>
      <c r="V569" s="195">
        <v>1.026</v>
      </c>
      <c r="W569" s="195">
        <v>1.028</v>
      </c>
      <c r="X569" s="195">
        <v>1.0329999999999999</v>
      </c>
      <c r="Y569" s="195">
        <v>1.042</v>
      </c>
      <c r="Z569" s="195">
        <v>1.048</v>
      </c>
    </row>
    <row r="570" spans="1:26">
      <c r="A570" s="195" t="s">
        <v>308</v>
      </c>
      <c r="B570" s="195" t="s">
        <v>285</v>
      </c>
      <c r="C570" s="195">
        <v>1.0820000000000001</v>
      </c>
      <c r="D570" s="195">
        <v>1.056</v>
      </c>
      <c r="E570" s="195">
        <v>1.016</v>
      </c>
      <c r="F570" s="195">
        <v>0.98399999999999999</v>
      </c>
      <c r="G570" s="195">
        <v>0.97799999999999998</v>
      </c>
      <c r="H570" s="195">
        <v>0.98699999999999999</v>
      </c>
      <c r="I570" s="195">
        <v>0.95299999999999996</v>
      </c>
      <c r="J570" s="195">
        <v>0.96299999999999997</v>
      </c>
      <c r="K570" s="195">
        <v>0.96299999999999997</v>
      </c>
      <c r="L570" s="195">
        <v>0.98499999999999999</v>
      </c>
      <c r="M570" s="195">
        <v>0.97499999999999998</v>
      </c>
      <c r="N570" s="195">
        <v>0.99399999999999999</v>
      </c>
      <c r="O570" s="195">
        <v>0.998</v>
      </c>
      <c r="P570" s="195">
        <v>1.0029999999999999</v>
      </c>
      <c r="Q570" s="195">
        <v>1.008</v>
      </c>
      <c r="R570" s="195">
        <v>1.024</v>
      </c>
      <c r="S570" s="195">
        <v>1.0289999999999999</v>
      </c>
      <c r="T570" s="195">
        <v>1.036</v>
      </c>
      <c r="U570" s="195">
        <v>1.042</v>
      </c>
      <c r="V570" s="195">
        <v>1.0449999999999999</v>
      </c>
      <c r="W570" s="195">
        <v>1.0369999999999999</v>
      </c>
      <c r="X570" s="195">
        <v>1.0409999999999999</v>
      </c>
      <c r="Y570" s="195">
        <v>1.0329999999999999</v>
      </c>
      <c r="Z570" s="195">
        <v>1.0369999999999999</v>
      </c>
    </row>
    <row r="571" spans="1:26">
      <c r="A571" s="195" t="s">
        <v>309</v>
      </c>
      <c r="B571" s="195" t="s">
        <v>285</v>
      </c>
      <c r="C571" s="195">
        <v>0.99199999999999999</v>
      </c>
      <c r="D571" s="195">
        <v>0.96699999999999997</v>
      </c>
      <c r="E571" s="195">
        <v>0.92700000000000005</v>
      </c>
      <c r="F571" s="195">
        <v>0.89600000000000002</v>
      </c>
      <c r="G571" s="195">
        <v>0.88900000000000001</v>
      </c>
      <c r="H571" s="195">
        <v>0.89900000000000002</v>
      </c>
      <c r="I571" s="195">
        <v>0.86399999999999999</v>
      </c>
      <c r="J571" s="195">
        <v>0.874</v>
      </c>
      <c r="K571" s="195">
        <v>0.874</v>
      </c>
      <c r="L571" s="195">
        <v>0.89600000000000002</v>
      </c>
      <c r="M571" s="195">
        <v>0.88600000000000001</v>
      </c>
      <c r="N571" s="195">
        <v>0.90500000000000003</v>
      </c>
      <c r="O571" s="195">
        <v>0.90900000000000003</v>
      </c>
      <c r="P571" s="195">
        <v>0.91400000000000003</v>
      </c>
      <c r="Q571" s="195">
        <v>0.91900000000000004</v>
      </c>
      <c r="R571" s="195">
        <v>0.93500000000000005</v>
      </c>
      <c r="S571" s="195">
        <v>0.93899999999999995</v>
      </c>
      <c r="T571" s="195">
        <v>0.94599999999999995</v>
      </c>
      <c r="U571" s="195">
        <v>0.95299999999999996</v>
      </c>
      <c r="V571" s="195">
        <v>0.95599999999999996</v>
      </c>
      <c r="W571" s="195">
        <v>0.95899999999999996</v>
      </c>
      <c r="X571" s="195">
        <v>0.96299999999999997</v>
      </c>
      <c r="Y571" s="195">
        <v>0.97199999999999998</v>
      </c>
      <c r="Z571" s="195">
        <v>0.97799999999999998</v>
      </c>
    </row>
    <row r="572" spans="1:26">
      <c r="A572" s="195" t="s">
        <v>310</v>
      </c>
      <c r="B572" s="195" t="s">
        <v>285</v>
      </c>
      <c r="C572" s="195">
        <v>1.071</v>
      </c>
      <c r="D572" s="195">
        <v>1.052</v>
      </c>
      <c r="E572" s="195">
        <v>1.02</v>
      </c>
      <c r="F572" s="195">
        <v>0.96499999999999997</v>
      </c>
      <c r="G572" s="195">
        <v>0.98799999999999999</v>
      </c>
      <c r="H572" s="195">
        <v>0.97</v>
      </c>
      <c r="I572" s="195">
        <v>0.93200000000000005</v>
      </c>
      <c r="J572" s="195">
        <v>0.92300000000000004</v>
      </c>
      <c r="K572" s="195">
        <v>0.94199999999999995</v>
      </c>
      <c r="L572" s="195">
        <v>0.94199999999999995</v>
      </c>
      <c r="M572" s="195">
        <v>0.93200000000000005</v>
      </c>
      <c r="N572" s="195">
        <v>0.95199999999999996</v>
      </c>
      <c r="O572" s="195">
        <v>0.94399999999999995</v>
      </c>
      <c r="P572" s="195">
        <v>0.96</v>
      </c>
      <c r="Q572" s="195">
        <v>0.96199999999999997</v>
      </c>
      <c r="R572" s="195">
        <v>0.95899999999999996</v>
      </c>
      <c r="S572" s="195">
        <v>0.96499999999999997</v>
      </c>
      <c r="T572" s="195">
        <v>0.96399999999999997</v>
      </c>
      <c r="U572" s="195">
        <v>0.96299999999999997</v>
      </c>
      <c r="V572" s="195">
        <v>0.97299999999999998</v>
      </c>
      <c r="W572" s="195">
        <v>0.97599999999999998</v>
      </c>
      <c r="X572" s="195">
        <v>0.97099999999999997</v>
      </c>
      <c r="Y572" s="195">
        <v>0.96099999999999997</v>
      </c>
      <c r="Z572" s="195">
        <v>0.96499999999999997</v>
      </c>
    </row>
    <row r="573" spans="1:26">
      <c r="A573" s="195" t="s">
        <v>311</v>
      </c>
      <c r="B573" s="195" t="s">
        <v>285</v>
      </c>
      <c r="C573" s="195">
        <v>1</v>
      </c>
      <c r="D573" s="195">
        <v>0.97299999999999998</v>
      </c>
      <c r="E573" s="195">
        <v>0.93100000000000005</v>
      </c>
      <c r="F573" s="195">
        <v>0.91200000000000003</v>
      </c>
      <c r="G573" s="195">
        <v>0.91500000000000004</v>
      </c>
      <c r="H573" s="195">
        <v>0.91800000000000004</v>
      </c>
      <c r="I573" s="195">
        <v>0.90100000000000002</v>
      </c>
      <c r="J573" s="195">
        <v>0.9</v>
      </c>
      <c r="K573" s="195">
        <v>0.91600000000000004</v>
      </c>
      <c r="L573" s="195">
        <v>0.91400000000000003</v>
      </c>
      <c r="M573" s="195">
        <v>0.91800000000000004</v>
      </c>
      <c r="N573" s="195">
        <v>0.92700000000000005</v>
      </c>
      <c r="O573" s="195">
        <v>0.93200000000000005</v>
      </c>
      <c r="P573" s="195">
        <v>0.95</v>
      </c>
      <c r="Q573" s="195">
        <v>0.95399999999999996</v>
      </c>
      <c r="R573" s="195">
        <v>0.96699999999999997</v>
      </c>
      <c r="S573" s="195">
        <v>0.97799999999999998</v>
      </c>
      <c r="T573" s="195">
        <v>0.98099999999999998</v>
      </c>
      <c r="U573" s="195">
        <v>0.99299999999999999</v>
      </c>
      <c r="V573" s="195">
        <v>1.002</v>
      </c>
      <c r="W573" s="195">
        <v>1.0189999999999999</v>
      </c>
      <c r="X573" s="195">
        <v>1.03</v>
      </c>
      <c r="Y573" s="195">
        <v>1.0409999999999999</v>
      </c>
      <c r="Z573" s="195">
        <v>1.0429999999999999</v>
      </c>
    </row>
    <row r="574" spans="1:26">
      <c r="A574" s="195" t="s">
        <v>312</v>
      </c>
      <c r="B574" s="195" t="s">
        <v>285</v>
      </c>
      <c r="C574" s="195">
        <v>1.02</v>
      </c>
      <c r="D574" s="195">
        <v>0.996</v>
      </c>
      <c r="E574" s="195">
        <v>0.95899999999999996</v>
      </c>
      <c r="F574" s="195">
        <v>0.92500000000000004</v>
      </c>
      <c r="G574" s="195">
        <v>0.92</v>
      </c>
      <c r="H574" s="195">
        <v>0.92800000000000005</v>
      </c>
      <c r="I574" s="195">
        <v>0.89900000000000002</v>
      </c>
      <c r="J574" s="195">
        <v>0.90500000000000003</v>
      </c>
      <c r="K574" s="195">
        <v>0.90500000000000003</v>
      </c>
      <c r="L574" s="195">
        <v>0.92400000000000004</v>
      </c>
      <c r="M574" s="195">
        <v>0.91600000000000004</v>
      </c>
      <c r="N574" s="195">
        <v>0.93500000000000005</v>
      </c>
      <c r="O574" s="195">
        <v>0.93700000000000006</v>
      </c>
      <c r="P574" s="195">
        <v>0.94499999999999995</v>
      </c>
      <c r="Q574" s="195">
        <v>0.94899999999999995</v>
      </c>
      <c r="R574" s="195">
        <v>0.96399999999999997</v>
      </c>
      <c r="S574" s="195">
        <v>0.96899999999999997</v>
      </c>
      <c r="T574" s="195">
        <v>0.97499999999999998</v>
      </c>
      <c r="U574" s="195">
        <v>0.98099999999999998</v>
      </c>
      <c r="V574" s="195">
        <v>0.98399999999999999</v>
      </c>
      <c r="W574" s="195">
        <v>0.98499999999999999</v>
      </c>
      <c r="X574" s="195">
        <v>0.98899999999999999</v>
      </c>
      <c r="Y574" s="195">
        <v>0.99199999999999999</v>
      </c>
      <c r="Z574" s="195">
        <v>0.997</v>
      </c>
    </row>
    <row r="575" spans="1:26">
      <c r="A575" s="195" t="s">
        <v>281</v>
      </c>
      <c r="B575" s="195" t="s">
        <v>282</v>
      </c>
      <c r="C575" s="195" t="s">
        <v>283</v>
      </c>
      <c r="D575" s="195" t="s">
        <v>283</v>
      </c>
      <c r="E575" s="195" t="s">
        <v>283</v>
      </c>
      <c r="F575" s="195" t="s">
        <v>283</v>
      </c>
      <c r="G575" s="195" t="s">
        <v>283</v>
      </c>
      <c r="H575" s="195" t="s">
        <v>283</v>
      </c>
      <c r="I575" s="195" t="s">
        <v>283</v>
      </c>
      <c r="J575" s="195" t="s">
        <v>283</v>
      </c>
      <c r="K575" s="195" t="s">
        <v>283</v>
      </c>
      <c r="L575" s="195" t="s">
        <v>283</v>
      </c>
      <c r="M575" s="195" t="s">
        <v>283</v>
      </c>
      <c r="N575" s="195" t="s">
        <v>283</v>
      </c>
      <c r="O575" s="195" t="s">
        <v>283</v>
      </c>
      <c r="P575" s="195" t="s">
        <v>283</v>
      </c>
      <c r="Q575" s="195" t="s">
        <v>283</v>
      </c>
      <c r="R575" s="195" t="s">
        <v>283</v>
      </c>
      <c r="S575" s="195" t="s">
        <v>283</v>
      </c>
      <c r="T575" s="195" t="s">
        <v>283</v>
      </c>
      <c r="U575" s="195" t="s">
        <v>283</v>
      </c>
      <c r="V575" s="195" t="s">
        <v>283</v>
      </c>
      <c r="W575" s="195" t="s">
        <v>283</v>
      </c>
      <c r="X575" s="195" t="s">
        <v>283</v>
      </c>
      <c r="Y575" s="195" t="s">
        <v>283</v>
      </c>
      <c r="Z575" s="195" t="s">
        <v>284</v>
      </c>
    </row>
    <row r="577" spans="1:26">
      <c r="C577" s="202" t="str">
        <f>CONCATENATE(M577,N577,O577,P577,Q577,R577)</f>
        <v>Table 8US EndUse Prices,$/Gal</v>
      </c>
      <c r="M577" s="195" t="s">
        <v>297</v>
      </c>
      <c r="N577" s="195" t="s">
        <v>298</v>
      </c>
      <c r="O577" s="195" t="s">
        <v>299</v>
      </c>
      <c r="P577" s="195" t="s">
        <v>300</v>
      </c>
      <c r="Q577" s="195" t="s">
        <v>301</v>
      </c>
      <c r="R577" s="195" t="s">
        <v>302</v>
      </c>
    </row>
    <row r="578" spans="1:26">
      <c r="A578" s="195" t="s">
        <v>276</v>
      </c>
      <c r="B578" s="195" t="s">
        <v>277</v>
      </c>
      <c r="C578" s="195">
        <v>11006</v>
      </c>
      <c r="D578" s="195" t="s">
        <v>278</v>
      </c>
      <c r="E578" s="195" t="s">
        <v>279</v>
      </c>
      <c r="F578" s="195" t="s">
        <v>280</v>
      </c>
    </row>
    <row r="579" spans="1:26">
      <c r="A579" s="195" t="s">
        <v>281</v>
      </c>
      <c r="B579" s="195" t="s">
        <v>282</v>
      </c>
      <c r="C579" s="195" t="s">
        <v>283</v>
      </c>
      <c r="D579" s="195" t="s">
        <v>283</v>
      </c>
      <c r="E579" s="195" t="s">
        <v>283</v>
      </c>
      <c r="F579" s="195" t="s">
        <v>283</v>
      </c>
      <c r="G579" s="195" t="s">
        <v>283</v>
      </c>
      <c r="H579" s="195" t="s">
        <v>283</v>
      </c>
      <c r="I579" s="195" t="s">
        <v>283</v>
      </c>
      <c r="J579" s="195" t="s">
        <v>283</v>
      </c>
      <c r="K579" s="195" t="s">
        <v>283</v>
      </c>
      <c r="L579" s="195" t="s">
        <v>283</v>
      </c>
      <c r="M579" s="195" t="s">
        <v>283</v>
      </c>
      <c r="N579" s="195" t="s">
        <v>283</v>
      </c>
      <c r="O579" s="195" t="s">
        <v>283</v>
      </c>
      <c r="P579" s="195" t="s">
        <v>283</v>
      </c>
      <c r="Q579" s="195" t="s">
        <v>283</v>
      </c>
      <c r="R579" s="195" t="s">
        <v>283</v>
      </c>
      <c r="S579" s="195" t="s">
        <v>283</v>
      </c>
      <c r="T579" s="195" t="s">
        <v>283</v>
      </c>
      <c r="U579" s="195" t="s">
        <v>283</v>
      </c>
      <c r="V579" s="195" t="s">
        <v>283</v>
      </c>
      <c r="W579" s="195" t="s">
        <v>283</v>
      </c>
      <c r="X579" s="195" t="s">
        <v>283</v>
      </c>
      <c r="Y579" s="195" t="s">
        <v>283</v>
      </c>
      <c r="Z579" s="195" t="s">
        <v>284</v>
      </c>
    </row>
    <row r="580" spans="1:26">
      <c r="C580" s="195">
        <v>2007</v>
      </c>
      <c r="D580" s="195">
        <v>2008</v>
      </c>
      <c r="E580" s="195">
        <v>2009</v>
      </c>
      <c r="F580" s="195">
        <v>2010</v>
      </c>
      <c r="G580" s="195">
        <v>2011</v>
      </c>
      <c r="H580" s="195">
        <v>2012</v>
      </c>
      <c r="I580" s="195">
        <v>2013</v>
      </c>
      <c r="J580" s="195">
        <v>2014</v>
      </c>
      <c r="K580" s="195">
        <v>2015</v>
      </c>
      <c r="L580" s="195">
        <v>2016</v>
      </c>
      <c r="M580" s="195">
        <v>2017</v>
      </c>
      <c r="N580" s="195">
        <v>2018</v>
      </c>
      <c r="O580" s="195">
        <v>2019</v>
      </c>
      <c r="P580" s="195">
        <v>2020</v>
      </c>
      <c r="Q580" s="195">
        <v>2021</v>
      </c>
      <c r="R580" s="195">
        <v>2022</v>
      </c>
      <c r="S580" s="195">
        <v>2023</v>
      </c>
      <c r="T580" s="195">
        <v>2024</v>
      </c>
      <c r="U580" s="195">
        <v>2025</v>
      </c>
      <c r="V580" s="195">
        <v>2026</v>
      </c>
      <c r="W580" s="195">
        <v>2027</v>
      </c>
      <c r="X580" s="195">
        <v>2028</v>
      </c>
      <c r="Y580" s="195">
        <v>2029</v>
      </c>
      <c r="Z580" s="195">
        <v>2030</v>
      </c>
    </row>
    <row r="581" spans="1:26">
      <c r="A581" s="195" t="s">
        <v>281</v>
      </c>
      <c r="B581" s="195" t="s">
        <v>282</v>
      </c>
      <c r="C581" s="195" t="s">
        <v>283</v>
      </c>
      <c r="D581" s="195" t="s">
        <v>283</v>
      </c>
      <c r="E581" s="195" t="s">
        <v>283</v>
      </c>
      <c r="F581" s="195" t="s">
        <v>283</v>
      </c>
      <c r="G581" s="195" t="s">
        <v>283</v>
      </c>
      <c r="H581" s="195" t="s">
        <v>283</v>
      </c>
      <c r="I581" s="195" t="s">
        <v>283</v>
      </c>
      <c r="J581" s="195" t="s">
        <v>283</v>
      </c>
      <c r="K581" s="195" t="s">
        <v>283</v>
      </c>
      <c r="L581" s="195" t="s">
        <v>283</v>
      </c>
      <c r="M581" s="195" t="s">
        <v>283</v>
      </c>
      <c r="N581" s="195" t="s">
        <v>283</v>
      </c>
      <c r="O581" s="195" t="s">
        <v>283</v>
      </c>
      <c r="P581" s="195" t="s">
        <v>283</v>
      </c>
      <c r="Q581" s="195" t="s">
        <v>283</v>
      </c>
      <c r="R581" s="195" t="s">
        <v>283</v>
      </c>
      <c r="S581" s="195" t="s">
        <v>283</v>
      </c>
      <c r="T581" s="195" t="s">
        <v>283</v>
      </c>
      <c r="U581" s="195" t="s">
        <v>283</v>
      </c>
      <c r="V581" s="195" t="s">
        <v>283</v>
      </c>
      <c r="W581" s="195" t="s">
        <v>283</v>
      </c>
      <c r="X581" s="195" t="s">
        <v>283</v>
      </c>
      <c r="Y581" s="195" t="s">
        <v>283</v>
      </c>
      <c r="Z581" s="195" t="s">
        <v>284</v>
      </c>
    </row>
    <row r="582" spans="1:26">
      <c r="A582" s="195" t="s">
        <v>206</v>
      </c>
    </row>
    <row r="583" spans="1:26">
      <c r="A583" s="195" t="s">
        <v>303</v>
      </c>
      <c r="B583" s="195" t="s">
        <v>285</v>
      </c>
      <c r="C583" s="195">
        <v>1.266</v>
      </c>
      <c r="D583" s="195">
        <v>1.2190000000000001</v>
      </c>
      <c r="E583" s="195">
        <v>1.1870000000000001</v>
      </c>
      <c r="F583" s="195">
        <v>1.153</v>
      </c>
      <c r="G583" s="195">
        <v>1.155</v>
      </c>
      <c r="H583" s="195">
        <v>1.151</v>
      </c>
      <c r="I583" s="195">
        <v>1.147</v>
      </c>
      <c r="J583" s="195">
        <v>1.143</v>
      </c>
      <c r="K583" s="195">
        <v>1.1359999999999999</v>
      </c>
      <c r="L583" s="195">
        <v>1.1759999999999999</v>
      </c>
      <c r="M583" s="195">
        <v>1.1839999999999999</v>
      </c>
      <c r="N583" s="195">
        <v>1.214</v>
      </c>
      <c r="O583" s="195">
        <v>1.2310000000000001</v>
      </c>
      <c r="P583" s="195">
        <v>1.258</v>
      </c>
      <c r="Q583" s="195">
        <v>1.28</v>
      </c>
      <c r="R583" s="195">
        <v>1.296</v>
      </c>
      <c r="S583" s="195">
        <v>1.3120000000000001</v>
      </c>
      <c r="T583" s="195">
        <v>1.329</v>
      </c>
      <c r="U583" s="195">
        <v>1.345</v>
      </c>
      <c r="V583" s="195">
        <v>1.3560000000000001</v>
      </c>
      <c r="W583" s="195">
        <v>1.3680000000000001</v>
      </c>
      <c r="X583" s="195">
        <v>1.379</v>
      </c>
      <c r="Y583" s="195">
        <v>1.39</v>
      </c>
      <c r="Z583" s="195">
        <v>0.65500000000000003</v>
      </c>
    </row>
    <row r="584" spans="1:26">
      <c r="A584" s="195" t="s">
        <v>304</v>
      </c>
      <c r="B584" s="195" t="s">
        <v>285</v>
      </c>
      <c r="C584" s="195">
        <v>1.216</v>
      </c>
      <c r="D584" s="195">
        <v>1.171</v>
      </c>
      <c r="E584" s="195">
        <v>1.139</v>
      </c>
      <c r="F584" s="195">
        <v>1.107</v>
      </c>
      <c r="G584" s="195">
        <v>1.1080000000000001</v>
      </c>
      <c r="H584" s="195">
        <v>1.105</v>
      </c>
      <c r="I584" s="195">
        <v>1.1020000000000001</v>
      </c>
      <c r="J584" s="195">
        <v>1.099</v>
      </c>
      <c r="K584" s="195">
        <v>1.0920000000000001</v>
      </c>
      <c r="L584" s="195">
        <v>1.1319999999999999</v>
      </c>
      <c r="M584" s="195">
        <v>1.1399999999999999</v>
      </c>
      <c r="N584" s="195">
        <v>1.171</v>
      </c>
      <c r="O584" s="195">
        <v>1.1879999999999999</v>
      </c>
      <c r="P584" s="195">
        <v>1.216</v>
      </c>
      <c r="Q584" s="195">
        <v>1.238</v>
      </c>
      <c r="R584" s="195">
        <v>1.2549999999999999</v>
      </c>
      <c r="S584" s="195">
        <v>1.2709999999999999</v>
      </c>
      <c r="T584" s="195">
        <v>1.288</v>
      </c>
      <c r="U584" s="195">
        <v>1.304</v>
      </c>
      <c r="V584" s="195">
        <v>1.3160000000000001</v>
      </c>
      <c r="W584" s="195">
        <v>1.327</v>
      </c>
      <c r="X584" s="195">
        <v>1.339</v>
      </c>
      <c r="Y584" s="195">
        <v>1.35</v>
      </c>
      <c r="Z584" s="195">
        <v>0.63400000000000001</v>
      </c>
    </row>
    <row r="585" spans="1:26">
      <c r="A585" s="195" t="s">
        <v>305</v>
      </c>
      <c r="B585" s="195" t="s">
        <v>285</v>
      </c>
      <c r="C585" s="195">
        <v>1.034</v>
      </c>
      <c r="D585" s="195">
        <v>0.995</v>
      </c>
      <c r="E585" s="195">
        <v>0.96599999999999997</v>
      </c>
      <c r="F585" s="195">
        <v>0.93799999999999994</v>
      </c>
      <c r="G585" s="195">
        <v>0.94099999999999995</v>
      </c>
      <c r="H585" s="195">
        <v>0.93799999999999994</v>
      </c>
      <c r="I585" s="195">
        <v>0.93400000000000005</v>
      </c>
      <c r="J585" s="195">
        <v>0.93</v>
      </c>
      <c r="K585" s="195">
        <v>0.92600000000000005</v>
      </c>
      <c r="L585" s="195">
        <v>0.95899999999999996</v>
      </c>
      <c r="M585" s="195">
        <v>0.96599999999999997</v>
      </c>
      <c r="N585" s="195">
        <v>0.99299999999999999</v>
      </c>
      <c r="O585" s="195">
        <v>1.0069999999999999</v>
      </c>
      <c r="P585" s="195">
        <v>1.026</v>
      </c>
      <c r="Q585" s="195">
        <v>1.044</v>
      </c>
      <c r="R585" s="195">
        <v>1.0589999999999999</v>
      </c>
      <c r="S585" s="195">
        <v>1.07</v>
      </c>
      <c r="T585" s="195">
        <v>1.0880000000000001</v>
      </c>
      <c r="U585" s="195">
        <v>1.0960000000000001</v>
      </c>
      <c r="V585" s="195">
        <v>1.105</v>
      </c>
      <c r="W585" s="195">
        <v>1.1379999999999999</v>
      </c>
      <c r="X585" s="195">
        <v>1.2090000000000001</v>
      </c>
      <c r="Y585" s="195">
        <v>1.194</v>
      </c>
      <c r="Z585" s="195">
        <v>0.66500000000000004</v>
      </c>
    </row>
    <row r="586" spans="1:26">
      <c r="A586" s="195" t="s">
        <v>306</v>
      </c>
      <c r="B586" s="195" t="s">
        <v>285</v>
      </c>
      <c r="C586" s="195">
        <v>0.86299999999999999</v>
      </c>
      <c r="D586" s="195">
        <v>0.83099999999999996</v>
      </c>
      <c r="E586" s="195">
        <v>0.80700000000000005</v>
      </c>
      <c r="F586" s="195">
        <v>0.78300000000000003</v>
      </c>
      <c r="G586" s="195">
        <v>0.78600000000000003</v>
      </c>
      <c r="H586" s="195">
        <v>0.78300000000000003</v>
      </c>
      <c r="I586" s="195">
        <v>0.78</v>
      </c>
      <c r="J586" s="195">
        <v>0.77700000000000002</v>
      </c>
      <c r="K586" s="195">
        <v>0.77400000000000002</v>
      </c>
      <c r="L586" s="195">
        <v>0.80100000000000005</v>
      </c>
      <c r="M586" s="195">
        <v>0.80700000000000005</v>
      </c>
      <c r="N586" s="195">
        <v>0.83199999999999996</v>
      </c>
      <c r="O586" s="195">
        <v>0.84399999999999997</v>
      </c>
      <c r="P586" s="195">
        <v>0.85799999999999998</v>
      </c>
      <c r="Q586" s="195">
        <v>0.872</v>
      </c>
      <c r="R586" s="195">
        <v>0.88500000000000001</v>
      </c>
      <c r="S586" s="195">
        <v>0.89400000000000002</v>
      </c>
      <c r="T586" s="195">
        <v>0.90900000000000003</v>
      </c>
      <c r="U586" s="195">
        <v>0.91600000000000004</v>
      </c>
      <c r="V586" s="195">
        <v>0.92300000000000004</v>
      </c>
      <c r="W586" s="195">
        <v>0.95199999999999996</v>
      </c>
      <c r="X586" s="195">
        <v>1.0089999999999999</v>
      </c>
      <c r="Y586" s="195">
        <v>0.998</v>
      </c>
      <c r="Z586" s="195">
        <v>0.66400000000000003</v>
      </c>
    </row>
    <row r="587" spans="1:26">
      <c r="A587" s="195" t="s">
        <v>307</v>
      </c>
      <c r="B587" s="195" t="s">
        <v>285</v>
      </c>
      <c r="C587" s="195">
        <v>1.1870000000000001</v>
      </c>
      <c r="D587" s="195">
        <v>1.1459999999999999</v>
      </c>
      <c r="E587" s="195">
        <v>1.1140000000000001</v>
      </c>
      <c r="F587" s="195">
        <v>1.0840000000000001</v>
      </c>
      <c r="G587" s="195">
        <v>1.089</v>
      </c>
      <c r="H587" s="195">
        <v>1.0860000000000001</v>
      </c>
      <c r="I587" s="195">
        <v>1.0820000000000001</v>
      </c>
      <c r="J587" s="195">
        <v>1.0780000000000001</v>
      </c>
      <c r="K587" s="195">
        <v>1.075</v>
      </c>
      <c r="L587" s="195">
        <v>1.1120000000000001</v>
      </c>
      <c r="M587" s="195">
        <v>1.1200000000000001</v>
      </c>
      <c r="N587" s="195">
        <v>1.1479999999999999</v>
      </c>
      <c r="O587" s="195">
        <v>1.1639999999999999</v>
      </c>
      <c r="P587" s="195">
        <v>1.1870000000000001</v>
      </c>
      <c r="Q587" s="195">
        <v>1.208</v>
      </c>
      <c r="R587" s="195">
        <v>1.224</v>
      </c>
      <c r="S587" s="195">
        <v>1.236</v>
      </c>
      <c r="T587" s="195">
        <v>1.252</v>
      </c>
      <c r="U587" s="195">
        <v>1.266</v>
      </c>
      <c r="V587" s="195">
        <v>1.276</v>
      </c>
      <c r="W587" s="195">
        <v>1.29</v>
      </c>
      <c r="X587" s="195">
        <v>1.3029999999999999</v>
      </c>
      <c r="Y587" s="195">
        <v>1.3180000000000001</v>
      </c>
      <c r="Z587" s="195">
        <v>0.66400000000000003</v>
      </c>
    </row>
    <row r="588" spans="1:26">
      <c r="A588" s="195" t="s">
        <v>308</v>
      </c>
      <c r="B588" s="195" t="s">
        <v>285</v>
      </c>
      <c r="C588" s="195">
        <v>1.042</v>
      </c>
      <c r="D588" s="195">
        <v>1.0049999999999999</v>
      </c>
      <c r="E588" s="195">
        <v>0.97399999999999998</v>
      </c>
      <c r="F588" s="195">
        <v>0.94599999999999995</v>
      </c>
      <c r="G588" s="195">
        <v>0.94899999999999995</v>
      </c>
      <c r="H588" s="195">
        <v>0.94599999999999995</v>
      </c>
      <c r="I588" s="195">
        <v>0.93799999999999994</v>
      </c>
      <c r="J588" s="195">
        <v>0.92300000000000004</v>
      </c>
      <c r="K588" s="195">
        <v>0.93400000000000005</v>
      </c>
      <c r="L588" s="195">
        <v>0.96499999999999997</v>
      </c>
      <c r="M588" s="195">
        <v>0.97099999999999997</v>
      </c>
      <c r="N588" s="195">
        <v>0.997</v>
      </c>
      <c r="O588" s="195">
        <v>1.01</v>
      </c>
      <c r="P588" s="195">
        <v>1.028</v>
      </c>
      <c r="Q588" s="195">
        <v>1.044</v>
      </c>
      <c r="R588" s="195">
        <v>1.0580000000000001</v>
      </c>
      <c r="S588" s="195">
        <v>1.0680000000000001</v>
      </c>
      <c r="T588" s="195">
        <v>1.085</v>
      </c>
      <c r="U588" s="195">
        <v>1.093</v>
      </c>
      <c r="V588" s="195">
        <v>1.101</v>
      </c>
      <c r="W588" s="195">
        <v>1.133</v>
      </c>
      <c r="X588" s="195">
        <v>1.2010000000000001</v>
      </c>
      <c r="Y588" s="195">
        <v>1.1859999999999999</v>
      </c>
      <c r="Z588" s="195">
        <v>0.68100000000000005</v>
      </c>
    </row>
    <row r="589" spans="1:26">
      <c r="A589" s="195" t="s">
        <v>309</v>
      </c>
      <c r="B589" s="195" t="s">
        <v>285</v>
      </c>
      <c r="C589" s="195">
        <v>0.75900000000000001</v>
      </c>
      <c r="D589" s="195">
        <v>0.73099999999999998</v>
      </c>
      <c r="E589" s="195">
        <v>0.70799999999999996</v>
      </c>
      <c r="F589" s="195">
        <v>0.68700000000000006</v>
      </c>
      <c r="G589" s="195">
        <v>0.68899999999999995</v>
      </c>
      <c r="H589" s="195">
        <v>0.68700000000000006</v>
      </c>
      <c r="I589" s="195">
        <v>0.68200000000000005</v>
      </c>
      <c r="J589" s="195">
        <v>0.67200000000000004</v>
      </c>
      <c r="K589" s="195">
        <v>0.67900000000000005</v>
      </c>
      <c r="L589" s="195">
        <v>0.70199999999999996</v>
      </c>
      <c r="M589" s="195">
        <v>0.70799999999999996</v>
      </c>
      <c r="N589" s="195">
        <v>0.73199999999999998</v>
      </c>
      <c r="O589" s="195">
        <v>0.74299999999999999</v>
      </c>
      <c r="P589" s="195">
        <v>0.754</v>
      </c>
      <c r="Q589" s="195">
        <v>0.77100000000000002</v>
      </c>
      <c r="R589" s="195">
        <v>0.78400000000000003</v>
      </c>
      <c r="S589" s="195">
        <v>0.79</v>
      </c>
      <c r="T589" s="195">
        <v>0.80600000000000005</v>
      </c>
      <c r="U589" s="195">
        <v>0.81100000000000005</v>
      </c>
      <c r="V589" s="195">
        <v>0.81799999999999995</v>
      </c>
      <c r="W589" s="195">
        <v>0.84399999999999997</v>
      </c>
      <c r="X589" s="195">
        <v>0.89200000000000002</v>
      </c>
      <c r="Y589" s="195">
        <v>0.88300000000000001</v>
      </c>
      <c r="Z589" s="195">
        <v>0.67400000000000004</v>
      </c>
    </row>
    <row r="590" spans="1:26">
      <c r="A590" s="195" t="s">
        <v>310</v>
      </c>
      <c r="B590" s="195" t="s">
        <v>285</v>
      </c>
      <c r="C590" s="195">
        <v>0.98399999999999999</v>
      </c>
      <c r="D590" s="195">
        <v>0.94699999999999995</v>
      </c>
      <c r="E590" s="195">
        <v>0.91900000000000004</v>
      </c>
      <c r="F590" s="195">
        <v>0.89300000000000002</v>
      </c>
      <c r="G590" s="195">
        <v>0.89300000000000002</v>
      </c>
      <c r="H590" s="195">
        <v>0.89</v>
      </c>
      <c r="I590" s="195">
        <v>0.878</v>
      </c>
      <c r="J590" s="195">
        <v>0.873</v>
      </c>
      <c r="K590" s="195">
        <v>0.88300000000000001</v>
      </c>
      <c r="L590" s="195">
        <v>0.91400000000000003</v>
      </c>
      <c r="M590" s="195">
        <v>0.92100000000000004</v>
      </c>
      <c r="N590" s="195">
        <v>0.94799999999999995</v>
      </c>
      <c r="O590" s="195">
        <v>0.95099999999999996</v>
      </c>
      <c r="P590" s="195">
        <v>0.97299999999999998</v>
      </c>
      <c r="Q590" s="195">
        <v>0.995</v>
      </c>
      <c r="R590" s="195">
        <v>1.0069999999999999</v>
      </c>
      <c r="S590" s="195">
        <v>1.0129999999999999</v>
      </c>
      <c r="T590" s="195">
        <v>1.0269999999999999</v>
      </c>
      <c r="U590" s="195">
        <v>1.034</v>
      </c>
      <c r="V590" s="195">
        <v>1.0409999999999999</v>
      </c>
      <c r="W590" s="195">
        <v>1.07</v>
      </c>
      <c r="X590" s="195">
        <v>1.125</v>
      </c>
      <c r="Y590" s="195">
        <v>1.139</v>
      </c>
      <c r="Z590" s="195">
        <v>0.64900000000000002</v>
      </c>
    </row>
    <row r="591" spans="1:26">
      <c r="A591" s="195" t="s">
        <v>311</v>
      </c>
      <c r="B591" s="195" t="s">
        <v>285</v>
      </c>
      <c r="C591" s="195">
        <v>0.434</v>
      </c>
      <c r="D591" s="195">
        <v>0.41199999999999998</v>
      </c>
      <c r="E591" s="195">
        <v>0.54700000000000004</v>
      </c>
      <c r="F591" s="195">
        <v>0.66800000000000004</v>
      </c>
      <c r="G591" s="195">
        <v>0.76100000000000001</v>
      </c>
      <c r="H591" s="195">
        <v>0.70699999999999996</v>
      </c>
      <c r="I591" s="195">
        <v>0.79500000000000004</v>
      </c>
      <c r="J591" s="195">
        <v>0.77600000000000002</v>
      </c>
      <c r="K591" s="195">
        <v>0.64600000000000002</v>
      </c>
      <c r="L591" s="195">
        <v>0.39500000000000002</v>
      </c>
      <c r="M591" s="195">
        <v>0.30499999999999999</v>
      </c>
      <c r="N591" s="195">
        <v>0.30599999999999999</v>
      </c>
      <c r="O591" s="195">
        <v>0.38900000000000001</v>
      </c>
      <c r="P591" s="195">
        <v>0.38700000000000001</v>
      </c>
      <c r="Q591" s="195">
        <v>0.51600000000000001</v>
      </c>
      <c r="R591" s="195">
        <v>0.59199999999999997</v>
      </c>
      <c r="S591" s="195">
        <v>0.58199999999999996</v>
      </c>
      <c r="T591" s="195">
        <v>0.65700000000000003</v>
      </c>
      <c r="U591" s="195">
        <v>0.72899999999999998</v>
      </c>
      <c r="V591" s="195">
        <v>0.71599999999999997</v>
      </c>
      <c r="W591" s="195">
        <v>0.68400000000000005</v>
      </c>
      <c r="X591" s="195">
        <v>0.67400000000000004</v>
      </c>
      <c r="Y591" s="195">
        <v>0.71</v>
      </c>
      <c r="Z591" s="195">
        <v>0.36</v>
      </c>
    </row>
    <row r="592" spans="1:26">
      <c r="A592" s="195" t="s">
        <v>312</v>
      </c>
      <c r="B592" s="195" t="s">
        <v>285</v>
      </c>
      <c r="C592" s="195">
        <v>0.84099999999999997</v>
      </c>
      <c r="D592" s="195">
        <v>0.81</v>
      </c>
      <c r="E592" s="195">
        <v>0.79200000000000004</v>
      </c>
      <c r="F592" s="195">
        <v>0.77400000000000002</v>
      </c>
      <c r="G592" s="195">
        <v>0.78100000000000003</v>
      </c>
      <c r="H592" s="195">
        <v>0.77700000000000002</v>
      </c>
      <c r="I592" s="195">
        <v>0.77600000000000002</v>
      </c>
      <c r="J592" s="195">
        <v>0.76700000000000002</v>
      </c>
      <c r="K592" s="195">
        <v>0.76500000000000001</v>
      </c>
      <c r="L592" s="195">
        <v>0.77800000000000002</v>
      </c>
      <c r="M592" s="195">
        <v>0.77700000000000002</v>
      </c>
      <c r="N592" s="195">
        <v>0.79900000000000004</v>
      </c>
      <c r="O592" s="195">
        <v>0.81599999999999995</v>
      </c>
      <c r="P592" s="195">
        <v>0.82899999999999996</v>
      </c>
      <c r="Q592" s="195">
        <v>0.85299999999999998</v>
      </c>
      <c r="R592" s="195">
        <v>0.86899999999999999</v>
      </c>
      <c r="S592" s="195">
        <v>0.876</v>
      </c>
      <c r="T592" s="195">
        <v>0.89600000000000002</v>
      </c>
      <c r="U592" s="195">
        <v>0.90600000000000003</v>
      </c>
      <c r="V592" s="195">
        <v>0.91200000000000003</v>
      </c>
      <c r="W592" s="195">
        <v>0.93400000000000005</v>
      </c>
      <c r="X592" s="195">
        <v>0.97899999999999998</v>
      </c>
      <c r="Y592" s="195">
        <v>0.97399999999999998</v>
      </c>
      <c r="Z592" s="195">
        <v>0.97499999999999998</v>
      </c>
    </row>
    <row r="593" spans="1:26">
      <c r="A593" s="195" t="s">
        <v>313</v>
      </c>
    </row>
    <row r="594" spans="1:26">
      <c r="A594" s="195" t="s">
        <v>303</v>
      </c>
      <c r="B594" s="195" t="s">
        <v>285</v>
      </c>
      <c r="C594" s="195">
        <v>1.444</v>
      </c>
      <c r="D594" s="195">
        <v>1.3859999999999999</v>
      </c>
      <c r="E594" s="195">
        <v>1.347</v>
      </c>
      <c r="F594" s="195">
        <v>1.3080000000000001</v>
      </c>
      <c r="G594" s="195">
        <v>1.31</v>
      </c>
      <c r="H594" s="195">
        <v>1.304</v>
      </c>
      <c r="I594" s="195">
        <v>1.2989999999999999</v>
      </c>
      <c r="J594" s="195">
        <v>1.2929999999999999</v>
      </c>
      <c r="K594" s="195">
        <v>1.284</v>
      </c>
      <c r="L594" s="195">
        <v>1.3280000000000001</v>
      </c>
      <c r="M594" s="195">
        <v>1.337</v>
      </c>
      <c r="N594" s="195">
        <v>1.367</v>
      </c>
      <c r="O594" s="195">
        <v>1.385</v>
      </c>
      <c r="P594" s="195">
        <v>1.4159999999999999</v>
      </c>
      <c r="Q594" s="195">
        <v>1.4419999999999999</v>
      </c>
      <c r="R594" s="195">
        <v>1.4590000000000001</v>
      </c>
      <c r="S594" s="195">
        <v>1.4770000000000001</v>
      </c>
      <c r="T594" s="195">
        <v>1.494</v>
      </c>
      <c r="U594" s="195">
        <v>1.512</v>
      </c>
      <c r="V594" s="195">
        <v>1.524</v>
      </c>
      <c r="W594" s="195">
        <v>1.536</v>
      </c>
      <c r="X594" s="195">
        <v>1.548</v>
      </c>
      <c r="Y594" s="195">
        <v>1.5589999999999999</v>
      </c>
      <c r="Z594" s="195">
        <v>1.571</v>
      </c>
    </row>
    <row r="595" spans="1:26">
      <c r="A595" s="195" t="s">
        <v>304</v>
      </c>
      <c r="B595" s="195" t="s">
        <v>285</v>
      </c>
      <c r="C595" s="195">
        <v>1.524</v>
      </c>
      <c r="D595" s="195">
        <v>1.462</v>
      </c>
      <c r="E595" s="195">
        <v>1.42</v>
      </c>
      <c r="F595" s="195">
        <v>1.3779999999999999</v>
      </c>
      <c r="G595" s="195">
        <v>1.38</v>
      </c>
      <c r="H595" s="195">
        <v>1.3740000000000001</v>
      </c>
      <c r="I595" s="195">
        <v>1.3680000000000001</v>
      </c>
      <c r="J595" s="195">
        <v>1.3620000000000001</v>
      </c>
      <c r="K595" s="195">
        <v>1.3520000000000001</v>
      </c>
      <c r="L595" s="195">
        <v>1.399</v>
      </c>
      <c r="M595" s="195">
        <v>1.4079999999999999</v>
      </c>
      <c r="N595" s="195">
        <v>1.4410000000000001</v>
      </c>
      <c r="O595" s="195">
        <v>1.46</v>
      </c>
      <c r="P595" s="195">
        <v>1.494</v>
      </c>
      <c r="Q595" s="195">
        <v>1.5229999999999999</v>
      </c>
      <c r="R595" s="195">
        <v>1.542</v>
      </c>
      <c r="S595" s="195">
        <v>1.5609999999999999</v>
      </c>
      <c r="T595" s="195">
        <v>1.58</v>
      </c>
      <c r="U595" s="195">
        <v>1.599</v>
      </c>
      <c r="V595" s="195">
        <v>1.6120000000000001</v>
      </c>
      <c r="W595" s="195">
        <v>1.625</v>
      </c>
      <c r="X595" s="195">
        <v>1.6379999999999999</v>
      </c>
      <c r="Y595" s="195">
        <v>1.65</v>
      </c>
      <c r="Z595" s="195">
        <v>1.663</v>
      </c>
    </row>
    <row r="596" spans="1:26">
      <c r="A596" s="195" t="s">
        <v>305</v>
      </c>
      <c r="B596" s="195" t="s">
        <v>285</v>
      </c>
      <c r="C596" s="195">
        <v>1.0740000000000001</v>
      </c>
      <c r="D596" s="195">
        <v>1.0329999999999999</v>
      </c>
      <c r="E596" s="195">
        <v>1.0009999999999999</v>
      </c>
      <c r="F596" s="195">
        <v>0.97199999999999998</v>
      </c>
      <c r="G596" s="195">
        <v>0.97499999999999998</v>
      </c>
      <c r="H596" s="195">
        <v>0.97099999999999997</v>
      </c>
      <c r="I596" s="195">
        <v>0.96599999999999997</v>
      </c>
      <c r="J596" s="195">
        <v>0.96199999999999997</v>
      </c>
      <c r="K596" s="195">
        <v>0.95799999999999996</v>
      </c>
      <c r="L596" s="195">
        <v>0.99099999999999999</v>
      </c>
      <c r="M596" s="195">
        <v>0.999</v>
      </c>
      <c r="N596" s="195">
        <v>1.026</v>
      </c>
      <c r="O596" s="195">
        <v>1.04</v>
      </c>
      <c r="P596" s="195">
        <v>1.0609999999999999</v>
      </c>
      <c r="Q596" s="195">
        <v>1.079</v>
      </c>
      <c r="R596" s="195">
        <v>1.095</v>
      </c>
      <c r="S596" s="195">
        <v>1.1060000000000001</v>
      </c>
      <c r="T596" s="195">
        <v>1.125</v>
      </c>
      <c r="U596" s="195">
        <v>1.1339999999999999</v>
      </c>
      <c r="V596" s="195">
        <v>1.1419999999999999</v>
      </c>
      <c r="W596" s="195">
        <v>1.177</v>
      </c>
      <c r="X596" s="195">
        <v>1.252</v>
      </c>
      <c r="Y596" s="195">
        <v>1.236</v>
      </c>
      <c r="Z596" s="195">
        <v>1.238</v>
      </c>
    </row>
    <row r="597" spans="1:26">
      <c r="A597" s="195" t="s">
        <v>306</v>
      </c>
      <c r="B597" s="195" t="s">
        <v>285</v>
      </c>
      <c r="C597" s="195">
        <v>0.92700000000000005</v>
      </c>
      <c r="D597" s="195">
        <v>0.89200000000000002</v>
      </c>
      <c r="E597" s="195">
        <v>0.86499999999999999</v>
      </c>
      <c r="F597" s="195">
        <v>0.83899999999999997</v>
      </c>
      <c r="G597" s="195">
        <v>0.84099999999999997</v>
      </c>
      <c r="H597" s="195">
        <v>0.83799999999999997</v>
      </c>
      <c r="I597" s="195">
        <v>0.83399999999999996</v>
      </c>
      <c r="J597" s="195">
        <v>0.83099999999999996</v>
      </c>
      <c r="K597" s="195">
        <v>0.82699999999999996</v>
      </c>
      <c r="L597" s="195">
        <v>0.85599999999999998</v>
      </c>
      <c r="M597" s="195">
        <v>0.86199999999999999</v>
      </c>
      <c r="N597" s="195">
        <v>0.88800000000000001</v>
      </c>
      <c r="O597" s="195">
        <v>0.9</v>
      </c>
      <c r="P597" s="195">
        <v>0.91700000000000004</v>
      </c>
      <c r="Q597" s="195">
        <v>0.93200000000000005</v>
      </c>
      <c r="R597" s="195">
        <v>0.94499999999999995</v>
      </c>
      <c r="S597" s="195">
        <v>0.95499999999999996</v>
      </c>
      <c r="T597" s="195">
        <v>0.97199999999999998</v>
      </c>
      <c r="U597" s="195">
        <v>0.97899999999999998</v>
      </c>
      <c r="V597" s="195">
        <v>0.98599999999999999</v>
      </c>
      <c r="W597" s="195">
        <v>1.0169999999999999</v>
      </c>
      <c r="X597" s="195">
        <v>1.079</v>
      </c>
      <c r="Y597" s="195">
        <v>1.0669999999999999</v>
      </c>
      <c r="Z597" s="195">
        <v>1.069</v>
      </c>
    </row>
    <row r="598" spans="1:26">
      <c r="A598" s="195" t="s">
        <v>307</v>
      </c>
      <c r="B598" s="195" t="s">
        <v>285</v>
      </c>
      <c r="C598" s="195">
        <v>1.3720000000000001</v>
      </c>
      <c r="D598" s="195">
        <v>1.321</v>
      </c>
      <c r="E598" s="195">
        <v>1.28</v>
      </c>
      <c r="F598" s="195">
        <v>1.244</v>
      </c>
      <c r="G598" s="195">
        <v>1.248</v>
      </c>
      <c r="H598" s="195">
        <v>1.2430000000000001</v>
      </c>
      <c r="I598" s="195">
        <v>1.238</v>
      </c>
      <c r="J598" s="195">
        <v>1.232</v>
      </c>
      <c r="K598" s="195">
        <v>1.228</v>
      </c>
      <c r="L598" s="195">
        <v>1.2689999999999999</v>
      </c>
      <c r="M598" s="195">
        <v>1.278</v>
      </c>
      <c r="N598" s="195">
        <v>1.3080000000000001</v>
      </c>
      <c r="O598" s="195">
        <v>1.325</v>
      </c>
      <c r="P598" s="195">
        <v>1.3540000000000001</v>
      </c>
      <c r="Q598" s="195">
        <v>1.379</v>
      </c>
      <c r="R598" s="195">
        <v>1.397</v>
      </c>
      <c r="S598" s="195">
        <v>1.4119999999999999</v>
      </c>
      <c r="T598" s="195">
        <v>1.429</v>
      </c>
      <c r="U598" s="195">
        <v>1.446</v>
      </c>
      <c r="V598" s="195">
        <v>1.4570000000000001</v>
      </c>
      <c r="W598" s="195">
        <v>1.4730000000000001</v>
      </c>
      <c r="X598" s="195">
        <v>1.4870000000000001</v>
      </c>
      <c r="Y598" s="195">
        <v>1.5049999999999999</v>
      </c>
      <c r="Z598" s="195">
        <v>1.516</v>
      </c>
    </row>
    <row r="599" spans="1:26">
      <c r="A599" s="195" t="s">
        <v>308</v>
      </c>
      <c r="B599" s="195" t="s">
        <v>285</v>
      </c>
      <c r="C599" s="195">
        <v>1.2569999999999999</v>
      </c>
      <c r="D599" s="195">
        <v>1.2090000000000001</v>
      </c>
      <c r="E599" s="195">
        <v>1.1719999999999999</v>
      </c>
      <c r="F599" s="195">
        <v>1.1359999999999999</v>
      </c>
      <c r="G599" s="195">
        <v>1.141</v>
      </c>
      <c r="H599" s="195">
        <v>1.1379999999999999</v>
      </c>
      <c r="I599" s="195">
        <v>1.129</v>
      </c>
      <c r="J599" s="195">
        <v>1.1100000000000001</v>
      </c>
      <c r="K599" s="195">
        <v>1.1240000000000001</v>
      </c>
      <c r="L599" s="195">
        <v>1.1619999999999999</v>
      </c>
      <c r="M599" s="195">
        <v>1.17</v>
      </c>
      <c r="N599" s="195">
        <v>1.1990000000000001</v>
      </c>
      <c r="O599" s="195">
        <v>1.2150000000000001</v>
      </c>
      <c r="P599" s="195">
        <v>1.24</v>
      </c>
      <c r="Q599" s="195">
        <v>1.262</v>
      </c>
      <c r="R599" s="195">
        <v>1.28</v>
      </c>
      <c r="S599" s="195">
        <v>1.2929999999999999</v>
      </c>
      <c r="T599" s="195">
        <v>1.3140000000000001</v>
      </c>
      <c r="U599" s="195">
        <v>1.325</v>
      </c>
      <c r="V599" s="195">
        <v>1.335</v>
      </c>
      <c r="W599" s="195">
        <v>1.3740000000000001</v>
      </c>
      <c r="X599" s="195">
        <v>1.4610000000000001</v>
      </c>
      <c r="Y599" s="195">
        <v>1.4410000000000001</v>
      </c>
      <c r="Z599" s="195">
        <v>1.444</v>
      </c>
    </row>
    <row r="600" spans="1:26">
      <c r="A600" s="195" t="s">
        <v>309</v>
      </c>
      <c r="B600" s="195" t="s">
        <v>285</v>
      </c>
      <c r="C600" s="195">
        <v>1.1639999999999999</v>
      </c>
      <c r="D600" s="195">
        <v>1.121</v>
      </c>
      <c r="E600" s="195">
        <v>1.085</v>
      </c>
      <c r="F600" s="195">
        <v>1.0529999999999999</v>
      </c>
      <c r="G600" s="195">
        <v>1.056</v>
      </c>
      <c r="H600" s="195">
        <v>1.0529999999999999</v>
      </c>
      <c r="I600" s="195">
        <v>1.044</v>
      </c>
      <c r="J600" s="195">
        <v>1.026</v>
      </c>
      <c r="K600" s="195">
        <v>1.0389999999999999</v>
      </c>
      <c r="L600" s="195">
        <v>1.0760000000000001</v>
      </c>
      <c r="M600" s="195">
        <v>1.083</v>
      </c>
      <c r="N600" s="195">
        <v>1.1120000000000001</v>
      </c>
      <c r="O600" s="195">
        <v>1.127</v>
      </c>
      <c r="P600" s="195">
        <v>1.151</v>
      </c>
      <c r="Q600" s="195">
        <v>1.177</v>
      </c>
      <c r="R600" s="195">
        <v>1.198</v>
      </c>
      <c r="S600" s="195">
        <v>1.2070000000000001</v>
      </c>
      <c r="T600" s="195">
        <v>1.232</v>
      </c>
      <c r="U600" s="195">
        <v>1.242</v>
      </c>
      <c r="V600" s="195">
        <v>1.252</v>
      </c>
      <c r="W600" s="195">
        <v>1.2889999999999999</v>
      </c>
      <c r="X600" s="195">
        <v>1.371</v>
      </c>
      <c r="Y600" s="195">
        <v>1.353</v>
      </c>
      <c r="Z600" s="195">
        <v>1.3560000000000001</v>
      </c>
    </row>
    <row r="601" spans="1:26">
      <c r="A601" s="195" t="s">
        <v>310</v>
      </c>
      <c r="B601" s="195" t="s">
        <v>285</v>
      </c>
      <c r="C601" s="195">
        <v>1.085</v>
      </c>
      <c r="D601" s="195">
        <v>1.0429999999999999</v>
      </c>
      <c r="E601" s="195">
        <v>1.0109999999999999</v>
      </c>
      <c r="F601" s="195">
        <v>0.97899999999999998</v>
      </c>
      <c r="G601" s="195">
        <v>0.98099999999999998</v>
      </c>
      <c r="H601" s="195">
        <v>0.97899999999999998</v>
      </c>
      <c r="I601" s="195">
        <v>0.97</v>
      </c>
      <c r="J601" s="195">
        <v>0.95399999999999996</v>
      </c>
      <c r="K601" s="195">
        <v>0.96499999999999997</v>
      </c>
      <c r="L601" s="195">
        <v>1</v>
      </c>
      <c r="M601" s="195">
        <v>1.008</v>
      </c>
      <c r="N601" s="195">
        <v>1.036</v>
      </c>
      <c r="O601" s="195">
        <v>1.05</v>
      </c>
      <c r="P601" s="195">
        <v>1.073</v>
      </c>
      <c r="Q601" s="195">
        <v>1.0980000000000001</v>
      </c>
      <c r="R601" s="195">
        <v>1.1180000000000001</v>
      </c>
      <c r="S601" s="195">
        <v>1.1259999999999999</v>
      </c>
      <c r="T601" s="195">
        <v>1.139</v>
      </c>
      <c r="U601" s="195">
        <v>1.149</v>
      </c>
      <c r="V601" s="195">
        <v>1.1579999999999999</v>
      </c>
      <c r="W601" s="195">
        <v>1.194</v>
      </c>
      <c r="X601" s="195">
        <v>1.272</v>
      </c>
      <c r="Y601" s="195">
        <v>1.254</v>
      </c>
      <c r="Z601" s="195">
        <v>1.258</v>
      </c>
    </row>
    <row r="602" spans="1:26">
      <c r="A602" s="195" t="s">
        <v>311</v>
      </c>
      <c r="B602" s="195" t="s">
        <v>285</v>
      </c>
      <c r="C602" s="195">
        <v>0.52700000000000002</v>
      </c>
      <c r="D602" s="195">
        <v>0.51900000000000002</v>
      </c>
      <c r="E602" s="195">
        <v>0.68700000000000006</v>
      </c>
      <c r="F602" s="195">
        <v>0.82699999999999996</v>
      </c>
      <c r="G602" s="195">
        <v>0.94</v>
      </c>
      <c r="H602" s="195">
        <v>0.876</v>
      </c>
      <c r="I602" s="195">
        <v>0.98499999999999999</v>
      </c>
      <c r="J602" s="195">
        <v>0.96199999999999997</v>
      </c>
      <c r="K602" s="195">
        <v>0.79800000000000004</v>
      </c>
      <c r="L602" s="195">
        <v>0.496</v>
      </c>
      <c r="M602" s="195">
        <v>0.39</v>
      </c>
      <c r="N602" s="195">
        <v>0.39100000000000001</v>
      </c>
      <c r="O602" s="195">
        <v>0.47799999999999998</v>
      </c>
      <c r="P602" s="195">
        <v>0.47399999999999998</v>
      </c>
      <c r="Q602" s="195">
        <v>0.64500000000000002</v>
      </c>
      <c r="R602" s="195">
        <v>0.749</v>
      </c>
      <c r="S602" s="195">
        <v>0.73599999999999999</v>
      </c>
      <c r="T602" s="195">
        <v>0.83899999999999997</v>
      </c>
      <c r="U602" s="195">
        <v>0.93100000000000005</v>
      </c>
      <c r="V602" s="195">
        <v>0.91500000000000004</v>
      </c>
      <c r="W602" s="195">
        <v>0.85599999999999998</v>
      </c>
      <c r="X602" s="195">
        <v>0.84799999999999998</v>
      </c>
      <c r="Y602" s="195">
        <v>0.88200000000000001</v>
      </c>
      <c r="Z602" s="195">
        <v>0.85799999999999998</v>
      </c>
    </row>
    <row r="603" spans="1:26">
      <c r="A603" s="195" t="s">
        <v>312</v>
      </c>
      <c r="B603" s="195" t="s">
        <v>285</v>
      </c>
      <c r="C603" s="195">
        <v>1.1399999999999999</v>
      </c>
      <c r="D603" s="195">
        <v>1.095</v>
      </c>
      <c r="E603" s="195">
        <v>1.0720000000000001</v>
      </c>
      <c r="F603" s="195">
        <v>1.0509999999999999</v>
      </c>
      <c r="G603" s="195">
        <v>1.06</v>
      </c>
      <c r="H603" s="195">
        <v>1.0529999999999999</v>
      </c>
      <c r="I603" s="195">
        <v>1.054</v>
      </c>
      <c r="J603" s="195">
        <v>1.046</v>
      </c>
      <c r="K603" s="195">
        <v>1.036</v>
      </c>
      <c r="L603" s="195">
        <v>1.0509999999999999</v>
      </c>
      <c r="M603" s="195">
        <v>1.05</v>
      </c>
      <c r="N603" s="195">
        <v>1.075</v>
      </c>
      <c r="O603" s="195">
        <v>1.095</v>
      </c>
      <c r="P603" s="195">
        <v>1.117</v>
      </c>
      <c r="Q603" s="195">
        <v>1.1499999999999999</v>
      </c>
      <c r="R603" s="195">
        <v>1.173</v>
      </c>
      <c r="S603" s="195">
        <v>1.1850000000000001</v>
      </c>
      <c r="T603" s="195">
        <v>1.2090000000000001</v>
      </c>
      <c r="U603" s="195">
        <v>1.226</v>
      </c>
      <c r="V603" s="195">
        <v>1.2350000000000001</v>
      </c>
      <c r="W603" s="195">
        <v>1.2569999999999999</v>
      </c>
      <c r="X603" s="195">
        <v>1.3069999999999999</v>
      </c>
      <c r="Y603" s="195">
        <v>1.3049999999999999</v>
      </c>
      <c r="Z603" s="195">
        <v>1.3080000000000001</v>
      </c>
    </row>
    <row r="604" spans="1:26">
      <c r="A604" s="195" t="s">
        <v>314</v>
      </c>
    </row>
    <row r="605" spans="1:26">
      <c r="A605" s="195" t="s">
        <v>303</v>
      </c>
      <c r="B605" s="195" t="s">
        <v>285</v>
      </c>
      <c r="C605" s="195">
        <v>0.97799999999999998</v>
      </c>
      <c r="D605" s="195">
        <v>0.93799999999999994</v>
      </c>
      <c r="E605" s="195">
        <v>0.91200000000000003</v>
      </c>
      <c r="F605" s="195">
        <v>0.88500000000000001</v>
      </c>
      <c r="G605" s="195">
        <v>0.88600000000000001</v>
      </c>
      <c r="H605" s="195">
        <v>0.88300000000000001</v>
      </c>
      <c r="I605" s="195">
        <v>0.879</v>
      </c>
      <c r="J605" s="195">
        <v>0.875</v>
      </c>
      <c r="K605" s="195">
        <v>0.87</v>
      </c>
      <c r="L605" s="195">
        <v>0.89900000000000002</v>
      </c>
      <c r="M605" s="195">
        <v>0.90600000000000003</v>
      </c>
      <c r="N605" s="195">
        <v>0.93200000000000005</v>
      </c>
      <c r="O605" s="195">
        <v>0.94399999999999995</v>
      </c>
      <c r="P605" s="195">
        <v>0.96099999999999997</v>
      </c>
      <c r="Q605" s="195">
        <v>0.97599999999999998</v>
      </c>
      <c r="R605" s="195">
        <v>0.98799999999999999</v>
      </c>
      <c r="S605" s="195">
        <v>1</v>
      </c>
      <c r="T605" s="195">
        <v>1.012</v>
      </c>
      <c r="U605" s="195">
        <v>1.024</v>
      </c>
      <c r="V605" s="195">
        <v>1.032</v>
      </c>
      <c r="W605" s="195">
        <v>1.04</v>
      </c>
      <c r="X605" s="195">
        <v>1.048</v>
      </c>
      <c r="Y605" s="195">
        <v>1.056</v>
      </c>
      <c r="Z605" s="195">
        <v>1.0640000000000001</v>
      </c>
    </row>
    <row r="606" spans="1:26">
      <c r="A606" s="195" t="s">
        <v>304</v>
      </c>
      <c r="B606" s="195" t="s">
        <v>285</v>
      </c>
      <c r="C606" s="195">
        <v>0.95199999999999996</v>
      </c>
      <c r="D606" s="195">
        <v>0.91200000000000003</v>
      </c>
      <c r="E606" s="195">
        <v>0.88700000000000001</v>
      </c>
      <c r="F606" s="195">
        <v>0.86</v>
      </c>
      <c r="G606" s="195">
        <v>0.86099999999999999</v>
      </c>
      <c r="H606" s="195">
        <v>0.85699999999999998</v>
      </c>
      <c r="I606" s="195">
        <v>0.85399999999999998</v>
      </c>
      <c r="J606" s="195">
        <v>0.85</v>
      </c>
      <c r="K606" s="195">
        <v>0.84399999999999997</v>
      </c>
      <c r="L606" s="195">
        <v>0.874</v>
      </c>
      <c r="M606" s="195">
        <v>0.88</v>
      </c>
      <c r="N606" s="195">
        <v>0.90600000000000003</v>
      </c>
      <c r="O606" s="195">
        <v>0.91900000000000004</v>
      </c>
      <c r="P606" s="195">
        <v>0.93600000000000005</v>
      </c>
      <c r="Q606" s="195">
        <v>0.95099999999999996</v>
      </c>
      <c r="R606" s="195">
        <v>0.96299999999999997</v>
      </c>
      <c r="S606" s="195">
        <v>0.97499999999999998</v>
      </c>
      <c r="T606" s="195">
        <v>0.98699999999999999</v>
      </c>
      <c r="U606" s="195">
        <v>0.999</v>
      </c>
      <c r="V606" s="195">
        <v>1.0069999999999999</v>
      </c>
      <c r="W606" s="195">
        <v>1.0149999999999999</v>
      </c>
      <c r="X606" s="195">
        <v>1.022</v>
      </c>
      <c r="Y606" s="195">
        <v>1.03</v>
      </c>
      <c r="Z606" s="195">
        <v>1.038</v>
      </c>
    </row>
    <row r="607" spans="1:26">
      <c r="A607" s="195" t="s">
        <v>305</v>
      </c>
      <c r="B607" s="195" t="s">
        <v>285</v>
      </c>
      <c r="C607" s="195">
        <v>1.0369999999999999</v>
      </c>
      <c r="D607" s="195">
        <v>0.998</v>
      </c>
      <c r="E607" s="195">
        <v>0.96699999999999997</v>
      </c>
      <c r="F607" s="195">
        <v>0.93899999999999995</v>
      </c>
      <c r="G607" s="195">
        <v>0.94099999999999995</v>
      </c>
      <c r="H607" s="195">
        <v>0.93799999999999994</v>
      </c>
      <c r="I607" s="195">
        <v>0.93400000000000005</v>
      </c>
      <c r="J607" s="195">
        <v>0.92900000000000005</v>
      </c>
      <c r="K607" s="195">
        <v>0.92500000000000004</v>
      </c>
      <c r="L607" s="195">
        <v>0.95799999999999996</v>
      </c>
      <c r="M607" s="195">
        <v>0.96499999999999997</v>
      </c>
      <c r="N607" s="195">
        <v>0.99199999999999999</v>
      </c>
      <c r="O607" s="195">
        <v>1.0049999999999999</v>
      </c>
      <c r="P607" s="195">
        <v>1.0249999999999999</v>
      </c>
      <c r="Q607" s="195">
        <v>1.0429999999999999</v>
      </c>
      <c r="R607" s="195">
        <v>1.0580000000000001</v>
      </c>
      <c r="S607" s="195">
        <v>1.069</v>
      </c>
      <c r="T607" s="195">
        <v>1.087</v>
      </c>
      <c r="U607" s="195">
        <v>1.095</v>
      </c>
      <c r="V607" s="195">
        <v>1.1040000000000001</v>
      </c>
      <c r="W607" s="195">
        <v>1.137</v>
      </c>
      <c r="X607" s="195">
        <v>1.2090000000000001</v>
      </c>
      <c r="Y607" s="195">
        <v>1.194</v>
      </c>
      <c r="Z607" s="195">
        <v>1.196</v>
      </c>
    </row>
    <row r="608" spans="1:26">
      <c r="A608" s="195" t="s">
        <v>306</v>
      </c>
      <c r="B608" s="195" t="s">
        <v>285</v>
      </c>
      <c r="C608" s="195">
        <v>0.94499999999999995</v>
      </c>
      <c r="D608" s="195">
        <v>0.90900000000000003</v>
      </c>
      <c r="E608" s="195">
        <v>0.88200000000000001</v>
      </c>
      <c r="F608" s="195">
        <v>0.85599999999999998</v>
      </c>
      <c r="G608" s="195">
        <v>0.85799999999999998</v>
      </c>
      <c r="H608" s="195">
        <v>0.85499999999999998</v>
      </c>
      <c r="I608" s="195">
        <v>0.85099999999999998</v>
      </c>
      <c r="J608" s="195">
        <v>0.84699999999999998</v>
      </c>
      <c r="K608" s="195">
        <v>0.84299999999999997</v>
      </c>
      <c r="L608" s="195">
        <v>0.873</v>
      </c>
      <c r="M608" s="195">
        <v>0.88</v>
      </c>
      <c r="N608" s="195">
        <v>0.90500000000000003</v>
      </c>
      <c r="O608" s="195">
        <v>0.91800000000000004</v>
      </c>
      <c r="P608" s="195">
        <v>0.93500000000000005</v>
      </c>
      <c r="Q608" s="195">
        <v>0.95</v>
      </c>
      <c r="R608" s="195">
        <v>0.96399999999999997</v>
      </c>
      <c r="S608" s="195">
        <v>0.97399999999999998</v>
      </c>
      <c r="T608" s="195">
        <v>0.99099999999999999</v>
      </c>
      <c r="U608" s="195">
        <v>0.998</v>
      </c>
      <c r="V608" s="195">
        <v>1.006</v>
      </c>
      <c r="W608" s="195">
        <v>1.0369999999999999</v>
      </c>
      <c r="X608" s="195">
        <v>1.101</v>
      </c>
      <c r="Y608" s="195">
        <v>1.0880000000000001</v>
      </c>
      <c r="Z608" s="195">
        <v>1.091</v>
      </c>
    </row>
    <row r="609" spans="1:26">
      <c r="A609" s="195" t="s">
        <v>307</v>
      </c>
      <c r="B609" s="195" t="s">
        <v>285</v>
      </c>
      <c r="C609" s="195">
        <v>1.024</v>
      </c>
      <c r="D609" s="195">
        <v>0.98599999999999999</v>
      </c>
      <c r="E609" s="195">
        <v>0.95599999999999996</v>
      </c>
      <c r="F609" s="195">
        <v>0.92800000000000005</v>
      </c>
      <c r="G609" s="195">
        <v>0.93200000000000005</v>
      </c>
      <c r="H609" s="195">
        <v>0.92800000000000005</v>
      </c>
      <c r="I609" s="195">
        <v>0.92400000000000004</v>
      </c>
      <c r="J609" s="195">
        <v>0.92</v>
      </c>
      <c r="K609" s="195">
        <v>0.91700000000000004</v>
      </c>
      <c r="L609" s="195">
        <v>0.94799999999999995</v>
      </c>
      <c r="M609" s="195">
        <v>0.95399999999999996</v>
      </c>
      <c r="N609" s="195">
        <v>0.98099999999999998</v>
      </c>
      <c r="O609" s="195">
        <v>0.99399999999999999</v>
      </c>
      <c r="P609" s="195">
        <v>1.012</v>
      </c>
      <c r="Q609" s="195">
        <v>1.0289999999999999</v>
      </c>
      <c r="R609" s="195">
        <v>1.0429999999999999</v>
      </c>
      <c r="S609" s="195">
        <v>1.054</v>
      </c>
      <c r="T609" s="195">
        <v>1.0669999999999999</v>
      </c>
      <c r="U609" s="195">
        <v>1.079</v>
      </c>
      <c r="V609" s="195">
        <v>1.0880000000000001</v>
      </c>
      <c r="W609" s="195">
        <v>1.1000000000000001</v>
      </c>
      <c r="X609" s="195">
        <v>1.111</v>
      </c>
      <c r="Y609" s="195">
        <v>1.125</v>
      </c>
      <c r="Z609" s="195">
        <v>1.1339999999999999</v>
      </c>
    </row>
    <row r="610" spans="1:26">
      <c r="A610" s="195" t="s">
        <v>308</v>
      </c>
      <c r="B610" s="195" t="s">
        <v>285</v>
      </c>
      <c r="C610" s="195">
        <v>0.94199999999999995</v>
      </c>
      <c r="D610" s="195">
        <v>0.90700000000000003</v>
      </c>
      <c r="E610" s="195">
        <v>0.879</v>
      </c>
      <c r="F610" s="195">
        <v>0.85199999999999998</v>
      </c>
      <c r="G610" s="195">
        <v>0.85599999999999998</v>
      </c>
      <c r="H610" s="195">
        <v>0.85299999999999998</v>
      </c>
      <c r="I610" s="195">
        <v>0.84699999999999998</v>
      </c>
      <c r="J610" s="195">
        <v>0.83299999999999996</v>
      </c>
      <c r="K610" s="195">
        <v>0.84299999999999997</v>
      </c>
      <c r="L610" s="195">
        <v>0.871</v>
      </c>
      <c r="M610" s="195">
        <v>0.878</v>
      </c>
      <c r="N610" s="195">
        <v>0.90300000000000002</v>
      </c>
      <c r="O610" s="195">
        <v>0.91500000000000004</v>
      </c>
      <c r="P610" s="195">
        <v>0.93100000000000005</v>
      </c>
      <c r="Q610" s="195">
        <v>0.94599999999999995</v>
      </c>
      <c r="R610" s="195">
        <v>0.96</v>
      </c>
      <c r="S610" s="195">
        <v>0.97</v>
      </c>
      <c r="T610" s="195">
        <v>0.98599999999999999</v>
      </c>
      <c r="U610" s="195">
        <v>0.99299999999999999</v>
      </c>
      <c r="V610" s="195">
        <v>1</v>
      </c>
      <c r="W610" s="195">
        <v>1.0309999999999999</v>
      </c>
      <c r="X610" s="195">
        <v>1.093</v>
      </c>
      <c r="Y610" s="195">
        <v>1.08</v>
      </c>
      <c r="Z610" s="195">
        <v>1.083</v>
      </c>
    </row>
    <row r="611" spans="1:26">
      <c r="A611" s="195" t="s">
        <v>309</v>
      </c>
      <c r="B611" s="195" t="s">
        <v>285</v>
      </c>
      <c r="C611" s="195">
        <v>0.86299999999999999</v>
      </c>
      <c r="D611" s="195">
        <v>0.83099999999999996</v>
      </c>
      <c r="E611" s="195">
        <v>0.80500000000000005</v>
      </c>
      <c r="F611" s="195">
        <v>0.78</v>
      </c>
      <c r="G611" s="195">
        <v>0.78300000000000003</v>
      </c>
      <c r="H611" s="195">
        <v>0.78100000000000003</v>
      </c>
      <c r="I611" s="195">
        <v>0.77400000000000002</v>
      </c>
      <c r="J611" s="195">
        <v>0.76200000000000001</v>
      </c>
      <c r="K611" s="195">
        <v>0.77</v>
      </c>
      <c r="L611" s="195">
        <v>0.79700000000000004</v>
      </c>
      <c r="M611" s="195">
        <v>0.80400000000000005</v>
      </c>
      <c r="N611" s="195">
        <v>0.82899999999999996</v>
      </c>
      <c r="O611" s="195">
        <v>0.84</v>
      </c>
      <c r="P611" s="195">
        <v>0.85499999999999998</v>
      </c>
      <c r="Q611" s="195">
        <v>0.874</v>
      </c>
      <c r="R611" s="195">
        <v>0.88900000000000001</v>
      </c>
      <c r="S611" s="195">
        <v>0.89600000000000002</v>
      </c>
      <c r="T611" s="195">
        <v>0.91500000000000004</v>
      </c>
      <c r="U611" s="195">
        <v>0.92100000000000004</v>
      </c>
      <c r="V611" s="195">
        <v>0.92800000000000005</v>
      </c>
      <c r="W611" s="195">
        <v>0.95699999999999996</v>
      </c>
      <c r="X611" s="195">
        <v>1.014</v>
      </c>
      <c r="Y611" s="195">
        <v>1.0029999999999999</v>
      </c>
      <c r="Z611" s="195">
        <v>1.0049999999999999</v>
      </c>
    </row>
    <row r="612" spans="1:26">
      <c r="A612" s="195" t="s">
        <v>310</v>
      </c>
      <c r="B612" s="195" t="s">
        <v>285</v>
      </c>
      <c r="C612" s="195">
        <v>1.0089999999999999</v>
      </c>
      <c r="D612" s="195">
        <v>0.97</v>
      </c>
      <c r="E612" s="195">
        <v>0.94</v>
      </c>
      <c r="F612" s="195">
        <v>0.91100000000000003</v>
      </c>
      <c r="G612" s="195">
        <v>0.91300000000000003</v>
      </c>
      <c r="H612" s="195">
        <v>0.91</v>
      </c>
      <c r="I612" s="195">
        <v>0.90200000000000002</v>
      </c>
      <c r="J612" s="195">
        <v>0.88700000000000001</v>
      </c>
      <c r="K612" s="195">
        <v>0.89800000000000002</v>
      </c>
      <c r="L612" s="195">
        <v>0.93</v>
      </c>
      <c r="M612" s="195">
        <v>0.93700000000000006</v>
      </c>
      <c r="N612" s="195">
        <v>0.96399999999999997</v>
      </c>
      <c r="O612" s="195">
        <v>0.97799999999999998</v>
      </c>
      <c r="P612" s="195">
        <v>0.998</v>
      </c>
      <c r="Q612" s="195">
        <v>1.0209999999999999</v>
      </c>
      <c r="R612" s="195">
        <v>1.04</v>
      </c>
      <c r="S612" s="195">
        <v>1.048</v>
      </c>
      <c r="T612" s="195">
        <v>1.06</v>
      </c>
      <c r="U612" s="195">
        <v>1.0680000000000001</v>
      </c>
      <c r="V612" s="195">
        <v>1.077</v>
      </c>
      <c r="W612" s="195">
        <v>1.111</v>
      </c>
      <c r="X612" s="195">
        <v>1.1819999999999999</v>
      </c>
      <c r="Y612" s="195">
        <v>1.1659999999999999</v>
      </c>
      <c r="Z612" s="195">
        <v>1.17</v>
      </c>
    </row>
    <row r="613" spans="1:26">
      <c r="A613" s="195" t="s">
        <v>311</v>
      </c>
      <c r="B613" s="195" t="s">
        <v>285</v>
      </c>
      <c r="C613" s="195">
        <v>0.41299999999999998</v>
      </c>
      <c r="D613" s="195">
        <v>0.38700000000000001</v>
      </c>
      <c r="E613" s="195">
        <v>0.51800000000000002</v>
      </c>
      <c r="F613" s="195">
        <v>0.63900000000000001</v>
      </c>
      <c r="G613" s="195">
        <v>0.73299999999999998</v>
      </c>
      <c r="H613" s="195">
        <v>0.68200000000000005</v>
      </c>
      <c r="I613" s="195">
        <v>0.76800000000000002</v>
      </c>
      <c r="J613" s="195">
        <v>0.753</v>
      </c>
      <c r="K613" s="195">
        <v>0.627</v>
      </c>
      <c r="L613" s="195">
        <v>0.38100000000000001</v>
      </c>
      <c r="M613" s="195">
        <v>0.29199999999999998</v>
      </c>
      <c r="N613" s="195">
        <v>0.29399999999999998</v>
      </c>
      <c r="O613" s="195">
        <v>0.375</v>
      </c>
      <c r="P613" s="195">
        <v>0.373</v>
      </c>
      <c r="Q613" s="195">
        <v>0.499</v>
      </c>
      <c r="R613" s="195">
        <v>0.57599999999999996</v>
      </c>
      <c r="S613" s="195">
        <v>0.56599999999999995</v>
      </c>
      <c r="T613" s="195">
        <v>0.64100000000000001</v>
      </c>
      <c r="U613" s="195">
        <v>0.71099999999999997</v>
      </c>
      <c r="V613" s="195">
        <v>0.69799999999999995</v>
      </c>
      <c r="W613" s="195">
        <v>0.66700000000000004</v>
      </c>
      <c r="X613" s="195">
        <v>0.65700000000000003</v>
      </c>
      <c r="Y613" s="195">
        <v>0.69299999999999995</v>
      </c>
      <c r="Z613" s="195">
        <v>0.66500000000000004</v>
      </c>
    </row>
    <row r="614" spans="1:26">
      <c r="A614" s="195" t="s">
        <v>312</v>
      </c>
      <c r="B614" s="195" t="s">
        <v>285</v>
      </c>
      <c r="C614" s="195">
        <v>0.93300000000000005</v>
      </c>
      <c r="D614" s="195">
        <v>0.90700000000000003</v>
      </c>
      <c r="E614" s="195">
        <v>0.89</v>
      </c>
      <c r="F614" s="195">
        <v>0.87</v>
      </c>
      <c r="G614" s="195">
        <v>0.877</v>
      </c>
      <c r="H614" s="195">
        <v>0.87</v>
      </c>
      <c r="I614" s="195">
        <v>0.871</v>
      </c>
      <c r="J614" s="195">
        <v>0.86399999999999999</v>
      </c>
      <c r="K614" s="195">
        <v>0.85699999999999998</v>
      </c>
      <c r="L614" s="195">
        <v>0.86599999999999999</v>
      </c>
      <c r="M614" s="195">
        <v>0.86799999999999999</v>
      </c>
      <c r="N614" s="195">
        <v>0.89600000000000002</v>
      </c>
      <c r="O614" s="195">
        <v>0.91500000000000004</v>
      </c>
      <c r="P614" s="195">
        <v>0.92900000000000005</v>
      </c>
      <c r="Q614" s="195">
        <v>0.95499999999999996</v>
      </c>
      <c r="R614" s="195">
        <v>0.97199999999999998</v>
      </c>
      <c r="S614" s="195">
        <v>0.98</v>
      </c>
      <c r="T614" s="195">
        <v>1.0009999999999999</v>
      </c>
      <c r="U614" s="195">
        <v>1.0129999999999999</v>
      </c>
      <c r="V614" s="195">
        <v>1.0189999999999999</v>
      </c>
      <c r="W614" s="195">
        <v>1.042</v>
      </c>
      <c r="X614" s="195">
        <v>1.087</v>
      </c>
      <c r="Y614" s="195">
        <v>1.0840000000000001</v>
      </c>
      <c r="Z614" s="195">
        <v>1.085</v>
      </c>
    </row>
    <row r="615" spans="1:26">
      <c r="A615" s="195" t="s">
        <v>315</v>
      </c>
    </row>
    <row r="616" spans="1:26">
      <c r="A616" s="195" t="s">
        <v>303</v>
      </c>
      <c r="B616" s="195" t="s">
        <v>285</v>
      </c>
      <c r="C616" s="195">
        <v>0.89100000000000001</v>
      </c>
      <c r="D616" s="195">
        <v>0.85499999999999998</v>
      </c>
      <c r="E616" s="195">
        <v>0.83199999999999996</v>
      </c>
      <c r="F616" s="195">
        <v>0.80700000000000005</v>
      </c>
      <c r="G616" s="195">
        <v>0.80800000000000005</v>
      </c>
      <c r="H616" s="195">
        <v>0.80500000000000005</v>
      </c>
      <c r="I616" s="195">
        <v>0.80200000000000005</v>
      </c>
      <c r="J616" s="195">
        <v>0.79800000000000004</v>
      </c>
      <c r="K616" s="195">
        <v>0.79300000000000004</v>
      </c>
      <c r="L616" s="195">
        <v>0.82</v>
      </c>
      <c r="M616" s="195">
        <v>0.82599999999999996</v>
      </c>
      <c r="N616" s="195">
        <v>0.85099999999999998</v>
      </c>
      <c r="O616" s="195">
        <v>0.86199999999999999</v>
      </c>
      <c r="P616" s="195">
        <v>0.877</v>
      </c>
      <c r="Q616" s="195">
        <v>0.89</v>
      </c>
      <c r="R616" s="195">
        <v>0.90100000000000002</v>
      </c>
      <c r="S616" s="195">
        <v>0.91200000000000003</v>
      </c>
      <c r="T616" s="195">
        <v>0.92300000000000004</v>
      </c>
      <c r="U616" s="195">
        <v>0.93300000000000005</v>
      </c>
      <c r="V616" s="195">
        <v>0.94099999999999995</v>
      </c>
      <c r="W616" s="195">
        <v>0.94799999999999995</v>
      </c>
      <c r="X616" s="195">
        <v>0.95499999999999996</v>
      </c>
      <c r="Y616" s="195">
        <v>0.96199999999999997</v>
      </c>
      <c r="Z616" s="195">
        <v>0.97</v>
      </c>
    </row>
    <row r="617" spans="1:26">
      <c r="A617" s="195" t="s">
        <v>304</v>
      </c>
      <c r="B617" s="195" t="s">
        <v>285</v>
      </c>
      <c r="C617" s="195">
        <v>0.90200000000000002</v>
      </c>
      <c r="D617" s="195">
        <v>0.86399999999999999</v>
      </c>
      <c r="E617" s="195">
        <v>0.84</v>
      </c>
      <c r="F617" s="195">
        <v>0.81499999999999995</v>
      </c>
      <c r="G617" s="195">
        <v>0.81599999999999995</v>
      </c>
      <c r="H617" s="195">
        <v>0.81200000000000006</v>
      </c>
      <c r="I617" s="195">
        <v>0.80900000000000005</v>
      </c>
      <c r="J617" s="195">
        <v>0.80500000000000005</v>
      </c>
      <c r="K617" s="195">
        <v>0.8</v>
      </c>
      <c r="L617" s="195">
        <v>0.82799999999999996</v>
      </c>
      <c r="M617" s="195">
        <v>0.83499999999999996</v>
      </c>
      <c r="N617" s="195">
        <v>0.86</v>
      </c>
      <c r="O617" s="195">
        <v>0.872</v>
      </c>
      <c r="P617" s="195">
        <v>0.88700000000000001</v>
      </c>
      <c r="Q617" s="195">
        <v>0.90100000000000002</v>
      </c>
      <c r="R617" s="195">
        <v>0.91300000000000003</v>
      </c>
      <c r="S617" s="195">
        <v>0.92400000000000004</v>
      </c>
      <c r="T617" s="195">
        <v>0.93500000000000005</v>
      </c>
      <c r="U617" s="195">
        <v>0.94599999999999995</v>
      </c>
      <c r="V617" s="195">
        <v>0.95399999999999996</v>
      </c>
      <c r="W617" s="195">
        <v>0.96199999999999997</v>
      </c>
      <c r="X617" s="195">
        <v>0.96899999999999997</v>
      </c>
      <c r="Y617" s="195">
        <v>0.97599999999999998</v>
      </c>
      <c r="Z617" s="195">
        <v>0.98399999999999999</v>
      </c>
    </row>
    <row r="618" spans="1:26">
      <c r="A618" s="195" t="s">
        <v>305</v>
      </c>
      <c r="B618" s="195" t="s">
        <v>285</v>
      </c>
      <c r="C618" s="195">
        <v>0.96599999999999997</v>
      </c>
      <c r="D618" s="195">
        <v>0.92900000000000005</v>
      </c>
      <c r="E618" s="195">
        <v>0.9</v>
      </c>
      <c r="F618" s="195">
        <v>0.874</v>
      </c>
      <c r="G618" s="195">
        <v>0.876</v>
      </c>
      <c r="H618" s="195">
        <v>0.873</v>
      </c>
      <c r="I618" s="195">
        <v>0.86899999999999999</v>
      </c>
      <c r="J618" s="195">
        <v>0.86499999999999999</v>
      </c>
      <c r="K618" s="195">
        <v>0.86099999999999999</v>
      </c>
      <c r="L618" s="195">
        <v>0.89100000000000001</v>
      </c>
      <c r="M618" s="195">
        <v>0.89800000000000002</v>
      </c>
      <c r="N618" s="195">
        <v>0.92400000000000004</v>
      </c>
      <c r="O618" s="195">
        <v>0.93700000000000006</v>
      </c>
      <c r="P618" s="195">
        <v>0.95399999999999996</v>
      </c>
      <c r="Q618" s="195">
        <v>0.97099999999999997</v>
      </c>
      <c r="R618" s="195">
        <v>0.98499999999999999</v>
      </c>
      <c r="S618" s="195">
        <v>0.995</v>
      </c>
      <c r="T618" s="195">
        <v>1.012</v>
      </c>
      <c r="U618" s="195">
        <v>1.0189999999999999</v>
      </c>
      <c r="V618" s="195">
        <v>1.0269999999999999</v>
      </c>
      <c r="W618" s="195">
        <v>1.0589999999999999</v>
      </c>
      <c r="X618" s="195">
        <v>1.125</v>
      </c>
      <c r="Y618" s="195">
        <v>1.111</v>
      </c>
      <c r="Z618" s="195">
        <v>1.1140000000000001</v>
      </c>
    </row>
    <row r="619" spans="1:26">
      <c r="A619" s="195" t="s">
        <v>306</v>
      </c>
      <c r="B619" s="195" t="s">
        <v>285</v>
      </c>
      <c r="C619" s="195">
        <v>0.79200000000000004</v>
      </c>
      <c r="D619" s="195">
        <v>0.76200000000000001</v>
      </c>
      <c r="E619" s="195">
        <v>0.73899999999999999</v>
      </c>
      <c r="F619" s="195">
        <v>0.71699999999999997</v>
      </c>
      <c r="G619" s="195">
        <v>0.71899999999999997</v>
      </c>
      <c r="H619" s="195">
        <v>0.71599999999999997</v>
      </c>
      <c r="I619" s="195">
        <v>0.71299999999999997</v>
      </c>
      <c r="J619" s="195">
        <v>0.71</v>
      </c>
      <c r="K619" s="195">
        <v>0.70699999999999996</v>
      </c>
      <c r="L619" s="195">
        <v>0.73099999999999998</v>
      </c>
      <c r="M619" s="195">
        <v>0.73699999999999999</v>
      </c>
      <c r="N619" s="195">
        <v>0.76100000000000001</v>
      </c>
      <c r="O619" s="195">
        <v>0.77200000000000002</v>
      </c>
      <c r="P619" s="195">
        <v>0.78400000000000003</v>
      </c>
      <c r="Q619" s="195">
        <v>0.79600000000000004</v>
      </c>
      <c r="R619" s="195">
        <v>0.80800000000000005</v>
      </c>
      <c r="S619" s="195">
        <v>0.81599999999999995</v>
      </c>
      <c r="T619" s="195">
        <v>0.83099999999999996</v>
      </c>
      <c r="U619" s="195">
        <v>0.83599999999999997</v>
      </c>
      <c r="V619" s="195">
        <v>0.84299999999999997</v>
      </c>
      <c r="W619" s="195">
        <v>0.87</v>
      </c>
      <c r="X619" s="195">
        <v>0.92100000000000004</v>
      </c>
      <c r="Y619" s="195">
        <v>0.91100000000000003</v>
      </c>
      <c r="Z619" s="195">
        <v>0.91400000000000003</v>
      </c>
    </row>
    <row r="620" spans="1:26">
      <c r="A620" s="195" t="s">
        <v>307</v>
      </c>
      <c r="B620" s="195" t="s">
        <v>285</v>
      </c>
      <c r="C620" s="195">
        <v>0.94699999999999995</v>
      </c>
      <c r="D620" s="195">
        <v>0.91100000000000003</v>
      </c>
      <c r="E620" s="195">
        <v>0.88400000000000001</v>
      </c>
      <c r="F620" s="195">
        <v>0.85799999999999998</v>
      </c>
      <c r="G620" s="195">
        <v>0.86099999999999999</v>
      </c>
      <c r="H620" s="195">
        <v>0.85799999999999998</v>
      </c>
      <c r="I620" s="195">
        <v>0.85399999999999998</v>
      </c>
      <c r="J620" s="195">
        <v>0.85</v>
      </c>
      <c r="K620" s="195">
        <v>0.84699999999999998</v>
      </c>
      <c r="L620" s="195">
        <v>0.876</v>
      </c>
      <c r="M620" s="195">
        <v>0.88200000000000001</v>
      </c>
      <c r="N620" s="195">
        <v>0.90800000000000003</v>
      </c>
      <c r="O620" s="195">
        <v>0.92</v>
      </c>
      <c r="P620" s="195">
        <v>0.93600000000000005</v>
      </c>
      <c r="Q620" s="195">
        <v>0.95099999999999996</v>
      </c>
      <c r="R620" s="195">
        <v>0.96399999999999997</v>
      </c>
      <c r="S620" s="195">
        <v>0.97399999999999998</v>
      </c>
      <c r="T620" s="195">
        <v>0.98599999999999999</v>
      </c>
      <c r="U620" s="195">
        <v>0.997</v>
      </c>
      <c r="V620" s="195">
        <v>1.0049999999999999</v>
      </c>
      <c r="W620" s="195">
        <v>1.016</v>
      </c>
      <c r="X620" s="195">
        <v>1.026</v>
      </c>
      <c r="Y620" s="195">
        <v>1.04</v>
      </c>
      <c r="Z620" s="195">
        <v>1.048</v>
      </c>
    </row>
    <row r="621" spans="1:26">
      <c r="A621" s="195" t="s">
        <v>308</v>
      </c>
      <c r="B621" s="195" t="s">
        <v>285</v>
      </c>
      <c r="C621" s="195">
        <v>0.89500000000000002</v>
      </c>
      <c r="D621" s="195">
        <v>0.86099999999999999</v>
      </c>
      <c r="E621" s="195">
        <v>0.83399999999999996</v>
      </c>
      <c r="F621" s="195">
        <v>0.80900000000000005</v>
      </c>
      <c r="G621" s="195">
        <v>0.81299999999999994</v>
      </c>
      <c r="H621" s="195">
        <v>0.81</v>
      </c>
      <c r="I621" s="195">
        <v>0.80400000000000005</v>
      </c>
      <c r="J621" s="195">
        <v>0.79200000000000004</v>
      </c>
      <c r="K621" s="195">
        <v>0.8</v>
      </c>
      <c r="L621" s="195">
        <v>0.82699999999999996</v>
      </c>
      <c r="M621" s="195">
        <v>0.83399999999999996</v>
      </c>
      <c r="N621" s="195">
        <v>0.85799999999999998</v>
      </c>
      <c r="O621" s="195">
        <v>0.87</v>
      </c>
      <c r="P621" s="195">
        <v>0.88500000000000001</v>
      </c>
      <c r="Q621" s="195">
        <v>0.89900000000000002</v>
      </c>
      <c r="R621" s="195">
        <v>0.91200000000000003</v>
      </c>
      <c r="S621" s="195">
        <v>0.92100000000000004</v>
      </c>
      <c r="T621" s="195">
        <v>0.93600000000000005</v>
      </c>
      <c r="U621" s="195">
        <v>0.94299999999999995</v>
      </c>
      <c r="V621" s="195">
        <v>0.95</v>
      </c>
      <c r="W621" s="195">
        <v>0.98</v>
      </c>
      <c r="X621" s="195">
        <v>1.0369999999999999</v>
      </c>
      <c r="Y621" s="195">
        <v>1.026</v>
      </c>
      <c r="Z621" s="195">
        <v>1.028</v>
      </c>
    </row>
    <row r="622" spans="1:26">
      <c r="A622" s="195" t="s">
        <v>309</v>
      </c>
      <c r="B622" s="195" t="s">
        <v>285</v>
      </c>
      <c r="C622" s="195">
        <v>0.75</v>
      </c>
      <c r="D622" s="195">
        <v>0.72199999999999998</v>
      </c>
      <c r="E622" s="195">
        <v>0.69899999999999995</v>
      </c>
      <c r="F622" s="195">
        <v>0.67800000000000005</v>
      </c>
      <c r="G622" s="195">
        <v>0.68100000000000005</v>
      </c>
      <c r="H622" s="195">
        <v>0.67800000000000005</v>
      </c>
      <c r="I622" s="195">
        <v>0.67300000000000004</v>
      </c>
      <c r="J622" s="195">
        <v>0.66300000000000003</v>
      </c>
      <c r="K622" s="195">
        <v>0.67</v>
      </c>
      <c r="L622" s="195">
        <v>0.69299999999999995</v>
      </c>
      <c r="M622" s="195">
        <v>0.69899999999999995</v>
      </c>
      <c r="N622" s="195">
        <v>0.72199999999999998</v>
      </c>
      <c r="O622" s="195">
        <v>0.73299999999999998</v>
      </c>
      <c r="P622" s="195">
        <v>0.74299999999999999</v>
      </c>
      <c r="Q622" s="195">
        <v>0.76</v>
      </c>
      <c r="R622" s="195">
        <v>0.77300000000000002</v>
      </c>
      <c r="S622" s="195">
        <v>0.77900000000000003</v>
      </c>
      <c r="T622" s="195">
        <v>0.79500000000000004</v>
      </c>
      <c r="U622" s="195">
        <v>0.8</v>
      </c>
      <c r="V622" s="195">
        <v>0.80600000000000005</v>
      </c>
      <c r="W622" s="195">
        <v>0.83199999999999996</v>
      </c>
      <c r="X622" s="195">
        <v>0.88</v>
      </c>
      <c r="Y622" s="195">
        <v>0.871</v>
      </c>
      <c r="Z622" s="195">
        <v>0.873</v>
      </c>
    </row>
    <row r="623" spans="1:26">
      <c r="A623" s="195" t="s">
        <v>310</v>
      </c>
      <c r="B623" s="195" t="s">
        <v>285</v>
      </c>
      <c r="C623" s="195">
        <v>0.77200000000000002</v>
      </c>
      <c r="D623" s="195">
        <v>0.74299999999999999</v>
      </c>
      <c r="E623" s="195">
        <v>0.71899999999999997</v>
      </c>
      <c r="F623" s="195">
        <v>0.69699999999999995</v>
      </c>
      <c r="G623" s="195">
        <v>0.69899999999999995</v>
      </c>
      <c r="H623" s="195">
        <v>0.69699999999999995</v>
      </c>
      <c r="I623" s="195">
        <v>0.69099999999999995</v>
      </c>
      <c r="J623" s="195">
        <v>0.68</v>
      </c>
      <c r="K623" s="195">
        <v>0.68700000000000006</v>
      </c>
      <c r="L623" s="195">
        <v>0.71199999999999997</v>
      </c>
      <c r="M623" s="195">
        <v>0.71799999999999997</v>
      </c>
      <c r="N623" s="195">
        <v>0.74199999999999999</v>
      </c>
      <c r="O623" s="195">
        <v>0.753</v>
      </c>
      <c r="P623" s="195">
        <v>0.76500000000000001</v>
      </c>
      <c r="Q623" s="195">
        <v>0.78300000000000003</v>
      </c>
      <c r="R623" s="195">
        <v>0.79700000000000004</v>
      </c>
      <c r="S623" s="195">
        <v>0.80300000000000005</v>
      </c>
      <c r="T623" s="195">
        <v>0.81200000000000006</v>
      </c>
      <c r="U623" s="195">
        <v>0.81799999999999995</v>
      </c>
      <c r="V623" s="195">
        <v>0.82399999999999995</v>
      </c>
      <c r="W623" s="195">
        <v>0.85199999999999998</v>
      </c>
      <c r="X623" s="195">
        <v>0.90300000000000002</v>
      </c>
      <c r="Y623" s="195">
        <v>0.89300000000000002</v>
      </c>
      <c r="Z623" s="195">
        <v>0.89600000000000002</v>
      </c>
    </row>
    <row r="624" spans="1:26">
      <c r="A624" s="195" t="s">
        <v>311</v>
      </c>
      <c r="B624" s="195" t="s">
        <v>285</v>
      </c>
      <c r="C624" s="195">
        <v>0.38400000000000001</v>
      </c>
      <c r="D624" s="195">
        <v>0.35399999999999998</v>
      </c>
      <c r="E624" s="195">
        <v>0.47599999999999998</v>
      </c>
      <c r="F624" s="195">
        <v>0.59199999999999997</v>
      </c>
      <c r="G624" s="195">
        <v>0.68100000000000005</v>
      </c>
      <c r="H624" s="195">
        <v>0.63400000000000001</v>
      </c>
      <c r="I624" s="195">
        <v>0.71299999999999997</v>
      </c>
      <c r="J624" s="195">
        <v>0.7</v>
      </c>
      <c r="K624" s="195">
        <v>0.58399999999999996</v>
      </c>
      <c r="L624" s="195">
        <v>0.35199999999999998</v>
      </c>
      <c r="M624" s="195">
        <v>0.26700000000000002</v>
      </c>
      <c r="N624" s="195">
        <v>0.27</v>
      </c>
      <c r="O624" s="195">
        <v>0.35</v>
      </c>
      <c r="P624" s="195">
        <v>0.34699999999999998</v>
      </c>
      <c r="Q624" s="195">
        <v>0.46300000000000002</v>
      </c>
      <c r="R624" s="195">
        <v>0.53300000000000003</v>
      </c>
      <c r="S624" s="195">
        <v>0.52300000000000002</v>
      </c>
      <c r="T624" s="195">
        <v>0.59099999999999997</v>
      </c>
      <c r="U624" s="195">
        <v>0.65600000000000003</v>
      </c>
      <c r="V624" s="195">
        <v>0.64400000000000002</v>
      </c>
      <c r="W624" s="195">
        <v>0.62</v>
      </c>
      <c r="X624" s="195">
        <v>0.61</v>
      </c>
      <c r="Y624" s="195">
        <v>0.64600000000000002</v>
      </c>
      <c r="Z624" s="195">
        <v>0.61599999999999999</v>
      </c>
    </row>
    <row r="625" spans="1:26">
      <c r="A625" s="195" t="s">
        <v>312</v>
      </c>
      <c r="B625" s="195" t="s">
        <v>285</v>
      </c>
      <c r="C625" s="195">
        <v>0.76300000000000001</v>
      </c>
      <c r="D625" s="195">
        <v>0.73299999999999998</v>
      </c>
      <c r="E625" s="195">
        <v>0.71299999999999997</v>
      </c>
      <c r="F625" s="195">
        <v>0.69599999999999995</v>
      </c>
      <c r="G625" s="195">
        <v>0.70099999999999996</v>
      </c>
      <c r="H625" s="195">
        <v>0.69699999999999995</v>
      </c>
      <c r="I625" s="195">
        <v>0.69399999999999995</v>
      </c>
      <c r="J625" s="195">
        <v>0.68500000000000005</v>
      </c>
      <c r="K625" s="195">
        <v>0.68600000000000005</v>
      </c>
      <c r="L625" s="195">
        <v>0.69699999999999995</v>
      </c>
      <c r="M625" s="195">
        <v>0.69799999999999995</v>
      </c>
      <c r="N625" s="195">
        <v>0.71899999999999997</v>
      </c>
      <c r="O625" s="195">
        <v>0.73399999999999999</v>
      </c>
      <c r="P625" s="195">
        <v>0.745</v>
      </c>
      <c r="Q625" s="195">
        <v>0.76600000000000001</v>
      </c>
      <c r="R625" s="195">
        <v>0.78100000000000003</v>
      </c>
      <c r="S625" s="195">
        <v>0.78700000000000003</v>
      </c>
      <c r="T625" s="195">
        <v>0.80500000000000005</v>
      </c>
      <c r="U625" s="195">
        <v>0.81299999999999994</v>
      </c>
      <c r="V625" s="195">
        <v>0.81799999999999995</v>
      </c>
      <c r="W625" s="195">
        <v>0.84199999999999997</v>
      </c>
      <c r="X625" s="195">
        <v>0.88600000000000001</v>
      </c>
      <c r="Y625" s="195">
        <v>0.879</v>
      </c>
      <c r="Z625" s="195">
        <v>0.88</v>
      </c>
    </row>
    <row r="626" spans="1:26">
      <c r="A626" s="195" t="s">
        <v>316</v>
      </c>
    </row>
    <row r="627" spans="1:26">
      <c r="A627" s="195" t="s">
        <v>303</v>
      </c>
      <c r="B627" s="195" t="s">
        <v>285</v>
      </c>
      <c r="C627" s="195">
        <v>1.1639999999999999</v>
      </c>
      <c r="D627" s="195">
        <v>1.121</v>
      </c>
      <c r="E627" s="195">
        <v>1.093</v>
      </c>
      <c r="F627" s="195">
        <v>1.0640000000000001</v>
      </c>
      <c r="G627" s="195">
        <v>1.0629999999999999</v>
      </c>
      <c r="H627" s="195">
        <v>1.0580000000000001</v>
      </c>
      <c r="I627" s="195">
        <v>1.052</v>
      </c>
      <c r="J627" s="195">
        <v>1.046</v>
      </c>
      <c r="K627" s="195">
        <v>1.0389999999999999</v>
      </c>
      <c r="L627" s="195">
        <v>1.0669999999999999</v>
      </c>
      <c r="M627" s="195">
        <v>1.0720000000000001</v>
      </c>
      <c r="N627" s="195">
        <v>1.0960000000000001</v>
      </c>
      <c r="O627" s="195">
        <v>1.1080000000000001</v>
      </c>
      <c r="P627" s="195">
        <v>1.123</v>
      </c>
      <c r="Q627" s="195">
        <v>1.137</v>
      </c>
      <c r="R627" s="195">
        <v>1.1479999999999999</v>
      </c>
      <c r="S627" s="195">
        <v>1.159</v>
      </c>
      <c r="T627" s="195">
        <v>1.169</v>
      </c>
      <c r="U627" s="195">
        <v>1.18</v>
      </c>
      <c r="V627" s="195">
        <v>1.1870000000000001</v>
      </c>
      <c r="W627" s="195">
        <v>1.194</v>
      </c>
      <c r="X627" s="195">
        <v>1.2010000000000001</v>
      </c>
      <c r="Y627" s="195">
        <v>1.208</v>
      </c>
      <c r="Z627" s="195">
        <v>1.2150000000000001</v>
      </c>
    </row>
    <row r="628" spans="1:26">
      <c r="A628" s="195" t="s">
        <v>304</v>
      </c>
      <c r="B628" s="195" t="s">
        <v>285</v>
      </c>
      <c r="C628" s="195">
        <v>1.1339999999999999</v>
      </c>
      <c r="D628" s="195">
        <v>1.0920000000000001</v>
      </c>
      <c r="E628" s="195">
        <v>1.0640000000000001</v>
      </c>
      <c r="F628" s="195">
        <v>1.036</v>
      </c>
      <c r="G628" s="195">
        <v>1.034</v>
      </c>
      <c r="H628" s="195">
        <v>1.0289999999999999</v>
      </c>
      <c r="I628" s="195">
        <v>1.0229999999999999</v>
      </c>
      <c r="J628" s="195">
        <v>1.0169999999999999</v>
      </c>
      <c r="K628" s="195">
        <v>1.01</v>
      </c>
      <c r="L628" s="195">
        <v>1.038</v>
      </c>
      <c r="M628" s="195">
        <v>1.0429999999999999</v>
      </c>
      <c r="N628" s="195">
        <v>1.0669999999999999</v>
      </c>
      <c r="O628" s="195">
        <v>1.079</v>
      </c>
      <c r="P628" s="195">
        <v>1.0940000000000001</v>
      </c>
      <c r="Q628" s="195">
        <v>1.1080000000000001</v>
      </c>
      <c r="R628" s="195">
        <v>1.119</v>
      </c>
      <c r="S628" s="195">
        <v>1.1299999999999999</v>
      </c>
      <c r="T628" s="195">
        <v>1.1399999999999999</v>
      </c>
      <c r="U628" s="195">
        <v>1.151</v>
      </c>
      <c r="V628" s="195">
        <v>1.1579999999999999</v>
      </c>
      <c r="W628" s="195">
        <v>1.165</v>
      </c>
      <c r="X628" s="195">
        <v>1.1719999999999999</v>
      </c>
      <c r="Y628" s="195">
        <v>1.1779999999999999</v>
      </c>
      <c r="Z628" s="195">
        <v>1.1859999999999999</v>
      </c>
    </row>
    <row r="629" spans="1:26">
      <c r="A629" s="195" t="s">
        <v>305</v>
      </c>
      <c r="B629" s="195" t="s">
        <v>285</v>
      </c>
      <c r="C629" s="195">
        <v>1.169</v>
      </c>
      <c r="D629" s="195">
        <v>1.1299999999999999</v>
      </c>
      <c r="E629" s="195">
        <v>1.1000000000000001</v>
      </c>
      <c r="F629" s="195">
        <v>1.0720000000000001</v>
      </c>
      <c r="G629" s="195">
        <v>1.0720000000000001</v>
      </c>
      <c r="H629" s="195">
        <v>1.0669999999999999</v>
      </c>
      <c r="I629" s="195">
        <v>1.0609999999999999</v>
      </c>
      <c r="J629" s="195">
        <v>1.0549999999999999</v>
      </c>
      <c r="K629" s="195">
        <v>1.05</v>
      </c>
      <c r="L629" s="195">
        <v>1.0780000000000001</v>
      </c>
      <c r="M629" s="195">
        <v>1.083</v>
      </c>
      <c r="N629" s="195">
        <v>1.107</v>
      </c>
      <c r="O629" s="195">
        <v>1.119</v>
      </c>
      <c r="P629" s="195">
        <v>1.1339999999999999</v>
      </c>
      <c r="Q629" s="195">
        <v>1.149</v>
      </c>
      <c r="R629" s="195">
        <v>1.1619999999999999</v>
      </c>
      <c r="S629" s="195">
        <v>1.17</v>
      </c>
      <c r="T629" s="195">
        <v>1.1859999999999999</v>
      </c>
      <c r="U629" s="195">
        <v>1.1919999999999999</v>
      </c>
      <c r="V629" s="195">
        <v>1.1990000000000001</v>
      </c>
      <c r="W629" s="195">
        <v>1.23</v>
      </c>
      <c r="X629" s="195">
        <v>1.294</v>
      </c>
      <c r="Y629" s="195">
        <v>1.28</v>
      </c>
      <c r="Z629" s="195">
        <v>1.2809999999999999</v>
      </c>
    </row>
    <row r="630" spans="1:26">
      <c r="A630" s="195" t="s">
        <v>306</v>
      </c>
      <c r="B630" s="195" t="s">
        <v>285</v>
      </c>
      <c r="C630" s="195">
        <v>0.99099999999999999</v>
      </c>
      <c r="D630" s="195">
        <v>0.95899999999999996</v>
      </c>
      <c r="E630" s="195">
        <v>0.93400000000000005</v>
      </c>
      <c r="F630" s="195">
        <v>0.91100000000000003</v>
      </c>
      <c r="G630" s="195">
        <v>0.91100000000000003</v>
      </c>
      <c r="H630" s="195">
        <v>0.90600000000000003</v>
      </c>
      <c r="I630" s="195">
        <v>0.90100000000000002</v>
      </c>
      <c r="J630" s="195">
        <v>0.89700000000000002</v>
      </c>
      <c r="K630" s="195">
        <v>0.89200000000000002</v>
      </c>
      <c r="L630" s="195">
        <v>0.91400000000000003</v>
      </c>
      <c r="M630" s="195">
        <v>0.91800000000000004</v>
      </c>
      <c r="N630" s="195">
        <v>0.94</v>
      </c>
      <c r="O630" s="195">
        <v>0.94899999999999995</v>
      </c>
      <c r="P630" s="195">
        <v>0.95899999999999996</v>
      </c>
      <c r="Q630" s="195">
        <v>0.97</v>
      </c>
      <c r="R630" s="195">
        <v>0.98</v>
      </c>
      <c r="S630" s="195">
        <v>0.98599999999999999</v>
      </c>
      <c r="T630" s="195">
        <v>1</v>
      </c>
      <c r="U630" s="195">
        <v>1.0029999999999999</v>
      </c>
      <c r="V630" s="195">
        <v>1.0089999999999999</v>
      </c>
      <c r="W630" s="195">
        <v>1.0349999999999999</v>
      </c>
      <c r="X630" s="195">
        <v>1.0840000000000001</v>
      </c>
      <c r="Y630" s="195">
        <v>1.073</v>
      </c>
      <c r="Z630" s="195">
        <v>1.0740000000000001</v>
      </c>
    </row>
    <row r="631" spans="1:26">
      <c r="A631" s="195" t="s">
        <v>307</v>
      </c>
      <c r="B631" s="195" t="s">
        <v>285</v>
      </c>
      <c r="C631" s="195">
        <v>1.206</v>
      </c>
      <c r="D631" s="195">
        <v>1.1659999999999999</v>
      </c>
      <c r="E631" s="195">
        <v>1.135</v>
      </c>
      <c r="F631" s="195">
        <v>1.1060000000000001</v>
      </c>
      <c r="G631" s="195">
        <v>1.1080000000000001</v>
      </c>
      <c r="H631" s="195">
        <v>1.1020000000000001</v>
      </c>
      <c r="I631" s="195">
        <v>1.097</v>
      </c>
      <c r="J631" s="195">
        <v>1.0900000000000001</v>
      </c>
      <c r="K631" s="195">
        <v>1.085</v>
      </c>
      <c r="L631" s="195">
        <v>1.1140000000000001</v>
      </c>
      <c r="M631" s="195">
        <v>1.119</v>
      </c>
      <c r="N631" s="195">
        <v>1.143</v>
      </c>
      <c r="O631" s="195">
        <v>1.1539999999999999</v>
      </c>
      <c r="P631" s="195">
        <v>1.17</v>
      </c>
      <c r="Q631" s="195">
        <v>1.1850000000000001</v>
      </c>
      <c r="R631" s="195">
        <v>1.198</v>
      </c>
      <c r="S631" s="195">
        <v>1.2070000000000001</v>
      </c>
      <c r="T631" s="195">
        <v>1.218</v>
      </c>
      <c r="U631" s="195">
        <v>1.2290000000000001</v>
      </c>
      <c r="V631" s="195">
        <v>1.2350000000000001</v>
      </c>
      <c r="W631" s="195">
        <v>1.246</v>
      </c>
      <c r="X631" s="195">
        <v>1.256</v>
      </c>
      <c r="Y631" s="195">
        <v>1.268</v>
      </c>
      <c r="Z631" s="195">
        <v>1.276</v>
      </c>
    </row>
    <row r="632" spans="1:26">
      <c r="A632" s="195" t="s">
        <v>308</v>
      </c>
      <c r="B632" s="195" t="s">
        <v>285</v>
      </c>
      <c r="C632" s="195">
        <v>1.0720000000000001</v>
      </c>
      <c r="D632" s="195">
        <v>1.0369999999999999</v>
      </c>
      <c r="E632" s="195">
        <v>1.01</v>
      </c>
      <c r="F632" s="195">
        <v>0.98299999999999998</v>
      </c>
      <c r="G632" s="195">
        <v>0.98499999999999999</v>
      </c>
      <c r="H632" s="195">
        <v>0.98</v>
      </c>
      <c r="I632" s="195">
        <v>0.97299999999999998</v>
      </c>
      <c r="J632" s="195">
        <v>0.95899999999999996</v>
      </c>
      <c r="K632" s="195">
        <v>0.96499999999999997</v>
      </c>
      <c r="L632" s="195">
        <v>0.99</v>
      </c>
      <c r="M632" s="195">
        <v>0.99399999999999999</v>
      </c>
      <c r="N632" s="195">
        <v>1.0169999999999999</v>
      </c>
      <c r="O632" s="195">
        <v>1.0269999999999999</v>
      </c>
      <c r="P632" s="195">
        <v>1.0389999999999999</v>
      </c>
      <c r="Q632" s="195">
        <v>1.0509999999999999</v>
      </c>
      <c r="R632" s="195">
        <v>1.0620000000000001</v>
      </c>
      <c r="S632" s="195">
        <v>1.07</v>
      </c>
      <c r="T632" s="195">
        <v>1.0840000000000001</v>
      </c>
      <c r="U632" s="195">
        <v>1.089</v>
      </c>
      <c r="V632" s="195">
        <v>1.095</v>
      </c>
      <c r="W632" s="195">
        <v>1.123</v>
      </c>
      <c r="X632" s="195">
        <v>1.177</v>
      </c>
      <c r="Y632" s="195">
        <v>1.165</v>
      </c>
      <c r="Z632" s="195">
        <v>1.167</v>
      </c>
    </row>
    <row r="633" spans="1:26">
      <c r="A633" s="195" t="s">
        <v>309</v>
      </c>
      <c r="B633" s="195" t="s">
        <v>285</v>
      </c>
      <c r="C633" s="195">
        <v>0.96</v>
      </c>
      <c r="D633" s="195">
        <v>0.92900000000000005</v>
      </c>
      <c r="E633" s="195">
        <v>0.90300000000000002</v>
      </c>
      <c r="F633" s="195">
        <v>0.879</v>
      </c>
      <c r="G633" s="195">
        <v>0.88</v>
      </c>
      <c r="H633" s="195">
        <v>0.875</v>
      </c>
      <c r="I633" s="195">
        <v>0.86799999999999999</v>
      </c>
      <c r="J633" s="195">
        <v>0.85499999999999998</v>
      </c>
      <c r="K633" s="195">
        <v>0.86099999999999999</v>
      </c>
      <c r="L633" s="195">
        <v>0.88300000000000001</v>
      </c>
      <c r="M633" s="195">
        <v>0.88800000000000001</v>
      </c>
      <c r="N633" s="195">
        <v>0.91</v>
      </c>
      <c r="O633" s="195">
        <v>0.91900000000000004</v>
      </c>
      <c r="P633" s="195">
        <v>0.92900000000000005</v>
      </c>
      <c r="Q633" s="195">
        <v>0.94499999999999995</v>
      </c>
      <c r="R633" s="195">
        <v>0.95699999999999996</v>
      </c>
      <c r="S633" s="195">
        <v>0.96199999999999997</v>
      </c>
      <c r="T633" s="195">
        <v>0.97799999999999998</v>
      </c>
      <c r="U633" s="195">
        <v>0.98199999999999998</v>
      </c>
      <c r="V633" s="195">
        <v>0.98699999999999999</v>
      </c>
      <c r="W633" s="195">
        <v>1.0129999999999999</v>
      </c>
      <c r="X633" s="195">
        <v>1.0620000000000001</v>
      </c>
      <c r="Y633" s="195">
        <v>1.0509999999999999</v>
      </c>
      <c r="Z633" s="195">
        <v>1.052</v>
      </c>
    </row>
    <row r="634" spans="1:26">
      <c r="A634" s="195" t="s">
        <v>310</v>
      </c>
      <c r="B634" s="195" t="s">
        <v>285</v>
      </c>
      <c r="C634" s="195">
        <v>1.0189999999999999</v>
      </c>
      <c r="D634" s="195">
        <v>0.98499999999999999</v>
      </c>
      <c r="E634" s="195">
        <v>0.95799999999999996</v>
      </c>
      <c r="F634" s="195">
        <v>0.93200000000000005</v>
      </c>
      <c r="G634" s="195">
        <v>0.93200000000000005</v>
      </c>
      <c r="H634" s="195">
        <v>0.92800000000000005</v>
      </c>
      <c r="I634" s="195">
        <v>0.91900000000000004</v>
      </c>
      <c r="J634" s="195">
        <v>0.90600000000000003</v>
      </c>
      <c r="K634" s="195">
        <v>0.91200000000000003</v>
      </c>
      <c r="L634" s="195">
        <v>0.93700000000000006</v>
      </c>
      <c r="M634" s="195">
        <v>0.94199999999999995</v>
      </c>
      <c r="N634" s="195">
        <v>0.96499999999999997</v>
      </c>
      <c r="O634" s="195">
        <v>0.97499999999999998</v>
      </c>
      <c r="P634" s="195">
        <v>0.98799999999999999</v>
      </c>
      <c r="Q634" s="195">
        <v>1.006</v>
      </c>
      <c r="R634" s="195">
        <v>1.0189999999999999</v>
      </c>
      <c r="S634" s="195">
        <v>1.024</v>
      </c>
      <c r="T634" s="195">
        <v>1.0329999999999999</v>
      </c>
      <c r="U634" s="195">
        <v>1.038</v>
      </c>
      <c r="V634" s="195">
        <v>1.044</v>
      </c>
      <c r="W634" s="195">
        <v>1.0720000000000001</v>
      </c>
      <c r="X634" s="195">
        <v>1.1279999999999999</v>
      </c>
      <c r="Y634" s="195">
        <v>1.115</v>
      </c>
      <c r="Z634" s="195">
        <v>1.117</v>
      </c>
    </row>
    <row r="635" spans="1:26">
      <c r="A635" s="195" t="s">
        <v>311</v>
      </c>
      <c r="B635" s="195" t="s">
        <v>285</v>
      </c>
      <c r="C635" s="195">
        <v>0.51500000000000001</v>
      </c>
      <c r="D635" s="195">
        <v>0.48399999999999999</v>
      </c>
      <c r="E635" s="195">
        <v>0.60699999999999998</v>
      </c>
      <c r="F635" s="195">
        <v>0.72299999999999998</v>
      </c>
      <c r="G635" s="195">
        <v>0.81100000000000005</v>
      </c>
      <c r="H635" s="195">
        <v>0.76100000000000001</v>
      </c>
      <c r="I635" s="195">
        <v>0.84</v>
      </c>
      <c r="J635" s="195">
        <v>0.82499999999999996</v>
      </c>
      <c r="K635" s="195">
        <v>0.70399999999999996</v>
      </c>
      <c r="L635" s="195">
        <v>0.46700000000000003</v>
      </c>
      <c r="M635" s="195">
        <v>0.379</v>
      </c>
      <c r="N635" s="195">
        <v>0.38</v>
      </c>
      <c r="O635" s="195">
        <v>0.45800000000000002</v>
      </c>
      <c r="P635" s="195">
        <v>0.45400000000000001</v>
      </c>
      <c r="Q635" s="195">
        <v>0.57099999999999995</v>
      </c>
      <c r="R635" s="195">
        <v>0.64100000000000001</v>
      </c>
      <c r="S635" s="195">
        <v>0.63</v>
      </c>
      <c r="T635" s="195">
        <v>0.69799999999999995</v>
      </c>
      <c r="U635" s="195">
        <v>0.76300000000000001</v>
      </c>
      <c r="V635" s="195">
        <v>0.75</v>
      </c>
      <c r="W635" s="195">
        <v>0.72299999999999998</v>
      </c>
      <c r="X635" s="195">
        <v>0.71099999999999997</v>
      </c>
      <c r="Y635" s="195">
        <v>0.746</v>
      </c>
      <c r="Z635" s="195">
        <v>0.71599999999999997</v>
      </c>
    </row>
    <row r="636" spans="1:26">
      <c r="A636" s="195" t="s">
        <v>312</v>
      </c>
      <c r="B636" s="195" t="s">
        <v>285</v>
      </c>
      <c r="C636" s="195">
        <v>1.012</v>
      </c>
      <c r="D636" s="195">
        <v>0.97599999999999998</v>
      </c>
      <c r="E636" s="195">
        <v>0.97099999999999997</v>
      </c>
      <c r="F636" s="195">
        <v>0.96599999999999997</v>
      </c>
      <c r="G636" s="195">
        <v>0.98</v>
      </c>
      <c r="H636" s="195">
        <v>0.96799999999999997</v>
      </c>
      <c r="I636" s="195">
        <v>0.97499999999999998</v>
      </c>
      <c r="J636" s="195">
        <v>0.96599999999999997</v>
      </c>
      <c r="K636" s="195">
        <v>0.94499999999999995</v>
      </c>
      <c r="L636" s="195">
        <v>0.93</v>
      </c>
      <c r="M636" s="195">
        <v>0.92</v>
      </c>
      <c r="N636" s="195">
        <v>0.94</v>
      </c>
      <c r="O636" s="195">
        <v>0.96</v>
      </c>
      <c r="P636" s="195">
        <v>0.97099999999999997</v>
      </c>
      <c r="Q636" s="195">
        <v>1.002</v>
      </c>
      <c r="R636" s="195">
        <v>1.0229999999999999</v>
      </c>
      <c r="S636" s="195">
        <v>1.028</v>
      </c>
      <c r="T636" s="195">
        <v>1.0489999999999999</v>
      </c>
      <c r="U636" s="195">
        <v>1.0649999999999999</v>
      </c>
      <c r="V636" s="195">
        <v>1.0680000000000001</v>
      </c>
      <c r="W636" s="195">
        <v>1.08</v>
      </c>
      <c r="X636" s="195">
        <v>1.107</v>
      </c>
      <c r="Y636" s="195">
        <v>1.111</v>
      </c>
      <c r="Z636" s="195">
        <v>1.109</v>
      </c>
    </row>
    <row r="637" spans="1:26">
      <c r="A637" s="195" t="s">
        <v>281</v>
      </c>
      <c r="B637" s="195" t="s">
        <v>282</v>
      </c>
      <c r="C637" s="195" t="s">
        <v>283</v>
      </c>
      <c r="D637" s="195" t="s">
        <v>283</v>
      </c>
      <c r="E637" s="195" t="s">
        <v>283</v>
      </c>
      <c r="F637" s="195" t="s">
        <v>283</v>
      </c>
      <c r="G637" s="195" t="s">
        <v>283</v>
      </c>
      <c r="H637" s="195" t="s">
        <v>283</v>
      </c>
      <c r="I637" s="195" t="s">
        <v>283</v>
      </c>
      <c r="J637" s="195" t="s">
        <v>283</v>
      </c>
      <c r="K637" s="195" t="s">
        <v>283</v>
      </c>
      <c r="L637" s="195" t="s">
        <v>283</v>
      </c>
      <c r="M637" s="195" t="s">
        <v>283</v>
      </c>
      <c r="N637" s="195" t="s">
        <v>283</v>
      </c>
      <c r="O637" s="195" t="s">
        <v>283</v>
      </c>
      <c r="P637" s="195" t="s">
        <v>283</v>
      </c>
      <c r="Q637" s="195" t="s">
        <v>283</v>
      </c>
      <c r="R637" s="195" t="s">
        <v>283</v>
      </c>
      <c r="S637" s="195" t="s">
        <v>283</v>
      </c>
      <c r="T637" s="195" t="s">
        <v>283</v>
      </c>
      <c r="U637" s="195" t="s">
        <v>283</v>
      </c>
      <c r="V637" s="195" t="s">
        <v>283</v>
      </c>
      <c r="W637" s="195" t="s">
        <v>283</v>
      </c>
      <c r="X637" s="195" t="s">
        <v>283</v>
      </c>
      <c r="Y637" s="195" t="s">
        <v>283</v>
      </c>
      <c r="Z637" s="195" t="s">
        <v>284</v>
      </c>
    </row>
    <row r="639" spans="1:26">
      <c r="C639" s="202" t="str">
        <f>CONCATENATE(M639,N639,O639,P639,Q639,R639)</f>
        <v>Table 8US EndUse Prices,$/Gal</v>
      </c>
      <c r="M639" s="195" t="s">
        <v>297</v>
      </c>
      <c r="N639" s="195" t="s">
        <v>298</v>
      </c>
      <c r="O639" s="195" t="s">
        <v>299</v>
      </c>
      <c r="P639" s="195" t="s">
        <v>300</v>
      </c>
      <c r="Q639" s="195" t="s">
        <v>301</v>
      </c>
      <c r="R639" s="195" t="s">
        <v>302</v>
      </c>
    </row>
    <row r="640" spans="1:26">
      <c r="A640" s="195" t="s">
        <v>276</v>
      </c>
      <c r="B640" s="195" t="s">
        <v>277</v>
      </c>
      <c r="C640" s="195">
        <v>11006</v>
      </c>
      <c r="D640" s="195" t="s">
        <v>278</v>
      </c>
      <c r="E640" s="195" t="s">
        <v>279</v>
      </c>
      <c r="F640" s="195" t="s">
        <v>280</v>
      </c>
    </row>
    <row r="641" spans="1:26">
      <c r="A641" s="195" t="s">
        <v>281</v>
      </c>
      <c r="B641" s="195" t="s">
        <v>282</v>
      </c>
      <c r="C641" s="195" t="s">
        <v>283</v>
      </c>
      <c r="D641" s="195" t="s">
        <v>283</v>
      </c>
      <c r="E641" s="195" t="s">
        <v>283</v>
      </c>
      <c r="F641" s="195" t="s">
        <v>283</v>
      </c>
      <c r="G641" s="195" t="s">
        <v>283</v>
      </c>
      <c r="H641" s="195" t="s">
        <v>283</v>
      </c>
      <c r="I641" s="195" t="s">
        <v>283</v>
      </c>
      <c r="J641" s="195" t="s">
        <v>283</v>
      </c>
      <c r="K641" s="195" t="s">
        <v>283</v>
      </c>
      <c r="L641" s="195" t="s">
        <v>283</v>
      </c>
      <c r="M641" s="195" t="s">
        <v>283</v>
      </c>
      <c r="N641" s="195" t="s">
        <v>283</v>
      </c>
      <c r="O641" s="195" t="s">
        <v>283</v>
      </c>
      <c r="P641" s="195" t="s">
        <v>283</v>
      </c>
      <c r="Q641" s="195" t="s">
        <v>283</v>
      </c>
      <c r="R641" s="195" t="s">
        <v>283</v>
      </c>
      <c r="S641" s="195" t="s">
        <v>283</v>
      </c>
      <c r="T641" s="195" t="s">
        <v>283</v>
      </c>
      <c r="U641" s="195" t="s">
        <v>283</v>
      </c>
      <c r="V641" s="195" t="s">
        <v>283</v>
      </c>
      <c r="W641" s="195" t="s">
        <v>283</v>
      </c>
      <c r="X641" s="195" t="s">
        <v>283</v>
      </c>
      <c r="Y641" s="195" t="s">
        <v>283</v>
      </c>
      <c r="Z641" s="195" t="s">
        <v>284</v>
      </c>
    </row>
    <row r="642" spans="1:26">
      <c r="C642" s="195">
        <v>2007</v>
      </c>
      <c r="D642" s="195">
        <v>2008</v>
      </c>
      <c r="E642" s="195">
        <v>2009</v>
      </c>
      <c r="F642" s="195">
        <v>2010</v>
      </c>
      <c r="G642" s="195">
        <v>2011</v>
      </c>
      <c r="H642" s="195">
        <v>2012</v>
      </c>
      <c r="I642" s="195">
        <v>2013</v>
      </c>
      <c r="J642" s="195">
        <v>2014</v>
      </c>
      <c r="K642" s="195">
        <v>2015</v>
      </c>
      <c r="L642" s="195">
        <v>2016</v>
      </c>
      <c r="M642" s="195">
        <v>2017</v>
      </c>
      <c r="N642" s="195">
        <v>2018</v>
      </c>
      <c r="O642" s="195">
        <v>2019</v>
      </c>
      <c r="P642" s="195">
        <v>2020</v>
      </c>
      <c r="Q642" s="195">
        <v>2021</v>
      </c>
      <c r="R642" s="195">
        <v>2022</v>
      </c>
      <c r="S642" s="195">
        <v>2023</v>
      </c>
      <c r="T642" s="195">
        <v>2024</v>
      </c>
      <c r="U642" s="195">
        <v>2025</v>
      </c>
      <c r="V642" s="195">
        <v>2026</v>
      </c>
      <c r="W642" s="195">
        <v>2027</v>
      </c>
      <c r="X642" s="195">
        <v>2028</v>
      </c>
      <c r="Y642" s="195">
        <v>2029</v>
      </c>
      <c r="Z642" s="195">
        <v>2030</v>
      </c>
    </row>
    <row r="643" spans="1:26">
      <c r="A643" s="195" t="s">
        <v>281</v>
      </c>
      <c r="B643" s="195" t="s">
        <v>282</v>
      </c>
      <c r="C643" s="195" t="s">
        <v>283</v>
      </c>
      <c r="D643" s="195" t="s">
        <v>283</v>
      </c>
      <c r="E643" s="195" t="s">
        <v>283</v>
      </c>
      <c r="F643" s="195" t="s">
        <v>283</v>
      </c>
      <c r="G643" s="195" t="s">
        <v>283</v>
      </c>
      <c r="H643" s="195" t="s">
        <v>283</v>
      </c>
      <c r="I643" s="195" t="s">
        <v>283</v>
      </c>
      <c r="J643" s="195" t="s">
        <v>283</v>
      </c>
      <c r="K643" s="195" t="s">
        <v>283</v>
      </c>
      <c r="L643" s="195" t="s">
        <v>283</v>
      </c>
      <c r="M643" s="195" t="s">
        <v>283</v>
      </c>
      <c r="N643" s="195" t="s">
        <v>283</v>
      </c>
      <c r="O643" s="195" t="s">
        <v>283</v>
      </c>
      <c r="P643" s="195" t="s">
        <v>283</v>
      </c>
      <c r="Q643" s="195" t="s">
        <v>283</v>
      </c>
      <c r="R643" s="195" t="s">
        <v>283</v>
      </c>
      <c r="S643" s="195" t="s">
        <v>283</v>
      </c>
      <c r="T643" s="195" t="s">
        <v>283</v>
      </c>
      <c r="U643" s="195" t="s">
        <v>283</v>
      </c>
      <c r="V643" s="195" t="s">
        <v>283</v>
      </c>
      <c r="W643" s="195" t="s">
        <v>283</v>
      </c>
      <c r="X643" s="195" t="s">
        <v>283</v>
      </c>
      <c r="Y643" s="195" t="s">
        <v>283</v>
      </c>
      <c r="Z643" s="195" t="s">
        <v>284</v>
      </c>
    </row>
    <row r="644" spans="1:26">
      <c r="A644" s="195" t="s">
        <v>207</v>
      </c>
    </row>
    <row r="645" spans="1:26">
      <c r="A645" s="195" t="s">
        <v>303</v>
      </c>
      <c r="B645" s="195" t="s">
        <v>285</v>
      </c>
      <c r="C645" s="195">
        <v>0.749</v>
      </c>
      <c r="D645" s="195">
        <v>0.72399999999999998</v>
      </c>
      <c r="E645" s="195">
        <v>0.70899999999999996</v>
      </c>
      <c r="F645" s="195">
        <v>0.68799999999999994</v>
      </c>
      <c r="G645" s="195">
        <v>0.68500000000000005</v>
      </c>
      <c r="H645" s="195">
        <v>0.67400000000000004</v>
      </c>
      <c r="I645" s="195">
        <v>0.67800000000000005</v>
      </c>
      <c r="J645" s="195">
        <v>0.67800000000000005</v>
      </c>
      <c r="K645" s="195">
        <v>0.67300000000000004</v>
      </c>
      <c r="L645" s="195">
        <v>0.68</v>
      </c>
      <c r="M645" s="195">
        <v>0.68500000000000005</v>
      </c>
      <c r="N645" s="195">
        <v>0.68899999999999995</v>
      </c>
      <c r="O645" s="195">
        <v>0.69399999999999995</v>
      </c>
      <c r="P645" s="195">
        <v>0.7</v>
      </c>
      <c r="Q645" s="195">
        <v>0.70699999999999996</v>
      </c>
      <c r="R645" s="195">
        <v>0.71599999999999997</v>
      </c>
      <c r="S645" s="195">
        <v>0.59399999999999997</v>
      </c>
      <c r="T645" s="195">
        <v>0.59899999999999998</v>
      </c>
      <c r="U645" s="195">
        <v>0.60299999999999998</v>
      </c>
      <c r="V645" s="195">
        <v>0.60699999999999998</v>
      </c>
      <c r="W645" s="195">
        <v>0.61</v>
      </c>
      <c r="X645" s="195">
        <v>0.61299999999999999</v>
      </c>
      <c r="Y645" s="195">
        <v>0.61599999999999999</v>
      </c>
      <c r="Z645" s="195">
        <v>0.61899999999999999</v>
      </c>
    </row>
    <row r="646" spans="1:26">
      <c r="A646" s="195" t="s">
        <v>304</v>
      </c>
      <c r="B646" s="195" t="s">
        <v>285</v>
      </c>
      <c r="C646" s="195">
        <v>0.61299999999999999</v>
      </c>
      <c r="D646" s="195">
        <v>0.59399999999999997</v>
      </c>
      <c r="E646" s="195">
        <v>0.57599999999999996</v>
      </c>
      <c r="F646" s="195">
        <v>0.55700000000000005</v>
      </c>
      <c r="G646" s="195">
        <v>0.55500000000000005</v>
      </c>
      <c r="H646" s="195">
        <v>0.55400000000000005</v>
      </c>
      <c r="I646" s="195">
        <v>0.55300000000000005</v>
      </c>
      <c r="J646" s="195">
        <v>0.55100000000000005</v>
      </c>
      <c r="K646" s="195">
        <v>0.55000000000000004</v>
      </c>
      <c r="L646" s="195">
        <v>0.55300000000000005</v>
      </c>
      <c r="M646" s="195">
        <v>0.55600000000000005</v>
      </c>
      <c r="N646" s="195">
        <v>0.55900000000000005</v>
      </c>
      <c r="O646" s="195">
        <v>0.56200000000000006</v>
      </c>
      <c r="P646" s="195">
        <v>0.56499999999999995</v>
      </c>
      <c r="Q646" s="195">
        <v>0.56899999999999995</v>
      </c>
      <c r="R646" s="195">
        <v>0.57399999999999995</v>
      </c>
      <c r="S646" s="195">
        <v>0.57799999999999996</v>
      </c>
      <c r="T646" s="195">
        <v>0.58299999999999996</v>
      </c>
      <c r="U646" s="195">
        <v>0.58699999999999997</v>
      </c>
      <c r="V646" s="195">
        <v>0.59</v>
      </c>
      <c r="W646" s="195">
        <v>0.59399999999999997</v>
      </c>
      <c r="X646" s="195">
        <v>0.59699999999999998</v>
      </c>
      <c r="Y646" s="195">
        <v>0.59899999999999998</v>
      </c>
      <c r="Z646" s="195">
        <v>0.60199999999999998</v>
      </c>
    </row>
    <row r="647" spans="1:26">
      <c r="A647" s="195" t="s">
        <v>305</v>
      </c>
      <c r="B647" s="195" t="s">
        <v>285</v>
      </c>
      <c r="C647" s="195">
        <v>0.60899999999999999</v>
      </c>
      <c r="D647" s="195">
        <v>0.59099999999999997</v>
      </c>
      <c r="E647" s="195">
        <v>0.57199999999999995</v>
      </c>
      <c r="F647" s="195">
        <v>0.55400000000000005</v>
      </c>
      <c r="G647" s="195">
        <v>0.55200000000000005</v>
      </c>
      <c r="H647" s="195">
        <v>0.55100000000000005</v>
      </c>
      <c r="I647" s="195">
        <v>0.54900000000000004</v>
      </c>
      <c r="J647" s="195">
        <v>0.54800000000000004</v>
      </c>
      <c r="K647" s="195">
        <v>0.54600000000000004</v>
      </c>
      <c r="L647" s="195">
        <v>0.54900000000000004</v>
      </c>
      <c r="M647" s="195">
        <v>0.55200000000000005</v>
      </c>
      <c r="N647" s="195">
        <v>0.55500000000000005</v>
      </c>
      <c r="O647" s="195">
        <v>0.55800000000000005</v>
      </c>
      <c r="P647" s="195">
        <v>0.56100000000000005</v>
      </c>
      <c r="Q647" s="195">
        <v>0.56499999999999995</v>
      </c>
      <c r="R647" s="195">
        <v>0.56999999999999995</v>
      </c>
      <c r="S647" s="195">
        <v>0.57399999999999995</v>
      </c>
      <c r="T647" s="195">
        <v>0.57899999999999996</v>
      </c>
      <c r="U647" s="195">
        <v>0.58299999999999996</v>
      </c>
      <c r="V647" s="195">
        <v>0.58599999999999997</v>
      </c>
      <c r="W647" s="195">
        <v>0.58899999999999997</v>
      </c>
      <c r="X647" s="195">
        <v>0.59199999999999997</v>
      </c>
      <c r="Y647" s="195">
        <v>0.59499999999999997</v>
      </c>
      <c r="Z647" s="195">
        <v>0.59799999999999998</v>
      </c>
    </row>
    <row r="648" spans="1:26">
      <c r="A648" s="195" t="s">
        <v>306</v>
      </c>
      <c r="B648" s="195" t="s">
        <v>285</v>
      </c>
      <c r="C648" s="195">
        <v>0.58799999999999997</v>
      </c>
      <c r="D648" s="195">
        <v>0.56999999999999995</v>
      </c>
      <c r="E648" s="195">
        <v>0.55200000000000005</v>
      </c>
      <c r="F648" s="195">
        <v>0.53300000000000003</v>
      </c>
      <c r="G648" s="195">
        <v>0.53200000000000003</v>
      </c>
      <c r="H648" s="195">
        <v>0.53</v>
      </c>
      <c r="I648" s="195">
        <v>0.52900000000000003</v>
      </c>
      <c r="J648" s="195">
        <v>0.52700000000000002</v>
      </c>
      <c r="K648" s="195">
        <v>0.52600000000000002</v>
      </c>
      <c r="L648" s="195">
        <v>0.52900000000000003</v>
      </c>
      <c r="M648" s="195">
        <v>0.53200000000000003</v>
      </c>
      <c r="N648" s="195">
        <v>0.53500000000000003</v>
      </c>
      <c r="O648" s="195">
        <v>0.53800000000000003</v>
      </c>
      <c r="P648" s="195">
        <v>0.54100000000000004</v>
      </c>
      <c r="Q648" s="195">
        <v>0.54500000000000004</v>
      </c>
      <c r="R648" s="195">
        <v>0.54900000000000004</v>
      </c>
      <c r="S648" s="195">
        <v>0.55400000000000005</v>
      </c>
      <c r="T648" s="195">
        <v>0.55800000000000005</v>
      </c>
      <c r="U648" s="195">
        <v>0.56299999999999994</v>
      </c>
      <c r="V648" s="195">
        <v>0.56599999999999995</v>
      </c>
      <c r="W648" s="195">
        <v>0.56899999999999995</v>
      </c>
      <c r="X648" s="195">
        <v>0.57199999999999995</v>
      </c>
      <c r="Y648" s="195">
        <v>0.57399999999999995</v>
      </c>
      <c r="Z648" s="195">
        <v>0.57699999999999996</v>
      </c>
    </row>
    <row r="649" spans="1:26">
      <c r="A649" s="195" t="s">
        <v>307</v>
      </c>
      <c r="B649" s="195" t="s">
        <v>285</v>
      </c>
      <c r="C649" s="195">
        <v>0.60899999999999999</v>
      </c>
      <c r="D649" s="195">
        <v>0.59</v>
      </c>
      <c r="E649" s="195">
        <v>0.57099999999999995</v>
      </c>
      <c r="F649" s="195">
        <v>0.55300000000000005</v>
      </c>
      <c r="G649" s="195">
        <v>0.55100000000000005</v>
      </c>
      <c r="H649" s="195">
        <v>0.55000000000000004</v>
      </c>
      <c r="I649" s="195">
        <v>0.54900000000000004</v>
      </c>
      <c r="J649" s="195">
        <v>0.54700000000000004</v>
      </c>
      <c r="K649" s="195">
        <v>0.54600000000000004</v>
      </c>
      <c r="L649" s="195">
        <v>0.54900000000000004</v>
      </c>
      <c r="M649" s="195">
        <v>0.55100000000000005</v>
      </c>
      <c r="N649" s="195">
        <v>0.55400000000000005</v>
      </c>
      <c r="O649" s="195">
        <v>0.55700000000000005</v>
      </c>
      <c r="P649" s="195">
        <v>0.56100000000000005</v>
      </c>
      <c r="Q649" s="195">
        <v>0.56499999999999995</v>
      </c>
      <c r="R649" s="195">
        <v>0.56899999999999995</v>
      </c>
      <c r="S649" s="195">
        <v>0.57399999999999995</v>
      </c>
      <c r="T649" s="195">
        <v>0.57899999999999996</v>
      </c>
      <c r="U649" s="195">
        <v>0.58299999999999996</v>
      </c>
      <c r="V649" s="195">
        <v>0.58599999999999997</v>
      </c>
      <c r="W649" s="195">
        <v>0.58899999999999997</v>
      </c>
      <c r="X649" s="195">
        <v>0.59199999999999997</v>
      </c>
      <c r="Y649" s="195">
        <v>0.59499999999999997</v>
      </c>
      <c r="Z649" s="195">
        <v>0.59799999999999998</v>
      </c>
    </row>
    <row r="650" spans="1:26">
      <c r="A650" s="195" t="s">
        <v>308</v>
      </c>
      <c r="B650" s="195" t="s">
        <v>285</v>
      </c>
      <c r="C650" s="195">
        <v>0.60699999999999998</v>
      </c>
      <c r="D650" s="195">
        <v>0.58799999999999997</v>
      </c>
      <c r="E650" s="195">
        <v>0.56999999999999995</v>
      </c>
      <c r="F650" s="195">
        <v>0.55100000000000005</v>
      </c>
      <c r="G650" s="195">
        <v>0.55000000000000004</v>
      </c>
      <c r="H650" s="195">
        <v>0.54800000000000004</v>
      </c>
      <c r="I650" s="195">
        <v>0.54700000000000004</v>
      </c>
      <c r="J650" s="195">
        <v>0.54600000000000004</v>
      </c>
      <c r="K650" s="195">
        <v>0.54400000000000004</v>
      </c>
      <c r="L650" s="195">
        <v>0.54700000000000004</v>
      </c>
      <c r="M650" s="195">
        <v>0.55000000000000004</v>
      </c>
      <c r="N650" s="195">
        <v>0.55300000000000005</v>
      </c>
      <c r="O650" s="195">
        <v>0.55600000000000005</v>
      </c>
      <c r="P650" s="195">
        <v>0.55900000000000005</v>
      </c>
      <c r="Q650" s="195">
        <v>0.55700000000000005</v>
      </c>
      <c r="R650" s="195">
        <v>0.56200000000000006</v>
      </c>
      <c r="S650" s="195">
        <v>0.56599999999999995</v>
      </c>
      <c r="T650" s="195">
        <v>0.57099999999999995</v>
      </c>
      <c r="U650" s="195">
        <v>0.57499999999999996</v>
      </c>
      <c r="V650" s="195">
        <v>0.57799999999999996</v>
      </c>
      <c r="W650" s="195">
        <v>0.58099999999999996</v>
      </c>
      <c r="X650" s="195">
        <v>0.58399999999999996</v>
      </c>
      <c r="Y650" s="195">
        <v>0.58699999999999997</v>
      </c>
      <c r="Z650" s="195">
        <v>0.59</v>
      </c>
    </row>
    <row r="651" spans="1:26">
      <c r="A651" s="195" t="s">
        <v>309</v>
      </c>
      <c r="B651" s="195" t="s">
        <v>285</v>
      </c>
      <c r="C651" s="195">
        <v>0.59099999999999997</v>
      </c>
      <c r="D651" s="195">
        <v>0.57299999999999995</v>
      </c>
      <c r="E651" s="195">
        <v>0.55400000000000005</v>
      </c>
      <c r="F651" s="195">
        <v>0.53600000000000003</v>
      </c>
      <c r="G651" s="195">
        <v>0.53400000000000003</v>
      </c>
      <c r="H651" s="195">
        <v>0.53300000000000003</v>
      </c>
      <c r="I651" s="195">
        <v>0.53100000000000003</v>
      </c>
      <c r="J651" s="195">
        <v>0.53</v>
      </c>
      <c r="K651" s="195">
        <v>0.52900000000000003</v>
      </c>
      <c r="L651" s="195">
        <v>0.53100000000000003</v>
      </c>
      <c r="M651" s="195">
        <v>0.53400000000000003</v>
      </c>
      <c r="N651" s="195">
        <v>0.53700000000000003</v>
      </c>
      <c r="O651" s="195">
        <v>0.54</v>
      </c>
      <c r="P651" s="195">
        <v>0.54300000000000004</v>
      </c>
      <c r="Q651" s="195">
        <v>0.54800000000000004</v>
      </c>
      <c r="R651" s="195">
        <v>0.55200000000000005</v>
      </c>
      <c r="S651" s="195">
        <v>0.55700000000000005</v>
      </c>
      <c r="T651" s="195">
        <v>0.56100000000000005</v>
      </c>
      <c r="U651" s="195">
        <v>0.56599999999999995</v>
      </c>
      <c r="V651" s="195">
        <v>0.56899999999999995</v>
      </c>
      <c r="W651" s="195">
        <v>0.57199999999999995</v>
      </c>
      <c r="X651" s="195">
        <v>0.57399999999999995</v>
      </c>
      <c r="Y651" s="195">
        <v>0.57699999999999996</v>
      </c>
      <c r="Z651" s="195">
        <v>0.57999999999999996</v>
      </c>
    </row>
    <row r="652" spans="1:26">
      <c r="A652" s="195" t="s">
        <v>310</v>
      </c>
      <c r="B652" s="195" t="s">
        <v>285</v>
      </c>
      <c r="C652" s="195">
        <v>0.57199999999999995</v>
      </c>
      <c r="D652" s="195">
        <v>0.55400000000000005</v>
      </c>
      <c r="E652" s="195">
        <v>0.53600000000000003</v>
      </c>
      <c r="F652" s="195">
        <v>0.51800000000000002</v>
      </c>
      <c r="G652" s="195">
        <v>0.51600000000000001</v>
      </c>
      <c r="H652" s="195">
        <v>0.51500000000000001</v>
      </c>
      <c r="I652" s="195">
        <v>0.51300000000000001</v>
      </c>
      <c r="J652" s="195">
        <v>0.51200000000000001</v>
      </c>
      <c r="K652" s="195">
        <v>0.51</v>
      </c>
      <c r="L652" s="195">
        <v>0.51300000000000001</v>
      </c>
      <c r="M652" s="195">
        <v>0.51600000000000001</v>
      </c>
      <c r="N652" s="195">
        <v>0.51900000000000002</v>
      </c>
      <c r="O652" s="195">
        <v>0.52200000000000002</v>
      </c>
      <c r="P652" s="195">
        <v>0.52500000000000002</v>
      </c>
      <c r="Q652" s="195">
        <v>0.52900000000000003</v>
      </c>
      <c r="R652" s="195">
        <v>0.53400000000000003</v>
      </c>
      <c r="S652" s="195">
        <v>0.53800000000000003</v>
      </c>
      <c r="T652" s="195">
        <v>0.54200000000000004</v>
      </c>
      <c r="U652" s="195">
        <v>0.54700000000000004</v>
      </c>
      <c r="V652" s="195">
        <v>0.55000000000000004</v>
      </c>
      <c r="W652" s="195">
        <v>0.55200000000000005</v>
      </c>
      <c r="X652" s="195">
        <v>0.55500000000000005</v>
      </c>
      <c r="Y652" s="195">
        <v>0.55800000000000005</v>
      </c>
      <c r="Z652" s="195">
        <v>0.56100000000000005</v>
      </c>
    </row>
    <row r="653" spans="1:26">
      <c r="A653" s="195" t="s">
        <v>311</v>
      </c>
      <c r="B653" s="195" t="s">
        <v>285</v>
      </c>
      <c r="C653" s="195">
        <v>0.26200000000000001</v>
      </c>
      <c r="D653" s="195">
        <v>0.25800000000000001</v>
      </c>
      <c r="E653" s="195">
        <v>0.254</v>
      </c>
      <c r="F653" s="195">
        <v>0.25</v>
      </c>
      <c r="G653" s="195">
        <v>0.25</v>
      </c>
      <c r="H653" s="195">
        <v>0.25</v>
      </c>
      <c r="I653" s="195">
        <v>0.249</v>
      </c>
      <c r="J653" s="195">
        <v>0.249</v>
      </c>
      <c r="K653" s="195">
        <v>0.249</v>
      </c>
      <c r="L653" s="195">
        <v>0.249</v>
      </c>
      <c r="M653" s="195">
        <v>0.25</v>
      </c>
      <c r="N653" s="195">
        <v>0.251</v>
      </c>
      <c r="O653" s="195">
        <v>0.251</v>
      </c>
      <c r="P653" s="195">
        <v>0.252</v>
      </c>
      <c r="Q653" s="195">
        <v>0.253</v>
      </c>
      <c r="R653" s="195">
        <v>0.254</v>
      </c>
      <c r="S653" s="195">
        <v>0.255</v>
      </c>
      <c r="T653" s="195">
        <v>0.25600000000000001</v>
      </c>
      <c r="U653" s="195">
        <v>0.25700000000000001</v>
      </c>
      <c r="V653" s="195">
        <v>0.25700000000000001</v>
      </c>
      <c r="W653" s="195">
        <v>0.25800000000000001</v>
      </c>
      <c r="X653" s="195">
        <v>0.25900000000000001</v>
      </c>
      <c r="Y653" s="195">
        <v>0.25900000000000001</v>
      </c>
      <c r="Z653" s="195">
        <v>0.26</v>
      </c>
    </row>
    <row r="654" spans="1:26">
      <c r="A654" s="195" t="s">
        <v>312</v>
      </c>
      <c r="B654" s="195" t="s">
        <v>285</v>
      </c>
      <c r="C654" s="195">
        <v>0.60199999999999998</v>
      </c>
      <c r="D654" s="195">
        <v>0.58299999999999996</v>
      </c>
      <c r="E654" s="195">
        <v>0.56499999999999995</v>
      </c>
      <c r="F654" s="195">
        <v>0.54600000000000004</v>
      </c>
      <c r="G654" s="195">
        <v>0.54500000000000004</v>
      </c>
      <c r="H654" s="195">
        <v>0.54300000000000004</v>
      </c>
      <c r="I654" s="195">
        <v>0.54200000000000004</v>
      </c>
      <c r="J654" s="195">
        <v>0.54</v>
      </c>
      <c r="K654" s="195">
        <v>0.53800000000000003</v>
      </c>
      <c r="L654" s="195">
        <v>0.54100000000000004</v>
      </c>
      <c r="M654" s="195">
        <v>0.54400000000000004</v>
      </c>
      <c r="N654" s="195">
        <v>0.54700000000000004</v>
      </c>
      <c r="O654" s="195">
        <v>0.55000000000000004</v>
      </c>
      <c r="P654" s="195">
        <v>0.55300000000000005</v>
      </c>
      <c r="Q654" s="195">
        <v>0.55700000000000005</v>
      </c>
      <c r="R654" s="195">
        <v>0.56200000000000006</v>
      </c>
      <c r="S654" s="195">
        <v>0.56200000000000006</v>
      </c>
      <c r="T654" s="195">
        <v>0.56699999999999995</v>
      </c>
      <c r="U654" s="195">
        <v>0.57099999999999995</v>
      </c>
      <c r="V654" s="195">
        <v>0.57399999999999995</v>
      </c>
      <c r="W654" s="195">
        <v>0.57699999999999996</v>
      </c>
      <c r="X654" s="195">
        <v>0.57999999999999996</v>
      </c>
      <c r="Y654" s="195">
        <v>0.58299999999999996</v>
      </c>
      <c r="Z654" s="195">
        <v>0.58599999999999997</v>
      </c>
    </row>
    <row r="655" spans="1:26">
      <c r="A655" s="195" t="s">
        <v>281</v>
      </c>
      <c r="B655" s="195" t="s">
        <v>282</v>
      </c>
      <c r="C655" s="195" t="s">
        <v>283</v>
      </c>
      <c r="D655" s="195" t="s">
        <v>283</v>
      </c>
      <c r="E655" s="195" t="s">
        <v>283</v>
      </c>
      <c r="F655" s="195" t="s">
        <v>283</v>
      </c>
      <c r="G655" s="195" t="s">
        <v>283</v>
      </c>
      <c r="H655" s="195" t="s">
        <v>283</v>
      </c>
      <c r="I655" s="195" t="s">
        <v>283</v>
      </c>
      <c r="J655" s="195" t="s">
        <v>283</v>
      </c>
      <c r="K655" s="195" t="s">
        <v>283</v>
      </c>
      <c r="L655" s="195" t="s">
        <v>283</v>
      </c>
      <c r="M655" s="195" t="s">
        <v>283</v>
      </c>
      <c r="N655" s="195" t="s">
        <v>283</v>
      </c>
      <c r="O655" s="195" t="s">
        <v>283</v>
      </c>
      <c r="P655" s="195" t="s">
        <v>283</v>
      </c>
      <c r="Q655" s="195" t="s">
        <v>283</v>
      </c>
      <c r="R655" s="195" t="s">
        <v>283</v>
      </c>
      <c r="S655" s="195" t="s">
        <v>283</v>
      </c>
      <c r="T655" s="195" t="s">
        <v>283</v>
      </c>
      <c r="U655" s="195" t="s">
        <v>283</v>
      </c>
      <c r="V655" s="195" t="s">
        <v>283</v>
      </c>
      <c r="W655" s="195" t="s">
        <v>283</v>
      </c>
      <c r="X655" s="195" t="s">
        <v>283</v>
      </c>
      <c r="Y655" s="195" t="s">
        <v>283</v>
      </c>
      <c r="Z655" s="195" t="s">
        <v>284</v>
      </c>
    </row>
    <row r="657" spans="1:26">
      <c r="C657" s="202" t="str">
        <f>CONCATENATE(M657,N657,O657,P657,Q657,R657)</f>
        <v>Table 8US EndUse Prices,$/Gal</v>
      </c>
      <c r="M657" s="195" t="s">
        <v>297</v>
      </c>
      <c r="N657" s="195" t="s">
        <v>298</v>
      </c>
      <c r="O657" s="195" t="s">
        <v>299</v>
      </c>
      <c r="P657" s="195" t="s">
        <v>300</v>
      </c>
      <c r="Q657" s="195" t="s">
        <v>301</v>
      </c>
      <c r="R657" s="195" t="s">
        <v>302</v>
      </c>
    </row>
    <row r="658" spans="1:26">
      <c r="A658" s="195" t="s">
        <v>276</v>
      </c>
      <c r="B658" s="195" t="s">
        <v>277</v>
      </c>
      <c r="C658" s="195">
        <v>11006</v>
      </c>
      <c r="D658" s="195" t="s">
        <v>278</v>
      </c>
      <c r="E658" s="195" t="s">
        <v>279</v>
      </c>
      <c r="F658" s="195" t="s">
        <v>280</v>
      </c>
    </row>
    <row r="659" spans="1:26">
      <c r="A659" s="195" t="s">
        <v>281</v>
      </c>
      <c r="B659" s="195" t="s">
        <v>282</v>
      </c>
      <c r="C659" s="195" t="s">
        <v>283</v>
      </c>
      <c r="D659" s="195" t="s">
        <v>283</v>
      </c>
      <c r="E659" s="195" t="s">
        <v>283</v>
      </c>
      <c r="F659" s="195" t="s">
        <v>283</v>
      </c>
      <c r="G659" s="195" t="s">
        <v>283</v>
      </c>
      <c r="H659" s="195" t="s">
        <v>283</v>
      </c>
      <c r="I659" s="195" t="s">
        <v>283</v>
      </c>
      <c r="J659" s="195" t="s">
        <v>283</v>
      </c>
      <c r="K659" s="195" t="s">
        <v>283</v>
      </c>
      <c r="L659" s="195" t="s">
        <v>283</v>
      </c>
      <c r="M659" s="195" t="s">
        <v>283</v>
      </c>
      <c r="N659" s="195" t="s">
        <v>283</v>
      </c>
      <c r="O659" s="195" t="s">
        <v>283</v>
      </c>
      <c r="P659" s="195" t="s">
        <v>283</v>
      </c>
      <c r="Q659" s="195" t="s">
        <v>283</v>
      </c>
      <c r="R659" s="195" t="s">
        <v>283</v>
      </c>
      <c r="S659" s="195" t="s">
        <v>283</v>
      </c>
      <c r="T659" s="195" t="s">
        <v>283</v>
      </c>
      <c r="U659" s="195" t="s">
        <v>283</v>
      </c>
      <c r="V659" s="195" t="s">
        <v>283</v>
      </c>
      <c r="W659" s="195" t="s">
        <v>283</v>
      </c>
      <c r="X659" s="195" t="s">
        <v>283</v>
      </c>
      <c r="Y659" s="195" t="s">
        <v>283</v>
      </c>
      <c r="Z659" s="195" t="s">
        <v>284</v>
      </c>
    </row>
    <row r="660" spans="1:26">
      <c r="C660" s="195">
        <v>2007</v>
      </c>
      <c r="D660" s="195">
        <v>2008</v>
      </c>
      <c r="E660" s="195">
        <v>2009</v>
      </c>
      <c r="F660" s="195">
        <v>2010</v>
      </c>
      <c r="G660" s="195">
        <v>2011</v>
      </c>
      <c r="H660" s="195">
        <v>2012</v>
      </c>
      <c r="I660" s="195">
        <v>2013</v>
      </c>
      <c r="J660" s="195">
        <v>2014</v>
      </c>
      <c r="K660" s="195">
        <v>2015</v>
      </c>
      <c r="L660" s="195">
        <v>2016</v>
      </c>
      <c r="M660" s="195">
        <v>2017</v>
      </c>
      <c r="N660" s="195">
        <v>2018</v>
      </c>
      <c r="O660" s="195">
        <v>2019</v>
      </c>
      <c r="P660" s="195">
        <v>2020</v>
      </c>
      <c r="Q660" s="195">
        <v>2021</v>
      </c>
      <c r="R660" s="195">
        <v>2022</v>
      </c>
      <c r="S660" s="195">
        <v>2023</v>
      </c>
      <c r="T660" s="195">
        <v>2024</v>
      </c>
      <c r="U660" s="195">
        <v>2025</v>
      </c>
      <c r="V660" s="195">
        <v>2026</v>
      </c>
      <c r="W660" s="195">
        <v>2027</v>
      </c>
      <c r="X660" s="195">
        <v>2028</v>
      </c>
      <c r="Y660" s="195">
        <v>2029</v>
      </c>
      <c r="Z660" s="195">
        <v>2030</v>
      </c>
    </row>
    <row r="661" spans="1:26">
      <c r="A661" s="195" t="s">
        <v>281</v>
      </c>
      <c r="B661" s="195" t="s">
        <v>282</v>
      </c>
      <c r="C661" s="195" t="s">
        <v>283</v>
      </c>
      <c r="D661" s="195" t="s">
        <v>283</v>
      </c>
      <c r="E661" s="195" t="s">
        <v>283</v>
      </c>
      <c r="F661" s="195" t="s">
        <v>283</v>
      </c>
      <c r="G661" s="195" t="s">
        <v>283</v>
      </c>
      <c r="H661" s="195" t="s">
        <v>283</v>
      </c>
      <c r="I661" s="195" t="s">
        <v>283</v>
      </c>
      <c r="J661" s="195" t="s">
        <v>283</v>
      </c>
      <c r="K661" s="195" t="s">
        <v>283</v>
      </c>
      <c r="L661" s="195" t="s">
        <v>283</v>
      </c>
      <c r="M661" s="195" t="s">
        <v>283</v>
      </c>
      <c r="N661" s="195" t="s">
        <v>283</v>
      </c>
      <c r="O661" s="195" t="s">
        <v>283</v>
      </c>
      <c r="P661" s="195" t="s">
        <v>283</v>
      </c>
      <c r="Q661" s="195" t="s">
        <v>283</v>
      </c>
      <c r="R661" s="195" t="s">
        <v>283</v>
      </c>
      <c r="S661" s="195" t="s">
        <v>283</v>
      </c>
      <c r="T661" s="195" t="s">
        <v>283</v>
      </c>
      <c r="U661" s="195" t="s">
        <v>283</v>
      </c>
      <c r="V661" s="195" t="s">
        <v>283</v>
      </c>
      <c r="W661" s="195" t="s">
        <v>283</v>
      </c>
      <c r="X661" s="195" t="s">
        <v>283</v>
      </c>
      <c r="Y661" s="195" t="s">
        <v>283</v>
      </c>
      <c r="Z661" s="195" t="s">
        <v>284</v>
      </c>
    </row>
    <row r="662" spans="1:26">
      <c r="A662" s="195" t="s">
        <v>208</v>
      </c>
    </row>
    <row r="663" spans="1:26">
      <c r="A663" s="195" t="s">
        <v>303</v>
      </c>
      <c r="B663" s="195" t="s">
        <v>285</v>
      </c>
      <c r="C663" s="195">
        <v>0.59599999999999997</v>
      </c>
      <c r="D663" s="195">
        <v>0.56499999999999995</v>
      </c>
      <c r="E663" s="195">
        <v>0.53200000000000003</v>
      </c>
      <c r="F663" s="195">
        <v>0.5</v>
      </c>
      <c r="G663" s="195">
        <v>0.498</v>
      </c>
      <c r="H663" s="195">
        <v>0.496</v>
      </c>
      <c r="I663" s="195">
        <v>0.49299999999999999</v>
      </c>
      <c r="J663" s="195">
        <v>0.48899999999999999</v>
      </c>
      <c r="K663" s="195">
        <v>0.48799999999999999</v>
      </c>
      <c r="L663" s="195">
        <v>0.49199999999999999</v>
      </c>
      <c r="M663" s="195">
        <v>0.497</v>
      </c>
      <c r="N663" s="195">
        <v>0.502</v>
      </c>
      <c r="O663" s="195">
        <v>0.50700000000000001</v>
      </c>
      <c r="P663" s="195">
        <v>0.51300000000000001</v>
      </c>
      <c r="Q663" s="195">
        <v>0.52</v>
      </c>
      <c r="R663" s="195">
        <v>0.52700000000000002</v>
      </c>
      <c r="S663" s="195">
        <v>0.53500000000000003</v>
      </c>
      <c r="T663" s="195">
        <v>0.54300000000000004</v>
      </c>
      <c r="U663" s="195">
        <v>0.54900000000000004</v>
      </c>
      <c r="V663" s="195">
        <v>0.55500000000000005</v>
      </c>
      <c r="W663" s="195">
        <v>0.56000000000000005</v>
      </c>
      <c r="X663" s="195">
        <v>0.56399999999999995</v>
      </c>
      <c r="Y663" s="195">
        <v>0.56899999999999995</v>
      </c>
      <c r="Z663" s="195">
        <v>0.627</v>
      </c>
    </row>
    <row r="664" spans="1:26">
      <c r="A664" s="195" t="s">
        <v>304</v>
      </c>
      <c r="B664" s="195" t="s">
        <v>285</v>
      </c>
      <c r="C664" s="195">
        <v>0.63900000000000001</v>
      </c>
      <c r="D664" s="195">
        <v>0.60599999999999998</v>
      </c>
      <c r="E664" s="195">
        <v>0.57299999999999995</v>
      </c>
      <c r="F664" s="195">
        <v>0.54400000000000004</v>
      </c>
      <c r="G664" s="195">
        <v>0.54100000000000004</v>
      </c>
      <c r="H664" s="195">
        <v>0.53900000000000003</v>
      </c>
      <c r="I664" s="195">
        <v>0.53800000000000003</v>
      </c>
      <c r="J664" s="195">
        <v>0.53500000000000003</v>
      </c>
      <c r="K664" s="195">
        <v>0.53800000000000003</v>
      </c>
      <c r="L664" s="195">
        <v>0.54300000000000004</v>
      </c>
      <c r="M664" s="195">
        <v>0.54900000000000004</v>
      </c>
      <c r="N664" s="195">
        <v>0.55400000000000005</v>
      </c>
      <c r="O664" s="195">
        <v>0.55600000000000005</v>
      </c>
      <c r="P664" s="195">
        <v>0.56499999999999995</v>
      </c>
      <c r="Q664" s="195">
        <v>0.57199999999999995</v>
      </c>
      <c r="R664" s="195">
        <v>0.57899999999999996</v>
      </c>
      <c r="S664" s="195">
        <v>0.58699999999999997</v>
      </c>
      <c r="T664" s="195">
        <v>0.59399999999999997</v>
      </c>
      <c r="U664" s="195">
        <v>0.6</v>
      </c>
      <c r="V664" s="195">
        <v>0.60199999999999998</v>
      </c>
      <c r="W664" s="195">
        <v>0.60399999999999998</v>
      </c>
      <c r="X664" s="195">
        <v>0.60899999999999999</v>
      </c>
      <c r="Y664" s="195">
        <v>0.61299999999999999</v>
      </c>
      <c r="Z664" s="195">
        <v>0.66800000000000004</v>
      </c>
    </row>
    <row r="665" spans="1:26">
      <c r="A665" s="195" t="s">
        <v>305</v>
      </c>
      <c r="B665" s="195" t="s">
        <v>285</v>
      </c>
      <c r="C665" s="195">
        <v>0.75700000000000001</v>
      </c>
      <c r="D665" s="195">
        <v>0.74099999999999999</v>
      </c>
      <c r="E665" s="195">
        <v>0.70699999999999996</v>
      </c>
      <c r="F665" s="195">
        <v>0.64100000000000001</v>
      </c>
      <c r="G665" s="195">
        <v>0.66</v>
      </c>
      <c r="H665" s="195">
        <v>0.66200000000000003</v>
      </c>
      <c r="I665" s="195">
        <v>0.64100000000000001</v>
      </c>
      <c r="J665" s="195">
        <v>0.65700000000000003</v>
      </c>
      <c r="K665" s="195">
        <v>0.64900000000000002</v>
      </c>
      <c r="L665" s="195">
        <v>0.65700000000000003</v>
      </c>
      <c r="M665" s="195">
        <v>0.66300000000000003</v>
      </c>
      <c r="N665" s="195">
        <v>0.65700000000000003</v>
      </c>
      <c r="O665" s="195">
        <v>0.66</v>
      </c>
      <c r="P665" s="195">
        <v>0.68799999999999994</v>
      </c>
      <c r="Q665" s="195">
        <v>0.68400000000000005</v>
      </c>
      <c r="R665" s="195">
        <v>0.68</v>
      </c>
      <c r="S665" s="195">
        <v>0.68700000000000006</v>
      </c>
      <c r="T665" s="195">
        <v>0.71</v>
      </c>
      <c r="U665" s="195">
        <v>0.71499999999999997</v>
      </c>
      <c r="V665" s="195">
        <v>0.71499999999999997</v>
      </c>
      <c r="W665" s="195">
        <v>0.72099999999999997</v>
      </c>
      <c r="X665" s="195">
        <v>0.71899999999999997</v>
      </c>
      <c r="Y665" s="195">
        <v>0.72099999999999997</v>
      </c>
      <c r="Z665" s="195">
        <v>0.71899999999999997</v>
      </c>
    </row>
    <row r="666" spans="1:26">
      <c r="A666" s="195" t="s">
        <v>306</v>
      </c>
      <c r="B666" s="195" t="s">
        <v>285</v>
      </c>
      <c r="C666" s="195">
        <v>0.747</v>
      </c>
      <c r="D666" s="195">
        <v>0.73199999999999998</v>
      </c>
      <c r="E666" s="195">
        <v>0.69799999999999995</v>
      </c>
      <c r="F666" s="195">
        <v>0.63100000000000001</v>
      </c>
      <c r="G666" s="195">
        <v>0.65100000000000002</v>
      </c>
      <c r="H666" s="195">
        <v>0.65300000000000002</v>
      </c>
      <c r="I666" s="195">
        <v>0.63200000000000001</v>
      </c>
      <c r="J666" s="195">
        <v>0.64700000000000002</v>
      </c>
      <c r="K666" s="195">
        <v>0.64</v>
      </c>
      <c r="L666" s="195">
        <v>0.64800000000000002</v>
      </c>
      <c r="M666" s="195">
        <v>0.65400000000000003</v>
      </c>
      <c r="N666" s="195">
        <v>0.64800000000000002</v>
      </c>
      <c r="O666" s="195">
        <v>0.65100000000000002</v>
      </c>
      <c r="P666" s="195">
        <v>0.67900000000000005</v>
      </c>
      <c r="Q666" s="195">
        <v>0.67500000000000004</v>
      </c>
      <c r="R666" s="195">
        <v>0.67100000000000004</v>
      </c>
      <c r="S666" s="195">
        <v>0.67700000000000005</v>
      </c>
      <c r="T666" s="195">
        <v>0.70099999999999996</v>
      </c>
      <c r="U666" s="195">
        <v>0.70599999999999996</v>
      </c>
      <c r="V666" s="195">
        <v>0.70599999999999996</v>
      </c>
      <c r="W666" s="195">
        <v>0.71199999999999997</v>
      </c>
      <c r="X666" s="195">
        <v>0.70899999999999996</v>
      </c>
      <c r="Y666" s="195">
        <v>0.71099999999999997</v>
      </c>
      <c r="Z666" s="195">
        <v>0.71499999999999997</v>
      </c>
    </row>
    <row r="667" spans="1:26">
      <c r="A667" s="195" t="s">
        <v>307</v>
      </c>
      <c r="B667" s="195" t="s">
        <v>285</v>
      </c>
      <c r="C667" s="195">
        <v>0.79400000000000004</v>
      </c>
      <c r="D667" s="195">
        <v>0.77700000000000002</v>
      </c>
      <c r="E667" s="195">
        <v>0.74099999999999999</v>
      </c>
      <c r="F667" s="195">
        <v>0.68400000000000005</v>
      </c>
      <c r="G667" s="195">
        <v>0.69499999999999995</v>
      </c>
      <c r="H667" s="195">
        <v>0.69499999999999995</v>
      </c>
      <c r="I667" s="195">
        <v>0.68100000000000005</v>
      </c>
      <c r="J667" s="195">
        <v>0.68899999999999995</v>
      </c>
      <c r="K667" s="195">
        <v>0.68300000000000005</v>
      </c>
      <c r="L667" s="195">
        <v>0.69099999999999995</v>
      </c>
      <c r="M667" s="195">
        <v>0.69699999999999995</v>
      </c>
      <c r="N667" s="195">
        <v>0.69599999999999995</v>
      </c>
      <c r="O667" s="195">
        <v>0.7</v>
      </c>
      <c r="P667" s="195">
        <v>0.72</v>
      </c>
      <c r="Q667" s="195">
        <v>0.72099999999999997</v>
      </c>
      <c r="R667" s="195">
        <v>0.72299999999999998</v>
      </c>
      <c r="S667" s="195">
        <v>0.73</v>
      </c>
      <c r="T667" s="195">
        <v>0.748</v>
      </c>
      <c r="U667" s="195">
        <v>0.755</v>
      </c>
      <c r="V667" s="195">
        <v>0.75800000000000001</v>
      </c>
      <c r="W667" s="195">
        <v>0.76400000000000001</v>
      </c>
      <c r="X667" s="195">
        <v>0.76500000000000001</v>
      </c>
      <c r="Y667" s="195">
        <v>0.76900000000000002</v>
      </c>
      <c r="Z667" s="195">
        <v>0.77600000000000002</v>
      </c>
    </row>
    <row r="668" spans="1:26">
      <c r="A668" s="195" t="s">
        <v>308</v>
      </c>
      <c r="B668" s="195" t="s">
        <v>285</v>
      </c>
      <c r="C668" s="195">
        <v>0.70199999999999996</v>
      </c>
      <c r="D668" s="195">
        <v>0.68600000000000005</v>
      </c>
      <c r="E668" s="195">
        <v>0.64800000000000002</v>
      </c>
      <c r="F668" s="195">
        <v>0.59499999999999997</v>
      </c>
      <c r="G668" s="195">
        <v>0.60499999999999998</v>
      </c>
      <c r="H668" s="195">
        <v>0.60199999999999998</v>
      </c>
      <c r="I668" s="195">
        <v>0.59</v>
      </c>
      <c r="J668" s="195">
        <v>0.59799999999999998</v>
      </c>
      <c r="K668" s="195">
        <v>0.59299999999999997</v>
      </c>
      <c r="L668" s="195">
        <v>0.59799999999999998</v>
      </c>
      <c r="M668" s="195">
        <v>0.60899999999999999</v>
      </c>
      <c r="N668" s="195">
        <v>0.60499999999999998</v>
      </c>
      <c r="O668" s="195">
        <v>0.61</v>
      </c>
      <c r="P668" s="195">
        <v>0.628</v>
      </c>
      <c r="Q668" s="195">
        <v>0.63</v>
      </c>
      <c r="R668" s="195">
        <v>0.63200000000000001</v>
      </c>
      <c r="S668" s="195">
        <v>0.64300000000000002</v>
      </c>
      <c r="T668" s="195">
        <v>0.65800000000000003</v>
      </c>
      <c r="U668" s="195">
        <v>0.66500000000000004</v>
      </c>
      <c r="V668" s="195">
        <v>0.66900000000000004</v>
      </c>
      <c r="W668" s="195">
        <v>0.67500000000000004</v>
      </c>
      <c r="X668" s="195">
        <v>0.67700000000000005</v>
      </c>
      <c r="Y668" s="195">
        <v>0.68100000000000005</v>
      </c>
      <c r="Z668" s="195">
        <v>0.73099999999999998</v>
      </c>
    </row>
    <row r="669" spans="1:26">
      <c r="A669" s="195" t="s">
        <v>309</v>
      </c>
      <c r="B669" s="195" t="s">
        <v>285</v>
      </c>
      <c r="C669" s="195">
        <v>0.75</v>
      </c>
      <c r="D669" s="195">
        <v>0.73199999999999998</v>
      </c>
      <c r="E669" s="195">
        <v>0.69899999999999995</v>
      </c>
      <c r="F669" s="195">
        <v>0.63300000000000001</v>
      </c>
      <c r="G669" s="195">
        <v>0.65300000000000002</v>
      </c>
      <c r="H669" s="195">
        <v>0.64700000000000002</v>
      </c>
      <c r="I669" s="195">
        <v>0.629</v>
      </c>
      <c r="J669" s="195">
        <v>0.64400000000000002</v>
      </c>
      <c r="K669" s="195">
        <v>0.63700000000000001</v>
      </c>
      <c r="L669" s="195">
        <v>0.64600000000000002</v>
      </c>
      <c r="M669" s="195">
        <v>0.65100000000000002</v>
      </c>
      <c r="N669" s="195">
        <v>0.64500000000000002</v>
      </c>
      <c r="O669" s="195">
        <v>0.64900000000000002</v>
      </c>
      <c r="P669" s="195">
        <v>0.67500000000000004</v>
      </c>
      <c r="Q669" s="195">
        <v>0.67100000000000004</v>
      </c>
      <c r="R669" s="195">
        <v>0.66800000000000004</v>
      </c>
      <c r="S669" s="195">
        <v>0.67400000000000004</v>
      </c>
      <c r="T669" s="195">
        <v>0.69599999999999995</v>
      </c>
      <c r="U669" s="195">
        <v>0.7</v>
      </c>
      <c r="V669" s="195">
        <v>0.7</v>
      </c>
      <c r="W669" s="195">
        <v>0.70599999999999996</v>
      </c>
      <c r="X669" s="195">
        <v>0.70399999999999996</v>
      </c>
      <c r="Y669" s="195">
        <v>0.70499999999999996</v>
      </c>
      <c r="Z669" s="195">
        <v>0.69799999999999995</v>
      </c>
    </row>
    <row r="670" spans="1:26">
      <c r="A670" s="195" t="s">
        <v>310</v>
      </c>
      <c r="B670" s="195" t="s">
        <v>285</v>
      </c>
      <c r="C670" s="195">
        <v>0.83799999999999997</v>
      </c>
      <c r="D670" s="195">
        <v>0.78600000000000003</v>
      </c>
      <c r="E670" s="195">
        <v>0.748</v>
      </c>
      <c r="F670" s="195">
        <v>0.71199999999999997</v>
      </c>
      <c r="G670" s="195">
        <v>0.71899999999999997</v>
      </c>
      <c r="H670" s="195">
        <v>0.71699999999999997</v>
      </c>
      <c r="I670" s="195">
        <v>0.71</v>
      </c>
      <c r="J670" s="195">
        <v>0.70599999999999996</v>
      </c>
      <c r="K670" s="195">
        <v>0.71799999999999997</v>
      </c>
      <c r="L670" s="195">
        <v>0.71299999999999997</v>
      </c>
      <c r="M670" s="195">
        <v>0.72799999999999998</v>
      </c>
      <c r="N670" s="195">
        <v>0.71699999999999997</v>
      </c>
      <c r="O670" s="195">
        <v>0.73199999999999998</v>
      </c>
      <c r="P670" s="195">
        <v>0.73899999999999999</v>
      </c>
      <c r="Q670" s="195">
        <v>0.74</v>
      </c>
      <c r="R670" s="195">
        <v>0.74299999999999999</v>
      </c>
      <c r="S670" s="195">
        <v>0.755</v>
      </c>
      <c r="T670" s="195">
        <v>0.75600000000000001</v>
      </c>
      <c r="U670" s="195">
        <v>0.75700000000000001</v>
      </c>
      <c r="V670" s="195">
        <v>0.77600000000000002</v>
      </c>
      <c r="W670" s="195">
        <v>0.78100000000000003</v>
      </c>
      <c r="X670" s="195">
        <v>0.76300000000000001</v>
      </c>
      <c r="Y670" s="195">
        <v>0.76700000000000002</v>
      </c>
      <c r="Z670" s="195">
        <v>0.66900000000000004</v>
      </c>
    </row>
    <row r="671" spans="1:26">
      <c r="A671" s="195" t="s">
        <v>311</v>
      </c>
      <c r="B671" s="195" t="s">
        <v>285</v>
      </c>
      <c r="C671" s="195">
        <v>0.86299999999999999</v>
      </c>
      <c r="D671" s="195">
        <v>0.84799999999999998</v>
      </c>
      <c r="E671" s="195">
        <v>0.78300000000000003</v>
      </c>
      <c r="F671" s="195">
        <v>0.80300000000000005</v>
      </c>
      <c r="G671" s="195">
        <v>0.80400000000000005</v>
      </c>
      <c r="H671" s="195">
        <v>0.81</v>
      </c>
      <c r="I671" s="195">
        <v>0.79200000000000004</v>
      </c>
      <c r="J671" s="195">
        <v>0.78500000000000003</v>
      </c>
      <c r="K671" s="195">
        <v>0.81</v>
      </c>
      <c r="L671" s="195">
        <v>0.80400000000000005</v>
      </c>
      <c r="M671" s="195">
        <v>0.81</v>
      </c>
      <c r="N671" s="195">
        <v>0.79700000000000004</v>
      </c>
      <c r="O671" s="195">
        <v>0.81699999999999995</v>
      </c>
      <c r="P671" s="195">
        <v>0.82499999999999996</v>
      </c>
      <c r="Q671" s="195">
        <v>0.83399999999999996</v>
      </c>
      <c r="R671" s="195">
        <v>0.84799999999999998</v>
      </c>
      <c r="S671" s="195">
        <v>0.873</v>
      </c>
      <c r="T671" s="195">
        <v>0.871</v>
      </c>
      <c r="U671" s="195">
        <v>0.88100000000000001</v>
      </c>
      <c r="V671" s="195">
        <v>0.90400000000000003</v>
      </c>
      <c r="W671" s="195">
        <v>0.92300000000000004</v>
      </c>
      <c r="X671" s="195">
        <v>0.92400000000000004</v>
      </c>
      <c r="Y671" s="195">
        <v>0.94699999999999995</v>
      </c>
      <c r="Z671" s="195">
        <v>0.76800000000000002</v>
      </c>
    </row>
    <row r="672" spans="1:26">
      <c r="A672" s="195" t="s">
        <v>312</v>
      </c>
      <c r="B672" s="195" t="s">
        <v>285</v>
      </c>
      <c r="C672" s="195">
        <v>0.71399999999999997</v>
      </c>
      <c r="D672" s="195">
        <v>0.69</v>
      </c>
      <c r="E672" s="195">
        <v>0.65300000000000002</v>
      </c>
      <c r="F672" s="195">
        <v>0.61799999999999999</v>
      </c>
      <c r="G672" s="195">
        <v>0.621</v>
      </c>
      <c r="H672" s="195">
        <v>0.623</v>
      </c>
      <c r="I672" s="195">
        <v>0.61299999999999999</v>
      </c>
      <c r="J672" s="195">
        <v>0.61499999999999999</v>
      </c>
      <c r="K672" s="195">
        <v>0.622</v>
      </c>
      <c r="L672" s="195">
        <v>0.625</v>
      </c>
      <c r="M672" s="195">
        <v>0.63400000000000001</v>
      </c>
      <c r="N672" s="195">
        <v>0.63400000000000001</v>
      </c>
      <c r="O672" s="195">
        <v>0.63800000000000001</v>
      </c>
      <c r="P672" s="195">
        <v>0.65400000000000003</v>
      </c>
      <c r="Q672" s="195">
        <v>0.65900000000000003</v>
      </c>
      <c r="R672" s="195">
        <v>0.66600000000000004</v>
      </c>
      <c r="S672" s="195">
        <v>0.67700000000000005</v>
      </c>
      <c r="T672" s="195">
        <v>0.68799999999999994</v>
      </c>
      <c r="U672" s="195">
        <v>0.69399999999999995</v>
      </c>
      <c r="V672" s="195">
        <v>0.69899999999999995</v>
      </c>
      <c r="W672" s="195">
        <v>0.70299999999999996</v>
      </c>
      <c r="X672" s="195">
        <v>0.70499999999999996</v>
      </c>
      <c r="Y672" s="195">
        <v>0.71199999999999997</v>
      </c>
      <c r="Z672" s="195">
        <v>0.72299999999999998</v>
      </c>
    </row>
    <row r="673" spans="1:26">
      <c r="A673" s="195" t="s">
        <v>314</v>
      </c>
    </row>
    <row r="674" spans="1:26">
      <c r="A674" s="195" t="s">
        <v>303</v>
      </c>
      <c r="B674" s="195" t="s">
        <v>285</v>
      </c>
      <c r="C674" s="195">
        <v>0.64600000000000002</v>
      </c>
      <c r="D674" s="195">
        <v>0.61499999999999999</v>
      </c>
      <c r="E674" s="195">
        <v>0.58499999999999996</v>
      </c>
      <c r="F674" s="195">
        <v>0.55400000000000005</v>
      </c>
      <c r="G674" s="195">
        <v>0.55200000000000005</v>
      </c>
      <c r="H674" s="195">
        <v>0.54900000000000004</v>
      </c>
      <c r="I674" s="195">
        <v>0.54700000000000004</v>
      </c>
      <c r="J674" s="195">
        <v>0.54400000000000004</v>
      </c>
      <c r="K674" s="195">
        <v>0.54200000000000004</v>
      </c>
      <c r="L674" s="195">
        <v>0.54700000000000004</v>
      </c>
      <c r="M674" s="195">
        <v>0.55200000000000005</v>
      </c>
      <c r="N674" s="195">
        <v>0.55700000000000005</v>
      </c>
      <c r="O674" s="195">
        <v>0.56100000000000005</v>
      </c>
      <c r="P674" s="195">
        <v>0.56699999999999995</v>
      </c>
      <c r="Q674" s="195">
        <v>0.57399999999999995</v>
      </c>
      <c r="R674" s="195">
        <v>0.58099999999999996</v>
      </c>
      <c r="S674" s="195">
        <v>0.58899999999999997</v>
      </c>
      <c r="T674" s="195">
        <v>0.59599999999999997</v>
      </c>
      <c r="U674" s="195">
        <v>0.60299999999999998</v>
      </c>
      <c r="V674" s="195">
        <v>0.60799999999999998</v>
      </c>
      <c r="W674" s="195">
        <v>0.61299999999999999</v>
      </c>
      <c r="X674" s="195">
        <v>0.61799999999999999</v>
      </c>
      <c r="Y674" s="195">
        <v>0.623</v>
      </c>
      <c r="Z674" s="195">
        <v>0.628</v>
      </c>
    </row>
    <row r="675" spans="1:26">
      <c r="A675" s="195" t="s">
        <v>304</v>
      </c>
      <c r="B675" s="195" t="s">
        <v>285</v>
      </c>
      <c r="C675" s="195">
        <v>0.71</v>
      </c>
      <c r="D675" s="195">
        <v>0.67900000000000005</v>
      </c>
      <c r="E675" s="195">
        <v>0.64900000000000002</v>
      </c>
      <c r="F675" s="195">
        <v>0.61799999999999999</v>
      </c>
      <c r="G675" s="195">
        <v>0.61499999999999999</v>
      </c>
      <c r="H675" s="195">
        <v>0.61299999999999999</v>
      </c>
      <c r="I675" s="195">
        <v>0.61099999999999999</v>
      </c>
      <c r="J675" s="195">
        <v>0.60799999999999998</v>
      </c>
      <c r="K675" s="195">
        <v>0.60599999999999998</v>
      </c>
      <c r="L675" s="195">
        <v>0.61099999999999999</v>
      </c>
      <c r="M675" s="195">
        <v>0.61499999999999999</v>
      </c>
      <c r="N675" s="195">
        <v>0.62</v>
      </c>
      <c r="O675" s="195">
        <v>0.625</v>
      </c>
      <c r="P675" s="195">
        <v>0.63</v>
      </c>
      <c r="Q675" s="195">
        <v>0.63700000000000001</v>
      </c>
      <c r="R675" s="195">
        <v>0.64500000000000002</v>
      </c>
      <c r="S675" s="195">
        <v>0.65200000000000002</v>
      </c>
      <c r="T675" s="195">
        <v>0.66</v>
      </c>
      <c r="U675" s="195">
        <v>0.66700000000000004</v>
      </c>
      <c r="V675" s="195">
        <v>0.67200000000000004</v>
      </c>
      <c r="W675" s="195">
        <v>0.67700000000000005</v>
      </c>
      <c r="X675" s="195">
        <v>0.68200000000000005</v>
      </c>
      <c r="Y675" s="195">
        <v>0.68700000000000006</v>
      </c>
      <c r="Z675" s="195">
        <v>0.69199999999999995</v>
      </c>
    </row>
    <row r="676" spans="1:26">
      <c r="A676" s="195" t="s">
        <v>305</v>
      </c>
      <c r="B676" s="195" t="s">
        <v>285</v>
      </c>
      <c r="C676" s="195">
        <v>0.747</v>
      </c>
      <c r="D676" s="195">
        <v>0.73199999999999998</v>
      </c>
      <c r="E676" s="195">
        <v>0.69799999999999995</v>
      </c>
      <c r="F676" s="195">
        <v>0.63100000000000001</v>
      </c>
      <c r="G676" s="195">
        <v>0.65100000000000002</v>
      </c>
      <c r="H676" s="195">
        <v>0.65300000000000002</v>
      </c>
      <c r="I676" s="195">
        <v>0.63100000000000001</v>
      </c>
      <c r="J676" s="195">
        <v>0.64700000000000002</v>
      </c>
      <c r="K676" s="195">
        <v>0.64</v>
      </c>
      <c r="L676" s="195">
        <v>0.64800000000000002</v>
      </c>
      <c r="M676" s="195">
        <v>0.65400000000000003</v>
      </c>
      <c r="N676" s="195">
        <v>0.64700000000000002</v>
      </c>
      <c r="O676" s="195">
        <v>0.65</v>
      </c>
      <c r="P676" s="195">
        <v>0.67900000000000005</v>
      </c>
      <c r="Q676" s="195">
        <v>0.67500000000000004</v>
      </c>
      <c r="R676" s="195">
        <v>0.67100000000000004</v>
      </c>
      <c r="S676" s="195">
        <v>0.67700000000000005</v>
      </c>
      <c r="T676" s="195">
        <v>0.7</v>
      </c>
      <c r="U676" s="195">
        <v>0.70599999999999996</v>
      </c>
      <c r="V676" s="195">
        <v>0.70599999999999996</v>
      </c>
      <c r="W676" s="195">
        <v>0.71199999999999997</v>
      </c>
      <c r="X676" s="195">
        <v>0.70899999999999996</v>
      </c>
      <c r="Y676" s="195">
        <v>0.71099999999999997</v>
      </c>
      <c r="Z676" s="195">
        <v>0.72899999999999998</v>
      </c>
    </row>
    <row r="677" spans="1:26">
      <c r="A677" s="195" t="s">
        <v>306</v>
      </c>
      <c r="B677" s="195" t="s">
        <v>285</v>
      </c>
      <c r="C677" s="195">
        <v>0.746</v>
      </c>
      <c r="D677" s="195">
        <v>0.73</v>
      </c>
      <c r="E677" s="195">
        <v>0.69599999999999995</v>
      </c>
      <c r="F677" s="195">
        <v>0.63</v>
      </c>
      <c r="G677" s="195">
        <v>0.64900000000000002</v>
      </c>
      <c r="H677" s="195">
        <v>0.65100000000000002</v>
      </c>
      <c r="I677" s="195">
        <v>0.63</v>
      </c>
      <c r="J677" s="195">
        <v>0.64600000000000002</v>
      </c>
      <c r="K677" s="195">
        <v>0.63800000000000001</v>
      </c>
      <c r="L677" s="195">
        <v>0.64600000000000002</v>
      </c>
      <c r="M677" s="195">
        <v>0.65200000000000002</v>
      </c>
      <c r="N677" s="195">
        <v>0.64600000000000002</v>
      </c>
      <c r="O677" s="195">
        <v>0.64900000000000002</v>
      </c>
      <c r="P677" s="195">
        <v>0.67700000000000005</v>
      </c>
      <c r="Q677" s="195">
        <v>0.67300000000000004</v>
      </c>
      <c r="R677" s="195">
        <v>0.66900000000000004</v>
      </c>
      <c r="S677" s="195">
        <v>0.67500000000000004</v>
      </c>
      <c r="T677" s="195">
        <v>0.69899999999999995</v>
      </c>
      <c r="U677" s="195">
        <v>0.70399999999999996</v>
      </c>
      <c r="V677" s="195">
        <v>0.70399999999999996</v>
      </c>
      <c r="W677" s="195">
        <v>0.71</v>
      </c>
      <c r="X677" s="195">
        <v>0.70699999999999996</v>
      </c>
      <c r="Y677" s="195">
        <v>0.70899999999999996</v>
      </c>
      <c r="Z677" s="195">
        <v>0.72399999999999998</v>
      </c>
    </row>
    <row r="678" spans="1:26">
      <c r="A678" s="195" t="s">
        <v>307</v>
      </c>
      <c r="B678" s="195" t="s">
        <v>285</v>
      </c>
      <c r="C678" s="195">
        <v>0.79500000000000004</v>
      </c>
      <c r="D678" s="195">
        <v>0.77800000000000002</v>
      </c>
      <c r="E678" s="195">
        <v>0.745</v>
      </c>
      <c r="F678" s="195">
        <v>0.67700000000000005</v>
      </c>
      <c r="G678" s="195">
        <v>0.69699999999999995</v>
      </c>
      <c r="H678" s="195">
        <v>0.69899999999999995</v>
      </c>
      <c r="I678" s="195">
        <v>0.67800000000000005</v>
      </c>
      <c r="J678" s="195">
        <v>0.69399999999999995</v>
      </c>
      <c r="K678" s="195">
        <v>0.68600000000000005</v>
      </c>
      <c r="L678" s="195">
        <v>0.69399999999999995</v>
      </c>
      <c r="M678" s="195">
        <v>0.7</v>
      </c>
      <c r="N678" s="195">
        <v>0.69399999999999995</v>
      </c>
      <c r="O678" s="195">
        <v>0.69699999999999995</v>
      </c>
      <c r="P678" s="195">
        <v>0.72599999999999998</v>
      </c>
      <c r="Q678" s="195">
        <v>0.72099999999999997</v>
      </c>
      <c r="R678" s="195">
        <v>0.71799999999999997</v>
      </c>
      <c r="S678" s="195">
        <v>0.72399999999999998</v>
      </c>
      <c r="T678" s="195">
        <v>0.747</v>
      </c>
      <c r="U678" s="195">
        <v>0.752</v>
      </c>
      <c r="V678" s="195">
        <v>0.753</v>
      </c>
      <c r="W678" s="195">
        <v>0.75900000000000001</v>
      </c>
      <c r="X678" s="195">
        <v>0.75600000000000001</v>
      </c>
      <c r="Y678" s="195">
        <v>0.75800000000000001</v>
      </c>
      <c r="Z678" s="195">
        <v>0.77600000000000002</v>
      </c>
    </row>
    <row r="679" spans="1:26">
      <c r="A679" s="195" t="s">
        <v>308</v>
      </c>
      <c r="B679" s="195" t="s">
        <v>285</v>
      </c>
      <c r="C679" s="195">
        <v>0.77300000000000002</v>
      </c>
      <c r="D679" s="195">
        <v>0.75700000000000001</v>
      </c>
      <c r="E679" s="195">
        <v>0.72299999999999998</v>
      </c>
      <c r="F679" s="195">
        <v>0.65600000000000003</v>
      </c>
      <c r="G679" s="195">
        <v>0.67600000000000005</v>
      </c>
      <c r="H679" s="195">
        <v>0.67800000000000005</v>
      </c>
      <c r="I679" s="195">
        <v>0.65700000000000003</v>
      </c>
      <c r="J679" s="195">
        <v>0.67300000000000004</v>
      </c>
      <c r="K679" s="195">
        <v>0.66500000000000004</v>
      </c>
      <c r="L679" s="195">
        <v>0.67300000000000004</v>
      </c>
      <c r="M679" s="195">
        <v>0.67900000000000005</v>
      </c>
      <c r="N679" s="195">
        <v>0.67300000000000004</v>
      </c>
      <c r="O679" s="195">
        <v>0.67500000000000004</v>
      </c>
      <c r="P679" s="195">
        <v>0.70399999999999996</v>
      </c>
      <c r="Q679" s="195">
        <v>0.7</v>
      </c>
      <c r="R679" s="195">
        <v>0.69599999999999995</v>
      </c>
      <c r="S679" s="195">
        <v>0.70199999999999996</v>
      </c>
      <c r="T679" s="195">
        <v>0.72599999999999998</v>
      </c>
      <c r="U679" s="195">
        <v>0.73099999999999998</v>
      </c>
      <c r="V679" s="195">
        <v>0.73099999999999998</v>
      </c>
      <c r="W679" s="195">
        <v>0.73699999999999999</v>
      </c>
      <c r="X679" s="195">
        <v>0.73499999999999999</v>
      </c>
      <c r="Y679" s="195">
        <v>0.73599999999999999</v>
      </c>
      <c r="Z679" s="195">
        <v>0.755</v>
      </c>
    </row>
    <row r="680" spans="1:26">
      <c r="A680" s="195" t="s">
        <v>309</v>
      </c>
      <c r="B680" s="195" t="s">
        <v>285</v>
      </c>
      <c r="C680" s="195">
        <v>0.72099999999999997</v>
      </c>
      <c r="D680" s="195">
        <v>0.70499999999999996</v>
      </c>
      <c r="E680" s="195">
        <v>0.67100000000000004</v>
      </c>
      <c r="F680" s="195">
        <v>0.60399999999999998</v>
      </c>
      <c r="G680" s="195">
        <v>0.624</v>
      </c>
      <c r="H680" s="195">
        <v>0.626</v>
      </c>
      <c r="I680" s="195">
        <v>0.60499999999999998</v>
      </c>
      <c r="J680" s="195">
        <v>0.621</v>
      </c>
      <c r="K680" s="195">
        <v>0.61299999999999999</v>
      </c>
      <c r="L680" s="195">
        <v>0.621</v>
      </c>
      <c r="M680" s="195">
        <v>0.627</v>
      </c>
      <c r="N680" s="195">
        <v>0.621</v>
      </c>
      <c r="O680" s="195">
        <v>0.624</v>
      </c>
      <c r="P680" s="195">
        <v>0.65200000000000002</v>
      </c>
      <c r="Q680" s="195">
        <v>0.64800000000000002</v>
      </c>
      <c r="R680" s="195">
        <v>0.64400000000000002</v>
      </c>
      <c r="S680" s="195">
        <v>0.65</v>
      </c>
      <c r="T680" s="195">
        <v>0.67400000000000004</v>
      </c>
      <c r="U680" s="195">
        <v>0.67900000000000005</v>
      </c>
      <c r="V680" s="195">
        <v>0.68</v>
      </c>
      <c r="W680" s="195">
        <v>0.68500000000000005</v>
      </c>
      <c r="X680" s="195">
        <v>0.68300000000000005</v>
      </c>
      <c r="Y680" s="195">
        <v>0.68400000000000005</v>
      </c>
      <c r="Z680" s="195">
        <v>0.69199999999999995</v>
      </c>
    </row>
    <row r="681" spans="1:26">
      <c r="A681" s="195" t="s">
        <v>310</v>
      </c>
      <c r="B681" s="195" t="s">
        <v>285</v>
      </c>
      <c r="C681" s="195">
        <v>0.72599999999999998</v>
      </c>
      <c r="D681" s="195">
        <v>0.70699999999999996</v>
      </c>
      <c r="E681" s="195">
        <v>0.67300000000000004</v>
      </c>
      <c r="F681" s="195">
        <v>0.626</v>
      </c>
      <c r="G681" s="195">
        <v>0.64200000000000002</v>
      </c>
      <c r="H681" s="195">
        <v>0.64400000000000002</v>
      </c>
      <c r="I681" s="195">
        <v>0.626</v>
      </c>
      <c r="J681" s="195">
        <v>0.623</v>
      </c>
      <c r="K681" s="195">
        <v>0.63400000000000001</v>
      </c>
      <c r="L681" s="195">
        <v>0.64100000000000001</v>
      </c>
      <c r="M681" s="195">
        <v>0.64800000000000002</v>
      </c>
      <c r="N681" s="195">
        <v>0.63900000000000001</v>
      </c>
      <c r="O681" s="195">
        <v>0.64500000000000002</v>
      </c>
      <c r="P681" s="195">
        <v>0.66700000000000004</v>
      </c>
      <c r="Q681" s="195">
        <v>0.66900000000000004</v>
      </c>
      <c r="R681" s="195">
        <v>0.66600000000000004</v>
      </c>
      <c r="S681" s="195">
        <v>0.67200000000000004</v>
      </c>
      <c r="T681" s="195">
        <v>0.68200000000000005</v>
      </c>
      <c r="U681" s="195">
        <v>0.68</v>
      </c>
      <c r="V681" s="195">
        <v>0.70099999999999996</v>
      </c>
      <c r="W681" s="195">
        <v>0.70599999999999996</v>
      </c>
      <c r="X681" s="195">
        <v>0.68400000000000005</v>
      </c>
      <c r="Y681" s="195">
        <v>0.68500000000000005</v>
      </c>
      <c r="Z681" s="195">
        <v>0.69299999999999995</v>
      </c>
    </row>
    <row r="682" spans="1:26">
      <c r="A682" s="195" t="s">
        <v>311</v>
      </c>
      <c r="B682" s="195" t="s">
        <v>285</v>
      </c>
      <c r="C682" s="195">
        <v>0.753</v>
      </c>
      <c r="D682" s="195">
        <v>0.73699999999999999</v>
      </c>
      <c r="E682" s="195">
        <v>0.67100000000000004</v>
      </c>
      <c r="F682" s="195">
        <v>0.67900000000000005</v>
      </c>
      <c r="G682" s="195">
        <v>0.69299999999999995</v>
      </c>
      <c r="H682" s="195">
        <v>0.69499999999999995</v>
      </c>
      <c r="I682" s="195">
        <v>0.67700000000000005</v>
      </c>
      <c r="J682" s="195">
        <v>0.67300000000000004</v>
      </c>
      <c r="K682" s="195">
        <v>0.69899999999999995</v>
      </c>
      <c r="L682" s="195">
        <v>0.69099999999999995</v>
      </c>
      <c r="M682" s="195">
        <v>0.69899999999999995</v>
      </c>
      <c r="N682" s="195">
        <v>0.69</v>
      </c>
      <c r="O682" s="195">
        <v>0.70499999999999996</v>
      </c>
      <c r="P682" s="195">
        <v>0.72</v>
      </c>
      <c r="Q682" s="195">
        <v>0.72399999999999998</v>
      </c>
      <c r="R682" s="195">
        <v>0.73899999999999999</v>
      </c>
      <c r="S682" s="195">
        <v>0.751</v>
      </c>
      <c r="T682" s="195">
        <v>0.76200000000000001</v>
      </c>
      <c r="U682" s="195">
        <v>0.77300000000000002</v>
      </c>
      <c r="V682" s="195">
        <v>0.79400000000000004</v>
      </c>
      <c r="W682" s="195">
        <v>0.81200000000000006</v>
      </c>
      <c r="X682" s="195">
        <v>0.80500000000000005</v>
      </c>
      <c r="Y682" s="195">
        <v>0.82899999999999996</v>
      </c>
      <c r="Z682" s="195">
        <v>0.83399999999999996</v>
      </c>
    </row>
    <row r="683" spans="1:26">
      <c r="A683" s="195" t="s">
        <v>312</v>
      </c>
      <c r="B683" s="195" t="s">
        <v>285</v>
      </c>
      <c r="C683" s="195">
        <v>0.70899999999999996</v>
      </c>
      <c r="D683" s="195">
        <v>0.68200000000000005</v>
      </c>
      <c r="E683" s="195">
        <v>0.65100000000000002</v>
      </c>
      <c r="F683" s="195">
        <v>0.61599999999999999</v>
      </c>
      <c r="G683" s="195">
        <v>0.61699999999999999</v>
      </c>
      <c r="H683" s="195">
        <v>0.61499999999999999</v>
      </c>
      <c r="I683" s="195">
        <v>0.61</v>
      </c>
      <c r="J683" s="195">
        <v>0.61</v>
      </c>
      <c r="K683" s="195">
        <v>0.60699999999999998</v>
      </c>
      <c r="L683" s="195">
        <v>0.61199999999999999</v>
      </c>
      <c r="M683" s="195">
        <v>0.61699999999999999</v>
      </c>
      <c r="N683" s="195">
        <v>0.62</v>
      </c>
      <c r="O683" s="195">
        <v>0.625</v>
      </c>
      <c r="P683" s="195">
        <v>0.63300000000000001</v>
      </c>
      <c r="Q683" s="195">
        <v>0.63900000000000001</v>
      </c>
      <c r="R683" s="195">
        <v>0.64500000000000002</v>
      </c>
      <c r="S683" s="195">
        <v>0.65300000000000002</v>
      </c>
      <c r="T683" s="195">
        <v>0.66200000000000003</v>
      </c>
      <c r="U683" s="195">
        <v>0.66900000000000004</v>
      </c>
      <c r="V683" s="195">
        <v>0.67400000000000004</v>
      </c>
      <c r="W683" s="195">
        <v>0.67900000000000005</v>
      </c>
      <c r="X683" s="195">
        <v>0.68300000000000005</v>
      </c>
      <c r="Y683" s="195">
        <v>0.68799999999999994</v>
      </c>
      <c r="Z683" s="195">
        <v>0.69399999999999995</v>
      </c>
    </row>
    <row r="684" spans="1:26">
      <c r="A684" s="195" t="s">
        <v>315</v>
      </c>
    </row>
    <row r="685" spans="1:26">
      <c r="A685" s="195" t="s">
        <v>303</v>
      </c>
      <c r="B685" s="195" t="s">
        <v>285</v>
      </c>
      <c r="C685" s="195">
        <v>0.64500000000000002</v>
      </c>
      <c r="D685" s="195">
        <v>0.61399999999999999</v>
      </c>
      <c r="E685" s="195">
        <v>0.58299999999999996</v>
      </c>
      <c r="F685" s="195">
        <v>0.55300000000000005</v>
      </c>
      <c r="G685" s="195">
        <v>0.55000000000000004</v>
      </c>
      <c r="H685" s="195">
        <v>0.54800000000000004</v>
      </c>
      <c r="I685" s="195">
        <v>0.54500000000000004</v>
      </c>
      <c r="J685" s="195">
        <v>0.54300000000000004</v>
      </c>
      <c r="K685" s="195">
        <v>0.54</v>
      </c>
      <c r="L685" s="195">
        <v>0.54500000000000004</v>
      </c>
      <c r="M685" s="195">
        <v>0.55000000000000004</v>
      </c>
      <c r="N685" s="195">
        <v>0.55500000000000005</v>
      </c>
      <c r="O685" s="195">
        <v>0.56000000000000005</v>
      </c>
      <c r="P685" s="195">
        <v>0.56499999999999995</v>
      </c>
      <c r="Q685" s="195">
        <v>0.57199999999999995</v>
      </c>
      <c r="R685" s="195">
        <v>0.57999999999999996</v>
      </c>
      <c r="S685" s="195">
        <v>0.58699999999999997</v>
      </c>
      <c r="T685" s="195">
        <v>0.59399999999999997</v>
      </c>
      <c r="U685" s="195">
        <v>0.60199999999999998</v>
      </c>
      <c r="V685" s="195">
        <v>0.60699999999999998</v>
      </c>
      <c r="W685" s="195">
        <v>0.61199999999999999</v>
      </c>
      <c r="X685" s="195">
        <v>0.61699999999999999</v>
      </c>
      <c r="Y685" s="195">
        <v>0.622</v>
      </c>
      <c r="Z685" s="195">
        <v>0.627</v>
      </c>
    </row>
    <row r="686" spans="1:26">
      <c r="A686" s="195" t="s">
        <v>304</v>
      </c>
      <c r="B686" s="195" t="s">
        <v>285</v>
      </c>
      <c r="C686" s="195">
        <v>0.68899999999999995</v>
      </c>
      <c r="D686" s="195">
        <v>0.65800000000000003</v>
      </c>
      <c r="E686" s="195">
        <v>0.628</v>
      </c>
      <c r="F686" s="195">
        <v>0.59699999999999998</v>
      </c>
      <c r="G686" s="195">
        <v>0.59399999999999997</v>
      </c>
      <c r="H686" s="195">
        <v>0.59199999999999997</v>
      </c>
      <c r="I686" s="195">
        <v>0.59</v>
      </c>
      <c r="J686" s="195">
        <v>0.58699999999999997</v>
      </c>
      <c r="K686" s="195">
        <v>0.58499999999999996</v>
      </c>
      <c r="L686" s="195">
        <v>0.59</v>
      </c>
      <c r="M686" s="195">
        <v>0.59399999999999997</v>
      </c>
      <c r="N686" s="195">
        <v>0.59899999999999998</v>
      </c>
      <c r="O686" s="195">
        <v>0.60399999999999998</v>
      </c>
      <c r="P686" s="195">
        <v>0.60899999999999999</v>
      </c>
      <c r="Q686" s="195">
        <v>0.61699999999999999</v>
      </c>
      <c r="R686" s="195">
        <v>0.624</v>
      </c>
      <c r="S686" s="195">
        <v>0.63100000000000001</v>
      </c>
      <c r="T686" s="195">
        <v>0.63900000000000001</v>
      </c>
      <c r="U686" s="195">
        <v>0.64600000000000002</v>
      </c>
      <c r="V686" s="195">
        <v>0.65100000000000002</v>
      </c>
      <c r="W686" s="195">
        <v>0.65600000000000003</v>
      </c>
      <c r="X686" s="195">
        <v>0.66100000000000003</v>
      </c>
      <c r="Y686" s="195">
        <v>0.66600000000000004</v>
      </c>
      <c r="Z686" s="195">
        <v>0.67100000000000004</v>
      </c>
    </row>
    <row r="687" spans="1:26">
      <c r="A687" s="195" t="s">
        <v>305</v>
      </c>
      <c r="B687" s="195" t="s">
        <v>285</v>
      </c>
      <c r="C687" s="195">
        <v>0.75800000000000001</v>
      </c>
      <c r="D687" s="195">
        <v>0.74199999999999999</v>
      </c>
      <c r="E687" s="195">
        <v>0.70799999999999996</v>
      </c>
      <c r="F687" s="195">
        <v>0.64200000000000002</v>
      </c>
      <c r="G687" s="195">
        <v>0.66100000000000003</v>
      </c>
      <c r="H687" s="195">
        <v>0.66300000000000003</v>
      </c>
      <c r="I687" s="195">
        <v>0.64200000000000002</v>
      </c>
      <c r="J687" s="195">
        <v>0.65800000000000003</v>
      </c>
      <c r="K687" s="195">
        <v>0.65</v>
      </c>
      <c r="L687" s="195">
        <v>0.65800000000000003</v>
      </c>
      <c r="M687" s="195">
        <v>0.66400000000000003</v>
      </c>
      <c r="N687" s="195">
        <v>0.65800000000000003</v>
      </c>
      <c r="O687" s="195">
        <v>0.66100000000000003</v>
      </c>
      <c r="P687" s="195">
        <v>0.68899999999999995</v>
      </c>
      <c r="Q687" s="195">
        <v>0.68500000000000005</v>
      </c>
      <c r="R687" s="195">
        <v>0.68100000000000005</v>
      </c>
      <c r="S687" s="195">
        <v>0.68700000000000006</v>
      </c>
      <c r="T687" s="195">
        <v>0.71099999999999997</v>
      </c>
      <c r="U687" s="195">
        <v>0.71599999999999997</v>
      </c>
      <c r="V687" s="195">
        <v>0.71599999999999997</v>
      </c>
      <c r="W687" s="195">
        <v>0.72199999999999998</v>
      </c>
      <c r="X687" s="195">
        <v>0.71899999999999997</v>
      </c>
      <c r="Y687" s="195">
        <v>0.72099999999999997</v>
      </c>
      <c r="Z687" s="195">
        <v>0.74</v>
      </c>
    </row>
    <row r="688" spans="1:26">
      <c r="A688" s="195" t="s">
        <v>306</v>
      </c>
      <c r="B688" s="195" t="s">
        <v>285</v>
      </c>
      <c r="C688" s="195">
        <v>0.749</v>
      </c>
      <c r="D688" s="195">
        <v>0.73299999999999998</v>
      </c>
      <c r="E688" s="195">
        <v>0.69899999999999995</v>
      </c>
      <c r="F688" s="195">
        <v>0.63300000000000001</v>
      </c>
      <c r="G688" s="195">
        <v>0.65200000000000002</v>
      </c>
      <c r="H688" s="195">
        <v>0.65400000000000003</v>
      </c>
      <c r="I688" s="195">
        <v>0.63300000000000001</v>
      </c>
      <c r="J688" s="195">
        <v>0.64900000000000002</v>
      </c>
      <c r="K688" s="195">
        <v>0.64100000000000001</v>
      </c>
      <c r="L688" s="195">
        <v>0.64900000000000002</v>
      </c>
      <c r="M688" s="195">
        <v>0.65500000000000003</v>
      </c>
      <c r="N688" s="195">
        <v>0.64900000000000002</v>
      </c>
      <c r="O688" s="195">
        <v>0.65200000000000002</v>
      </c>
      <c r="P688" s="195">
        <v>0.68</v>
      </c>
      <c r="Q688" s="195">
        <v>0.67600000000000005</v>
      </c>
      <c r="R688" s="195">
        <v>0.67200000000000004</v>
      </c>
      <c r="S688" s="195">
        <v>0.67800000000000005</v>
      </c>
      <c r="T688" s="195">
        <v>0.70199999999999996</v>
      </c>
      <c r="U688" s="195">
        <v>0.70699999999999996</v>
      </c>
      <c r="V688" s="195">
        <v>0.70699999999999996</v>
      </c>
      <c r="W688" s="195">
        <v>0.71299999999999997</v>
      </c>
      <c r="X688" s="195">
        <v>0.71</v>
      </c>
      <c r="Y688" s="195">
        <v>0.71199999999999997</v>
      </c>
      <c r="Z688" s="195">
        <v>0.72699999999999998</v>
      </c>
    </row>
    <row r="689" spans="1:26">
      <c r="A689" s="195" t="s">
        <v>307</v>
      </c>
      <c r="B689" s="195" t="s">
        <v>285</v>
      </c>
      <c r="C689" s="195">
        <v>0.80400000000000005</v>
      </c>
      <c r="D689" s="195">
        <v>0.78700000000000003</v>
      </c>
      <c r="E689" s="195">
        <v>0.754</v>
      </c>
      <c r="F689" s="195">
        <v>0.68600000000000005</v>
      </c>
      <c r="G689" s="195">
        <v>0.70599999999999996</v>
      </c>
      <c r="H689" s="195">
        <v>0.70799999999999996</v>
      </c>
      <c r="I689" s="195">
        <v>0.68700000000000006</v>
      </c>
      <c r="J689" s="195">
        <v>0.70299999999999996</v>
      </c>
      <c r="K689" s="195">
        <v>0.69499999999999995</v>
      </c>
      <c r="L689" s="195">
        <v>0.70299999999999996</v>
      </c>
      <c r="M689" s="195">
        <v>0.70899999999999996</v>
      </c>
      <c r="N689" s="195">
        <v>0.70299999999999996</v>
      </c>
      <c r="O689" s="195">
        <v>0.70599999999999996</v>
      </c>
      <c r="P689" s="195">
        <v>0.73499999999999999</v>
      </c>
      <c r="Q689" s="195">
        <v>0.73</v>
      </c>
      <c r="R689" s="195">
        <v>0.72699999999999998</v>
      </c>
      <c r="S689" s="195">
        <v>0.73299999999999998</v>
      </c>
      <c r="T689" s="195">
        <v>0.75600000000000001</v>
      </c>
      <c r="U689" s="195">
        <v>0.76100000000000001</v>
      </c>
      <c r="V689" s="195">
        <v>0.76200000000000001</v>
      </c>
      <c r="W689" s="195">
        <v>0.76800000000000002</v>
      </c>
      <c r="X689" s="195">
        <v>0.76500000000000001</v>
      </c>
      <c r="Y689" s="195">
        <v>0.76700000000000002</v>
      </c>
      <c r="Z689" s="195">
        <v>0.78500000000000003</v>
      </c>
    </row>
    <row r="690" spans="1:26">
      <c r="A690" s="195" t="s">
        <v>308</v>
      </c>
      <c r="B690" s="195" t="s">
        <v>285</v>
      </c>
      <c r="C690" s="195">
        <v>0.745</v>
      </c>
      <c r="D690" s="195">
        <v>0.72899999999999998</v>
      </c>
      <c r="E690" s="195">
        <v>0.69499999999999995</v>
      </c>
      <c r="F690" s="195">
        <v>0.628</v>
      </c>
      <c r="G690" s="195">
        <v>0.64700000000000002</v>
      </c>
      <c r="H690" s="195">
        <v>0.64900000000000002</v>
      </c>
      <c r="I690" s="195">
        <v>0.628</v>
      </c>
      <c r="J690" s="195">
        <v>0.64400000000000002</v>
      </c>
      <c r="K690" s="195">
        <v>0.63700000000000001</v>
      </c>
      <c r="L690" s="195">
        <v>0.64500000000000002</v>
      </c>
      <c r="M690" s="195">
        <v>0.65100000000000002</v>
      </c>
      <c r="N690" s="195">
        <v>0.64400000000000002</v>
      </c>
      <c r="O690" s="195">
        <v>0.64700000000000002</v>
      </c>
      <c r="P690" s="195">
        <v>0.67600000000000005</v>
      </c>
      <c r="Q690" s="195">
        <v>0.67200000000000004</v>
      </c>
      <c r="R690" s="195">
        <v>0.66800000000000004</v>
      </c>
      <c r="S690" s="195">
        <v>0.67400000000000004</v>
      </c>
      <c r="T690" s="195">
        <v>0.69699999999999995</v>
      </c>
      <c r="U690" s="195">
        <v>0.70299999999999996</v>
      </c>
      <c r="V690" s="195">
        <v>0.70299999999999996</v>
      </c>
      <c r="W690" s="195">
        <v>0.70899999999999996</v>
      </c>
      <c r="X690" s="195">
        <v>0.70599999999999996</v>
      </c>
      <c r="Y690" s="195">
        <v>0.70799999999999996</v>
      </c>
      <c r="Z690" s="195">
        <v>0.72599999999999998</v>
      </c>
    </row>
    <row r="691" spans="1:26">
      <c r="A691" s="195" t="s">
        <v>309</v>
      </c>
      <c r="B691" s="195" t="s">
        <v>285</v>
      </c>
      <c r="C691" s="195">
        <v>0.73599999999999999</v>
      </c>
      <c r="D691" s="195">
        <v>0.72</v>
      </c>
      <c r="E691" s="195">
        <v>0.68600000000000005</v>
      </c>
      <c r="F691" s="195">
        <v>0.61899999999999999</v>
      </c>
      <c r="G691" s="195">
        <v>0.63900000000000001</v>
      </c>
      <c r="H691" s="195">
        <v>0.64100000000000001</v>
      </c>
      <c r="I691" s="195">
        <v>0.62</v>
      </c>
      <c r="J691" s="195">
        <v>0.63600000000000001</v>
      </c>
      <c r="K691" s="195">
        <v>0.628</v>
      </c>
      <c r="L691" s="195">
        <v>0.63600000000000001</v>
      </c>
      <c r="M691" s="195">
        <v>0.64200000000000002</v>
      </c>
      <c r="N691" s="195">
        <v>0.63600000000000001</v>
      </c>
      <c r="O691" s="195">
        <v>0.63900000000000001</v>
      </c>
      <c r="P691" s="195">
        <v>0.66700000000000004</v>
      </c>
      <c r="Q691" s="195">
        <v>0.66300000000000003</v>
      </c>
      <c r="R691" s="195">
        <v>0.65900000000000003</v>
      </c>
      <c r="S691" s="195">
        <v>0.66500000000000004</v>
      </c>
      <c r="T691" s="195">
        <v>0.68899999999999995</v>
      </c>
      <c r="U691" s="195">
        <v>0.69399999999999995</v>
      </c>
      <c r="V691" s="195">
        <v>0.69399999999999995</v>
      </c>
      <c r="W691" s="195">
        <v>0.7</v>
      </c>
      <c r="X691" s="195">
        <v>0.69799999999999995</v>
      </c>
      <c r="Y691" s="195">
        <v>0.69899999999999995</v>
      </c>
      <c r="Z691" s="195">
        <v>0.70699999999999996</v>
      </c>
    </row>
    <row r="692" spans="1:26">
      <c r="A692" s="195" t="s">
        <v>310</v>
      </c>
      <c r="B692" s="195" t="s">
        <v>285</v>
      </c>
      <c r="C692" s="195">
        <v>0.76600000000000001</v>
      </c>
      <c r="D692" s="195">
        <v>0.747</v>
      </c>
      <c r="E692" s="195">
        <v>0.71299999999999997</v>
      </c>
      <c r="F692" s="195">
        <v>0.66600000000000004</v>
      </c>
      <c r="G692" s="195">
        <v>0.68200000000000005</v>
      </c>
      <c r="H692" s="195">
        <v>0.68500000000000005</v>
      </c>
      <c r="I692" s="195">
        <v>0.66600000000000004</v>
      </c>
      <c r="J692" s="195">
        <v>0.66300000000000003</v>
      </c>
      <c r="K692" s="195">
        <v>0.67500000000000004</v>
      </c>
      <c r="L692" s="195">
        <v>0.68100000000000005</v>
      </c>
      <c r="M692" s="195">
        <v>0.68899999999999995</v>
      </c>
      <c r="N692" s="195">
        <v>0.67900000000000005</v>
      </c>
      <c r="O692" s="195">
        <v>0.68500000000000005</v>
      </c>
      <c r="P692" s="195">
        <v>0.70799999999999996</v>
      </c>
      <c r="Q692" s="195">
        <v>0.70899999999999996</v>
      </c>
      <c r="R692" s="195">
        <v>0.70599999999999996</v>
      </c>
      <c r="S692" s="195">
        <v>0.71199999999999997</v>
      </c>
      <c r="T692" s="195">
        <v>0.72199999999999998</v>
      </c>
      <c r="U692" s="195">
        <v>0.72099999999999997</v>
      </c>
      <c r="V692" s="195">
        <v>0.74099999999999999</v>
      </c>
      <c r="W692" s="195">
        <v>0.746</v>
      </c>
      <c r="X692" s="195">
        <v>0.72399999999999998</v>
      </c>
      <c r="Y692" s="195">
        <v>0.72599999999999998</v>
      </c>
      <c r="Z692" s="195">
        <v>0.73399999999999999</v>
      </c>
    </row>
    <row r="693" spans="1:26">
      <c r="A693" s="195" t="s">
        <v>311</v>
      </c>
      <c r="B693" s="195" t="s">
        <v>285</v>
      </c>
      <c r="C693" s="195">
        <v>0.753</v>
      </c>
      <c r="D693" s="195">
        <v>0.73699999999999999</v>
      </c>
      <c r="E693" s="195">
        <v>0.67100000000000004</v>
      </c>
      <c r="F693" s="195">
        <v>0.67900000000000005</v>
      </c>
      <c r="G693" s="195">
        <v>0.69299999999999995</v>
      </c>
      <c r="H693" s="195">
        <v>0.69499999999999995</v>
      </c>
      <c r="I693" s="195">
        <v>0.67700000000000005</v>
      </c>
      <c r="J693" s="195">
        <v>0.67300000000000004</v>
      </c>
      <c r="K693" s="195">
        <v>0.69899999999999995</v>
      </c>
      <c r="L693" s="195">
        <v>0.69099999999999995</v>
      </c>
      <c r="M693" s="195">
        <v>0.69899999999999995</v>
      </c>
      <c r="N693" s="195">
        <v>0.69</v>
      </c>
      <c r="O693" s="195">
        <v>0.70499999999999996</v>
      </c>
      <c r="P693" s="195">
        <v>0.72</v>
      </c>
      <c r="Q693" s="195">
        <v>0.72399999999999998</v>
      </c>
      <c r="R693" s="195">
        <v>0.73899999999999999</v>
      </c>
      <c r="S693" s="195">
        <v>0.751</v>
      </c>
      <c r="T693" s="195">
        <v>0.76200000000000001</v>
      </c>
      <c r="U693" s="195">
        <v>0.77300000000000002</v>
      </c>
      <c r="V693" s="195">
        <v>0.79400000000000004</v>
      </c>
      <c r="W693" s="195">
        <v>0.81200000000000006</v>
      </c>
      <c r="X693" s="195">
        <v>0.80500000000000005</v>
      </c>
      <c r="Y693" s="195">
        <v>0.82899999999999996</v>
      </c>
      <c r="Z693" s="195">
        <v>0.83399999999999996</v>
      </c>
    </row>
    <row r="694" spans="1:26">
      <c r="A694" s="195" t="s">
        <v>312</v>
      </c>
      <c r="B694" s="195" t="s">
        <v>285</v>
      </c>
      <c r="C694" s="195">
        <v>0.74199999999999999</v>
      </c>
      <c r="D694" s="195">
        <v>0.72199999999999998</v>
      </c>
      <c r="E694" s="195">
        <v>0.68799999999999994</v>
      </c>
      <c r="F694" s="195">
        <v>0.63400000000000001</v>
      </c>
      <c r="G694" s="195">
        <v>0.64700000000000002</v>
      </c>
      <c r="H694" s="195">
        <v>0.64700000000000002</v>
      </c>
      <c r="I694" s="195">
        <v>0.63100000000000001</v>
      </c>
      <c r="J694" s="195">
        <v>0.64100000000000001</v>
      </c>
      <c r="K694" s="195">
        <v>0.63600000000000001</v>
      </c>
      <c r="L694" s="195">
        <v>0.64200000000000002</v>
      </c>
      <c r="M694" s="195">
        <v>0.64900000000000002</v>
      </c>
      <c r="N694" s="195">
        <v>0.64600000000000002</v>
      </c>
      <c r="O694" s="195">
        <v>0.65</v>
      </c>
      <c r="P694" s="195">
        <v>0.67100000000000004</v>
      </c>
      <c r="Q694" s="195">
        <v>0.67200000000000004</v>
      </c>
      <c r="R694" s="195">
        <v>0.67300000000000004</v>
      </c>
      <c r="S694" s="195">
        <v>0.67900000000000005</v>
      </c>
      <c r="T694" s="195">
        <v>0.69699999999999995</v>
      </c>
      <c r="U694" s="195">
        <v>0.70299999999999996</v>
      </c>
      <c r="V694" s="195">
        <v>0.70499999999999996</v>
      </c>
      <c r="W694" s="195">
        <v>0.71199999999999997</v>
      </c>
      <c r="X694" s="195">
        <v>0.71099999999999997</v>
      </c>
      <c r="Y694" s="195">
        <v>0.71499999999999997</v>
      </c>
      <c r="Z694" s="195">
        <v>0.72899999999999998</v>
      </c>
    </row>
    <row r="695" spans="1:26">
      <c r="A695" s="195" t="s">
        <v>318</v>
      </c>
    </row>
    <row r="696" spans="1:26">
      <c r="A696" s="195" t="s">
        <v>303</v>
      </c>
      <c r="B696" s="195" t="s">
        <v>285</v>
      </c>
      <c r="C696" s="195">
        <v>0.56299999999999994</v>
      </c>
      <c r="D696" s="195">
        <v>0.53300000000000003</v>
      </c>
      <c r="E696" s="195">
        <v>0.499</v>
      </c>
      <c r="F696" s="195">
        <v>0.46800000000000003</v>
      </c>
      <c r="G696" s="195">
        <v>0.46500000000000002</v>
      </c>
      <c r="H696" s="195">
        <v>0.46300000000000002</v>
      </c>
      <c r="I696" s="195">
        <v>0.46100000000000002</v>
      </c>
      <c r="J696" s="195">
        <v>0.45800000000000002</v>
      </c>
      <c r="K696" s="195">
        <v>0.45600000000000002</v>
      </c>
      <c r="L696" s="195">
        <v>0.46100000000000002</v>
      </c>
      <c r="M696" s="195">
        <v>0.46500000000000002</v>
      </c>
      <c r="N696" s="195">
        <v>0.47</v>
      </c>
      <c r="O696" s="195">
        <v>0.47499999999999998</v>
      </c>
      <c r="P696" s="195">
        <v>0.48</v>
      </c>
      <c r="Q696" s="195">
        <v>0.48799999999999999</v>
      </c>
      <c r="R696" s="195">
        <v>0.495</v>
      </c>
      <c r="S696" s="195">
        <v>0.503</v>
      </c>
      <c r="T696" s="195">
        <v>0.51</v>
      </c>
      <c r="U696" s="195">
        <v>0.51700000000000002</v>
      </c>
      <c r="V696" s="195">
        <v>0.52200000000000002</v>
      </c>
      <c r="W696" s="195">
        <v>0.52700000000000002</v>
      </c>
      <c r="X696" s="195">
        <v>0.53200000000000003</v>
      </c>
      <c r="Y696" s="195">
        <v>0.53700000000000003</v>
      </c>
      <c r="Z696" s="195">
        <v>0.54200000000000004</v>
      </c>
    </row>
    <row r="697" spans="1:26">
      <c r="A697" s="195" t="s">
        <v>304</v>
      </c>
      <c r="B697" s="195" t="s">
        <v>285</v>
      </c>
      <c r="C697" s="195">
        <v>0.60899999999999999</v>
      </c>
      <c r="D697" s="195">
        <v>0.57899999999999996</v>
      </c>
      <c r="E697" s="195">
        <v>0.54400000000000004</v>
      </c>
      <c r="F697" s="195">
        <v>0.51400000000000001</v>
      </c>
      <c r="G697" s="195">
        <v>0.51100000000000001</v>
      </c>
      <c r="H697" s="195">
        <v>0.50900000000000001</v>
      </c>
      <c r="I697" s="195">
        <v>0.50600000000000001</v>
      </c>
      <c r="J697" s="195">
        <v>0.504</v>
      </c>
      <c r="K697" s="195">
        <v>0.502</v>
      </c>
      <c r="L697" s="195">
        <v>0.50600000000000001</v>
      </c>
      <c r="M697" s="195">
        <v>0.51100000000000001</v>
      </c>
      <c r="N697" s="195">
        <v>0.51600000000000001</v>
      </c>
      <c r="O697" s="195">
        <v>0.52100000000000002</v>
      </c>
      <c r="P697" s="195">
        <v>0.52600000000000002</v>
      </c>
      <c r="Q697" s="195">
        <v>0.53300000000000003</v>
      </c>
      <c r="R697" s="195">
        <v>0.54100000000000004</v>
      </c>
      <c r="S697" s="195">
        <v>0.54800000000000004</v>
      </c>
      <c r="T697" s="195">
        <v>0.55500000000000005</v>
      </c>
      <c r="U697" s="195">
        <v>0.56299999999999994</v>
      </c>
      <c r="V697" s="195">
        <v>0.56799999999999995</v>
      </c>
      <c r="W697" s="195">
        <v>0.57299999999999995</v>
      </c>
      <c r="X697" s="195">
        <v>0.57799999999999996</v>
      </c>
      <c r="Y697" s="195">
        <v>0.58199999999999996</v>
      </c>
      <c r="Z697" s="195">
        <v>0.58699999999999997</v>
      </c>
    </row>
    <row r="698" spans="1:26">
      <c r="A698" s="195" t="s">
        <v>305</v>
      </c>
      <c r="B698" s="195" t="s">
        <v>285</v>
      </c>
      <c r="C698" s="195">
        <v>0.79800000000000004</v>
      </c>
      <c r="D698" s="195">
        <v>0.78</v>
      </c>
      <c r="E698" s="195">
        <v>0.74299999999999999</v>
      </c>
      <c r="F698" s="195">
        <v>0.69299999999999995</v>
      </c>
      <c r="G698" s="195">
        <v>0.70199999999999996</v>
      </c>
      <c r="H698" s="195">
        <v>0.69799999999999995</v>
      </c>
      <c r="I698" s="195">
        <v>0.69099999999999995</v>
      </c>
      <c r="J698" s="195">
        <v>0.69399999999999995</v>
      </c>
      <c r="K698" s="195">
        <v>0.69299999999999995</v>
      </c>
      <c r="L698" s="195">
        <v>0.69399999999999995</v>
      </c>
      <c r="M698" s="195">
        <v>0.70699999999999996</v>
      </c>
      <c r="N698" s="195">
        <v>0.70199999999999996</v>
      </c>
      <c r="O698" s="195">
        <v>0.70699999999999996</v>
      </c>
      <c r="P698" s="195">
        <v>0.72199999999999998</v>
      </c>
      <c r="Q698" s="195">
        <v>0.72499999999999998</v>
      </c>
      <c r="R698" s="195">
        <v>0.72799999999999998</v>
      </c>
      <c r="S698" s="195">
        <v>0.73799999999999999</v>
      </c>
      <c r="T698" s="195">
        <v>0.752</v>
      </c>
      <c r="U698" s="195">
        <v>0.76</v>
      </c>
      <c r="V698" s="195">
        <v>0.76300000000000001</v>
      </c>
      <c r="W698" s="195">
        <v>0.76900000000000002</v>
      </c>
      <c r="X698" s="195">
        <v>0.77100000000000002</v>
      </c>
      <c r="Y698" s="195">
        <v>0.77600000000000002</v>
      </c>
      <c r="Z698" s="195">
        <v>0.79100000000000004</v>
      </c>
    </row>
    <row r="699" spans="1:26">
      <c r="A699" s="195" t="s">
        <v>306</v>
      </c>
      <c r="B699" s="195" t="s">
        <v>285</v>
      </c>
      <c r="C699" s="195">
        <v>0.69299999999999995</v>
      </c>
      <c r="D699" s="195">
        <v>0.67600000000000005</v>
      </c>
      <c r="E699" s="195">
        <v>0.63900000000000001</v>
      </c>
      <c r="F699" s="195">
        <v>0.58799999999999997</v>
      </c>
      <c r="G699" s="195">
        <v>0.59799999999999998</v>
      </c>
      <c r="H699" s="195">
        <v>0.59299999999999997</v>
      </c>
      <c r="I699" s="195">
        <v>0.58599999999999997</v>
      </c>
      <c r="J699" s="195">
        <v>0.58899999999999997</v>
      </c>
      <c r="K699" s="195">
        <v>0.58899999999999997</v>
      </c>
      <c r="L699" s="195">
        <v>0.58899999999999997</v>
      </c>
      <c r="M699" s="195">
        <v>0.60199999999999998</v>
      </c>
      <c r="N699" s="195">
        <v>0.59799999999999998</v>
      </c>
      <c r="O699" s="195">
        <v>0.60199999999999998</v>
      </c>
      <c r="P699" s="195">
        <v>0.61699999999999999</v>
      </c>
      <c r="Q699" s="195">
        <v>0.62</v>
      </c>
      <c r="R699" s="195">
        <v>0.623</v>
      </c>
      <c r="S699" s="195">
        <v>0.63300000000000001</v>
      </c>
      <c r="T699" s="195">
        <v>0.64700000000000002</v>
      </c>
      <c r="U699" s="195">
        <v>0.65500000000000003</v>
      </c>
      <c r="V699" s="195">
        <v>0.65800000000000003</v>
      </c>
      <c r="W699" s="195">
        <v>0.66400000000000003</v>
      </c>
      <c r="X699" s="195">
        <v>0.66700000000000004</v>
      </c>
      <c r="Y699" s="195">
        <v>0.67100000000000004</v>
      </c>
      <c r="Z699" s="195">
        <v>0.68500000000000005</v>
      </c>
    </row>
    <row r="700" spans="1:26">
      <c r="A700" s="195" t="s">
        <v>307</v>
      </c>
      <c r="B700" s="195" t="s">
        <v>285</v>
      </c>
      <c r="C700" s="195">
        <v>0.79200000000000004</v>
      </c>
      <c r="D700" s="195">
        <v>0.77400000000000002</v>
      </c>
      <c r="E700" s="195">
        <v>0.73699999999999999</v>
      </c>
      <c r="F700" s="195">
        <v>0.68400000000000005</v>
      </c>
      <c r="G700" s="195">
        <v>0.69099999999999995</v>
      </c>
      <c r="H700" s="195">
        <v>0.69099999999999995</v>
      </c>
      <c r="I700" s="195">
        <v>0.67900000000000005</v>
      </c>
      <c r="J700" s="195">
        <v>0.68500000000000005</v>
      </c>
      <c r="K700" s="195">
        <v>0.68</v>
      </c>
      <c r="L700" s="195">
        <v>0.68700000000000006</v>
      </c>
      <c r="M700" s="195">
        <v>0.69299999999999995</v>
      </c>
      <c r="N700" s="195">
        <v>0.69299999999999995</v>
      </c>
      <c r="O700" s="195">
        <v>0.69799999999999995</v>
      </c>
      <c r="P700" s="195">
        <v>0.71499999999999997</v>
      </c>
      <c r="Q700" s="195">
        <v>0.71799999999999997</v>
      </c>
      <c r="R700" s="195">
        <v>0.72199999999999998</v>
      </c>
      <c r="S700" s="195">
        <v>0.73</v>
      </c>
      <c r="T700" s="195">
        <v>0.746</v>
      </c>
      <c r="U700" s="195">
        <v>0.753</v>
      </c>
      <c r="V700" s="195">
        <v>0.75700000000000001</v>
      </c>
      <c r="W700" s="195">
        <v>0.76300000000000001</v>
      </c>
      <c r="X700" s="195">
        <v>0.76500000000000001</v>
      </c>
      <c r="Y700" s="195">
        <v>0.76900000000000002</v>
      </c>
      <c r="Z700" s="195">
        <v>0.78500000000000003</v>
      </c>
    </row>
    <row r="701" spans="1:26">
      <c r="A701" s="195" t="s">
        <v>308</v>
      </c>
      <c r="B701" s="195" t="s">
        <v>285</v>
      </c>
      <c r="C701" s="195">
        <v>0.68799999999999994</v>
      </c>
      <c r="D701" s="195">
        <v>0.67</v>
      </c>
      <c r="E701" s="195">
        <v>0.63300000000000001</v>
      </c>
      <c r="F701" s="195">
        <v>0.58299999999999996</v>
      </c>
      <c r="G701" s="195">
        <v>0.59</v>
      </c>
      <c r="H701" s="195">
        <v>0.58799999999999997</v>
      </c>
      <c r="I701" s="195">
        <v>0.57799999999999996</v>
      </c>
      <c r="J701" s="195">
        <v>0.58399999999999996</v>
      </c>
      <c r="K701" s="195">
        <v>0.57899999999999996</v>
      </c>
      <c r="L701" s="195">
        <v>0.58399999999999996</v>
      </c>
      <c r="M701" s="195">
        <v>0.59199999999999997</v>
      </c>
      <c r="N701" s="195">
        <v>0.59199999999999997</v>
      </c>
      <c r="O701" s="195">
        <v>0.59699999999999998</v>
      </c>
      <c r="P701" s="195">
        <v>0.61199999999999999</v>
      </c>
      <c r="Q701" s="195">
        <v>0.61499999999999999</v>
      </c>
      <c r="R701" s="195">
        <v>0.61799999999999999</v>
      </c>
      <c r="S701" s="195">
        <v>0.628</v>
      </c>
      <c r="T701" s="195">
        <v>0.64200000000000002</v>
      </c>
      <c r="U701" s="195">
        <v>0.65</v>
      </c>
      <c r="V701" s="195">
        <v>0.65400000000000003</v>
      </c>
      <c r="W701" s="195">
        <v>0.66</v>
      </c>
      <c r="X701" s="195">
        <v>0.66200000000000003</v>
      </c>
      <c r="Y701" s="195">
        <v>0.66600000000000004</v>
      </c>
      <c r="Z701" s="195">
        <v>0.68200000000000005</v>
      </c>
    </row>
    <row r="702" spans="1:26">
      <c r="A702" s="195" t="s">
        <v>309</v>
      </c>
      <c r="B702" s="195" t="s">
        <v>285</v>
      </c>
      <c r="C702" s="195">
        <v>0.82399999999999995</v>
      </c>
      <c r="D702" s="195">
        <v>0.79500000000000004</v>
      </c>
      <c r="E702" s="195">
        <v>0.75800000000000001</v>
      </c>
      <c r="F702" s="195">
        <v>0.70599999999999996</v>
      </c>
      <c r="G702" s="195">
        <v>0.71299999999999997</v>
      </c>
      <c r="H702" s="195">
        <v>0.71199999999999997</v>
      </c>
      <c r="I702" s="195">
        <v>0.70099999999999996</v>
      </c>
      <c r="J702" s="195">
        <v>0.70699999999999996</v>
      </c>
      <c r="K702" s="195">
        <v>0.70099999999999996</v>
      </c>
      <c r="L702" s="195">
        <v>0.70799999999999996</v>
      </c>
      <c r="M702" s="195">
        <v>0.71499999999999997</v>
      </c>
      <c r="N702" s="195">
        <v>0.71499999999999997</v>
      </c>
      <c r="O702" s="195">
        <v>0.72</v>
      </c>
      <c r="P702" s="195">
        <v>0.73699999999999999</v>
      </c>
      <c r="Q702" s="195">
        <v>0.74</v>
      </c>
      <c r="R702" s="195">
        <v>0.74299999999999999</v>
      </c>
      <c r="S702" s="195">
        <v>0.751</v>
      </c>
      <c r="T702" s="195">
        <v>0.76700000000000002</v>
      </c>
      <c r="U702" s="195">
        <v>0.77500000000000002</v>
      </c>
      <c r="V702" s="195">
        <v>0.77800000000000002</v>
      </c>
      <c r="W702" s="195">
        <v>0.78400000000000003</v>
      </c>
      <c r="X702" s="195">
        <v>0.78600000000000003</v>
      </c>
      <c r="Y702" s="195">
        <v>0.79100000000000004</v>
      </c>
      <c r="Z702" s="195">
        <v>0.80200000000000005</v>
      </c>
    </row>
    <row r="703" spans="1:26">
      <c r="A703" s="195" t="s">
        <v>310</v>
      </c>
      <c r="B703" s="195" t="s">
        <v>285</v>
      </c>
      <c r="C703" s="195">
        <v>0.84399999999999997</v>
      </c>
      <c r="D703" s="195">
        <v>0.81899999999999995</v>
      </c>
      <c r="E703" s="195">
        <v>0.77900000000000003</v>
      </c>
      <c r="F703" s="195">
        <v>0.746</v>
      </c>
      <c r="G703" s="195">
        <v>0.754</v>
      </c>
      <c r="H703" s="195">
        <v>0.749</v>
      </c>
      <c r="I703" s="195">
        <v>0.74399999999999999</v>
      </c>
      <c r="J703" s="195">
        <v>0.73399999999999999</v>
      </c>
      <c r="K703" s="195">
        <v>0.746</v>
      </c>
      <c r="L703" s="195">
        <v>0.73899999999999999</v>
      </c>
      <c r="M703" s="195">
        <v>0.76</v>
      </c>
      <c r="N703" s="195">
        <v>0.754</v>
      </c>
      <c r="O703" s="195">
        <v>0.76</v>
      </c>
      <c r="P703" s="195">
        <v>0.77</v>
      </c>
      <c r="Q703" s="195">
        <v>0.77100000000000002</v>
      </c>
      <c r="R703" s="195">
        <v>0.78</v>
      </c>
      <c r="S703" s="195">
        <v>0.79100000000000004</v>
      </c>
      <c r="T703" s="195">
        <v>0.79200000000000004</v>
      </c>
      <c r="U703" s="195">
        <v>0.79400000000000004</v>
      </c>
      <c r="V703" s="195">
        <v>0.81299999999999994</v>
      </c>
      <c r="W703" s="195">
        <v>0.81799999999999995</v>
      </c>
      <c r="X703" s="195">
        <v>0.80600000000000005</v>
      </c>
      <c r="Y703" s="195">
        <v>0.81200000000000006</v>
      </c>
      <c r="Z703" s="195">
        <v>0.81899999999999995</v>
      </c>
    </row>
    <row r="704" spans="1:26">
      <c r="A704" s="195" t="s">
        <v>311</v>
      </c>
      <c r="B704" s="195" t="s">
        <v>285</v>
      </c>
      <c r="C704" s="195">
        <v>0.86699999999999999</v>
      </c>
      <c r="D704" s="195">
        <v>0.85099999999999998</v>
      </c>
      <c r="E704" s="195">
        <v>0.78600000000000003</v>
      </c>
      <c r="F704" s="195">
        <v>0.80900000000000005</v>
      </c>
      <c r="G704" s="195">
        <v>0.81299999999999994</v>
      </c>
      <c r="H704" s="195">
        <v>0.81499999999999995</v>
      </c>
      <c r="I704" s="195">
        <v>0.79500000000000004</v>
      </c>
      <c r="J704" s="195">
        <v>0.79200000000000004</v>
      </c>
      <c r="K704" s="195">
        <v>0.81299999999999994</v>
      </c>
      <c r="L704" s="195">
        <v>0.80700000000000005</v>
      </c>
      <c r="M704" s="195">
        <v>0.81299999999999994</v>
      </c>
      <c r="N704" s="195">
        <v>0.8</v>
      </c>
      <c r="O704" s="195">
        <v>0.81899999999999995</v>
      </c>
      <c r="P704" s="195">
        <v>0.82699999999999996</v>
      </c>
      <c r="Q704" s="195">
        <v>0.83599999999999997</v>
      </c>
      <c r="R704" s="195">
        <v>0.85099999999999998</v>
      </c>
      <c r="S704" s="195">
        <v>0.875</v>
      </c>
      <c r="T704" s="195">
        <v>0.873</v>
      </c>
      <c r="U704" s="195">
        <v>0.88300000000000001</v>
      </c>
      <c r="V704" s="195">
        <v>0.90700000000000003</v>
      </c>
      <c r="W704" s="195">
        <v>0.92600000000000005</v>
      </c>
      <c r="X704" s="195">
        <v>0.92700000000000005</v>
      </c>
      <c r="Y704" s="195">
        <v>0.95</v>
      </c>
      <c r="Z704" s="195">
        <v>0.95599999999999996</v>
      </c>
    </row>
    <row r="705" spans="1:26">
      <c r="A705" s="195" t="s">
        <v>312</v>
      </c>
      <c r="B705" s="195" t="s">
        <v>285</v>
      </c>
      <c r="C705" s="195">
        <v>0.70799999999999996</v>
      </c>
      <c r="D705" s="195">
        <v>0.68300000000000005</v>
      </c>
      <c r="E705" s="195">
        <v>0.64500000000000002</v>
      </c>
      <c r="F705" s="195">
        <v>0.61399999999999999</v>
      </c>
      <c r="G705" s="195">
        <v>0.61499999999999999</v>
      </c>
      <c r="H705" s="195">
        <v>0.61799999999999999</v>
      </c>
      <c r="I705" s="195">
        <v>0.60899999999999999</v>
      </c>
      <c r="J705" s="195">
        <v>0.61</v>
      </c>
      <c r="K705" s="195">
        <v>0.621</v>
      </c>
      <c r="L705" s="195">
        <v>0.623</v>
      </c>
      <c r="M705" s="195">
        <v>0.63300000000000001</v>
      </c>
      <c r="N705" s="195">
        <v>0.63300000000000001</v>
      </c>
      <c r="O705" s="195">
        <v>0.63600000000000001</v>
      </c>
      <c r="P705" s="195">
        <v>0.65300000000000002</v>
      </c>
      <c r="Q705" s="195">
        <v>0.65900000000000003</v>
      </c>
      <c r="R705" s="195">
        <v>0.66800000000000004</v>
      </c>
      <c r="S705" s="195">
        <v>0.68100000000000005</v>
      </c>
      <c r="T705" s="195">
        <v>0.68899999999999995</v>
      </c>
      <c r="U705" s="195">
        <v>0.69599999999999995</v>
      </c>
      <c r="V705" s="195">
        <v>0.70099999999999996</v>
      </c>
      <c r="W705" s="195">
        <v>0.70399999999999996</v>
      </c>
      <c r="X705" s="195">
        <v>0.70799999999999996</v>
      </c>
      <c r="Y705" s="195">
        <v>0.71499999999999997</v>
      </c>
      <c r="Z705" s="195">
        <v>0.72599999999999998</v>
      </c>
    </row>
    <row r="706" spans="1:26">
      <c r="A706" s="195" t="s">
        <v>281</v>
      </c>
      <c r="B706" s="195" t="s">
        <v>282</v>
      </c>
      <c r="C706" s="195" t="s">
        <v>283</v>
      </c>
      <c r="D706" s="195" t="s">
        <v>283</v>
      </c>
      <c r="E706" s="195" t="s">
        <v>283</v>
      </c>
      <c r="F706" s="195" t="s">
        <v>283</v>
      </c>
      <c r="G706" s="195" t="s">
        <v>283</v>
      </c>
      <c r="H706" s="195" t="s">
        <v>283</v>
      </c>
      <c r="I706" s="195" t="s">
        <v>283</v>
      </c>
      <c r="J706" s="195" t="s">
        <v>283</v>
      </c>
      <c r="K706" s="195" t="s">
        <v>283</v>
      </c>
      <c r="L706" s="195" t="s">
        <v>283</v>
      </c>
      <c r="M706" s="195" t="s">
        <v>283</v>
      </c>
      <c r="N706" s="195" t="s">
        <v>283</v>
      </c>
      <c r="O706" s="195" t="s">
        <v>283</v>
      </c>
      <c r="P706" s="195" t="s">
        <v>283</v>
      </c>
      <c r="Q706" s="195" t="s">
        <v>283</v>
      </c>
      <c r="R706" s="195" t="s">
        <v>283</v>
      </c>
      <c r="S706" s="195" t="s">
        <v>283</v>
      </c>
      <c r="T706" s="195" t="s">
        <v>283</v>
      </c>
      <c r="U706" s="195" t="s">
        <v>283</v>
      </c>
      <c r="V706" s="195" t="s">
        <v>283</v>
      </c>
      <c r="W706" s="195" t="s">
        <v>283</v>
      </c>
      <c r="X706" s="195" t="s">
        <v>283</v>
      </c>
      <c r="Y706" s="195" t="s">
        <v>283</v>
      </c>
      <c r="Z706" s="195" t="s">
        <v>284</v>
      </c>
    </row>
    <row r="708" spans="1:26">
      <c r="C708" s="202" t="str">
        <f>CONCATENATE(M708,N708,O708,P708,Q708,R708)</f>
        <v>Table 8US EndUse Prices,$/Gal</v>
      </c>
      <c r="M708" s="195" t="s">
        <v>297</v>
      </c>
      <c r="N708" s="195" t="s">
        <v>298</v>
      </c>
      <c r="O708" s="195" t="s">
        <v>299</v>
      </c>
      <c r="P708" s="195" t="s">
        <v>300</v>
      </c>
      <c r="Q708" s="195" t="s">
        <v>301</v>
      </c>
      <c r="R708" s="195" t="s">
        <v>302</v>
      </c>
    </row>
    <row r="709" spans="1:26">
      <c r="A709" s="195" t="s">
        <v>276</v>
      </c>
      <c r="B709" s="195" t="s">
        <v>277</v>
      </c>
      <c r="C709" s="195">
        <v>11006</v>
      </c>
      <c r="D709" s="195" t="s">
        <v>278</v>
      </c>
      <c r="E709" s="195" t="s">
        <v>279</v>
      </c>
      <c r="F709" s="195" t="s">
        <v>280</v>
      </c>
    </row>
    <row r="710" spans="1:26">
      <c r="A710" s="195" t="s">
        <v>281</v>
      </c>
      <c r="B710" s="195" t="s">
        <v>282</v>
      </c>
      <c r="C710" s="195" t="s">
        <v>283</v>
      </c>
      <c r="D710" s="195" t="s">
        <v>283</v>
      </c>
      <c r="E710" s="195" t="s">
        <v>283</v>
      </c>
      <c r="F710" s="195" t="s">
        <v>283</v>
      </c>
      <c r="G710" s="195" t="s">
        <v>283</v>
      </c>
      <c r="H710" s="195" t="s">
        <v>283</v>
      </c>
      <c r="I710" s="195" t="s">
        <v>283</v>
      </c>
      <c r="J710" s="195" t="s">
        <v>283</v>
      </c>
      <c r="K710" s="195" t="s">
        <v>283</v>
      </c>
      <c r="L710" s="195" t="s">
        <v>283</v>
      </c>
      <c r="M710" s="195" t="s">
        <v>283</v>
      </c>
      <c r="N710" s="195" t="s">
        <v>283</v>
      </c>
      <c r="O710" s="195" t="s">
        <v>283</v>
      </c>
      <c r="P710" s="195" t="s">
        <v>283</v>
      </c>
      <c r="Q710" s="195" t="s">
        <v>283</v>
      </c>
      <c r="R710" s="195" t="s">
        <v>283</v>
      </c>
      <c r="S710" s="195" t="s">
        <v>283</v>
      </c>
      <c r="T710" s="195" t="s">
        <v>283</v>
      </c>
      <c r="U710" s="195" t="s">
        <v>283</v>
      </c>
      <c r="V710" s="195" t="s">
        <v>283</v>
      </c>
      <c r="W710" s="195" t="s">
        <v>283</v>
      </c>
      <c r="X710" s="195" t="s">
        <v>283</v>
      </c>
      <c r="Y710" s="195" t="s">
        <v>283</v>
      </c>
      <c r="Z710" s="195" t="s">
        <v>284</v>
      </c>
    </row>
    <row r="711" spans="1:26">
      <c r="C711" s="195">
        <v>2007</v>
      </c>
      <c r="D711" s="195">
        <v>2008</v>
      </c>
      <c r="E711" s="195">
        <v>2009</v>
      </c>
      <c r="F711" s="195">
        <v>2010</v>
      </c>
      <c r="G711" s="195">
        <v>2011</v>
      </c>
      <c r="H711" s="195">
        <v>2012</v>
      </c>
      <c r="I711" s="195">
        <v>2013</v>
      </c>
      <c r="J711" s="195">
        <v>2014</v>
      </c>
      <c r="K711" s="195">
        <v>2015</v>
      </c>
      <c r="L711" s="195">
        <v>2016</v>
      </c>
      <c r="M711" s="195">
        <v>2017</v>
      </c>
      <c r="N711" s="195">
        <v>2018</v>
      </c>
      <c r="O711" s="195">
        <v>2019</v>
      </c>
      <c r="P711" s="195">
        <v>2020</v>
      </c>
      <c r="Q711" s="195">
        <v>2021</v>
      </c>
      <c r="R711" s="195">
        <v>2022</v>
      </c>
      <c r="S711" s="195">
        <v>2023</v>
      </c>
      <c r="T711" s="195">
        <v>2024</v>
      </c>
      <c r="U711" s="195">
        <v>2025</v>
      </c>
      <c r="V711" s="195">
        <v>2026</v>
      </c>
      <c r="W711" s="195">
        <v>2027</v>
      </c>
      <c r="X711" s="195">
        <v>2028</v>
      </c>
      <c r="Y711" s="195">
        <v>2029</v>
      </c>
      <c r="Z711" s="195">
        <v>2030</v>
      </c>
    </row>
    <row r="712" spans="1:26">
      <c r="A712" s="195" t="s">
        <v>281</v>
      </c>
      <c r="B712" s="195" t="s">
        <v>282</v>
      </c>
      <c r="C712" s="195" t="s">
        <v>283</v>
      </c>
      <c r="D712" s="195" t="s">
        <v>283</v>
      </c>
      <c r="E712" s="195" t="s">
        <v>283</v>
      </c>
      <c r="F712" s="195" t="s">
        <v>283</v>
      </c>
      <c r="G712" s="195" t="s">
        <v>283</v>
      </c>
      <c r="H712" s="195" t="s">
        <v>283</v>
      </c>
      <c r="I712" s="195" t="s">
        <v>283</v>
      </c>
      <c r="J712" s="195" t="s">
        <v>283</v>
      </c>
      <c r="K712" s="195" t="s">
        <v>283</v>
      </c>
      <c r="L712" s="195" t="s">
        <v>283</v>
      </c>
      <c r="M712" s="195" t="s">
        <v>283</v>
      </c>
      <c r="N712" s="195" t="s">
        <v>283</v>
      </c>
      <c r="O712" s="195" t="s">
        <v>283</v>
      </c>
      <c r="P712" s="195" t="s">
        <v>283</v>
      </c>
      <c r="Q712" s="195" t="s">
        <v>283</v>
      </c>
      <c r="R712" s="195" t="s">
        <v>283</v>
      </c>
      <c r="S712" s="195" t="s">
        <v>283</v>
      </c>
      <c r="T712" s="195" t="s">
        <v>283</v>
      </c>
      <c r="U712" s="195" t="s">
        <v>283</v>
      </c>
      <c r="V712" s="195" t="s">
        <v>283</v>
      </c>
      <c r="W712" s="195" t="s">
        <v>283</v>
      </c>
      <c r="X712" s="195" t="s">
        <v>283</v>
      </c>
      <c r="Y712" s="195" t="s">
        <v>283</v>
      </c>
      <c r="Z712" s="195" t="s">
        <v>284</v>
      </c>
    </row>
    <row r="713" spans="1:26">
      <c r="A713" s="195" t="s">
        <v>209</v>
      </c>
    </row>
    <row r="714" spans="1:26">
      <c r="A714" s="195" t="s">
        <v>303</v>
      </c>
      <c r="B714" s="195" t="s">
        <v>285</v>
      </c>
      <c r="C714" s="195">
        <v>0.48699999999999999</v>
      </c>
      <c r="D714" s="195">
        <v>0.45800000000000002</v>
      </c>
      <c r="E714" s="195">
        <v>0.42</v>
      </c>
      <c r="F714" s="195">
        <v>0.38900000000000001</v>
      </c>
      <c r="G714" s="195">
        <v>0.38700000000000001</v>
      </c>
      <c r="H714" s="195">
        <v>0.38400000000000001</v>
      </c>
      <c r="I714" s="195">
        <v>0.38200000000000001</v>
      </c>
      <c r="J714" s="195">
        <v>0.379</v>
      </c>
      <c r="K714" s="195">
        <v>0.377</v>
      </c>
      <c r="L714" s="195">
        <v>0.38200000000000001</v>
      </c>
      <c r="M714" s="195">
        <v>0.38700000000000001</v>
      </c>
      <c r="N714" s="195">
        <v>0.39200000000000002</v>
      </c>
      <c r="O714" s="195">
        <v>0.39600000000000002</v>
      </c>
      <c r="P714" s="195">
        <v>0.40200000000000002</v>
      </c>
      <c r="Q714" s="195">
        <v>0.40899999999999997</v>
      </c>
      <c r="R714" s="195">
        <v>0.41599999999999998</v>
      </c>
      <c r="S714" s="195">
        <v>0.42399999999999999</v>
      </c>
      <c r="T714" s="195">
        <v>0.43099999999999999</v>
      </c>
      <c r="U714" s="195">
        <v>0.438</v>
      </c>
      <c r="V714" s="195">
        <v>0.443</v>
      </c>
      <c r="W714" s="195">
        <v>0.44800000000000001</v>
      </c>
      <c r="X714" s="195">
        <v>0.45300000000000001</v>
      </c>
      <c r="Y714" s="195">
        <v>0.45800000000000002</v>
      </c>
      <c r="Z714" s="195">
        <v>0.47799999999999998</v>
      </c>
    </row>
    <row r="715" spans="1:26">
      <c r="A715" s="195" t="s">
        <v>304</v>
      </c>
      <c r="B715" s="195" t="s">
        <v>285</v>
      </c>
      <c r="C715" s="195">
        <v>0.57199999999999995</v>
      </c>
      <c r="D715" s="195">
        <v>0.54300000000000004</v>
      </c>
      <c r="E715" s="195">
        <v>0.505</v>
      </c>
      <c r="F715" s="195">
        <v>0.47399999999999998</v>
      </c>
      <c r="G715" s="195">
        <v>0.47099999999999997</v>
      </c>
      <c r="H715" s="195">
        <v>0.46899999999999997</v>
      </c>
      <c r="I715" s="195">
        <v>0.46600000000000003</v>
      </c>
      <c r="J715" s="195">
        <v>0.46400000000000002</v>
      </c>
      <c r="K715" s="195">
        <v>0.46200000000000002</v>
      </c>
      <c r="L715" s="195">
        <v>0.46600000000000003</v>
      </c>
      <c r="M715" s="195">
        <v>0.47099999999999997</v>
      </c>
      <c r="N715" s="195">
        <v>0.47599999999999998</v>
      </c>
      <c r="O715" s="195">
        <v>0.48099999999999998</v>
      </c>
      <c r="P715" s="195">
        <v>0.48599999999999999</v>
      </c>
      <c r="Q715" s="195">
        <v>0.49299999999999999</v>
      </c>
      <c r="R715" s="195">
        <v>0.501</v>
      </c>
      <c r="S715" s="195">
        <v>0.50800000000000001</v>
      </c>
      <c r="T715" s="195">
        <v>0.51600000000000001</v>
      </c>
      <c r="U715" s="195">
        <v>0.52300000000000002</v>
      </c>
      <c r="V715" s="195">
        <v>0.52800000000000002</v>
      </c>
      <c r="W715" s="195">
        <v>0.53300000000000003</v>
      </c>
      <c r="X715" s="195">
        <v>0.53800000000000003</v>
      </c>
      <c r="Y715" s="195">
        <v>0.54300000000000004</v>
      </c>
      <c r="Z715" s="195">
        <v>0.51900000000000002</v>
      </c>
    </row>
    <row r="716" spans="1:26">
      <c r="A716" s="195" t="s">
        <v>305</v>
      </c>
      <c r="B716" s="195" t="s">
        <v>285</v>
      </c>
      <c r="C716" s="195">
        <v>0.81</v>
      </c>
      <c r="D716" s="195">
        <v>0.79</v>
      </c>
      <c r="E716" s="195">
        <v>0.751</v>
      </c>
      <c r="F716" s="195">
        <v>0.71499999999999997</v>
      </c>
      <c r="G716" s="195">
        <v>0.71499999999999997</v>
      </c>
      <c r="H716" s="195">
        <v>0.70399999999999996</v>
      </c>
      <c r="I716" s="195">
        <v>0.71</v>
      </c>
      <c r="J716" s="195">
        <v>0.70199999999999996</v>
      </c>
      <c r="K716" s="195">
        <v>0.70799999999999996</v>
      </c>
      <c r="L716" s="195">
        <v>0.70099999999999996</v>
      </c>
      <c r="M716" s="195">
        <v>0.72</v>
      </c>
      <c r="N716" s="195">
        <v>0.71799999999999997</v>
      </c>
      <c r="O716" s="195">
        <v>0.72399999999999998</v>
      </c>
      <c r="P716" s="195">
        <v>0.72699999999999998</v>
      </c>
      <c r="Q716" s="195">
        <v>0.73599999999999999</v>
      </c>
      <c r="R716" s="195">
        <v>0.746</v>
      </c>
      <c r="S716" s="195">
        <v>0.75900000000000001</v>
      </c>
      <c r="T716" s="195">
        <v>0.76500000000000001</v>
      </c>
      <c r="U716" s="195">
        <v>0.77400000000000002</v>
      </c>
      <c r="V716" s="195">
        <v>0.78100000000000003</v>
      </c>
      <c r="W716" s="195">
        <v>0.78700000000000003</v>
      </c>
      <c r="X716" s="195">
        <v>0.79300000000000004</v>
      </c>
      <c r="Y716" s="195">
        <v>0.8</v>
      </c>
      <c r="Z716" s="195">
        <v>0.72799999999999998</v>
      </c>
    </row>
    <row r="717" spans="1:26">
      <c r="A717" s="195" t="s">
        <v>306</v>
      </c>
      <c r="B717" s="195" t="s">
        <v>285</v>
      </c>
      <c r="C717" s="195">
        <v>0.69399999999999995</v>
      </c>
      <c r="D717" s="195">
        <v>0.67500000000000004</v>
      </c>
      <c r="E717" s="195">
        <v>0.63500000000000001</v>
      </c>
      <c r="F717" s="195">
        <v>0.59899999999999998</v>
      </c>
      <c r="G717" s="195">
        <v>0.6</v>
      </c>
      <c r="H717" s="195">
        <v>0.58899999999999997</v>
      </c>
      <c r="I717" s="195">
        <v>0.59399999999999997</v>
      </c>
      <c r="J717" s="195">
        <v>0.58699999999999997</v>
      </c>
      <c r="K717" s="195">
        <v>0.59199999999999997</v>
      </c>
      <c r="L717" s="195">
        <v>0.58599999999999997</v>
      </c>
      <c r="M717" s="195">
        <v>0.60499999999999998</v>
      </c>
      <c r="N717" s="195">
        <v>0.60299999999999998</v>
      </c>
      <c r="O717" s="195">
        <v>0.60899999999999999</v>
      </c>
      <c r="P717" s="195">
        <v>0.61099999999999999</v>
      </c>
      <c r="Q717" s="195">
        <v>0.621</v>
      </c>
      <c r="R717" s="195">
        <v>0.63</v>
      </c>
      <c r="S717" s="195">
        <v>0.64400000000000002</v>
      </c>
      <c r="T717" s="195">
        <v>0.64900000000000002</v>
      </c>
      <c r="U717" s="195">
        <v>0.65900000000000003</v>
      </c>
      <c r="V717" s="195">
        <v>0.66500000000000004</v>
      </c>
      <c r="W717" s="195">
        <v>0.67200000000000004</v>
      </c>
      <c r="X717" s="195">
        <v>0.67800000000000005</v>
      </c>
      <c r="Y717" s="195">
        <v>0.68400000000000005</v>
      </c>
      <c r="Z717" s="195">
        <v>0.72799999999999998</v>
      </c>
    </row>
    <row r="718" spans="1:26">
      <c r="A718" s="195" t="s">
        <v>307</v>
      </c>
      <c r="B718" s="195" t="s">
        <v>285</v>
      </c>
      <c r="C718" s="195">
        <v>0.77300000000000002</v>
      </c>
      <c r="D718" s="195">
        <v>0.754</v>
      </c>
      <c r="E718" s="195">
        <v>0.71399999999999997</v>
      </c>
      <c r="F718" s="195">
        <v>0.67400000000000004</v>
      </c>
      <c r="G718" s="195">
        <v>0.67100000000000004</v>
      </c>
      <c r="H718" s="195">
        <v>0.66700000000000004</v>
      </c>
      <c r="I718" s="195">
        <v>0.66400000000000003</v>
      </c>
      <c r="J718" s="195">
        <v>0.66100000000000003</v>
      </c>
      <c r="K718" s="195">
        <v>0.65800000000000003</v>
      </c>
      <c r="L718" s="195">
        <v>0.66400000000000003</v>
      </c>
      <c r="M718" s="195">
        <v>0.67100000000000004</v>
      </c>
      <c r="N718" s="195">
        <v>0.67700000000000005</v>
      </c>
      <c r="O718" s="195">
        <v>0.68300000000000005</v>
      </c>
      <c r="P718" s="195">
        <v>0.69</v>
      </c>
      <c r="Q718" s="195">
        <v>0.69899999999999995</v>
      </c>
      <c r="R718" s="195">
        <v>0.70899999999999996</v>
      </c>
      <c r="S718" s="195">
        <v>0.71899999999999997</v>
      </c>
      <c r="T718" s="195">
        <v>0.72799999999999998</v>
      </c>
      <c r="U718" s="195">
        <v>0.73799999999999999</v>
      </c>
      <c r="V718" s="195">
        <v>0.74399999999999999</v>
      </c>
      <c r="W718" s="195">
        <v>0.751</v>
      </c>
      <c r="X718" s="195">
        <v>0.75700000000000001</v>
      </c>
      <c r="Y718" s="195">
        <v>0.76400000000000001</v>
      </c>
      <c r="Z718" s="195">
        <v>0.77600000000000002</v>
      </c>
    </row>
    <row r="719" spans="1:26">
      <c r="A719" s="195" t="s">
        <v>308</v>
      </c>
      <c r="B719" s="195" t="s">
        <v>285</v>
      </c>
      <c r="C719" s="195">
        <v>0.68799999999999994</v>
      </c>
      <c r="D719" s="195">
        <v>0.66800000000000004</v>
      </c>
      <c r="E719" s="195">
        <v>0.629</v>
      </c>
      <c r="F719" s="195">
        <v>0.59299999999999997</v>
      </c>
      <c r="G719" s="195">
        <v>0.58899999999999997</v>
      </c>
      <c r="H719" s="195">
        <v>0.58199999999999996</v>
      </c>
      <c r="I719" s="195">
        <v>0.58299999999999996</v>
      </c>
      <c r="J719" s="195">
        <v>0.57999999999999996</v>
      </c>
      <c r="K719" s="195">
        <v>0.57699999999999996</v>
      </c>
      <c r="L719" s="195">
        <v>0.57899999999999996</v>
      </c>
      <c r="M719" s="195">
        <v>0.58899999999999997</v>
      </c>
      <c r="N719" s="195">
        <v>0.59599999999999997</v>
      </c>
      <c r="O719" s="195">
        <v>0.60199999999999998</v>
      </c>
      <c r="P719" s="195">
        <v>0.60499999999999998</v>
      </c>
      <c r="Q719" s="195">
        <v>0.61399999999999999</v>
      </c>
      <c r="R719" s="195">
        <v>0.624</v>
      </c>
      <c r="S719" s="195">
        <v>0.63800000000000001</v>
      </c>
      <c r="T719" s="195">
        <v>0.64300000000000002</v>
      </c>
      <c r="U719" s="195">
        <v>0.65300000000000002</v>
      </c>
      <c r="V719" s="195">
        <v>0.65900000000000003</v>
      </c>
      <c r="W719" s="195">
        <v>0.66600000000000004</v>
      </c>
      <c r="X719" s="195">
        <v>0.67200000000000004</v>
      </c>
      <c r="Y719" s="195">
        <v>0.67800000000000005</v>
      </c>
      <c r="Z719" s="195">
        <v>0.75</v>
      </c>
    </row>
    <row r="720" spans="1:26">
      <c r="A720" s="195" t="s">
        <v>309</v>
      </c>
      <c r="B720" s="195" t="s">
        <v>285</v>
      </c>
      <c r="C720" s="195">
        <v>0.78600000000000003</v>
      </c>
      <c r="D720" s="195">
        <v>0.747</v>
      </c>
      <c r="E720" s="195">
        <v>0.70699999999999996</v>
      </c>
      <c r="F720" s="195">
        <v>0.66700000000000004</v>
      </c>
      <c r="G720" s="195">
        <v>0.66400000000000003</v>
      </c>
      <c r="H720" s="195">
        <v>0.66100000000000003</v>
      </c>
      <c r="I720" s="195">
        <v>0.65700000000000003</v>
      </c>
      <c r="J720" s="195">
        <v>0.65400000000000003</v>
      </c>
      <c r="K720" s="195">
        <v>0.65100000000000002</v>
      </c>
      <c r="L720" s="195">
        <v>0.65700000000000003</v>
      </c>
      <c r="M720" s="195">
        <v>0.66400000000000003</v>
      </c>
      <c r="N720" s="195">
        <v>0.67</v>
      </c>
      <c r="O720" s="195">
        <v>0.67700000000000005</v>
      </c>
      <c r="P720" s="195">
        <v>0.68300000000000005</v>
      </c>
      <c r="Q720" s="195">
        <v>0.69299999999999995</v>
      </c>
      <c r="R720" s="195">
        <v>0.70199999999999996</v>
      </c>
      <c r="S720" s="195">
        <v>0.71199999999999997</v>
      </c>
      <c r="T720" s="195">
        <v>0.72099999999999997</v>
      </c>
      <c r="U720" s="195">
        <v>0.73099999999999998</v>
      </c>
      <c r="V720" s="195">
        <v>0.73699999999999999</v>
      </c>
      <c r="W720" s="195">
        <v>0.74399999999999999</v>
      </c>
      <c r="X720" s="195">
        <v>0.75</v>
      </c>
      <c r="Y720" s="195">
        <v>0.75600000000000001</v>
      </c>
      <c r="Z720" s="195">
        <v>0.72799999999999998</v>
      </c>
    </row>
    <row r="721" spans="1:26">
      <c r="A721" s="195" t="s">
        <v>310</v>
      </c>
      <c r="B721" s="195" t="s">
        <v>285</v>
      </c>
      <c r="C721" s="195">
        <v>0</v>
      </c>
      <c r="D721" s="195">
        <v>0</v>
      </c>
      <c r="E721" s="195">
        <v>0</v>
      </c>
      <c r="F721" s="195">
        <v>0</v>
      </c>
      <c r="G721" s="195">
        <v>0</v>
      </c>
      <c r="H721" s="195">
        <v>0</v>
      </c>
      <c r="I721" s="195">
        <v>0</v>
      </c>
      <c r="J721" s="195">
        <v>0</v>
      </c>
      <c r="K721" s="195">
        <v>0</v>
      </c>
      <c r="L721" s="195">
        <v>0</v>
      </c>
      <c r="M721" s="195">
        <v>0</v>
      </c>
      <c r="N721" s="195">
        <v>0</v>
      </c>
      <c r="O721" s="195">
        <v>0</v>
      </c>
      <c r="P721" s="195">
        <v>0</v>
      </c>
      <c r="Q721" s="195">
        <v>0</v>
      </c>
      <c r="R721" s="195">
        <v>0</v>
      </c>
      <c r="S721" s="195">
        <v>0</v>
      </c>
      <c r="T721" s="195">
        <v>0</v>
      </c>
      <c r="U721" s="195">
        <v>0</v>
      </c>
      <c r="V721" s="195">
        <v>0</v>
      </c>
      <c r="W721" s="195">
        <v>0</v>
      </c>
      <c r="X721" s="195">
        <v>0</v>
      </c>
      <c r="Y721" s="195">
        <v>0</v>
      </c>
      <c r="Z721" s="195">
        <v>0.65900000000000003</v>
      </c>
    </row>
    <row r="722" spans="1:26">
      <c r="A722" s="195" t="s">
        <v>311</v>
      </c>
      <c r="B722" s="195" t="s">
        <v>285</v>
      </c>
      <c r="C722" s="195">
        <v>0.749</v>
      </c>
      <c r="D722" s="195">
        <v>0.73399999999999999</v>
      </c>
      <c r="E722" s="195">
        <v>0.66900000000000004</v>
      </c>
      <c r="F722" s="195">
        <v>0.70399999999999996</v>
      </c>
      <c r="G722" s="195">
        <v>0.7</v>
      </c>
      <c r="H722" s="195">
        <v>0.70099999999999996</v>
      </c>
      <c r="I722" s="195">
        <v>0.68100000000000005</v>
      </c>
      <c r="J722" s="195">
        <v>0.67900000000000005</v>
      </c>
      <c r="K722" s="195">
        <v>0.69499999999999995</v>
      </c>
      <c r="L722" s="195">
        <v>0.69</v>
      </c>
      <c r="M722" s="195">
        <v>0.69499999999999995</v>
      </c>
      <c r="N722" s="195">
        <v>0.67800000000000005</v>
      </c>
      <c r="O722" s="195">
        <v>0.70099999999999996</v>
      </c>
      <c r="P722" s="195">
        <v>0.70299999999999996</v>
      </c>
      <c r="Q722" s="195">
        <v>0.71599999999999997</v>
      </c>
      <c r="R722" s="195">
        <v>0.73</v>
      </c>
      <c r="S722" s="195">
        <v>0.76600000000000001</v>
      </c>
      <c r="T722" s="195">
        <v>0.753</v>
      </c>
      <c r="U722" s="195">
        <v>0.76200000000000001</v>
      </c>
      <c r="V722" s="195">
        <v>0.78800000000000003</v>
      </c>
      <c r="W722" s="195">
        <v>0.80700000000000005</v>
      </c>
      <c r="X722" s="195">
        <v>0.81499999999999995</v>
      </c>
      <c r="Y722" s="195">
        <v>0.83799999999999997</v>
      </c>
      <c r="Z722" s="195">
        <v>0.81200000000000006</v>
      </c>
    </row>
    <row r="723" spans="1:26">
      <c r="A723" s="195" t="s">
        <v>312</v>
      </c>
      <c r="B723" s="195" t="s">
        <v>285</v>
      </c>
      <c r="C723" s="195">
        <v>0.72899999999999998</v>
      </c>
      <c r="D723" s="195">
        <v>0.70399999999999996</v>
      </c>
      <c r="E723" s="195">
        <v>0.65600000000000003</v>
      </c>
      <c r="F723" s="195">
        <v>0.64600000000000002</v>
      </c>
      <c r="G723" s="195">
        <v>0.64200000000000002</v>
      </c>
      <c r="H723" s="195">
        <v>0.64100000000000001</v>
      </c>
      <c r="I723" s="195">
        <v>0.63200000000000001</v>
      </c>
      <c r="J723" s="195">
        <v>0.629</v>
      </c>
      <c r="K723" s="195">
        <v>0.63400000000000001</v>
      </c>
      <c r="L723" s="195">
        <v>0.63600000000000001</v>
      </c>
      <c r="M723" s="195">
        <v>0.64200000000000002</v>
      </c>
      <c r="N723" s="195">
        <v>0.64</v>
      </c>
      <c r="O723" s="195">
        <v>0.65200000000000002</v>
      </c>
      <c r="P723" s="195">
        <v>0.65700000000000003</v>
      </c>
      <c r="Q723" s="195">
        <v>0.66700000000000004</v>
      </c>
      <c r="R723" s="195">
        <v>0.67800000000000005</v>
      </c>
      <c r="S723" s="195">
        <v>0.69799999999999995</v>
      </c>
      <c r="T723" s="195">
        <v>0.69899999999999995</v>
      </c>
      <c r="U723" s="195">
        <v>0.70799999999999996</v>
      </c>
      <c r="V723" s="195">
        <v>0.72199999999999998</v>
      </c>
      <c r="W723" s="195">
        <v>0.73299999999999998</v>
      </c>
      <c r="X723" s="195">
        <v>0.74</v>
      </c>
      <c r="Y723" s="195">
        <v>0.752</v>
      </c>
      <c r="Z723" s="195">
        <v>0.76200000000000001</v>
      </c>
    </row>
    <row r="724" spans="1:26">
      <c r="A724" s="195" t="s">
        <v>316</v>
      </c>
    </row>
    <row r="725" spans="1:26">
      <c r="A725" s="195" t="s">
        <v>303</v>
      </c>
      <c r="B725" s="195" t="s">
        <v>285</v>
      </c>
      <c r="C725" s="195">
        <v>0.48699999999999999</v>
      </c>
      <c r="D725" s="195">
        <v>0.45800000000000002</v>
      </c>
      <c r="E725" s="195">
        <v>0.42</v>
      </c>
      <c r="F725" s="195">
        <v>0.38900000000000001</v>
      </c>
      <c r="G725" s="195">
        <v>0.38700000000000001</v>
      </c>
      <c r="H725" s="195">
        <v>0.38400000000000001</v>
      </c>
      <c r="I725" s="195">
        <v>0.38200000000000001</v>
      </c>
      <c r="J725" s="195">
        <v>0.379</v>
      </c>
      <c r="K725" s="195">
        <v>0.377</v>
      </c>
      <c r="L725" s="195">
        <v>0.38200000000000001</v>
      </c>
      <c r="M725" s="195">
        <v>0.38700000000000001</v>
      </c>
      <c r="N725" s="195">
        <v>0.39200000000000002</v>
      </c>
      <c r="O725" s="195">
        <v>0.39600000000000002</v>
      </c>
      <c r="P725" s="195">
        <v>0.40200000000000002</v>
      </c>
      <c r="Q725" s="195">
        <v>0.40899999999999997</v>
      </c>
      <c r="R725" s="195">
        <v>0.41599999999999998</v>
      </c>
      <c r="S725" s="195">
        <v>0.42399999999999999</v>
      </c>
      <c r="T725" s="195">
        <v>0.43099999999999999</v>
      </c>
      <c r="U725" s="195">
        <v>0.438</v>
      </c>
      <c r="V725" s="195">
        <v>0.443</v>
      </c>
      <c r="W725" s="195">
        <v>0.44800000000000001</v>
      </c>
      <c r="X725" s="195">
        <v>0.45300000000000001</v>
      </c>
      <c r="Y725" s="195">
        <v>0.45800000000000002</v>
      </c>
      <c r="Z725" s="195">
        <v>0.46300000000000002</v>
      </c>
    </row>
    <row r="726" spans="1:26">
      <c r="A726" s="195" t="s">
        <v>304</v>
      </c>
      <c r="B726" s="195" t="s">
        <v>285</v>
      </c>
      <c r="C726" s="195">
        <v>0.57199999999999995</v>
      </c>
      <c r="D726" s="195">
        <v>0.54300000000000004</v>
      </c>
      <c r="E726" s="195">
        <v>0.505</v>
      </c>
      <c r="F726" s="195">
        <v>0.47399999999999998</v>
      </c>
      <c r="G726" s="195">
        <v>0.47099999999999997</v>
      </c>
      <c r="H726" s="195">
        <v>0.46899999999999997</v>
      </c>
      <c r="I726" s="195">
        <v>0.46600000000000003</v>
      </c>
      <c r="J726" s="195">
        <v>0.46400000000000002</v>
      </c>
      <c r="K726" s="195">
        <v>0.46200000000000002</v>
      </c>
      <c r="L726" s="195">
        <v>0.46600000000000003</v>
      </c>
      <c r="M726" s="195">
        <v>0.47099999999999997</v>
      </c>
      <c r="N726" s="195">
        <v>0.47599999999999998</v>
      </c>
      <c r="O726" s="195">
        <v>0.48099999999999998</v>
      </c>
      <c r="P726" s="195">
        <v>0.48599999999999999</v>
      </c>
      <c r="Q726" s="195">
        <v>0.49299999999999999</v>
      </c>
      <c r="R726" s="195">
        <v>0.501</v>
      </c>
      <c r="S726" s="195">
        <v>0.50800000000000001</v>
      </c>
      <c r="T726" s="195">
        <v>0.51600000000000001</v>
      </c>
      <c r="U726" s="195">
        <v>0.52300000000000002</v>
      </c>
      <c r="V726" s="195">
        <v>0.52800000000000002</v>
      </c>
      <c r="W726" s="195">
        <v>0.53300000000000003</v>
      </c>
      <c r="X726" s="195">
        <v>0.53800000000000003</v>
      </c>
      <c r="Y726" s="195">
        <v>0.54300000000000004</v>
      </c>
      <c r="Z726" s="195">
        <v>0.54800000000000004</v>
      </c>
    </row>
    <row r="727" spans="1:26">
      <c r="A727" s="195" t="s">
        <v>305</v>
      </c>
      <c r="B727" s="195" t="s">
        <v>285</v>
      </c>
      <c r="C727" s="195">
        <v>0.81</v>
      </c>
      <c r="D727" s="195">
        <v>0.79</v>
      </c>
      <c r="E727" s="195">
        <v>0.751</v>
      </c>
      <c r="F727" s="195">
        <v>0.71499999999999997</v>
      </c>
      <c r="G727" s="195">
        <v>0.71499999999999997</v>
      </c>
      <c r="H727" s="195">
        <v>0.70399999999999996</v>
      </c>
      <c r="I727" s="195">
        <v>0.71</v>
      </c>
      <c r="J727" s="195">
        <v>0.70199999999999996</v>
      </c>
      <c r="K727" s="195">
        <v>0.70799999999999996</v>
      </c>
      <c r="L727" s="195">
        <v>0.70099999999999996</v>
      </c>
      <c r="M727" s="195">
        <v>0.72</v>
      </c>
      <c r="N727" s="195">
        <v>0.71799999999999997</v>
      </c>
      <c r="O727" s="195">
        <v>0.72399999999999998</v>
      </c>
      <c r="P727" s="195">
        <v>0.72699999999999998</v>
      </c>
      <c r="Q727" s="195">
        <v>0.73599999999999999</v>
      </c>
      <c r="R727" s="195">
        <v>0.746</v>
      </c>
      <c r="S727" s="195">
        <v>0.75900000000000001</v>
      </c>
      <c r="T727" s="195">
        <v>0.76500000000000001</v>
      </c>
      <c r="U727" s="195">
        <v>0.77400000000000002</v>
      </c>
      <c r="V727" s="195">
        <v>0.78100000000000003</v>
      </c>
      <c r="W727" s="195">
        <v>0.78700000000000003</v>
      </c>
      <c r="X727" s="195">
        <v>0.79300000000000004</v>
      </c>
      <c r="Y727" s="195">
        <v>0.8</v>
      </c>
      <c r="Z727" s="195">
        <v>0.81299999999999994</v>
      </c>
    </row>
    <row r="728" spans="1:26">
      <c r="A728" s="195" t="s">
        <v>306</v>
      </c>
      <c r="B728" s="195" t="s">
        <v>285</v>
      </c>
      <c r="C728" s="195">
        <v>0.69399999999999995</v>
      </c>
      <c r="D728" s="195">
        <v>0.67500000000000004</v>
      </c>
      <c r="E728" s="195">
        <v>0.63500000000000001</v>
      </c>
      <c r="F728" s="195">
        <v>0.59899999999999998</v>
      </c>
      <c r="G728" s="195">
        <v>0.6</v>
      </c>
      <c r="H728" s="195">
        <v>0.58899999999999997</v>
      </c>
      <c r="I728" s="195">
        <v>0.59399999999999997</v>
      </c>
      <c r="J728" s="195">
        <v>0.58699999999999997</v>
      </c>
      <c r="K728" s="195">
        <v>0.59199999999999997</v>
      </c>
      <c r="L728" s="195">
        <v>0.58599999999999997</v>
      </c>
      <c r="M728" s="195">
        <v>0.60499999999999998</v>
      </c>
      <c r="N728" s="195">
        <v>0.60299999999999998</v>
      </c>
      <c r="O728" s="195">
        <v>0.60899999999999999</v>
      </c>
      <c r="P728" s="195">
        <v>0.61099999999999999</v>
      </c>
      <c r="Q728" s="195">
        <v>0.621</v>
      </c>
      <c r="R728" s="195">
        <v>0.63</v>
      </c>
      <c r="S728" s="195">
        <v>0.64400000000000002</v>
      </c>
      <c r="T728" s="195">
        <v>0.64900000000000002</v>
      </c>
      <c r="U728" s="195">
        <v>0.65900000000000003</v>
      </c>
      <c r="V728" s="195">
        <v>0.66500000000000004</v>
      </c>
      <c r="W728" s="195">
        <v>0.67200000000000004</v>
      </c>
      <c r="X728" s="195">
        <v>0.67800000000000005</v>
      </c>
      <c r="Y728" s="195">
        <v>0.68400000000000005</v>
      </c>
      <c r="Z728" s="195">
        <v>0.69799999999999995</v>
      </c>
    </row>
    <row r="729" spans="1:26">
      <c r="A729" s="195" t="s">
        <v>307</v>
      </c>
      <c r="B729" s="195" t="s">
        <v>285</v>
      </c>
      <c r="C729" s="195">
        <v>0.77300000000000002</v>
      </c>
      <c r="D729" s="195">
        <v>0.754</v>
      </c>
      <c r="E729" s="195">
        <v>0.71399999999999997</v>
      </c>
      <c r="F729" s="195">
        <v>0.67400000000000004</v>
      </c>
      <c r="G729" s="195">
        <v>0.67100000000000004</v>
      </c>
      <c r="H729" s="195">
        <v>0.66700000000000004</v>
      </c>
      <c r="I729" s="195">
        <v>0.66400000000000003</v>
      </c>
      <c r="J729" s="195">
        <v>0.66100000000000003</v>
      </c>
      <c r="K729" s="195">
        <v>0.65800000000000003</v>
      </c>
      <c r="L729" s="195">
        <v>0.66400000000000003</v>
      </c>
      <c r="M729" s="195">
        <v>0.67100000000000004</v>
      </c>
      <c r="N729" s="195">
        <v>0.67700000000000005</v>
      </c>
      <c r="O729" s="195">
        <v>0.68300000000000005</v>
      </c>
      <c r="P729" s="195">
        <v>0.69</v>
      </c>
      <c r="Q729" s="195">
        <v>0.69899999999999995</v>
      </c>
      <c r="R729" s="195">
        <v>0.70899999999999996</v>
      </c>
      <c r="S729" s="195">
        <v>0.71899999999999997</v>
      </c>
      <c r="T729" s="195">
        <v>0.72799999999999998</v>
      </c>
      <c r="U729" s="195">
        <v>0.73799999999999999</v>
      </c>
      <c r="V729" s="195">
        <v>0.74399999999999999</v>
      </c>
      <c r="W729" s="195">
        <v>0.751</v>
      </c>
      <c r="X729" s="195">
        <v>0.75700000000000001</v>
      </c>
      <c r="Y729" s="195">
        <v>0.76400000000000001</v>
      </c>
      <c r="Z729" s="195">
        <v>0.77700000000000002</v>
      </c>
    </row>
    <row r="730" spans="1:26">
      <c r="A730" s="195" t="s">
        <v>308</v>
      </c>
      <c r="B730" s="195" t="s">
        <v>285</v>
      </c>
      <c r="C730" s="195">
        <v>0.68799999999999994</v>
      </c>
      <c r="D730" s="195">
        <v>0.66800000000000004</v>
      </c>
      <c r="E730" s="195">
        <v>0.629</v>
      </c>
      <c r="F730" s="195">
        <v>0.59299999999999997</v>
      </c>
      <c r="G730" s="195">
        <v>0.58899999999999997</v>
      </c>
      <c r="H730" s="195">
        <v>0.58199999999999996</v>
      </c>
      <c r="I730" s="195">
        <v>0.58299999999999996</v>
      </c>
      <c r="J730" s="195">
        <v>0.57999999999999996</v>
      </c>
      <c r="K730" s="195">
        <v>0.57699999999999996</v>
      </c>
      <c r="L730" s="195">
        <v>0.57899999999999996</v>
      </c>
      <c r="M730" s="195">
        <v>0.58899999999999997</v>
      </c>
      <c r="N730" s="195">
        <v>0.59599999999999997</v>
      </c>
      <c r="O730" s="195">
        <v>0.60199999999999998</v>
      </c>
      <c r="P730" s="195">
        <v>0.60499999999999998</v>
      </c>
      <c r="Q730" s="195">
        <v>0.61399999999999999</v>
      </c>
      <c r="R730" s="195">
        <v>0.624</v>
      </c>
      <c r="S730" s="195">
        <v>0.63800000000000001</v>
      </c>
      <c r="T730" s="195">
        <v>0.64300000000000002</v>
      </c>
      <c r="U730" s="195">
        <v>0.65300000000000002</v>
      </c>
      <c r="V730" s="195">
        <v>0.65900000000000003</v>
      </c>
      <c r="W730" s="195">
        <v>0.66600000000000004</v>
      </c>
      <c r="X730" s="195">
        <v>0.67200000000000004</v>
      </c>
      <c r="Y730" s="195">
        <v>0.67800000000000005</v>
      </c>
      <c r="Z730" s="195">
        <v>0.69199999999999995</v>
      </c>
    </row>
    <row r="731" spans="1:26">
      <c r="A731" s="195" t="s">
        <v>309</v>
      </c>
      <c r="B731" s="195" t="s">
        <v>285</v>
      </c>
      <c r="C731" s="195">
        <v>0.78600000000000003</v>
      </c>
      <c r="D731" s="195">
        <v>0.747</v>
      </c>
      <c r="E731" s="195">
        <v>0.70699999999999996</v>
      </c>
      <c r="F731" s="195">
        <v>0.66700000000000004</v>
      </c>
      <c r="G731" s="195">
        <v>0.66400000000000003</v>
      </c>
      <c r="H731" s="195">
        <v>0.66100000000000003</v>
      </c>
      <c r="I731" s="195">
        <v>0.65700000000000003</v>
      </c>
      <c r="J731" s="195">
        <v>0.65400000000000003</v>
      </c>
      <c r="K731" s="195">
        <v>0.65100000000000002</v>
      </c>
      <c r="L731" s="195">
        <v>0.65700000000000003</v>
      </c>
      <c r="M731" s="195">
        <v>0.66400000000000003</v>
      </c>
      <c r="N731" s="195">
        <v>0.67</v>
      </c>
      <c r="O731" s="195">
        <v>0.67700000000000005</v>
      </c>
      <c r="P731" s="195">
        <v>0.68300000000000005</v>
      </c>
      <c r="Q731" s="195">
        <v>0.69299999999999995</v>
      </c>
      <c r="R731" s="195">
        <v>0.70199999999999996</v>
      </c>
      <c r="S731" s="195">
        <v>0.71199999999999997</v>
      </c>
      <c r="T731" s="195">
        <v>0.72099999999999997</v>
      </c>
      <c r="U731" s="195">
        <v>0.73099999999999998</v>
      </c>
      <c r="V731" s="195">
        <v>0.73699999999999999</v>
      </c>
      <c r="W731" s="195">
        <v>0.74399999999999999</v>
      </c>
      <c r="X731" s="195">
        <v>0.75</v>
      </c>
      <c r="Y731" s="195">
        <v>0.75600000000000001</v>
      </c>
      <c r="Z731" s="195">
        <v>0.77</v>
      </c>
    </row>
    <row r="732" spans="1:26">
      <c r="A732" s="195" t="s">
        <v>310</v>
      </c>
      <c r="B732" s="195" t="s">
        <v>285</v>
      </c>
      <c r="C732" s="195">
        <v>0.873</v>
      </c>
      <c r="D732" s="195">
        <v>0.84299999999999997</v>
      </c>
      <c r="E732" s="195">
        <v>0.79800000000000004</v>
      </c>
      <c r="F732" s="195">
        <v>0.77800000000000002</v>
      </c>
      <c r="G732" s="195">
        <v>0.77800000000000002</v>
      </c>
      <c r="H732" s="195">
        <v>0.76800000000000002</v>
      </c>
      <c r="I732" s="195">
        <v>0.77300000000000002</v>
      </c>
      <c r="J732" s="195">
        <v>0.75800000000000001</v>
      </c>
      <c r="K732" s="195">
        <v>0.77100000000000002</v>
      </c>
      <c r="L732" s="195">
        <v>0.752</v>
      </c>
      <c r="M732" s="195">
        <v>0.78400000000000003</v>
      </c>
      <c r="N732" s="195">
        <v>0.78100000000000003</v>
      </c>
      <c r="O732" s="195">
        <v>0.78800000000000003</v>
      </c>
      <c r="P732" s="195">
        <v>0.78700000000000003</v>
      </c>
      <c r="Q732" s="195">
        <v>0.78800000000000003</v>
      </c>
      <c r="R732" s="195">
        <v>0.80800000000000005</v>
      </c>
      <c r="S732" s="195">
        <v>0.82299999999999995</v>
      </c>
      <c r="T732" s="195">
        <v>0.81499999999999995</v>
      </c>
      <c r="U732" s="195">
        <v>0.82</v>
      </c>
      <c r="V732" s="195">
        <v>0.83699999999999997</v>
      </c>
      <c r="W732" s="195">
        <v>0.84299999999999997</v>
      </c>
      <c r="X732" s="195">
        <v>0.84</v>
      </c>
      <c r="Y732" s="195">
        <v>0.84899999999999998</v>
      </c>
      <c r="Z732" s="195">
        <v>0.85699999999999998</v>
      </c>
    </row>
    <row r="733" spans="1:26">
      <c r="A733" s="195" t="s">
        <v>311</v>
      </c>
      <c r="B733" s="195" t="s">
        <v>285</v>
      </c>
      <c r="C733" s="195">
        <v>0.749</v>
      </c>
      <c r="D733" s="195">
        <v>0.73399999999999999</v>
      </c>
      <c r="E733" s="195">
        <v>0.66900000000000004</v>
      </c>
      <c r="F733" s="195">
        <v>0.70399999999999996</v>
      </c>
      <c r="G733" s="195">
        <v>0.7</v>
      </c>
      <c r="H733" s="195">
        <v>0.70099999999999996</v>
      </c>
      <c r="I733" s="195">
        <v>0.68100000000000005</v>
      </c>
      <c r="J733" s="195">
        <v>0.67900000000000005</v>
      </c>
      <c r="K733" s="195">
        <v>0.69499999999999995</v>
      </c>
      <c r="L733" s="195">
        <v>0.69</v>
      </c>
      <c r="M733" s="195">
        <v>0.69499999999999995</v>
      </c>
      <c r="N733" s="195">
        <v>0.67800000000000005</v>
      </c>
      <c r="O733" s="195">
        <v>0.70099999999999996</v>
      </c>
      <c r="P733" s="195">
        <v>0.70299999999999996</v>
      </c>
      <c r="Q733" s="195">
        <v>0.71599999999999997</v>
      </c>
      <c r="R733" s="195">
        <v>0.73</v>
      </c>
      <c r="S733" s="195">
        <v>0.76600000000000001</v>
      </c>
      <c r="T733" s="195">
        <v>0.753</v>
      </c>
      <c r="U733" s="195">
        <v>0.76200000000000001</v>
      </c>
      <c r="V733" s="195">
        <v>0.78800000000000003</v>
      </c>
      <c r="W733" s="195">
        <v>0.80700000000000005</v>
      </c>
      <c r="X733" s="195">
        <v>0.81499999999999995</v>
      </c>
      <c r="Y733" s="195">
        <v>0.83799999999999997</v>
      </c>
      <c r="Z733" s="195">
        <v>0.84499999999999997</v>
      </c>
    </row>
    <row r="734" spans="1:26">
      <c r="A734" s="195" t="s">
        <v>312</v>
      </c>
      <c r="B734" s="195" t="s">
        <v>285</v>
      </c>
      <c r="C734" s="195">
        <v>0.72899999999999998</v>
      </c>
      <c r="D734" s="195">
        <v>0.70399999999999996</v>
      </c>
      <c r="E734" s="195">
        <v>0.65600000000000003</v>
      </c>
      <c r="F734" s="195">
        <v>0.64600000000000002</v>
      </c>
      <c r="G734" s="195">
        <v>0.64200000000000002</v>
      </c>
      <c r="H734" s="195">
        <v>0.64100000000000001</v>
      </c>
      <c r="I734" s="195">
        <v>0.63200000000000001</v>
      </c>
      <c r="J734" s="195">
        <v>0.629</v>
      </c>
      <c r="K734" s="195">
        <v>0.63400000000000001</v>
      </c>
      <c r="L734" s="195">
        <v>0.63600000000000001</v>
      </c>
      <c r="M734" s="195">
        <v>0.64200000000000002</v>
      </c>
      <c r="N734" s="195">
        <v>0.64</v>
      </c>
      <c r="O734" s="195">
        <v>0.65200000000000002</v>
      </c>
      <c r="P734" s="195">
        <v>0.65700000000000003</v>
      </c>
      <c r="Q734" s="195">
        <v>0.66700000000000004</v>
      </c>
      <c r="R734" s="195">
        <v>0.67800000000000005</v>
      </c>
      <c r="S734" s="195">
        <v>0.69799999999999995</v>
      </c>
      <c r="T734" s="195">
        <v>0.69899999999999995</v>
      </c>
      <c r="U734" s="195">
        <v>0.70799999999999996</v>
      </c>
      <c r="V734" s="195">
        <v>0.72199999999999998</v>
      </c>
      <c r="W734" s="195">
        <v>0.73299999999999998</v>
      </c>
      <c r="X734" s="195">
        <v>0.74</v>
      </c>
      <c r="Y734" s="195">
        <v>0.752</v>
      </c>
      <c r="Z734" s="195">
        <v>0.76200000000000001</v>
      </c>
    </row>
    <row r="735" spans="1:26">
      <c r="A735" s="195" t="s">
        <v>318</v>
      </c>
    </row>
    <row r="736" spans="1:26">
      <c r="A736" s="195" t="s">
        <v>303</v>
      </c>
      <c r="B736" s="195" t="s">
        <v>285</v>
      </c>
      <c r="C736" s="195">
        <v>4.1000000000000002E-2</v>
      </c>
      <c r="D736" s="195">
        <v>4.1000000000000002E-2</v>
      </c>
      <c r="E736" s="195">
        <v>4.1000000000000002E-2</v>
      </c>
      <c r="F736" s="195">
        <v>4.1000000000000002E-2</v>
      </c>
      <c r="G736" s="195">
        <v>4.1000000000000002E-2</v>
      </c>
      <c r="H736" s="195">
        <v>4.1000000000000002E-2</v>
      </c>
      <c r="I736" s="195">
        <v>4.1000000000000002E-2</v>
      </c>
      <c r="J736" s="195">
        <v>4.1000000000000002E-2</v>
      </c>
      <c r="K736" s="195">
        <v>4.1000000000000002E-2</v>
      </c>
      <c r="L736" s="195">
        <v>4.1000000000000002E-2</v>
      </c>
      <c r="M736" s="195">
        <v>4.1000000000000002E-2</v>
      </c>
      <c r="N736" s="195">
        <v>4.1000000000000002E-2</v>
      </c>
      <c r="O736" s="195">
        <v>4.1000000000000002E-2</v>
      </c>
      <c r="P736" s="195">
        <v>4.1000000000000002E-2</v>
      </c>
      <c r="Q736" s="195">
        <v>4.1000000000000002E-2</v>
      </c>
      <c r="R736" s="195">
        <v>4.1000000000000002E-2</v>
      </c>
      <c r="S736" s="195">
        <v>4.1000000000000002E-2</v>
      </c>
      <c r="T736" s="195">
        <v>4.1000000000000002E-2</v>
      </c>
      <c r="U736" s="195">
        <v>4.1000000000000002E-2</v>
      </c>
      <c r="V736" s="195">
        <v>4.1000000000000002E-2</v>
      </c>
      <c r="W736" s="195">
        <v>4.1000000000000002E-2</v>
      </c>
      <c r="X736" s="195">
        <v>4.1000000000000002E-2</v>
      </c>
      <c r="Y736" s="195">
        <v>4.1000000000000002E-2</v>
      </c>
      <c r="Z736" s="195">
        <v>4.1000000000000002E-2</v>
      </c>
    </row>
    <row r="737" spans="1:26">
      <c r="A737" s="195" t="s">
        <v>304</v>
      </c>
      <c r="B737" s="195" t="s">
        <v>285</v>
      </c>
      <c r="C737" s="195">
        <v>0.17</v>
      </c>
      <c r="D737" s="195">
        <v>0.16600000000000001</v>
      </c>
      <c r="E737" s="195">
        <v>0.16200000000000001</v>
      </c>
      <c r="F737" s="195">
        <v>0.158</v>
      </c>
      <c r="G737" s="195">
        <v>0.158</v>
      </c>
      <c r="H737" s="195">
        <v>0.158</v>
      </c>
      <c r="I737" s="195">
        <v>0.157</v>
      </c>
      <c r="J737" s="195">
        <v>0.157</v>
      </c>
      <c r="K737" s="195">
        <v>0.157</v>
      </c>
      <c r="L737" s="195">
        <v>0.157</v>
      </c>
      <c r="M737" s="195">
        <v>0.158</v>
      </c>
      <c r="N737" s="195">
        <v>0.159</v>
      </c>
      <c r="O737" s="195">
        <v>0.159</v>
      </c>
      <c r="P737" s="195">
        <v>0.16</v>
      </c>
      <c r="Q737" s="195">
        <v>0.161</v>
      </c>
      <c r="R737" s="195">
        <v>0.16200000000000001</v>
      </c>
      <c r="S737" s="195">
        <v>0.16300000000000001</v>
      </c>
      <c r="T737" s="195">
        <v>0.16400000000000001</v>
      </c>
      <c r="U737" s="195">
        <v>0.16500000000000001</v>
      </c>
      <c r="V737" s="195">
        <v>0.16500000000000001</v>
      </c>
      <c r="W737" s="195">
        <v>0.16600000000000001</v>
      </c>
      <c r="X737" s="195">
        <v>0.16700000000000001</v>
      </c>
      <c r="Y737" s="195">
        <v>0.16700000000000001</v>
      </c>
      <c r="Z737" s="195">
        <v>0.16800000000000001</v>
      </c>
    </row>
    <row r="738" spans="1:26">
      <c r="A738" s="195" t="s">
        <v>305</v>
      </c>
      <c r="B738" s="195" t="s">
        <v>285</v>
      </c>
      <c r="C738" s="195">
        <v>0.154</v>
      </c>
      <c r="D738" s="195">
        <v>0.15</v>
      </c>
      <c r="E738" s="195">
        <v>0.14599999999999999</v>
      </c>
      <c r="F738" s="195">
        <v>0.14199999999999999</v>
      </c>
      <c r="G738" s="195">
        <v>0.14099999999999999</v>
      </c>
      <c r="H738" s="195">
        <v>0.14099999999999999</v>
      </c>
      <c r="I738" s="195">
        <v>0.14099999999999999</v>
      </c>
      <c r="J738" s="195">
        <v>0.14000000000000001</v>
      </c>
      <c r="K738" s="195">
        <v>0.14000000000000001</v>
      </c>
      <c r="L738" s="195">
        <v>0.14099999999999999</v>
      </c>
      <c r="M738" s="195">
        <v>0.14099999999999999</v>
      </c>
      <c r="N738" s="195">
        <v>0.14199999999999999</v>
      </c>
      <c r="O738" s="195">
        <v>0.14299999999999999</v>
      </c>
      <c r="P738" s="195">
        <v>0.14299999999999999</v>
      </c>
      <c r="Q738" s="195">
        <v>0.14399999999999999</v>
      </c>
      <c r="R738" s="195">
        <v>0.14499999999999999</v>
      </c>
      <c r="S738" s="195">
        <v>0.14599999999999999</v>
      </c>
      <c r="T738" s="195">
        <v>0.14699999999999999</v>
      </c>
      <c r="U738" s="195">
        <v>0.14799999999999999</v>
      </c>
      <c r="V738" s="195">
        <v>0.14899999999999999</v>
      </c>
      <c r="W738" s="195">
        <v>0.14899999999999999</v>
      </c>
      <c r="X738" s="195">
        <v>0.15</v>
      </c>
      <c r="Y738" s="195">
        <v>0.151</v>
      </c>
      <c r="Z738" s="195">
        <v>0.151</v>
      </c>
    </row>
    <row r="739" spans="1:26">
      <c r="A739" s="195" t="s">
        <v>306</v>
      </c>
      <c r="B739" s="195" t="s">
        <v>285</v>
      </c>
      <c r="C739" s="195">
        <v>7.0000000000000001E-3</v>
      </c>
      <c r="D739" s="195">
        <v>7.0000000000000001E-3</v>
      </c>
      <c r="E739" s="195">
        <v>7.0000000000000001E-3</v>
      </c>
      <c r="F739" s="195">
        <v>7.0000000000000001E-3</v>
      </c>
      <c r="G739" s="195">
        <v>7.0000000000000001E-3</v>
      </c>
      <c r="H739" s="195">
        <v>7.0000000000000001E-3</v>
      </c>
      <c r="I739" s="195">
        <v>7.0000000000000001E-3</v>
      </c>
      <c r="J739" s="195">
        <v>7.0000000000000001E-3</v>
      </c>
      <c r="K739" s="195">
        <v>7.0000000000000001E-3</v>
      </c>
      <c r="L739" s="195">
        <v>7.0000000000000001E-3</v>
      </c>
      <c r="M739" s="195">
        <v>7.0000000000000001E-3</v>
      </c>
      <c r="N739" s="195">
        <v>7.0000000000000001E-3</v>
      </c>
      <c r="O739" s="195">
        <v>7.0000000000000001E-3</v>
      </c>
      <c r="P739" s="195">
        <v>7.0000000000000001E-3</v>
      </c>
      <c r="Q739" s="195">
        <v>7.0000000000000001E-3</v>
      </c>
      <c r="R739" s="195">
        <v>7.0000000000000001E-3</v>
      </c>
      <c r="S739" s="195">
        <v>7.0000000000000001E-3</v>
      </c>
      <c r="T739" s="195">
        <v>7.0000000000000001E-3</v>
      </c>
      <c r="U739" s="195">
        <v>7.0000000000000001E-3</v>
      </c>
      <c r="V739" s="195">
        <v>7.0000000000000001E-3</v>
      </c>
      <c r="W739" s="195">
        <v>7.0000000000000001E-3</v>
      </c>
      <c r="X739" s="195">
        <v>7.0000000000000001E-3</v>
      </c>
      <c r="Y739" s="195">
        <v>7.0000000000000001E-3</v>
      </c>
      <c r="Z739" s="195">
        <v>7.0000000000000001E-3</v>
      </c>
    </row>
    <row r="740" spans="1:26">
      <c r="A740" s="195" t="s">
        <v>307</v>
      </c>
      <c r="B740" s="195" t="s">
        <v>285</v>
      </c>
      <c r="C740" s="195">
        <v>0.08</v>
      </c>
      <c r="D740" s="195">
        <v>0.08</v>
      </c>
      <c r="E740" s="195">
        <v>0.08</v>
      </c>
      <c r="F740" s="195">
        <v>0.08</v>
      </c>
      <c r="G740" s="195">
        <v>0.08</v>
      </c>
      <c r="H740" s="195">
        <v>0.08</v>
      </c>
      <c r="I740" s="195">
        <v>0.08</v>
      </c>
      <c r="J740" s="195">
        <v>0.08</v>
      </c>
      <c r="K740" s="195">
        <v>0.08</v>
      </c>
      <c r="L740" s="195">
        <v>0.08</v>
      </c>
      <c r="M740" s="195">
        <v>0.08</v>
      </c>
      <c r="N740" s="195">
        <v>0.08</v>
      </c>
      <c r="O740" s="195">
        <v>0.08</v>
      </c>
      <c r="P740" s="195">
        <v>0.08</v>
      </c>
      <c r="Q740" s="195">
        <v>0.08</v>
      </c>
      <c r="R740" s="195">
        <v>0.08</v>
      </c>
      <c r="S740" s="195">
        <v>0.08</v>
      </c>
      <c r="T740" s="195">
        <v>0.08</v>
      </c>
      <c r="U740" s="195">
        <v>0.08</v>
      </c>
      <c r="V740" s="195">
        <v>0.08</v>
      </c>
      <c r="W740" s="195">
        <v>0.08</v>
      </c>
      <c r="X740" s="195">
        <v>0.08</v>
      </c>
      <c r="Y740" s="195">
        <v>0.08</v>
      </c>
      <c r="Z740" s="195">
        <v>0.08</v>
      </c>
    </row>
    <row r="741" spans="1:26">
      <c r="A741" s="195" t="s">
        <v>308</v>
      </c>
      <c r="B741" s="195" t="s">
        <v>285</v>
      </c>
      <c r="C741" s="195">
        <v>0</v>
      </c>
      <c r="D741" s="195">
        <v>0</v>
      </c>
      <c r="E741" s="195">
        <v>0</v>
      </c>
      <c r="F741" s="195">
        <v>0</v>
      </c>
      <c r="G741" s="195">
        <v>0</v>
      </c>
      <c r="H741" s="195">
        <v>0</v>
      </c>
      <c r="I741" s="195">
        <v>0</v>
      </c>
      <c r="J741" s="195">
        <v>0</v>
      </c>
      <c r="K741" s="195">
        <v>0</v>
      </c>
      <c r="L741" s="195">
        <v>0</v>
      </c>
      <c r="M741" s="195">
        <v>0</v>
      </c>
      <c r="N741" s="195">
        <v>0</v>
      </c>
      <c r="O741" s="195">
        <v>0</v>
      </c>
      <c r="P741" s="195">
        <v>0</v>
      </c>
      <c r="Q741" s="195">
        <v>0</v>
      </c>
      <c r="R741" s="195">
        <v>0</v>
      </c>
      <c r="S741" s="195">
        <v>0</v>
      </c>
      <c r="T741" s="195">
        <v>0</v>
      </c>
      <c r="U741" s="195">
        <v>0</v>
      </c>
      <c r="V741" s="195">
        <v>0</v>
      </c>
      <c r="W741" s="195">
        <v>0</v>
      </c>
      <c r="X741" s="195">
        <v>0</v>
      </c>
      <c r="Y741" s="195">
        <v>0</v>
      </c>
      <c r="Z741" s="195">
        <v>-0.01</v>
      </c>
    </row>
    <row r="742" spans="1:26">
      <c r="A742" s="195" t="s">
        <v>309</v>
      </c>
      <c r="B742" s="195" t="s">
        <v>285</v>
      </c>
      <c r="C742" s="195">
        <v>0.12</v>
      </c>
      <c r="D742" s="195">
        <v>0.11600000000000001</v>
      </c>
      <c r="E742" s="195">
        <v>0.112</v>
      </c>
      <c r="F742" s="195">
        <v>0.108</v>
      </c>
      <c r="G742" s="195">
        <v>0.108</v>
      </c>
      <c r="H742" s="195">
        <v>0.108</v>
      </c>
      <c r="I742" s="195">
        <v>0.107</v>
      </c>
      <c r="J742" s="195">
        <v>0.107</v>
      </c>
      <c r="K742" s="195">
        <v>0.107</v>
      </c>
      <c r="L742" s="195">
        <v>0.107</v>
      </c>
      <c r="M742" s="195">
        <v>0.108</v>
      </c>
      <c r="N742" s="195">
        <v>0.108</v>
      </c>
      <c r="O742" s="195">
        <v>0.109</v>
      </c>
      <c r="P742" s="195">
        <v>0.11</v>
      </c>
      <c r="Q742" s="195">
        <v>0.111</v>
      </c>
      <c r="R742" s="195">
        <v>0.112</v>
      </c>
      <c r="S742" s="195">
        <v>0.113</v>
      </c>
      <c r="T742" s="195">
        <v>0.114</v>
      </c>
      <c r="U742" s="195">
        <v>0.115</v>
      </c>
      <c r="V742" s="195">
        <v>0.115</v>
      </c>
      <c r="W742" s="195">
        <v>0.11600000000000001</v>
      </c>
      <c r="X742" s="195">
        <v>0.11600000000000001</v>
      </c>
      <c r="Y742" s="195">
        <v>0.11700000000000001</v>
      </c>
      <c r="Z742" s="195">
        <v>0.11799999999999999</v>
      </c>
    </row>
    <row r="743" spans="1:26">
      <c r="A743" s="195" t="s">
        <v>310</v>
      </c>
      <c r="B743" s="195" t="s">
        <v>285</v>
      </c>
      <c r="C743" s="195">
        <v>6.7000000000000004E-2</v>
      </c>
      <c r="D743" s="195">
        <v>6.3E-2</v>
      </c>
      <c r="E743" s="195">
        <v>5.8999999999999997E-2</v>
      </c>
      <c r="F743" s="195">
        <v>5.5E-2</v>
      </c>
      <c r="G743" s="195">
        <v>5.3999999999999999E-2</v>
      </c>
      <c r="H743" s="195">
        <v>5.3999999999999999E-2</v>
      </c>
      <c r="I743" s="195">
        <v>5.3999999999999999E-2</v>
      </c>
      <c r="J743" s="195">
        <v>5.2999999999999999E-2</v>
      </c>
      <c r="K743" s="195">
        <v>5.2999999999999999E-2</v>
      </c>
      <c r="L743" s="195">
        <v>5.3999999999999999E-2</v>
      </c>
      <c r="M743" s="195">
        <v>5.3999999999999999E-2</v>
      </c>
      <c r="N743" s="195">
        <v>5.5E-2</v>
      </c>
      <c r="O743" s="195">
        <v>5.6000000000000001E-2</v>
      </c>
      <c r="P743" s="195">
        <v>5.6000000000000001E-2</v>
      </c>
      <c r="Q743" s="195">
        <v>5.7000000000000002E-2</v>
      </c>
      <c r="R743" s="195">
        <v>5.8000000000000003E-2</v>
      </c>
      <c r="S743" s="195">
        <v>5.8999999999999997E-2</v>
      </c>
      <c r="T743" s="195">
        <v>0.06</v>
      </c>
      <c r="U743" s="195">
        <v>6.0999999999999999E-2</v>
      </c>
      <c r="V743" s="195">
        <v>6.2E-2</v>
      </c>
      <c r="W743" s="195">
        <v>6.2E-2</v>
      </c>
      <c r="X743" s="195">
        <v>6.3E-2</v>
      </c>
      <c r="Y743" s="195">
        <v>6.4000000000000001E-2</v>
      </c>
      <c r="Z743" s="195">
        <v>6.4000000000000001E-2</v>
      </c>
    </row>
    <row r="744" spans="1:26">
      <c r="A744" s="195" t="s">
        <v>311</v>
      </c>
      <c r="B744" s="195" t="s">
        <v>285</v>
      </c>
      <c r="C744" s="195">
        <v>0.11899999999999999</v>
      </c>
      <c r="D744" s="195">
        <v>0.115</v>
      </c>
      <c r="E744" s="195">
        <v>0.111</v>
      </c>
      <c r="F744" s="195">
        <v>0.107</v>
      </c>
      <c r="G744" s="195">
        <v>0.107</v>
      </c>
      <c r="H744" s="195">
        <v>0.107</v>
      </c>
      <c r="I744" s="195">
        <v>0.106</v>
      </c>
      <c r="J744" s="195">
        <v>0.106</v>
      </c>
      <c r="K744" s="195">
        <v>0.106</v>
      </c>
      <c r="L744" s="195">
        <v>0.106</v>
      </c>
      <c r="M744" s="195">
        <v>0.107</v>
      </c>
      <c r="N744" s="195">
        <v>0.107</v>
      </c>
      <c r="O744" s="195">
        <v>0.108</v>
      </c>
      <c r="P744" s="195">
        <v>0.109</v>
      </c>
      <c r="Q744" s="195">
        <v>0.11</v>
      </c>
      <c r="R744" s="195">
        <v>0.111</v>
      </c>
      <c r="S744" s="195">
        <v>0.112</v>
      </c>
      <c r="T744" s="195">
        <v>0.113</v>
      </c>
      <c r="U744" s="195">
        <v>0.114</v>
      </c>
      <c r="V744" s="195">
        <v>0.114</v>
      </c>
      <c r="W744" s="195">
        <v>0.115</v>
      </c>
      <c r="X744" s="195">
        <v>0.115</v>
      </c>
      <c r="Y744" s="195">
        <v>0.11600000000000001</v>
      </c>
      <c r="Z744" s="195">
        <v>0.11700000000000001</v>
      </c>
    </row>
    <row r="745" spans="1:26">
      <c r="A745" s="195" t="s">
        <v>312</v>
      </c>
      <c r="B745" s="195" t="s">
        <v>285</v>
      </c>
      <c r="C745" s="195">
        <v>0</v>
      </c>
      <c r="D745" s="195">
        <v>0</v>
      </c>
      <c r="E745" s="195">
        <v>0</v>
      </c>
      <c r="F745" s="195">
        <v>0</v>
      </c>
      <c r="G745" s="195">
        <v>0</v>
      </c>
      <c r="H745" s="195">
        <v>0</v>
      </c>
      <c r="I745" s="195">
        <v>0</v>
      </c>
      <c r="J745" s="195">
        <v>0</v>
      </c>
      <c r="K745" s="195">
        <v>0</v>
      </c>
      <c r="L745" s="195">
        <v>0</v>
      </c>
      <c r="M745" s="195">
        <v>0</v>
      </c>
      <c r="N745" s="195">
        <v>0</v>
      </c>
      <c r="O745" s="195">
        <v>0</v>
      </c>
      <c r="P745" s="195">
        <v>0</v>
      </c>
      <c r="Q745" s="195">
        <v>0</v>
      </c>
      <c r="R745" s="195">
        <v>0</v>
      </c>
      <c r="S745" s="195">
        <v>0</v>
      </c>
      <c r="T745" s="195">
        <v>0</v>
      </c>
      <c r="U745" s="195">
        <v>0</v>
      </c>
      <c r="V745" s="195">
        <v>0</v>
      </c>
      <c r="W745" s="195">
        <v>0</v>
      </c>
      <c r="X745" s="195">
        <v>0</v>
      </c>
      <c r="Y745" s="195">
        <v>0</v>
      </c>
      <c r="Z745" s="195">
        <v>0</v>
      </c>
    </row>
    <row r="746" spans="1:26">
      <c r="A746" s="195" t="s">
        <v>281</v>
      </c>
      <c r="B746" s="195" t="s">
        <v>282</v>
      </c>
      <c r="C746" s="195" t="s">
        <v>283</v>
      </c>
      <c r="D746" s="195" t="s">
        <v>283</v>
      </c>
      <c r="E746" s="195" t="s">
        <v>283</v>
      </c>
      <c r="F746" s="195" t="s">
        <v>283</v>
      </c>
      <c r="G746" s="195" t="s">
        <v>283</v>
      </c>
      <c r="H746" s="195" t="s">
        <v>283</v>
      </c>
      <c r="I746" s="195" t="s">
        <v>283</v>
      </c>
      <c r="J746" s="195" t="s">
        <v>283</v>
      </c>
      <c r="K746" s="195" t="s">
        <v>283</v>
      </c>
      <c r="L746" s="195" t="s">
        <v>283</v>
      </c>
      <c r="M746" s="195" t="s">
        <v>283</v>
      </c>
      <c r="N746" s="195" t="s">
        <v>283</v>
      </c>
      <c r="O746" s="195" t="s">
        <v>283</v>
      </c>
      <c r="P746" s="195" t="s">
        <v>283</v>
      </c>
      <c r="Q746" s="195" t="s">
        <v>283</v>
      </c>
      <c r="R746" s="195" t="s">
        <v>283</v>
      </c>
      <c r="S746" s="195" t="s">
        <v>283</v>
      </c>
      <c r="T746" s="195" t="s">
        <v>283</v>
      </c>
      <c r="U746" s="195" t="s">
        <v>283</v>
      </c>
      <c r="V746" s="195" t="s">
        <v>283</v>
      </c>
      <c r="W746" s="195" t="s">
        <v>283</v>
      </c>
      <c r="X746" s="195" t="s">
        <v>283</v>
      </c>
      <c r="Y746" s="195" t="s">
        <v>283</v>
      </c>
      <c r="Z746" s="195" t="s">
        <v>284</v>
      </c>
    </row>
    <row r="748" spans="1:26">
      <c r="C748" s="202" t="str">
        <f>CONCATENATE(M748,N748,O748,P748,Q748,R748)</f>
        <v>Table 8US EndUse Prices$/Gal</v>
      </c>
      <c r="M748" s="195" t="s">
        <v>297</v>
      </c>
      <c r="N748" s="195" t="s">
        <v>298</v>
      </c>
      <c r="O748" s="195" t="s">
        <v>299</v>
      </c>
      <c r="P748" s="195" t="s">
        <v>300</v>
      </c>
      <c r="Q748" s="195" t="s">
        <v>319</v>
      </c>
      <c r="R748" s="195" t="s">
        <v>302</v>
      </c>
    </row>
    <row r="749" spans="1:26">
      <c r="A749" s="195" t="s">
        <v>276</v>
      </c>
      <c r="B749" s="195" t="s">
        <v>277</v>
      </c>
      <c r="C749" s="195">
        <v>11006</v>
      </c>
      <c r="D749" s="195" t="s">
        <v>278</v>
      </c>
      <c r="E749" s="195" t="s">
        <v>279</v>
      </c>
      <c r="F749" s="195" t="s">
        <v>280</v>
      </c>
    </row>
    <row r="750" spans="1:26">
      <c r="A750" s="195" t="s">
        <v>281</v>
      </c>
      <c r="B750" s="195" t="s">
        <v>282</v>
      </c>
      <c r="C750" s="195" t="s">
        <v>283</v>
      </c>
      <c r="D750" s="195" t="s">
        <v>283</v>
      </c>
      <c r="E750" s="195" t="s">
        <v>283</v>
      </c>
      <c r="F750" s="195" t="s">
        <v>283</v>
      </c>
      <c r="G750" s="195" t="s">
        <v>283</v>
      </c>
      <c r="H750" s="195" t="s">
        <v>283</v>
      </c>
      <c r="I750" s="195" t="s">
        <v>283</v>
      </c>
      <c r="J750" s="195" t="s">
        <v>283</v>
      </c>
      <c r="K750" s="195" t="s">
        <v>283</v>
      </c>
      <c r="L750" s="195" t="s">
        <v>283</v>
      </c>
      <c r="M750" s="195" t="s">
        <v>283</v>
      </c>
      <c r="N750" s="195" t="s">
        <v>283</v>
      </c>
      <c r="O750" s="195" t="s">
        <v>283</v>
      </c>
      <c r="P750" s="195" t="s">
        <v>283</v>
      </c>
      <c r="Q750" s="195" t="s">
        <v>283</v>
      </c>
      <c r="R750" s="195" t="s">
        <v>283</v>
      </c>
      <c r="S750" s="195" t="s">
        <v>283</v>
      </c>
      <c r="T750" s="195" t="s">
        <v>283</v>
      </c>
      <c r="U750" s="195" t="s">
        <v>283</v>
      </c>
      <c r="V750" s="195" t="s">
        <v>283</v>
      </c>
      <c r="W750" s="195" t="s">
        <v>283</v>
      </c>
      <c r="X750" s="195" t="s">
        <v>283</v>
      </c>
      <c r="Y750" s="195" t="s">
        <v>283</v>
      </c>
      <c r="Z750" s="195" t="s">
        <v>284</v>
      </c>
    </row>
    <row r="751" spans="1:26">
      <c r="C751" s="195">
        <v>2007</v>
      </c>
      <c r="D751" s="195">
        <v>2008</v>
      </c>
      <c r="E751" s="195">
        <v>2009</v>
      </c>
      <c r="F751" s="195">
        <v>2010</v>
      </c>
      <c r="G751" s="195">
        <v>2011</v>
      </c>
      <c r="H751" s="195">
        <v>2012</v>
      </c>
      <c r="I751" s="195">
        <v>2013</v>
      </c>
      <c r="J751" s="195">
        <v>2014</v>
      </c>
      <c r="K751" s="195">
        <v>2015</v>
      </c>
      <c r="L751" s="195">
        <v>2016</v>
      </c>
      <c r="M751" s="195">
        <v>2017</v>
      </c>
      <c r="N751" s="195">
        <v>2018</v>
      </c>
      <c r="O751" s="195">
        <v>2019</v>
      </c>
      <c r="P751" s="195">
        <v>2020</v>
      </c>
      <c r="Q751" s="195">
        <v>2021</v>
      </c>
      <c r="R751" s="195">
        <v>2022</v>
      </c>
      <c r="S751" s="195">
        <v>2023</v>
      </c>
      <c r="T751" s="195">
        <v>2024</v>
      </c>
      <c r="U751" s="195">
        <v>2025</v>
      </c>
      <c r="V751" s="195">
        <v>2026</v>
      </c>
      <c r="W751" s="195">
        <v>2027</v>
      </c>
      <c r="X751" s="195">
        <v>2028</v>
      </c>
      <c r="Y751" s="195">
        <v>2029</v>
      </c>
      <c r="Z751" s="195">
        <v>2030</v>
      </c>
    </row>
    <row r="752" spans="1:26">
      <c r="A752" s="195" t="s">
        <v>281</v>
      </c>
      <c r="B752" s="195" t="s">
        <v>282</v>
      </c>
      <c r="C752" s="195" t="s">
        <v>283</v>
      </c>
      <c r="D752" s="195" t="s">
        <v>283</v>
      </c>
      <c r="E752" s="195" t="s">
        <v>283</v>
      </c>
      <c r="F752" s="195" t="s">
        <v>283</v>
      </c>
      <c r="G752" s="195" t="s">
        <v>283</v>
      </c>
      <c r="H752" s="195" t="s">
        <v>283</v>
      </c>
      <c r="I752" s="195" t="s">
        <v>283</v>
      </c>
      <c r="J752" s="195" t="s">
        <v>283</v>
      </c>
      <c r="K752" s="195" t="s">
        <v>283</v>
      </c>
      <c r="L752" s="195" t="s">
        <v>283</v>
      </c>
      <c r="M752" s="195" t="s">
        <v>283</v>
      </c>
      <c r="N752" s="195" t="s">
        <v>283</v>
      </c>
      <c r="O752" s="195" t="s">
        <v>283</v>
      </c>
      <c r="P752" s="195" t="s">
        <v>283</v>
      </c>
      <c r="Q752" s="195" t="s">
        <v>283</v>
      </c>
      <c r="R752" s="195" t="s">
        <v>283</v>
      </c>
      <c r="S752" s="195" t="s">
        <v>283</v>
      </c>
      <c r="T752" s="195" t="s">
        <v>283</v>
      </c>
      <c r="U752" s="195" t="s">
        <v>283</v>
      </c>
      <c r="V752" s="195" t="s">
        <v>283</v>
      </c>
      <c r="W752" s="195" t="s">
        <v>283</v>
      </c>
      <c r="X752" s="195" t="s">
        <v>283</v>
      </c>
      <c r="Y752" s="195" t="s">
        <v>283</v>
      </c>
      <c r="Z752" s="195" t="s">
        <v>284</v>
      </c>
    </row>
    <row r="753" spans="1:26">
      <c r="A753" s="195" t="s">
        <v>210</v>
      </c>
    </row>
    <row r="754" spans="1:26">
      <c r="A754" s="195" t="s">
        <v>303</v>
      </c>
      <c r="B754" s="195" t="s">
        <v>285</v>
      </c>
      <c r="C754" s="195">
        <v>0.73899999999999999</v>
      </c>
      <c r="D754" s="195">
        <v>0.70599999999999996</v>
      </c>
      <c r="E754" s="195">
        <v>0.55600000000000005</v>
      </c>
      <c r="F754" s="195">
        <v>0.71599999999999997</v>
      </c>
      <c r="G754" s="195">
        <v>0.63600000000000001</v>
      </c>
      <c r="H754" s="195">
        <v>0.64800000000000002</v>
      </c>
      <c r="I754" s="195">
        <v>0.65100000000000002</v>
      </c>
      <c r="J754" s="195">
        <v>0.61699999999999999</v>
      </c>
      <c r="K754" s="195">
        <v>0.59099999999999997</v>
      </c>
      <c r="L754" s="195">
        <v>0.61599999999999999</v>
      </c>
      <c r="M754" s="195">
        <v>0.629</v>
      </c>
      <c r="N754" s="195">
        <v>0.60899999999999999</v>
      </c>
      <c r="O754" s="195">
        <v>0.63300000000000001</v>
      </c>
      <c r="P754" s="195">
        <v>0.69699999999999995</v>
      </c>
      <c r="Q754" s="195">
        <v>0.625</v>
      </c>
      <c r="R754" s="195">
        <v>0.63200000000000001</v>
      </c>
      <c r="S754" s="195">
        <v>0.77200000000000002</v>
      </c>
      <c r="T754" s="195">
        <v>0.71599999999999997</v>
      </c>
      <c r="U754" s="195">
        <v>0.746</v>
      </c>
      <c r="V754" s="195">
        <v>0.75800000000000001</v>
      </c>
      <c r="W754" s="195">
        <v>0.75700000000000001</v>
      </c>
      <c r="X754" s="195">
        <v>0.77</v>
      </c>
      <c r="Y754" s="195">
        <v>0.753</v>
      </c>
      <c r="Z754" s="195">
        <v>0.76300000000000001</v>
      </c>
    </row>
    <row r="755" spans="1:26">
      <c r="A755" s="195" t="s">
        <v>304</v>
      </c>
      <c r="B755" s="195" t="s">
        <v>285</v>
      </c>
      <c r="C755" s="195">
        <v>0.72699999999999998</v>
      </c>
      <c r="D755" s="195">
        <v>0.69399999999999995</v>
      </c>
      <c r="E755" s="195">
        <v>0.54500000000000004</v>
      </c>
      <c r="F755" s="195">
        <v>0.70499999999999996</v>
      </c>
      <c r="G755" s="195">
        <v>0.624</v>
      </c>
      <c r="H755" s="195">
        <v>0.63600000000000001</v>
      </c>
      <c r="I755" s="195">
        <v>0.64</v>
      </c>
      <c r="J755" s="195">
        <v>0.60599999999999998</v>
      </c>
      <c r="K755" s="195">
        <v>0.57999999999999996</v>
      </c>
      <c r="L755" s="195">
        <v>0.60399999999999998</v>
      </c>
      <c r="M755" s="195">
        <v>0.61799999999999999</v>
      </c>
      <c r="N755" s="195">
        <v>0.59699999999999998</v>
      </c>
      <c r="O755" s="195">
        <v>0.621</v>
      </c>
      <c r="P755" s="195">
        <v>0.68500000000000005</v>
      </c>
      <c r="Q755" s="195">
        <v>0.61299999999999999</v>
      </c>
      <c r="R755" s="195">
        <v>0.621</v>
      </c>
      <c r="S755" s="195">
        <v>0.76</v>
      </c>
      <c r="T755" s="195">
        <v>0.70399999999999996</v>
      </c>
      <c r="U755" s="195">
        <v>0.73399999999999999</v>
      </c>
      <c r="V755" s="195">
        <v>0.747</v>
      </c>
      <c r="W755" s="195">
        <v>0.745</v>
      </c>
      <c r="X755" s="195">
        <v>0.75800000000000001</v>
      </c>
      <c r="Y755" s="195">
        <v>0.74099999999999999</v>
      </c>
      <c r="Z755" s="195">
        <v>0.752</v>
      </c>
    </row>
    <row r="756" spans="1:26">
      <c r="A756" s="195" t="s">
        <v>305</v>
      </c>
      <c r="B756" s="195" t="s">
        <v>285</v>
      </c>
      <c r="C756" s="195">
        <v>0.80100000000000005</v>
      </c>
      <c r="D756" s="195">
        <v>0.77200000000000002</v>
      </c>
      <c r="E756" s="195">
        <v>0.73099999999999998</v>
      </c>
      <c r="F756" s="195">
        <v>0.73499999999999999</v>
      </c>
      <c r="G756" s="195">
        <v>0.70499999999999996</v>
      </c>
      <c r="H756" s="195">
        <v>0.68400000000000005</v>
      </c>
      <c r="I756" s="195">
        <v>0.70699999999999996</v>
      </c>
      <c r="J756" s="195">
        <v>0.69799999999999995</v>
      </c>
      <c r="K756" s="195">
        <v>0.72099999999999997</v>
      </c>
      <c r="L756" s="195">
        <v>0.66100000000000003</v>
      </c>
      <c r="M756" s="195">
        <v>0.72499999999999998</v>
      </c>
      <c r="N756" s="195">
        <v>0.69799999999999995</v>
      </c>
      <c r="O756" s="195">
        <v>0.71199999999999997</v>
      </c>
      <c r="P756" s="195">
        <v>0.68799999999999994</v>
      </c>
      <c r="Q756" s="195">
        <v>0.70199999999999996</v>
      </c>
      <c r="R756" s="195">
        <v>0.73599999999999999</v>
      </c>
      <c r="S756" s="195">
        <v>0.78500000000000003</v>
      </c>
      <c r="T756" s="195">
        <v>0.73499999999999999</v>
      </c>
      <c r="U756" s="195">
        <v>0.75</v>
      </c>
      <c r="V756" s="195">
        <v>0.76400000000000001</v>
      </c>
      <c r="W756" s="195">
        <v>0.77200000000000002</v>
      </c>
      <c r="X756" s="195">
        <v>0.79</v>
      </c>
      <c r="Y756" s="195">
        <v>0.84199999999999997</v>
      </c>
      <c r="Z756" s="195">
        <v>0.85699999999999998</v>
      </c>
    </row>
    <row r="757" spans="1:26">
      <c r="A757" s="195" t="s">
        <v>306</v>
      </c>
      <c r="B757" s="195" t="s">
        <v>285</v>
      </c>
      <c r="C757" s="195">
        <v>0.81299999999999994</v>
      </c>
      <c r="D757" s="195">
        <v>0.78400000000000003</v>
      </c>
      <c r="E757" s="195">
        <v>0.74199999999999999</v>
      </c>
      <c r="F757" s="195">
        <v>0.747</v>
      </c>
      <c r="G757" s="195">
        <v>0.71699999999999997</v>
      </c>
      <c r="H757" s="195">
        <v>0.69499999999999995</v>
      </c>
      <c r="I757" s="195">
        <v>0.71799999999999997</v>
      </c>
      <c r="J757" s="195">
        <v>0.70899999999999996</v>
      </c>
      <c r="K757" s="195">
        <v>0.73299999999999998</v>
      </c>
      <c r="L757" s="195">
        <v>0.67200000000000004</v>
      </c>
      <c r="M757" s="195">
        <v>0.73699999999999999</v>
      </c>
      <c r="N757" s="195">
        <v>0.71</v>
      </c>
      <c r="O757" s="195">
        <v>0.72299999999999998</v>
      </c>
      <c r="P757" s="195">
        <v>0.7</v>
      </c>
      <c r="Q757" s="195">
        <v>0.71299999999999997</v>
      </c>
      <c r="R757" s="195">
        <v>0.747</v>
      </c>
      <c r="S757" s="195">
        <v>0.79600000000000004</v>
      </c>
      <c r="T757" s="195">
        <v>0.747</v>
      </c>
      <c r="U757" s="195">
        <v>0.76200000000000001</v>
      </c>
      <c r="V757" s="195">
        <v>0.77600000000000002</v>
      </c>
      <c r="W757" s="195">
        <v>0.78400000000000003</v>
      </c>
      <c r="X757" s="195">
        <v>0.80200000000000005</v>
      </c>
      <c r="Y757" s="195">
        <v>0.85399999999999998</v>
      </c>
      <c r="Z757" s="195">
        <v>0.86899999999999999</v>
      </c>
    </row>
    <row r="758" spans="1:26">
      <c r="A758" s="195" t="s">
        <v>307</v>
      </c>
      <c r="B758" s="195" t="s">
        <v>285</v>
      </c>
      <c r="C758" s="195">
        <v>0.81599999999999995</v>
      </c>
      <c r="D758" s="195">
        <v>0.78600000000000003</v>
      </c>
      <c r="E758" s="195">
        <v>0.745</v>
      </c>
      <c r="F758" s="195">
        <v>0.749</v>
      </c>
      <c r="G758" s="195">
        <v>0.71899999999999997</v>
      </c>
      <c r="H758" s="195">
        <v>0.69499999999999995</v>
      </c>
      <c r="I758" s="195">
        <v>0.72099999999999997</v>
      </c>
      <c r="J758" s="195">
        <v>0.71099999999999997</v>
      </c>
      <c r="K758" s="195">
        <v>0.73499999999999999</v>
      </c>
      <c r="L758" s="195">
        <v>0.67200000000000004</v>
      </c>
      <c r="M758" s="195">
        <v>0.74</v>
      </c>
      <c r="N758" s="195">
        <v>0.71199999999999997</v>
      </c>
      <c r="O758" s="195">
        <v>0.72599999999999998</v>
      </c>
      <c r="P758" s="195">
        <v>0.70199999999999996</v>
      </c>
      <c r="Q758" s="195">
        <v>0.71599999999999997</v>
      </c>
      <c r="R758" s="195">
        <v>0.75</v>
      </c>
      <c r="S758" s="195">
        <v>0.79900000000000004</v>
      </c>
      <c r="T758" s="195">
        <v>0.749</v>
      </c>
      <c r="U758" s="195">
        <v>0.76400000000000001</v>
      </c>
      <c r="V758" s="195">
        <v>0.77800000000000002</v>
      </c>
      <c r="W758" s="195">
        <v>0.78600000000000003</v>
      </c>
      <c r="X758" s="195">
        <v>0.80500000000000005</v>
      </c>
      <c r="Y758" s="195">
        <v>0.85699999999999998</v>
      </c>
      <c r="Z758" s="195">
        <v>0.871</v>
      </c>
    </row>
    <row r="759" spans="1:26">
      <c r="A759" s="195" t="s">
        <v>308</v>
      </c>
      <c r="B759" s="195" t="s">
        <v>285</v>
      </c>
      <c r="C759" s="195">
        <v>0.81299999999999994</v>
      </c>
      <c r="D759" s="195">
        <v>0.78300000000000003</v>
      </c>
      <c r="E759" s="195">
        <v>0.74199999999999999</v>
      </c>
      <c r="F759" s="195">
        <v>0.746</v>
      </c>
      <c r="G759" s="195">
        <v>0.71599999999999997</v>
      </c>
      <c r="H759" s="195">
        <v>0.69499999999999995</v>
      </c>
      <c r="I759" s="195">
        <v>0.71799999999999997</v>
      </c>
      <c r="J759" s="195">
        <v>0.70899999999999996</v>
      </c>
      <c r="K759" s="195">
        <v>0.73199999999999998</v>
      </c>
      <c r="L759" s="195">
        <v>0.67200000000000004</v>
      </c>
      <c r="M759" s="195">
        <v>0.73699999999999999</v>
      </c>
      <c r="N759" s="195">
        <v>0.71</v>
      </c>
      <c r="O759" s="195">
        <v>0.72299999999999998</v>
      </c>
      <c r="P759" s="195">
        <v>0.69899999999999995</v>
      </c>
      <c r="Q759" s="195">
        <v>0.71299999999999997</v>
      </c>
      <c r="R759" s="195">
        <v>0.747</v>
      </c>
      <c r="S759" s="195">
        <v>0.79600000000000004</v>
      </c>
      <c r="T759" s="195">
        <v>0.746</v>
      </c>
      <c r="U759" s="195">
        <v>0.76100000000000001</v>
      </c>
      <c r="V759" s="195">
        <v>0.77500000000000002</v>
      </c>
      <c r="W759" s="195">
        <v>0.78400000000000003</v>
      </c>
      <c r="X759" s="195">
        <v>0.80200000000000005</v>
      </c>
      <c r="Y759" s="195">
        <v>0.85399999999999998</v>
      </c>
      <c r="Z759" s="195">
        <v>0.86799999999999999</v>
      </c>
    </row>
    <row r="760" spans="1:26">
      <c r="A760" s="195" t="s">
        <v>309</v>
      </c>
      <c r="B760" s="195" t="s">
        <v>285</v>
      </c>
      <c r="C760" s="195">
        <v>0.83699999999999997</v>
      </c>
      <c r="D760" s="195">
        <v>0.79600000000000004</v>
      </c>
      <c r="E760" s="195">
        <v>0.75700000000000001</v>
      </c>
      <c r="F760" s="195">
        <v>0.749</v>
      </c>
      <c r="G760" s="195">
        <v>0.70799999999999996</v>
      </c>
      <c r="H760" s="195">
        <v>0.68400000000000005</v>
      </c>
      <c r="I760" s="195">
        <v>0.71</v>
      </c>
      <c r="J760" s="195">
        <v>0.7</v>
      </c>
      <c r="K760" s="195">
        <v>0.72599999999999998</v>
      </c>
      <c r="L760" s="195">
        <v>0.66100000000000003</v>
      </c>
      <c r="M760" s="195">
        <v>0.73099999999999998</v>
      </c>
      <c r="N760" s="195">
        <v>0.70099999999999996</v>
      </c>
      <c r="O760" s="195">
        <v>0.71599999999999997</v>
      </c>
      <c r="P760" s="195">
        <v>0.69099999999999995</v>
      </c>
      <c r="Q760" s="195">
        <v>0.70399999999999996</v>
      </c>
      <c r="R760" s="195">
        <v>0.73799999999999999</v>
      </c>
      <c r="S760" s="195">
        <v>0.79900000000000004</v>
      </c>
      <c r="T760" s="195">
        <v>0.73699999999999999</v>
      </c>
      <c r="U760" s="195">
        <v>0.752</v>
      </c>
      <c r="V760" s="195">
        <v>0.76600000000000001</v>
      </c>
      <c r="W760" s="195">
        <v>0.77500000000000002</v>
      </c>
      <c r="X760" s="195">
        <v>0.79300000000000004</v>
      </c>
      <c r="Y760" s="195">
        <v>0.84499999999999997</v>
      </c>
      <c r="Z760" s="195">
        <v>0.871</v>
      </c>
    </row>
    <row r="761" spans="1:26">
      <c r="A761" s="195" t="s">
        <v>310</v>
      </c>
      <c r="B761" s="195" t="s">
        <v>285</v>
      </c>
      <c r="C761" s="195">
        <v>0.82299999999999995</v>
      </c>
      <c r="D761" s="195">
        <v>0.78400000000000003</v>
      </c>
      <c r="E761" s="195">
        <v>0.74299999999999999</v>
      </c>
      <c r="F761" s="195">
        <v>0.75600000000000001</v>
      </c>
      <c r="G761" s="195">
        <v>0.71899999999999997</v>
      </c>
      <c r="H761" s="195">
        <v>0.69499999999999995</v>
      </c>
      <c r="I761" s="195">
        <v>0.72099999999999997</v>
      </c>
      <c r="J761" s="195">
        <v>0.69799999999999995</v>
      </c>
      <c r="K761" s="195">
        <v>0.72099999999999997</v>
      </c>
      <c r="L761" s="195">
        <v>0.67200000000000004</v>
      </c>
      <c r="M761" s="195">
        <v>0.73899999999999999</v>
      </c>
      <c r="N761" s="195">
        <v>0.71199999999999997</v>
      </c>
      <c r="O761" s="195">
        <v>0.72799999999999998</v>
      </c>
      <c r="P761" s="195">
        <v>0.70199999999999996</v>
      </c>
      <c r="Q761" s="195">
        <v>0.70199999999999996</v>
      </c>
      <c r="R761" s="195">
        <v>0.73599999999999999</v>
      </c>
      <c r="S761" s="195">
        <v>0.78500000000000003</v>
      </c>
      <c r="T761" s="195">
        <v>0.73499999999999999</v>
      </c>
      <c r="U761" s="195">
        <v>0.75</v>
      </c>
      <c r="V761" s="195">
        <v>0.76400000000000001</v>
      </c>
      <c r="W761" s="195">
        <v>0.77200000000000002</v>
      </c>
      <c r="X761" s="195">
        <v>0.79</v>
      </c>
      <c r="Y761" s="195">
        <v>0.84199999999999997</v>
      </c>
      <c r="Z761" s="195">
        <v>0.85699999999999998</v>
      </c>
    </row>
    <row r="762" spans="1:26">
      <c r="A762" s="195" t="s">
        <v>311</v>
      </c>
      <c r="B762" s="195" t="s">
        <v>285</v>
      </c>
      <c r="C762" s="195">
        <v>0.75800000000000001</v>
      </c>
      <c r="D762" s="195">
        <v>0.751</v>
      </c>
      <c r="E762" s="195">
        <v>0.68899999999999995</v>
      </c>
      <c r="F762" s="195">
        <v>0.73099999999999998</v>
      </c>
      <c r="G762" s="195">
        <v>0.71399999999999997</v>
      </c>
      <c r="H762" s="195">
        <v>0.71099999999999997</v>
      </c>
      <c r="I762" s="195">
        <v>0.68899999999999995</v>
      </c>
      <c r="J762" s="195">
        <v>0.68700000000000006</v>
      </c>
      <c r="K762" s="195">
        <v>0.69599999999999995</v>
      </c>
      <c r="L762" s="195">
        <v>0.68500000000000005</v>
      </c>
      <c r="M762" s="195">
        <v>0.69099999999999995</v>
      </c>
      <c r="N762" s="195">
        <v>0.66700000000000004</v>
      </c>
      <c r="O762" s="195">
        <v>0.69499999999999995</v>
      </c>
      <c r="P762" s="195">
        <v>0.68600000000000005</v>
      </c>
      <c r="Q762" s="195">
        <v>0.70499999999999996</v>
      </c>
      <c r="R762" s="195">
        <v>0.71899999999999997</v>
      </c>
      <c r="S762" s="195">
        <v>0.76300000000000001</v>
      </c>
      <c r="T762" s="195">
        <v>0.74299999999999999</v>
      </c>
      <c r="U762" s="195">
        <v>0.747</v>
      </c>
      <c r="V762" s="195">
        <v>0.77</v>
      </c>
      <c r="W762" s="195">
        <v>0.78900000000000003</v>
      </c>
      <c r="X762" s="195">
        <v>0.79900000000000004</v>
      </c>
      <c r="Y762" s="195">
        <v>0.84099999999999997</v>
      </c>
      <c r="Z762" s="195">
        <v>0.85099999999999998</v>
      </c>
    </row>
    <row r="763" spans="1:26">
      <c r="A763" s="195" t="s">
        <v>312</v>
      </c>
      <c r="B763" s="195" t="s">
        <v>285</v>
      </c>
      <c r="C763" s="195">
        <v>0.79400000000000004</v>
      </c>
      <c r="D763" s="195">
        <v>0.76500000000000001</v>
      </c>
      <c r="E763" s="195">
        <v>0.70599999999999996</v>
      </c>
      <c r="F763" s="195">
        <v>0.73799999999999999</v>
      </c>
      <c r="G763" s="195">
        <v>0.70099999999999996</v>
      </c>
      <c r="H763" s="195">
        <v>0.68600000000000005</v>
      </c>
      <c r="I763" s="195">
        <v>0.70099999999999996</v>
      </c>
      <c r="J763" s="195">
        <v>0.68799999999999994</v>
      </c>
      <c r="K763" s="195">
        <v>0.70399999999999996</v>
      </c>
      <c r="L763" s="195">
        <v>0.66200000000000003</v>
      </c>
      <c r="M763" s="195">
        <v>0.71199999999999997</v>
      </c>
      <c r="N763" s="195">
        <v>0.68700000000000006</v>
      </c>
      <c r="O763" s="195">
        <v>0.70399999999999996</v>
      </c>
      <c r="P763" s="195">
        <v>0.69299999999999995</v>
      </c>
      <c r="Q763" s="195">
        <v>0.69699999999999995</v>
      </c>
      <c r="R763" s="195">
        <v>0.72399999999999998</v>
      </c>
      <c r="S763" s="195">
        <v>0.78400000000000003</v>
      </c>
      <c r="T763" s="195">
        <v>0.73799999999999999</v>
      </c>
      <c r="U763" s="195">
        <v>0.753</v>
      </c>
      <c r="V763" s="195">
        <v>0.76800000000000002</v>
      </c>
      <c r="W763" s="195">
        <v>0.77700000000000002</v>
      </c>
      <c r="X763" s="195">
        <v>0.79300000000000004</v>
      </c>
      <c r="Y763" s="195">
        <v>0.83599999999999997</v>
      </c>
      <c r="Z763" s="195">
        <v>0.85</v>
      </c>
    </row>
    <row r="764" spans="1:26">
      <c r="A764" s="195" t="s">
        <v>281</v>
      </c>
      <c r="B764" s="195" t="s">
        <v>282</v>
      </c>
      <c r="C764" s="195" t="s">
        <v>283</v>
      </c>
      <c r="D764" s="195" t="s">
        <v>283</v>
      </c>
      <c r="E764" s="195" t="s">
        <v>283</v>
      </c>
      <c r="F764" s="195" t="s">
        <v>283</v>
      </c>
      <c r="G764" s="195" t="s">
        <v>283</v>
      </c>
      <c r="H764" s="195" t="s">
        <v>283</v>
      </c>
      <c r="I764" s="195" t="s">
        <v>283</v>
      </c>
      <c r="J764" s="195" t="s">
        <v>283</v>
      </c>
      <c r="K764" s="195" t="s">
        <v>283</v>
      </c>
      <c r="L764" s="195" t="s">
        <v>283</v>
      </c>
      <c r="M764" s="195" t="s">
        <v>283</v>
      </c>
      <c r="N764" s="195" t="s">
        <v>283</v>
      </c>
      <c r="O764" s="195" t="s">
        <v>283</v>
      </c>
      <c r="P764" s="195" t="s">
        <v>283</v>
      </c>
      <c r="Q764" s="195" t="s">
        <v>283</v>
      </c>
      <c r="R764" s="195" t="s">
        <v>283</v>
      </c>
      <c r="S764" s="195" t="s">
        <v>283</v>
      </c>
      <c r="T764" s="195" t="s">
        <v>283</v>
      </c>
      <c r="U764" s="195" t="s">
        <v>283</v>
      </c>
      <c r="V764" s="195" t="s">
        <v>283</v>
      </c>
      <c r="W764" s="195" t="s">
        <v>283</v>
      </c>
      <c r="X764" s="195" t="s">
        <v>283</v>
      </c>
      <c r="Y764" s="195" t="s">
        <v>283</v>
      </c>
      <c r="Z764" s="195" t="s">
        <v>284</v>
      </c>
    </row>
  </sheetData>
  <mergeCells count="7">
    <mergeCell ref="O75:Y75"/>
    <mergeCell ref="H3:R3"/>
    <mergeCell ref="A75:F75"/>
    <mergeCell ref="A36:F36"/>
    <mergeCell ref="A3:F3"/>
    <mergeCell ref="A17:F17"/>
    <mergeCell ref="A68:F68"/>
  </mergeCells>
  <phoneticPr fontId="17" type="noConversion"/>
  <pageMargins left="0.75" right="0.75" top="1" bottom="1" header="0.5" footer="0.5"/>
  <pageSetup orientation="portrait" horizontalDpi="300" verticalDpi="300" r:id="rId1"/>
  <headerFooter alignWithMargins="0"/>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Sheet27">
    <pageSetUpPr fitToPage="1"/>
  </sheetPr>
  <dimension ref="A1:AK113"/>
  <sheetViews>
    <sheetView topLeftCell="A62" zoomScale="80" zoomScaleNormal="80" zoomScaleSheetLayoutView="80" workbookViewId="0">
      <selection activeCell="R57" sqref="R57"/>
    </sheetView>
  </sheetViews>
  <sheetFormatPr defaultColWidth="9.140625" defaultRowHeight="12.75"/>
  <cols>
    <col min="1" max="1" width="11.7109375" style="195" customWidth="1"/>
    <col min="2" max="2" width="8.28515625" style="195" bestFit="1" customWidth="1"/>
    <col min="3" max="3" width="29.7109375" style="195" bestFit="1" customWidth="1"/>
    <col min="4" max="4" width="13.7109375" style="195" customWidth="1"/>
    <col min="5" max="5" width="13.7109375" style="276" customWidth="1"/>
    <col min="6" max="7" width="13.7109375" style="277" customWidth="1"/>
    <col min="8" max="8" width="13.7109375" style="278" customWidth="1"/>
    <col min="9" max="9" width="13.7109375" style="197" customWidth="1"/>
    <col min="10" max="12" width="13.7109375" style="195" customWidth="1"/>
    <col min="13" max="13" width="2.85546875" style="195" customWidth="1"/>
    <col min="14" max="14" width="9.140625" style="195"/>
    <col min="15" max="15" width="11.42578125" style="195" customWidth="1"/>
    <col min="16" max="16" width="11.42578125" style="195" bestFit="1" customWidth="1"/>
    <col min="17" max="19" width="11.42578125" style="195" customWidth="1"/>
    <col min="20" max="20" width="12.5703125" style="195" customWidth="1"/>
    <col min="21" max="23" width="11.42578125" style="195" customWidth="1"/>
    <col min="24" max="27" width="9.140625" style="195"/>
    <col min="28" max="28" width="17.42578125" style="195" customWidth="1"/>
    <col min="29" max="29" width="21.5703125" style="195" customWidth="1"/>
    <col min="30" max="30" width="10.7109375" style="195" bestFit="1" customWidth="1"/>
    <col min="31" max="32" width="9.140625" style="195"/>
    <col min="33" max="33" width="15.28515625" style="195" customWidth="1"/>
    <col min="34" max="34" width="17.7109375" style="195" customWidth="1"/>
    <col min="35" max="16384" width="9.140625" style="195"/>
  </cols>
  <sheetData>
    <row r="1" spans="1:13" ht="15.75">
      <c r="A1" s="237" t="s">
        <v>759</v>
      </c>
    </row>
    <row r="3" spans="1:13" ht="15">
      <c r="B3" s="201"/>
      <c r="C3" s="445" t="s">
        <v>3</v>
      </c>
      <c r="D3" s="445"/>
      <c r="E3" s="445"/>
      <c r="F3" s="445"/>
      <c r="G3" s="445"/>
      <c r="H3" s="445"/>
      <c r="I3" s="445"/>
      <c r="J3" s="445"/>
      <c r="K3" s="445"/>
      <c r="L3" s="445"/>
      <c r="M3" s="201"/>
    </row>
    <row r="4" spans="1:13">
      <c r="B4" s="201"/>
      <c r="C4" s="202" t="s">
        <v>5</v>
      </c>
      <c r="D4" s="206">
        <v>1</v>
      </c>
      <c r="E4" s="206">
        <v>2</v>
      </c>
      <c r="F4" s="206">
        <v>3</v>
      </c>
      <c r="G4" s="206">
        <v>4</v>
      </c>
      <c r="H4" s="206">
        <v>5</v>
      </c>
      <c r="I4" s="206">
        <v>6</v>
      </c>
      <c r="J4" s="206">
        <v>7</v>
      </c>
      <c r="K4" s="206">
        <v>8</v>
      </c>
      <c r="L4" s="206">
        <v>9</v>
      </c>
      <c r="M4" s="201"/>
    </row>
    <row r="5" spans="1:13">
      <c r="B5" s="201"/>
      <c r="C5" s="206">
        <v>1</v>
      </c>
      <c r="D5" s="222">
        <v>0</v>
      </c>
      <c r="E5" s="222">
        <v>0</v>
      </c>
      <c r="F5" s="222"/>
      <c r="G5" s="222"/>
      <c r="H5" s="222">
        <v>0</v>
      </c>
      <c r="I5" s="222"/>
      <c r="J5" s="222"/>
      <c r="K5" s="222"/>
      <c r="L5" s="222"/>
      <c r="M5" s="201"/>
    </row>
    <row r="6" spans="1:13">
      <c r="B6" s="201"/>
      <c r="C6" s="206">
        <v>2</v>
      </c>
      <c r="D6" s="222"/>
      <c r="E6" s="222"/>
      <c r="F6" s="222">
        <v>0</v>
      </c>
      <c r="G6" s="222">
        <v>0</v>
      </c>
      <c r="H6" s="222"/>
      <c r="I6" s="222"/>
      <c r="J6" s="222"/>
      <c r="K6" s="222"/>
      <c r="L6" s="222"/>
      <c r="M6" s="201"/>
    </row>
    <row r="7" spans="1:13">
      <c r="B7" s="201"/>
      <c r="C7" s="206">
        <v>3</v>
      </c>
      <c r="D7" s="222"/>
      <c r="E7" s="222"/>
      <c r="F7" s="222"/>
      <c r="G7" s="222"/>
      <c r="H7" s="222"/>
      <c r="I7" s="222">
        <v>0</v>
      </c>
      <c r="J7" s="222">
        <v>0</v>
      </c>
      <c r="K7" s="222"/>
      <c r="L7" s="222"/>
      <c r="M7" s="201"/>
    </row>
    <row r="8" spans="1:13">
      <c r="B8" s="201"/>
      <c r="C8" s="206">
        <v>4</v>
      </c>
      <c r="D8" s="222"/>
      <c r="E8" s="222"/>
      <c r="F8" s="222"/>
      <c r="G8" s="222"/>
      <c r="H8" s="222"/>
      <c r="I8" s="222"/>
      <c r="J8" s="222"/>
      <c r="K8" s="222">
        <v>0</v>
      </c>
      <c r="L8" s="222"/>
      <c r="M8" s="201"/>
    </row>
    <row r="9" spans="1:13">
      <c r="B9" s="201"/>
      <c r="C9" s="206">
        <v>5</v>
      </c>
      <c r="D9" s="222"/>
      <c r="E9" s="222"/>
      <c r="F9" s="222"/>
      <c r="G9" s="222"/>
      <c r="H9" s="222"/>
      <c r="I9" s="222"/>
      <c r="J9" s="222"/>
      <c r="K9" s="222"/>
      <c r="L9" s="222">
        <v>0</v>
      </c>
      <c r="M9" s="201"/>
    </row>
    <row r="10" spans="1:13">
      <c r="B10" s="201"/>
      <c r="C10" s="201"/>
      <c r="D10" s="201"/>
      <c r="E10" s="201"/>
      <c r="F10" s="201"/>
      <c r="G10" s="201"/>
      <c r="H10" s="201"/>
      <c r="I10" s="201"/>
      <c r="J10" s="201"/>
      <c r="K10" s="201"/>
      <c r="L10" s="201"/>
      <c r="M10" s="201"/>
    </row>
    <row r="11" spans="1:13">
      <c r="B11" s="201"/>
      <c r="C11" s="201"/>
      <c r="D11" s="201"/>
      <c r="E11" s="201"/>
      <c r="F11" s="201"/>
      <c r="G11" s="201"/>
      <c r="H11" s="201"/>
      <c r="I11" s="201"/>
      <c r="J11" s="201"/>
      <c r="K11" s="201"/>
      <c r="L11" s="201"/>
      <c r="M11" s="201"/>
    </row>
    <row r="12" spans="1:13" ht="15">
      <c r="B12" s="201"/>
      <c r="C12" s="445" t="s">
        <v>7</v>
      </c>
      <c r="D12" s="445"/>
      <c r="E12" s="445"/>
      <c r="F12" s="445"/>
      <c r="G12" s="445"/>
      <c r="H12" s="445"/>
      <c r="I12" s="445"/>
      <c r="J12" s="445"/>
      <c r="K12" s="445"/>
      <c r="L12" s="445"/>
      <c r="M12" s="201"/>
    </row>
    <row r="13" spans="1:13">
      <c r="B13" s="201"/>
      <c r="C13" s="202" t="s">
        <v>8</v>
      </c>
      <c r="D13" s="206">
        <v>1</v>
      </c>
      <c r="E13" s="206">
        <v>2</v>
      </c>
      <c r="F13" s="206">
        <v>3</v>
      </c>
      <c r="G13" s="206">
        <v>4</v>
      </c>
      <c r="H13" s="206">
        <v>5</v>
      </c>
      <c r="I13" s="206">
        <v>6</v>
      </c>
      <c r="J13" s="206">
        <v>7</v>
      </c>
      <c r="K13" s="206">
        <v>8</v>
      </c>
      <c r="L13" s="206">
        <v>9</v>
      </c>
      <c r="M13" s="201"/>
    </row>
    <row r="14" spans="1:13">
      <c r="B14" s="201"/>
      <c r="C14" s="206">
        <v>1</v>
      </c>
      <c r="D14" s="222"/>
      <c r="E14" s="222"/>
      <c r="F14" s="222"/>
      <c r="G14" s="222"/>
      <c r="H14" s="222"/>
      <c r="I14" s="222"/>
      <c r="J14" s="222"/>
      <c r="K14" s="222"/>
      <c r="L14" s="222"/>
      <c r="M14" s="201"/>
    </row>
    <row r="15" spans="1:13">
      <c r="B15" s="201"/>
      <c r="C15" s="206">
        <v>2</v>
      </c>
      <c r="D15" s="222"/>
      <c r="E15" s="222"/>
      <c r="F15" s="222"/>
      <c r="G15" s="222"/>
      <c r="H15" s="222"/>
      <c r="I15" s="222"/>
      <c r="J15" s="222"/>
      <c r="K15" s="222"/>
      <c r="L15" s="222"/>
      <c r="M15" s="201"/>
    </row>
    <row r="16" spans="1:13">
      <c r="B16" s="201"/>
      <c r="C16" s="206">
        <v>3</v>
      </c>
      <c r="D16" s="222"/>
      <c r="E16" s="225">
        <f>$F56*Conv!$J$36/(Conv!$C$48*Conv!$I$5)/10^6</f>
        <v>0.22242615527773235</v>
      </c>
      <c r="F16" s="222"/>
      <c r="G16" s="222"/>
      <c r="H16" s="222"/>
      <c r="I16" s="225">
        <f>$F57*Conv!$J$36/(Conv!$C$48*Conv!$I$5)/10^6</f>
        <v>0.22136398035364413</v>
      </c>
      <c r="J16" s="225">
        <f>$F58*Conv!$J$36/(Conv!$C$48*Conv!$I$5)/10^6</f>
        <v>0.13517367002275038</v>
      </c>
      <c r="K16" s="225">
        <f>$F59*Conv!$J$36/(Conv!$C$48*Conv!$I$5)/10^6</f>
        <v>6.9498189360262155E-2</v>
      </c>
      <c r="L16" s="222"/>
      <c r="M16" s="201"/>
    </row>
    <row r="17" spans="2:13">
      <c r="B17" s="201"/>
      <c r="C17" s="206">
        <v>4</v>
      </c>
      <c r="D17" s="222"/>
      <c r="E17" s="225">
        <f>$F56*Conv!$J$36/(Conv!$C$48*Conv!$I$5)/10^6</f>
        <v>0.22242615527773235</v>
      </c>
      <c r="F17" s="222"/>
      <c r="G17" s="222"/>
      <c r="H17" s="222"/>
      <c r="I17" s="225">
        <f>$F57*Conv!$J$36/(Conv!$C$48*Conv!$I$5)/10^6</f>
        <v>0.22136398035364413</v>
      </c>
      <c r="J17" s="225">
        <f>$F58*Conv!$J$36/(Conv!$C$48*Conv!$I$5)/10^6</f>
        <v>0.13517367002275038</v>
      </c>
      <c r="K17" s="225">
        <f>$F59*Conv!$J$36/(Conv!$C$48*Conv!$I$5)/10^6</f>
        <v>6.9498189360262155E-2</v>
      </c>
      <c r="L17" s="222"/>
      <c r="M17" s="201"/>
    </row>
    <row r="18" spans="2:13">
      <c r="B18" s="201"/>
      <c r="C18" s="206">
        <v>5</v>
      </c>
      <c r="D18" s="222"/>
      <c r="E18" s="225">
        <f>$F67*Conv!$J$36/(Conv!$C$48*Conv!$I$5)/10^6</f>
        <v>4.6976157368289556E-2</v>
      </c>
      <c r="F18" s="222"/>
      <c r="G18" s="222"/>
      <c r="H18" s="222"/>
      <c r="I18" s="225">
        <f>$F66*Conv!$J$36/(Conv!$C$48*Conv!$I$5)/10^6</f>
        <v>6.2607089920303241E-2</v>
      </c>
      <c r="J18" s="222"/>
      <c r="K18" s="222"/>
      <c r="L18" s="222"/>
      <c r="M18" s="201"/>
    </row>
    <row r="19" spans="2:13">
      <c r="B19" s="201"/>
      <c r="C19" s="206">
        <v>6</v>
      </c>
      <c r="D19" s="222"/>
      <c r="E19" s="222"/>
      <c r="F19" s="225">
        <f>$F60*Conv!$J$36/(Conv!$C$48*Conv!$I$5)/10^6</f>
        <v>0.22104966322741679</v>
      </c>
      <c r="G19" s="225">
        <f>$F61*Conv!$J$36/(Conv!$C$48*Conv!$I$5)/10^6</f>
        <v>0.34437455451654297</v>
      </c>
      <c r="H19" s="225">
        <f>$F68*Conv!$J$36/(Conv!$C$48*Conv!$I$5)/10^6</f>
        <v>6.7965294382744235E-2</v>
      </c>
      <c r="I19" s="222"/>
      <c r="J19" s="222"/>
      <c r="K19" s="225">
        <f>$F62*Conv!$J$36/(Conv!$C$48*Conv!$I$5)/10^6</f>
        <v>0.13716349639769135</v>
      </c>
      <c r="L19" s="222"/>
      <c r="M19" s="201"/>
    </row>
    <row r="20" spans="2:13">
      <c r="B20" s="201"/>
      <c r="C20" s="206">
        <v>7</v>
      </c>
      <c r="D20" s="222"/>
      <c r="E20" s="222"/>
      <c r="F20" s="225">
        <f>$F60*Conv!$J$36/(Conv!$C$48*Conv!$I$5)/10^6</f>
        <v>0.22104966322741679</v>
      </c>
      <c r="G20" s="225">
        <f>$F61*Conv!$J$36/(Conv!$C$48*Conv!$I$5)/10^6</f>
        <v>0.34437455451654297</v>
      </c>
      <c r="H20" s="222"/>
      <c r="I20" s="225">
        <f>$F63*Conv!$J$36/(Conv!$C$48*Conv!$I$5)/10^6</f>
        <v>6.3367315698425034E-2</v>
      </c>
      <c r="J20" s="222"/>
      <c r="K20" s="225">
        <f>$F62*Conv!$J$36/(Conv!$C$48*Conv!$I$5)/10^6</f>
        <v>0.13716349639769135</v>
      </c>
      <c r="L20" s="222"/>
      <c r="M20" s="201"/>
    </row>
    <row r="21" spans="2:13">
      <c r="B21" s="201"/>
      <c r="C21" s="206">
        <v>8</v>
      </c>
      <c r="D21" s="222"/>
      <c r="E21" s="222"/>
      <c r="F21" s="222"/>
      <c r="G21" s="225">
        <f>$F64*Conv!$J$36/(Conv!$C$48*Conv!$I$5)/10^6</f>
        <v>0.17916845091545927</v>
      </c>
      <c r="H21" s="222"/>
      <c r="I21" s="222"/>
      <c r="J21" s="222"/>
      <c r="K21" s="222"/>
      <c r="L21" s="225">
        <f>$F65*Conv!$J$36/(Conv!$C$48*Conv!$I$5)/10^6</f>
        <v>0.104121168284235</v>
      </c>
      <c r="M21" s="201"/>
    </row>
    <row r="22" spans="2:13">
      <c r="B22" s="201"/>
      <c r="C22" s="206">
        <v>9</v>
      </c>
      <c r="D22" s="222"/>
      <c r="E22" s="222"/>
      <c r="F22" s="222"/>
      <c r="G22" s="222"/>
      <c r="H22" s="222"/>
      <c r="I22" s="222"/>
      <c r="J22" s="222"/>
      <c r="K22" s="222"/>
      <c r="L22" s="222"/>
      <c r="M22" s="201"/>
    </row>
    <row r="23" spans="2:13">
      <c r="B23" s="201"/>
      <c r="C23" s="201"/>
      <c r="D23" s="201"/>
      <c r="E23" s="201"/>
      <c r="F23" s="201"/>
      <c r="G23" s="201"/>
      <c r="H23" s="201"/>
      <c r="I23" s="201"/>
      <c r="J23" s="201"/>
      <c r="K23" s="201"/>
      <c r="L23" s="201"/>
      <c r="M23" s="201"/>
    </row>
    <row r="24" spans="2:13">
      <c r="B24" s="201"/>
      <c r="C24" s="201"/>
      <c r="D24" s="201"/>
      <c r="E24" s="201"/>
      <c r="F24" s="201"/>
      <c r="G24" s="201"/>
      <c r="H24" s="201"/>
      <c r="I24" s="201"/>
      <c r="J24" s="201"/>
      <c r="K24" s="201"/>
      <c r="L24" s="201"/>
      <c r="M24" s="201"/>
    </row>
    <row r="25" spans="2:13" ht="15">
      <c r="B25" s="201"/>
      <c r="C25" s="445" t="s">
        <v>9</v>
      </c>
      <c r="D25" s="445"/>
      <c r="E25" s="445"/>
      <c r="F25" s="445"/>
      <c r="G25" s="445"/>
      <c r="H25" s="445"/>
      <c r="I25" s="445"/>
      <c r="J25" s="445"/>
      <c r="K25" s="445"/>
      <c r="L25" s="445"/>
      <c r="M25" s="201"/>
    </row>
    <row r="26" spans="2:13">
      <c r="B26" s="201"/>
      <c r="C26" s="202" t="s">
        <v>8</v>
      </c>
      <c r="D26" s="206">
        <v>1</v>
      </c>
      <c r="E26" s="206">
        <v>2</v>
      </c>
      <c r="F26" s="206">
        <v>3</v>
      </c>
      <c r="G26" s="206">
        <v>4</v>
      </c>
      <c r="H26" s="206">
        <v>5</v>
      </c>
      <c r="I26" s="206">
        <v>6</v>
      </c>
      <c r="J26" s="206">
        <v>7</v>
      </c>
      <c r="K26" s="206">
        <v>8</v>
      </c>
      <c r="L26" s="206">
        <v>9</v>
      </c>
      <c r="M26" s="201"/>
    </row>
    <row r="27" spans="2:13">
      <c r="B27" s="201"/>
      <c r="C27" s="206">
        <v>1</v>
      </c>
      <c r="D27" s="222"/>
      <c r="E27" s="222"/>
      <c r="F27" s="222"/>
      <c r="G27" s="222"/>
      <c r="H27" s="222"/>
      <c r="I27" s="222"/>
      <c r="J27" s="222"/>
      <c r="K27" s="222"/>
      <c r="L27" s="222"/>
      <c r="M27" s="201"/>
    </row>
    <row r="28" spans="2:13">
      <c r="B28" s="201"/>
      <c r="C28" s="206">
        <v>2</v>
      </c>
      <c r="D28" s="222"/>
      <c r="E28" s="222"/>
      <c r="F28" s="225">
        <f>$F71*Conv!$J$36/(Conv!$C$48*Conv!$I$5)/10^6</f>
        <v>0.17319897179063642</v>
      </c>
      <c r="G28" s="222"/>
      <c r="H28" s="222"/>
      <c r="I28" s="225">
        <f>$F69*Conv!$J$36/(Conv!$C$48*Conv!$I$5)/10^6</f>
        <v>0.25509013612271392</v>
      </c>
      <c r="J28" s="225">
        <f>$F70*Conv!$J$36/(Conv!$C$48*Conv!$I$5)/10^6</f>
        <v>0.25509013612271392</v>
      </c>
      <c r="K28" s="222"/>
      <c r="L28" s="222"/>
      <c r="M28" s="201"/>
    </row>
    <row r="29" spans="2:13">
      <c r="B29" s="201"/>
      <c r="C29" s="206">
        <v>3</v>
      </c>
      <c r="D29" s="222"/>
      <c r="E29" s="225">
        <f>$F73*Conv!$J$36/(Conv!$C$48*Conv!$I$5)/10^6</f>
        <v>0.17319897179063642</v>
      </c>
      <c r="F29" s="222"/>
      <c r="G29" s="222"/>
      <c r="H29" s="225">
        <f>$F72*Conv!$J$36/(Conv!$C$48*Conv!$I$5)/10^6</f>
        <v>0.17319897179063642</v>
      </c>
      <c r="I29" s="225">
        <f>$F74*Conv!$J$36/(Conv!$C$48*Conv!$I$5)/10^6</f>
        <v>0.27745466354810683</v>
      </c>
      <c r="J29" s="225">
        <f>$F75*Conv!$J$36/(Conv!$C$48*Conv!$I$5)/10^6</f>
        <v>0.27745466354810683</v>
      </c>
      <c r="K29" s="222"/>
      <c r="L29" s="222"/>
      <c r="M29" s="201"/>
    </row>
    <row r="30" spans="2:13">
      <c r="B30" s="201"/>
      <c r="C30" s="206">
        <v>4</v>
      </c>
      <c r="D30" s="222"/>
      <c r="E30" s="225">
        <f>$F73*Conv!$J$36/(Conv!$C$48*Conv!$I$5)/10^6</f>
        <v>0.17319897179063642</v>
      </c>
      <c r="F30" s="222"/>
      <c r="G30" s="222"/>
      <c r="H30" s="225">
        <f>$F72*Conv!$J$36/(Conv!$C$48*Conv!$I$5)/10^6</f>
        <v>0.17319897179063642</v>
      </c>
      <c r="I30" s="225">
        <f>$F74*Conv!$J$36/(Conv!$C$48*Conv!$I$5)/10^6</f>
        <v>0.27745466354810683</v>
      </c>
      <c r="J30" s="225">
        <f>$F75*Conv!$J$36/(Conv!$C$48*Conv!$I$5)/10^6</f>
        <v>0.27745466354810683</v>
      </c>
      <c r="K30" s="222"/>
      <c r="L30" s="222"/>
      <c r="M30" s="201"/>
    </row>
    <row r="31" spans="2:13">
      <c r="B31" s="201"/>
      <c r="C31" s="206">
        <v>5</v>
      </c>
      <c r="D31" s="222"/>
      <c r="E31" s="222"/>
      <c r="F31" s="225">
        <f>$F71*Conv!$J$36/(Conv!$C$48*Conv!$I$5)/10^6</f>
        <v>0.17319897179063642</v>
      </c>
      <c r="G31" s="222"/>
      <c r="H31" s="222"/>
      <c r="I31" s="225">
        <f>$F69*Conv!$J$36/(Conv!$C$48*Conv!$I$5)/10^6</f>
        <v>0.25509013612271392</v>
      </c>
      <c r="J31" s="225">
        <f>$F70*Conv!$J$36/(Conv!$C$48*Conv!$I$5)/10^6</f>
        <v>0.25509013612271392</v>
      </c>
      <c r="K31" s="222"/>
      <c r="L31" s="222"/>
      <c r="M31" s="201"/>
    </row>
    <row r="32" spans="2:13">
      <c r="B32" s="201"/>
      <c r="C32" s="206">
        <v>6</v>
      </c>
      <c r="D32" s="225">
        <f>$F76*Conv!$J$36/(Conv!$C$48*Conv!$I$5)/10^6</f>
        <v>0.29527902375180337</v>
      </c>
      <c r="E32" s="225">
        <f>$F77*Conv!$J$36/(Conv!$C$48*Conv!$I$5)/10^6</f>
        <v>0.26366600754147368</v>
      </c>
      <c r="F32" s="225">
        <f>$F79*Conv!$J$36/(Conv!$C$48*Conv!$I$5)/10^6</f>
        <v>0.28754392404076529</v>
      </c>
      <c r="G32" s="225">
        <f>$F81*Conv!$J$36/(Conv!$C$48*Conv!$I$5)/10^6</f>
        <v>0.28754392404076529</v>
      </c>
      <c r="H32" s="225">
        <f>$F78*Conv!$J$36/(Conv!$C$48*Conv!$I$5)/10^6</f>
        <v>0.20178520985316861</v>
      </c>
      <c r="I32" s="222"/>
      <c r="J32" s="222"/>
      <c r="K32" s="225">
        <f>$F83*Conv!$J$36/(Conv!$C$48*Conv!$I$5)/10^6</f>
        <v>0</v>
      </c>
      <c r="L32" s="225">
        <f>$F82*Conv!$J$36/(Conv!$C$48*Conv!$I$5)/10^6</f>
        <v>0.95007202972533566</v>
      </c>
      <c r="M32" s="201"/>
    </row>
    <row r="33" spans="1:13">
      <c r="B33" s="201"/>
      <c r="C33" s="206">
        <v>7</v>
      </c>
      <c r="D33" s="225">
        <f>$F76*Conv!$J$36/(Conv!$C$48*Conv!$I$5)/10^6</f>
        <v>0.29527902375180337</v>
      </c>
      <c r="E33" s="225">
        <f>$F77*Conv!$J$36/(Conv!$C$48*Conv!$I$5)/10^6</f>
        <v>0.26366600754147368</v>
      </c>
      <c r="F33" s="225">
        <f>$F79*Conv!$J$36/(Conv!$C$48*Conv!$I$5)/10^6</f>
        <v>0.28754392404076529</v>
      </c>
      <c r="G33" s="225">
        <f>$F81*Conv!$J$36/(Conv!$C$48*Conv!$I$5)/10^6</f>
        <v>0.28754392404076529</v>
      </c>
      <c r="H33" s="225">
        <f>$F78*Conv!$J$36/(Conv!$C$48*Conv!$I$5)/10^6</f>
        <v>0.20178520985316861</v>
      </c>
      <c r="I33" s="225">
        <f>$F80*Conv!$J$36/(Conv!$C$48*Conv!$I$5)/10^6</f>
        <v>0.28754392404076529</v>
      </c>
      <c r="J33" s="222"/>
      <c r="K33" s="225">
        <f>$F83*Conv!$J$36/(Conv!$C$48*Conv!$I$5)/10^6</f>
        <v>0</v>
      </c>
      <c r="L33" s="225">
        <f>$F82*Conv!$J$36/(Conv!$C$48*Conv!$I$5)/10^6</f>
        <v>0.95007202972533566</v>
      </c>
      <c r="M33" s="201"/>
    </row>
    <row r="34" spans="1:13">
      <c r="B34" s="201"/>
      <c r="C34" s="206">
        <v>8</v>
      </c>
      <c r="D34" s="222"/>
      <c r="E34" s="222"/>
      <c r="F34" s="222"/>
      <c r="G34" s="222"/>
      <c r="H34" s="222"/>
      <c r="I34" s="222"/>
      <c r="J34" s="222"/>
      <c r="K34" s="222"/>
      <c r="L34" s="222"/>
      <c r="M34" s="201"/>
    </row>
    <row r="35" spans="1:13">
      <c r="B35" s="201"/>
      <c r="C35" s="206">
        <v>9</v>
      </c>
      <c r="D35" s="222"/>
      <c r="E35" s="222"/>
      <c r="F35" s="222"/>
      <c r="G35" s="222"/>
      <c r="H35" s="222"/>
      <c r="I35" s="222"/>
      <c r="J35" s="222"/>
      <c r="K35" s="222"/>
      <c r="L35" s="222"/>
      <c r="M35" s="201"/>
    </row>
    <row r="36" spans="1:13">
      <c r="B36" s="201"/>
      <c r="C36" s="201"/>
      <c r="D36" s="201"/>
      <c r="E36" s="201"/>
      <c r="F36" s="201"/>
      <c r="G36" s="201"/>
      <c r="H36" s="201"/>
      <c r="I36" s="201"/>
      <c r="J36" s="201"/>
      <c r="K36" s="201"/>
      <c r="L36" s="201"/>
      <c r="M36" s="201"/>
    </row>
    <row r="37" spans="1:13">
      <c r="B37" s="201"/>
      <c r="C37" s="201"/>
      <c r="D37" s="201"/>
      <c r="E37" s="201"/>
      <c r="F37" s="201"/>
      <c r="G37" s="201"/>
      <c r="H37" s="201"/>
      <c r="I37" s="201"/>
      <c r="J37" s="201"/>
      <c r="K37" s="201"/>
      <c r="L37" s="201"/>
      <c r="M37" s="201"/>
    </row>
    <row r="38" spans="1:13">
      <c r="B38" s="201"/>
      <c r="C38" s="201"/>
      <c r="D38" s="201"/>
      <c r="E38" s="201"/>
      <c r="F38" s="201"/>
      <c r="G38" s="201"/>
      <c r="H38" s="201"/>
      <c r="I38" s="201"/>
      <c r="J38" s="201"/>
      <c r="K38" s="201"/>
      <c r="L38" s="201"/>
      <c r="M38" s="201"/>
    </row>
    <row r="39" spans="1:13" ht="15">
      <c r="A39" s="208" t="s">
        <v>320</v>
      </c>
    </row>
    <row r="41" spans="1:13" s="206" customFormat="1" ht="38.25">
      <c r="A41" s="206" t="s">
        <v>321</v>
      </c>
      <c r="B41" s="206" t="s">
        <v>322</v>
      </c>
      <c r="C41" s="206" t="s">
        <v>323</v>
      </c>
      <c r="D41" s="206" t="s">
        <v>324</v>
      </c>
      <c r="E41" s="279" t="s">
        <v>325</v>
      </c>
      <c r="F41" s="280" t="s">
        <v>326</v>
      </c>
      <c r="G41" s="280" t="s">
        <v>327</v>
      </c>
      <c r="H41" s="281" t="s">
        <v>328</v>
      </c>
      <c r="I41" s="199" t="s">
        <v>329</v>
      </c>
    </row>
    <row r="42" spans="1:13">
      <c r="E42" s="282" t="s">
        <v>330</v>
      </c>
      <c r="F42" s="283" t="s">
        <v>331</v>
      </c>
      <c r="G42" s="283"/>
      <c r="H42" s="284" t="s">
        <v>330</v>
      </c>
    </row>
    <row r="43" spans="1:13">
      <c r="E43" s="285" t="s">
        <v>332</v>
      </c>
    </row>
    <row r="44" spans="1:13" s="205" customFormat="1" ht="15.75">
      <c r="A44" s="286" t="s">
        <v>333</v>
      </c>
      <c r="B44" s="196"/>
      <c r="C44" s="196" t="s">
        <v>334</v>
      </c>
      <c r="D44" s="196" t="s">
        <v>56</v>
      </c>
      <c r="E44" s="287"/>
      <c r="F44" s="288"/>
      <c r="G44" s="288"/>
      <c r="H44" s="289"/>
      <c r="I44" s="234"/>
      <c r="J44" s="206" t="s">
        <v>335</v>
      </c>
      <c r="K44" s="206" t="s">
        <v>336</v>
      </c>
    </row>
    <row r="45" spans="1:13" ht="14.25">
      <c r="B45" s="446" t="s">
        <v>337</v>
      </c>
      <c r="C45" s="197" t="s">
        <v>92</v>
      </c>
      <c r="D45" s="197" t="s">
        <v>110</v>
      </c>
      <c r="E45" s="290">
        <v>84</v>
      </c>
      <c r="F45" s="291">
        <v>0.37159999999999999</v>
      </c>
      <c r="G45" s="292">
        <f>F45*Conv!$I$20/Conv!$I$36</f>
        <v>0.25678410678470154</v>
      </c>
      <c r="H45" s="293">
        <f>3043/365</f>
        <v>8.3369863013698637</v>
      </c>
      <c r="J45" s="205" t="s">
        <v>103</v>
      </c>
      <c r="K45" s="205" t="s">
        <v>111</v>
      </c>
    </row>
    <row r="46" spans="1:13" ht="14.25">
      <c r="B46" s="446"/>
      <c r="C46" s="197" t="s">
        <v>73</v>
      </c>
      <c r="D46" s="197" t="s">
        <v>106</v>
      </c>
      <c r="E46" s="290">
        <v>2300</v>
      </c>
      <c r="F46" s="291">
        <v>0.80746125396825397</v>
      </c>
      <c r="G46" s="292">
        <f>F46*Conv!$I$20/Conv!$I$36</f>
        <v>0.55797421115041212</v>
      </c>
      <c r="H46" s="293">
        <f>(654447)/365-H48</f>
        <v>1363.0054794520547</v>
      </c>
      <c r="I46" s="197" t="s">
        <v>338</v>
      </c>
      <c r="J46" s="205" t="s">
        <v>111</v>
      </c>
      <c r="K46" s="205" t="s">
        <v>107</v>
      </c>
    </row>
    <row r="47" spans="1:13" ht="14.25">
      <c r="B47" s="446"/>
      <c r="C47" s="197" t="s">
        <v>339</v>
      </c>
      <c r="D47" s="197" t="s">
        <v>110</v>
      </c>
      <c r="E47" s="290">
        <v>70</v>
      </c>
      <c r="F47" s="291">
        <v>0.87324999999999997</v>
      </c>
      <c r="G47" s="292">
        <f>F47*Conv!$I$20/Conv!$I$36</f>
        <v>0.6034357407151254</v>
      </c>
      <c r="H47" s="293">
        <f>12159/365</f>
        <v>33.31232876712329</v>
      </c>
      <c r="J47" s="205" t="s">
        <v>107</v>
      </c>
      <c r="K47" s="205" t="s">
        <v>111</v>
      </c>
    </row>
    <row r="48" spans="1:13" ht="14.25">
      <c r="B48" s="446"/>
      <c r="C48" s="197" t="s">
        <v>340</v>
      </c>
      <c r="D48" s="197" t="s">
        <v>106</v>
      </c>
      <c r="E48" s="290">
        <v>700</v>
      </c>
      <c r="F48" s="291">
        <v>0.67289892857142852</v>
      </c>
      <c r="G48" s="292">
        <f>F48*Conv!$I$20/Conv!$I$36</f>
        <v>0.4649885638579036</v>
      </c>
      <c r="H48" s="293">
        <v>430</v>
      </c>
      <c r="I48" s="197" t="s">
        <v>338</v>
      </c>
      <c r="J48" s="205" t="s">
        <v>111</v>
      </c>
      <c r="K48" s="205" t="s">
        <v>107</v>
      </c>
    </row>
    <row r="49" spans="1:37" ht="14.25">
      <c r="B49" s="446"/>
      <c r="C49" s="197" t="s">
        <v>341</v>
      </c>
      <c r="D49" s="197" t="s">
        <v>110</v>
      </c>
      <c r="E49" s="290">
        <v>112</v>
      </c>
      <c r="F49" s="291">
        <v>0.5393</v>
      </c>
      <c r="G49" s="292">
        <f>F49*Conv!$I$20/Conv!$I$36</f>
        <v>0.37266864582612902</v>
      </c>
      <c r="H49" s="293">
        <f>8112/365</f>
        <v>22.224657534246575</v>
      </c>
      <c r="J49" s="205" t="s">
        <v>115</v>
      </c>
      <c r="K49" s="205" t="s">
        <v>111</v>
      </c>
    </row>
    <row r="50" spans="1:37" ht="14.25">
      <c r="B50" s="446"/>
      <c r="C50" s="197" t="s">
        <v>341</v>
      </c>
      <c r="D50" s="197" t="s">
        <v>106</v>
      </c>
      <c r="E50" s="290">
        <v>395</v>
      </c>
      <c r="F50" s="291">
        <v>1.134246228541703</v>
      </c>
      <c r="G50" s="292">
        <f>F50*Conv!$I$20/Conv!$I$36</f>
        <v>0.7837901094456341</v>
      </c>
      <c r="H50" s="293">
        <f>32747/365</f>
        <v>89.717808219178082</v>
      </c>
      <c r="J50" s="205" t="s">
        <v>115</v>
      </c>
      <c r="K50" s="205" t="s">
        <v>107</v>
      </c>
    </row>
    <row r="51" spans="1:37" ht="28.5" customHeight="1">
      <c r="B51" s="446" t="s">
        <v>342</v>
      </c>
      <c r="C51" s="197" t="s">
        <v>129</v>
      </c>
      <c r="D51" s="197" t="s">
        <v>102</v>
      </c>
      <c r="E51" s="294" t="s">
        <v>343</v>
      </c>
      <c r="F51" s="292">
        <v>1.47</v>
      </c>
      <c r="G51" s="292">
        <f>F51*Conv!$I$20/Conv!$I$36</f>
        <v>1.0158036517048203</v>
      </c>
      <c r="H51" s="293">
        <f>2842/365</f>
        <v>7.7863013698630139</v>
      </c>
      <c r="J51" s="205"/>
      <c r="K51" s="205"/>
    </row>
    <row r="52" spans="1:37" ht="28.5" customHeight="1">
      <c r="B52" s="446"/>
      <c r="C52" s="197" t="s">
        <v>344</v>
      </c>
      <c r="D52" s="197" t="s">
        <v>118</v>
      </c>
      <c r="E52" s="294" t="s">
        <v>343</v>
      </c>
      <c r="F52" s="292">
        <v>1.5589999999999999</v>
      </c>
      <c r="G52" s="292">
        <f>F52*Conv!$I$20/Conv!$I$36</f>
        <v>1.0773046891209626</v>
      </c>
      <c r="H52" s="295" t="s">
        <v>345</v>
      </c>
      <c r="I52" s="197" t="s">
        <v>346</v>
      </c>
      <c r="J52" s="205"/>
      <c r="K52" s="205"/>
    </row>
    <row r="53" spans="1:37" ht="28.5" customHeight="1">
      <c r="B53" s="446"/>
      <c r="C53" s="197" t="s">
        <v>347</v>
      </c>
      <c r="D53" s="197" t="s">
        <v>118</v>
      </c>
      <c r="E53" s="294" t="s">
        <v>343</v>
      </c>
      <c r="F53" s="292">
        <v>1.45</v>
      </c>
      <c r="G53" s="292">
        <f>F53*Conv!$I$20/Conv!$I$36</f>
        <v>1.0019831938584962</v>
      </c>
      <c r="H53" s="295" t="s">
        <v>345</v>
      </c>
      <c r="I53" s="197" t="s">
        <v>346</v>
      </c>
      <c r="J53" s="205"/>
      <c r="K53" s="205"/>
      <c r="O53" s="439" t="s">
        <v>348</v>
      </c>
      <c r="P53" s="439"/>
      <c r="Q53" s="439"/>
      <c r="R53" s="439"/>
      <c r="S53" s="439"/>
      <c r="T53" s="439"/>
      <c r="U53" s="439"/>
      <c r="V53" s="439"/>
      <c r="W53" s="439"/>
    </row>
    <row r="54" spans="1:37" ht="12.75" customHeight="1">
      <c r="B54" s="296"/>
      <c r="C54" s="197"/>
      <c r="D54" s="197"/>
      <c r="E54" s="294"/>
      <c r="F54" s="292"/>
      <c r="G54" s="292">
        <f>F54*Conv!$I$20/Conv!$I$36</f>
        <v>0</v>
      </c>
      <c r="H54" s="293"/>
      <c r="O54" s="206" t="s">
        <v>336</v>
      </c>
      <c r="Z54" s="286" t="s">
        <v>349</v>
      </c>
      <c r="AA54" s="297"/>
      <c r="AB54" s="196" t="s">
        <v>350</v>
      </c>
      <c r="AC54" s="196" t="s">
        <v>351</v>
      </c>
      <c r="AD54" s="298" t="s">
        <v>2433</v>
      </c>
      <c r="AE54" s="288"/>
      <c r="AF54" s="292">
        <f>AE54*Conv!$I$20/Conv!$I$36</f>
        <v>0</v>
      </c>
      <c r="AG54" s="289"/>
      <c r="AH54" s="234"/>
      <c r="AI54" s="439" t="s">
        <v>335</v>
      </c>
      <c r="AJ54" s="439"/>
    </row>
    <row r="55" spans="1:37" s="205" customFormat="1" ht="15.75">
      <c r="A55" s="286" t="s">
        <v>349</v>
      </c>
      <c r="B55" s="297"/>
      <c r="C55" s="196" t="s">
        <v>350</v>
      </c>
      <c r="D55" s="196" t="s">
        <v>351</v>
      </c>
      <c r="E55" s="287"/>
      <c r="F55" s="288"/>
      <c r="G55" s="292">
        <f>F55*Conv!$I$20/Conv!$I$36</f>
        <v>0</v>
      </c>
      <c r="H55" s="289"/>
      <c r="I55" s="234"/>
      <c r="J55" s="439" t="s">
        <v>335</v>
      </c>
      <c r="K55" s="439"/>
      <c r="L55" s="206" t="s">
        <v>336</v>
      </c>
      <c r="N55" s="206" t="s">
        <v>335</v>
      </c>
      <c r="O55" s="205" t="s">
        <v>438</v>
      </c>
      <c r="P55" s="205" t="s">
        <v>440</v>
      </c>
      <c r="Q55" s="205" t="s">
        <v>439</v>
      </c>
      <c r="R55" s="205" t="s">
        <v>518</v>
      </c>
      <c r="S55" s="205" t="s">
        <v>517</v>
      </c>
      <c r="T55" s="205" t="s">
        <v>519</v>
      </c>
      <c r="U55" s="205" t="s">
        <v>520</v>
      </c>
      <c r="V55" s="205" t="s">
        <v>521</v>
      </c>
      <c r="W55" s="205" t="s">
        <v>522</v>
      </c>
      <c r="AD55" s="222" t="s">
        <v>2434</v>
      </c>
      <c r="AK55" s="206" t="s">
        <v>336</v>
      </c>
    </row>
    <row r="56" spans="1:37" ht="15">
      <c r="B56" s="446" t="s">
        <v>337</v>
      </c>
      <c r="C56" s="197" t="s">
        <v>106</v>
      </c>
      <c r="D56" s="197" t="s">
        <v>68</v>
      </c>
      <c r="E56" s="299">
        <v>136</v>
      </c>
      <c r="F56" s="300">
        <v>1.3227500000000001</v>
      </c>
      <c r="G56" s="288">
        <f>F56*Conv!$I$20/Conv!$I$36</f>
        <v>0.91405053081125931</v>
      </c>
      <c r="H56" s="293">
        <f>(12806-10031)/365/2</f>
        <v>3.8013698630136985</v>
      </c>
      <c r="I56" s="197" t="s">
        <v>338</v>
      </c>
      <c r="J56" s="205" t="str">
        <f>VLOOKUP(C56,Types!$A$38:$B$44,2)</f>
        <v>P2</v>
      </c>
      <c r="K56" s="195" t="s">
        <v>528</v>
      </c>
      <c r="L56" s="205" t="str">
        <f>CONCATENATE("R",VLOOKUP(D56,Types!$A$23:$B$31,2))</f>
        <v>R2</v>
      </c>
      <c r="N56" s="205" t="s">
        <v>438</v>
      </c>
      <c r="O56" s="205"/>
      <c r="P56" s="205" t="s">
        <v>2421</v>
      </c>
      <c r="Q56" s="205" t="s">
        <v>2422</v>
      </c>
      <c r="R56" s="205" t="s">
        <v>2423</v>
      </c>
      <c r="S56" s="205" t="s">
        <v>2424</v>
      </c>
      <c r="T56" s="205" t="s">
        <v>2425</v>
      </c>
      <c r="U56" s="205"/>
      <c r="V56" s="205"/>
      <c r="W56" s="205"/>
      <c r="AA56" s="446" t="s">
        <v>337</v>
      </c>
      <c r="AB56" s="197" t="s">
        <v>106</v>
      </c>
      <c r="AC56" s="197" t="s">
        <v>68</v>
      </c>
      <c r="AD56" s="299">
        <v>999999</v>
      </c>
      <c r="AE56" s="300">
        <v>1.3227500000000001</v>
      </c>
      <c r="AF56" s="288">
        <f>AE56*Conv!$I$20/Conv!$I$36</f>
        <v>0.91405053081125931</v>
      </c>
      <c r="AG56" s="293">
        <f>(12806-10031)/365/2</f>
        <v>3.8013698630136985</v>
      </c>
      <c r="AH56" s="197" t="s">
        <v>338</v>
      </c>
      <c r="AI56" s="205" t="str">
        <f>VLOOKUP(AB56,Types!$A$38:$B$44,2)</f>
        <v>P2</v>
      </c>
      <c r="AJ56" s="195" t="s">
        <v>528</v>
      </c>
      <c r="AK56" s="205" t="str">
        <f>CONCATENATE("R",VLOOKUP(AC56,Types!$A$23:$B$31,2))</f>
        <v>R2</v>
      </c>
    </row>
    <row r="57" spans="1:37" ht="15">
      <c r="B57" s="446"/>
      <c r="C57" s="197" t="s">
        <v>106</v>
      </c>
      <c r="D57" s="197" t="s">
        <v>63</v>
      </c>
      <c r="E57" s="299">
        <v>120</v>
      </c>
      <c r="F57" s="300">
        <v>1.3164333333333333</v>
      </c>
      <c r="G57" s="288">
        <f>F57*Conv!$I$20/Conv!$I$36</f>
        <v>0.90968556954146196</v>
      </c>
      <c r="H57" s="293">
        <f>(12806-10031)/365/2</f>
        <v>3.8013698630136985</v>
      </c>
      <c r="I57" s="197" t="s">
        <v>338</v>
      </c>
      <c r="J57" s="205" t="str">
        <f>VLOOKUP(C57,Types!$A$38:$B$44,2)</f>
        <v>P2</v>
      </c>
      <c r="K57" s="195" t="s">
        <v>528</v>
      </c>
      <c r="L57" s="205" t="str">
        <f>CONCATENATE("R",VLOOKUP(D57,Types!$A$23:$B$31,2))</f>
        <v>R6</v>
      </c>
      <c r="N57" s="205" t="s">
        <v>440</v>
      </c>
      <c r="O57" s="205"/>
      <c r="P57" s="205"/>
      <c r="Q57" s="205"/>
      <c r="R57" s="205" t="s">
        <v>2428</v>
      </c>
      <c r="S57" s="205" t="s">
        <v>2429</v>
      </c>
      <c r="T57" s="205" t="s">
        <v>361</v>
      </c>
      <c r="U57" s="205"/>
      <c r="V57" s="205"/>
      <c r="W57" s="205"/>
      <c r="AA57" s="446"/>
      <c r="AB57" s="197" t="s">
        <v>106</v>
      </c>
      <c r="AC57" s="197" t="s">
        <v>63</v>
      </c>
      <c r="AD57" s="299">
        <v>999999</v>
      </c>
      <c r="AE57" s="300">
        <v>1.3164333333333333</v>
      </c>
      <c r="AF57" s="288">
        <f>AE57*Conv!$I$20/Conv!$I$36</f>
        <v>0.90968556954146196</v>
      </c>
      <c r="AG57" s="293">
        <f>(12806-10031)/365/2</f>
        <v>3.8013698630136985</v>
      </c>
      <c r="AH57" s="197" t="s">
        <v>338</v>
      </c>
      <c r="AI57" s="205" t="str">
        <f>VLOOKUP(AB57,Types!$A$38:$B$44,2)</f>
        <v>P2</v>
      </c>
      <c r="AJ57" s="195" t="s">
        <v>528</v>
      </c>
      <c r="AK57" s="205" t="str">
        <f>CONCATENATE("R",VLOOKUP(AC57,Types!$A$23:$B$31,2))</f>
        <v>R6</v>
      </c>
    </row>
    <row r="58" spans="1:37" ht="15">
      <c r="B58" s="446"/>
      <c r="C58" s="197" t="s">
        <v>106</v>
      </c>
      <c r="D58" s="197" t="s">
        <v>88</v>
      </c>
      <c r="E58" s="299">
        <v>124</v>
      </c>
      <c r="F58" s="300">
        <v>0.80386666666666662</v>
      </c>
      <c r="G58" s="288">
        <f>F58*Conv!$I$20/Conv!$I$36</f>
        <v>0.55549026903658605</v>
      </c>
      <c r="H58" s="293">
        <f>(51719-756-36596)/365</f>
        <v>39.361643835616441</v>
      </c>
      <c r="J58" s="205" t="str">
        <f>VLOOKUP(C58,Types!$A$38:$B$44,2)</f>
        <v>P2</v>
      </c>
      <c r="K58" s="195" t="s">
        <v>528</v>
      </c>
      <c r="L58" s="205" t="str">
        <f>CONCATENATE("R",VLOOKUP(D58,Types!$A$23:$B$31,2))</f>
        <v>R7</v>
      </c>
      <c r="N58" s="205" t="s">
        <v>439</v>
      </c>
      <c r="O58" s="205"/>
      <c r="P58" s="205"/>
      <c r="Q58" s="205"/>
      <c r="R58" s="205" t="s">
        <v>2430</v>
      </c>
      <c r="S58" s="205" t="s">
        <v>362</v>
      </c>
      <c r="T58" s="222" t="s">
        <v>352</v>
      </c>
      <c r="U58" s="205"/>
      <c r="V58" s="205"/>
      <c r="W58" s="205"/>
      <c r="AA58" s="446"/>
      <c r="AB58" s="197" t="s">
        <v>106</v>
      </c>
      <c r="AC58" s="197" t="s">
        <v>88</v>
      </c>
      <c r="AD58" s="299">
        <v>999999</v>
      </c>
      <c r="AE58" s="300">
        <v>0.80386666666666662</v>
      </c>
      <c r="AF58" s="288">
        <f>AE58*Conv!$I$20/Conv!$I$36</f>
        <v>0.55549026903658605</v>
      </c>
      <c r="AG58" s="293">
        <f>(51719-756-36596)/365</f>
        <v>39.361643835616441</v>
      </c>
      <c r="AH58" s="197"/>
      <c r="AI58" s="205" t="str">
        <f>VLOOKUP(AB58,Types!$A$38:$B$44,2)</f>
        <v>P2</v>
      </c>
      <c r="AJ58" s="195" t="s">
        <v>528</v>
      </c>
      <c r="AK58" s="205" t="str">
        <f>CONCATENATE("R",VLOOKUP(AC58,Types!$A$23:$B$31,2))</f>
        <v>R7</v>
      </c>
    </row>
    <row r="59" spans="1:37" ht="15">
      <c r="B59" s="446"/>
      <c r="C59" s="197" t="s">
        <v>106</v>
      </c>
      <c r="D59" s="197" t="s">
        <v>72</v>
      </c>
      <c r="E59" s="299">
        <v>136</v>
      </c>
      <c r="F59" s="300">
        <v>0.4133</v>
      </c>
      <c r="G59" s="288">
        <f>F59*Conv!$I$20/Conv!$I$36</f>
        <v>0.28559976139428728</v>
      </c>
      <c r="H59" s="293">
        <f>22633/365</f>
        <v>62.008219178082193</v>
      </c>
      <c r="J59" s="205" t="str">
        <f>VLOOKUP(C59,Types!$A$38:$B$44,2)</f>
        <v>P2</v>
      </c>
      <c r="K59" s="195" t="s">
        <v>528</v>
      </c>
      <c r="L59" s="205" t="str">
        <f>CONCATENATE("R",VLOOKUP(D59,Types!$A$23:$B$31,2))</f>
        <v>R8</v>
      </c>
      <c r="N59" s="205" t="s">
        <v>518</v>
      </c>
      <c r="O59" s="205"/>
      <c r="P59" s="205" t="s">
        <v>353</v>
      </c>
      <c r="Q59" s="205" t="s">
        <v>2431</v>
      </c>
      <c r="R59" s="205"/>
      <c r="S59" s="205" t="s">
        <v>364</v>
      </c>
      <c r="T59" s="205" t="s">
        <v>354</v>
      </c>
      <c r="U59" s="205"/>
      <c r="V59" s="205"/>
      <c r="W59" s="205"/>
      <c r="AA59" s="446"/>
      <c r="AB59" s="197" t="s">
        <v>106</v>
      </c>
      <c r="AC59" s="197" t="s">
        <v>72</v>
      </c>
      <c r="AD59" s="299">
        <v>999999</v>
      </c>
      <c r="AE59" s="300">
        <v>0.4133</v>
      </c>
      <c r="AF59" s="288">
        <f>AE59*Conv!$I$20/Conv!$I$36</f>
        <v>0.28559976139428728</v>
      </c>
      <c r="AG59" s="293">
        <f>22633/365</f>
        <v>62.008219178082193</v>
      </c>
      <c r="AH59" s="197"/>
      <c r="AI59" s="205" t="str">
        <f>VLOOKUP(AB59,Types!$A$38:$B$44,2)</f>
        <v>P2</v>
      </c>
      <c r="AJ59" s="195" t="s">
        <v>528</v>
      </c>
      <c r="AK59" s="205" t="str">
        <f>CONCATENATE("R",VLOOKUP(AC59,Types!$A$23:$B$31,2))</f>
        <v>R8</v>
      </c>
    </row>
    <row r="60" spans="1:37" ht="15">
      <c r="B60" s="446"/>
      <c r="C60" s="197" t="s">
        <v>110</v>
      </c>
      <c r="D60" s="197" t="s">
        <v>59</v>
      </c>
      <c r="E60" s="299">
        <v>1006</v>
      </c>
      <c r="F60" s="300">
        <v>1.3145641153081509</v>
      </c>
      <c r="G60" s="288">
        <f>F60*Conv!$I$20/Conv!$I$36</f>
        <v>0.9083938970953308</v>
      </c>
      <c r="H60" s="293">
        <f>(306947-38914)/365-H61</f>
        <v>709.33698630136985</v>
      </c>
      <c r="J60" s="205" t="str">
        <f>VLOOKUP(C60,Types!$A$38:$B$44,2)</f>
        <v>P3</v>
      </c>
      <c r="K60" s="195" t="s">
        <v>529</v>
      </c>
      <c r="L60" s="205" t="str">
        <f>CONCATENATE("R",VLOOKUP(D60,Types!$A$23:$B$31,2))</f>
        <v>R3</v>
      </c>
      <c r="N60" s="205" t="s">
        <v>517</v>
      </c>
      <c r="O60" s="205"/>
      <c r="P60" s="205" t="s">
        <v>355</v>
      </c>
      <c r="Q60" s="205"/>
      <c r="R60" s="205" t="s">
        <v>2432</v>
      </c>
      <c r="S60" s="205"/>
      <c r="T60" s="205"/>
      <c r="U60" s="205"/>
      <c r="V60" s="205"/>
      <c r="W60" s="205"/>
      <c r="AA60" s="446"/>
      <c r="AB60" s="197" t="s">
        <v>110</v>
      </c>
      <c r="AC60" s="197" t="s">
        <v>59</v>
      </c>
      <c r="AD60" s="299">
        <v>999999</v>
      </c>
      <c r="AE60" s="300">
        <v>1.3145641153081509</v>
      </c>
      <c r="AF60" s="288">
        <f>AE60*Conv!$I$20/Conv!$I$36</f>
        <v>0.9083938970953308</v>
      </c>
      <c r="AG60" s="293">
        <f>(306947-38914)/365-AG61</f>
        <v>709.33698630136985</v>
      </c>
      <c r="AH60" s="197"/>
      <c r="AI60" s="205" t="str">
        <f>VLOOKUP(AB60,Types!$A$38:$B$44,2)</f>
        <v>P3</v>
      </c>
      <c r="AJ60" s="195" t="s">
        <v>529</v>
      </c>
      <c r="AK60" s="205" t="str">
        <f>CONCATENATE("R",VLOOKUP(AC60,Types!$A$23:$B$31,2))</f>
        <v>R3</v>
      </c>
    </row>
    <row r="61" spans="1:37" ht="15">
      <c r="B61" s="446"/>
      <c r="C61" s="197" t="s">
        <v>110</v>
      </c>
      <c r="D61" s="197" t="s">
        <v>76</v>
      </c>
      <c r="E61" s="299">
        <v>40</v>
      </c>
      <c r="F61" s="300">
        <v>2.047967072118702</v>
      </c>
      <c r="G61" s="288">
        <f>F61*Conv!$I$20/Conv!$I$36</f>
        <v>1.4151921295438141</v>
      </c>
      <c r="H61" s="293">
        <v>25</v>
      </c>
      <c r="J61" s="205" t="str">
        <f>VLOOKUP(C61,Types!$A$38:$B$44,2)</f>
        <v>P3</v>
      </c>
      <c r="K61" s="195" t="s">
        <v>529</v>
      </c>
      <c r="L61" s="205" t="str">
        <f>CONCATENATE("R",VLOOKUP(D61,Types!$A$23:$B$31,2))</f>
        <v>R4</v>
      </c>
      <c r="N61" s="205" t="s">
        <v>519</v>
      </c>
      <c r="O61" s="205"/>
      <c r="P61" s="205" t="s">
        <v>365</v>
      </c>
      <c r="Q61" s="205" t="s">
        <v>356</v>
      </c>
      <c r="R61" s="205" t="s">
        <v>357</v>
      </c>
      <c r="S61" s="205"/>
      <c r="T61" s="205"/>
      <c r="U61" s="205"/>
      <c r="V61" s="205"/>
      <c r="W61" s="205"/>
      <c r="AA61" s="446"/>
      <c r="AB61" s="197" t="s">
        <v>110</v>
      </c>
      <c r="AC61" s="197" t="s">
        <v>76</v>
      </c>
      <c r="AD61" s="299">
        <v>999999</v>
      </c>
      <c r="AE61" s="300">
        <v>2.047967072118702</v>
      </c>
      <c r="AF61" s="288">
        <f>AE61*Conv!$I$20/Conv!$I$36</f>
        <v>1.4151921295438141</v>
      </c>
      <c r="AG61" s="293">
        <v>25</v>
      </c>
      <c r="AH61" s="197"/>
      <c r="AI61" s="205" t="str">
        <f>VLOOKUP(AB61,Types!$A$38:$B$44,2)</f>
        <v>P3</v>
      </c>
      <c r="AJ61" s="195" t="s">
        <v>529</v>
      </c>
      <c r="AK61" s="205" t="str">
        <f>CONCATENATE("R",VLOOKUP(AC61,Types!$A$23:$B$31,2))</f>
        <v>R4</v>
      </c>
    </row>
    <row r="62" spans="1:37" ht="15">
      <c r="B62" s="446"/>
      <c r="C62" s="197" t="s">
        <v>110</v>
      </c>
      <c r="D62" s="197" t="s">
        <v>72</v>
      </c>
      <c r="E62" s="299">
        <v>55</v>
      </c>
      <c r="F62" s="300">
        <v>0.81569999999999998</v>
      </c>
      <c r="G62" s="288">
        <f>F62*Conv!$I$20/Conv!$I$36</f>
        <v>0.56366737326232785</v>
      </c>
      <c r="H62" s="293">
        <f>(18813-1178)/365</f>
        <v>48.315068493150683</v>
      </c>
      <c r="J62" s="205" t="str">
        <f>VLOOKUP(C62,Types!$A$38:$B$44,2)</f>
        <v>P3</v>
      </c>
      <c r="K62" s="195" t="s">
        <v>529</v>
      </c>
      <c r="L62" s="205" t="str">
        <f>CONCATENATE("R",VLOOKUP(D62,Types!$A$23:$B$31,2))</f>
        <v>R8</v>
      </c>
      <c r="N62" s="205" t="s">
        <v>520</v>
      </c>
      <c r="O62" s="205"/>
      <c r="P62" s="205"/>
      <c r="Q62" s="205"/>
      <c r="R62" s="205"/>
      <c r="S62" s="205"/>
      <c r="T62" s="205"/>
      <c r="U62" s="205"/>
      <c r="V62" s="205"/>
      <c r="W62" s="205"/>
      <c r="AA62" s="446"/>
      <c r="AB62" s="197" t="s">
        <v>110</v>
      </c>
      <c r="AC62" s="197" t="s">
        <v>72</v>
      </c>
      <c r="AD62" s="299">
        <v>999999</v>
      </c>
      <c r="AE62" s="300">
        <v>0.81569999999999998</v>
      </c>
      <c r="AF62" s="288">
        <f>AE62*Conv!$I$20/Conv!$I$36</f>
        <v>0.56366737326232785</v>
      </c>
      <c r="AG62" s="293">
        <f>(18813-1178)/365</f>
        <v>48.315068493150683</v>
      </c>
      <c r="AH62" s="197"/>
      <c r="AI62" s="205" t="str">
        <f>VLOOKUP(AB62,Types!$A$38:$B$44,2)</f>
        <v>P3</v>
      </c>
      <c r="AJ62" s="195" t="s">
        <v>529</v>
      </c>
      <c r="AK62" s="205" t="str">
        <f>CONCATENATE("R",VLOOKUP(AC62,Types!$A$23:$B$31,2))</f>
        <v>R8</v>
      </c>
    </row>
    <row r="63" spans="1:37" ht="15">
      <c r="B63" s="446"/>
      <c r="C63" s="197" t="s">
        <v>110</v>
      </c>
      <c r="D63" s="197" t="s">
        <v>63</v>
      </c>
      <c r="E63" s="299">
        <v>2954</v>
      </c>
      <c r="F63" s="300">
        <v>0.37684020000000001</v>
      </c>
      <c r="G63" s="288">
        <f>F63*Conv!$I$20/Conv!$I$36</f>
        <v>0.2604052049450169</v>
      </c>
      <c r="H63" s="295" t="s">
        <v>345</v>
      </c>
      <c r="J63" s="205" t="str">
        <f>VLOOKUP(C63,Types!$A$38:$B$44,2)</f>
        <v>P3</v>
      </c>
      <c r="K63" s="195" t="s">
        <v>529</v>
      </c>
      <c r="L63" s="205" t="str">
        <f>CONCATENATE("R",VLOOKUP(D63,Types!$A$23:$B$31,2))</f>
        <v>R6</v>
      </c>
      <c r="N63" s="205" t="s">
        <v>521</v>
      </c>
      <c r="O63" s="205"/>
      <c r="P63" s="205"/>
      <c r="Q63" s="205"/>
      <c r="R63" s="205"/>
      <c r="S63" s="205"/>
      <c r="T63" s="205"/>
      <c r="U63" s="205"/>
      <c r="V63" s="205"/>
      <c r="W63" s="205"/>
      <c r="AA63" s="446"/>
      <c r="AB63" s="197" t="s">
        <v>110</v>
      </c>
      <c r="AC63" s="197" t="s">
        <v>63</v>
      </c>
      <c r="AD63" s="299">
        <v>999999</v>
      </c>
      <c r="AE63" s="300">
        <v>0.37684020000000001</v>
      </c>
      <c r="AF63" s="288">
        <f>AE63*Conv!$I$20/Conv!$I$36</f>
        <v>0.2604052049450169</v>
      </c>
      <c r="AG63" s="295" t="s">
        <v>345</v>
      </c>
      <c r="AH63" s="197"/>
      <c r="AI63" s="205" t="str">
        <f>VLOOKUP(AB63,Types!$A$38:$B$44,2)</f>
        <v>P3</v>
      </c>
      <c r="AJ63" s="195" t="s">
        <v>529</v>
      </c>
      <c r="AK63" s="205" t="str">
        <f>CONCATENATE("R",VLOOKUP(AC63,Types!$A$23:$B$31,2))</f>
        <v>R6</v>
      </c>
    </row>
    <row r="64" spans="1:37" ht="15">
      <c r="B64" s="446"/>
      <c r="C64" s="197" t="s">
        <v>114</v>
      </c>
      <c r="D64" s="197" t="s">
        <v>76</v>
      </c>
      <c r="E64" s="299">
        <v>106</v>
      </c>
      <c r="F64" s="300">
        <v>1.0654999999999999</v>
      </c>
      <c r="G64" s="288">
        <f>F64*Conv!$I$20/Conv!$I$36</f>
        <v>0.73628489176291567</v>
      </c>
      <c r="H64" s="293">
        <f>(22469-8899)/365</f>
        <v>37.178082191780824</v>
      </c>
      <c r="J64" s="205" t="str">
        <f>VLOOKUP(C64,Types!$A$38:$B$44,2)</f>
        <v>P4</v>
      </c>
      <c r="K64" s="195" t="s">
        <v>521</v>
      </c>
      <c r="L64" s="205" t="str">
        <f>CONCATENATE("R",VLOOKUP(D64,Types!$A$23:$B$31,2))</f>
        <v>R4</v>
      </c>
      <c r="N64" s="205" t="s">
        <v>522</v>
      </c>
      <c r="O64" s="205"/>
      <c r="P64" s="205"/>
      <c r="Q64" s="205"/>
      <c r="R64" s="205"/>
      <c r="S64" s="205"/>
      <c r="T64" s="205"/>
      <c r="U64" s="205"/>
      <c r="V64" s="205"/>
      <c r="W64" s="205"/>
      <c r="AA64" s="446"/>
      <c r="AB64" s="197" t="s">
        <v>114</v>
      </c>
      <c r="AC64" s="197" t="s">
        <v>76</v>
      </c>
      <c r="AD64" s="299">
        <v>999999</v>
      </c>
      <c r="AE64" s="300">
        <v>1.0654999999999999</v>
      </c>
      <c r="AF64" s="288">
        <f>AE64*Conv!$I$20/Conv!$I$36</f>
        <v>0.73628489176291567</v>
      </c>
      <c r="AG64" s="293">
        <f>(22469-8899)/365</f>
        <v>37.178082191780824</v>
      </c>
      <c r="AH64" s="197"/>
      <c r="AI64" s="205" t="str">
        <f>VLOOKUP(AB64,Types!$A$38:$B$44,2)</f>
        <v>P4</v>
      </c>
      <c r="AJ64" s="195" t="s">
        <v>521</v>
      </c>
      <c r="AK64" s="205" t="str">
        <f>CONCATENATE("R",VLOOKUP(AC64,Types!$A$23:$B$31,2))</f>
        <v>R4</v>
      </c>
    </row>
    <row r="65" spans="2:37" ht="15">
      <c r="B65" s="446"/>
      <c r="C65" s="197" t="s">
        <v>114</v>
      </c>
      <c r="D65" s="197" t="s">
        <v>79</v>
      </c>
      <c r="E65" s="299">
        <v>73</v>
      </c>
      <c r="F65" s="300">
        <v>0.61919999999999997</v>
      </c>
      <c r="G65" s="288">
        <f>F65*Conv!$I$20/Conv!$I$36</f>
        <v>0.42788137492219375</v>
      </c>
      <c r="H65" s="293">
        <f>11287/365</f>
        <v>30.923287671232877</v>
      </c>
      <c r="J65" s="205" t="str">
        <f>VLOOKUP(C65,Types!$A$38:$B$44,2)</f>
        <v>P4</v>
      </c>
      <c r="K65" s="195" t="s">
        <v>521</v>
      </c>
      <c r="L65" s="205" t="str">
        <f>CONCATENATE("R",VLOOKUP(D65,Types!$A$23:$B$31,2))</f>
        <v>R9</v>
      </c>
      <c r="AA65" s="446"/>
      <c r="AB65" s="197" t="s">
        <v>114</v>
      </c>
      <c r="AC65" s="197" t="s">
        <v>79</v>
      </c>
      <c r="AD65" s="299">
        <v>999999</v>
      </c>
      <c r="AE65" s="300">
        <v>0.61919999999999997</v>
      </c>
      <c r="AF65" s="288">
        <f>AE65*Conv!$I$20/Conv!$I$36</f>
        <v>0.42788137492219375</v>
      </c>
      <c r="AG65" s="293">
        <f>11287/365</f>
        <v>30.923287671232877</v>
      </c>
      <c r="AH65" s="197"/>
      <c r="AI65" s="205" t="str">
        <f>VLOOKUP(AB65,Types!$A$38:$B$44,2)</f>
        <v>P4</v>
      </c>
      <c r="AJ65" s="195" t="s">
        <v>521</v>
      </c>
      <c r="AK65" s="205" t="str">
        <f>CONCATENATE("R",VLOOKUP(AC65,Types!$A$23:$B$31,2))</f>
        <v>R9</v>
      </c>
    </row>
    <row r="66" spans="2:37" ht="15">
      <c r="B66" s="446"/>
      <c r="C66" s="197" t="s">
        <v>122</v>
      </c>
      <c r="D66" s="197" t="s">
        <v>63</v>
      </c>
      <c r="E66" s="299">
        <v>320</v>
      </c>
      <c r="F66" s="300">
        <v>0.37231920000000018</v>
      </c>
      <c r="G66" s="288">
        <f>F66*Conv!$I$20/Conv!$I$36</f>
        <v>0.2572810904488555</v>
      </c>
      <c r="H66" s="293">
        <f>(108705-446)/365</f>
        <v>296.60000000000002</v>
      </c>
      <c r="J66" s="205" t="str">
        <f>VLOOKUP(C66,Types!$A$38:$B$44,2)</f>
        <v>R5</v>
      </c>
      <c r="K66" s="195" t="str">
        <f>J66</f>
        <v>R5</v>
      </c>
      <c r="L66" s="205" t="str">
        <f>CONCATENATE("R",VLOOKUP(D66,Types!$A$23:$B$31,2))</f>
        <v>R6</v>
      </c>
      <c r="AA66" s="446"/>
      <c r="AB66" s="197" t="s">
        <v>122</v>
      </c>
      <c r="AC66" s="197" t="s">
        <v>63</v>
      </c>
      <c r="AD66" s="299">
        <v>999999</v>
      </c>
      <c r="AE66" s="300">
        <v>0.37231920000000018</v>
      </c>
      <c r="AF66" s="288">
        <f>AE66*Conv!$I$20/Conv!$I$36</f>
        <v>0.2572810904488555</v>
      </c>
      <c r="AG66" s="293">
        <f>(108705-446)/365</f>
        <v>296.60000000000002</v>
      </c>
      <c r="AH66" s="197"/>
      <c r="AI66" s="205" t="str">
        <f>VLOOKUP(AB66,Types!$A$38:$B$44,2)</f>
        <v>R5</v>
      </c>
      <c r="AJ66" s="195" t="str">
        <f>AI66</f>
        <v>R5</v>
      </c>
      <c r="AK66" s="205" t="str">
        <f>CONCATENATE("R",VLOOKUP(AC66,Types!$A$23:$B$31,2))</f>
        <v>R6</v>
      </c>
    </row>
    <row r="67" spans="2:37" ht="15">
      <c r="B67" s="446"/>
      <c r="C67" s="197" t="s">
        <v>122</v>
      </c>
      <c r="D67" s="197" t="s">
        <v>358</v>
      </c>
      <c r="E67" s="299">
        <v>1400</v>
      </c>
      <c r="F67" s="300">
        <v>0.27936333333333385</v>
      </c>
      <c r="G67" s="288">
        <f>F67*Conv!$I$20/Conv!$I$36</f>
        <v>0.19304645860709627</v>
      </c>
      <c r="H67" s="295" t="s">
        <v>345</v>
      </c>
      <c r="J67" s="205" t="str">
        <f>VLOOKUP(C67,Types!$A$38:$B$44,2)</f>
        <v>R5</v>
      </c>
      <c r="K67" s="195" t="str">
        <f>J67</f>
        <v>R5</v>
      </c>
      <c r="L67" s="205" t="str">
        <f>CONCATENATE("R",VLOOKUP(D67,Types!$A$23:$B$31,2))</f>
        <v>R2</v>
      </c>
      <c r="N67" s="439" t="s">
        <v>359</v>
      </c>
      <c r="O67" s="439"/>
      <c r="P67" s="439"/>
      <c r="Q67" s="439"/>
      <c r="R67" s="439"/>
      <c r="S67" s="439"/>
      <c r="T67" s="439"/>
      <c r="U67" s="439"/>
      <c r="V67" s="439"/>
      <c r="W67" s="439"/>
      <c r="AA67" s="446"/>
      <c r="AB67" s="197" t="s">
        <v>122</v>
      </c>
      <c r="AC67" s="197" t="s">
        <v>358</v>
      </c>
      <c r="AD67" s="299">
        <v>999999</v>
      </c>
      <c r="AE67" s="300">
        <v>0.27936333333333385</v>
      </c>
      <c r="AF67" s="288">
        <f>AE67*Conv!$I$20/Conv!$I$36</f>
        <v>0.19304645860709627</v>
      </c>
      <c r="AG67" s="295" t="s">
        <v>345</v>
      </c>
      <c r="AH67" s="197"/>
      <c r="AI67" s="205" t="str">
        <f>VLOOKUP(AB67,Types!$A$38:$B$44,2)</f>
        <v>R5</v>
      </c>
      <c r="AJ67" s="195" t="str">
        <f>AI67</f>
        <v>R5</v>
      </c>
      <c r="AK67" s="205" t="str">
        <f>CONCATENATE("R",VLOOKUP(AC67,Types!$A$23:$B$31,2))</f>
        <v>R2</v>
      </c>
    </row>
    <row r="68" spans="2:37" ht="15">
      <c r="B68" s="446"/>
      <c r="C68" s="197" t="s">
        <v>99</v>
      </c>
      <c r="D68" s="197" t="s">
        <v>82</v>
      </c>
      <c r="E68" s="299">
        <v>2954</v>
      </c>
      <c r="F68" s="300">
        <v>0.40418399999999988</v>
      </c>
      <c r="G68" s="288">
        <f>F68*Conv!$I$20/Conv!$I$36</f>
        <v>0.27930039670793266</v>
      </c>
      <c r="H68" s="293">
        <f>(857497-23413)/365</f>
        <v>2285.1616438356164</v>
      </c>
      <c r="J68" s="205" t="str">
        <f>VLOOKUP(C68,Types!$A$38:$B$44,2)</f>
        <v>R6</v>
      </c>
      <c r="K68" s="195" t="str">
        <f>J68</f>
        <v>R6</v>
      </c>
      <c r="L68" s="205" t="str">
        <f>CONCATENATE("R",VLOOKUP(D68,Types!$A$23:$B$31,2))</f>
        <v>R5</v>
      </c>
      <c r="O68" s="206" t="s">
        <v>336</v>
      </c>
      <c r="AA68" s="446"/>
      <c r="AB68" s="197" t="s">
        <v>99</v>
      </c>
      <c r="AC68" s="197" t="s">
        <v>82</v>
      </c>
      <c r="AD68" s="299">
        <v>999999</v>
      </c>
      <c r="AE68" s="300">
        <v>0.40418399999999988</v>
      </c>
      <c r="AF68" s="288">
        <f>AE68*Conv!$I$20/Conv!$I$36</f>
        <v>0.27930039670793266</v>
      </c>
      <c r="AG68" s="293">
        <f>(857497-23413)/365</f>
        <v>2285.1616438356164</v>
      </c>
      <c r="AH68" s="197"/>
      <c r="AI68" s="205" t="str">
        <f>VLOOKUP(AB68,Types!$A$38:$B$44,2)</f>
        <v>R6</v>
      </c>
      <c r="AJ68" s="195" t="str">
        <f>AI68</f>
        <v>R6</v>
      </c>
      <c r="AK68" s="205" t="str">
        <f>CONCATENATE("R",VLOOKUP(AC68,Types!$A$23:$B$31,2))</f>
        <v>R5</v>
      </c>
    </row>
    <row r="69" spans="2:37" ht="14.25">
      <c r="B69" s="446" t="s">
        <v>360</v>
      </c>
      <c r="C69" s="197" t="s">
        <v>102</v>
      </c>
      <c r="D69" s="197" t="s">
        <v>63</v>
      </c>
      <c r="E69" s="290" t="s">
        <v>343</v>
      </c>
      <c r="F69" s="300">
        <v>1.5169999999999999</v>
      </c>
      <c r="G69" s="288">
        <f>F69*Conv!$I$20/Conv!$I$36</f>
        <v>1.048281727643682</v>
      </c>
      <c r="H69" s="293">
        <f>1518/365-1.5</f>
        <v>2.6589041095890407</v>
      </c>
      <c r="I69" s="197" t="s">
        <v>338</v>
      </c>
      <c r="J69" s="205" t="str">
        <f>VLOOKUP(C69,Types!$A$38:$B$44,2)</f>
        <v>P1</v>
      </c>
      <c r="K69" s="195" t="s">
        <v>527</v>
      </c>
      <c r="L69" s="205" t="str">
        <f>CONCATENATE("R",VLOOKUP(D69,Types!$A$23:$B$31,2))</f>
        <v>R6</v>
      </c>
      <c r="N69" s="206" t="s">
        <v>335</v>
      </c>
      <c r="O69" s="205" t="s">
        <v>438</v>
      </c>
      <c r="P69" s="205" t="s">
        <v>440</v>
      </c>
      <c r="Q69" s="205" t="s">
        <v>439</v>
      </c>
      <c r="R69" s="205" t="s">
        <v>518</v>
      </c>
      <c r="S69" s="205" t="s">
        <v>517</v>
      </c>
      <c r="T69" s="205" t="s">
        <v>519</v>
      </c>
      <c r="U69" s="205" t="s">
        <v>520</v>
      </c>
      <c r="V69" s="205" t="s">
        <v>521</v>
      </c>
      <c r="W69" s="205" t="s">
        <v>522</v>
      </c>
      <c r="AA69" s="446" t="s">
        <v>360</v>
      </c>
      <c r="AB69" s="197" t="s">
        <v>102</v>
      </c>
      <c r="AC69" s="197" t="s">
        <v>63</v>
      </c>
      <c r="AD69" s="290" t="s">
        <v>343</v>
      </c>
      <c r="AE69" s="300">
        <v>1.5169999999999999</v>
      </c>
      <c r="AF69" s="288">
        <f>AE69*Conv!$I$20/Conv!$I$36</f>
        <v>1.048281727643682</v>
      </c>
      <c r="AG69" s="293">
        <f>1518/365-1.5</f>
        <v>2.6589041095890407</v>
      </c>
      <c r="AH69" s="197" t="s">
        <v>338</v>
      </c>
      <c r="AI69" s="205" t="str">
        <f>VLOOKUP(AB69,Types!$A$38:$B$44,2)</f>
        <v>P1</v>
      </c>
      <c r="AJ69" s="195" t="s">
        <v>527</v>
      </c>
      <c r="AK69" s="205" t="str">
        <f>CONCATENATE("R",VLOOKUP(AC69,Types!$A$23:$B$31,2))</f>
        <v>R6</v>
      </c>
    </row>
    <row r="70" spans="2:37" ht="14.25">
      <c r="B70" s="446"/>
      <c r="C70" s="197" t="s">
        <v>102</v>
      </c>
      <c r="D70" s="197" t="s">
        <v>88</v>
      </c>
      <c r="E70" s="290" t="s">
        <v>343</v>
      </c>
      <c r="F70" s="300">
        <v>1.5169999999999999</v>
      </c>
      <c r="G70" s="288">
        <f>F70*Conv!$I$20/Conv!$I$36</f>
        <v>1.048281727643682</v>
      </c>
      <c r="H70" s="301">
        <v>3</v>
      </c>
      <c r="I70" s="197" t="s">
        <v>338</v>
      </c>
      <c r="J70" s="205" t="str">
        <f>VLOOKUP(C70,Types!$A$38:$B$44,2)</f>
        <v>P1</v>
      </c>
      <c r="K70" s="195" t="s">
        <v>527</v>
      </c>
      <c r="L70" s="205" t="str">
        <f>CONCATENATE("R",VLOOKUP(D70,Types!$A$23:$B$31,2))</f>
        <v>R7</v>
      </c>
      <c r="N70" s="205" t="s">
        <v>438</v>
      </c>
      <c r="O70" s="205"/>
      <c r="P70" s="205" t="s">
        <v>2421</v>
      </c>
      <c r="Q70" s="205" t="s">
        <v>2422</v>
      </c>
      <c r="R70" s="205" t="s">
        <v>2423</v>
      </c>
      <c r="S70" s="205" t="s">
        <v>2424</v>
      </c>
      <c r="T70" s="205" t="s">
        <v>2425</v>
      </c>
      <c r="U70" s="205"/>
      <c r="V70" s="205"/>
      <c r="W70" s="205"/>
      <c r="AA70" s="446"/>
      <c r="AB70" s="197" t="s">
        <v>102</v>
      </c>
      <c r="AC70" s="197" t="s">
        <v>88</v>
      </c>
      <c r="AD70" s="290" t="s">
        <v>343</v>
      </c>
      <c r="AE70" s="300">
        <v>1.5169999999999999</v>
      </c>
      <c r="AF70" s="288">
        <f>AE70*Conv!$I$20/Conv!$I$36</f>
        <v>1.048281727643682</v>
      </c>
      <c r="AG70" s="301">
        <v>3</v>
      </c>
      <c r="AH70" s="197" t="s">
        <v>338</v>
      </c>
      <c r="AI70" s="205" t="str">
        <f>VLOOKUP(AB70,Types!$A$38:$B$44,2)</f>
        <v>P1</v>
      </c>
      <c r="AJ70" s="195" t="s">
        <v>527</v>
      </c>
      <c r="AK70" s="205" t="str">
        <f>CONCATENATE("R",VLOOKUP(AC70,Types!$A$23:$B$31,2))</f>
        <v>R7</v>
      </c>
    </row>
    <row r="71" spans="2:37" ht="14.25">
      <c r="B71" s="446"/>
      <c r="C71" s="197" t="s">
        <v>102</v>
      </c>
      <c r="D71" s="197" t="s">
        <v>59</v>
      </c>
      <c r="E71" s="290" t="s">
        <v>343</v>
      </c>
      <c r="F71" s="300">
        <v>1.03</v>
      </c>
      <c r="G71" s="288">
        <f>F71*Conv!$I$20/Conv!$I$36</f>
        <v>0.71175357908569048</v>
      </c>
      <c r="H71" s="293">
        <f>1776/365-1.5</f>
        <v>3.3657534246575347</v>
      </c>
      <c r="I71" s="197" t="s">
        <v>338</v>
      </c>
      <c r="J71" s="205" t="str">
        <f>VLOOKUP(C71,Types!$A$38:$B$44,2)</f>
        <v>P1</v>
      </c>
      <c r="K71" s="195" t="s">
        <v>527</v>
      </c>
      <c r="L71" s="205" t="str">
        <f>CONCATENATE("R",VLOOKUP(D71,Types!$A$23:$B$31,2))</f>
        <v>R3</v>
      </c>
      <c r="N71" s="205" t="s">
        <v>440</v>
      </c>
      <c r="O71" s="205"/>
      <c r="P71" s="205"/>
      <c r="Q71" s="205"/>
      <c r="R71" s="205" t="s">
        <v>2428</v>
      </c>
      <c r="S71" s="205" t="s">
        <v>2429</v>
      </c>
      <c r="T71" s="205" t="s">
        <v>361</v>
      </c>
      <c r="U71" s="205"/>
      <c r="V71" s="205"/>
      <c r="W71" s="205"/>
      <c r="AA71" s="446"/>
      <c r="AB71" s="197" t="s">
        <v>102</v>
      </c>
      <c r="AC71" s="197" t="s">
        <v>59</v>
      </c>
      <c r="AD71" s="290" t="s">
        <v>343</v>
      </c>
      <c r="AE71" s="300">
        <v>1.03</v>
      </c>
      <c r="AF71" s="288">
        <f>AE71*Conv!$I$20/Conv!$I$36</f>
        <v>0.71175357908569048</v>
      </c>
      <c r="AG71" s="293">
        <f>1776/365-1.5</f>
        <v>3.3657534246575347</v>
      </c>
      <c r="AH71" s="197" t="s">
        <v>338</v>
      </c>
      <c r="AI71" s="205" t="str">
        <f>VLOOKUP(AB71,Types!$A$38:$B$44,2)</f>
        <v>P1</v>
      </c>
      <c r="AJ71" s="195" t="s">
        <v>527</v>
      </c>
      <c r="AK71" s="205" t="str">
        <f>CONCATENATE("R",VLOOKUP(AC71,Types!$A$23:$B$31,2))</f>
        <v>R3</v>
      </c>
    </row>
    <row r="72" spans="2:37" ht="14.25">
      <c r="B72" s="446"/>
      <c r="C72" s="197" t="s">
        <v>106</v>
      </c>
      <c r="D72" s="197" t="s">
        <v>82</v>
      </c>
      <c r="E72" s="290" t="s">
        <v>343</v>
      </c>
      <c r="F72" s="300">
        <v>1.03</v>
      </c>
      <c r="G72" s="288">
        <f>F72*Conv!$I$20/Conv!$I$36</f>
        <v>0.71175357908569048</v>
      </c>
      <c r="H72" s="293">
        <v>5</v>
      </c>
      <c r="I72" s="197" t="s">
        <v>338</v>
      </c>
      <c r="J72" s="205" t="str">
        <f>VLOOKUP(C72,Types!$A$38:$B$44,2)</f>
        <v>P2</v>
      </c>
      <c r="K72" s="195" t="s">
        <v>528</v>
      </c>
      <c r="L72" s="205" t="str">
        <f>CONCATENATE("R",VLOOKUP(D72,Types!$A$23:$B$31,2))</f>
        <v>R5</v>
      </c>
      <c r="N72" s="205" t="s">
        <v>439</v>
      </c>
      <c r="O72" s="205"/>
      <c r="P72" s="205"/>
      <c r="Q72" s="205"/>
      <c r="R72" s="205" t="s">
        <v>2430</v>
      </c>
      <c r="S72" s="205" t="s">
        <v>362</v>
      </c>
      <c r="T72" s="222" t="s">
        <v>352</v>
      </c>
      <c r="U72" s="205"/>
      <c r="V72" s="205"/>
      <c r="W72" s="205"/>
      <c r="AA72" s="446"/>
      <c r="AB72" s="197" t="s">
        <v>106</v>
      </c>
      <c r="AC72" s="197" t="s">
        <v>82</v>
      </c>
      <c r="AD72" s="290" t="s">
        <v>343</v>
      </c>
      <c r="AE72" s="300">
        <v>1.03</v>
      </c>
      <c r="AF72" s="288">
        <f>AE72*Conv!$I$20/Conv!$I$36</f>
        <v>0.71175357908569048</v>
      </c>
      <c r="AG72" s="293">
        <v>5</v>
      </c>
      <c r="AH72" s="197" t="s">
        <v>338</v>
      </c>
      <c r="AI72" s="205" t="str">
        <f>VLOOKUP(AB72,Types!$A$38:$B$44,2)</f>
        <v>P2</v>
      </c>
      <c r="AJ72" s="195" t="s">
        <v>528</v>
      </c>
      <c r="AK72" s="205" t="str">
        <f>CONCATENATE("R",VLOOKUP(AC72,Types!$A$23:$B$31,2))</f>
        <v>R5</v>
      </c>
    </row>
    <row r="73" spans="2:37" ht="14.25">
      <c r="B73" s="446"/>
      <c r="C73" s="197" t="s">
        <v>106</v>
      </c>
      <c r="D73" s="197" t="s">
        <v>363</v>
      </c>
      <c r="E73" s="290" t="s">
        <v>343</v>
      </c>
      <c r="F73" s="300">
        <v>1.03</v>
      </c>
      <c r="G73" s="288">
        <f>F73*Conv!$I$20/Conv!$I$36</f>
        <v>0.71175357908569048</v>
      </c>
      <c r="H73" s="293">
        <f>16665/365-H72</f>
        <v>40.657534246575345</v>
      </c>
      <c r="I73" s="197" t="s">
        <v>338</v>
      </c>
      <c r="J73" s="205" t="str">
        <f>VLOOKUP(C73,Types!$A$38:$B$44,2)</f>
        <v>P2</v>
      </c>
      <c r="K73" s="195" t="s">
        <v>528</v>
      </c>
      <c r="L73" s="205" t="str">
        <f>CONCATENATE("R",VLOOKUP(D73,Types!$A$23:$B$31,2))</f>
        <v>R2</v>
      </c>
      <c r="N73" s="205" t="s">
        <v>518</v>
      </c>
      <c r="O73" s="205"/>
      <c r="P73" s="205" t="s">
        <v>353</v>
      </c>
      <c r="Q73" s="205" t="s">
        <v>2431</v>
      </c>
      <c r="R73" s="205"/>
      <c r="S73" s="205" t="s">
        <v>364</v>
      </c>
      <c r="T73" s="205" t="s">
        <v>354</v>
      </c>
      <c r="U73" s="205"/>
      <c r="V73" s="205"/>
      <c r="W73" s="205"/>
      <c r="AA73" s="446"/>
      <c r="AB73" s="197" t="s">
        <v>106</v>
      </c>
      <c r="AC73" s="197" t="s">
        <v>363</v>
      </c>
      <c r="AD73" s="290" t="s">
        <v>343</v>
      </c>
      <c r="AE73" s="300">
        <v>1.03</v>
      </c>
      <c r="AF73" s="288">
        <f>AE73*Conv!$I$20/Conv!$I$36</f>
        <v>0.71175357908569048</v>
      </c>
      <c r="AG73" s="293">
        <f>16665/365-AG72</f>
        <v>40.657534246575345</v>
      </c>
      <c r="AH73" s="197" t="s">
        <v>338</v>
      </c>
      <c r="AI73" s="205" t="str">
        <f>VLOOKUP(AB73,Types!$A$38:$B$44,2)</f>
        <v>P2</v>
      </c>
      <c r="AJ73" s="195" t="s">
        <v>528</v>
      </c>
      <c r="AK73" s="205" t="str">
        <f>CONCATENATE("R",VLOOKUP(AC73,Types!$A$23:$B$31,2))</f>
        <v>R2</v>
      </c>
    </row>
    <row r="74" spans="2:37" ht="14.25">
      <c r="B74" s="446"/>
      <c r="C74" s="197" t="s">
        <v>106</v>
      </c>
      <c r="D74" s="197" t="s">
        <v>63</v>
      </c>
      <c r="E74" s="290" t="s">
        <v>343</v>
      </c>
      <c r="F74" s="300">
        <v>1.65</v>
      </c>
      <c r="G74" s="288">
        <f>F74*Conv!$I$20/Conv!$I$36</f>
        <v>1.1401877723217371</v>
      </c>
      <c r="H74" s="293">
        <v>12.5</v>
      </c>
      <c r="I74" s="197" t="s">
        <v>338</v>
      </c>
      <c r="J74" s="205" t="str">
        <f>VLOOKUP(C74,Types!$A$38:$B$44,2)</f>
        <v>P2</v>
      </c>
      <c r="K74" s="195" t="s">
        <v>528</v>
      </c>
      <c r="L74" s="205" t="str">
        <f>CONCATENATE("R",VLOOKUP(D74,Types!$A$23:$B$31,2))</f>
        <v>R6</v>
      </c>
      <c r="N74" s="205" t="s">
        <v>517</v>
      </c>
      <c r="O74" s="205"/>
      <c r="P74" s="205" t="s">
        <v>355</v>
      </c>
      <c r="Q74" s="205"/>
      <c r="R74" s="205" t="s">
        <v>2432</v>
      </c>
      <c r="S74" s="205"/>
      <c r="T74" s="205"/>
      <c r="U74" s="205"/>
      <c r="V74" s="205"/>
      <c r="W74" s="205"/>
      <c r="AA74" s="446"/>
      <c r="AB74" s="197" t="s">
        <v>106</v>
      </c>
      <c r="AC74" s="197" t="s">
        <v>63</v>
      </c>
      <c r="AD74" s="290" t="s">
        <v>343</v>
      </c>
      <c r="AE74" s="300">
        <v>1.65</v>
      </c>
      <c r="AF74" s="288">
        <f>AE74*Conv!$I$20/Conv!$I$36</f>
        <v>1.1401877723217371</v>
      </c>
      <c r="AG74" s="293">
        <v>12.5</v>
      </c>
      <c r="AH74" s="197" t="s">
        <v>338</v>
      </c>
      <c r="AI74" s="205" t="str">
        <f>VLOOKUP(AB74,Types!$A$38:$B$44,2)</f>
        <v>P2</v>
      </c>
      <c r="AJ74" s="195" t="s">
        <v>528</v>
      </c>
      <c r="AK74" s="205" t="str">
        <f>CONCATENATE("R",VLOOKUP(AC74,Types!$A$23:$B$31,2))</f>
        <v>R6</v>
      </c>
    </row>
    <row r="75" spans="2:37" ht="14.25">
      <c r="B75" s="446"/>
      <c r="C75" s="197" t="s">
        <v>106</v>
      </c>
      <c r="D75" s="197" t="s">
        <v>88</v>
      </c>
      <c r="E75" s="290" t="s">
        <v>343</v>
      </c>
      <c r="F75" s="300">
        <v>1.65</v>
      </c>
      <c r="G75" s="288">
        <f>F75*Conv!$I$20/Conv!$I$36</f>
        <v>1.1401877723217371</v>
      </c>
      <c r="H75" s="293">
        <f>9250/365-H74</f>
        <v>12.842465753424658</v>
      </c>
      <c r="I75" s="197" t="s">
        <v>338</v>
      </c>
      <c r="J75" s="205" t="str">
        <f>VLOOKUP(C75,Types!$A$38:$B$44,2)</f>
        <v>P2</v>
      </c>
      <c r="K75" s="195" t="s">
        <v>528</v>
      </c>
      <c r="L75" s="205" t="str">
        <f>CONCATENATE("R",VLOOKUP(D75,Types!$A$23:$B$31,2))</f>
        <v>R7</v>
      </c>
      <c r="N75" s="205" t="s">
        <v>519</v>
      </c>
      <c r="O75" s="205"/>
      <c r="P75" s="205" t="s">
        <v>365</v>
      </c>
      <c r="Q75" s="205" t="s">
        <v>356</v>
      </c>
      <c r="R75" s="205" t="s">
        <v>357</v>
      </c>
      <c r="S75" s="205"/>
      <c r="T75" s="205"/>
      <c r="U75" s="205"/>
      <c r="V75" s="205"/>
      <c r="W75" s="205"/>
      <c r="AA75" s="446"/>
      <c r="AB75" s="197" t="s">
        <v>106</v>
      </c>
      <c r="AC75" s="197" t="s">
        <v>88</v>
      </c>
      <c r="AD75" s="290" t="s">
        <v>343</v>
      </c>
      <c r="AE75" s="300">
        <v>1.65</v>
      </c>
      <c r="AF75" s="288">
        <f>AE75*Conv!$I$20/Conv!$I$36</f>
        <v>1.1401877723217371</v>
      </c>
      <c r="AG75" s="293">
        <f>9250/365-AG74</f>
        <v>12.842465753424658</v>
      </c>
      <c r="AH75" s="197" t="s">
        <v>338</v>
      </c>
      <c r="AI75" s="205" t="str">
        <f>VLOOKUP(AB75,Types!$A$38:$B$44,2)</f>
        <v>P2</v>
      </c>
      <c r="AJ75" s="195" t="s">
        <v>528</v>
      </c>
      <c r="AK75" s="205" t="str">
        <f>CONCATENATE("R",VLOOKUP(AC75,Types!$A$23:$B$31,2))</f>
        <v>R7</v>
      </c>
    </row>
    <row r="76" spans="2:37" ht="14.25">
      <c r="B76" s="446"/>
      <c r="C76" s="197" t="s">
        <v>110</v>
      </c>
      <c r="D76" s="197" t="s">
        <v>67</v>
      </c>
      <c r="E76" s="290" t="s">
        <v>343</v>
      </c>
      <c r="F76" s="300">
        <v>1.756</v>
      </c>
      <c r="G76" s="288">
        <f>F76*Conv!$I$20/Conv!$I$36</f>
        <v>1.2134361989072548</v>
      </c>
      <c r="H76" s="293">
        <f>3166/365</f>
        <v>8.6739726027397257</v>
      </c>
      <c r="I76" s="197" t="s">
        <v>346</v>
      </c>
      <c r="J76" s="205" t="str">
        <f>VLOOKUP(C76,Types!$A$38:$B$44,2)</f>
        <v>P3</v>
      </c>
      <c r="K76" s="195" t="s">
        <v>529</v>
      </c>
      <c r="L76" s="205" t="str">
        <f>CONCATENATE("R",VLOOKUP(D76,Types!$A$23:$B$31,2))</f>
        <v>R1</v>
      </c>
      <c r="N76" s="205" t="s">
        <v>520</v>
      </c>
      <c r="O76" s="205"/>
      <c r="P76" s="205"/>
      <c r="Q76" s="205"/>
      <c r="R76" s="205"/>
      <c r="S76" s="205"/>
      <c r="T76" s="205"/>
      <c r="U76" s="205"/>
      <c r="V76" s="205"/>
      <c r="W76" s="205"/>
      <c r="AA76" s="446"/>
      <c r="AB76" s="197" t="s">
        <v>110</v>
      </c>
      <c r="AC76" s="197" t="s">
        <v>67</v>
      </c>
      <c r="AD76" s="290" t="s">
        <v>343</v>
      </c>
      <c r="AE76" s="300">
        <v>1.756</v>
      </c>
      <c r="AF76" s="288">
        <f>AE76*Conv!$I$20/Conv!$I$36</f>
        <v>1.2134361989072548</v>
      </c>
      <c r="AG76" s="293">
        <f>3166/365</f>
        <v>8.6739726027397257</v>
      </c>
      <c r="AH76" s="197" t="s">
        <v>346</v>
      </c>
      <c r="AI76" s="205" t="str">
        <f>VLOOKUP(AB76,Types!$A$38:$B$44,2)</f>
        <v>P3</v>
      </c>
      <c r="AJ76" s="195" t="s">
        <v>529</v>
      </c>
      <c r="AK76" s="205" t="str">
        <f>CONCATENATE("R",VLOOKUP(AC76,Types!$A$23:$B$31,2))</f>
        <v>R1</v>
      </c>
    </row>
    <row r="77" spans="2:37" ht="14.25">
      <c r="B77" s="446"/>
      <c r="C77" s="197" t="s">
        <v>110</v>
      </c>
      <c r="D77" s="197" t="s">
        <v>363</v>
      </c>
      <c r="E77" s="290" t="s">
        <v>343</v>
      </c>
      <c r="F77" s="300">
        <v>1.5680000000000001</v>
      </c>
      <c r="G77" s="288">
        <f>F77*Conv!$I$20/Conv!$I$36</f>
        <v>1.0835238951518085</v>
      </c>
      <c r="H77" s="293">
        <f>6674/365</f>
        <v>18.284931506849315</v>
      </c>
      <c r="I77" s="197" t="s">
        <v>346</v>
      </c>
      <c r="J77" s="205" t="str">
        <f>VLOOKUP(C77,Types!$A$38:$B$44,2)</f>
        <v>P3</v>
      </c>
      <c r="K77" s="195" t="s">
        <v>529</v>
      </c>
      <c r="L77" s="205" t="str">
        <f>CONCATENATE("R",VLOOKUP(D77,Types!$A$23:$B$31,2))</f>
        <v>R2</v>
      </c>
      <c r="N77" s="205" t="s">
        <v>521</v>
      </c>
      <c r="O77" s="205"/>
      <c r="P77" s="205"/>
      <c r="Q77" s="205"/>
      <c r="R77" s="205"/>
      <c r="S77" s="205"/>
      <c r="T77" s="205"/>
      <c r="U77" s="205"/>
      <c r="V77" s="205"/>
      <c r="W77" s="205"/>
      <c r="AA77" s="446"/>
      <c r="AB77" s="197" t="s">
        <v>110</v>
      </c>
      <c r="AC77" s="197" t="s">
        <v>363</v>
      </c>
      <c r="AD77" s="290" t="s">
        <v>343</v>
      </c>
      <c r="AE77" s="300">
        <v>1.5680000000000001</v>
      </c>
      <c r="AF77" s="288">
        <f>AE77*Conv!$I$20/Conv!$I$36</f>
        <v>1.0835238951518085</v>
      </c>
      <c r="AG77" s="293">
        <f>6674/365</f>
        <v>18.284931506849315</v>
      </c>
      <c r="AH77" s="197" t="s">
        <v>346</v>
      </c>
      <c r="AI77" s="205" t="str">
        <f>VLOOKUP(AB77,Types!$A$38:$B$44,2)</f>
        <v>P3</v>
      </c>
      <c r="AJ77" s="195" t="s">
        <v>529</v>
      </c>
      <c r="AK77" s="205" t="str">
        <f>CONCATENATE("R",VLOOKUP(AC77,Types!$A$23:$B$31,2))</f>
        <v>R2</v>
      </c>
    </row>
    <row r="78" spans="2:37" ht="14.25">
      <c r="B78" s="446"/>
      <c r="C78" s="197" t="s">
        <v>110</v>
      </c>
      <c r="D78" s="197" t="s">
        <v>82</v>
      </c>
      <c r="E78" s="290" t="s">
        <v>343</v>
      </c>
      <c r="F78" s="300">
        <v>1.2</v>
      </c>
      <c r="G78" s="288">
        <f>F78*Conv!$I$20/Conv!$I$36</f>
        <v>0.82922747077944525</v>
      </c>
      <c r="H78" s="293">
        <f>(228029-2873)/365</f>
        <v>616.86575342465756</v>
      </c>
      <c r="I78" s="197" t="s">
        <v>346</v>
      </c>
      <c r="J78" s="205" t="str">
        <f>VLOOKUP(C78,Types!$A$38:$B$44,2)</f>
        <v>P3</v>
      </c>
      <c r="K78" s="195" t="s">
        <v>529</v>
      </c>
      <c r="L78" s="205" t="str">
        <f>CONCATENATE("R",VLOOKUP(D78,Types!$A$23:$B$31,2))</f>
        <v>R5</v>
      </c>
      <c r="N78" s="205" t="s">
        <v>522</v>
      </c>
      <c r="O78" s="205"/>
      <c r="P78" s="205"/>
      <c r="Q78" s="205"/>
      <c r="R78" s="205"/>
      <c r="S78" s="205"/>
      <c r="T78" s="205"/>
      <c r="U78" s="205"/>
      <c r="V78" s="205"/>
      <c r="W78" s="205"/>
      <c r="AA78" s="446"/>
      <c r="AB78" s="197" t="s">
        <v>110</v>
      </c>
      <c r="AC78" s="197" t="s">
        <v>82</v>
      </c>
      <c r="AD78" s="290" t="s">
        <v>343</v>
      </c>
      <c r="AE78" s="300">
        <v>1.2</v>
      </c>
      <c r="AF78" s="288">
        <f>AE78*Conv!$I$20/Conv!$I$36</f>
        <v>0.82922747077944525</v>
      </c>
      <c r="AG78" s="293">
        <f>(228029-2873)/365</f>
        <v>616.86575342465756</v>
      </c>
      <c r="AH78" s="197" t="s">
        <v>346</v>
      </c>
      <c r="AI78" s="205" t="str">
        <f>VLOOKUP(AB78,Types!$A$38:$B$44,2)</f>
        <v>P3</v>
      </c>
      <c r="AJ78" s="195" t="s">
        <v>529</v>
      </c>
      <c r="AK78" s="205" t="str">
        <f>CONCATENATE("R",VLOOKUP(AC78,Types!$A$23:$B$31,2))</f>
        <v>R5</v>
      </c>
    </row>
    <row r="79" spans="2:37" ht="14.25">
      <c r="B79" s="446"/>
      <c r="C79" s="197" t="s">
        <v>110</v>
      </c>
      <c r="D79" s="197" t="s">
        <v>59</v>
      </c>
      <c r="E79" s="290" t="s">
        <v>343</v>
      </c>
      <c r="F79" s="300">
        <v>1.71</v>
      </c>
      <c r="G79" s="288">
        <f>F79*Conv!$I$20/Conv!$I$36</f>
        <v>1.1816491458607095</v>
      </c>
      <c r="H79" s="293">
        <f>54814/365-H81-H80</f>
        <v>50.175342465753431</v>
      </c>
      <c r="I79" s="197" t="s">
        <v>338</v>
      </c>
      <c r="J79" s="205" t="str">
        <f>VLOOKUP(C79,Types!$A$38:$B$44,2)</f>
        <v>P3</v>
      </c>
      <c r="K79" s="195" t="s">
        <v>529</v>
      </c>
      <c r="L79" s="205" t="str">
        <f>CONCATENATE("R",VLOOKUP(D79,Types!$A$23:$B$31,2))</f>
        <v>R3</v>
      </c>
      <c r="AA79" s="446"/>
      <c r="AB79" s="197" t="s">
        <v>110</v>
      </c>
      <c r="AC79" s="197" t="s">
        <v>59</v>
      </c>
      <c r="AD79" s="290" t="s">
        <v>343</v>
      </c>
      <c r="AE79" s="300">
        <v>1.71</v>
      </c>
      <c r="AF79" s="288">
        <f>AE79*Conv!$I$20/Conv!$I$36</f>
        <v>1.1816491458607095</v>
      </c>
      <c r="AG79" s="293">
        <f>54814/365-AG81-AG80</f>
        <v>50.175342465753431</v>
      </c>
      <c r="AH79" s="197" t="s">
        <v>338</v>
      </c>
      <c r="AI79" s="205" t="str">
        <f>VLOOKUP(AB79,Types!$A$38:$B$44,2)</f>
        <v>P3</v>
      </c>
      <c r="AJ79" s="195" t="s">
        <v>529</v>
      </c>
      <c r="AK79" s="205" t="str">
        <f>CONCATENATE("R",VLOOKUP(AC79,Types!$A$23:$B$31,2))</f>
        <v>R3</v>
      </c>
    </row>
    <row r="80" spans="2:37" ht="14.25">
      <c r="B80" s="446"/>
      <c r="C80" s="197" t="s">
        <v>110</v>
      </c>
      <c r="D80" s="197" t="s">
        <v>63</v>
      </c>
      <c r="E80" s="290" t="s">
        <v>343</v>
      </c>
      <c r="F80" s="300">
        <v>1.71</v>
      </c>
      <c r="G80" s="288">
        <f>F80*Conv!$I$20/Conv!$I$36</f>
        <v>1.1816491458607095</v>
      </c>
      <c r="H80" s="293">
        <v>50</v>
      </c>
      <c r="I80" s="197" t="s">
        <v>338</v>
      </c>
      <c r="J80" s="205" t="str">
        <f>VLOOKUP(C80,Types!$A$38:$B$44,2)</f>
        <v>P3</v>
      </c>
      <c r="K80" s="195" t="s">
        <v>529</v>
      </c>
      <c r="L80" s="205" t="str">
        <f>CONCATENATE("R",VLOOKUP(D80,Types!$A$23:$B$31,2))</f>
        <v>R6</v>
      </c>
      <c r="AA80" s="446"/>
      <c r="AB80" s="197" t="s">
        <v>110</v>
      </c>
      <c r="AC80" s="197" t="s">
        <v>63</v>
      </c>
      <c r="AD80" s="290" t="s">
        <v>343</v>
      </c>
      <c r="AE80" s="300">
        <v>1.71</v>
      </c>
      <c r="AF80" s="288">
        <f>AE80*Conv!$I$20/Conv!$I$36</f>
        <v>1.1816491458607095</v>
      </c>
      <c r="AG80" s="293">
        <v>50</v>
      </c>
      <c r="AH80" s="197" t="s">
        <v>338</v>
      </c>
      <c r="AI80" s="205" t="str">
        <f>VLOOKUP(AB80,Types!$A$38:$B$44,2)</f>
        <v>P3</v>
      </c>
      <c r="AJ80" s="195" t="s">
        <v>529</v>
      </c>
      <c r="AK80" s="205" t="str">
        <f>CONCATENATE("R",VLOOKUP(AC80,Types!$A$23:$B$31,2))</f>
        <v>R6</v>
      </c>
    </row>
    <row r="81" spans="1:37" ht="14.25">
      <c r="B81" s="446"/>
      <c r="C81" s="197" t="s">
        <v>110</v>
      </c>
      <c r="D81" s="197" t="s">
        <v>76</v>
      </c>
      <c r="E81" s="290" t="s">
        <v>343</v>
      </c>
      <c r="F81" s="300">
        <v>1.71</v>
      </c>
      <c r="G81" s="288">
        <f>F81*Conv!$I$20/Conv!$I$36</f>
        <v>1.1816491458607095</v>
      </c>
      <c r="H81" s="293">
        <v>50</v>
      </c>
      <c r="I81" s="197" t="s">
        <v>338</v>
      </c>
      <c r="J81" s="205" t="str">
        <f>VLOOKUP(C81,Types!$A$38:$B$44,2)</f>
        <v>P3</v>
      </c>
      <c r="K81" s="195" t="s">
        <v>529</v>
      </c>
      <c r="L81" s="205" t="str">
        <f>CONCATENATE("R",VLOOKUP(D81,Types!$A$23:$B$31,2))</f>
        <v>R4</v>
      </c>
      <c r="AA81" s="446"/>
      <c r="AB81" s="197" t="s">
        <v>110</v>
      </c>
      <c r="AC81" s="197" t="s">
        <v>76</v>
      </c>
      <c r="AD81" s="290" t="s">
        <v>343</v>
      </c>
      <c r="AE81" s="300">
        <v>1.71</v>
      </c>
      <c r="AF81" s="288">
        <f>AE81*Conv!$I$20/Conv!$I$36</f>
        <v>1.1816491458607095</v>
      </c>
      <c r="AG81" s="293">
        <v>50</v>
      </c>
      <c r="AH81" s="197" t="s">
        <v>338</v>
      </c>
      <c r="AI81" s="205" t="str">
        <f>VLOOKUP(AB81,Types!$A$38:$B$44,2)</f>
        <v>P3</v>
      </c>
      <c r="AJ81" s="195" t="s">
        <v>529</v>
      </c>
      <c r="AK81" s="205" t="str">
        <f>CONCATENATE("R",VLOOKUP(AC81,Types!$A$23:$B$31,2))</f>
        <v>R4</v>
      </c>
    </row>
    <row r="82" spans="1:37" ht="14.25">
      <c r="B82" s="446"/>
      <c r="C82" s="197" t="s">
        <v>110</v>
      </c>
      <c r="D82" s="197" t="s">
        <v>79</v>
      </c>
      <c r="E82" s="290" t="s">
        <v>343</v>
      </c>
      <c r="F82" s="300">
        <v>5.65</v>
      </c>
      <c r="G82" s="288">
        <f>F82*Conv!$I$20/Conv!$I$36</f>
        <v>3.9042793415865553</v>
      </c>
      <c r="H82" s="293">
        <f>6043/365</f>
        <v>16.556164383561644</v>
      </c>
      <c r="I82" s="197" t="s">
        <v>366</v>
      </c>
      <c r="J82" s="205" t="str">
        <f>VLOOKUP(C82,Types!$A$38:$B$44,2)</f>
        <v>P3</v>
      </c>
      <c r="K82" s="195" t="s">
        <v>529</v>
      </c>
      <c r="L82" s="205" t="str">
        <f>CONCATENATE("R",VLOOKUP(D82,Types!$A$23:$B$31,2))</f>
        <v>R9</v>
      </c>
      <c r="AA82" s="446"/>
      <c r="AB82" s="197" t="s">
        <v>110</v>
      </c>
      <c r="AC82" s="197" t="s">
        <v>79</v>
      </c>
      <c r="AD82" s="290" t="s">
        <v>343</v>
      </c>
      <c r="AE82" s="300">
        <v>5.65</v>
      </c>
      <c r="AF82" s="288">
        <f>AE82*Conv!$I$20/Conv!$I$36</f>
        <v>3.9042793415865553</v>
      </c>
      <c r="AG82" s="293">
        <f>6043/365</f>
        <v>16.556164383561644</v>
      </c>
      <c r="AH82" s="197" t="s">
        <v>366</v>
      </c>
      <c r="AI82" s="205" t="str">
        <f>VLOOKUP(AB82,Types!$A$38:$B$44,2)</f>
        <v>P3</v>
      </c>
      <c r="AJ82" s="195" t="s">
        <v>529</v>
      </c>
      <c r="AK82" s="205" t="str">
        <f>CONCATENATE("R",VLOOKUP(AC82,Types!$A$23:$B$31,2))</f>
        <v>R9</v>
      </c>
    </row>
    <row r="83" spans="1:37" ht="14.25">
      <c r="B83" s="446"/>
      <c r="C83" s="197" t="s">
        <v>110</v>
      </c>
      <c r="D83" s="197" t="s">
        <v>72</v>
      </c>
      <c r="E83" s="290" t="s">
        <v>343</v>
      </c>
      <c r="F83" s="300"/>
      <c r="G83" s="288">
        <f>F83*Conv!$I$20/Conv!$I$36</f>
        <v>0</v>
      </c>
      <c r="H83" s="295" t="s">
        <v>367</v>
      </c>
      <c r="J83" s="205" t="str">
        <f>VLOOKUP(C83,Types!$A$38:$B$44,2)</f>
        <v>P3</v>
      </c>
      <c r="K83" s="195" t="s">
        <v>529</v>
      </c>
      <c r="L83" s="205" t="str">
        <f>CONCATENATE("R",VLOOKUP(D83,Types!$A$23:$B$31,2))</f>
        <v>R8</v>
      </c>
      <c r="AA83" s="446"/>
      <c r="AB83" s="197" t="s">
        <v>110</v>
      </c>
      <c r="AC83" s="197" t="s">
        <v>72</v>
      </c>
      <c r="AD83" s="290" t="s">
        <v>343</v>
      </c>
      <c r="AE83" s="300"/>
      <c r="AF83" s="288">
        <f>AE83*Conv!$I$20/Conv!$I$36</f>
        <v>0</v>
      </c>
      <c r="AG83" s="295" t="s">
        <v>367</v>
      </c>
      <c r="AH83" s="197"/>
      <c r="AI83" s="205" t="str">
        <f>VLOOKUP(AB83,Types!$A$38:$B$44,2)</f>
        <v>P3</v>
      </c>
      <c r="AJ83" s="195" t="s">
        <v>529</v>
      </c>
      <c r="AK83" s="205" t="str">
        <f>CONCATENATE("R",VLOOKUP(AC83,Types!$A$23:$B$31,2))</f>
        <v>R8</v>
      </c>
    </row>
    <row r="84" spans="1:37" ht="30.75" customHeight="1">
      <c r="B84" s="296" t="s">
        <v>368</v>
      </c>
      <c r="C84" s="197" t="s">
        <v>110</v>
      </c>
      <c r="D84" s="197" t="s">
        <v>72</v>
      </c>
      <c r="E84" s="290" t="s">
        <v>343</v>
      </c>
      <c r="F84" s="300">
        <v>2.1</v>
      </c>
      <c r="G84" s="288">
        <f>F84*Conv!$I$20/Conv!$I$36</f>
        <v>1.4511480738640292</v>
      </c>
      <c r="H84" s="293"/>
      <c r="I84" s="197" t="s">
        <v>366</v>
      </c>
      <c r="J84" s="205" t="str">
        <f>VLOOKUP(C84,Types!$A$38:$B$44,2)</f>
        <v>P3</v>
      </c>
      <c r="K84" s="195" t="s">
        <v>529</v>
      </c>
      <c r="L84" s="205" t="str">
        <f>CONCATENATE("R",VLOOKUP(D84,Types!$A$23:$B$31,2))</f>
        <v>R8</v>
      </c>
      <c r="O84" s="202"/>
      <c r="P84" s="202"/>
      <c r="Q84" s="202"/>
      <c r="R84" s="202"/>
      <c r="S84" s="202"/>
      <c r="T84" s="202"/>
      <c r="U84" s="202"/>
      <c r="V84" s="202"/>
      <c r="W84" s="202"/>
      <c r="AA84" s="296" t="s">
        <v>368</v>
      </c>
      <c r="AB84" s="197" t="s">
        <v>110</v>
      </c>
      <c r="AC84" s="197" t="s">
        <v>72</v>
      </c>
      <c r="AD84" s="290" t="s">
        <v>343</v>
      </c>
      <c r="AE84" s="300">
        <v>2.1</v>
      </c>
      <c r="AF84" s="288">
        <f>AE84*Conv!$I$20/Conv!$I$36</f>
        <v>1.4511480738640292</v>
      </c>
      <c r="AG84" s="293"/>
      <c r="AH84" s="197" t="s">
        <v>366</v>
      </c>
      <c r="AI84" s="205" t="str">
        <f>VLOOKUP(AB84,Types!$A$38:$B$44,2)</f>
        <v>P3</v>
      </c>
      <c r="AJ84" s="195" t="s">
        <v>529</v>
      </c>
      <c r="AK84" s="205" t="str">
        <f>CONCATENATE("R",VLOOKUP(AC84,Types!$A$23:$B$31,2))</f>
        <v>R8</v>
      </c>
    </row>
    <row r="85" spans="1:37">
      <c r="B85" s="302"/>
      <c r="C85" s="197"/>
      <c r="D85" s="197"/>
      <c r="E85" s="287"/>
      <c r="F85" s="292"/>
      <c r="G85" s="292">
        <f>F85*Conv!$I$20/Conv!$I$36</f>
        <v>0</v>
      </c>
      <c r="H85" s="293"/>
      <c r="O85" s="206"/>
      <c r="AA85" s="302"/>
      <c r="AB85" s="197"/>
      <c r="AC85" s="197"/>
      <c r="AD85" s="287"/>
      <c r="AE85" s="292"/>
      <c r="AF85" s="292">
        <f>AE85*Conv!$I$20/Conv!$I$36</f>
        <v>0</v>
      </c>
      <c r="AG85" s="293"/>
      <c r="AH85" s="197"/>
    </row>
    <row r="86" spans="1:37">
      <c r="B86" s="302"/>
      <c r="C86" s="197"/>
      <c r="D86" s="197"/>
      <c r="E86" s="287"/>
      <c r="F86" s="292"/>
      <c r="G86" s="292">
        <f>F86*Conv!$I$20/Conv!$I$36</f>
        <v>0</v>
      </c>
      <c r="H86" s="293"/>
      <c r="N86" s="206"/>
      <c r="O86" s="205"/>
      <c r="P86" s="205"/>
      <c r="Q86" s="205"/>
      <c r="R86" s="205"/>
      <c r="S86" s="205"/>
      <c r="T86" s="205"/>
      <c r="U86" s="205"/>
      <c r="V86" s="205"/>
      <c r="W86" s="205"/>
      <c r="AA86" s="302"/>
      <c r="AB86" s="197"/>
      <c r="AC86" s="197"/>
      <c r="AD86" s="287"/>
      <c r="AE86" s="292"/>
      <c r="AF86" s="292">
        <f>AE86*Conv!$I$20/Conv!$I$36</f>
        <v>0</v>
      </c>
      <c r="AG86" s="293"/>
      <c r="AH86" s="197"/>
    </row>
    <row r="87" spans="1:37" s="205" customFormat="1" ht="15.75">
      <c r="A87" s="286" t="s">
        <v>456</v>
      </c>
      <c r="B87" s="297"/>
      <c r="C87" s="196" t="s">
        <v>56</v>
      </c>
      <c r="D87" s="196" t="s">
        <v>351</v>
      </c>
      <c r="E87" s="287"/>
      <c r="F87" s="288"/>
      <c r="G87" s="292">
        <f>F87*Conv!$I$20/Conv!$I$36</f>
        <v>0</v>
      </c>
      <c r="H87" s="289"/>
      <c r="I87" s="234"/>
      <c r="Z87" s="286" t="s">
        <v>456</v>
      </c>
      <c r="AA87" s="297"/>
      <c r="AB87" s="196" t="s">
        <v>56</v>
      </c>
      <c r="AC87" s="196" t="s">
        <v>351</v>
      </c>
      <c r="AD87" s="287"/>
      <c r="AE87" s="288"/>
      <c r="AF87" s="292">
        <f>AE87*Conv!$I$20/Conv!$I$36</f>
        <v>0</v>
      </c>
      <c r="AG87" s="289"/>
      <c r="AH87" s="234"/>
    </row>
    <row r="88" spans="1:37">
      <c r="B88" s="446" t="s">
        <v>369</v>
      </c>
      <c r="C88" s="197" t="s">
        <v>102</v>
      </c>
      <c r="D88" s="197" t="s">
        <v>63</v>
      </c>
      <c r="E88" s="287">
        <v>5</v>
      </c>
      <c r="F88" s="292">
        <v>2</v>
      </c>
      <c r="G88" s="292">
        <f>F88*Conv!$I$20/Conv!$I$36</f>
        <v>1.3820457846324088</v>
      </c>
      <c r="H88" s="293">
        <v>0</v>
      </c>
      <c r="K88" s="205" t="str">
        <f>CONCATENATE("P",VLOOKUP(D88,Types!$A$23:$B$31,2))</f>
        <v>P6</v>
      </c>
      <c r="N88" s="205"/>
      <c r="O88" s="205"/>
      <c r="P88" s="205"/>
      <c r="Q88" s="205"/>
      <c r="R88" s="205"/>
      <c r="S88" s="205"/>
      <c r="T88" s="205"/>
      <c r="U88" s="205"/>
      <c r="V88" s="205"/>
      <c r="W88" s="205"/>
      <c r="AA88" s="446" t="s">
        <v>369</v>
      </c>
      <c r="AB88" s="197" t="s">
        <v>102</v>
      </c>
      <c r="AC88" s="197" t="s">
        <v>63</v>
      </c>
      <c r="AD88" s="287">
        <v>5</v>
      </c>
      <c r="AE88" s="292">
        <v>2</v>
      </c>
      <c r="AF88" s="292">
        <f>AE88*Conv!$I$20/Conv!$I$36</f>
        <v>1.3820457846324088</v>
      </c>
      <c r="AG88" s="293">
        <v>0</v>
      </c>
      <c r="AH88" s="197"/>
      <c r="AJ88" s="205" t="str">
        <f>CONCATENATE("P",VLOOKUP(AC88,Types!$A$23:$B$31,2))</f>
        <v>P6</v>
      </c>
    </row>
    <row r="89" spans="1:37">
      <c r="B89" s="446"/>
      <c r="C89" s="197" t="s">
        <v>110</v>
      </c>
      <c r="D89" s="197" t="s">
        <v>76</v>
      </c>
      <c r="E89" s="287">
        <v>50</v>
      </c>
      <c r="F89" s="292">
        <v>1.3436999999999999</v>
      </c>
      <c r="G89" s="292">
        <f>F89*Conv!$I$20/Conv!$I$36</f>
        <v>0.92852746040528367</v>
      </c>
      <c r="H89" s="293">
        <v>5</v>
      </c>
      <c r="I89" s="197" t="s">
        <v>338</v>
      </c>
      <c r="K89" s="205" t="str">
        <f>CONCATENATE("P",VLOOKUP(D89,Types!$A$23:$B$31,2))</f>
        <v>P4</v>
      </c>
      <c r="N89" s="205"/>
      <c r="O89" s="205"/>
      <c r="P89" s="303"/>
      <c r="Q89" s="205"/>
      <c r="R89" s="205"/>
      <c r="S89" s="205"/>
      <c r="T89" s="303"/>
      <c r="U89" s="303"/>
      <c r="V89" s="205"/>
      <c r="W89" s="205"/>
      <c r="AA89" s="446"/>
      <c r="AB89" s="197" t="s">
        <v>110</v>
      </c>
      <c r="AC89" s="197" t="s">
        <v>76</v>
      </c>
      <c r="AD89" s="287">
        <v>50</v>
      </c>
      <c r="AE89" s="292">
        <v>1.3436999999999999</v>
      </c>
      <c r="AF89" s="292">
        <f>AE89*Conv!$I$20/Conv!$I$36</f>
        <v>0.92852746040528367</v>
      </c>
      <c r="AG89" s="293">
        <v>5</v>
      </c>
      <c r="AH89" s="197" t="s">
        <v>338</v>
      </c>
      <c r="AJ89" s="205" t="str">
        <f>CONCATENATE("P",VLOOKUP(AC89,Types!$A$23:$B$31,2))</f>
        <v>P4</v>
      </c>
    </row>
    <row r="90" spans="1:37">
      <c r="B90" s="446"/>
      <c r="C90" s="197" t="s">
        <v>110</v>
      </c>
      <c r="D90" s="197" t="s">
        <v>59</v>
      </c>
      <c r="E90" s="287">
        <v>290</v>
      </c>
      <c r="F90" s="292">
        <v>1.169</v>
      </c>
      <c r="G90" s="292">
        <f>F90*Conv!$I$20/Conv!$I$36</f>
        <v>0.80780576111764302</v>
      </c>
      <c r="H90" s="293">
        <f>38914/365-H89</f>
        <v>101.61369863013698</v>
      </c>
      <c r="I90" s="197" t="s">
        <v>338</v>
      </c>
      <c r="K90" s="205" t="str">
        <f>CONCATENATE("P",VLOOKUP(D90,Types!$A$23:$B$31,2))</f>
        <v>P3</v>
      </c>
      <c r="N90" s="205"/>
      <c r="O90" s="205"/>
      <c r="P90" s="303"/>
      <c r="Q90" s="205"/>
      <c r="R90" s="205"/>
      <c r="S90" s="205"/>
      <c r="T90" s="303"/>
      <c r="U90" s="303"/>
      <c r="V90" s="205"/>
      <c r="W90" s="205"/>
      <c r="AA90" s="446"/>
      <c r="AB90" s="197" t="s">
        <v>110</v>
      </c>
      <c r="AC90" s="197" t="s">
        <v>59</v>
      </c>
      <c r="AD90" s="287">
        <v>290</v>
      </c>
      <c r="AE90" s="292">
        <v>1.169</v>
      </c>
      <c r="AF90" s="292">
        <f>AE90*Conv!$I$20/Conv!$I$36</f>
        <v>0.80780576111764302</v>
      </c>
      <c r="AG90" s="293">
        <f>38914/365-AG89</f>
        <v>101.61369863013698</v>
      </c>
      <c r="AH90" s="197" t="s">
        <v>338</v>
      </c>
      <c r="AJ90" s="205" t="str">
        <f>CONCATENATE("P",VLOOKUP(AC90,Types!$A$23:$B$31,2))</f>
        <v>P3</v>
      </c>
    </row>
    <row r="91" spans="1:37">
      <c r="B91" s="446"/>
      <c r="C91" s="197" t="s">
        <v>110</v>
      </c>
      <c r="D91" s="197" t="s">
        <v>63</v>
      </c>
      <c r="E91" s="287">
        <v>109</v>
      </c>
      <c r="F91" s="292">
        <v>0.24399999999999999</v>
      </c>
      <c r="G91" s="292">
        <f>F91*Conv!$I$20/Conv!$I$36</f>
        <v>0.16860958572515386</v>
      </c>
      <c r="H91" s="295" t="s">
        <v>345</v>
      </c>
      <c r="K91" s="205" t="str">
        <f>CONCATENATE("P",VLOOKUP(D91,Types!$A$23:$B$31,2))</f>
        <v>P6</v>
      </c>
      <c r="N91" s="205"/>
      <c r="O91" s="205"/>
      <c r="P91" s="205"/>
      <c r="Q91" s="205"/>
      <c r="R91" s="205"/>
      <c r="S91" s="205"/>
      <c r="T91" s="303"/>
      <c r="U91" s="205"/>
      <c r="V91" s="205"/>
      <c r="W91" s="205"/>
      <c r="AA91" s="446"/>
      <c r="AB91" s="197" t="s">
        <v>110</v>
      </c>
      <c r="AC91" s="197" t="s">
        <v>63</v>
      </c>
      <c r="AD91" s="287">
        <v>109</v>
      </c>
      <c r="AE91" s="292">
        <v>0.24399999999999999</v>
      </c>
      <c r="AF91" s="292">
        <f>AE91*Conv!$I$20/Conv!$I$36</f>
        <v>0.16860958572515386</v>
      </c>
      <c r="AG91" s="295" t="s">
        <v>345</v>
      </c>
      <c r="AH91" s="197"/>
      <c r="AJ91" s="205" t="str">
        <f>CONCATENATE("P",VLOOKUP(AC91,Types!$A$23:$B$31,2))</f>
        <v>P6</v>
      </c>
    </row>
    <row r="92" spans="1:37">
      <c r="B92" s="446"/>
      <c r="C92" s="197" t="s">
        <v>99</v>
      </c>
      <c r="D92" s="197" t="s">
        <v>82</v>
      </c>
      <c r="E92" s="287">
        <v>109</v>
      </c>
      <c r="F92" s="292">
        <v>0.45</v>
      </c>
      <c r="G92" s="292">
        <f>F92*Conv!$I$20/Conv!$I$36</f>
        <v>0.31096030154229198</v>
      </c>
      <c r="H92" s="293">
        <f>23413/365</f>
        <v>64.145205479452059</v>
      </c>
      <c r="K92" s="205" t="str">
        <f>CONCATENATE("P",VLOOKUP(D92,Types!$A$23:$B$31,2))</f>
        <v>P5</v>
      </c>
      <c r="N92" s="205"/>
      <c r="O92" s="205"/>
      <c r="P92" s="205"/>
      <c r="Q92" s="303"/>
      <c r="R92" s="303"/>
      <c r="S92" s="303"/>
      <c r="T92" s="205"/>
      <c r="U92" s="205"/>
      <c r="V92" s="303"/>
      <c r="W92" s="205"/>
      <c r="AA92" s="446"/>
      <c r="AB92" s="197" t="s">
        <v>99</v>
      </c>
      <c r="AC92" s="197" t="s">
        <v>82</v>
      </c>
      <c r="AD92" s="287">
        <v>109</v>
      </c>
      <c r="AE92" s="292">
        <v>0.45</v>
      </c>
      <c r="AF92" s="292">
        <f>AE92*Conv!$I$20/Conv!$I$36</f>
        <v>0.31096030154229198</v>
      </c>
      <c r="AG92" s="293">
        <f>23413/365</f>
        <v>64.145205479452059</v>
      </c>
      <c r="AH92" s="197"/>
      <c r="AJ92" s="205" t="str">
        <f>CONCATENATE("P",VLOOKUP(AC92,Types!$A$23:$B$31,2))</f>
        <v>P5</v>
      </c>
    </row>
    <row r="93" spans="1:37">
      <c r="B93" s="446"/>
      <c r="C93" s="197" t="s">
        <v>106</v>
      </c>
      <c r="D93" s="197" t="s">
        <v>68</v>
      </c>
      <c r="E93" s="287">
        <v>56</v>
      </c>
      <c r="F93" s="292">
        <v>2.4750000000000001</v>
      </c>
      <c r="G93" s="292">
        <f>F93*Conv!$I$20/Conv!$I$36</f>
        <v>1.7102816584826059</v>
      </c>
      <c r="H93" s="293">
        <f>10031/365-H95</f>
        <v>25.482191780821918</v>
      </c>
      <c r="K93" s="205" t="str">
        <f>CONCATENATE("P",VLOOKUP(D93,Types!$A$23:$B$31,2))</f>
        <v>P2</v>
      </c>
      <c r="N93" s="205"/>
      <c r="O93" s="205"/>
      <c r="P93" s="205"/>
      <c r="Q93" s="303"/>
      <c r="R93" s="303"/>
      <c r="S93" s="205"/>
      <c r="T93" s="205"/>
      <c r="U93" s="205"/>
      <c r="V93" s="303"/>
      <c r="W93" s="205"/>
      <c r="AA93" s="446"/>
      <c r="AB93" s="197" t="s">
        <v>106</v>
      </c>
      <c r="AC93" s="197" t="s">
        <v>68</v>
      </c>
      <c r="AD93" s="287">
        <v>56</v>
      </c>
      <c r="AE93" s="292">
        <v>2.4750000000000001</v>
      </c>
      <c r="AF93" s="292">
        <f>AE93*Conv!$I$20/Conv!$I$36</f>
        <v>1.7102816584826059</v>
      </c>
      <c r="AG93" s="293">
        <f>10031/365-AG95</f>
        <v>25.482191780821918</v>
      </c>
      <c r="AH93" s="197"/>
      <c r="AJ93" s="205" t="str">
        <f>CONCATENATE("P",VLOOKUP(AC93,Types!$A$23:$B$31,2))</f>
        <v>P2</v>
      </c>
    </row>
    <row r="94" spans="1:37">
      <c r="B94" s="446"/>
      <c r="C94" s="197" t="s">
        <v>106</v>
      </c>
      <c r="D94" s="197" t="s">
        <v>88</v>
      </c>
      <c r="E94" s="287">
        <v>165</v>
      </c>
      <c r="F94" s="292">
        <v>0.53</v>
      </c>
      <c r="G94" s="292">
        <f>F94*Conv!$I$20/Conv!$I$36</f>
        <v>0.36624213292758834</v>
      </c>
      <c r="H94" s="293">
        <f>36596/365</f>
        <v>100.26301369863013</v>
      </c>
      <c r="K94" s="205" t="str">
        <f>CONCATENATE("P",VLOOKUP(D94,Types!$A$23:$B$31,2))</f>
        <v>P7</v>
      </c>
      <c r="N94" s="205"/>
      <c r="O94" s="205"/>
      <c r="P94" s="205"/>
      <c r="Q94" s="205"/>
      <c r="R94" s="205"/>
      <c r="S94" s="205"/>
      <c r="T94" s="205"/>
      <c r="U94" s="205"/>
      <c r="V94" s="205"/>
      <c r="W94" s="205"/>
      <c r="AA94" s="446"/>
      <c r="AB94" s="197" t="s">
        <v>106</v>
      </c>
      <c r="AC94" s="197" t="s">
        <v>88</v>
      </c>
      <c r="AD94" s="287">
        <v>165</v>
      </c>
      <c r="AE94" s="292">
        <v>0.53</v>
      </c>
      <c r="AF94" s="292">
        <f>AE94*Conv!$I$20/Conv!$I$36</f>
        <v>0.36624213292758834</v>
      </c>
      <c r="AG94" s="293">
        <f>36596/365</f>
        <v>100.26301369863013</v>
      </c>
      <c r="AH94" s="197"/>
      <c r="AJ94" s="205" t="str">
        <f>CONCATENATE("P",VLOOKUP(AC94,Types!$A$23:$B$31,2))</f>
        <v>P7</v>
      </c>
    </row>
    <row r="95" spans="1:37">
      <c r="B95" s="446"/>
      <c r="C95" s="197" t="s">
        <v>106</v>
      </c>
      <c r="D95" s="197" t="s">
        <v>82</v>
      </c>
      <c r="E95" s="287">
        <v>5</v>
      </c>
      <c r="F95" s="292">
        <v>0.53</v>
      </c>
      <c r="G95" s="292">
        <f>F95*Conv!$I$20/Conv!$I$36</f>
        <v>0.36624213292758834</v>
      </c>
      <c r="H95" s="293">
        <v>2</v>
      </c>
      <c r="K95" s="205" t="str">
        <f>CONCATENATE("P",VLOOKUP(D95,Types!$A$23:$B$31,2))</f>
        <v>P5</v>
      </c>
      <c r="N95" s="205"/>
      <c r="O95" s="205"/>
      <c r="P95" s="205"/>
      <c r="Q95" s="205"/>
      <c r="R95" s="205"/>
      <c r="S95" s="205"/>
      <c r="T95" s="205"/>
      <c r="U95" s="205"/>
      <c r="V95" s="205"/>
      <c r="W95" s="205"/>
      <c r="AA95" s="446"/>
      <c r="AB95" s="197" t="s">
        <v>106</v>
      </c>
      <c r="AC95" s="197" t="s">
        <v>82</v>
      </c>
      <c r="AD95" s="287">
        <v>5</v>
      </c>
      <c r="AE95" s="292">
        <v>0.53</v>
      </c>
      <c r="AF95" s="292">
        <f>AE95*Conv!$I$20/Conv!$I$36</f>
        <v>0.36624213292758834</v>
      </c>
      <c r="AG95" s="293">
        <v>2</v>
      </c>
      <c r="AH95" s="197"/>
      <c r="AJ95" s="205" t="str">
        <f>CONCATENATE("P",VLOOKUP(AC95,Types!$A$23:$B$31,2))</f>
        <v>P5</v>
      </c>
    </row>
    <row r="96" spans="1:37">
      <c r="B96" s="446"/>
      <c r="C96" s="197" t="s">
        <v>106</v>
      </c>
      <c r="D96" s="197" t="s">
        <v>72</v>
      </c>
      <c r="E96" s="287">
        <v>5</v>
      </c>
      <c r="F96" s="292">
        <v>1.1499999999999999</v>
      </c>
      <c r="G96" s="292">
        <f>F96*Conv!$I$20/Conv!$I$36</f>
        <v>0.79467632616363493</v>
      </c>
      <c r="H96" s="293">
        <f>1178/365</f>
        <v>3.2273972602739724</v>
      </c>
      <c r="K96" s="205" t="str">
        <f>CONCATENATE("P",VLOOKUP(D96,Types!$A$23:$B$31,2))</f>
        <v>P8</v>
      </c>
      <c r="AA96" s="446"/>
      <c r="AB96" s="197" t="s">
        <v>106</v>
      </c>
      <c r="AC96" s="197" t="s">
        <v>72</v>
      </c>
      <c r="AD96" s="287">
        <v>5</v>
      </c>
      <c r="AE96" s="292">
        <v>1.1499999999999999</v>
      </c>
      <c r="AF96" s="292">
        <f>AE96*Conv!$I$20/Conv!$I$36</f>
        <v>0.79467632616363493</v>
      </c>
      <c r="AG96" s="293">
        <f>1178/365</f>
        <v>3.2273972602739724</v>
      </c>
      <c r="AH96" s="197"/>
      <c r="AJ96" s="205" t="str">
        <f>CONCATENATE("P",VLOOKUP(AC96,Types!$A$23:$B$31,2))</f>
        <v>P8</v>
      </c>
    </row>
    <row r="97" spans="1:36">
      <c r="B97" s="446"/>
      <c r="C97" s="197" t="s">
        <v>114</v>
      </c>
      <c r="D97" s="197" t="s">
        <v>88</v>
      </c>
      <c r="E97" s="287">
        <v>160</v>
      </c>
      <c r="F97" s="292">
        <v>1.1499999999999999</v>
      </c>
      <c r="G97" s="292">
        <f>F97*Conv!$I$20/Conv!$I$36</f>
        <v>0.79467632616363493</v>
      </c>
      <c r="H97" s="293">
        <f>55565/365</f>
        <v>152.23287671232876</v>
      </c>
      <c r="K97" s="205" t="str">
        <f>CONCATENATE("P",VLOOKUP(D97,Types!$A$23:$B$31,2))</f>
        <v>P7</v>
      </c>
      <c r="AA97" s="446"/>
      <c r="AB97" s="197" t="s">
        <v>114</v>
      </c>
      <c r="AC97" s="197" t="s">
        <v>88</v>
      </c>
      <c r="AD97" s="287">
        <v>160</v>
      </c>
      <c r="AE97" s="292">
        <v>1.1499999999999999</v>
      </c>
      <c r="AF97" s="292">
        <f>AE97*Conv!$I$20/Conv!$I$36</f>
        <v>0.79467632616363493</v>
      </c>
      <c r="AG97" s="293">
        <f>55565/365</f>
        <v>152.23287671232876</v>
      </c>
      <c r="AH97" s="197"/>
      <c r="AJ97" s="205" t="str">
        <f>CONCATENATE("P",VLOOKUP(AC97,Types!$A$23:$B$31,2))</f>
        <v>P7</v>
      </c>
    </row>
    <row r="98" spans="1:36">
      <c r="B98" s="446"/>
      <c r="C98" s="197" t="s">
        <v>114</v>
      </c>
      <c r="D98" s="197" t="s">
        <v>76</v>
      </c>
      <c r="E98" s="287">
        <v>60</v>
      </c>
      <c r="F98" s="292">
        <v>1.1599999999999999</v>
      </c>
      <c r="G98" s="292">
        <f>F98*Conv!$I$20/Conv!$I$36</f>
        <v>0.80158655508679699</v>
      </c>
      <c r="H98" s="293">
        <f>8899/365</f>
        <v>24.38082191780822</v>
      </c>
      <c r="K98" s="205" t="str">
        <f>CONCATENATE("P",VLOOKUP(D98,Types!$A$23:$B$31,2))</f>
        <v>P4</v>
      </c>
      <c r="AA98" s="446"/>
      <c r="AB98" s="197" t="s">
        <v>114</v>
      </c>
      <c r="AC98" s="197" t="s">
        <v>76</v>
      </c>
      <c r="AD98" s="287">
        <v>60</v>
      </c>
      <c r="AE98" s="292">
        <v>1.1599999999999999</v>
      </c>
      <c r="AF98" s="292">
        <f>AE98*Conv!$I$20/Conv!$I$36</f>
        <v>0.80158655508679699</v>
      </c>
      <c r="AG98" s="293">
        <f>8899/365</f>
        <v>24.38082191780822</v>
      </c>
      <c r="AH98" s="197"/>
      <c r="AJ98" s="205" t="str">
        <f>CONCATENATE("P",VLOOKUP(AC98,Types!$A$23:$B$31,2))</f>
        <v>P4</v>
      </c>
    </row>
    <row r="99" spans="1:36" ht="38.25" customHeight="1">
      <c r="B99" s="296" t="s">
        <v>370</v>
      </c>
      <c r="C99" s="197" t="s">
        <v>110</v>
      </c>
      <c r="D99" s="197" t="s">
        <v>82</v>
      </c>
      <c r="E99" s="294" t="s">
        <v>343</v>
      </c>
      <c r="F99" s="292">
        <v>2.1070000000000002</v>
      </c>
      <c r="G99" s="292">
        <f>F99*Conv!$I$20/Conv!$I$36</f>
        <v>1.4559852341102428</v>
      </c>
      <c r="H99" s="293">
        <f>2873/365</f>
        <v>7.8712328767123285</v>
      </c>
      <c r="K99" s="205" t="str">
        <f>CONCATENATE("P",VLOOKUP(D99,Types!$A$23:$B$31,2))</f>
        <v>P5</v>
      </c>
      <c r="AA99" s="296" t="s">
        <v>370</v>
      </c>
      <c r="AB99" s="197" t="s">
        <v>110</v>
      </c>
      <c r="AC99" s="197" t="s">
        <v>82</v>
      </c>
      <c r="AD99" s="294" t="s">
        <v>343</v>
      </c>
      <c r="AE99" s="292">
        <v>2.1070000000000002</v>
      </c>
      <c r="AF99" s="292">
        <f>AE99*Conv!$I$20/Conv!$I$36</f>
        <v>1.4559852341102428</v>
      </c>
      <c r="AG99" s="293">
        <f>2873/365</f>
        <v>7.8712328767123285</v>
      </c>
      <c r="AH99" s="197"/>
      <c r="AJ99" s="205" t="str">
        <f>CONCATENATE("P",VLOOKUP(AC99,Types!$A$23:$B$31,2))</f>
        <v>P5</v>
      </c>
    </row>
    <row r="100" spans="1:36">
      <c r="G100" s="292">
        <f>F100*Conv!$I$20/Conv!$I$36</f>
        <v>0</v>
      </c>
      <c r="AD100" s="276"/>
      <c r="AE100" s="277"/>
      <c r="AF100" s="292">
        <f>AE100*Conv!$I$20/Conv!$I$36</f>
        <v>0</v>
      </c>
      <c r="AG100" s="278"/>
      <c r="AH100" s="197"/>
    </row>
    <row r="101" spans="1:36" ht="108" customHeight="1">
      <c r="A101" s="447" t="s">
        <v>371</v>
      </c>
      <c r="B101" s="447"/>
      <c r="C101" s="447"/>
      <c r="D101" s="447"/>
      <c r="E101" s="447"/>
      <c r="F101" s="447"/>
      <c r="G101" s="447"/>
      <c r="H101" s="447"/>
      <c r="I101" s="447"/>
      <c r="Z101" s="447" t="s">
        <v>371</v>
      </c>
      <c r="AA101" s="447"/>
      <c r="AB101" s="447"/>
      <c r="AC101" s="447"/>
      <c r="AD101" s="447"/>
      <c r="AE101" s="447"/>
      <c r="AF101" s="447"/>
      <c r="AG101" s="447"/>
      <c r="AH101" s="447"/>
    </row>
    <row r="111" spans="1:36">
      <c r="B111" s="201"/>
      <c r="C111" s="201"/>
      <c r="D111" s="201"/>
      <c r="E111" s="201"/>
      <c r="F111" s="201"/>
      <c r="G111" s="201"/>
      <c r="H111" s="201"/>
      <c r="I111" s="201"/>
      <c r="J111" s="201"/>
      <c r="K111" s="201"/>
      <c r="L111" s="201"/>
      <c r="M111" s="201"/>
    </row>
    <row r="112" spans="1:36">
      <c r="B112" s="201"/>
      <c r="C112" s="201"/>
      <c r="D112" s="201"/>
      <c r="E112" s="201"/>
      <c r="F112" s="201"/>
      <c r="G112" s="201"/>
      <c r="H112" s="201"/>
      <c r="I112" s="201"/>
      <c r="J112" s="201"/>
      <c r="K112" s="201"/>
      <c r="L112" s="201"/>
      <c r="M112" s="201"/>
    </row>
    <row r="113" spans="2:13">
      <c r="B113" s="201"/>
      <c r="C113" s="201"/>
      <c r="D113" s="201"/>
      <c r="E113" s="201"/>
      <c r="F113" s="201"/>
      <c r="G113" s="201"/>
      <c r="H113" s="201"/>
      <c r="I113" s="201"/>
      <c r="J113" s="201"/>
      <c r="K113" s="201"/>
      <c r="L113" s="201"/>
      <c r="M113" s="201"/>
    </row>
  </sheetData>
  <mergeCells count="17">
    <mergeCell ref="AI54:AJ54"/>
    <mergeCell ref="AA56:AA68"/>
    <mergeCell ref="AA69:AA83"/>
    <mergeCell ref="AA88:AA98"/>
    <mergeCell ref="Z101:AH101"/>
    <mergeCell ref="A101:I101"/>
    <mergeCell ref="J55:K55"/>
    <mergeCell ref="B56:B68"/>
    <mergeCell ref="B69:B83"/>
    <mergeCell ref="O53:W53"/>
    <mergeCell ref="B88:B98"/>
    <mergeCell ref="N67:W67"/>
    <mergeCell ref="C3:L3"/>
    <mergeCell ref="C12:L12"/>
    <mergeCell ref="C25:L25"/>
    <mergeCell ref="B45:B50"/>
    <mergeCell ref="B51:B53"/>
  </mergeCells>
  <phoneticPr fontId="0" type="noConversion"/>
  <conditionalFormatting sqref="O56:W64">
    <cfRule type="notContainsBlanks" dxfId="3" priority="13">
      <formula>LEN(TRIM(O56))&gt;0</formula>
    </cfRule>
    <cfRule type="containsBlanks" dxfId="2" priority="14">
      <formula>LEN(TRIM(O56))=0</formula>
    </cfRule>
  </conditionalFormatting>
  <conditionalFormatting sqref="O70:W78">
    <cfRule type="notContainsBlanks" dxfId="1" priority="1">
      <formula>LEN(TRIM(O70))&gt;0</formula>
    </cfRule>
    <cfRule type="containsBlanks" dxfId="0" priority="2">
      <formula>LEN(TRIM(O70))=0</formula>
    </cfRule>
  </conditionalFormatting>
  <printOptions horizontalCentered="1"/>
  <pageMargins left="0.75" right="0.75" top="1" bottom="1" header="0.5" footer="0.5"/>
  <pageSetup paperSize="17" scale="44" orientation="portrait" r:id="rId1"/>
  <headerFooter alignWithMargins="0"/>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codeName="Sheet28"/>
  <dimension ref="A1:O76"/>
  <sheetViews>
    <sheetView topLeftCell="A45" zoomScale="78" zoomScaleNormal="78" workbookViewId="0">
      <selection activeCell="B75" sqref="B75"/>
    </sheetView>
  </sheetViews>
  <sheetFormatPr defaultColWidth="9.140625" defaultRowHeight="12.75"/>
  <cols>
    <col min="1" max="15" width="15.42578125" style="305" customWidth="1"/>
    <col min="16" max="16384" width="9.140625" style="305"/>
  </cols>
  <sheetData>
    <row r="1" spans="1:15" ht="58.15" customHeight="1">
      <c r="A1" s="450" t="s">
        <v>1016</v>
      </c>
      <c r="B1" s="450"/>
      <c r="C1" s="450"/>
      <c r="D1" s="450"/>
      <c r="E1" s="450"/>
      <c r="F1" s="450"/>
      <c r="G1" s="450"/>
      <c r="H1" s="450"/>
    </row>
    <row r="3" spans="1:15">
      <c r="A3" s="306" t="s">
        <v>655</v>
      </c>
    </row>
    <row r="4" spans="1:15">
      <c r="A4" s="306"/>
    </row>
    <row r="5" spans="1:15" ht="14.25">
      <c r="A5" s="307" t="s">
        <v>656</v>
      </c>
      <c r="B5" s="307" t="s">
        <v>657</v>
      </c>
      <c r="C5" s="307" t="s">
        <v>377</v>
      </c>
      <c r="D5" s="200" t="s">
        <v>658</v>
      </c>
      <c r="E5" s="200" t="s">
        <v>659</v>
      </c>
      <c r="F5" s="200" t="s">
        <v>2479</v>
      </c>
      <c r="G5" s="200" t="s">
        <v>2480</v>
      </c>
      <c r="H5" s="200" t="s">
        <v>2481</v>
      </c>
      <c r="I5" s="200" t="s">
        <v>2482</v>
      </c>
      <c r="J5" s="200" t="s">
        <v>2483</v>
      </c>
      <c r="K5" s="200" t="s">
        <v>2484</v>
      </c>
      <c r="L5" s="200" t="s">
        <v>2485</v>
      </c>
      <c r="M5" s="308" t="s">
        <v>660</v>
      </c>
      <c r="N5" s="308" t="s">
        <v>2486</v>
      </c>
      <c r="O5" s="308" t="s">
        <v>2487</v>
      </c>
    </row>
    <row r="6" spans="1:15" ht="38.25">
      <c r="A6" s="309" t="s">
        <v>10</v>
      </c>
      <c r="B6" s="310" t="s">
        <v>661</v>
      </c>
      <c r="C6" s="311" t="s">
        <v>662</v>
      </c>
      <c r="D6" s="312">
        <v>1.0994635376187136E-3</v>
      </c>
      <c r="E6" s="312">
        <v>2.9382215229465623E-3</v>
      </c>
      <c r="F6" s="312">
        <v>9.2506587303091761E-3</v>
      </c>
      <c r="G6" s="312">
        <v>1.1184198055086913E-3</v>
      </c>
      <c r="H6" s="312">
        <v>3.8860349174454526E-4</v>
      </c>
      <c r="I6" s="312">
        <v>1.9524955926677155E-3</v>
      </c>
      <c r="J6" s="312">
        <v>1.8861486550527932E-2</v>
      </c>
      <c r="K6" s="312">
        <v>4.3599416146948987E-5</v>
      </c>
      <c r="L6" s="313">
        <v>2.4880101605595888</v>
      </c>
      <c r="M6" s="314">
        <v>3.1277842018463403E-5</v>
      </c>
      <c r="N6" s="314">
        <v>1.2321574128485582E-5</v>
      </c>
      <c r="O6" s="315">
        <v>0</v>
      </c>
    </row>
    <row r="7" spans="1:15" ht="25.5">
      <c r="A7" s="309" t="s">
        <v>663</v>
      </c>
      <c r="B7" s="310" t="s">
        <v>664</v>
      </c>
      <c r="C7" s="311" t="s">
        <v>662</v>
      </c>
      <c r="D7" s="312">
        <v>6.501999886262393E-3</v>
      </c>
      <c r="E7" s="312">
        <v>1.5165014311982258E-4</v>
      </c>
      <c r="F7" s="312">
        <v>5.4973176880935681E-4</v>
      </c>
      <c r="G7" s="312">
        <v>0.1602468106079275</v>
      </c>
      <c r="H7" s="312">
        <v>3.9609121756108652E-2</v>
      </c>
      <c r="I7" s="312">
        <v>6.2650465376376694E-3</v>
      </c>
      <c r="J7" s="312">
        <v>0.11174719921141925</v>
      </c>
      <c r="K7" s="312">
        <v>4.7390669724944556E-6</v>
      </c>
      <c r="L7" s="313">
        <v>0.43978541504748542</v>
      </c>
      <c r="M7" s="312">
        <v>2.0595985062460899E-3</v>
      </c>
      <c r="N7" s="312">
        <v>5.5447083578185122E-4</v>
      </c>
      <c r="O7" s="316">
        <v>0</v>
      </c>
    </row>
    <row r="8" spans="1:15" ht="14.25">
      <c r="A8" s="448" t="s">
        <v>665</v>
      </c>
      <c r="B8" s="310" t="s">
        <v>666</v>
      </c>
      <c r="C8" s="311" t="s">
        <v>662</v>
      </c>
      <c r="D8" s="312">
        <v>5.6868803669933468E-4</v>
      </c>
      <c r="E8" s="312">
        <v>4.0471631945102641E-3</v>
      </c>
      <c r="F8" s="312">
        <v>1.3364168862434363E-2</v>
      </c>
      <c r="G8" s="312">
        <v>1.8008454495478928E-4</v>
      </c>
      <c r="H8" s="312">
        <v>1.2321574128485585E-4</v>
      </c>
      <c r="I8" s="312">
        <v>4.0755975963452314E-4</v>
      </c>
      <c r="J8" s="312">
        <v>7.4592914147062719E-2</v>
      </c>
      <c r="K8" s="312">
        <v>2.9382215229465622E-5</v>
      </c>
      <c r="L8" s="313">
        <v>1.3980247568858644</v>
      </c>
      <c r="M8" s="317" t="s">
        <v>2488</v>
      </c>
      <c r="N8" s="317" t="s">
        <v>667</v>
      </c>
      <c r="O8" s="315">
        <v>0</v>
      </c>
    </row>
    <row r="9" spans="1:15" ht="25.5">
      <c r="A9" s="448"/>
      <c r="B9" s="310" t="s">
        <v>668</v>
      </c>
      <c r="C9" s="311" t="s">
        <v>662</v>
      </c>
      <c r="D9" s="312">
        <v>1.8008454495478928E-4</v>
      </c>
      <c r="E9" s="312">
        <v>7.0138191192917936E-4</v>
      </c>
      <c r="F9" s="312">
        <v>2.7581369779917731E-3</v>
      </c>
      <c r="G9" s="312">
        <v>3.0330028623964516E-4</v>
      </c>
      <c r="H9" s="312">
        <v>1.4217200917483367E-4</v>
      </c>
      <c r="I9" s="312">
        <v>6.4451310825924585E-4</v>
      </c>
      <c r="J9" s="312">
        <v>3.1941311394612634E-2</v>
      </c>
      <c r="K9" s="312">
        <v>3.6016908990957858E-5</v>
      </c>
      <c r="L9" s="313">
        <v>1.7544025932174472</v>
      </c>
      <c r="M9" s="317" t="s">
        <v>667</v>
      </c>
      <c r="N9" s="317" t="s">
        <v>667</v>
      </c>
      <c r="O9" s="316">
        <v>0</v>
      </c>
    </row>
    <row r="10" spans="1:15" ht="25.5">
      <c r="A10" s="448"/>
      <c r="B10" s="310" t="s">
        <v>669</v>
      </c>
      <c r="C10" s="311" t="s">
        <v>662</v>
      </c>
      <c r="D10" s="312">
        <v>4.1893352036850981E-3</v>
      </c>
      <c r="E10" s="312">
        <v>1.1373760733986694E-3</v>
      </c>
      <c r="F10" s="312">
        <v>1.4691107614732812E-3</v>
      </c>
      <c r="G10" s="312">
        <v>1.8956267889977822E-5</v>
      </c>
      <c r="H10" s="312">
        <v>9.4781339449889112E-6</v>
      </c>
      <c r="I10" s="312">
        <v>9.6013496862737656E-3</v>
      </c>
      <c r="J10" s="312">
        <v>0</v>
      </c>
      <c r="K10" s="312">
        <v>0</v>
      </c>
      <c r="L10" s="313">
        <v>1.1771842359676226</v>
      </c>
      <c r="M10" s="317" t="s">
        <v>667</v>
      </c>
      <c r="N10" s="317" t="s">
        <v>667</v>
      </c>
      <c r="O10" s="315">
        <v>0</v>
      </c>
    </row>
    <row r="11" spans="1:15" ht="25.5">
      <c r="A11" s="448"/>
      <c r="B11" s="310" t="s">
        <v>670</v>
      </c>
      <c r="C11" s="311" t="s">
        <v>662</v>
      </c>
      <c r="D11" s="312">
        <v>4.9381077853392222E-3</v>
      </c>
      <c r="E11" s="312">
        <v>5.8859211798381128E-3</v>
      </c>
      <c r="F11" s="312">
        <v>1.7591416601899418E-2</v>
      </c>
      <c r="G11" s="312">
        <v>5.0234109908441234E-4</v>
      </c>
      <c r="H11" s="312">
        <v>2.748658844046784E-4</v>
      </c>
      <c r="I11" s="312">
        <v>1.0653422554167534E-2</v>
      </c>
      <c r="J11" s="312">
        <v>0.10653422554167534</v>
      </c>
      <c r="K11" s="312">
        <v>6.5399124220423487E-5</v>
      </c>
      <c r="L11" s="313">
        <v>4.3296115860709348</v>
      </c>
      <c r="M11" s="312">
        <v>1.8008454495478929E-5</v>
      </c>
      <c r="N11" s="312">
        <v>4.7390669724944556E-6</v>
      </c>
      <c r="O11" s="316">
        <v>0</v>
      </c>
    </row>
    <row r="12" spans="1:15">
      <c r="A12" s="448" t="s">
        <v>671</v>
      </c>
      <c r="B12" s="310" t="s">
        <v>672</v>
      </c>
      <c r="C12" s="311" t="s">
        <v>662</v>
      </c>
      <c r="D12" s="312">
        <v>2.8434401834966729E-5</v>
      </c>
      <c r="E12" s="312">
        <v>1.8008454495478928E-4</v>
      </c>
      <c r="F12" s="312">
        <v>6.2555684036926808E-4</v>
      </c>
      <c r="G12" s="312">
        <v>1.4217200917483367E-4</v>
      </c>
      <c r="H12" s="312">
        <v>3.7912535779955645E-5</v>
      </c>
      <c r="I12" s="312">
        <v>2.464314825697117E-4</v>
      </c>
      <c r="J12" s="312">
        <v>4.7390669724944548E-4</v>
      </c>
      <c r="K12" s="312">
        <v>2.8434401834966729E-6</v>
      </c>
      <c r="L12" s="313">
        <v>0.15638921009231702</v>
      </c>
      <c r="M12" s="317" t="s">
        <v>667</v>
      </c>
      <c r="N12" s="317" t="s">
        <v>667</v>
      </c>
      <c r="O12" s="316">
        <v>0</v>
      </c>
    </row>
    <row r="13" spans="1:15" ht="25.5">
      <c r="A13" s="448"/>
      <c r="B13" s="310" t="s">
        <v>673</v>
      </c>
      <c r="C13" s="311" t="s">
        <v>662</v>
      </c>
      <c r="D13" s="312">
        <v>0</v>
      </c>
      <c r="E13" s="312">
        <v>0</v>
      </c>
      <c r="F13" s="312">
        <v>0</v>
      </c>
      <c r="G13" s="312">
        <v>0</v>
      </c>
      <c r="H13" s="312">
        <v>0</v>
      </c>
      <c r="I13" s="312">
        <v>0</v>
      </c>
      <c r="J13" s="312">
        <v>0</v>
      </c>
      <c r="K13" s="312">
        <v>0</v>
      </c>
      <c r="L13" s="313">
        <v>9.4781339449889095E-4</v>
      </c>
      <c r="M13" s="317" t="s">
        <v>667</v>
      </c>
      <c r="N13" s="317" t="s">
        <v>667</v>
      </c>
      <c r="O13" s="316">
        <v>0</v>
      </c>
    </row>
    <row r="14" spans="1:15">
      <c r="A14" s="448"/>
      <c r="B14" s="310" t="s">
        <v>674</v>
      </c>
      <c r="C14" s="311" t="s">
        <v>662</v>
      </c>
      <c r="D14" s="312">
        <v>7.582507155991129E-5</v>
      </c>
      <c r="E14" s="312">
        <v>2.1799708073474492E-4</v>
      </c>
      <c r="F14" s="312">
        <v>8.5303205504900191E-4</v>
      </c>
      <c r="G14" s="312">
        <v>1.0899854036737246E-3</v>
      </c>
      <c r="H14" s="312">
        <v>2.8434401834966734E-4</v>
      </c>
      <c r="I14" s="312">
        <v>1.8861486550527931E-3</v>
      </c>
      <c r="J14" s="312">
        <v>1.1373760733986694E-3</v>
      </c>
      <c r="K14" s="312">
        <v>1.04259473394878E-5</v>
      </c>
      <c r="L14" s="313">
        <v>0.8340757871590242</v>
      </c>
      <c r="M14" s="317" t="s">
        <v>667</v>
      </c>
      <c r="N14" s="317" t="s">
        <v>667</v>
      </c>
      <c r="O14" s="316">
        <v>0</v>
      </c>
    </row>
    <row r="15" spans="1:15" ht="38.25">
      <c r="A15" s="448"/>
      <c r="B15" s="310" t="s">
        <v>675</v>
      </c>
      <c r="C15" s="311" t="s">
        <v>662</v>
      </c>
      <c r="D15" s="312">
        <v>1.8956267889977822E-5</v>
      </c>
      <c r="E15" s="312">
        <v>1.04259473394878E-4</v>
      </c>
      <c r="F15" s="312">
        <v>3.6016908990957856E-4</v>
      </c>
      <c r="G15" s="312">
        <v>6.634693761492238E-5</v>
      </c>
      <c r="H15" s="312">
        <v>1.8956267889977822E-5</v>
      </c>
      <c r="I15" s="312">
        <v>1.2321574128485585E-4</v>
      </c>
      <c r="J15" s="312">
        <v>2.8434401834966734E-4</v>
      </c>
      <c r="K15" s="312">
        <v>9.4781339449889091E-7</v>
      </c>
      <c r="L15" s="313">
        <v>8.3407578715902403E-2</v>
      </c>
      <c r="M15" s="317" t="s">
        <v>667</v>
      </c>
      <c r="N15" s="317" t="s">
        <v>667</v>
      </c>
      <c r="O15" s="316">
        <v>0</v>
      </c>
    </row>
    <row r="16" spans="1:15">
      <c r="A16" s="448"/>
      <c r="B16" s="310" t="s">
        <v>676</v>
      </c>
      <c r="C16" s="311" t="s">
        <v>662</v>
      </c>
      <c r="D16" s="312">
        <v>1.2321574128485585E-4</v>
      </c>
      <c r="E16" s="312">
        <v>5.1181923302940117E-4</v>
      </c>
      <c r="F16" s="312">
        <v>1.8482361192728375E-3</v>
      </c>
      <c r="G16" s="312">
        <v>1.3079824844084696E-3</v>
      </c>
      <c r="H16" s="312">
        <v>3.5069095596458968E-4</v>
      </c>
      <c r="I16" s="312">
        <v>2.2557958789073606E-3</v>
      </c>
      <c r="J16" s="312">
        <v>1.8956267889977819E-3</v>
      </c>
      <c r="K16" s="312">
        <v>1.4217200917483364E-5</v>
      </c>
      <c r="L16" s="313">
        <v>1.0738725759672434</v>
      </c>
      <c r="M16" s="317" t="s">
        <v>667</v>
      </c>
      <c r="N16" s="317" t="s">
        <v>667</v>
      </c>
      <c r="O16" s="316">
        <v>0</v>
      </c>
    </row>
    <row r="17" spans="1:8" ht="14.25">
      <c r="A17" s="304" t="s">
        <v>2476</v>
      </c>
    </row>
    <row r="18" spans="1:8" ht="14.25">
      <c r="A18" s="304" t="s">
        <v>2477</v>
      </c>
    </row>
    <row r="19" spans="1:8" ht="14.25">
      <c r="A19" s="304" t="s">
        <v>2478</v>
      </c>
    </row>
    <row r="22" spans="1:8">
      <c r="A22" s="305" t="s">
        <v>677</v>
      </c>
    </row>
    <row r="24" spans="1:8">
      <c r="A24" s="318" t="s">
        <v>678</v>
      </c>
      <c r="B24" s="318"/>
      <c r="C24" s="318"/>
      <c r="D24" s="318"/>
      <c r="E24" s="318"/>
    </row>
    <row r="25" spans="1:8">
      <c r="A25" s="318"/>
      <c r="B25" s="318"/>
      <c r="C25" s="318"/>
      <c r="D25" s="318"/>
      <c r="E25" s="318"/>
    </row>
    <row r="26" spans="1:8">
      <c r="A26" s="206"/>
      <c r="B26" s="442" t="s">
        <v>679</v>
      </c>
      <c r="C26" s="442"/>
      <c r="D26" s="442"/>
      <c r="E26" s="442"/>
    </row>
    <row r="27" spans="1:8" ht="75">
      <c r="A27" s="201"/>
      <c r="B27" s="319" t="s">
        <v>680</v>
      </c>
      <c r="C27" s="319" t="s">
        <v>681</v>
      </c>
      <c r="D27" s="320" t="s">
        <v>682</v>
      </c>
      <c r="E27" s="320" t="s">
        <v>683</v>
      </c>
    </row>
    <row r="28" spans="1:8">
      <c r="A28" s="202" t="s">
        <v>684</v>
      </c>
      <c r="B28" s="321">
        <v>0.97200000286102295</v>
      </c>
      <c r="C28" s="321">
        <v>0.97200000286102295</v>
      </c>
      <c r="D28" s="202"/>
      <c r="E28" s="202"/>
    </row>
    <row r="29" spans="1:8">
      <c r="A29" s="202" t="s">
        <v>685</v>
      </c>
      <c r="B29" s="321">
        <v>0.01</v>
      </c>
      <c r="C29" s="321">
        <v>0.01</v>
      </c>
      <c r="D29" s="227"/>
      <c r="E29" s="321"/>
    </row>
    <row r="30" spans="1:8">
      <c r="A30" s="202" t="s">
        <v>686</v>
      </c>
      <c r="B30" s="227"/>
      <c r="C30" s="227">
        <v>1.0014791206912925</v>
      </c>
      <c r="D30" s="227"/>
      <c r="E30" s="227">
        <v>1.0036720572878408</v>
      </c>
    </row>
    <row r="31" spans="1:8">
      <c r="A31" s="202" t="s">
        <v>687</v>
      </c>
      <c r="B31" s="201"/>
      <c r="C31" s="201"/>
      <c r="D31" s="201"/>
      <c r="E31" s="201"/>
      <c r="F31" s="305" t="s">
        <v>688</v>
      </c>
    </row>
    <row r="32" spans="1:8">
      <c r="A32" s="201" t="s">
        <v>689</v>
      </c>
      <c r="B32" s="227">
        <v>0.75722497274563683</v>
      </c>
      <c r="C32" s="227">
        <v>0.19822358339043974</v>
      </c>
      <c r="D32" s="322">
        <v>4.4000000000000004</v>
      </c>
      <c r="E32" s="227">
        <v>0.45055160781865566</v>
      </c>
      <c r="F32" s="305">
        <f>E32*0.00094778</f>
        <v>4.2702380285836546E-4</v>
      </c>
      <c r="H32" s="201"/>
    </row>
    <row r="33" spans="1:10">
      <c r="A33" s="201" t="s">
        <v>690</v>
      </c>
      <c r="B33" s="227">
        <v>4.9469324351571391</v>
      </c>
      <c r="C33" s="227">
        <v>0.79524213962209245</v>
      </c>
      <c r="D33" s="322">
        <v>1.2</v>
      </c>
      <c r="E33" s="227">
        <v>1.0349976862880079</v>
      </c>
      <c r="F33" s="305">
        <f t="shared" ref="F33:F41" si="0">E33*0.00094778</f>
        <v>9.8095010711004801E-4</v>
      </c>
      <c r="H33" s="201"/>
    </row>
    <row r="34" spans="1:10">
      <c r="A34" s="201" t="s">
        <v>691</v>
      </c>
      <c r="B34" s="227">
        <v>15.387618023949463</v>
      </c>
      <c r="C34" s="227">
        <v>3.0383871208239928</v>
      </c>
      <c r="D34" s="322">
        <v>1.546</v>
      </c>
      <c r="E34" s="227">
        <v>2.7566019369022152</v>
      </c>
      <c r="F34" s="305">
        <f t="shared" si="0"/>
        <v>2.6126521837571814E-3</v>
      </c>
      <c r="H34" s="201"/>
    </row>
    <row r="35" spans="1:10">
      <c r="A35" s="201" t="s">
        <v>692</v>
      </c>
      <c r="B35" s="227">
        <v>0.35918494592284961</v>
      </c>
      <c r="C35" s="227">
        <v>0.35059469005841842</v>
      </c>
      <c r="D35" s="322">
        <v>0.02</v>
      </c>
      <c r="E35" s="227">
        <v>0.14467215639954981</v>
      </c>
      <c r="F35" s="305">
        <f t="shared" si="0"/>
        <v>1.371173763923653E-4</v>
      </c>
      <c r="H35" s="201"/>
    </row>
    <row r="36" spans="1:10">
      <c r="A36" s="201" t="s">
        <v>693</v>
      </c>
      <c r="B36" s="227">
        <v>0.26284647979019315</v>
      </c>
      <c r="C36" s="227">
        <v>0.16672718492795827</v>
      </c>
      <c r="D36" s="227">
        <v>0.01</v>
      </c>
      <c r="E36" s="227">
        <v>7.9537845875789423E-2</v>
      </c>
      <c r="F36" s="305">
        <f t="shared" si="0"/>
        <v>7.5384379564155695E-5</v>
      </c>
      <c r="H36" s="201"/>
    </row>
    <row r="37" spans="1:10">
      <c r="A37" s="201" t="s">
        <v>694</v>
      </c>
      <c r="B37" s="227">
        <v>0.52121423316205873</v>
      </c>
      <c r="C37" s="227">
        <v>0.71670427707221296</v>
      </c>
      <c r="D37" s="322">
        <v>10.089</v>
      </c>
      <c r="E37" s="227">
        <v>0.20353485949310335</v>
      </c>
      <c r="F37" s="305">
        <f t="shared" si="0"/>
        <v>1.9290626913037349E-4</v>
      </c>
      <c r="H37" s="201"/>
    </row>
    <row r="38" spans="1:10">
      <c r="A38" s="201" t="s">
        <v>695</v>
      </c>
      <c r="B38" s="227">
        <v>4.5946922578539748</v>
      </c>
      <c r="C38" s="227">
        <v>0.46728869945644053</v>
      </c>
      <c r="D38" s="227"/>
      <c r="E38" s="227">
        <v>1.7443943718210111</v>
      </c>
      <c r="F38" s="305">
        <f t="shared" si="0"/>
        <v>1.6533020977245179E-3</v>
      </c>
      <c r="H38" s="201"/>
    </row>
    <row r="39" spans="1:10">
      <c r="A39" s="201" t="s">
        <v>696</v>
      </c>
      <c r="B39" s="227">
        <v>3.6854129030807911E-2</v>
      </c>
      <c r="C39" s="227">
        <v>3.8858000103391542E-2</v>
      </c>
      <c r="D39" s="227"/>
      <c r="E39" s="227">
        <v>1.0635234459735958E-2</v>
      </c>
      <c r="F39" s="305">
        <f t="shared" si="0"/>
        <v>1.0079862516248546E-5</v>
      </c>
      <c r="H39" s="201"/>
    </row>
    <row r="40" spans="1:10">
      <c r="A40" s="201" t="s">
        <v>697</v>
      </c>
      <c r="B40" s="323">
        <v>1752.5699141333712</v>
      </c>
      <c r="C40" s="323">
        <v>1885.2003251692577</v>
      </c>
      <c r="D40" s="323">
        <v>1237</v>
      </c>
      <c r="E40" s="324">
        <v>362.4550235796338</v>
      </c>
      <c r="F40" s="305">
        <f t="shared" si="0"/>
        <v>0.3435276222483053</v>
      </c>
      <c r="H40" s="201"/>
    </row>
    <row r="41" spans="1:10">
      <c r="A41" s="201" t="s">
        <v>698</v>
      </c>
      <c r="B41" s="227">
        <v>73.736945585482744</v>
      </c>
      <c r="C41" s="227">
        <v>33.103413233402158</v>
      </c>
      <c r="D41" s="324"/>
      <c r="E41" s="227">
        <v>82.182360460325498</v>
      </c>
      <c r="F41" s="305">
        <f t="shared" si="0"/>
        <v>7.7890797597087294E-2</v>
      </c>
      <c r="H41" s="201"/>
    </row>
    <row r="42" spans="1:10">
      <c r="A42" s="201" t="s">
        <v>699</v>
      </c>
      <c r="B42" s="201"/>
      <c r="C42" s="201"/>
      <c r="D42" s="201"/>
      <c r="E42" s="201"/>
    </row>
    <row r="43" spans="1:10">
      <c r="A43" s="201" t="s">
        <v>700</v>
      </c>
      <c r="B43" s="201"/>
      <c r="C43" s="201"/>
      <c r="D43" s="201"/>
      <c r="E43" s="201"/>
    </row>
    <row r="45" spans="1:10">
      <c r="A45" s="305" t="s">
        <v>701</v>
      </c>
      <c r="J45" s="201"/>
    </row>
    <row r="46" spans="1:10">
      <c r="A46" s="201" t="s">
        <v>689</v>
      </c>
      <c r="B46" s="201" t="s">
        <v>690</v>
      </c>
      <c r="C46" s="201" t="s">
        <v>691</v>
      </c>
      <c r="D46" s="201" t="s">
        <v>692</v>
      </c>
      <c r="E46" s="201" t="s">
        <v>693</v>
      </c>
      <c r="F46" s="201" t="s">
        <v>694</v>
      </c>
      <c r="G46" s="201" t="s">
        <v>695</v>
      </c>
      <c r="H46" s="201" t="s">
        <v>696</v>
      </c>
      <c r="I46" s="201" t="s">
        <v>697</v>
      </c>
    </row>
    <row r="47" spans="1:10">
      <c r="A47" s="305">
        <v>4.2702380285836546E-4</v>
      </c>
      <c r="B47" s="305">
        <v>9.8095010711004801E-4</v>
      </c>
      <c r="C47" s="305">
        <v>2.6126521837571814E-3</v>
      </c>
      <c r="D47" s="305">
        <v>1.371173763923653E-4</v>
      </c>
      <c r="E47" s="305">
        <v>7.5384379564155695E-5</v>
      </c>
      <c r="F47" s="305">
        <v>1.9290626913037349E-4</v>
      </c>
      <c r="G47" s="305">
        <f>F41+F38</f>
        <v>7.9544099694811812E-2</v>
      </c>
      <c r="H47" s="305">
        <v>1.0079862516248546E-5</v>
      </c>
      <c r="I47" s="305">
        <v>0.3435276222483053</v>
      </c>
    </row>
    <row r="49" spans="1:11">
      <c r="A49" s="306" t="s">
        <v>994</v>
      </c>
    </row>
    <row r="50" spans="1:11" ht="103.9" customHeight="1">
      <c r="A50" s="449" t="s">
        <v>995</v>
      </c>
      <c r="B50" s="449"/>
      <c r="C50" s="449"/>
      <c r="D50" s="449"/>
      <c r="E50" s="449"/>
      <c r="F50" s="449"/>
      <c r="G50" s="449"/>
      <c r="H50" s="449"/>
    </row>
    <row r="51" spans="1:11">
      <c r="B51" s="305" t="s">
        <v>703</v>
      </c>
      <c r="C51" s="305" t="s">
        <v>702</v>
      </c>
    </row>
    <row r="52" spans="1:11">
      <c r="A52" s="305" t="s">
        <v>1012</v>
      </c>
      <c r="B52" s="305">
        <v>1063</v>
      </c>
      <c r="C52" s="305">
        <v>60</v>
      </c>
    </row>
    <row r="53" spans="1:11">
      <c r="A53" s="305" t="s">
        <v>688</v>
      </c>
      <c r="B53" s="305">
        <f>B52*10^6/(1.055*10^9)</f>
        <v>1.0075829383886257</v>
      </c>
      <c r="C53" s="305">
        <f>C52*10^6/(1.055*10^9)</f>
        <v>5.6872037914691947E-2</v>
      </c>
    </row>
    <row r="55" spans="1:11">
      <c r="A55" s="306" t="s">
        <v>996</v>
      </c>
    </row>
    <row r="56" spans="1:11">
      <c r="A56" s="325" t="s">
        <v>1017</v>
      </c>
      <c r="F56" s="326"/>
      <c r="G56" s="326"/>
      <c r="H56" s="326" t="s">
        <v>1018</v>
      </c>
      <c r="I56" s="326" t="s">
        <v>1019</v>
      </c>
      <c r="J56" s="326" t="s">
        <v>1021</v>
      </c>
      <c r="K56" s="326" t="s">
        <v>1022</v>
      </c>
    </row>
    <row r="57" spans="1:11">
      <c r="F57" s="326" t="s">
        <v>1010</v>
      </c>
      <c r="G57" s="326" t="s">
        <v>384</v>
      </c>
      <c r="H57" s="326" t="s">
        <v>688</v>
      </c>
      <c r="I57" s="326" t="s">
        <v>1020</v>
      </c>
      <c r="J57" s="326" t="s">
        <v>688</v>
      </c>
      <c r="K57" s="326" t="s">
        <v>1020</v>
      </c>
    </row>
    <row r="58" spans="1:11">
      <c r="A58" s="305" t="s">
        <v>1006</v>
      </c>
      <c r="B58" s="305">
        <v>1</v>
      </c>
      <c r="C58" s="305" t="s">
        <v>997</v>
      </c>
      <c r="D58" s="305">
        <v>43.8</v>
      </c>
      <c r="E58" s="305" t="s">
        <v>1007</v>
      </c>
      <c r="F58" s="305">
        <f>D58*B58</f>
        <v>43.8</v>
      </c>
      <c r="G58" s="305">
        <f>F58/10^9</f>
        <v>4.3799999999999995E-8</v>
      </c>
    </row>
    <row r="59" spans="1:11">
      <c r="A59" s="305" t="s">
        <v>702</v>
      </c>
      <c r="B59" s="327">
        <v>3.5300000000000002E-3</v>
      </c>
      <c r="C59" s="305" t="s">
        <v>997</v>
      </c>
      <c r="K59" s="327">
        <f>B59/10^6</f>
        <v>3.53E-9</v>
      </c>
    </row>
    <row r="60" spans="1:11">
      <c r="A60" s="325" t="s">
        <v>998</v>
      </c>
    </row>
    <row r="61" spans="1:11">
      <c r="A61" s="305" t="s">
        <v>999</v>
      </c>
      <c r="B61" s="327">
        <v>1.25E-3</v>
      </c>
      <c r="C61" s="305" t="s">
        <v>1003</v>
      </c>
      <c r="D61" s="305">
        <v>35.799999999999997</v>
      </c>
      <c r="E61" s="305" t="s">
        <v>1008</v>
      </c>
      <c r="F61" s="305">
        <f t="shared" ref="F61:F65" si="1">D61*B61</f>
        <v>4.4749999999999998E-2</v>
      </c>
      <c r="G61" s="305">
        <f t="shared" ref="G61:G65" si="2">F61/10^9</f>
        <v>4.4750000000000001E-11</v>
      </c>
      <c r="H61" s="305">
        <v>77.099999999999994</v>
      </c>
      <c r="I61" s="305">
        <f>H61*G61</f>
        <v>3.4502249999999996E-9</v>
      </c>
      <c r="J61" s="305">
        <v>1.9000000000000001E-4</v>
      </c>
      <c r="K61" s="305">
        <f>J61*G61</f>
        <v>8.5025000000000012E-15</v>
      </c>
    </row>
    <row r="62" spans="1:11">
      <c r="A62" s="305" t="s">
        <v>1000</v>
      </c>
      <c r="B62" s="327">
        <v>3.9E-2</v>
      </c>
      <c r="C62" s="305" t="s">
        <v>1004</v>
      </c>
      <c r="H62" s="305">
        <f>1076*453/10^12</f>
        <v>4.8742800000000002E-7</v>
      </c>
      <c r="I62" s="327">
        <f>H62*B62</f>
        <v>1.9009692000000001E-8</v>
      </c>
    </row>
    <row r="63" spans="1:11">
      <c r="A63" s="305" t="s">
        <v>1001</v>
      </c>
      <c r="B63" s="327">
        <v>6.8400000000000004E-4</v>
      </c>
      <c r="C63" s="305" t="s">
        <v>1003</v>
      </c>
      <c r="D63" s="305">
        <v>32.1</v>
      </c>
      <c r="E63" s="305" t="s">
        <v>1008</v>
      </c>
      <c r="F63" s="305">
        <f t="shared" si="1"/>
        <v>2.1956400000000001E-2</v>
      </c>
      <c r="G63" s="305">
        <f t="shared" si="2"/>
        <v>2.19564E-11</v>
      </c>
      <c r="H63" s="305">
        <v>74.784999999999997</v>
      </c>
      <c r="I63" s="305">
        <f t="shared" ref="I63:I65" si="3">H63*G63</f>
        <v>1.6420093739999999E-9</v>
      </c>
    </row>
    <row r="64" spans="1:11">
      <c r="A64" s="305" t="s">
        <v>1002</v>
      </c>
      <c r="B64" s="327">
        <v>3.2800000000000003E-2</v>
      </c>
      <c r="C64" s="305" t="s">
        <v>1005</v>
      </c>
      <c r="D64" s="305">
        <v>38.200000000000003</v>
      </c>
      <c r="E64" s="305" t="s">
        <v>1009</v>
      </c>
      <c r="F64" s="305">
        <f t="shared" si="1"/>
        <v>1.2529600000000003</v>
      </c>
      <c r="G64" s="305">
        <f t="shared" si="2"/>
        <v>1.2529600000000004E-9</v>
      </c>
      <c r="H64" s="305">
        <v>56</v>
      </c>
      <c r="I64" s="305">
        <f t="shared" si="3"/>
        <v>7.0165760000000024E-8</v>
      </c>
      <c r="J64" s="305">
        <v>8.4999999999999995E-4</v>
      </c>
      <c r="K64" s="305">
        <f t="shared" ref="K64:K65" si="4">J64*G64</f>
        <v>1.0650160000000004E-12</v>
      </c>
    </row>
    <row r="65" spans="1:11">
      <c r="A65" s="305" t="s">
        <v>463</v>
      </c>
      <c r="B65" s="327">
        <v>8.3500000000000002E-4</v>
      </c>
      <c r="C65" s="305" t="s">
        <v>1003</v>
      </c>
      <c r="D65" s="305">
        <v>38.6</v>
      </c>
      <c r="E65" s="305" t="s">
        <v>1008</v>
      </c>
      <c r="F65" s="305">
        <f t="shared" si="1"/>
        <v>3.2231000000000003E-2</v>
      </c>
      <c r="G65" s="305">
        <f t="shared" si="2"/>
        <v>3.2231000000000004E-11</v>
      </c>
      <c r="H65" s="305">
        <v>83.1</v>
      </c>
      <c r="I65" s="305">
        <f t="shared" si="3"/>
        <v>2.6783961000000002E-9</v>
      </c>
      <c r="J65" s="305">
        <v>2.8400000000000001E-3</v>
      </c>
      <c r="K65" s="305">
        <f t="shared" si="4"/>
        <v>9.1536040000000013E-14</v>
      </c>
    </row>
    <row r="67" spans="1:11">
      <c r="I67" s="305">
        <f>SUM(I61:I65)</f>
        <v>9.6946082474000014E-8</v>
      </c>
      <c r="K67" s="327">
        <f>SUM(K59:K65)</f>
        <v>3.5311650545400002E-9</v>
      </c>
    </row>
    <row r="68" spans="1:11">
      <c r="H68" s="305" t="s">
        <v>1011</v>
      </c>
      <c r="I68" s="305">
        <f>I67/$G$58</f>
        <v>2.2133808784018272</v>
      </c>
      <c r="K68" s="305">
        <f>K67/$G$58</f>
        <v>8.0620206724657542E-2</v>
      </c>
    </row>
    <row r="70" spans="1:11">
      <c r="A70" s="306" t="s">
        <v>1013</v>
      </c>
    </row>
    <row r="71" spans="1:11">
      <c r="B71" s="305" t="s">
        <v>703</v>
      </c>
      <c r="C71" s="305" t="s">
        <v>702</v>
      </c>
    </row>
    <row r="72" spans="1:11">
      <c r="B72" s="305" t="s">
        <v>688</v>
      </c>
      <c r="C72" s="305" t="s">
        <v>688</v>
      </c>
    </row>
    <row r="73" spans="1:11">
      <c r="A73" s="305" t="s">
        <v>1014</v>
      </c>
      <c r="B73" s="328">
        <f>$L$6</f>
        <v>2.4880101605595888</v>
      </c>
      <c r="C73" s="329">
        <f>$J$6</f>
        <v>1.8861486550527932E-2</v>
      </c>
    </row>
    <row r="74" spans="1:11">
      <c r="A74" s="305" t="s">
        <v>1015</v>
      </c>
      <c r="B74" s="329">
        <f>$B$53</f>
        <v>1.0075829383886257</v>
      </c>
      <c r="C74" s="329">
        <f>$C$53</f>
        <v>5.6872037914691947E-2</v>
      </c>
    </row>
    <row r="75" spans="1:11">
      <c r="A75" s="305" t="s">
        <v>1023</v>
      </c>
      <c r="B75" s="329">
        <f>$I$68</f>
        <v>2.2133808784018272</v>
      </c>
      <c r="C75" s="329">
        <f>$K$68</f>
        <v>8.0620206724657542E-2</v>
      </c>
    </row>
    <row r="76" spans="1:11">
      <c r="A76" s="305" t="s">
        <v>1024</v>
      </c>
    </row>
  </sheetData>
  <mergeCells count="5">
    <mergeCell ref="A8:A11"/>
    <mergeCell ref="A12:A16"/>
    <mergeCell ref="B26:E26"/>
    <mergeCell ref="A50:H50"/>
    <mergeCell ref="A1:H1"/>
  </mergeCells>
  <pageMargins left="0.7" right="0.7" top="0.75" bottom="0.75" header="0.3" footer="0.3"/>
  <pageSetup orientation="portrait" r:id="rId1"/>
  <legacy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codeName="Sheet29"/>
  <dimension ref="A1:I46"/>
  <sheetViews>
    <sheetView zoomScale="90" workbookViewId="0">
      <selection sqref="A1:XFD1048576"/>
    </sheetView>
  </sheetViews>
  <sheetFormatPr defaultColWidth="9.140625" defaultRowHeight="12.75"/>
  <cols>
    <col min="1" max="1" width="25.85546875" style="201" customWidth="1"/>
    <col min="2" max="2" width="9.140625" style="201"/>
    <col min="3" max="3" width="42.85546875" style="201" bestFit="1" customWidth="1"/>
    <col min="4" max="4" width="16.140625" style="201" customWidth="1"/>
    <col min="5" max="6" width="9.140625" style="201"/>
    <col min="7" max="7" width="26.5703125" style="201" customWidth="1"/>
    <col min="8" max="8" width="9.140625" style="201"/>
    <col min="9" max="9" width="11" style="201" customWidth="1"/>
    <col min="10" max="16384" width="9.140625" style="201"/>
  </cols>
  <sheetData>
    <row r="1" spans="1:9" ht="25.5">
      <c r="A1" s="336" t="s">
        <v>11</v>
      </c>
      <c r="B1" s="336" t="s">
        <v>12</v>
      </c>
      <c r="C1" s="336" t="s">
        <v>13</v>
      </c>
      <c r="D1" s="337" t="s">
        <v>14</v>
      </c>
    </row>
    <row r="2" spans="1:9">
      <c r="A2" s="201" t="s">
        <v>15</v>
      </c>
      <c r="B2" s="330" t="s">
        <v>446</v>
      </c>
      <c r="C2" s="201" t="s">
        <v>447</v>
      </c>
      <c r="D2" s="201">
        <f>Conv!$C$11</f>
        <v>5.8250000000000002</v>
      </c>
    </row>
    <row r="3" spans="1:9">
      <c r="A3" s="201" t="s">
        <v>16</v>
      </c>
      <c r="B3" s="330" t="s">
        <v>448</v>
      </c>
      <c r="C3" s="201" t="s">
        <v>449</v>
      </c>
      <c r="D3" s="201">
        <f>Conv!$C$11</f>
        <v>5.8250000000000002</v>
      </c>
      <c r="H3" s="222" t="s">
        <v>17</v>
      </c>
      <c r="I3" s="222" t="s">
        <v>18</v>
      </c>
    </row>
    <row r="4" spans="1:9">
      <c r="A4" s="201" t="s">
        <v>19</v>
      </c>
      <c r="B4" s="330" t="s">
        <v>450</v>
      </c>
      <c r="C4" s="201" t="s">
        <v>451</v>
      </c>
      <c r="D4" s="201">
        <f>Conv!$C$11</f>
        <v>5.8250000000000002</v>
      </c>
      <c r="G4" s="201" t="s">
        <v>20</v>
      </c>
      <c r="H4" s="331">
        <v>5.0000000000000001E-3</v>
      </c>
      <c r="I4" s="222" t="s">
        <v>21</v>
      </c>
    </row>
    <row r="5" spans="1:9">
      <c r="A5" s="201" t="s">
        <v>22</v>
      </c>
      <c r="B5" s="330" t="s">
        <v>442</v>
      </c>
      <c r="C5" s="201" t="s">
        <v>443</v>
      </c>
      <c r="D5" s="201">
        <f>Conv!C20</f>
        <v>5.2530000000000001</v>
      </c>
      <c r="G5" s="201" t="s">
        <v>23</v>
      </c>
      <c r="H5" s="222" t="s">
        <v>24</v>
      </c>
      <c r="I5" s="222" t="s">
        <v>21</v>
      </c>
    </row>
    <row r="6" spans="1:9">
      <c r="A6" s="201" t="s">
        <v>25</v>
      </c>
      <c r="B6" s="330" t="s">
        <v>444</v>
      </c>
      <c r="C6" s="201" t="s">
        <v>445</v>
      </c>
      <c r="D6" s="201">
        <f>Conv!C22</f>
        <v>5.15</v>
      </c>
      <c r="G6" s="201" t="s">
        <v>26</v>
      </c>
      <c r="H6" s="222" t="s">
        <v>27</v>
      </c>
      <c r="I6" s="222" t="s">
        <v>28</v>
      </c>
    </row>
    <row r="7" spans="1:9">
      <c r="A7" s="201" t="s">
        <v>453</v>
      </c>
      <c r="B7" s="330" t="s">
        <v>452</v>
      </c>
      <c r="C7" s="201" t="s">
        <v>453</v>
      </c>
      <c r="D7" s="201">
        <f>Conv!C15</f>
        <v>5.67</v>
      </c>
      <c r="G7" s="201" t="s">
        <v>29</v>
      </c>
      <c r="H7" s="222" t="s">
        <v>27</v>
      </c>
      <c r="I7" s="222" t="s">
        <v>30</v>
      </c>
    </row>
    <row r="8" spans="1:9">
      <c r="A8" s="201" t="s">
        <v>31</v>
      </c>
      <c r="B8" s="330" t="s">
        <v>454</v>
      </c>
      <c r="C8" s="201" t="s">
        <v>455</v>
      </c>
      <c r="D8" s="201">
        <f>Conv!C17</f>
        <v>5.67</v>
      </c>
      <c r="G8" s="201" t="s">
        <v>32</v>
      </c>
      <c r="H8" s="222" t="s">
        <v>33</v>
      </c>
      <c r="I8" s="222" t="s">
        <v>34</v>
      </c>
    </row>
    <row r="9" spans="1:9">
      <c r="A9" s="201" t="s">
        <v>456</v>
      </c>
      <c r="B9" s="330" t="s">
        <v>456</v>
      </c>
      <c r="C9" s="201" t="s">
        <v>456</v>
      </c>
      <c r="D9" s="201">
        <f>Conv!C45</f>
        <v>3.5569999999999999</v>
      </c>
    </row>
    <row r="10" spans="1:9">
      <c r="A10" s="201" t="s">
        <v>458</v>
      </c>
      <c r="B10" s="330" t="s">
        <v>457</v>
      </c>
      <c r="C10" s="201" t="s">
        <v>458</v>
      </c>
      <c r="D10" s="201">
        <f>Conv!C42</f>
        <v>2.7467999999999999</v>
      </c>
    </row>
    <row r="11" spans="1:9">
      <c r="A11" s="201" t="s">
        <v>35</v>
      </c>
      <c r="B11" s="330" t="s">
        <v>459</v>
      </c>
      <c r="C11" s="201" t="s">
        <v>460</v>
      </c>
      <c r="D11" s="201">
        <f>Conv!C26</f>
        <v>5.6909999999999998</v>
      </c>
    </row>
    <row r="12" spans="1:9">
      <c r="A12" s="201" t="s">
        <v>36</v>
      </c>
      <c r="B12" s="330" t="s">
        <v>461</v>
      </c>
      <c r="C12" s="201" t="s">
        <v>462</v>
      </c>
      <c r="D12" s="201">
        <f>Conv!$C$33</f>
        <v>6.2869999999999999</v>
      </c>
    </row>
    <row r="13" spans="1:9">
      <c r="A13" s="201" t="s">
        <v>37</v>
      </c>
      <c r="B13" s="330" t="s">
        <v>463</v>
      </c>
      <c r="C13" s="201" t="s">
        <v>464</v>
      </c>
      <c r="D13" s="201">
        <f>Conv!$C$33</f>
        <v>6.2869999999999999</v>
      </c>
    </row>
    <row r="14" spans="1:9">
      <c r="A14" s="201" t="s">
        <v>38</v>
      </c>
      <c r="B14" s="330" t="s">
        <v>39</v>
      </c>
      <c r="C14" s="338" t="s">
        <v>40</v>
      </c>
    </row>
    <row r="15" spans="1:9">
      <c r="A15" s="201" t="s">
        <v>41</v>
      </c>
      <c r="B15" s="330" t="s">
        <v>42</v>
      </c>
      <c r="C15" s="338" t="s">
        <v>43</v>
      </c>
    </row>
    <row r="16" spans="1:9">
      <c r="A16" s="201" t="s">
        <v>44</v>
      </c>
      <c r="B16" s="330" t="s">
        <v>45</v>
      </c>
      <c r="C16" s="338" t="s">
        <v>46</v>
      </c>
    </row>
    <row r="17" spans="1:8">
      <c r="A17" s="201" t="s">
        <v>47</v>
      </c>
      <c r="B17" s="330" t="s">
        <v>48</v>
      </c>
      <c r="C17" s="338" t="s">
        <v>49</v>
      </c>
    </row>
    <row r="18" spans="1:8">
      <c r="A18" s="201" t="s">
        <v>50</v>
      </c>
      <c r="B18" s="330" t="s">
        <v>51</v>
      </c>
      <c r="C18" s="338" t="s">
        <v>52</v>
      </c>
    </row>
    <row r="22" spans="1:8">
      <c r="A22" s="202" t="s">
        <v>53</v>
      </c>
      <c r="B22" s="206" t="s">
        <v>54</v>
      </c>
      <c r="C22" s="202" t="s">
        <v>55</v>
      </c>
      <c r="D22" s="206" t="s">
        <v>56</v>
      </c>
      <c r="E22" s="206" t="s">
        <v>54</v>
      </c>
      <c r="F22" s="206" t="s">
        <v>57</v>
      </c>
      <c r="G22" s="206" t="s">
        <v>58</v>
      </c>
      <c r="H22" s="206" t="s">
        <v>54</v>
      </c>
    </row>
    <row r="23" spans="1:8">
      <c r="A23" s="198" t="s">
        <v>59</v>
      </c>
      <c r="B23" s="332">
        <v>3</v>
      </c>
      <c r="C23" s="273" t="s">
        <v>60</v>
      </c>
      <c r="D23" s="222">
        <v>5</v>
      </c>
      <c r="E23" s="222">
        <v>9</v>
      </c>
      <c r="F23" s="222" t="s">
        <v>61</v>
      </c>
      <c r="G23" s="235" t="s">
        <v>62</v>
      </c>
    </row>
    <row r="24" spans="1:8">
      <c r="A24" s="198" t="s">
        <v>63</v>
      </c>
      <c r="B24" s="332">
        <v>6</v>
      </c>
      <c r="C24" s="195" t="s">
        <v>64</v>
      </c>
      <c r="D24" s="222">
        <v>1</v>
      </c>
      <c r="E24" s="222" t="s">
        <v>65</v>
      </c>
      <c r="F24" s="222" t="s">
        <v>66</v>
      </c>
      <c r="G24" s="333" t="s">
        <v>67</v>
      </c>
      <c r="H24" s="222">
        <f>VLOOKUP(G24,$A$23:$B$31,2)</f>
        <v>1</v>
      </c>
    </row>
    <row r="25" spans="1:8">
      <c r="A25" s="198" t="s">
        <v>68</v>
      </c>
      <c r="B25" s="332">
        <v>2</v>
      </c>
      <c r="C25" s="195" t="s">
        <v>69</v>
      </c>
      <c r="D25" s="222">
        <v>2</v>
      </c>
      <c r="E25" s="222" t="s">
        <v>70</v>
      </c>
      <c r="F25" s="222" t="s">
        <v>71</v>
      </c>
      <c r="G25" s="334" t="s">
        <v>68</v>
      </c>
      <c r="H25" s="222">
        <f>VLOOKUP(G25,$A$23:$B$31,2)</f>
        <v>2</v>
      </c>
    </row>
    <row r="26" spans="1:8">
      <c r="A26" s="198" t="s">
        <v>72</v>
      </c>
      <c r="B26" s="332">
        <v>8</v>
      </c>
      <c r="C26" s="195" t="s">
        <v>73</v>
      </c>
      <c r="D26" s="222">
        <v>3</v>
      </c>
      <c r="E26" s="222" t="s">
        <v>74</v>
      </c>
      <c r="F26" s="222" t="s">
        <v>75</v>
      </c>
      <c r="G26" s="334" t="s">
        <v>76</v>
      </c>
      <c r="H26" s="222">
        <f>VLOOKUP(G26,$A$23:$B$31,2)</f>
        <v>4</v>
      </c>
    </row>
    <row r="27" spans="1:8">
      <c r="A27" s="204" t="s">
        <v>67</v>
      </c>
      <c r="B27" s="332">
        <v>1</v>
      </c>
      <c r="C27" s="195" t="s">
        <v>77</v>
      </c>
      <c r="D27" s="222">
        <v>2</v>
      </c>
      <c r="E27" s="222" t="s">
        <v>70</v>
      </c>
      <c r="F27" s="222" t="s">
        <v>78</v>
      </c>
      <c r="G27" s="334" t="s">
        <v>72</v>
      </c>
      <c r="H27" s="222">
        <f>VLOOKUP(G27,$A$23:$B$31,2)</f>
        <v>8</v>
      </c>
    </row>
    <row r="28" spans="1:8">
      <c r="A28" s="197" t="s">
        <v>79</v>
      </c>
      <c r="B28" s="332">
        <v>9</v>
      </c>
      <c r="C28" s="195" t="s">
        <v>80</v>
      </c>
      <c r="D28" s="222">
        <v>3</v>
      </c>
      <c r="E28" s="222" t="s">
        <v>74</v>
      </c>
      <c r="F28" s="222" t="s">
        <v>81</v>
      </c>
      <c r="G28" s="335" t="s">
        <v>79</v>
      </c>
      <c r="H28" s="222">
        <f>VLOOKUP(G28,$A$23:$B$31,2)</f>
        <v>9</v>
      </c>
    </row>
    <row r="29" spans="1:8">
      <c r="A29" s="198" t="s">
        <v>82</v>
      </c>
      <c r="B29" s="332">
        <v>5</v>
      </c>
      <c r="C29" s="195" t="s">
        <v>83</v>
      </c>
      <c r="D29" s="222">
        <v>4</v>
      </c>
      <c r="E29" s="222">
        <v>8</v>
      </c>
      <c r="F29" s="222" t="s">
        <v>84</v>
      </c>
      <c r="G29" s="195"/>
    </row>
    <row r="30" spans="1:8">
      <c r="A30" s="198" t="s">
        <v>76</v>
      </c>
      <c r="B30" s="332">
        <v>4</v>
      </c>
      <c r="C30" s="195" t="s">
        <v>85</v>
      </c>
      <c r="D30" s="222">
        <v>5</v>
      </c>
      <c r="E30" s="222">
        <v>9</v>
      </c>
      <c r="F30" s="222" t="s">
        <v>86</v>
      </c>
      <c r="G30" s="235" t="s">
        <v>87</v>
      </c>
    </row>
    <row r="31" spans="1:8">
      <c r="A31" s="198" t="s">
        <v>88</v>
      </c>
      <c r="B31" s="332">
        <v>7</v>
      </c>
      <c r="C31" s="195" t="s">
        <v>89</v>
      </c>
      <c r="D31" s="222">
        <v>3</v>
      </c>
      <c r="E31" s="222" t="s">
        <v>74</v>
      </c>
      <c r="F31" s="222" t="s">
        <v>90</v>
      </c>
      <c r="G31" s="334" t="s">
        <v>88</v>
      </c>
      <c r="H31" s="222">
        <f>VLOOKUP(G31,$A$23:$B$31,2)</f>
        <v>7</v>
      </c>
    </row>
    <row r="32" spans="1:8">
      <c r="C32" s="195" t="s">
        <v>79</v>
      </c>
      <c r="D32" s="222">
        <v>5</v>
      </c>
      <c r="E32" s="222">
        <v>9</v>
      </c>
      <c r="F32" s="222" t="s">
        <v>91</v>
      </c>
      <c r="G32" s="334" t="s">
        <v>72</v>
      </c>
      <c r="H32" s="222">
        <f>VLOOKUP(G32,$A$23:$B$31,2)</f>
        <v>8</v>
      </c>
    </row>
    <row r="33" spans="1:9">
      <c r="C33" s="195" t="s">
        <v>92</v>
      </c>
      <c r="D33" s="222">
        <v>1</v>
      </c>
      <c r="E33" s="222" t="s">
        <v>65</v>
      </c>
      <c r="G33" s="335" t="s">
        <v>79</v>
      </c>
      <c r="H33" s="222">
        <f>VLOOKUP(G33,$A$23:$B$31,2)</f>
        <v>9</v>
      </c>
    </row>
    <row r="34" spans="1:9">
      <c r="G34" s="195"/>
    </row>
    <row r="35" spans="1:9">
      <c r="G35" s="235" t="s">
        <v>93</v>
      </c>
      <c r="H35" s="222" t="s">
        <v>94</v>
      </c>
      <c r="I35" s="222" t="s">
        <v>54</v>
      </c>
    </row>
    <row r="36" spans="1:9">
      <c r="F36" s="222" t="s">
        <v>95</v>
      </c>
      <c r="G36" s="273" t="s">
        <v>96</v>
      </c>
      <c r="H36" s="222">
        <v>1</v>
      </c>
      <c r="I36" s="222">
        <v>1</v>
      </c>
    </row>
    <row r="37" spans="1:9">
      <c r="A37" s="439" t="s">
        <v>56</v>
      </c>
      <c r="B37" s="439"/>
      <c r="F37" s="222" t="s">
        <v>97</v>
      </c>
      <c r="G37" s="273" t="s">
        <v>98</v>
      </c>
      <c r="H37" s="222">
        <v>5</v>
      </c>
      <c r="I37" s="222">
        <v>2</v>
      </c>
    </row>
    <row r="38" spans="1:9">
      <c r="A38" s="197" t="s">
        <v>99</v>
      </c>
      <c r="B38" s="222" t="s">
        <v>519</v>
      </c>
      <c r="F38" s="222" t="s">
        <v>100</v>
      </c>
      <c r="G38" s="273" t="s">
        <v>101</v>
      </c>
      <c r="H38" s="222">
        <v>5</v>
      </c>
      <c r="I38" s="222">
        <v>5</v>
      </c>
    </row>
    <row r="39" spans="1:9">
      <c r="A39" s="197" t="s">
        <v>102</v>
      </c>
      <c r="B39" s="222" t="s">
        <v>103</v>
      </c>
      <c r="F39" s="222" t="s">
        <v>104</v>
      </c>
      <c r="G39" s="273" t="s">
        <v>105</v>
      </c>
      <c r="H39" s="222">
        <v>7</v>
      </c>
      <c r="I39" s="222">
        <v>6</v>
      </c>
    </row>
    <row r="40" spans="1:9">
      <c r="A40" s="197" t="s">
        <v>106</v>
      </c>
      <c r="B40" s="222" t="s">
        <v>107</v>
      </c>
      <c r="F40" s="222" t="s">
        <v>108</v>
      </c>
      <c r="G40" s="273" t="s">
        <v>109</v>
      </c>
      <c r="H40" s="222">
        <v>1</v>
      </c>
      <c r="I40" s="222">
        <v>7</v>
      </c>
    </row>
    <row r="41" spans="1:9">
      <c r="A41" s="197" t="s">
        <v>110</v>
      </c>
      <c r="B41" s="222" t="s">
        <v>111</v>
      </c>
      <c r="F41" s="222" t="s">
        <v>112</v>
      </c>
      <c r="G41" s="273" t="s">
        <v>113</v>
      </c>
      <c r="H41" s="222">
        <v>2</v>
      </c>
      <c r="I41" s="222">
        <v>9</v>
      </c>
    </row>
    <row r="42" spans="1:9">
      <c r="A42" s="197" t="s">
        <v>114</v>
      </c>
      <c r="B42" s="222" t="s">
        <v>115</v>
      </c>
      <c r="F42" s="222" t="s">
        <v>116</v>
      </c>
      <c r="G42" s="273" t="s">
        <v>117</v>
      </c>
      <c r="H42" s="222">
        <v>5</v>
      </c>
    </row>
    <row r="43" spans="1:9">
      <c r="A43" s="197" t="s">
        <v>118</v>
      </c>
      <c r="B43" s="222" t="s">
        <v>119</v>
      </c>
      <c r="F43" s="222" t="s">
        <v>120</v>
      </c>
      <c r="G43" s="273" t="s">
        <v>121</v>
      </c>
      <c r="H43" s="222">
        <v>6</v>
      </c>
    </row>
    <row r="44" spans="1:9">
      <c r="A44" s="197" t="s">
        <v>122</v>
      </c>
      <c r="B44" s="222" t="s">
        <v>517</v>
      </c>
      <c r="F44" s="222" t="s">
        <v>123</v>
      </c>
      <c r="G44" s="273" t="s">
        <v>124</v>
      </c>
      <c r="H44" s="222">
        <v>7</v>
      </c>
    </row>
    <row r="45" spans="1:9">
      <c r="F45" s="222" t="s">
        <v>125</v>
      </c>
      <c r="G45" s="273" t="s">
        <v>126</v>
      </c>
      <c r="H45" s="222">
        <v>9</v>
      </c>
    </row>
    <row r="46" spans="1:9">
      <c r="F46" s="222" t="s">
        <v>125</v>
      </c>
      <c r="G46" s="273" t="s">
        <v>127</v>
      </c>
      <c r="H46" s="222">
        <v>9</v>
      </c>
    </row>
  </sheetData>
  <mergeCells count="1">
    <mergeCell ref="A37:B37"/>
  </mergeCells>
  <phoneticPr fontId="17" type="noConversion"/>
  <pageMargins left="0.75" right="0.75" top="1" bottom="1" header="0.5" footer="0.5"/>
  <pageSetup orientation="portrait" horizontalDpi="300" verticalDpi="300" r:id="rId1"/>
  <headerFooter alignWithMargin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codeName="Sheet30"/>
  <dimension ref="B1:Q73"/>
  <sheetViews>
    <sheetView topLeftCell="A11" zoomScale="75" workbookViewId="0">
      <selection activeCell="P40" sqref="P40"/>
    </sheetView>
  </sheetViews>
  <sheetFormatPr defaultColWidth="9.140625" defaultRowHeight="12.75"/>
  <cols>
    <col min="1" max="1" width="9.140625" style="201"/>
    <col min="2" max="2" width="52.140625" style="201" bestFit="1" customWidth="1"/>
    <col min="3" max="7" width="9.140625" style="201"/>
    <col min="8" max="8" width="10" style="201" bestFit="1" customWidth="1"/>
    <col min="9" max="9" width="10.5703125" style="201" bestFit="1" customWidth="1"/>
    <col min="10" max="10" width="10.85546875" style="201" bestFit="1" customWidth="1"/>
    <col min="11" max="16384" width="9.140625" style="201"/>
  </cols>
  <sheetData>
    <row r="1" spans="2:17" ht="15.75">
      <c r="B1" s="237" t="s">
        <v>599</v>
      </c>
      <c r="C1" s="339"/>
      <c r="D1" s="339"/>
      <c r="E1" s="339"/>
      <c r="F1" s="339"/>
      <c r="G1" s="339"/>
      <c r="H1" s="339"/>
      <c r="I1" s="339"/>
      <c r="J1" s="339"/>
    </row>
    <row r="2" spans="2:17">
      <c r="B2" s="339"/>
      <c r="C2" s="339"/>
      <c r="D2" s="339"/>
      <c r="E2" s="339"/>
      <c r="F2" s="339"/>
      <c r="G2" s="339"/>
      <c r="H2" s="339"/>
      <c r="I2" s="339"/>
      <c r="J2" s="339"/>
    </row>
    <row r="3" spans="2:17" ht="12" customHeight="1">
      <c r="B3" s="202" t="s">
        <v>600</v>
      </c>
      <c r="D3" s="339"/>
      <c r="E3" s="339"/>
      <c r="F3" s="339"/>
      <c r="G3" s="339"/>
      <c r="H3" s="339"/>
      <c r="I3" s="339"/>
      <c r="J3" s="339"/>
    </row>
    <row r="4" spans="2:17" ht="12" customHeight="1">
      <c r="B4" s="355" t="s">
        <v>601</v>
      </c>
      <c r="D4" s="339"/>
      <c r="E4" s="339"/>
      <c r="F4" s="339"/>
      <c r="G4" s="339"/>
      <c r="H4" s="339" t="s">
        <v>602</v>
      </c>
      <c r="I4" s="339">
        <v>42</v>
      </c>
      <c r="J4" s="339" t="s">
        <v>603</v>
      </c>
    </row>
    <row r="5" spans="2:17" ht="12" customHeight="1">
      <c r="B5" s="355" t="s">
        <v>604</v>
      </c>
      <c r="D5" s="339"/>
      <c r="E5" s="339"/>
      <c r="F5" s="339"/>
      <c r="G5" s="339"/>
      <c r="H5" s="340" t="s">
        <v>605</v>
      </c>
      <c r="I5" s="340">
        <v>1.0550559999999999E-6</v>
      </c>
      <c r="J5" s="201" t="s">
        <v>384</v>
      </c>
    </row>
    <row r="6" spans="2:17" ht="12" customHeight="1">
      <c r="B6" s="355" t="s">
        <v>606</v>
      </c>
      <c r="C6" s="355" t="s">
        <v>607</v>
      </c>
      <c r="D6" s="355" t="s">
        <v>608</v>
      </c>
      <c r="E6" s="339"/>
      <c r="F6" s="339"/>
      <c r="G6" s="339"/>
      <c r="H6" s="339" t="s">
        <v>609</v>
      </c>
      <c r="I6" s="339">
        <v>1055</v>
      </c>
      <c r="J6" s="201" t="s">
        <v>384</v>
      </c>
    </row>
    <row r="7" spans="2:17" ht="12" customHeight="1">
      <c r="B7" s="339" t="s">
        <v>610</v>
      </c>
      <c r="C7" s="339">
        <v>6.6360000000000001</v>
      </c>
      <c r="D7" s="341">
        <f t="shared" ref="D7:D18" si="0">C7/$I$4</f>
        <v>0.158</v>
      </c>
      <c r="E7" s="339"/>
      <c r="F7" s="339"/>
      <c r="G7" s="339"/>
      <c r="H7" s="339" t="s">
        <v>611</v>
      </c>
      <c r="I7" s="339">
        <v>3412</v>
      </c>
      <c r="J7" s="339" t="s">
        <v>612</v>
      </c>
    </row>
    <row r="8" spans="2:17" ht="12" customHeight="1">
      <c r="B8" s="339" t="s">
        <v>613</v>
      </c>
      <c r="C8" s="339">
        <v>5.048</v>
      </c>
      <c r="D8" s="341">
        <f t="shared" si="0"/>
        <v>0.12019047619047619</v>
      </c>
      <c r="E8" s="339"/>
      <c r="F8" s="339"/>
      <c r="G8" s="339"/>
      <c r="H8" s="339"/>
      <c r="I8" s="339"/>
      <c r="J8" s="339"/>
    </row>
    <row r="9" spans="2:17" ht="12" customHeight="1">
      <c r="B9" s="339" t="s">
        <v>614</v>
      </c>
      <c r="C9" s="339">
        <v>4.3259999999999996</v>
      </c>
      <c r="D9" s="341">
        <f t="shared" si="0"/>
        <v>0.10299999999999999</v>
      </c>
      <c r="E9" s="339"/>
      <c r="F9" s="339"/>
      <c r="G9" s="339"/>
      <c r="H9" s="339"/>
      <c r="I9" s="339"/>
      <c r="J9" s="339"/>
    </row>
    <row r="10" spans="2:17" ht="12" customHeight="1">
      <c r="B10" s="339" t="s">
        <v>615</v>
      </c>
      <c r="C10" s="339">
        <v>4.13</v>
      </c>
      <c r="D10" s="341">
        <f t="shared" si="0"/>
        <v>9.8333333333333328E-2</v>
      </c>
      <c r="E10" s="339"/>
      <c r="F10" s="339"/>
      <c r="G10" s="339"/>
      <c r="H10" s="356" t="s">
        <v>616</v>
      </c>
      <c r="I10" s="342"/>
      <c r="J10" s="342"/>
      <c r="K10" s="343"/>
      <c r="L10" s="343"/>
      <c r="M10" s="343"/>
    </row>
    <row r="11" spans="2:17" ht="12" customHeight="1">
      <c r="B11" s="339" t="s">
        <v>617</v>
      </c>
      <c r="C11" s="339">
        <v>5.8250000000000002</v>
      </c>
      <c r="D11" s="341">
        <f t="shared" si="0"/>
        <v>0.1386904761904762</v>
      </c>
      <c r="E11" s="339"/>
      <c r="F11" s="339"/>
      <c r="G11" s="339"/>
      <c r="H11" s="342" t="s">
        <v>943</v>
      </c>
      <c r="I11" s="342"/>
      <c r="J11" s="342"/>
      <c r="K11" s="343"/>
      <c r="L11" s="343"/>
      <c r="M11" s="343"/>
    </row>
    <row r="12" spans="2:17" ht="12" customHeight="1">
      <c r="B12" s="339" t="s">
        <v>618</v>
      </c>
      <c r="C12" s="339">
        <v>3.0819999999999999</v>
      </c>
      <c r="D12" s="341">
        <f t="shared" si="0"/>
        <v>7.338095238095238E-2</v>
      </c>
      <c r="E12" s="339"/>
      <c r="F12" s="339"/>
      <c r="G12" s="339"/>
      <c r="H12" s="342" t="s">
        <v>729</v>
      </c>
      <c r="I12" s="342"/>
      <c r="J12" s="342"/>
      <c r="K12" s="343"/>
      <c r="L12" s="343"/>
      <c r="M12" s="343"/>
    </row>
    <row r="13" spans="2:17" ht="12" customHeight="1">
      <c r="B13" s="339" t="s">
        <v>619</v>
      </c>
      <c r="C13" s="339">
        <v>3.3079999999999998</v>
      </c>
      <c r="D13" s="341">
        <f t="shared" si="0"/>
        <v>7.8761904761904755E-2</v>
      </c>
      <c r="E13" s="339"/>
      <c r="F13" s="339"/>
      <c r="G13" s="339"/>
      <c r="H13" s="357" t="s">
        <v>730</v>
      </c>
      <c r="I13" s="342"/>
      <c r="J13" s="342"/>
      <c r="K13" s="343"/>
      <c r="L13" s="343"/>
      <c r="M13" s="343"/>
      <c r="O13" s="344"/>
      <c r="P13" s="344"/>
      <c r="Q13" s="344"/>
    </row>
    <row r="14" spans="2:17" ht="12" customHeight="1">
      <c r="B14" s="339" t="s">
        <v>621</v>
      </c>
      <c r="C14" s="339">
        <v>3.9740000000000002</v>
      </c>
      <c r="D14" s="341">
        <f t="shared" si="0"/>
        <v>9.461904761904763E-2</v>
      </c>
      <c r="E14" s="339"/>
      <c r="F14" s="339"/>
      <c r="G14" s="339"/>
      <c r="H14" s="201" t="s">
        <v>944</v>
      </c>
      <c r="I14" s="342"/>
      <c r="J14" s="342"/>
      <c r="K14" s="343"/>
      <c r="L14" s="343"/>
      <c r="M14" s="343"/>
      <c r="O14" s="345"/>
      <c r="P14" s="345"/>
      <c r="Q14" s="345"/>
    </row>
    <row r="15" spans="2:17" ht="12" customHeight="1">
      <c r="B15" s="339" t="s">
        <v>623</v>
      </c>
      <c r="C15" s="339">
        <v>5.67</v>
      </c>
      <c r="D15" s="341">
        <f t="shared" si="0"/>
        <v>0.13500000000000001</v>
      </c>
      <c r="E15" s="339"/>
      <c r="F15" s="339"/>
      <c r="G15" s="339"/>
      <c r="H15" s="342" t="s">
        <v>620</v>
      </c>
      <c r="I15" s="342" t="s">
        <v>622</v>
      </c>
      <c r="J15" s="342" t="s">
        <v>945</v>
      </c>
      <c r="K15" s="343"/>
      <c r="L15" s="343"/>
      <c r="M15" s="343"/>
      <c r="O15" s="345"/>
      <c r="P15" s="345"/>
      <c r="Q15" s="345"/>
    </row>
    <row r="16" spans="2:17" ht="12" customHeight="1">
      <c r="B16" s="339" t="s">
        <v>624</v>
      </c>
      <c r="C16" s="339">
        <v>5.3550000000000004</v>
      </c>
      <c r="D16" s="341">
        <f t="shared" si="0"/>
        <v>0.1275</v>
      </c>
      <c r="E16" s="339"/>
      <c r="F16" s="339"/>
      <c r="G16" s="339"/>
      <c r="H16" s="205" t="s">
        <v>946</v>
      </c>
      <c r="I16" s="205">
        <v>53.622999999999998</v>
      </c>
      <c r="J16" s="346">
        <f>$I$38/I16</f>
        <v>1.7155138653189863</v>
      </c>
      <c r="K16" s="343"/>
      <c r="L16" s="343"/>
      <c r="M16" s="343"/>
      <c r="O16" s="345"/>
      <c r="P16" s="345"/>
      <c r="Q16" s="345"/>
    </row>
    <row r="17" spans="2:17" ht="12" customHeight="1">
      <c r="B17" s="339" t="s">
        <v>625</v>
      </c>
      <c r="C17" s="339">
        <v>5.67</v>
      </c>
      <c r="D17" s="341">
        <f t="shared" si="0"/>
        <v>0.13500000000000001</v>
      </c>
      <c r="E17" s="339"/>
      <c r="F17" s="339"/>
      <c r="G17" s="339"/>
      <c r="H17" s="205" t="s">
        <v>947</v>
      </c>
      <c r="I17" s="205">
        <v>55.524999999999999</v>
      </c>
      <c r="J17" s="346">
        <f t="shared" ref="J17:J45" si="1">$I$38/I17</f>
        <v>1.6567492120666367</v>
      </c>
      <c r="K17" s="343"/>
      <c r="L17" s="343"/>
      <c r="M17" s="343"/>
      <c r="O17" s="345"/>
      <c r="P17" s="345"/>
      <c r="Q17" s="345"/>
    </row>
    <row r="18" spans="2:17" ht="12" customHeight="1">
      <c r="B18" s="339" t="s">
        <v>626</v>
      </c>
      <c r="C18" s="339">
        <v>6.0650000000000004</v>
      </c>
      <c r="D18" s="341">
        <f t="shared" si="0"/>
        <v>0.14440476190476192</v>
      </c>
      <c r="E18" s="339"/>
      <c r="F18" s="339"/>
      <c r="G18" s="339"/>
      <c r="H18" s="205" t="s">
        <v>948</v>
      </c>
      <c r="I18" s="205">
        <v>57.302</v>
      </c>
      <c r="J18" s="346">
        <f t="shared" si="1"/>
        <v>1.6053715402603748</v>
      </c>
      <c r="K18" s="343"/>
      <c r="L18" s="343"/>
      <c r="M18" s="343"/>
      <c r="O18" s="345"/>
      <c r="P18" s="345"/>
      <c r="Q18" s="345"/>
    </row>
    <row r="19" spans="2:17" ht="12" customHeight="1">
      <c r="B19" s="348" t="s">
        <v>627</v>
      </c>
      <c r="C19" s="339"/>
      <c r="D19" s="341"/>
      <c r="E19" s="339"/>
      <c r="F19" s="339"/>
      <c r="G19" s="339"/>
      <c r="H19" s="205" t="s">
        <v>949</v>
      </c>
      <c r="I19" s="205">
        <v>58.457999999999998</v>
      </c>
      <c r="J19" s="346">
        <f t="shared" si="1"/>
        <v>1.5736255089123816</v>
      </c>
      <c r="K19" s="343"/>
      <c r="L19" s="343"/>
      <c r="M19" s="343"/>
      <c r="O19" s="345"/>
      <c r="P19" s="345"/>
      <c r="Q19" s="345"/>
    </row>
    <row r="20" spans="2:17" ht="12" customHeight="1">
      <c r="B20" s="339" t="s">
        <v>628</v>
      </c>
      <c r="C20" s="339">
        <v>5.2530000000000001</v>
      </c>
      <c r="D20" s="341">
        <f t="shared" ref="D20:D25" si="2">C20/$I$4</f>
        <v>0.12507142857142858</v>
      </c>
      <c r="E20" s="339"/>
      <c r="F20" s="339"/>
      <c r="G20" s="339"/>
      <c r="H20" s="205" t="s">
        <v>950</v>
      </c>
      <c r="I20" s="205">
        <v>59.948999999999998</v>
      </c>
      <c r="J20" s="346">
        <f t="shared" si="1"/>
        <v>1.5344876478339922</v>
      </c>
      <c r="K20" s="343"/>
      <c r="L20" s="343"/>
      <c r="M20" s="343"/>
      <c r="O20" s="345"/>
      <c r="P20" s="345"/>
      <c r="Q20" s="345"/>
    </row>
    <row r="21" spans="2:17" ht="12" customHeight="1">
      <c r="B21" s="339" t="s">
        <v>629</v>
      </c>
      <c r="C21" s="339">
        <v>5.15</v>
      </c>
      <c r="D21" s="341">
        <f t="shared" si="2"/>
        <v>0.12261904761904763</v>
      </c>
      <c r="E21" s="339"/>
      <c r="F21" s="339"/>
      <c r="G21" s="339"/>
      <c r="H21" s="205" t="s">
        <v>951</v>
      </c>
      <c r="I21" s="205">
        <v>62.048000000000002</v>
      </c>
      <c r="J21" s="346">
        <f t="shared" si="1"/>
        <v>1.4825780041258381</v>
      </c>
      <c r="K21" s="343"/>
      <c r="L21" s="343"/>
      <c r="M21" s="343"/>
      <c r="O21" s="345"/>
      <c r="P21" s="345"/>
      <c r="Q21" s="345"/>
    </row>
    <row r="22" spans="2:17" ht="12" customHeight="1">
      <c r="B22" s="339" t="s">
        <v>630</v>
      </c>
      <c r="C22" s="339">
        <v>5.15</v>
      </c>
      <c r="D22" s="341">
        <f t="shared" si="2"/>
        <v>0.12261904761904763</v>
      </c>
      <c r="E22" s="339"/>
      <c r="F22" s="339"/>
      <c r="G22" s="339"/>
      <c r="H22" s="205" t="s">
        <v>952</v>
      </c>
      <c r="I22" s="205">
        <v>64.459999999999994</v>
      </c>
      <c r="J22" s="346">
        <f t="shared" si="1"/>
        <v>1.4271020788085635</v>
      </c>
      <c r="K22" s="343"/>
      <c r="L22" s="343"/>
      <c r="M22" s="343"/>
      <c r="O22" s="345"/>
      <c r="P22" s="345"/>
      <c r="Q22" s="345"/>
    </row>
    <row r="23" spans="2:17" ht="12" customHeight="1">
      <c r="B23" s="339" t="s">
        <v>631</v>
      </c>
      <c r="C23" s="339">
        <v>3.5390000000000001</v>
      </c>
      <c r="D23" s="341">
        <f t="shared" si="2"/>
        <v>8.426190476190476E-2</v>
      </c>
      <c r="E23" s="339"/>
      <c r="F23" s="339"/>
      <c r="G23" s="339"/>
      <c r="H23" s="205" t="s">
        <v>953</v>
      </c>
      <c r="I23" s="205">
        <v>66.844999999999999</v>
      </c>
      <c r="J23" s="346">
        <f t="shared" si="1"/>
        <v>1.3761837085795496</v>
      </c>
      <c r="K23" s="347"/>
      <c r="L23" s="347"/>
      <c r="M23" s="343"/>
      <c r="O23" s="345"/>
      <c r="P23" s="345"/>
      <c r="Q23" s="345"/>
    </row>
    <row r="24" spans="2:17" ht="12" customHeight="1">
      <c r="B24" s="339" t="s">
        <v>632</v>
      </c>
      <c r="C24" s="339">
        <v>4.62</v>
      </c>
      <c r="D24" s="341">
        <f t="shared" si="2"/>
        <v>0.11</v>
      </c>
      <c r="E24" s="339"/>
      <c r="H24" s="205" t="s">
        <v>954</v>
      </c>
      <c r="I24" s="205">
        <v>69.069000000000003</v>
      </c>
      <c r="J24" s="346">
        <f t="shared" si="1"/>
        <v>1.3318710275232013</v>
      </c>
      <c r="K24" s="347"/>
      <c r="L24" s="347"/>
      <c r="M24" s="343"/>
      <c r="O24" s="345"/>
      <c r="P24" s="345"/>
      <c r="Q24" s="345"/>
    </row>
    <row r="25" spans="2:17" ht="12" customHeight="1">
      <c r="B25" s="339" t="s">
        <v>633</v>
      </c>
      <c r="C25" s="339">
        <v>4.62</v>
      </c>
      <c r="D25" s="341">
        <f t="shared" si="2"/>
        <v>0.11</v>
      </c>
      <c r="E25" s="339"/>
      <c r="H25" s="205" t="s">
        <v>955</v>
      </c>
      <c r="I25" s="205">
        <v>70.644000000000005</v>
      </c>
      <c r="J25" s="346">
        <f t="shared" si="1"/>
        <v>1.3021771134137363</v>
      </c>
      <c r="K25" s="347"/>
      <c r="L25" s="347"/>
      <c r="M25" s="343"/>
      <c r="O25" s="345"/>
      <c r="P25" s="345"/>
      <c r="Q25" s="345"/>
    </row>
    <row r="26" spans="2:17" ht="12" customHeight="1">
      <c r="B26" s="348" t="s">
        <v>460</v>
      </c>
      <c r="C26" s="341">
        <f>AVERAGE(C27:C29)</f>
        <v>5.6909999999999998</v>
      </c>
      <c r="D26" s="341">
        <f>AVERAGE(D27:D29)</f>
        <v>0.13550000000000001</v>
      </c>
      <c r="H26" s="205" t="s">
        <v>956</v>
      </c>
      <c r="I26" s="205">
        <v>72.325000000000003</v>
      </c>
      <c r="J26" s="346">
        <f t="shared" si="1"/>
        <v>1.2719115105426892</v>
      </c>
      <c r="K26" s="347"/>
      <c r="L26" s="347"/>
      <c r="M26" s="343"/>
      <c r="O26" s="345"/>
      <c r="P26" s="345"/>
      <c r="Q26" s="345"/>
    </row>
    <row r="27" spans="2:17" ht="12" customHeight="1">
      <c r="B27" s="339" t="s">
        <v>634</v>
      </c>
      <c r="C27" s="339">
        <v>5.2480000000000002</v>
      </c>
      <c r="D27" s="341">
        <f t="shared" ref="D27:D40" si="3">C27/$I$4</f>
        <v>0.12495238095238095</v>
      </c>
      <c r="E27" s="339"/>
      <c r="H27" s="205" t="s">
        <v>957</v>
      </c>
      <c r="I27" s="205">
        <v>73.864999999999995</v>
      </c>
      <c r="J27" s="346">
        <f t="shared" si="1"/>
        <v>1.2453936235023355</v>
      </c>
      <c r="K27" s="347"/>
      <c r="L27" s="347"/>
      <c r="M27" s="343"/>
      <c r="O27" s="345"/>
      <c r="P27" s="345"/>
      <c r="Q27" s="345"/>
    </row>
    <row r="28" spans="2:17" ht="12" customHeight="1">
      <c r="B28" s="339" t="s">
        <v>635</v>
      </c>
      <c r="C28" s="339">
        <v>5.8250000000000002</v>
      </c>
      <c r="D28" s="341">
        <f t="shared" si="3"/>
        <v>0.1386904761904762</v>
      </c>
      <c r="E28" s="339"/>
      <c r="H28" s="205" t="s">
        <v>958</v>
      </c>
      <c r="I28" s="205">
        <v>75.406000000000006</v>
      </c>
      <c r="J28" s="346">
        <f t="shared" si="1"/>
        <v>1.2199427101291673</v>
      </c>
      <c r="K28" s="347"/>
      <c r="L28" s="347"/>
      <c r="M28" s="343"/>
      <c r="O28" s="345"/>
      <c r="P28" s="345"/>
      <c r="Q28" s="345"/>
    </row>
    <row r="29" spans="2:17" ht="12" customHeight="1">
      <c r="B29" s="339" t="s">
        <v>636</v>
      </c>
      <c r="C29" s="339">
        <v>6</v>
      </c>
      <c r="D29" s="341">
        <f t="shared" si="3"/>
        <v>0.14285714285714285</v>
      </c>
      <c r="E29" s="339"/>
      <c r="H29" s="205" t="s">
        <v>959</v>
      </c>
      <c r="I29" s="205">
        <v>76.783000000000001</v>
      </c>
      <c r="J29" s="346">
        <f t="shared" si="1"/>
        <v>1.1980646757745854</v>
      </c>
      <c r="K29" s="347"/>
      <c r="L29" s="347"/>
      <c r="M29" s="343"/>
      <c r="O29" s="345"/>
      <c r="P29" s="345"/>
      <c r="Q29" s="345"/>
    </row>
    <row r="30" spans="2:17" ht="12" customHeight="1">
      <c r="B30" s="339" t="s">
        <v>637</v>
      </c>
      <c r="C30" s="339">
        <v>6.024</v>
      </c>
      <c r="D30" s="341">
        <f t="shared" si="3"/>
        <v>0.14342857142857143</v>
      </c>
      <c r="E30" s="339"/>
      <c r="H30" s="205" t="s">
        <v>960</v>
      </c>
      <c r="I30" s="205">
        <v>78.096000000000004</v>
      </c>
      <c r="J30" s="346">
        <f t="shared" si="1"/>
        <v>1.1779220446629788</v>
      </c>
      <c r="K30" s="347"/>
      <c r="L30" s="347"/>
      <c r="M30" s="343"/>
      <c r="O30" s="345"/>
      <c r="P30" s="345"/>
      <c r="Q30" s="345"/>
    </row>
    <row r="31" spans="2:17" ht="12" customHeight="1">
      <c r="B31" s="339" t="s">
        <v>638</v>
      </c>
      <c r="C31" s="339">
        <v>5.4180000000000001</v>
      </c>
      <c r="D31" s="341">
        <f t="shared" si="3"/>
        <v>0.129</v>
      </c>
      <c r="E31" s="339"/>
      <c r="H31" s="205" t="s">
        <v>961</v>
      </c>
      <c r="I31" s="205">
        <v>78.944000000000003</v>
      </c>
      <c r="J31" s="346">
        <f t="shared" si="1"/>
        <v>1.1652690514795299</v>
      </c>
      <c r="K31" s="347"/>
      <c r="L31" s="347"/>
      <c r="M31" s="343"/>
      <c r="O31" s="345"/>
      <c r="P31" s="345"/>
      <c r="Q31" s="345"/>
    </row>
    <row r="32" spans="2:17" ht="12" customHeight="1">
      <c r="B32" s="339" t="s">
        <v>639</v>
      </c>
      <c r="C32" s="339">
        <v>3.8359999999999999</v>
      </c>
      <c r="D32" s="341">
        <f t="shared" si="3"/>
        <v>9.1333333333333336E-2</v>
      </c>
      <c r="E32" s="339"/>
      <c r="H32" s="205" t="s">
        <v>962</v>
      </c>
      <c r="I32" s="205">
        <v>80.070999999999998</v>
      </c>
      <c r="J32" s="346">
        <f t="shared" si="1"/>
        <v>1.148867879756716</v>
      </c>
      <c r="K32" s="347"/>
      <c r="L32" s="347"/>
      <c r="M32" s="343"/>
      <c r="O32" s="345"/>
      <c r="P32" s="345"/>
      <c r="Q32" s="345"/>
    </row>
    <row r="33" spans="2:13" ht="12" customHeight="1">
      <c r="B33" s="339" t="s">
        <v>640</v>
      </c>
      <c r="C33" s="339">
        <v>6.2869999999999999</v>
      </c>
      <c r="D33" s="341">
        <f t="shared" si="3"/>
        <v>0.14969047619047618</v>
      </c>
      <c r="E33" s="339"/>
      <c r="H33" s="205" t="s">
        <v>963</v>
      </c>
      <c r="I33" s="205">
        <v>81.891000000000005</v>
      </c>
      <c r="J33" s="346">
        <f t="shared" si="1"/>
        <v>1.123334676582286</v>
      </c>
      <c r="K33" s="347"/>
      <c r="L33" s="347"/>
      <c r="M33" s="343"/>
    </row>
    <row r="34" spans="2:13" ht="12" customHeight="1">
      <c r="B34" s="339" t="s">
        <v>641</v>
      </c>
      <c r="C34" s="339">
        <v>6.6360000000000001</v>
      </c>
      <c r="D34" s="341">
        <f t="shared" si="3"/>
        <v>0.158</v>
      </c>
      <c r="E34" s="339"/>
      <c r="H34" s="205" t="s">
        <v>964</v>
      </c>
      <c r="I34" s="205">
        <v>83.766000000000005</v>
      </c>
      <c r="J34" s="346">
        <f t="shared" si="1"/>
        <v>1.0981901964997731</v>
      </c>
      <c r="K34" s="347"/>
      <c r="L34" s="347"/>
      <c r="M34" s="343"/>
    </row>
    <row r="35" spans="2:13" ht="12" customHeight="1">
      <c r="B35" s="339" t="s">
        <v>642</v>
      </c>
      <c r="C35" s="339">
        <v>5.2480000000000002</v>
      </c>
      <c r="D35" s="341">
        <f t="shared" si="3"/>
        <v>0.12495238095238095</v>
      </c>
      <c r="H35" s="205" t="s">
        <v>965</v>
      </c>
      <c r="I35" s="205">
        <v>85.054000000000002</v>
      </c>
      <c r="J35" s="346">
        <f t="shared" si="1"/>
        <v>1.0815599501493169</v>
      </c>
      <c r="K35" s="347"/>
      <c r="L35" s="347"/>
      <c r="M35" s="343"/>
    </row>
    <row r="36" spans="2:13" ht="12" customHeight="1">
      <c r="B36" s="339" t="s">
        <v>643</v>
      </c>
      <c r="C36" s="339">
        <v>6</v>
      </c>
      <c r="D36" s="341">
        <f t="shared" si="3"/>
        <v>0.14285714285714285</v>
      </c>
      <c r="H36" s="205" t="s">
        <v>966</v>
      </c>
      <c r="I36" s="205">
        <v>86.754000000000005</v>
      </c>
      <c r="J36" s="346">
        <f t="shared" si="1"/>
        <v>1.0603660926297347</v>
      </c>
      <c r="K36" s="347"/>
      <c r="L36" s="347"/>
      <c r="M36" s="343"/>
    </row>
    <row r="37" spans="2:13" ht="12" customHeight="1">
      <c r="B37" s="339" t="s">
        <v>644</v>
      </c>
      <c r="C37" s="339">
        <v>5.8250000000000002</v>
      </c>
      <c r="D37" s="341">
        <f t="shared" si="3"/>
        <v>0.1386904761904762</v>
      </c>
      <c r="H37" s="205" t="s">
        <v>967</v>
      </c>
      <c r="I37" s="205">
        <v>89.132000000000005</v>
      </c>
      <c r="J37" s="346">
        <f t="shared" si="1"/>
        <v>1.0320760220796121</v>
      </c>
      <c r="K37" s="347"/>
      <c r="L37" s="347"/>
      <c r="M37" s="343"/>
    </row>
    <row r="38" spans="2:13" ht="12" customHeight="1">
      <c r="B38" s="339" t="s">
        <v>645</v>
      </c>
      <c r="C38" s="339">
        <v>5.4180000000000001</v>
      </c>
      <c r="D38" s="341">
        <f t="shared" si="3"/>
        <v>0.129</v>
      </c>
      <c r="H38" s="205" t="s">
        <v>593</v>
      </c>
      <c r="I38" s="205">
        <v>91.991</v>
      </c>
      <c r="J38" s="346">
        <f t="shared" si="1"/>
        <v>1</v>
      </c>
      <c r="K38" s="347"/>
      <c r="L38" s="347"/>
      <c r="M38" s="343"/>
    </row>
    <row r="39" spans="2:13" ht="12" customHeight="1">
      <c r="B39" s="339" t="s">
        <v>646</v>
      </c>
      <c r="C39" s="339">
        <v>5.5369999999999999</v>
      </c>
      <c r="D39" s="341">
        <f t="shared" si="3"/>
        <v>0.13183333333333333</v>
      </c>
      <c r="H39" s="205" t="s">
        <v>968</v>
      </c>
      <c r="I39" s="205">
        <v>94.817999999999998</v>
      </c>
      <c r="J39" s="346">
        <f t="shared" si="1"/>
        <v>0.97018498597312752</v>
      </c>
      <c r="K39" s="347"/>
      <c r="L39" s="347"/>
      <c r="M39" s="343"/>
    </row>
    <row r="40" spans="2:13" ht="12" customHeight="1">
      <c r="B40" s="339" t="s">
        <v>647</v>
      </c>
      <c r="C40" s="339">
        <v>5.7960000000000003</v>
      </c>
      <c r="D40" s="341">
        <f t="shared" si="3"/>
        <v>0.13800000000000001</v>
      </c>
      <c r="H40" s="205" t="s">
        <v>969</v>
      </c>
      <c r="I40" s="205">
        <v>97.334999999999994</v>
      </c>
      <c r="J40" s="346">
        <f t="shared" si="1"/>
        <v>0.94509683053372384</v>
      </c>
      <c r="K40" s="347"/>
      <c r="L40" s="347"/>
      <c r="M40" s="343"/>
    </row>
    <row r="41" spans="2:13" ht="12" customHeight="1">
      <c r="B41" s="339"/>
      <c r="C41" s="339"/>
      <c r="D41" s="341"/>
      <c r="H41" s="205" t="s">
        <v>970</v>
      </c>
      <c r="I41" s="205">
        <v>99.236000000000004</v>
      </c>
      <c r="J41" s="346">
        <f t="shared" si="1"/>
        <v>0.92699222056511743</v>
      </c>
      <c r="K41" s="347"/>
      <c r="L41" s="347"/>
      <c r="M41" s="343"/>
    </row>
    <row r="42" spans="2:13" ht="12" customHeight="1">
      <c r="B42" s="339" t="s">
        <v>458</v>
      </c>
      <c r="C42" s="201">
        <f>D42*I4</f>
        <v>2.7467999999999999</v>
      </c>
      <c r="D42" s="339">
        <v>6.54E-2</v>
      </c>
      <c r="H42" s="205" t="s">
        <v>971</v>
      </c>
      <c r="I42" s="205">
        <v>100</v>
      </c>
      <c r="J42" s="346">
        <f t="shared" si="1"/>
        <v>0.91991000000000001</v>
      </c>
      <c r="K42" s="347"/>
      <c r="L42" s="347"/>
      <c r="M42" s="343"/>
    </row>
    <row r="43" spans="2:13" ht="12" customHeight="1">
      <c r="B43" s="339"/>
      <c r="D43" s="339"/>
      <c r="H43" s="205" t="s">
        <v>594</v>
      </c>
      <c r="I43" s="205">
        <v>101.211</v>
      </c>
      <c r="J43" s="346">
        <f t="shared" si="1"/>
        <v>0.90890318246040447</v>
      </c>
    </row>
    <row r="44" spans="2:13" ht="25.5" customHeight="1">
      <c r="B44" s="348" t="s">
        <v>989</v>
      </c>
      <c r="C44" s="358" t="s">
        <v>607</v>
      </c>
      <c r="D44" s="358" t="s">
        <v>608</v>
      </c>
      <c r="H44" s="205" t="s">
        <v>972</v>
      </c>
      <c r="I44" s="205">
        <v>103.199</v>
      </c>
      <c r="J44" s="346">
        <f t="shared" si="1"/>
        <v>0.89139429645636103</v>
      </c>
    </row>
    <row r="45" spans="2:13">
      <c r="B45" s="339" t="s">
        <v>456</v>
      </c>
      <c r="C45" s="339">
        <v>3.5569999999999999</v>
      </c>
      <c r="D45" s="341">
        <f>C45/$I$4</f>
        <v>8.4690476190476191E-2</v>
      </c>
      <c r="H45" s="205" t="s">
        <v>973</v>
      </c>
      <c r="I45" s="205">
        <v>105.002</v>
      </c>
      <c r="J45" s="346">
        <f t="shared" si="1"/>
        <v>0.87608807451286641</v>
      </c>
      <c r="K45" s="195"/>
    </row>
    <row r="46" spans="2:13" ht="13.5">
      <c r="B46" s="339" t="s">
        <v>648</v>
      </c>
      <c r="C46" s="359">
        <v>5.8387010000000004</v>
      </c>
      <c r="D46" s="341">
        <f>C46/$I$4</f>
        <v>0.13901669047619047</v>
      </c>
      <c r="H46" s="349"/>
      <c r="I46" s="195"/>
      <c r="J46" s="195"/>
      <c r="K46" s="195"/>
    </row>
    <row r="47" spans="2:13" ht="13.5">
      <c r="B47" s="339" t="s">
        <v>649</v>
      </c>
      <c r="C47" s="359">
        <v>6.045922</v>
      </c>
      <c r="D47" s="341">
        <f>C47/$I$4</f>
        <v>0.14395052380952381</v>
      </c>
      <c r="H47" s="349"/>
      <c r="I47" s="195"/>
      <c r="J47" s="195"/>
      <c r="K47" s="195"/>
    </row>
    <row r="48" spans="2:13" ht="13.5">
      <c r="B48" s="339" t="s">
        <v>650</v>
      </c>
      <c r="C48" s="201">
        <f>(2*C47+C46)/3</f>
        <v>5.9768483333333338</v>
      </c>
      <c r="D48" s="341">
        <f>C48/$I$4</f>
        <v>0.1423059126984127</v>
      </c>
      <c r="H48" s="349"/>
      <c r="I48" s="195"/>
      <c r="J48" s="195"/>
      <c r="K48" s="195"/>
    </row>
    <row r="49" spans="2:11" ht="13.5">
      <c r="H49" s="349"/>
      <c r="I49" s="195"/>
      <c r="J49" s="195"/>
      <c r="K49" s="195"/>
    </row>
    <row r="50" spans="2:11" ht="13.5">
      <c r="B50" s="339"/>
      <c r="D50" s="339"/>
      <c r="H50" s="349"/>
      <c r="I50" s="195"/>
      <c r="J50" s="195"/>
      <c r="K50" s="195"/>
    </row>
    <row r="51" spans="2:11" ht="13.5">
      <c r="C51" s="355" t="s">
        <v>651</v>
      </c>
      <c r="D51" s="339" t="s">
        <v>652</v>
      </c>
      <c r="E51" s="355" t="s">
        <v>653</v>
      </c>
      <c r="H51" s="350"/>
      <c r="I51" s="350"/>
      <c r="J51" s="195"/>
      <c r="K51" s="195"/>
    </row>
    <row r="52" spans="2:11" ht="13.5">
      <c r="B52" s="203" t="s">
        <v>654</v>
      </c>
      <c r="C52" s="201">
        <f>1024/1000000</f>
        <v>1.024E-3</v>
      </c>
      <c r="D52" s="351">
        <v>6917</v>
      </c>
      <c r="E52" s="201">
        <f>C52*D52</f>
        <v>7.0830079999999995</v>
      </c>
      <c r="H52" s="350"/>
      <c r="I52" s="350"/>
      <c r="J52" s="195"/>
      <c r="K52" s="195"/>
    </row>
    <row r="53" spans="2:11" ht="13.5">
      <c r="D53" s="339"/>
      <c r="H53" s="350"/>
      <c r="I53" s="350"/>
      <c r="J53" s="195"/>
      <c r="K53" s="195"/>
    </row>
    <row r="54" spans="2:11" ht="13.5">
      <c r="B54" s="360"/>
      <c r="D54" s="339"/>
      <c r="H54" s="350"/>
      <c r="I54" s="350"/>
      <c r="J54" s="195"/>
      <c r="K54" s="195"/>
    </row>
    <row r="55" spans="2:11" ht="13.5">
      <c r="D55" s="339"/>
      <c r="H55" s="350"/>
      <c r="I55" s="350"/>
      <c r="J55" s="195"/>
      <c r="K55" s="195"/>
    </row>
    <row r="56" spans="2:11" ht="13.5">
      <c r="B56" s="361"/>
      <c r="D56" s="339"/>
      <c r="H56" s="350"/>
      <c r="I56" s="350"/>
      <c r="J56" s="195"/>
      <c r="K56" s="195"/>
    </row>
    <row r="57" spans="2:11" ht="13.5">
      <c r="D57" s="339"/>
      <c r="H57" s="350"/>
      <c r="I57" s="350"/>
      <c r="J57" s="195"/>
      <c r="K57" s="195"/>
    </row>
    <row r="58" spans="2:11" ht="13.5">
      <c r="B58" s="362"/>
      <c r="D58" s="339"/>
      <c r="H58" s="350"/>
      <c r="I58" s="350"/>
      <c r="J58" s="195"/>
      <c r="K58" s="195"/>
    </row>
    <row r="59" spans="2:11" ht="13.5">
      <c r="D59" s="339"/>
      <c r="H59" s="350"/>
      <c r="I59" s="350"/>
      <c r="J59" s="195"/>
      <c r="K59" s="195"/>
    </row>
    <row r="60" spans="2:11" ht="13.5">
      <c r="B60" s="363"/>
      <c r="D60" s="339"/>
      <c r="H60" s="350"/>
      <c r="I60" s="350"/>
      <c r="J60" s="195"/>
      <c r="K60" s="195"/>
    </row>
    <row r="61" spans="2:11" ht="13.5">
      <c r="D61" s="339"/>
      <c r="H61" s="350"/>
      <c r="I61" s="350"/>
      <c r="J61" s="195"/>
      <c r="K61" s="195"/>
    </row>
    <row r="62" spans="2:11" ht="13.5">
      <c r="D62" s="339"/>
      <c r="H62" s="350"/>
      <c r="I62" s="350"/>
      <c r="J62" s="195"/>
      <c r="K62" s="195"/>
    </row>
    <row r="63" spans="2:11" ht="13.5">
      <c r="D63" s="339"/>
      <c r="H63" s="350"/>
      <c r="I63" s="350"/>
      <c r="J63" s="195"/>
      <c r="K63" s="195"/>
    </row>
    <row r="64" spans="2:11" ht="13.5">
      <c r="D64" s="339"/>
      <c r="H64" s="349"/>
      <c r="I64" s="195"/>
      <c r="J64" s="195"/>
      <c r="K64" s="195"/>
    </row>
    <row r="65" spans="4:11" ht="13.5">
      <c r="D65" s="339"/>
      <c r="H65" s="349"/>
      <c r="I65" s="195"/>
      <c r="J65" s="195"/>
      <c r="K65" s="195"/>
    </row>
    <row r="66" spans="4:11">
      <c r="D66" s="339"/>
      <c r="H66" s="352"/>
      <c r="I66" s="195"/>
      <c r="J66" s="195"/>
      <c r="K66" s="195"/>
    </row>
    <row r="67" spans="4:11">
      <c r="D67" s="339"/>
      <c r="H67" s="353"/>
      <c r="I67" s="195"/>
      <c r="J67" s="195"/>
      <c r="K67" s="195"/>
    </row>
    <row r="68" spans="4:11" ht="15">
      <c r="D68" s="339"/>
      <c r="H68" s="354"/>
      <c r="I68" s="354"/>
      <c r="J68" s="354"/>
      <c r="K68" s="354"/>
    </row>
    <row r="69" spans="4:11">
      <c r="D69" s="339"/>
    </row>
    <row r="70" spans="4:11">
      <c r="D70" s="339"/>
    </row>
    <row r="71" spans="4:11">
      <c r="D71" s="339"/>
    </row>
    <row r="72" spans="4:11">
      <c r="D72" s="339"/>
    </row>
    <row r="73" spans="4:11">
      <c r="D73" s="339"/>
    </row>
  </sheetData>
  <phoneticPr fontId="17" type="noConversion"/>
  <hyperlinks>
    <hyperlink ref="H13" r:id="rId1" xr:uid="{00000000-0004-0000-1E00-000000000000}"/>
  </hyperlinks>
  <pageMargins left="0.75" right="0.75" top="1" bottom="1" header="0.5" footer="0.5"/>
  <pageSetup orientation="portrait" r:id="rId2"/>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SharedContentType xmlns="Microsoft.SharePoint.Taxonomy.ContentTypeSync" SourceId="29f62856-1543-49d4-a736-4569d363f533" ContentTypeId="0x0101" PreviousValue="false"/>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3a45b8d2-5363-42cf-81ee-b666af54687e">
      <Terms xmlns="http://schemas.microsoft.com/office/infopath/2007/PartnerControls"/>
    </lcf76f155ced4ddcb4097134ff3c332f>
    <TaxCatchAll xmlns="4ffa91fb-a0ff-4ac5-b2db-65c790d184a4" xsi:nil="true"/>
    <_Source xmlns="http://schemas.microsoft.com/sharepoint/v3/fields" xsi:nil="true"/>
    <Language xmlns="http://schemas.microsoft.com/sharepoint/v3">English</Language>
    <j747ac98061d40f0aa7bd47e1db5675d xmlns="4ffa91fb-a0ff-4ac5-b2db-65c790d184a4">
      <Terms xmlns="http://schemas.microsoft.com/office/infopath/2007/PartnerControls"/>
    </j747ac98061d40f0aa7bd47e1db5675d>
    <External_x0020_Contributor xmlns="4ffa91fb-a0ff-4ac5-b2db-65c790d184a4" xsi:nil="true"/>
    <TaxKeywordTaxHTField xmlns="4ffa91fb-a0ff-4ac5-b2db-65c790d184a4">
      <Terms xmlns="http://schemas.microsoft.com/office/infopath/2007/PartnerControls"/>
    </TaxKeywordTaxHTField>
    <Record xmlns="4ffa91fb-a0ff-4ac5-b2db-65c790d184a4">Shared</Record>
    <Rights xmlns="4ffa91fb-a0ff-4ac5-b2db-65c790d184a4" xsi:nil="true"/>
    <Document_x0020_Creation_x0020_Date xmlns="4ffa91fb-a0ff-4ac5-b2db-65c790d184a4">2024-08-07T00:48:10+00:00</Document_x0020_Creation_x0020_Date>
    <EPA_x0020_Office xmlns="4ffa91fb-a0ff-4ac5-b2db-65c790d184a4" xsi:nil="true"/>
    <CategoryDescription xmlns="http://schemas.microsoft.com/sharepoint.v3" xsi:nil="true"/>
    <Identifier xmlns="4ffa91fb-a0ff-4ac5-b2db-65c790d184a4" xsi:nil="true"/>
    <_Coverage xmlns="http://schemas.microsoft.com/sharepoint/v3/fields" xsi:nil="true"/>
    <Creator xmlns="4ffa91fb-a0ff-4ac5-b2db-65c790d184a4">
      <UserInfo>
        <DisplayName/>
        <AccountId xsi:nil="true"/>
        <AccountType/>
      </UserInfo>
    </Creator>
    <EPA_x0020_Related_x0020_Documents xmlns="4ffa91fb-a0ff-4ac5-b2db-65c790d184a4" xsi:nil="true"/>
    <EPA_x0020_Contributor xmlns="4ffa91fb-a0ff-4ac5-b2db-65c790d184a4">
      <UserInfo>
        <DisplayName/>
        <AccountId xsi:nil="true"/>
        <AccountType/>
      </UserInfo>
    </EPA_x0020_Contributor>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ct:contentTypeSchema xmlns:ct="http://schemas.microsoft.com/office/2006/metadata/contentType" xmlns:ma="http://schemas.microsoft.com/office/2006/metadata/properties/metaAttributes" ct:_="" ma:_="" ma:contentTypeName="Document" ma:contentTypeID="0x010100D961017AFA5F1746B691F13D8A7002D3" ma:contentTypeVersion="13" ma:contentTypeDescription="Create a new document." ma:contentTypeScope="" ma:versionID="def7294f1d2309f0bb896a14731e0ee6">
  <xsd:schema xmlns:xsd="http://www.w3.org/2001/XMLSchema" xmlns:xs="http://www.w3.org/2001/XMLSchema" xmlns:p="http://schemas.microsoft.com/office/2006/metadata/properties" xmlns:ns1="http://schemas.microsoft.com/sharepoint/v3" xmlns:ns2="4ffa91fb-a0ff-4ac5-b2db-65c790d184a4" xmlns:ns3="http://schemas.microsoft.com/sharepoint.v3" xmlns:ns4="http://schemas.microsoft.com/sharepoint/v3/fields" xmlns:ns5="3a45b8d2-5363-42cf-81ee-b666af54687e" xmlns:ns6="100f1ce0-4af0-4d4f-96bb-1f04b8389ca2" targetNamespace="http://schemas.microsoft.com/office/2006/metadata/properties" ma:root="true" ma:fieldsID="041bcd49501e20998d0099c9940f8dab" ns1:_="" ns2:_="" ns3:_="" ns4:_="" ns5:_="" ns6:_="">
    <xsd:import namespace="http://schemas.microsoft.com/sharepoint/v3"/>
    <xsd:import namespace="4ffa91fb-a0ff-4ac5-b2db-65c790d184a4"/>
    <xsd:import namespace="http://schemas.microsoft.com/sharepoint.v3"/>
    <xsd:import namespace="http://schemas.microsoft.com/sharepoint/v3/fields"/>
    <xsd:import namespace="3a45b8d2-5363-42cf-81ee-b666af54687e"/>
    <xsd:import namespace="100f1ce0-4af0-4d4f-96bb-1f04b8389ca2"/>
    <xsd:element name="properties">
      <xsd:complexType>
        <xsd:sequence>
          <xsd:element name="documentManagement">
            <xsd:complexType>
              <xsd:all>
                <xsd:element ref="ns2:Document_x0020_Creation_x0020_Date" minOccurs="0"/>
                <xsd:element ref="ns2:Creator" minOccurs="0"/>
                <xsd:element ref="ns2:EPA_x0020_Office" minOccurs="0"/>
                <xsd:element ref="ns2:Record" minOccurs="0"/>
                <xsd:element ref="ns3:CategoryDescription" minOccurs="0"/>
                <xsd:element ref="ns2:Identifier" minOccurs="0"/>
                <xsd:element ref="ns2:EPA_x0020_Contributor" minOccurs="0"/>
                <xsd:element ref="ns2:External_x0020_Contributor" minOccurs="0"/>
                <xsd:element ref="ns4:_Coverage" minOccurs="0"/>
                <xsd:element ref="ns2:EPA_x0020_Related_x0020_Documents" minOccurs="0"/>
                <xsd:element ref="ns4:_Source" minOccurs="0"/>
                <xsd:element ref="ns2:Rights" minOccurs="0"/>
                <xsd:element ref="ns1:Language" minOccurs="0"/>
                <xsd:element ref="ns2:j747ac98061d40f0aa7bd47e1db5675d" minOccurs="0"/>
                <xsd:element ref="ns2:TaxKeywordTaxHTField" minOccurs="0"/>
                <xsd:element ref="ns2:TaxCatchAllLabel" minOccurs="0"/>
                <xsd:element ref="ns2:TaxCatchAll" minOccurs="0"/>
                <xsd:element ref="ns5:MediaServiceMetadata" minOccurs="0"/>
                <xsd:element ref="ns5:MediaServiceFastMetadata" minOccurs="0"/>
                <xsd:element ref="ns5:MediaServiceObjectDetectorVersions" minOccurs="0"/>
                <xsd:element ref="ns6:SharedWithUsers" minOccurs="0"/>
                <xsd:element ref="ns6:SharedWithDetails" minOccurs="0"/>
                <xsd:element ref="ns5:lcf76f155ced4ddcb4097134ff3c332f" minOccurs="0"/>
                <xsd:element ref="ns5:MediaServiceOCR" minOccurs="0"/>
                <xsd:element ref="ns5:MediaServiceGenerationTime" minOccurs="0"/>
                <xsd:element ref="ns5:MediaServiceEventHashCode" minOccurs="0"/>
                <xsd:element ref="ns5: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Language" ma:index="17" nillable="true" ma:displayName="Language" ma:default="English" ma:description="Select the document language from the drop down." ma:format="Dropdown" ma:internalName="Language" ma:readOnly="false">
      <xsd:simpleType>
        <xsd:restriction base="dms:Choice">
          <xsd:enumeration value="Arabic (Saudi Arabia)"/>
          <xsd:enumeration value="Bulgarian (Bulgaria)"/>
          <xsd:enumeration value="Chinese (Hong Kong S.A.R.)"/>
          <xsd:enumeration value="Chinese (People's Republic of China)"/>
          <xsd:enumeration value="Chinese (Taiwan)"/>
          <xsd:enumeration value="Croatian (Croatia)"/>
          <xsd:enumeration value="Czech (Czech Republic)"/>
          <xsd:enumeration value="Danish (Denmark)"/>
          <xsd:enumeration value="Dutch (Netherlands)"/>
          <xsd:enumeration value="English"/>
          <xsd:enumeration value="Estonian (Estonia)"/>
          <xsd:enumeration value="Finnish (Finland)"/>
          <xsd:enumeration value="French (France)"/>
          <xsd:enumeration value="German (Germany)"/>
          <xsd:enumeration value="Greek (Greece)"/>
          <xsd:enumeration value="Hebrew (Israel)"/>
          <xsd:enumeration value="Hindi (India)"/>
          <xsd:enumeration value="Hungarian (Hungary)"/>
          <xsd:enumeration value="Indonesian (Indonesia)"/>
          <xsd:enumeration value="Italian (Italy)"/>
          <xsd:enumeration value="Japanese (Japan)"/>
          <xsd:enumeration value="Korean (Korea)"/>
          <xsd:enumeration value="Latvian (Latvia)"/>
          <xsd:enumeration value="Lithuanian (Lithuania)"/>
          <xsd:enumeration value="Malay (Malaysia)"/>
          <xsd:enumeration value="Norwegian (Bokmal) (Norway)"/>
          <xsd:enumeration value="Polish (Poland)"/>
          <xsd:enumeration value="Portuguese (Brazil)"/>
          <xsd:enumeration value="Portuguese (Portugal)"/>
          <xsd:enumeration value="Romanian (Romania)"/>
          <xsd:enumeration value="Russian (Russia)"/>
          <xsd:enumeration value="Serbian (Latin) (Serbia)"/>
          <xsd:enumeration value="Slovak (Slovakia)"/>
          <xsd:enumeration value="Slovenian (Slovenia)"/>
          <xsd:enumeration value="Spanish (Spain)"/>
          <xsd:enumeration value="Swedish (Sweden)"/>
          <xsd:enumeration value="Thai (Thailand)"/>
          <xsd:enumeration value="Turkish (Turkey)"/>
          <xsd:enumeration value="Ukrainian (Ukraine)"/>
          <xsd:enumeration value="Urdu (Islamic Republic of Pakistan)"/>
          <xsd:enumeration value="Vietnamese (Vietnam)"/>
        </xsd:restriction>
      </xsd:simpleType>
    </xsd:element>
  </xsd:schema>
  <xsd:schema xmlns:xsd="http://www.w3.org/2001/XMLSchema" xmlns:xs="http://www.w3.org/2001/XMLSchema" xmlns:dms="http://schemas.microsoft.com/office/2006/documentManagement/types" xmlns:pc="http://schemas.microsoft.com/office/infopath/2007/PartnerControls" targetNamespace="4ffa91fb-a0ff-4ac5-b2db-65c790d184a4" elementFormDefault="qualified">
    <xsd:import namespace="http://schemas.microsoft.com/office/2006/documentManagement/types"/>
    <xsd:import namespace="http://schemas.microsoft.com/office/infopath/2007/PartnerControls"/>
    <xsd:element name="Document_x0020_Creation_x0020_Date" ma:index="2" nillable="true" ma:displayName="Document Date" ma:default="[today]" ma:description="Enter the date this document was last modified. The upload date has been entered by default." ma:format="DateOnly" ma:internalName="Document_x0020_Creation_x0020_Date" ma:readOnly="false">
      <xsd:simpleType>
        <xsd:restriction base="dms:DateTime"/>
      </xsd:simpleType>
    </xsd:element>
    <xsd:element name="Creator" ma:index="3" nillable="true" ma:displayName="Creator" ma:description="Enter the person primarily responsible for the document. The name of the person uploading the document has been entered by default." ma:list="UserInfo" ma:SharePointGroup="0" ma:internalName="Creator" ma:readOnly="false"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EPA_x0020_Office" ma:index="4" nillable="true" ma:displayName="EPA Office" ma:description="Enter the EPA organization primarily responsible for the document. The office of the person uploading the document has been entered by default." ma:internalName="EPA_x0020_Office" ma:readOnly="false">
      <xsd:simpleType>
        <xsd:restriction base="dms:Text">
          <xsd:maxLength value="255"/>
        </xsd:restriction>
      </xsd:simpleType>
    </xsd:element>
    <xsd:element name="Record" ma:index="5" nillable="true" ma:displayName="Record" ma:default="Shared" ma:description="For documents that provide evidence of EPA decisions and actions, select &quot;Shared&quot; (open access) or &quot;Private&quot; (restricted access)." ma:format="Dropdown" ma:internalName="Record" ma:readOnly="false">
      <xsd:simpleType>
        <xsd:restriction base="dms:Choice">
          <xsd:enumeration value="None"/>
          <xsd:enumeration value="Shared"/>
          <xsd:enumeration value="Private"/>
        </xsd:restriction>
      </xsd:simpleType>
    </xsd:element>
    <xsd:element name="Identifier" ma:index="9" nillable="true" ma:displayName="Identifier" ma:description="Enter all EPA identification numbers applicable to this document, one on each line." ma:internalName="Identifier" ma:readOnly="false">
      <xsd:simpleType>
        <xsd:restriction base="dms:Note">
          <xsd:maxLength value="255"/>
        </xsd:restriction>
      </xsd:simpleType>
    </xsd:element>
    <xsd:element name="EPA_x0020_Contributor" ma:index="11" nillable="true" ma:displayName="EPA Contributor" ma:description="Enter an EPA person who contributed to the creation of the document but is not the primary author." ma:list="UserInfo" ma:SharePointGroup="0" ma:internalName="EPA_x0020_Contributor" ma:readOnly="false"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External_x0020_Contributor" ma:index="12" nillable="true" ma:displayName="External Contributor" ma:description="Enter a non-EPA person who contributed to the creation of the document but is not the primary author." ma:internalName="External_x0020_Contributor" ma:readOnly="false">
      <xsd:simpleType>
        <xsd:restriction base="dms:Note">
          <xsd:maxLength value="255"/>
        </xsd:restriction>
      </xsd:simpleType>
    </xsd:element>
    <xsd:element name="EPA_x0020_Related_x0020_Documents" ma:index="14" nillable="true" ma:displayName="Other Related Documents" ma:description="Enter any related document." ma:internalName="EPA_x0020_Related_x0020_Documents" ma:readOnly="false">
      <xsd:simpleType>
        <xsd:restriction base="dms:Note">
          <xsd:maxLength value="255"/>
        </xsd:restriction>
      </xsd:simpleType>
    </xsd:element>
    <xsd:element name="Rights" ma:index="16" nillable="true" ma:displayName="Rights" ma:description="Enter information about intellectual property rights held over the document (e.g. copyright, patent, trademark)." ma:internalName="Rights" ma:readOnly="false">
      <xsd:simpleType>
        <xsd:restriction base="dms:Note">
          <xsd:maxLength value="255"/>
        </xsd:restriction>
      </xsd:simpleType>
    </xsd:element>
    <xsd:element name="j747ac98061d40f0aa7bd47e1db5675d" ma:index="19" nillable="true" ma:taxonomy="true" ma:internalName="j747ac98061d40f0aa7bd47e1db5675d" ma:taxonomyFieldName="Document_x0020_Type" ma:displayName="Document Type" ma:readOnly="false" ma:default="" ma:fieldId="{3747ac98-061d-40f0-aa7b-d47e1db5675d}" ma:sspId="29f62856-1543-49d4-a736-4569d363f533" ma:termSetId="e06cd6a9-a175-4da0-81cb-8dba7aa394ab" ma:anchorId="00000000-0000-0000-0000-000000000000" ma:open="false" ma:isKeyword="false">
      <xsd:complexType>
        <xsd:sequence>
          <xsd:element ref="pc:Terms" minOccurs="0" maxOccurs="1"/>
        </xsd:sequence>
      </xsd:complexType>
    </xsd:element>
    <xsd:element name="TaxKeywordTaxHTField" ma:index="21" nillable="true" ma:taxonomy="true" ma:internalName="TaxKeywordTaxHTField" ma:taxonomyFieldName="TaxKeyword" ma:displayName="Enterprise Keywords" ma:readOnly="false" ma:fieldId="{23f27201-bee3-471e-b2e7-b64fd8b7ca38}" ma:taxonomyMulti="true" ma:sspId="29f62856-1543-49d4-a736-4569d363f533" ma:termSetId="00000000-0000-0000-0000-000000000000" ma:anchorId="00000000-0000-0000-0000-000000000000" ma:open="true" ma:isKeyword="true">
      <xsd:complexType>
        <xsd:sequence>
          <xsd:element ref="pc:Terms" minOccurs="0" maxOccurs="1"/>
        </xsd:sequence>
      </xsd:complexType>
    </xsd:element>
    <xsd:element name="TaxCatchAllLabel" ma:index="23" nillable="true" ma:displayName="Taxonomy Catch All Column1" ma:hidden="true" ma:list="{0eafa08c-da01-48e4-b4d7-151dfe2fdfac}" ma:internalName="TaxCatchAllLabel" ma:readOnly="true" ma:showField="CatchAllDataLabel" ma:web="100f1ce0-4af0-4d4f-96bb-1f04b8389ca2">
      <xsd:complexType>
        <xsd:complexContent>
          <xsd:extension base="dms:MultiChoiceLookup">
            <xsd:sequence>
              <xsd:element name="Value" type="dms:Lookup" maxOccurs="unbounded" minOccurs="0" nillable="true"/>
            </xsd:sequence>
          </xsd:extension>
        </xsd:complexContent>
      </xsd:complexType>
    </xsd:element>
    <xsd:element name="TaxCatchAll" ma:index="24" nillable="true" ma:displayName="Taxonomy Catch All Column" ma:hidden="true" ma:list="{0eafa08c-da01-48e4-b4d7-151dfe2fdfac}" ma:internalName="TaxCatchAll" ma:showField="CatchAllData" ma:web="100f1ce0-4af0-4d4f-96bb-1f04b8389ca2">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CategoryDescription" ma:index="6" nillable="true" ma:displayName="Description" ma:description="Enter a brief description." ma:internalName="CategoryDescription" ma:readOnly="fals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fields" elementFormDefault="qualified">
    <xsd:import namespace="http://schemas.microsoft.com/office/2006/documentManagement/types"/>
    <xsd:import namespace="http://schemas.microsoft.com/office/infopath/2007/PartnerControls"/>
    <xsd:element name="_Coverage" ma:index="13" nillable="true" ma:displayName="Coverage" ma:description="Enter the geographic location, jurisdiction, or time period for which the document is relevant." ma:internalName="_Coverage" ma:readOnly="false">
      <xsd:simpleType>
        <xsd:restriction base="dms:Text">
          <xsd:maxLength value="255"/>
        </xsd:restriction>
      </xsd:simpleType>
    </xsd:element>
    <xsd:element name="_Source" ma:index="15" nillable="true" ma:displayName="Source" ma:description="Enter a source from which the document is derived." ma:internalName="_Source" ma:readOnly="fals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3a45b8d2-5363-42cf-81ee-b666af54687e" elementFormDefault="qualified">
    <xsd:import namespace="http://schemas.microsoft.com/office/2006/documentManagement/types"/>
    <xsd:import namespace="http://schemas.microsoft.com/office/infopath/2007/PartnerControls"/>
    <xsd:element name="MediaServiceMetadata" ma:index="28" nillable="true" ma:displayName="MediaServiceMetadata" ma:hidden="true" ma:internalName="MediaServiceMetadata" ma:readOnly="true">
      <xsd:simpleType>
        <xsd:restriction base="dms:Note"/>
      </xsd:simpleType>
    </xsd:element>
    <xsd:element name="MediaServiceFastMetadata" ma:index="29" nillable="true" ma:displayName="MediaServiceFastMetadata" ma:hidden="true" ma:internalName="MediaServiceFastMetadata" ma:readOnly="true">
      <xsd:simpleType>
        <xsd:restriction base="dms:Note"/>
      </xsd:simpleType>
    </xsd:element>
    <xsd:element name="MediaServiceObjectDetectorVersions" ma:index="30" nillable="true" ma:displayName="MediaServiceObjectDetectorVersions" ma:hidden="true" ma:indexed="true" ma:internalName="MediaServiceObjectDetectorVersions" ma:readOnly="true">
      <xsd:simpleType>
        <xsd:restriction base="dms:Text"/>
      </xsd:simpleType>
    </xsd:element>
    <xsd:element name="lcf76f155ced4ddcb4097134ff3c332f" ma:index="34" nillable="true" ma:taxonomy="true" ma:internalName="lcf76f155ced4ddcb4097134ff3c332f" ma:taxonomyFieldName="MediaServiceImageTags" ma:displayName="Image Tags" ma:readOnly="false" ma:fieldId="{5cf76f15-5ced-4ddc-b409-7134ff3c332f}" ma:taxonomyMulti="true" ma:sspId="29f62856-1543-49d4-a736-4569d363f533" ma:termSetId="09814cd3-568e-fe90-9814-8d621ff8fb84" ma:anchorId="fba54fb3-c3e1-fe81-a776-ca4b69148c4d" ma:open="true" ma:isKeyword="false">
      <xsd:complexType>
        <xsd:sequence>
          <xsd:element ref="pc:Terms" minOccurs="0" maxOccurs="1"/>
        </xsd:sequence>
      </xsd:complexType>
    </xsd:element>
    <xsd:element name="MediaServiceOCR" ma:index="35" nillable="true" ma:displayName="Extracted Text" ma:internalName="MediaServiceOCR" ma:readOnly="true">
      <xsd:simpleType>
        <xsd:restriction base="dms:Note">
          <xsd:maxLength value="255"/>
        </xsd:restriction>
      </xsd:simpleType>
    </xsd:element>
    <xsd:element name="MediaServiceGenerationTime" ma:index="36" nillable="true" ma:displayName="MediaServiceGenerationTime" ma:hidden="true" ma:internalName="MediaServiceGenerationTime" ma:readOnly="true">
      <xsd:simpleType>
        <xsd:restriction base="dms:Text"/>
      </xsd:simpleType>
    </xsd:element>
    <xsd:element name="MediaServiceEventHashCode" ma:index="37" nillable="true" ma:displayName="MediaServiceEventHashCode" ma:hidden="true" ma:internalName="MediaServiceEventHashCode" ma:readOnly="true">
      <xsd:simpleType>
        <xsd:restriction base="dms:Text"/>
      </xsd:simpleType>
    </xsd:element>
    <xsd:element name="MediaServiceSearchProperties" ma:index="38"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00f1ce0-4af0-4d4f-96bb-1f04b8389ca2" elementFormDefault="qualified">
    <xsd:import namespace="http://schemas.microsoft.com/office/2006/documentManagement/types"/>
    <xsd:import namespace="http://schemas.microsoft.com/office/infopath/2007/PartnerControls"/>
    <xsd:element name="SharedWithUsers" ma:index="3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32"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25"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36A4489-C06B-427F-A9A0-88C8316AE7DB}">
  <ds:schemaRefs>
    <ds:schemaRef ds:uri="Microsoft.SharePoint.Taxonomy.ContentTypeSync"/>
  </ds:schemaRefs>
</ds:datastoreItem>
</file>

<file path=customXml/itemProps2.xml><?xml version="1.0" encoding="utf-8"?>
<ds:datastoreItem xmlns:ds="http://schemas.openxmlformats.org/officeDocument/2006/customXml" ds:itemID="{3B45B8C6-F0FE-4C5A-9598-716AADD2C0CA}">
  <ds:schemaRefs>
    <ds:schemaRef ds:uri="http://purl.org/dc/terms/"/>
    <ds:schemaRef ds:uri="http://schemas.microsoft.com/office/2006/documentManagement/types"/>
    <ds:schemaRef ds:uri="http://schemas.openxmlformats.org/package/2006/metadata/core-properties"/>
    <ds:schemaRef ds:uri="http://schemas.microsoft.com/office/2006/metadata/properties"/>
    <ds:schemaRef ds:uri="http://purl.org/dc/elements/1.1/"/>
    <ds:schemaRef ds:uri="http://www.w3.org/XML/1998/namespace"/>
    <ds:schemaRef ds:uri="b61e3246-ffdd-47fd-afd5-fb211f629678"/>
    <ds:schemaRef ds:uri="http://schemas.microsoft.com/office/infopath/2007/PartnerControls"/>
    <ds:schemaRef ds:uri="13d1ff91-c56c-48a5-881f-c0ec757c423c"/>
    <ds:schemaRef ds:uri="http://purl.org/dc/dcmitype/"/>
    <ds:schemaRef ds:uri="3a45b8d2-5363-42cf-81ee-b666af54687e"/>
    <ds:schemaRef ds:uri="4ffa91fb-a0ff-4ac5-b2db-65c790d184a4"/>
    <ds:schemaRef ds:uri="http://schemas.microsoft.com/sharepoint/v3/fields"/>
    <ds:schemaRef ds:uri="http://schemas.microsoft.com/sharepoint/v3"/>
    <ds:schemaRef ds:uri="http://schemas.microsoft.com/sharepoint.v3"/>
  </ds:schemaRefs>
</ds:datastoreItem>
</file>

<file path=customXml/itemProps3.xml><?xml version="1.0" encoding="utf-8"?>
<ds:datastoreItem xmlns:ds="http://schemas.openxmlformats.org/officeDocument/2006/customXml" ds:itemID="{0DB6D487-0C92-48D9-9A43-2C0F68451F53}">
  <ds:schemaRefs>
    <ds:schemaRef ds:uri="http://schemas.microsoft.com/sharepoint/v3/contenttype/forms"/>
  </ds:schemaRefs>
</ds:datastoreItem>
</file>

<file path=customXml/itemProps4.xml><?xml version="1.0" encoding="utf-8"?>
<ds:datastoreItem xmlns:ds="http://schemas.openxmlformats.org/officeDocument/2006/customXml" ds:itemID="{E7C0D5CC-D3C6-4027-A66E-4179376946C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4ffa91fb-a0ff-4ac5-b2db-65c790d184a4"/>
    <ds:schemaRef ds:uri="http://schemas.microsoft.com/sharepoint.v3"/>
    <ds:schemaRef ds:uri="http://schemas.microsoft.com/sharepoint/v3/fields"/>
    <ds:schemaRef ds:uri="3a45b8d2-5363-42cf-81ee-b666af54687e"/>
    <ds:schemaRef ds:uri="100f1ce0-4af0-4d4f-96bb-1f04b8389ca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20</vt:i4>
      </vt:variant>
      <vt:variant>
        <vt:lpstr>Named Ranges</vt:lpstr>
      </vt:variant>
      <vt:variant>
        <vt:i4>1</vt:i4>
      </vt:variant>
    </vt:vector>
  </HeadingPairs>
  <TitlesOfParts>
    <vt:vector size="21" baseType="lpstr">
      <vt:lpstr>Fractions10</vt:lpstr>
      <vt:lpstr>Commodities</vt:lpstr>
      <vt:lpstr>Technologies</vt:lpstr>
      <vt:lpstr>TechData_R0</vt:lpstr>
      <vt:lpstr>TechData_DelOILNYC</vt:lpstr>
      <vt:lpstr>Domestic Crude Oil CUM</vt:lpstr>
      <vt:lpstr>Domestic Crude Oil Prices</vt:lpstr>
      <vt:lpstr>Agg prdcrv</vt:lpstr>
      <vt:lpstr>Agg prdcrv NYC</vt:lpstr>
      <vt:lpstr>AEO 2012 prdcrv</vt:lpstr>
      <vt:lpstr>Imp Refined NYC</vt:lpstr>
      <vt:lpstr>Imp Crude</vt:lpstr>
      <vt:lpstr>Agg crdcrv</vt:lpstr>
      <vt:lpstr>AEO 2012 crdcrv</vt:lpstr>
      <vt:lpstr>Imported Price Trends</vt:lpstr>
      <vt:lpstr>DelivOIL</vt:lpstr>
      <vt:lpstr>OILTrade</vt:lpstr>
      <vt:lpstr>Emissions</vt:lpstr>
      <vt:lpstr>Types</vt:lpstr>
      <vt:lpstr>Conv</vt:lpstr>
      <vt:lpstr>OILTrade!Print_Titles</vt:lpstr>
    </vt:vector>
  </TitlesOfParts>
  <Company>Noble-Soft Systems Pty Ltd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Dr Ken Noble</dc:creator>
  <cp:lastModifiedBy>Carroll, Zane</cp:lastModifiedBy>
  <cp:lastPrinted>2014-11-07T16:35:14Z</cp:lastPrinted>
  <dcterms:created xsi:type="dcterms:W3CDTF">2005-05-01T12:39:10Z</dcterms:created>
  <dcterms:modified xsi:type="dcterms:W3CDTF">2025-05-27T19:39:14Z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aveCode">
    <vt:r8>464992702007293</vt:r8>
  </property>
  <property fmtid="{D5CDD505-2E9C-101B-9397-08002B2CF9AE}" pid="3" name="ContentTypeId">
    <vt:lpwstr>0x01010092854A4B9DA56A4E9E67ED7952786595</vt:lpwstr>
  </property>
  <property fmtid="{D5CDD505-2E9C-101B-9397-08002B2CF9AE}" pid="4" name="MediaServiceImageTags">
    <vt:lpwstr/>
  </property>
</Properties>
</file>